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EstaPasta_de_trabalho"/>
  <bookViews>
    <workbookView xWindow="-120" yWindow="-120" windowWidth="29040" windowHeight="15840" tabRatio="889" firstSheet="7" activeTab="14"/>
  </bookViews>
  <sheets>
    <sheet name="0. INSTRUÇÕES" sheetId="150" r:id="rId1"/>
    <sheet name="1. PLANILHA RESUMO" sheetId="141" r:id="rId2"/>
    <sheet name="2. PLANILHA SINTÉTICA" sheetId="1" r:id="rId3"/>
    <sheet name="3. BDI" sheetId="153" r:id="rId4"/>
    <sheet name="4. CRONOGRAMA FÍSICO FINANCEIRO" sheetId="151" r:id="rId5"/>
    <sheet name="5. CCU ADMINISTRAÇÃO LOCAL" sheetId="142" r:id="rId6"/>
    <sheet name="6. CCU MOBILIZAÇÃO EQUIPTOS" sheetId="139" r:id="rId7"/>
    <sheet name="7. CCU SINALIZAÇÃO DE OBRA" sheetId="154" r:id="rId8"/>
    <sheet name="8. CCU PLACA DE OBRA" sheetId="159" r:id="rId9"/>
    <sheet name="9. CCU'S GERAIS AMEP" sheetId="128" r:id="rId10"/>
    <sheet name="10. CCU TRANSPORTE" sheetId="167" r:id="rId11"/>
    <sheet name="11. CCU DESMOBILIZAÇÃO EQPTO" sheetId="164" r:id="rId12"/>
    <sheet name="12. CCU - PAVIMENTAÇÃO" sheetId="166" r:id="rId13"/>
    <sheet name="13. CUSTOS DER - SERVIÇOS" sheetId="143" r:id="rId14"/>
    <sheet name="14. CUSTOS DER - MATERIAIS" sheetId="146" r:id="rId15"/>
    <sheet name="15. CUSTOS DER - MÃO DE OBRA" sheetId="145" r:id="rId16"/>
    <sheet name="16. CUSTOS DER - TRANSPORTES" sheetId="147" r:id="rId17"/>
    <sheet name="17. CUSTOS DER - EQUIPAMENTOS" sheetId="144" r:id="rId18"/>
    <sheet name="18. CUSTOS DNIT - SERVIÇOS" sheetId="158" r:id="rId19"/>
    <sheet name="19. CUSTOS DNIT - MATERIAIS" sheetId="156" r:id="rId20"/>
    <sheet name="20. CUSTOS DNIT - EQUIPAMENTOS" sheetId="157" r:id="rId21"/>
    <sheet name="21. CUSTOS SINAPI - SERVIÇOS" sheetId="148" r:id="rId22"/>
    <sheet name="22. CUSTOS SINAPI - MATERIAIS" sheetId="160" r:id="rId23"/>
    <sheet name="23. CUSTOS COTAÇÕES DE MERCADO" sheetId="74" r:id="rId24"/>
    <sheet name="24. CÁLCULO DAS DISTÂNCIAS" sheetId="10" r:id="rId25"/>
    <sheet name="25 PLANILHA ABC" sheetId="168" r:id="rId26"/>
  </sheets>
  <externalReferences>
    <externalReference r:id="rId27"/>
    <externalReference r:id="rId28"/>
    <externalReference r:id="rId29"/>
    <externalReference r:id="rId30"/>
    <externalReference r:id="rId31"/>
  </externalReferences>
  <definedNames>
    <definedName name="_xlnm._FilterDatabase" localSheetId="0" hidden="1">'0. INSTRUÇÕES'!$A$1:$D$99</definedName>
    <definedName name="_xlnm._FilterDatabase" localSheetId="1" hidden="1">'1. PLANILHA RESUMO'!$A$1:$D$87</definedName>
    <definedName name="_xlnm._FilterDatabase" localSheetId="10" hidden="1">'10. CCU TRANSPORTE'!$A$2:$K$295</definedName>
    <definedName name="_xlnm._FilterDatabase" localSheetId="12" hidden="1">'12. CCU - PAVIMENTAÇÃO'!$A$1:$J$78</definedName>
    <definedName name="_xlnm._FilterDatabase" localSheetId="13" hidden="1">'13. CUSTOS DER - SERVIÇOS'!$A$1:$H$695</definedName>
    <definedName name="_xlnm._FilterDatabase" localSheetId="14" hidden="1">'14. CUSTOS DER - MATERIAIS'!$A$1:$D$358</definedName>
    <definedName name="_xlnm._FilterDatabase" localSheetId="17" hidden="1">'17. CUSTOS DER - EQUIPAMENTOS'!$A$1:$Q$209</definedName>
    <definedName name="_xlnm._FilterDatabase" localSheetId="18" hidden="1">'18. CUSTOS DNIT - SERVIÇOS'!$A$1:$D$6361</definedName>
    <definedName name="_xlnm._FilterDatabase" localSheetId="19" hidden="1">'19. CUSTOS DNIT - MATERIAIS'!$A$1:$D$1665</definedName>
    <definedName name="_xlnm._FilterDatabase" localSheetId="2" hidden="1">'2. PLANILHA SINTÉTICA'!$A$11:$S$983</definedName>
    <definedName name="_xlnm._FilterDatabase" localSheetId="21" hidden="1">'21. CUSTOS SINAPI - SERVIÇOS'!$A$1:$D$7526</definedName>
    <definedName name="_xlnm._FilterDatabase" localSheetId="22" hidden="1">'22. CUSTOS SINAPI - MATERIAIS'!$A$1:$D$6361</definedName>
    <definedName name="_xlnm._FilterDatabase" localSheetId="23" hidden="1">'23. CUSTOS COTAÇÕES DE MERCADO'!$A$1:$F$57</definedName>
    <definedName name="_xlnm._FilterDatabase" localSheetId="24" hidden="1">'24. CÁLCULO DAS DISTÂNCIAS'!$A$1:$F$56</definedName>
    <definedName name="_xlnm._FilterDatabase" localSheetId="4" hidden="1">'4. CRONOGRAMA FÍSICO FINANCEIRO'!$A$1:$AT$79</definedName>
    <definedName name="_xlnm._FilterDatabase" localSheetId="5" hidden="1">'5. CCU ADMINISTRAÇÃO LOCAL'!$A$1:$J$121</definedName>
    <definedName name="_xlnm._FilterDatabase" localSheetId="7" hidden="1">'7. CCU SINALIZAÇÃO DE OBRA'!$A$1:$K$95</definedName>
    <definedName name="_xlnm._FilterDatabase" localSheetId="8" hidden="1">'8. CCU PLACA DE OBRA'!$A$1:$K$32</definedName>
    <definedName name="_xlnm._FilterDatabase" localSheetId="9" hidden="1">'9. CCU''S GERAIS AMEP'!$A$2:$K$1464</definedName>
    <definedName name="_Order1" hidden="1">0</definedName>
    <definedName name="_Order2" hidden="1">255</definedName>
    <definedName name="_xlnm.Print_Area" localSheetId="0">'0. INSTRUÇÕES'!$A$2:$D$39</definedName>
    <definedName name="_xlnm.Print_Area" localSheetId="1">'1. PLANILHA RESUMO'!$A$2:$D$27</definedName>
    <definedName name="_xlnm.Print_Area" localSheetId="10">'10. CCU TRANSPORTE'!$A$3:$J$300</definedName>
    <definedName name="_xlnm.Print_Area" localSheetId="11">'11. CCU DESMOBILIZAÇÃO EQPTO'!$A$1:$K$37</definedName>
    <definedName name="_xlnm.Print_Area" localSheetId="12">'12. CCU - PAVIMENTAÇÃO'!$A$2:$J$18</definedName>
    <definedName name="_xlnm.Print_Area" localSheetId="13">'13. CUSTOS DER - SERVIÇOS'!$A$2:$H$693</definedName>
    <definedName name="_xlnm.Print_Area" localSheetId="14">'14. CUSTOS DER - MATERIAIS'!$A$2:$D$358</definedName>
    <definedName name="_xlnm.Print_Area" localSheetId="15">'15. CUSTOS DER - MÃO DE OBRA'!$A$1:$D$44</definedName>
    <definedName name="_xlnm.Print_Area" localSheetId="16">'16. CUSTOS DER - TRANSPORTES'!$A$1:$D$19</definedName>
    <definedName name="_xlnm.Print_Area" localSheetId="17">'17. CUSTOS DER - EQUIPAMENTOS'!$A$3:$P$209</definedName>
    <definedName name="_xlnm.Print_Area" localSheetId="18">'18. CUSTOS DNIT - SERVIÇOS'!$A$2:$D$6361</definedName>
    <definedName name="_xlnm.Print_Area" localSheetId="19">'19. CUSTOS DNIT - MATERIAIS'!$A$2:$D$1665</definedName>
    <definedName name="_xlnm.Print_Area" localSheetId="2">'2. PLANILHA SINTÉTICA'!$A$3:$N$981</definedName>
    <definedName name="_xlnm.Print_Area" localSheetId="21">'21. CUSTOS SINAPI - SERVIÇOS'!$A$2:$D$7526</definedName>
    <definedName name="_xlnm.Print_Area" localSheetId="22">'22. CUSTOS SINAPI - MATERIAIS'!$A$2:$D$4989</definedName>
    <definedName name="_xlnm.Print_Area" localSheetId="23">'23. CUSTOS COTAÇÕES DE MERCADO'!$A$2:$F$76</definedName>
    <definedName name="_xlnm.Print_Area" localSheetId="24">'24. CÁLCULO DAS DISTÂNCIAS'!$A$2:$F$56</definedName>
    <definedName name="_xlnm.Print_Area" localSheetId="25">'25 PLANILHA ABC'!$A$1:$H$205</definedName>
    <definedName name="_xlnm.Print_Area" localSheetId="3">'3. BDI'!$A$1:$G$48</definedName>
    <definedName name="_xlnm.Print_Area" localSheetId="4">'4. CRONOGRAMA FÍSICO FINANCEIRO'!$A$5:$AT$75</definedName>
    <definedName name="_xlnm.Print_Area" localSheetId="5">'5. CCU ADMINISTRAÇÃO LOCAL'!$A$2:$J$61</definedName>
    <definedName name="_xlnm.Print_Area" localSheetId="6">'6. CCU MOBILIZAÇÃO EQUIPTOS'!$A$1:$K$37</definedName>
    <definedName name="_xlnm.Print_Area" localSheetId="7">'7. CCU SINALIZAÇÃO DE OBRA'!$A$3:$K$95</definedName>
    <definedName name="_xlnm.Print_Area" localSheetId="8">'8. CCU PLACA DE OBRA'!$A$3:$K$32</definedName>
    <definedName name="_xlnm.Print_Area" localSheetId="9">'9. CCU''S GERAIS AMEP'!$A$3:$K$1464</definedName>
    <definedName name="_xlnm.Database">[1]ORDPLAN!$A$1:$P$500</definedName>
    <definedName name="BDI_LIG_E_COT" localSheetId="0">'0. INSTRUÇÕES'!#REF!</definedName>
    <definedName name="BDI_LIG_E_COT" localSheetId="1">'1. PLANILHA RESUMO'!#REF!</definedName>
    <definedName name="BDI_LIG_E_COT" localSheetId="10">'[2]2. PLANILHA SINTÉTICA'!#REF!</definedName>
    <definedName name="BDI_LIG_E_COT" localSheetId="11">[3]Orcamento!$O$2</definedName>
    <definedName name="BDI_LIG_E_COT" localSheetId="12">'12. CCU - PAVIMENTAÇÃO'!#REF!</definedName>
    <definedName name="BDI_LIG_E_COT" localSheetId="25">'25 PLANILHA ABC'!#REF!</definedName>
    <definedName name="BDI_LIG_E_COT" localSheetId="4">'4. CRONOGRAMA FÍSICO FINANCEIRO'!#REF!</definedName>
    <definedName name="BDI_LIG_E_COT" localSheetId="5">'5. CCU ADMINISTRAÇÃO LOCAL'!#REF!</definedName>
    <definedName name="BDI_LIG_E_COT" localSheetId="6">[3]Orcamento!$O$2</definedName>
    <definedName name="BDI_LIG_E_COT" localSheetId="7">'2. PLANILHA SINTÉTICA'!#REF!</definedName>
    <definedName name="BDI_LIG_E_COT" localSheetId="8">'2. PLANILHA SINTÉTICA'!#REF!</definedName>
    <definedName name="BDI_LIG_E_COT">'2. PLANILHA SINTÉTICA'!#REF!</definedName>
    <definedName name="BDI_SERVICO">[4]ORCAMENTO!$O$3</definedName>
    <definedName name="BDI_SERVICOS" localSheetId="0">'0. INSTRUÇÕES'!#REF!</definedName>
    <definedName name="BDI_SERVICOS" localSheetId="1">'1. PLANILHA RESUMO'!#REF!</definedName>
    <definedName name="BDI_SERVICOS" localSheetId="10">'[2]2. PLANILHA SINTÉTICA'!#REF!</definedName>
    <definedName name="BDI_SERVICOS" localSheetId="11">[3]Orcamento!$M$2</definedName>
    <definedName name="BDI_SERVICOS" localSheetId="12">'12. CCU - PAVIMENTAÇÃO'!#REF!</definedName>
    <definedName name="BDI_SERVICOS" localSheetId="25">'25 PLANILHA ABC'!#REF!</definedName>
    <definedName name="BDI_SERVICOS" localSheetId="4">'4. CRONOGRAMA FÍSICO FINANCEIRO'!#REF!</definedName>
    <definedName name="BDI_SERVICOS" localSheetId="5">'5. CCU ADMINISTRAÇÃO LOCAL'!#REF!</definedName>
    <definedName name="BDI_SERVICOS" localSheetId="6">[3]Orcamento!$M$2</definedName>
    <definedName name="BDI_SERVICOS" localSheetId="7">'2. PLANILHA SINTÉTICA'!#REF!</definedName>
    <definedName name="BDI_SERVICOS" localSheetId="8">'2. PLANILHA SINTÉTICA'!#REF!</definedName>
    <definedName name="BDI_SERVICOS">'2. PLANILHA SINTÉTICA'!#REF!</definedName>
    <definedName name="Equip_COM" localSheetId="0">#REF!</definedName>
    <definedName name="Equip_COM" localSheetId="1">#REF!</definedName>
    <definedName name="Equip_COM" localSheetId="10">#REF!</definedName>
    <definedName name="Equip_COM" localSheetId="11">#REF!</definedName>
    <definedName name="Equip_COM" localSheetId="12">#REF!</definedName>
    <definedName name="Equip_COM" localSheetId="25">#REF!</definedName>
    <definedName name="Equip_COM" localSheetId="4">#REF!</definedName>
    <definedName name="Equip_COM" localSheetId="5">#REF!</definedName>
    <definedName name="Equip_COM" localSheetId="7">#REF!</definedName>
    <definedName name="Equip_COM" localSheetId="8">#REF!</definedName>
    <definedName name="Equip_COM">#REF!</definedName>
    <definedName name="Equip_SEM">'[5]Equip - SEM'!$A:$D</definedName>
    <definedName name="ITEM_1" localSheetId="0">'0. INSTRUÇÕES'!#REF!</definedName>
    <definedName name="ITEM_1" localSheetId="1">'1. PLANILHA RESUMO'!#REF!</definedName>
    <definedName name="ITEM_1" localSheetId="10">'[2]2. PLANILHA SINTÉTICA'!#REF!</definedName>
    <definedName name="ITEM_1" localSheetId="11">[3]Orcamento!#REF!</definedName>
    <definedName name="ITEM_1" localSheetId="12">'12. CCU - PAVIMENTAÇÃO'!#REF!</definedName>
    <definedName name="ITEM_1" localSheetId="25">'25 PLANILHA ABC'!#REF!</definedName>
    <definedName name="ITEM_1" localSheetId="4">'4. CRONOGRAMA FÍSICO FINANCEIRO'!#REF!</definedName>
    <definedName name="ITEM_1" localSheetId="5">'5. CCU ADMINISTRAÇÃO LOCAL'!#REF!</definedName>
    <definedName name="ITEM_1" localSheetId="6">[3]Orcamento!#REF!</definedName>
    <definedName name="ITEM_1" localSheetId="7">'2. PLANILHA SINTÉTICA'!#REF!</definedName>
    <definedName name="ITEM_1" localSheetId="8">'2. PLANILHA SINTÉTICA'!#REF!</definedName>
    <definedName name="ITEM_1">'2. PLANILHA SINTÉTICA'!#REF!</definedName>
    <definedName name="ITEM_10" localSheetId="0">'0. INSTRUÇÕES'!#REF!</definedName>
    <definedName name="ITEM_10" localSheetId="1">'1. PLANILHA RESUMO'!#REF!</definedName>
    <definedName name="ITEM_10" localSheetId="10">'[2]2. PLANILHA SINTÉTICA'!#REF!</definedName>
    <definedName name="ITEM_10" localSheetId="11">[3]Orcamento!#REF!</definedName>
    <definedName name="ITEM_10" localSheetId="12">'12. CCU - PAVIMENTAÇÃO'!#REF!</definedName>
    <definedName name="ITEM_10" localSheetId="25">'25 PLANILHA ABC'!#REF!</definedName>
    <definedName name="ITEM_10" localSheetId="4">'4. CRONOGRAMA FÍSICO FINANCEIRO'!#REF!</definedName>
    <definedName name="ITEM_10" localSheetId="5">'5. CCU ADMINISTRAÇÃO LOCAL'!#REF!</definedName>
    <definedName name="ITEM_10" localSheetId="6">[3]Orcamento!#REF!</definedName>
    <definedName name="ITEM_10" localSheetId="7">'2. PLANILHA SINTÉTICA'!#REF!</definedName>
    <definedName name="ITEM_10" localSheetId="8">'2. PLANILHA SINTÉTICA'!#REF!</definedName>
    <definedName name="ITEM_10">'2. PLANILHA SINTÉTICA'!#REF!</definedName>
    <definedName name="ITEM_12" localSheetId="0">'0. INSTRUÇÕES'!#REF!</definedName>
    <definedName name="ITEM_12" localSheetId="1">'1. PLANILHA RESUMO'!#REF!</definedName>
    <definedName name="ITEM_12" localSheetId="10">'[2]2. PLANILHA SINTÉTICA'!#REF!</definedName>
    <definedName name="ITEM_12" localSheetId="11">[3]Orcamento!#REF!</definedName>
    <definedName name="ITEM_12" localSheetId="12">'12. CCU - PAVIMENTAÇÃO'!#REF!</definedName>
    <definedName name="ITEM_12" localSheetId="25">'25 PLANILHA ABC'!#REF!</definedName>
    <definedName name="ITEM_12" localSheetId="4">'4. CRONOGRAMA FÍSICO FINANCEIRO'!#REF!</definedName>
    <definedName name="ITEM_12" localSheetId="5">'5. CCU ADMINISTRAÇÃO LOCAL'!#REF!</definedName>
    <definedName name="ITEM_12" localSheetId="6">[3]Orcamento!#REF!</definedName>
    <definedName name="ITEM_12" localSheetId="7">'2. PLANILHA SINTÉTICA'!#REF!</definedName>
    <definedName name="ITEM_12" localSheetId="8">'2. PLANILHA SINTÉTICA'!#REF!</definedName>
    <definedName name="ITEM_12">'2. PLANILHA SINTÉTICA'!#REF!</definedName>
    <definedName name="ITEM_2" localSheetId="0">'0. INSTRUÇÕES'!#REF!</definedName>
    <definedName name="ITEM_2" localSheetId="1">'1. PLANILHA RESUMO'!#REF!</definedName>
    <definedName name="ITEM_2" localSheetId="10">'[2]2. PLANILHA SINTÉTICA'!#REF!</definedName>
    <definedName name="ITEM_2" localSheetId="11">[3]Orcamento!#REF!</definedName>
    <definedName name="ITEM_2" localSheetId="12">'12. CCU - PAVIMENTAÇÃO'!#REF!</definedName>
    <definedName name="ITEM_2" localSheetId="25">'25 PLANILHA ABC'!#REF!</definedName>
    <definedName name="ITEM_2" localSheetId="4">'4. CRONOGRAMA FÍSICO FINANCEIRO'!#REF!</definedName>
    <definedName name="ITEM_2" localSheetId="5">'5. CCU ADMINISTRAÇÃO LOCAL'!#REF!</definedName>
    <definedName name="ITEM_2" localSheetId="6">[3]Orcamento!#REF!</definedName>
    <definedName name="ITEM_2" localSheetId="7">'2. PLANILHA SINTÉTICA'!#REF!</definedName>
    <definedName name="ITEM_2" localSheetId="8">'2. PLANILHA SINTÉTICA'!#REF!</definedName>
    <definedName name="ITEM_2">'2. PLANILHA SINTÉTICA'!#REF!</definedName>
    <definedName name="ITEM_3" localSheetId="0">'0. INSTRUÇÕES'!#REF!</definedName>
    <definedName name="ITEM_3" localSheetId="1">'1. PLANILHA RESUMO'!#REF!</definedName>
    <definedName name="ITEM_3" localSheetId="10">'[2]2. PLANILHA SINTÉTICA'!#REF!</definedName>
    <definedName name="ITEM_3" localSheetId="11">[3]Orcamento!#REF!</definedName>
    <definedName name="ITEM_3" localSheetId="12">'12. CCU - PAVIMENTAÇÃO'!#REF!</definedName>
    <definedName name="ITEM_3" localSheetId="25">'25 PLANILHA ABC'!#REF!</definedName>
    <definedName name="ITEM_3" localSheetId="4">'4. CRONOGRAMA FÍSICO FINANCEIRO'!#REF!</definedName>
    <definedName name="ITEM_3" localSheetId="5">'5. CCU ADMINISTRAÇÃO LOCAL'!#REF!</definedName>
    <definedName name="ITEM_3" localSheetId="6">[3]Orcamento!#REF!</definedName>
    <definedName name="ITEM_3" localSheetId="7">'2. PLANILHA SINTÉTICA'!#REF!</definedName>
    <definedName name="ITEM_3" localSheetId="8">'2. PLANILHA SINTÉTICA'!#REF!</definedName>
    <definedName name="ITEM_3">'2. PLANILHA SINTÉTICA'!#REF!</definedName>
    <definedName name="ITEM_4" localSheetId="0">'0. INSTRUÇÕES'!#REF!</definedName>
    <definedName name="ITEM_4" localSheetId="1">'1. PLANILHA RESUMO'!#REF!</definedName>
    <definedName name="ITEM_4" localSheetId="10">'[2]2. PLANILHA SINTÉTICA'!#REF!</definedName>
    <definedName name="ITEM_4" localSheetId="11">[3]Orcamento!#REF!</definedName>
    <definedName name="ITEM_4" localSheetId="12">'12. CCU - PAVIMENTAÇÃO'!#REF!</definedName>
    <definedName name="ITEM_4" localSheetId="25">'25 PLANILHA ABC'!#REF!</definedName>
    <definedName name="ITEM_4" localSheetId="4">'4. CRONOGRAMA FÍSICO FINANCEIRO'!#REF!</definedName>
    <definedName name="ITEM_4" localSheetId="5">'5. CCU ADMINISTRAÇÃO LOCAL'!#REF!</definedName>
    <definedName name="ITEM_4" localSheetId="6">[3]Orcamento!#REF!</definedName>
    <definedName name="ITEM_4" localSheetId="7">'2. PLANILHA SINTÉTICA'!#REF!</definedName>
    <definedName name="ITEM_4" localSheetId="8">'2. PLANILHA SINTÉTICA'!#REF!</definedName>
    <definedName name="ITEM_4">'2. PLANILHA SINTÉTICA'!#REF!</definedName>
    <definedName name="ITEM_5" localSheetId="0">'0. INSTRUÇÕES'!#REF!</definedName>
    <definedName name="ITEM_5" localSheetId="1">'1. PLANILHA RESUMO'!#REF!</definedName>
    <definedName name="ITEM_5" localSheetId="10">'[2]2. PLANILHA SINTÉTICA'!#REF!</definedName>
    <definedName name="ITEM_5" localSheetId="11">[3]Orcamento!#REF!</definedName>
    <definedName name="ITEM_5" localSheetId="12">'12. CCU - PAVIMENTAÇÃO'!#REF!</definedName>
    <definedName name="ITEM_5" localSheetId="25">'25 PLANILHA ABC'!#REF!</definedName>
    <definedName name="ITEM_5" localSheetId="4">'4. CRONOGRAMA FÍSICO FINANCEIRO'!#REF!</definedName>
    <definedName name="ITEM_5" localSheetId="5">'5. CCU ADMINISTRAÇÃO LOCAL'!#REF!</definedName>
    <definedName name="ITEM_5" localSheetId="6">[3]Orcamento!#REF!</definedName>
    <definedName name="ITEM_5" localSheetId="7">'2. PLANILHA SINTÉTICA'!#REF!</definedName>
    <definedName name="ITEM_5" localSheetId="8">'2. PLANILHA SINTÉTICA'!#REF!</definedName>
    <definedName name="ITEM_5">'2. PLANILHA SINTÉTICA'!#REF!</definedName>
    <definedName name="ITEM_6" localSheetId="0">'0. INSTRUÇÕES'!#REF!</definedName>
    <definedName name="ITEM_6" localSheetId="1">'1. PLANILHA RESUMO'!#REF!</definedName>
    <definedName name="ITEM_6" localSheetId="10">'[2]2. PLANILHA SINTÉTICA'!#REF!</definedName>
    <definedName name="ITEM_6" localSheetId="11">[3]Orcamento!#REF!</definedName>
    <definedName name="ITEM_6" localSheetId="12">'12. CCU - PAVIMENTAÇÃO'!#REF!</definedName>
    <definedName name="ITEM_6" localSheetId="25">'25 PLANILHA ABC'!#REF!</definedName>
    <definedName name="ITEM_6" localSheetId="4">'4. CRONOGRAMA FÍSICO FINANCEIRO'!#REF!</definedName>
    <definedName name="ITEM_6" localSheetId="5">'5. CCU ADMINISTRAÇÃO LOCAL'!#REF!</definedName>
    <definedName name="ITEM_6" localSheetId="6">[3]Orcamento!#REF!</definedName>
    <definedName name="ITEM_6" localSheetId="7">'2. PLANILHA SINTÉTICA'!#REF!</definedName>
    <definedName name="ITEM_6" localSheetId="8">'2. PLANILHA SINTÉTICA'!#REF!</definedName>
    <definedName name="ITEM_6">'2. PLANILHA SINTÉTICA'!#REF!</definedName>
    <definedName name="ITEM_7" localSheetId="0">'0. INSTRUÇÕES'!#REF!</definedName>
    <definedName name="ITEM_7" localSheetId="1">'1. PLANILHA RESUMO'!#REF!</definedName>
    <definedName name="ITEM_7" localSheetId="10">'[2]2. PLANILHA SINTÉTICA'!#REF!</definedName>
    <definedName name="ITEM_7" localSheetId="11">[3]Orcamento!#REF!</definedName>
    <definedName name="ITEM_7" localSheetId="12">'12. CCU - PAVIMENTAÇÃO'!#REF!</definedName>
    <definedName name="ITEM_7" localSheetId="25">'25 PLANILHA ABC'!#REF!</definedName>
    <definedName name="ITEM_7" localSheetId="4">'4. CRONOGRAMA FÍSICO FINANCEIRO'!#REF!</definedName>
    <definedName name="ITEM_7" localSheetId="5">'5. CCU ADMINISTRAÇÃO LOCAL'!#REF!</definedName>
    <definedName name="ITEM_7" localSheetId="6">[3]Orcamento!#REF!</definedName>
    <definedName name="ITEM_7" localSheetId="7">'2. PLANILHA SINTÉTICA'!#REF!</definedName>
    <definedName name="ITEM_7" localSheetId="8">'2. PLANILHA SINTÉTICA'!#REF!</definedName>
    <definedName name="ITEM_7">'2. PLANILHA SINTÉTICA'!#REF!</definedName>
    <definedName name="ITEM_8" localSheetId="0">'0. INSTRUÇÕES'!#REF!</definedName>
    <definedName name="ITEM_8" localSheetId="1">'1. PLANILHA RESUMO'!#REF!</definedName>
    <definedName name="ITEM_8" localSheetId="10">'[2]2. PLANILHA SINTÉTICA'!#REF!</definedName>
    <definedName name="ITEM_8" localSheetId="11">[3]Orcamento!#REF!</definedName>
    <definedName name="ITEM_8" localSheetId="12">'12. CCU - PAVIMENTAÇÃO'!#REF!</definedName>
    <definedName name="ITEM_8" localSheetId="25">'25 PLANILHA ABC'!#REF!</definedName>
    <definedName name="ITEM_8" localSheetId="4">'4. CRONOGRAMA FÍSICO FINANCEIRO'!#REF!</definedName>
    <definedName name="ITEM_8" localSheetId="5">'5. CCU ADMINISTRAÇÃO LOCAL'!#REF!</definedName>
    <definedName name="ITEM_8" localSheetId="6">[3]Orcamento!#REF!</definedName>
    <definedName name="ITEM_8" localSheetId="7">'2. PLANILHA SINTÉTICA'!#REF!</definedName>
    <definedName name="ITEM_8" localSheetId="8">'2. PLANILHA SINTÉTICA'!#REF!</definedName>
    <definedName name="ITEM_8">'2. PLANILHA SINTÉTICA'!#REF!</definedName>
    <definedName name="ITEM_9" localSheetId="0">'0. INSTRUÇÕES'!#REF!</definedName>
    <definedName name="ITEM_9" localSheetId="1">'1. PLANILHA RESUMO'!#REF!</definedName>
    <definedName name="ITEM_9" localSheetId="10">'[2]2. PLANILHA SINTÉTICA'!#REF!</definedName>
    <definedName name="ITEM_9" localSheetId="11">[3]Orcamento!#REF!</definedName>
    <definedName name="ITEM_9" localSheetId="12">'12. CCU - PAVIMENTAÇÃO'!#REF!</definedName>
    <definedName name="ITEM_9" localSheetId="25">'25 PLANILHA ABC'!#REF!</definedName>
    <definedName name="ITEM_9" localSheetId="4">'4. CRONOGRAMA FÍSICO FINANCEIRO'!#REF!</definedName>
    <definedName name="ITEM_9" localSheetId="5">'5. CCU ADMINISTRAÇÃO LOCAL'!#REF!</definedName>
    <definedName name="ITEM_9" localSheetId="6">[3]Orcamento!#REF!</definedName>
    <definedName name="ITEM_9" localSheetId="7">'2. PLANILHA SINTÉTICA'!#REF!</definedName>
    <definedName name="ITEM_9" localSheetId="8">'2. PLANILHA SINTÉTICA'!#REF!</definedName>
    <definedName name="ITEM_9">'2. PLANILHA SINTÉTICA'!#REF!</definedName>
    <definedName name="MO_COM" localSheetId="0">#REF!</definedName>
    <definedName name="MO_COM" localSheetId="1">#REF!</definedName>
    <definedName name="MO_COM" localSheetId="10">#REF!</definedName>
    <definedName name="MO_COM" localSheetId="11">#REF!</definedName>
    <definedName name="MO_COM" localSheetId="12">#REF!</definedName>
    <definedName name="MO_COM" localSheetId="25">#REF!</definedName>
    <definedName name="MO_COM" localSheetId="4">#REF!</definedName>
    <definedName name="MO_COM" localSheetId="5">#REF!</definedName>
    <definedName name="MO_COM" localSheetId="7">#REF!</definedName>
    <definedName name="MO_COM" localSheetId="8">#REF!</definedName>
    <definedName name="MO_COM">#REF!</definedName>
    <definedName name="_xlnm.Print_Titles" localSheetId="0">'0. INSTRUÇÕES'!$2:$12</definedName>
    <definedName name="_xlnm.Print_Titles" localSheetId="1">'1. PLANILHA RESUMO'!$2:$10</definedName>
    <definedName name="_xlnm.Print_Titles" localSheetId="10">'10. CCU TRANSPORTE'!$3:$10</definedName>
    <definedName name="_xlnm.Print_Titles" localSheetId="11">'11. CCU DESMOBILIZAÇÃO EQPTO'!$1:$10</definedName>
    <definedName name="_xlnm.Print_Titles" localSheetId="12">'12. CCU - PAVIMENTAÇÃO'!$2:$9</definedName>
    <definedName name="_xlnm.Print_Titles" localSheetId="13">'13. CUSTOS DER - SERVIÇOS'!$2:$10</definedName>
    <definedName name="_xlnm.Print_Titles" localSheetId="14">'14. CUSTOS DER - MATERIAIS'!$2:$9</definedName>
    <definedName name="_xlnm.Print_Titles" localSheetId="15">'15. CUSTOS DER - MÃO DE OBRA'!$1:$11</definedName>
    <definedName name="_xlnm.Print_Titles" localSheetId="17">'17. CUSTOS DER - EQUIPAMENTOS'!$3:$14</definedName>
    <definedName name="_xlnm.Print_Titles" localSheetId="18">'18. CUSTOS DNIT - SERVIÇOS'!$2:$10</definedName>
    <definedName name="_xlnm.Print_Titles" localSheetId="19">'19. CUSTOS DNIT - MATERIAIS'!$2:$9</definedName>
    <definedName name="_xlnm.Print_Titles" localSheetId="2">'2. PLANILHA SINTÉTICA'!$3:$12</definedName>
    <definedName name="_xlnm.Print_Titles" localSheetId="20">'20. CUSTOS DNIT - EQUIPAMENTOS'!$1:$9</definedName>
    <definedName name="_xlnm.Print_Titles" localSheetId="21">'21. CUSTOS SINAPI - SERVIÇOS'!$2:$9</definedName>
    <definedName name="_xlnm.Print_Titles" localSheetId="22">'22. CUSTOS SINAPI - MATERIAIS'!$2:$10</definedName>
    <definedName name="_xlnm.Print_Titles" localSheetId="23">'23. CUSTOS COTAÇÕES DE MERCADO'!$2:$9</definedName>
    <definedName name="_xlnm.Print_Titles" localSheetId="24">'24. CÁLCULO DAS DISTÂNCIAS'!$2:$9</definedName>
    <definedName name="_xlnm.Print_Titles" localSheetId="25">'25 PLANILHA ABC'!$1:$10</definedName>
    <definedName name="_xlnm.Print_Titles" localSheetId="4">'4. CRONOGRAMA FÍSICO FINANCEIRO'!$A:$C,'4. CRONOGRAMA FÍSICO FINANCEIRO'!$3:$14</definedName>
    <definedName name="_xlnm.Print_Titles" localSheetId="5">'5. CCU ADMINISTRAÇÃO LOCAL'!$2:$9</definedName>
    <definedName name="_xlnm.Print_Titles" localSheetId="6">'6. CCU MOBILIZAÇÃO EQUIPTOS'!$1:$10</definedName>
    <definedName name="_xlnm.Print_Titles" localSheetId="7">'7. CCU SINALIZAÇÃO DE OBRA'!$3:$10</definedName>
    <definedName name="_xlnm.Print_Titles" localSheetId="8">'8. CCU PLACA DE OBRA'!$3:$9</definedName>
    <definedName name="_xlnm.Print_Titles" localSheetId="9">'9. CCU''S GERAIS AMEP'!$3:$9</definedName>
    <definedName name="TOTAL_ITEM_1" localSheetId="0">'0. INSTRUÇÕES'!#REF!</definedName>
    <definedName name="TOTAL_ITEM_1" localSheetId="1">'1. PLANILHA RESUMO'!#REF!</definedName>
    <definedName name="TOTAL_ITEM_1" localSheetId="10">'[2]2. PLANILHA SINTÉTICA'!#REF!</definedName>
    <definedName name="TOTAL_ITEM_1" localSheetId="11">[3]Orcamento!#REF!</definedName>
    <definedName name="TOTAL_ITEM_1" localSheetId="12">'12. CCU - PAVIMENTAÇÃO'!#REF!</definedName>
    <definedName name="TOTAL_ITEM_1" localSheetId="25">'25 PLANILHA ABC'!#REF!</definedName>
    <definedName name="TOTAL_ITEM_1" localSheetId="4">'4. CRONOGRAMA FÍSICO FINANCEIRO'!#REF!</definedName>
    <definedName name="TOTAL_ITEM_1" localSheetId="5">'5. CCU ADMINISTRAÇÃO LOCAL'!#REF!</definedName>
    <definedName name="TOTAL_ITEM_1" localSheetId="6">[3]Orcamento!#REF!</definedName>
    <definedName name="TOTAL_ITEM_1" localSheetId="7">'2. PLANILHA SINTÉTICA'!#REF!</definedName>
    <definedName name="TOTAL_ITEM_1" localSheetId="8">'2. PLANILHA SINTÉTICA'!#REF!</definedName>
    <definedName name="TOTAL_ITEM_1">'2. PLANILHA SINTÉTICA'!#REF!</definedName>
  </definedNames>
  <calcPr calcId="162913"/>
</workbook>
</file>

<file path=xl/calcChain.xml><?xml version="1.0" encoding="utf-8"?>
<calcChain xmlns="http://schemas.openxmlformats.org/spreadsheetml/2006/main">
  <c r="E205" i="168" l="1"/>
  <c r="F160" i="168" s="1"/>
  <c r="F170" i="168" l="1"/>
  <c r="F186" i="168"/>
  <c r="F165" i="168"/>
  <c r="F197" i="168"/>
  <c r="F176" i="168"/>
  <c r="F192" i="168"/>
  <c r="F202" i="168"/>
  <c r="F181" i="168"/>
  <c r="F14" i="168"/>
  <c r="F18" i="168"/>
  <c r="F22" i="168"/>
  <c r="F26" i="168"/>
  <c r="F30" i="168"/>
  <c r="F34" i="168"/>
  <c r="F38" i="168"/>
  <c r="F42" i="168"/>
  <c r="F46" i="168"/>
  <c r="F50" i="168"/>
  <c r="F54" i="168"/>
  <c r="F58" i="168"/>
  <c r="F62" i="168"/>
  <c r="F66" i="168"/>
  <c r="F70" i="168"/>
  <c r="F74" i="168"/>
  <c r="F78" i="168"/>
  <c r="F82" i="168"/>
  <c r="F86" i="168"/>
  <c r="F90" i="168"/>
  <c r="F94" i="168"/>
  <c r="F98" i="168"/>
  <c r="F102" i="168"/>
  <c r="F106" i="168"/>
  <c r="F110" i="168"/>
  <c r="F114" i="168"/>
  <c r="F118" i="168"/>
  <c r="F122" i="168"/>
  <c r="F126" i="168"/>
  <c r="F130" i="168"/>
  <c r="F134" i="168"/>
  <c r="F138" i="168"/>
  <c r="F142" i="168"/>
  <c r="F15" i="168"/>
  <c r="F19" i="168"/>
  <c r="F23" i="168"/>
  <c r="F27" i="168"/>
  <c r="F31" i="168"/>
  <c r="F35" i="168"/>
  <c r="F39" i="168"/>
  <c r="F43" i="168"/>
  <c r="F47" i="168"/>
  <c r="F51" i="168"/>
  <c r="F55" i="168"/>
  <c r="F59" i="168"/>
  <c r="F63" i="168"/>
  <c r="F67" i="168"/>
  <c r="F71" i="168"/>
  <c r="F75" i="168"/>
  <c r="F79" i="168"/>
  <c r="F83" i="168"/>
  <c r="F87" i="168"/>
  <c r="F91" i="168"/>
  <c r="F95" i="168"/>
  <c r="F99" i="168"/>
  <c r="F103" i="168"/>
  <c r="F107" i="168"/>
  <c r="F111" i="168"/>
  <c r="F115" i="168"/>
  <c r="F119" i="168"/>
  <c r="F123" i="168"/>
  <c r="F127" i="168"/>
  <c r="F131" i="168"/>
  <c r="F135" i="168"/>
  <c r="F139" i="168"/>
  <c r="F143" i="168"/>
  <c r="F147" i="168"/>
  <c r="F151" i="168"/>
  <c r="F155" i="168"/>
  <c r="F159" i="168"/>
  <c r="F163" i="168"/>
  <c r="F167" i="168"/>
  <c r="F171" i="168"/>
  <c r="F175" i="168"/>
  <c r="F179" i="168"/>
  <c r="F183" i="168"/>
  <c r="F187" i="168"/>
  <c r="F191" i="168"/>
  <c r="F195" i="168"/>
  <c r="F199" i="168"/>
  <c r="F203" i="168"/>
  <c r="F12" i="168"/>
  <c r="F16" i="168"/>
  <c r="F20" i="168"/>
  <c r="F24" i="168"/>
  <c r="F28" i="168"/>
  <c r="F32" i="168"/>
  <c r="F36" i="168"/>
  <c r="F40" i="168"/>
  <c r="F44" i="168"/>
  <c r="F48" i="168"/>
  <c r="F52" i="168"/>
  <c r="F56" i="168"/>
  <c r="F60" i="168"/>
  <c r="F64" i="168"/>
  <c r="F68" i="168"/>
  <c r="F72" i="168"/>
  <c r="F76" i="168"/>
  <c r="F80" i="168"/>
  <c r="F84" i="168"/>
  <c r="F88" i="168"/>
  <c r="F92" i="168"/>
  <c r="F96" i="168"/>
  <c r="F100" i="168"/>
  <c r="F104" i="168"/>
  <c r="F108" i="168"/>
  <c r="F112" i="168"/>
  <c r="F116" i="168"/>
  <c r="F120" i="168"/>
  <c r="F124" i="168"/>
  <c r="F128" i="168"/>
  <c r="F132" i="168"/>
  <c r="F136" i="168"/>
  <c r="F201" i="168"/>
  <c r="F196" i="168"/>
  <c r="F190" i="168"/>
  <c r="F185" i="168"/>
  <c r="F180" i="168"/>
  <c r="F174" i="168"/>
  <c r="F169" i="168"/>
  <c r="F164" i="168"/>
  <c r="F158" i="168"/>
  <c r="F153" i="168"/>
  <c r="F148" i="168"/>
  <c r="F141" i="168"/>
  <c r="F129" i="168"/>
  <c r="F113" i="168"/>
  <c r="F97" i="168"/>
  <c r="F81" i="168"/>
  <c r="F65" i="168"/>
  <c r="F49" i="168"/>
  <c r="F33" i="168"/>
  <c r="F17" i="168"/>
  <c r="F11" i="168"/>
  <c r="F200" i="168"/>
  <c r="F194" i="168"/>
  <c r="F189" i="168"/>
  <c r="F184" i="168"/>
  <c r="F178" i="168"/>
  <c r="F173" i="168"/>
  <c r="F168" i="168"/>
  <c r="F162" i="168"/>
  <c r="F157" i="168"/>
  <c r="F152" i="168"/>
  <c r="F146" i="168"/>
  <c r="F140" i="168"/>
  <c r="F125" i="168"/>
  <c r="F109" i="168"/>
  <c r="F93" i="168"/>
  <c r="F77" i="168"/>
  <c r="F61" i="168"/>
  <c r="F45" i="168"/>
  <c r="F29" i="168"/>
  <c r="F13" i="168"/>
  <c r="F204" i="168"/>
  <c r="F198" i="168"/>
  <c r="F193" i="168"/>
  <c r="F188" i="168"/>
  <c r="F182" i="168"/>
  <c r="F177" i="168"/>
  <c r="F172" i="168"/>
  <c r="F166" i="168"/>
  <c r="F161" i="168"/>
  <c r="F156" i="168"/>
  <c r="F150" i="168"/>
  <c r="F145" i="168"/>
  <c r="F137" i="168"/>
  <c r="F121" i="168"/>
  <c r="F105" i="168"/>
  <c r="F89" i="168"/>
  <c r="F73" i="168"/>
  <c r="F57" i="168"/>
  <c r="F41" i="168"/>
  <c r="F25" i="168"/>
  <c r="F154" i="168"/>
  <c r="F149" i="168"/>
  <c r="F144" i="168"/>
  <c r="F133" i="168"/>
  <c r="F117" i="168"/>
  <c r="F101" i="168"/>
  <c r="F85" i="168"/>
  <c r="F69" i="168"/>
  <c r="F53" i="168"/>
  <c r="F37" i="168"/>
  <c r="F21" i="168"/>
  <c r="H627" i="1"/>
  <c r="H644" i="1"/>
  <c r="D153" i="168"/>
  <c r="B153" i="168"/>
  <c r="D174" i="168"/>
  <c r="B174" i="168"/>
  <c r="D82" i="168"/>
  <c r="B82" i="168"/>
  <c r="D78" i="168"/>
  <c r="B78" i="168"/>
  <c r="D56" i="168"/>
  <c r="B56" i="168"/>
  <c r="D75" i="168"/>
  <c r="B75" i="168"/>
  <c r="D175" i="168"/>
  <c r="B175" i="168"/>
  <c r="D145" i="168"/>
  <c r="B145" i="168"/>
  <c r="D119" i="168"/>
  <c r="B119" i="168"/>
  <c r="D47" i="168"/>
  <c r="B47" i="168"/>
  <c r="D95" i="168"/>
  <c r="B95" i="168"/>
  <c r="D193" i="168"/>
  <c r="B193" i="168"/>
  <c r="D28" i="168"/>
  <c r="B28" i="168"/>
  <c r="D26" i="168"/>
  <c r="B26" i="168"/>
  <c r="D98" i="168"/>
  <c r="B98" i="168"/>
  <c r="D93" i="168"/>
  <c r="B93" i="168"/>
  <c r="D200" i="168"/>
  <c r="B200" i="168"/>
  <c r="D51" i="168"/>
  <c r="B51" i="168"/>
  <c r="D121" i="168"/>
  <c r="B121" i="168"/>
  <c r="D176" i="168"/>
  <c r="B176" i="168"/>
  <c r="D152" i="168"/>
  <c r="B152" i="168"/>
  <c r="D197" i="168"/>
  <c r="B197" i="168"/>
  <c r="D185" i="168"/>
  <c r="B185" i="168"/>
  <c r="D52" i="168"/>
  <c r="B52" i="168"/>
  <c r="D158" i="168"/>
  <c r="B158" i="168"/>
  <c r="D204" i="168"/>
  <c r="B204" i="168"/>
  <c r="D203" i="168"/>
  <c r="B203" i="168"/>
  <c r="D161" i="168"/>
  <c r="B161" i="168"/>
  <c r="D164" i="168"/>
  <c r="B164" i="168"/>
  <c r="D112" i="168"/>
  <c r="B112" i="168"/>
  <c r="D162" i="168"/>
  <c r="B162" i="168"/>
  <c r="D138" i="168"/>
  <c r="B138" i="168"/>
  <c r="D42" i="168"/>
  <c r="B42" i="168"/>
  <c r="D189" i="168"/>
  <c r="B189" i="168"/>
  <c r="D40" i="168"/>
  <c r="B40" i="168"/>
  <c r="D115" i="168"/>
  <c r="B115" i="168"/>
  <c r="D87" i="168"/>
  <c r="B87" i="168"/>
  <c r="D88" i="168"/>
  <c r="B88" i="168"/>
  <c r="D29" i="168"/>
  <c r="B29" i="168"/>
  <c r="D39" i="168"/>
  <c r="B39" i="168"/>
  <c r="D21" i="168"/>
  <c r="B21" i="168"/>
  <c r="D23" i="168"/>
  <c r="B23" i="168"/>
  <c r="D11" i="168"/>
  <c r="B11" i="168"/>
  <c r="D36" i="168"/>
  <c r="B36" i="168"/>
  <c r="D163" i="168"/>
  <c r="B163" i="168"/>
  <c r="D111" i="168"/>
  <c r="B111" i="168"/>
  <c r="D128" i="168"/>
  <c r="B128" i="168"/>
  <c r="D180" i="168"/>
  <c r="B180" i="168"/>
  <c r="D38" i="168"/>
  <c r="B38" i="168"/>
  <c r="D127" i="168"/>
  <c r="B127" i="168"/>
  <c r="D12" i="168"/>
  <c r="B12" i="168"/>
  <c r="D13" i="168"/>
  <c r="B13" i="168"/>
  <c r="D31" i="168"/>
  <c r="B31" i="168"/>
  <c r="D160" i="168"/>
  <c r="B160" i="168"/>
  <c r="D107" i="168"/>
  <c r="B107" i="168"/>
  <c r="D60" i="168"/>
  <c r="B60" i="168"/>
  <c r="D83" i="168"/>
  <c r="B83" i="168"/>
  <c r="D59" i="168"/>
  <c r="B59" i="168"/>
  <c r="D90" i="168"/>
  <c r="B90" i="168"/>
  <c r="D81" i="168"/>
  <c r="B81" i="168"/>
  <c r="D80" i="168"/>
  <c r="B80" i="168"/>
  <c r="D64" i="168"/>
  <c r="B64" i="168"/>
  <c r="D131" i="168"/>
  <c r="B131" i="168"/>
  <c r="D46" i="168"/>
  <c r="B46" i="168"/>
  <c r="D65" i="168"/>
  <c r="B65" i="168"/>
  <c r="D116" i="168"/>
  <c r="B116" i="168"/>
  <c r="D202" i="168"/>
  <c r="B202" i="168"/>
  <c r="D123" i="168"/>
  <c r="B123" i="168"/>
  <c r="D181" i="168"/>
  <c r="B181" i="168"/>
  <c r="D149" i="168"/>
  <c r="B149" i="168"/>
  <c r="D101" i="168"/>
  <c r="B101" i="168"/>
  <c r="D151" i="168"/>
  <c r="B151" i="168"/>
  <c r="D126" i="168"/>
  <c r="B126" i="168"/>
  <c r="D173" i="168"/>
  <c r="B173" i="168"/>
  <c r="D198" i="168"/>
  <c r="B198" i="168"/>
  <c r="D195" i="168"/>
  <c r="B195" i="168"/>
  <c r="D187" i="168"/>
  <c r="B187" i="168"/>
  <c r="D182" i="168"/>
  <c r="B182" i="168"/>
  <c r="D178" i="168"/>
  <c r="B178" i="168"/>
  <c r="D179" i="168"/>
  <c r="B179" i="168"/>
  <c r="D94" i="168"/>
  <c r="B94" i="168"/>
  <c r="D109" i="168"/>
  <c r="B109" i="168"/>
  <c r="D85" i="168"/>
  <c r="B85" i="168"/>
  <c r="D105" i="168"/>
  <c r="B105" i="168"/>
  <c r="D44" i="168"/>
  <c r="B44" i="168"/>
  <c r="D19" i="168"/>
  <c r="B19" i="168"/>
  <c r="D30" i="168"/>
  <c r="B30" i="168"/>
  <c r="D146" i="168"/>
  <c r="B146" i="168"/>
  <c r="D133" i="168"/>
  <c r="B133" i="168"/>
  <c r="D140" i="168"/>
  <c r="B140" i="168"/>
  <c r="D69" i="168"/>
  <c r="B69" i="168"/>
  <c r="D136" i="168"/>
  <c r="B136" i="168"/>
  <c r="D102" i="168"/>
  <c r="B102" i="168"/>
  <c r="D159" i="168"/>
  <c r="B159" i="168"/>
  <c r="D113" i="168"/>
  <c r="B113" i="168"/>
  <c r="D196" i="168"/>
  <c r="B196" i="168"/>
  <c r="D134" i="168"/>
  <c r="B134" i="168"/>
  <c r="D73" i="168"/>
  <c r="B73" i="168"/>
  <c r="D71" i="168"/>
  <c r="B71" i="168"/>
  <c r="D137" i="168"/>
  <c r="B137" i="168"/>
  <c r="D110" i="168"/>
  <c r="B110" i="168"/>
  <c r="D104" i="168"/>
  <c r="B104" i="168"/>
  <c r="D139" i="168"/>
  <c r="B139" i="168"/>
  <c r="D91" i="168"/>
  <c r="B91" i="168"/>
  <c r="D67" i="168"/>
  <c r="B67" i="168"/>
  <c r="D184" i="168"/>
  <c r="B184" i="168"/>
  <c r="D150" i="168"/>
  <c r="B150" i="168"/>
  <c r="D117" i="168"/>
  <c r="B117" i="168"/>
  <c r="D103" i="168"/>
  <c r="B103" i="168"/>
  <c r="D190" i="168"/>
  <c r="B190" i="168"/>
  <c r="D108" i="168"/>
  <c r="B108" i="168"/>
  <c r="D100" i="168"/>
  <c r="B100" i="168"/>
  <c r="D86" i="168"/>
  <c r="B86" i="168"/>
  <c r="D34" i="168"/>
  <c r="B34" i="168"/>
  <c r="D118" i="168"/>
  <c r="B118" i="168"/>
  <c r="D132" i="168"/>
  <c r="B132" i="168"/>
  <c r="D79" i="168"/>
  <c r="B79" i="168"/>
  <c r="D147" i="168"/>
  <c r="B147" i="168"/>
  <c r="D157" i="168"/>
  <c r="B157" i="168"/>
  <c r="D170" i="168"/>
  <c r="B170" i="168"/>
  <c r="D186" i="168"/>
  <c r="B186" i="168"/>
  <c r="D156" i="168"/>
  <c r="B156" i="168"/>
  <c r="D141" i="168"/>
  <c r="B141" i="168"/>
  <c r="D166" i="168"/>
  <c r="B166" i="168"/>
  <c r="D167" i="168"/>
  <c r="B167" i="168"/>
  <c r="D169" i="168"/>
  <c r="B169" i="168"/>
  <c r="D99" i="168"/>
  <c r="B99" i="168"/>
  <c r="D120" i="168"/>
  <c r="B120" i="168"/>
  <c r="D53" i="168"/>
  <c r="B53" i="168"/>
  <c r="D106" i="168"/>
  <c r="B106" i="168"/>
  <c r="D77" i="168"/>
  <c r="B77" i="168"/>
  <c r="D125" i="168"/>
  <c r="B125" i="168"/>
  <c r="D191" i="168"/>
  <c r="B191" i="168"/>
  <c r="D114" i="168"/>
  <c r="B114" i="168"/>
  <c r="D124" i="168"/>
  <c r="B124" i="168"/>
  <c r="B142" i="168"/>
  <c r="B171" i="168"/>
  <c r="B97" i="168"/>
  <c r="B72" i="168"/>
  <c r="B32" i="168"/>
  <c r="B24" i="168"/>
  <c r="B54" i="168"/>
  <c r="B58" i="168"/>
  <c r="B45" i="168"/>
  <c r="B48" i="168"/>
  <c r="B62" i="168"/>
  <c r="B76" i="168"/>
  <c r="B41" i="168"/>
  <c r="B22" i="168"/>
  <c r="F205" i="168" l="1"/>
  <c r="G11" i="168"/>
  <c r="G12" i="168" s="1"/>
  <c r="AU17" i="151"/>
  <c r="AU18" i="151"/>
  <c r="AU19" i="151"/>
  <c r="AU20" i="151"/>
  <c r="AU21" i="151"/>
  <c r="AU22" i="151"/>
  <c r="AU24" i="151"/>
  <c r="AU25" i="151"/>
  <c r="AU26" i="151"/>
  <c r="AU27" i="151"/>
  <c r="AU28" i="151"/>
  <c r="AU29" i="151"/>
  <c r="AU30" i="151"/>
  <c r="AU31" i="151"/>
  <c r="AU32" i="151"/>
  <c r="AU34" i="151"/>
  <c r="AU35" i="151"/>
  <c r="AU36" i="151"/>
  <c r="AU37" i="151"/>
  <c r="AU38" i="151"/>
  <c r="AU39" i="151"/>
  <c r="AU40" i="151"/>
  <c r="AU42" i="151"/>
  <c r="AU43" i="151"/>
  <c r="AU44" i="151"/>
  <c r="AU45" i="151"/>
  <c r="AU46" i="151"/>
  <c r="AU47" i="151"/>
  <c r="AU48" i="151"/>
  <c r="AU49" i="151"/>
  <c r="AU51" i="151"/>
  <c r="AU52" i="151"/>
  <c r="AU53" i="151"/>
  <c r="AU54" i="151"/>
  <c r="AU55" i="151"/>
  <c r="AU56" i="151"/>
  <c r="AU57" i="151"/>
  <c r="AU58" i="151"/>
  <c r="AU60" i="151"/>
  <c r="AU61" i="151"/>
  <c r="AU62" i="151"/>
  <c r="AU63" i="151"/>
  <c r="AU64" i="151"/>
  <c r="AU65" i="151"/>
  <c r="AU66" i="151"/>
  <c r="AU67" i="151"/>
  <c r="G13" i="168" l="1"/>
  <c r="H299" i="167"/>
  <c r="J299" i="167" s="1"/>
  <c r="J293" i="167" s="1"/>
  <c r="H298" i="167"/>
  <c r="J298" i="167" s="1"/>
  <c r="H297" i="167"/>
  <c r="J297" i="167" s="1"/>
  <c r="H296" i="167"/>
  <c r="J296" i="167" s="1"/>
  <c r="H295" i="167"/>
  <c r="J295" i="167" s="1"/>
  <c r="G14" i="168" l="1"/>
  <c r="G292" i="167"/>
  <c r="G289" i="167"/>
  <c r="H289" i="167" s="1"/>
  <c r="G286" i="167"/>
  <c r="G283" i="167"/>
  <c r="G280" i="167"/>
  <c r="G277" i="167"/>
  <c r="G274" i="167"/>
  <c r="G271" i="167"/>
  <c r="G270" i="167"/>
  <c r="G267" i="167"/>
  <c r="G266" i="167"/>
  <c r="G265" i="167"/>
  <c r="G262" i="167"/>
  <c r="G261" i="167"/>
  <c r="G260" i="167"/>
  <c r="G257" i="167"/>
  <c r="G254" i="167"/>
  <c r="G251" i="167"/>
  <c r="G250" i="167"/>
  <c r="G249" i="167"/>
  <c r="G248" i="167"/>
  <c r="G247" i="167"/>
  <c r="G244" i="167"/>
  <c r="G241" i="167"/>
  <c r="G240" i="167"/>
  <c r="G239" i="167"/>
  <c r="G238" i="167"/>
  <c r="G235" i="167"/>
  <c r="G234" i="167"/>
  <c r="G233" i="167"/>
  <c r="G230" i="167"/>
  <c r="G229" i="167"/>
  <c r="G228" i="167"/>
  <c r="G225" i="167"/>
  <c r="G222" i="167"/>
  <c r="G221" i="167"/>
  <c r="G220" i="167"/>
  <c r="G217" i="167"/>
  <c r="G216" i="167"/>
  <c r="G213" i="167"/>
  <c r="G212" i="167"/>
  <c r="G211" i="167"/>
  <c r="G210" i="167"/>
  <c r="G207" i="167"/>
  <c r="G204" i="167"/>
  <c r="G201" i="167"/>
  <c r="G198" i="167"/>
  <c r="G195" i="167"/>
  <c r="G192" i="167"/>
  <c r="G189" i="167"/>
  <c r="G186" i="167"/>
  <c r="G183" i="167"/>
  <c r="G180" i="167"/>
  <c r="G177" i="167"/>
  <c r="G176" i="167"/>
  <c r="G175" i="167"/>
  <c r="G172" i="167"/>
  <c r="G169" i="167"/>
  <c r="G168" i="167"/>
  <c r="G165" i="167"/>
  <c r="G164" i="167"/>
  <c r="G161" i="167"/>
  <c r="G160" i="167"/>
  <c r="G157" i="167"/>
  <c r="G154" i="167"/>
  <c r="G153" i="167"/>
  <c r="G152" i="167"/>
  <c r="G151" i="167"/>
  <c r="G148" i="167"/>
  <c r="G145" i="167"/>
  <c r="G144" i="167"/>
  <c r="G143" i="167"/>
  <c r="G140" i="167"/>
  <c r="G139" i="167"/>
  <c r="G136" i="167"/>
  <c r="G135" i="167"/>
  <c r="G132" i="167"/>
  <c r="G131" i="167"/>
  <c r="G130" i="167"/>
  <c r="G129" i="167"/>
  <c r="G128" i="167"/>
  <c r="G125" i="167"/>
  <c r="G124" i="167"/>
  <c r="G123" i="167"/>
  <c r="G122" i="167"/>
  <c r="G121" i="167"/>
  <c r="G118" i="167"/>
  <c r="G117" i="167"/>
  <c r="G116" i="167"/>
  <c r="G113" i="167"/>
  <c r="G112" i="167"/>
  <c r="G111" i="167"/>
  <c r="G108" i="167"/>
  <c r="G107" i="167"/>
  <c r="G106" i="167"/>
  <c r="G103" i="167"/>
  <c r="G102" i="167"/>
  <c r="G101" i="167"/>
  <c r="G100" i="167"/>
  <c r="G97" i="167"/>
  <c r="G96" i="167"/>
  <c r="G95" i="167"/>
  <c r="G94" i="167"/>
  <c r="G91" i="167"/>
  <c r="G90" i="167"/>
  <c r="G89" i="167"/>
  <c r="G88" i="167"/>
  <c r="G85" i="167"/>
  <c r="G84" i="167"/>
  <c r="G83" i="167"/>
  <c r="G82" i="167"/>
  <c r="G79" i="167"/>
  <c r="G78" i="167"/>
  <c r="G77" i="167"/>
  <c r="G76" i="167"/>
  <c r="G73" i="167"/>
  <c r="G72" i="167"/>
  <c r="G71" i="167"/>
  <c r="G70" i="167"/>
  <c r="G67" i="167"/>
  <c r="G66" i="167"/>
  <c r="G65" i="167"/>
  <c r="G64" i="167"/>
  <c r="G63" i="167"/>
  <c r="G60" i="167"/>
  <c r="G59" i="167"/>
  <c r="G58" i="167"/>
  <c r="G55" i="167"/>
  <c r="G54" i="167"/>
  <c r="G53" i="167"/>
  <c r="G52" i="167"/>
  <c r="G51" i="167"/>
  <c r="G48" i="167"/>
  <c r="G47" i="167"/>
  <c r="G46" i="167"/>
  <c r="G43" i="167"/>
  <c r="G42" i="167"/>
  <c r="G41" i="167"/>
  <c r="G40" i="167"/>
  <c r="G39" i="167"/>
  <c r="G36" i="167"/>
  <c r="G33" i="167"/>
  <c r="G32" i="167"/>
  <c r="G29" i="167"/>
  <c r="G28" i="167"/>
  <c r="G27" i="167"/>
  <c r="G26" i="167"/>
  <c r="G23" i="167"/>
  <c r="G20" i="167"/>
  <c r="G19" i="167"/>
  <c r="G18" i="167"/>
  <c r="G15" i="167"/>
  <c r="G14" i="167"/>
  <c r="F292" i="167"/>
  <c r="F289" i="167"/>
  <c r="F286" i="167"/>
  <c r="F283" i="167"/>
  <c r="F280" i="167"/>
  <c r="H280" i="167" s="1"/>
  <c r="F277" i="167"/>
  <c r="H277" i="167" s="1"/>
  <c r="F274" i="167"/>
  <c r="H274" i="167" s="1"/>
  <c r="F271" i="167"/>
  <c r="H271" i="167" s="1"/>
  <c r="F270" i="167"/>
  <c r="H270" i="167" s="1"/>
  <c r="F267" i="167"/>
  <c r="F266" i="167"/>
  <c r="F265" i="167"/>
  <c r="F262" i="167"/>
  <c r="F261" i="167"/>
  <c r="F260" i="167"/>
  <c r="F257" i="167"/>
  <c r="F254" i="167"/>
  <c r="F251" i="167"/>
  <c r="H251" i="167" s="1"/>
  <c r="F250" i="167"/>
  <c r="H250" i="167" s="1"/>
  <c r="F249" i="167"/>
  <c r="H249" i="167" s="1"/>
  <c r="F248" i="167"/>
  <c r="H248" i="167" s="1"/>
  <c r="F247" i="167"/>
  <c r="H247" i="167" s="1"/>
  <c r="F244" i="167"/>
  <c r="F241" i="167"/>
  <c r="H241" i="167" s="1"/>
  <c r="F240" i="167"/>
  <c r="F239" i="167"/>
  <c r="F238" i="167"/>
  <c r="F235" i="167"/>
  <c r="F234" i="167"/>
  <c r="F233" i="167"/>
  <c r="H233" i="167" s="1"/>
  <c r="F230" i="167"/>
  <c r="H230" i="167" s="1"/>
  <c r="F229" i="167"/>
  <c r="H229" i="167" s="1"/>
  <c r="F228" i="167"/>
  <c r="H228" i="167" s="1"/>
  <c r="F225" i="167"/>
  <c r="H225" i="167" s="1"/>
  <c r="F222" i="167"/>
  <c r="F221" i="167"/>
  <c r="F220" i="167"/>
  <c r="F217" i="167"/>
  <c r="F216" i="167"/>
  <c r="F213" i="167"/>
  <c r="F212" i="167"/>
  <c r="F211" i="167"/>
  <c r="H211" i="167" s="1"/>
  <c r="F210" i="167"/>
  <c r="H210" i="167" s="1"/>
  <c r="F207" i="167"/>
  <c r="F204" i="167"/>
  <c r="F201" i="167"/>
  <c r="F198" i="167"/>
  <c r="F195" i="167"/>
  <c r="F192" i="167"/>
  <c r="F189" i="167"/>
  <c r="F186" i="167"/>
  <c r="F183" i="167"/>
  <c r="F180" i="167"/>
  <c r="F177" i="167"/>
  <c r="H177" i="167" s="1"/>
  <c r="F176" i="167"/>
  <c r="H176" i="167" s="1"/>
  <c r="F175" i="167"/>
  <c r="H175" i="167" s="1"/>
  <c r="F172" i="167"/>
  <c r="H172" i="167" s="1"/>
  <c r="F169" i="167"/>
  <c r="F168" i="167"/>
  <c r="F165" i="167"/>
  <c r="F164" i="167"/>
  <c r="F161" i="167"/>
  <c r="F160" i="167"/>
  <c r="F157" i="167"/>
  <c r="F154" i="167"/>
  <c r="F153" i="167"/>
  <c r="H153" i="167" s="1"/>
  <c r="F152" i="167"/>
  <c r="H152" i="167" s="1"/>
  <c r="F151" i="167"/>
  <c r="H151" i="167" s="1"/>
  <c r="F148" i="167"/>
  <c r="H148" i="167" s="1"/>
  <c r="F145" i="167"/>
  <c r="F144" i="167"/>
  <c r="F143" i="167"/>
  <c r="H143" i="167" s="1"/>
  <c r="F140" i="167"/>
  <c r="F139" i="167"/>
  <c r="F136" i="167"/>
  <c r="F135" i="167"/>
  <c r="F132" i="167"/>
  <c r="F131" i="167"/>
  <c r="H131" i="167" s="1"/>
  <c r="F130" i="167"/>
  <c r="H130" i="167" s="1"/>
  <c r="F129" i="167"/>
  <c r="H129" i="167" s="1"/>
  <c r="F128" i="167"/>
  <c r="H128" i="167" s="1"/>
  <c r="F125" i="167"/>
  <c r="F124" i="167"/>
  <c r="F123" i="167"/>
  <c r="H123" i="167" s="1"/>
  <c r="F122" i="167"/>
  <c r="F121" i="167"/>
  <c r="F118" i="167"/>
  <c r="F117" i="167"/>
  <c r="F116" i="167"/>
  <c r="F113" i="167"/>
  <c r="H113" i="167" s="1"/>
  <c r="F112" i="167"/>
  <c r="H112" i="167" s="1"/>
  <c r="F111" i="167"/>
  <c r="H111" i="167" s="1"/>
  <c r="F108" i="167"/>
  <c r="H108" i="167" s="1"/>
  <c r="F107" i="167"/>
  <c r="H107" i="167" s="1"/>
  <c r="F106" i="167"/>
  <c r="F103" i="167"/>
  <c r="H103" i="167" s="1"/>
  <c r="F102" i="167"/>
  <c r="F101" i="167"/>
  <c r="F100" i="167"/>
  <c r="F97" i="167"/>
  <c r="F96" i="167"/>
  <c r="F95" i="167"/>
  <c r="H95" i="167" s="1"/>
  <c r="F94" i="167"/>
  <c r="H94" i="167" s="1"/>
  <c r="F91" i="167"/>
  <c r="H91" i="167" s="1"/>
  <c r="F90" i="167"/>
  <c r="H90" i="167" s="1"/>
  <c r="F89" i="167"/>
  <c r="F88" i="167"/>
  <c r="F85" i="167"/>
  <c r="H85" i="167" s="1"/>
  <c r="F84" i="167"/>
  <c r="F83" i="167"/>
  <c r="F82" i="167"/>
  <c r="F79" i="167"/>
  <c r="F78" i="167"/>
  <c r="F77" i="167"/>
  <c r="H77" i="167" s="1"/>
  <c r="F76" i="167"/>
  <c r="H76" i="167" s="1"/>
  <c r="F73" i="167"/>
  <c r="H73" i="167" s="1"/>
  <c r="F72" i="167"/>
  <c r="H72" i="167" s="1"/>
  <c r="F71" i="167"/>
  <c r="H71" i="167" s="1"/>
  <c r="F70" i="167"/>
  <c r="F67" i="167"/>
  <c r="F66" i="167"/>
  <c r="F65" i="167"/>
  <c r="F64" i="167"/>
  <c r="F63" i="167"/>
  <c r="F60" i="167"/>
  <c r="F59" i="167"/>
  <c r="H59" i="167" s="1"/>
  <c r="F58" i="167"/>
  <c r="H58" i="167" s="1"/>
  <c r="F55" i="167"/>
  <c r="H55" i="167" s="1"/>
  <c r="F54" i="167"/>
  <c r="H54" i="167" s="1"/>
  <c r="F53" i="167"/>
  <c r="H53" i="167" s="1"/>
  <c r="F52" i="167"/>
  <c r="F51" i="167"/>
  <c r="H51" i="167" s="1"/>
  <c r="F48" i="167"/>
  <c r="F47" i="167"/>
  <c r="F46" i="167"/>
  <c r="F43" i="167"/>
  <c r="F42" i="167"/>
  <c r="F41" i="167"/>
  <c r="H41" i="167" s="1"/>
  <c r="F40" i="167"/>
  <c r="H40" i="167" s="1"/>
  <c r="F39" i="167"/>
  <c r="H39" i="167" s="1"/>
  <c r="F36" i="167"/>
  <c r="H36" i="167" s="1"/>
  <c r="F33" i="167"/>
  <c r="F32" i="167"/>
  <c r="F29" i="167"/>
  <c r="F28" i="167"/>
  <c r="F27" i="167"/>
  <c r="F26" i="167"/>
  <c r="F23" i="167"/>
  <c r="F20" i="167"/>
  <c r="F19" i="167"/>
  <c r="H19" i="167" s="1"/>
  <c r="F18" i="167"/>
  <c r="H18" i="167" s="1"/>
  <c r="F15" i="167"/>
  <c r="H15" i="167" s="1"/>
  <c r="F14" i="167"/>
  <c r="H14" i="167" s="1"/>
  <c r="G13" i="167"/>
  <c r="F13" i="167"/>
  <c r="G15" i="168" l="1"/>
  <c r="G16" i="168" s="1"/>
  <c r="G17" i="168" s="1"/>
  <c r="G18" i="168" s="1"/>
  <c r="G19" i="168" s="1"/>
  <c r="G20" i="168" s="1"/>
  <c r="G21" i="168" s="1"/>
  <c r="G22" i="168" s="1"/>
  <c r="G23" i="168" s="1"/>
  <c r="G24" i="168" s="1"/>
  <c r="G25" i="168" s="1"/>
  <c r="G26" i="168" s="1"/>
  <c r="G27" i="168" s="1"/>
  <c r="G28" i="168" s="1"/>
  <c r="G29" i="168" s="1"/>
  <c r="G30" i="168" s="1"/>
  <c r="G31" i="168" s="1"/>
  <c r="G32" i="168" s="1"/>
  <c r="G33" i="168" s="1"/>
  <c r="G34" i="168" s="1"/>
  <c r="G35" i="168" s="1"/>
  <c r="G36" i="168" s="1"/>
  <c r="G37" i="168" s="1"/>
  <c r="G38" i="168" s="1"/>
  <c r="G39" i="168" s="1"/>
  <c r="G40" i="168" s="1"/>
  <c r="G41" i="168" s="1"/>
  <c r="G42" i="168" s="1"/>
  <c r="G43" i="168" s="1"/>
  <c r="G44" i="168" s="1"/>
  <c r="G45" i="168" s="1"/>
  <c r="G46" i="168" s="1"/>
  <c r="G47" i="168" s="1"/>
  <c r="G48" i="168" s="1"/>
  <c r="G49" i="168" s="1"/>
  <c r="G50" i="168" s="1"/>
  <c r="G51" i="168" s="1"/>
  <c r="G52" i="168" s="1"/>
  <c r="G53" i="168" s="1"/>
  <c r="G54" i="168" s="1"/>
  <c r="G55" i="168" s="1"/>
  <c r="G56" i="168" s="1"/>
  <c r="G57" i="168" s="1"/>
  <c r="G58" i="168" s="1"/>
  <c r="G59" i="168" s="1"/>
  <c r="G60" i="168" s="1"/>
  <c r="G61" i="168" s="1"/>
  <c r="G62" i="168" s="1"/>
  <c r="G63" i="168" s="1"/>
  <c r="G64" i="168" s="1"/>
  <c r="G65" i="168" s="1"/>
  <c r="G66" i="168" s="1"/>
  <c r="G67" i="168" s="1"/>
  <c r="G68" i="168" s="1"/>
  <c r="G69" i="168" s="1"/>
  <c r="G70" i="168" s="1"/>
  <c r="G71" i="168" s="1"/>
  <c r="G72" i="168" s="1"/>
  <c r="G73" i="168" s="1"/>
  <c r="G74" i="168" s="1"/>
  <c r="G75" i="168" s="1"/>
  <c r="G76" i="168" s="1"/>
  <c r="G77" i="168" s="1"/>
  <c r="G78" i="168" s="1"/>
  <c r="G79" i="168" s="1"/>
  <c r="G80" i="168" s="1"/>
  <c r="G81" i="168" s="1"/>
  <c r="G82" i="168" s="1"/>
  <c r="G83" i="168" s="1"/>
  <c r="G84" i="168" s="1"/>
  <c r="G85" i="168" s="1"/>
  <c r="G86" i="168" s="1"/>
  <c r="G87" i="168" s="1"/>
  <c r="G88" i="168" s="1"/>
  <c r="G89" i="168" s="1"/>
  <c r="G90" i="168" s="1"/>
  <c r="G91" i="168" s="1"/>
  <c r="G92" i="168" s="1"/>
  <c r="G93" i="168" s="1"/>
  <c r="G94" i="168" s="1"/>
  <c r="G95" i="168" s="1"/>
  <c r="G96" i="168" s="1"/>
  <c r="G97" i="168" s="1"/>
  <c r="G98" i="168" s="1"/>
  <c r="G99" i="168" s="1"/>
  <c r="G100" i="168" s="1"/>
  <c r="G101" i="168" s="1"/>
  <c r="G102" i="168" s="1"/>
  <c r="G103" i="168" s="1"/>
  <c r="G104" i="168" s="1"/>
  <c r="G105" i="168" s="1"/>
  <c r="G106" i="168" s="1"/>
  <c r="G107" i="168" s="1"/>
  <c r="G108" i="168" s="1"/>
  <c r="G109" i="168" s="1"/>
  <c r="G110" i="168" s="1"/>
  <c r="G111" i="168" s="1"/>
  <c r="G112" i="168" s="1"/>
  <c r="G113" i="168" s="1"/>
  <c r="G114" i="168" s="1"/>
  <c r="G115" i="168" s="1"/>
  <c r="G116" i="168" s="1"/>
  <c r="G117" i="168" s="1"/>
  <c r="G118" i="168" s="1"/>
  <c r="G119" i="168" s="1"/>
  <c r="G120" i="168" s="1"/>
  <c r="G121" i="168" s="1"/>
  <c r="G122" i="168" s="1"/>
  <c r="G123" i="168" s="1"/>
  <c r="G124" i="168" s="1"/>
  <c r="G125" i="168" s="1"/>
  <c r="G126" i="168" s="1"/>
  <c r="G127" i="168" s="1"/>
  <c r="G128" i="168" s="1"/>
  <c r="G129" i="168" s="1"/>
  <c r="G130" i="168" s="1"/>
  <c r="G131" i="168" s="1"/>
  <c r="G132" i="168" s="1"/>
  <c r="G133" i="168" s="1"/>
  <c r="G134" i="168" s="1"/>
  <c r="G135" i="168" s="1"/>
  <c r="G136" i="168" s="1"/>
  <c r="G137" i="168" s="1"/>
  <c r="G138" i="168" s="1"/>
  <c r="G139" i="168" s="1"/>
  <c r="G140" i="168" s="1"/>
  <c r="G141" i="168" s="1"/>
  <c r="G142" i="168" s="1"/>
  <c r="G143" i="168" s="1"/>
  <c r="G144" i="168" s="1"/>
  <c r="G145" i="168" s="1"/>
  <c r="G146" i="168" s="1"/>
  <c r="G147" i="168" s="1"/>
  <c r="G148" i="168" s="1"/>
  <c r="G149" i="168" s="1"/>
  <c r="G150" i="168" s="1"/>
  <c r="G151" i="168" s="1"/>
  <c r="G152" i="168" s="1"/>
  <c r="G153" i="168" s="1"/>
  <c r="G154" i="168" s="1"/>
  <c r="G155" i="168" s="1"/>
  <c r="G156" i="168" s="1"/>
  <c r="G157" i="168" s="1"/>
  <c r="G158" i="168" s="1"/>
  <c r="G159" i="168" s="1"/>
  <c r="G160" i="168" s="1"/>
  <c r="G161" i="168" s="1"/>
  <c r="G162" i="168" s="1"/>
  <c r="G163" i="168" s="1"/>
  <c r="G164" i="168" s="1"/>
  <c r="G165" i="168" s="1"/>
  <c r="G166" i="168" s="1"/>
  <c r="G167" i="168" s="1"/>
  <c r="G168" i="168" s="1"/>
  <c r="G169" i="168" s="1"/>
  <c r="G170" i="168" s="1"/>
  <c r="G171" i="168" s="1"/>
  <c r="G172" i="168" s="1"/>
  <c r="G173" i="168" s="1"/>
  <c r="G174" i="168" s="1"/>
  <c r="G175" i="168" s="1"/>
  <c r="G176" i="168" s="1"/>
  <c r="G177" i="168" s="1"/>
  <c r="G178" i="168" s="1"/>
  <c r="G179" i="168" s="1"/>
  <c r="G180" i="168" s="1"/>
  <c r="G181" i="168" s="1"/>
  <c r="G182" i="168" s="1"/>
  <c r="G183" i="168" s="1"/>
  <c r="G184" i="168" s="1"/>
  <c r="G185" i="168" s="1"/>
  <c r="G186" i="168" s="1"/>
  <c r="G187" i="168" s="1"/>
  <c r="G188" i="168" s="1"/>
  <c r="G189" i="168" s="1"/>
  <c r="G190" i="168" s="1"/>
  <c r="G191" i="168" s="1"/>
  <c r="G192" i="168" s="1"/>
  <c r="G193" i="168" s="1"/>
  <c r="G194" i="168" s="1"/>
  <c r="G195" i="168" s="1"/>
  <c r="G196" i="168" s="1"/>
  <c r="G197" i="168" s="1"/>
  <c r="G198" i="168" s="1"/>
  <c r="G199" i="168" s="1"/>
  <c r="G200" i="168" s="1"/>
  <c r="G201" i="168" s="1"/>
  <c r="G202" i="168" s="1"/>
  <c r="G203" i="168" s="1"/>
  <c r="G204" i="168" s="1"/>
  <c r="G205" i="168" s="1"/>
  <c r="H33" i="167"/>
  <c r="H63" i="167"/>
  <c r="H13" i="167"/>
  <c r="H60" i="167"/>
  <c r="H132" i="167"/>
  <c r="H154" i="167"/>
  <c r="H180" i="167"/>
  <c r="H212" i="167"/>
  <c r="H234" i="167"/>
  <c r="H292" i="167"/>
  <c r="H46" i="167"/>
  <c r="H47" i="167"/>
  <c r="H65" i="167"/>
  <c r="H83" i="167"/>
  <c r="H101" i="167"/>
  <c r="H121" i="167"/>
  <c r="H139" i="167"/>
  <c r="H161" i="167"/>
  <c r="H189" i="167"/>
  <c r="H217" i="167"/>
  <c r="H239" i="167"/>
  <c r="H261" i="167"/>
  <c r="H29" i="167"/>
  <c r="H165" i="167"/>
  <c r="H221" i="167"/>
  <c r="H27" i="167"/>
  <c r="H28" i="167"/>
  <c r="H48" i="167"/>
  <c r="H66" i="167"/>
  <c r="H84" i="167"/>
  <c r="H102" i="167"/>
  <c r="H122" i="167"/>
  <c r="H140" i="167"/>
  <c r="H164" i="167"/>
  <c r="H220" i="167"/>
  <c r="H240" i="167"/>
  <c r="H262" i="167"/>
  <c r="H168" i="167"/>
  <c r="H266" i="167"/>
  <c r="H89" i="167"/>
  <c r="H125" i="167"/>
  <c r="H145" i="167"/>
  <c r="H169" i="167"/>
  <c r="H267" i="167"/>
  <c r="H136" i="167"/>
  <c r="H117" i="167"/>
  <c r="H257" i="167"/>
  <c r="H116" i="167"/>
  <c r="H43" i="167"/>
  <c r="H97" i="167"/>
  <c r="H135" i="167"/>
  <c r="H26" i="167"/>
  <c r="H64" i="167"/>
  <c r="H82" i="167"/>
  <c r="H100" i="167"/>
  <c r="H118" i="167"/>
  <c r="H160" i="167"/>
  <c r="H186" i="167"/>
  <c r="H216" i="167"/>
  <c r="H238" i="167"/>
  <c r="H260" i="167"/>
  <c r="H286" i="167"/>
  <c r="H67" i="167"/>
  <c r="H265" i="167"/>
  <c r="H32" i="167"/>
  <c r="H70" i="167"/>
  <c r="H106" i="167"/>
  <c r="H124" i="167"/>
  <c r="H222" i="167"/>
  <c r="H244" i="167"/>
  <c r="H52" i="167"/>
  <c r="H88" i="167"/>
  <c r="H144" i="167"/>
  <c r="H20" i="167"/>
  <c r="H78" i="167"/>
  <c r="H42" i="167"/>
  <c r="H96" i="167"/>
  <c r="H23" i="167"/>
  <c r="H79" i="167"/>
  <c r="H157" i="167"/>
  <c r="H183" i="167"/>
  <c r="H213" i="167"/>
  <c r="H235" i="167"/>
  <c r="H283" i="167"/>
  <c r="P764" i="1" l="1"/>
  <c r="P760" i="1"/>
  <c r="P758" i="1"/>
  <c r="P756" i="1"/>
  <c r="P64" i="1"/>
  <c r="Q62" i="1"/>
  <c r="P62" i="1"/>
  <c r="P60" i="1"/>
  <c r="P58" i="1"/>
  <c r="P56" i="1"/>
  <c r="P54" i="1"/>
  <c r="P52" i="1"/>
  <c r="P50" i="1"/>
  <c r="P48" i="1"/>
  <c r="P46" i="1"/>
  <c r="Q976" i="1"/>
  <c r="P976" i="1"/>
  <c r="P44" i="1"/>
  <c r="P42" i="1"/>
  <c r="P40" i="1"/>
  <c r="P35" i="1"/>
  <c r="R972" i="1"/>
  <c r="S972" i="1" s="1"/>
  <c r="R967" i="1"/>
  <c r="S967" i="1" s="1"/>
  <c r="R965" i="1"/>
  <c r="S965" i="1" s="1"/>
  <c r="R960" i="1"/>
  <c r="S960" i="1" s="1"/>
  <c r="R955" i="1"/>
  <c r="S955" i="1" s="1"/>
  <c r="R953" i="1"/>
  <c r="S953" i="1" s="1"/>
  <c r="R948" i="1"/>
  <c r="S948" i="1" s="1"/>
  <c r="R943" i="1"/>
  <c r="S943" i="1" s="1"/>
  <c r="R941" i="1"/>
  <c r="S941" i="1" s="1"/>
  <c r="R936" i="1"/>
  <c r="S936" i="1" s="1"/>
  <c r="R931" i="1"/>
  <c r="S931" i="1" s="1"/>
  <c r="R929" i="1"/>
  <c r="S929" i="1" s="1"/>
  <c r="R924" i="1"/>
  <c r="S924" i="1" s="1"/>
  <c r="R919" i="1"/>
  <c r="S919" i="1" s="1"/>
  <c r="R917" i="1"/>
  <c r="S917" i="1" s="1"/>
  <c r="R776" i="1"/>
  <c r="S776" i="1" s="1"/>
  <c r="R768" i="1"/>
  <c r="S768" i="1" s="1"/>
  <c r="R746" i="1"/>
  <c r="S746" i="1" s="1"/>
  <c r="R740" i="1"/>
  <c r="S740" i="1" s="1"/>
  <c r="R728" i="1"/>
  <c r="S728" i="1" s="1"/>
  <c r="R718" i="1"/>
  <c r="S718" i="1" s="1"/>
  <c r="R713" i="1"/>
  <c r="S713" i="1" s="1"/>
  <c r="R703" i="1"/>
  <c r="S703" i="1" s="1"/>
  <c r="R692" i="1"/>
  <c r="S692" i="1" s="1"/>
  <c r="R685" i="1"/>
  <c r="S685" i="1" s="1"/>
  <c r="R676" i="1"/>
  <c r="S676" i="1" s="1"/>
  <c r="R670" i="1"/>
  <c r="S670" i="1" s="1"/>
  <c r="R660" i="1"/>
  <c r="S660" i="1" s="1"/>
  <c r="R650" i="1"/>
  <c r="S650" i="1" s="1"/>
  <c r="R641" i="1"/>
  <c r="S641" i="1" s="1"/>
  <c r="R634" i="1"/>
  <c r="S634" i="1" s="1"/>
  <c r="R623" i="1"/>
  <c r="S623" i="1" s="1"/>
  <c r="R619" i="1"/>
  <c r="S619" i="1" s="1"/>
  <c r="R617" i="1"/>
  <c r="S617" i="1" s="1"/>
  <c r="R615" i="1"/>
  <c r="S615" i="1" s="1"/>
  <c r="R613" i="1"/>
  <c r="S613" i="1" s="1"/>
  <c r="R611" i="1"/>
  <c r="S611" i="1" s="1"/>
  <c r="R609" i="1"/>
  <c r="S609" i="1" s="1"/>
  <c r="R607" i="1"/>
  <c r="S607" i="1" s="1"/>
  <c r="R605" i="1"/>
  <c r="S605" i="1" s="1"/>
  <c r="R601" i="1"/>
  <c r="S601" i="1" s="1"/>
  <c r="R598" i="1"/>
  <c r="S598" i="1" s="1"/>
  <c r="R596" i="1"/>
  <c r="S596" i="1" s="1"/>
  <c r="R594" i="1"/>
  <c r="S594" i="1" s="1"/>
  <c r="R592" i="1"/>
  <c r="S592" i="1" s="1"/>
  <c r="R588" i="1"/>
  <c r="S588" i="1" s="1"/>
  <c r="R585" i="1"/>
  <c r="S585" i="1" s="1"/>
  <c r="R583" i="1"/>
  <c r="S583" i="1" s="1"/>
  <c r="R581" i="1"/>
  <c r="S581" i="1" s="1"/>
  <c r="R579" i="1"/>
  <c r="S579" i="1" s="1"/>
  <c r="R577" i="1"/>
  <c r="S577" i="1" s="1"/>
  <c r="R574" i="1"/>
  <c r="S574" i="1" s="1"/>
  <c r="R569" i="1"/>
  <c r="S569" i="1" s="1"/>
  <c r="R566" i="1"/>
  <c r="S566" i="1" s="1"/>
  <c r="R564" i="1"/>
  <c r="S564" i="1" s="1"/>
  <c r="R560" i="1"/>
  <c r="S560" i="1" s="1"/>
  <c r="R557" i="1"/>
  <c r="S557" i="1" s="1"/>
  <c r="R555" i="1"/>
  <c r="S555" i="1" s="1"/>
  <c r="R553" i="1"/>
  <c r="S553" i="1" s="1"/>
  <c r="R551" i="1"/>
  <c r="S551" i="1" s="1"/>
  <c r="R548" i="1"/>
  <c r="S548" i="1" s="1"/>
  <c r="R546" i="1"/>
  <c r="S546" i="1" s="1"/>
  <c r="R544" i="1"/>
  <c r="S544" i="1" s="1"/>
  <c r="R541" i="1"/>
  <c r="S541" i="1" s="1"/>
  <c r="R536" i="1"/>
  <c r="S536" i="1" s="1"/>
  <c r="R532" i="1"/>
  <c r="S532" i="1" s="1"/>
  <c r="R525" i="1"/>
  <c r="S525" i="1" s="1"/>
  <c r="R522" i="1"/>
  <c r="S522" i="1" s="1"/>
  <c r="R519" i="1"/>
  <c r="S519" i="1" s="1"/>
  <c r="R513" i="1"/>
  <c r="S513" i="1" s="1"/>
  <c r="R507" i="1"/>
  <c r="S507" i="1" s="1"/>
  <c r="R505" i="1"/>
  <c r="S505" i="1" s="1"/>
  <c r="R503" i="1"/>
  <c r="S503" i="1" s="1"/>
  <c r="R501" i="1"/>
  <c r="S501" i="1" s="1"/>
  <c r="R498" i="1"/>
  <c r="S498" i="1" s="1"/>
  <c r="R496" i="1"/>
  <c r="S496" i="1" s="1"/>
  <c r="R494" i="1"/>
  <c r="S494" i="1" s="1"/>
  <c r="R492" i="1"/>
  <c r="S492" i="1" s="1"/>
  <c r="R490" i="1"/>
  <c r="S490" i="1" s="1"/>
  <c r="R488" i="1"/>
  <c r="S488" i="1" s="1"/>
  <c r="R480" i="1"/>
  <c r="S480" i="1" s="1"/>
  <c r="R474" i="1"/>
  <c r="S474" i="1" s="1"/>
  <c r="R468" i="1"/>
  <c r="S468" i="1" s="1"/>
  <c r="R462" i="1"/>
  <c r="S462" i="1" s="1"/>
  <c r="R456" i="1"/>
  <c r="S456" i="1" s="1"/>
  <c r="R450" i="1"/>
  <c r="S450" i="1" s="1"/>
  <c r="R448" i="1"/>
  <c r="S448" i="1" s="1"/>
  <c r="R446" i="1"/>
  <c r="S446" i="1" s="1"/>
  <c r="R444" i="1"/>
  <c r="S444" i="1" s="1"/>
  <c r="R442" i="1"/>
  <c r="S442" i="1" s="1"/>
  <c r="R439" i="1"/>
  <c r="S439" i="1" s="1"/>
  <c r="R435" i="1"/>
  <c r="S435" i="1" s="1"/>
  <c r="R432" i="1"/>
  <c r="S432" i="1" s="1"/>
  <c r="R426" i="1"/>
  <c r="S426" i="1" s="1"/>
  <c r="R420" i="1"/>
  <c r="S420" i="1" s="1"/>
  <c r="R414" i="1"/>
  <c r="S414" i="1" s="1"/>
  <c r="R412" i="1"/>
  <c r="S412" i="1" s="1"/>
  <c r="R409" i="1"/>
  <c r="S409" i="1" s="1"/>
  <c r="R407" i="1"/>
  <c r="S407" i="1" s="1"/>
  <c r="R405" i="1"/>
  <c r="S405" i="1" s="1"/>
  <c r="R403" i="1"/>
  <c r="S403" i="1" s="1"/>
  <c r="R401" i="1"/>
  <c r="S401" i="1" s="1"/>
  <c r="R399" i="1"/>
  <c r="S399" i="1" s="1"/>
  <c r="R391" i="1"/>
  <c r="S391" i="1" s="1"/>
  <c r="R385" i="1"/>
  <c r="S385" i="1" s="1"/>
  <c r="R382" i="1"/>
  <c r="S382" i="1" s="1"/>
  <c r="R377" i="1"/>
  <c r="S377" i="1" s="1"/>
  <c r="R374" i="1"/>
  <c r="S374" i="1" s="1"/>
  <c r="R371" i="1"/>
  <c r="S371" i="1" s="1"/>
  <c r="R365" i="1"/>
  <c r="S365" i="1" s="1"/>
  <c r="R363" i="1"/>
  <c r="S363" i="1" s="1"/>
  <c r="R361" i="1"/>
  <c r="S361" i="1" s="1"/>
  <c r="R359" i="1"/>
  <c r="S359" i="1" s="1"/>
  <c r="R357" i="1"/>
  <c r="S357" i="1" s="1"/>
  <c r="R354" i="1"/>
  <c r="S354" i="1" s="1"/>
  <c r="R352" i="1"/>
  <c r="S352" i="1" s="1"/>
  <c r="R350" i="1"/>
  <c r="S350" i="1" s="1"/>
  <c r="R348" i="1"/>
  <c r="S348" i="1" s="1"/>
  <c r="R346" i="1"/>
  <c r="S346" i="1" s="1"/>
  <c r="R344" i="1"/>
  <c r="S344" i="1" s="1"/>
  <c r="R336" i="1"/>
  <c r="S336" i="1" s="1"/>
  <c r="R330" i="1"/>
  <c r="S330" i="1" s="1"/>
  <c r="R324" i="1"/>
  <c r="S324" i="1" s="1"/>
  <c r="R318" i="1"/>
  <c r="S318" i="1" s="1"/>
  <c r="R312" i="1"/>
  <c r="S312" i="1" s="1"/>
  <c r="R306" i="1"/>
  <c r="S306" i="1" s="1"/>
  <c r="R300" i="1"/>
  <c r="S300" i="1" s="1"/>
  <c r="R294" i="1"/>
  <c r="S294" i="1" s="1"/>
  <c r="R292" i="1"/>
  <c r="S292" i="1" s="1"/>
  <c r="R290" i="1"/>
  <c r="S290" i="1" s="1"/>
  <c r="R288" i="1"/>
  <c r="S288" i="1" s="1"/>
  <c r="R286" i="1"/>
  <c r="S286" i="1" s="1"/>
  <c r="R280" i="1"/>
  <c r="S280" i="1" s="1"/>
  <c r="R277" i="1"/>
  <c r="S277" i="1" s="1"/>
  <c r="R275" i="1"/>
  <c r="S275" i="1" s="1"/>
  <c r="R273" i="1"/>
  <c r="S273" i="1" s="1"/>
  <c r="R270" i="1"/>
  <c r="S270" i="1" s="1"/>
  <c r="R268" i="1"/>
  <c r="S268" i="1" s="1"/>
  <c r="R266" i="1"/>
  <c r="S266" i="1" s="1"/>
  <c r="R264" i="1"/>
  <c r="S264" i="1" s="1"/>
  <c r="R256" i="1"/>
  <c r="S256" i="1" s="1"/>
  <c r="R248" i="1"/>
  <c r="S248" i="1" s="1"/>
  <c r="R242" i="1"/>
  <c r="S242" i="1" s="1"/>
  <c r="R236" i="1"/>
  <c r="S236" i="1" s="1"/>
  <c r="R233" i="1"/>
  <c r="S233" i="1" s="1"/>
  <c r="R227" i="1"/>
  <c r="S227" i="1" s="1"/>
  <c r="R224" i="1"/>
  <c r="S224" i="1" s="1"/>
  <c r="R221" i="1"/>
  <c r="S221" i="1" s="1"/>
  <c r="R219" i="1"/>
  <c r="S219" i="1" s="1"/>
  <c r="R217" i="1"/>
  <c r="S217" i="1" s="1"/>
  <c r="R215" i="1"/>
  <c r="S215" i="1" s="1"/>
  <c r="R212" i="1"/>
  <c r="S212" i="1" s="1"/>
  <c r="R209" i="1"/>
  <c r="S209" i="1" s="1"/>
  <c r="R207" i="1"/>
  <c r="S207" i="1" s="1"/>
  <c r="R205" i="1"/>
  <c r="S205" i="1" s="1"/>
  <c r="R203" i="1"/>
  <c r="S203" i="1" s="1"/>
  <c r="R201" i="1"/>
  <c r="S201" i="1" s="1"/>
  <c r="R199" i="1"/>
  <c r="S199" i="1" s="1"/>
  <c r="R197" i="1"/>
  <c r="S197" i="1" s="1"/>
  <c r="R195" i="1"/>
  <c r="S195" i="1" s="1"/>
  <c r="R187" i="1"/>
  <c r="S187" i="1" s="1"/>
  <c r="R179" i="1"/>
  <c r="S179" i="1" s="1"/>
  <c r="R173" i="1"/>
  <c r="S173" i="1" s="1"/>
  <c r="R167" i="1"/>
  <c r="S167" i="1" s="1"/>
  <c r="R161" i="1"/>
  <c r="S161" i="1" s="1"/>
  <c r="R159" i="1"/>
  <c r="S159" i="1" s="1"/>
  <c r="R157" i="1"/>
  <c r="S157" i="1" s="1"/>
  <c r="R155" i="1"/>
  <c r="S155" i="1" s="1"/>
  <c r="R153" i="1"/>
  <c r="S153" i="1" s="1"/>
  <c r="R148" i="1"/>
  <c r="S148" i="1" s="1"/>
  <c r="R143" i="1"/>
  <c r="S143" i="1" s="1"/>
  <c r="R140" i="1"/>
  <c r="S140" i="1" s="1"/>
  <c r="R137" i="1"/>
  <c r="S137" i="1" s="1"/>
  <c r="R134" i="1"/>
  <c r="S134" i="1" s="1"/>
  <c r="R130" i="1"/>
  <c r="S130" i="1" s="1"/>
  <c r="R127" i="1"/>
  <c r="S127" i="1" s="1"/>
  <c r="R125" i="1"/>
  <c r="S125" i="1" s="1"/>
  <c r="R123" i="1"/>
  <c r="S123" i="1" s="1"/>
  <c r="R120" i="1"/>
  <c r="S120" i="1" s="1"/>
  <c r="R116" i="1"/>
  <c r="S116" i="1" s="1"/>
  <c r="R111" i="1"/>
  <c r="S111" i="1" s="1"/>
  <c r="R108" i="1"/>
  <c r="S108" i="1" s="1"/>
  <c r="R105" i="1"/>
  <c r="S105" i="1" s="1"/>
  <c r="R102" i="1"/>
  <c r="S102" i="1" s="1"/>
  <c r="R98" i="1"/>
  <c r="S98" i="1" s="1"/>
  <c r="R96" i="1"/>
  <c r="S96" i="1" s="1"/>
  <c r="R94" i="1"/>
  <c r="S94" i="1" s="1"/>
  <c r="R91" i="1"/>
  <c r="S91" i="1" s="1"/>
  <c r="R87" i="1"/>
  <c r="S87" i="1" s="1"/>
  <c r="R83" i="1"/>
  <c r="S83" i="1" s="1"/>
  <c r="R81" i="1"/>
  <c r="S81" i="1" s="1"/>
  <c r="R78" i="1"/>
  <c r="S78" i="1" s="1"/>
  <c r="R75" i="1"/>
  <c r="S75" i="1" s="1"/>
  <c r="Q29" i="1"/>
  <c r="P29" i="1"/>
  <c r="P23" i="1"/>
  <c r="Q24" i="1"/>
  <c r="Q25" i="1"/>
  <c r="Q26" i="1"/>
  <c r="Q27" i="1"/>
  <c r="Q754" i="1"/>
  <c r="Q717" i="1"/>
  <c r="Q709" i="1"/>
  <c r="Q701" i="1"/>
  <c r="Q674" i="1"/>
  <c r="Q666" i="1"/>
  <c r="Q658" i="1"/>
  <c r="Q649" i="1"/>
  <c r="Q67" i="1"/>
  <c r="Q66" i="1"/>
  <c r="Q65" i="1"/>
  <c r="Q61" i="1"/>
  <c r="Q59" i="1"/>
  <c r="Q57" i="1"/>
  <c r="Q55" i="1"/>
  <c r="Q53" i="1"/>
  <c r="Q51" i="1"/>
  <c r="Q49" i="1"/>
  <c r="Q47" i="1"/>
  <c r="Q45" i="1"/>
  <c r="Q44" i="1" s="1"/>
  <c r="Q43" i="1"/>
  <c r="Q42" i="1" s="1"/>
  <c r="Q41" i="1"/>
  <c r="Q38" i="1"/>
  <c r="Q36" i="1"/>
  <c r="Q28" i="1"/>
  <c r="P737" i="1"/>
  <c r="Q737" i="1" s="1"/>
  <c r="P684" i="1"/>
  <c r="Q684" i="1" s="1"/>
  <c r="P633" i="1"/>
  <c r="Q633" i="1" s="1"/>
  <c r="P662" i="1"/>
  <c r="Q662" i="1" s="1"/>
  <c r="P624" i="1"/>
  <c r="Q624" i="1" s="1"/>
  <c r="P595" i="1"/>
  <c r="P608" i="1"/>
  <c r="Q608" i="1" s="1"/>
  <c r="P593" i="1"/>
  <c r="Q593" i="1" s="1"/>
  <c r="P610" i="1"/>
  <c r="P576" i="1"/>
  <c r="Q576" i="1" s="1"/>
  <c r="P545" i="1"/>
  <c r="Q545" i="1" s="1"/>
  <c r="P543" i="1"/>
  <c r="Q543" i="1" s="1"/>
  <c r="P606" i="1"/>
  <c r="Q606" i="1" s="1"/>
  <c r="P575" i="1"/>
  <c r="Q575" i="1" s="1"/>
  <c r="P542" i="1"/>
  <c r="Q542" i="1" s="1"/>
  <c r="P208" i="1"/>
  <c r="Q208" i="1" s="1"/>
  <c r="Q750" i="1"/>
  <c r="Q733" i="1"/>
  <c r="Q697" i="1"/>
  <c r="Q680" i="1"/>
  <c r="Q654" i="1"/>
  <c r="Q645" i="1"/>
  <c r="Q628" i="1"/>
  <c r="Q610" i="1"/>
  <c r="Q595" i="1"/>
  <c r="Q495" i="1"/>
  <c r="Q493" i="1"/>
  <c r="Q353" i="1"/>
  <c r="Q351" i="1"/>
  <c r="Q206" i="1"/>
  <c r="Q204" i="1"/>
  <c r="P464" i="1"/>
  <c r="Q464" i="1" s="1"/>
  <c r="P458" i="1"/>
  <c r="Q458" i="1" s="1"/>
  <c r="P452" i="1"/>
  <c r="Q452" i="1" s="1"/>
  <c r="P428" i="1"/>
  <c r="Q428" i="1" s="1"/>
  <c r="P422" i="1"/>
  <c r="Q422" i="1" s="1"/>
  <c r="P416" i="1"/>
  <c r="Q416" i="1" s="1"/>
  <c r="P314" i="1"/>
  <c r="Q314" i="1" s="1"/>
  <c r="P308" i="1"/>
  <c r="Q308" i="1" s="1"/>
  <c r="P302" i="1"/>
  <c r="Q302" i="1" s="1"/>
  <c r="P296" i="1"/>
  <c r="Q296" i="1" s="1"/>
  <c r="P163" i="1"/>
  <c r="Q163" i="1" s="1"/>
  <c r="P907" i="1"/>
  <c r="P893" i="1"/>
  <c r="Q893" i="1" s="1"/>
  <c r="P848" i="1"/>
  <c r="Q848" i="1" s="1"/>
  <c r="P908" i="1"/>
  <c r="P894" i="1"/>
  <c r="Q894" i="1" s="1"/>
  <c r="P878" i="1"/>
  <c r="P864" i="1"/>
  <c r="P845" i="1"/>
  <c r="Q845" i="1" s="1"/>
  <c r="P906" i="1"/>
  <c r="Q906" i="1" s="1"/>
  <c r="P892" i="1"/>
  <c r="P877" i="1"/>
  <c r="Q877" i="1" s="1"/>
  <c r="P863" i="1"/>
  <c r="Q863" i="1" s="1"/>
  <c r="P844" i="1"/>
  <c r="P905" i="1"/>
  <c r="P891" i="1"/>
  <c r="P876" i="1"/>
  <c r="P862" i="1"/>
  <c r="Q862" i="1" s="1"/>
  <c r="P843" i="1"/>
  <c r="P904" i="1"/>
  <c r="P890" i="1"/>
  <c r="Q890" i="1" s="1"/>
  <c r="P875" i="1"/>
  <c r="Q875" i="1" s="1"/>
  <c r="P861" i="1"/>
  <c r="P842" i="1"/>
  <c r="Q842" i="1" s="1"/>
  <c r="P888" i="1"/>
  <c r="Q888" i="1" s="1"/>
  <c r="P873" i="1"/>
  <c r="Q873" i="1" s="1"/>
  <c r="P859" i="1"/>
  <c r="P840" i="1"/>
  <c r="P902" i="1"/>
  <c r="P887" i="1"/>
  <c r="Q887" i="1" s="1"/>
  <c r="P872" i="1"/>
  <c r="Q872" i="1" s="1"/>
  <c r="P858" i="1"/>
  <c r="Q858" i="1" s="1"/>
  <c r="P839" i="1"/>
  <c r="Q839" i="1" s="1"/>
  <c r="P901" i="1"/>
  <c r="P886" i="1"/>
  <c r="Q886" i="1" s="1"/>
  <c r="P871" i="1"/>
  <c r="Q871" i="1" s="1"/>
  <c r="P857" i="1"/>
  <c r="P838" i="1"/>
  <c r="Q838" i="1" s="1"/>
  <c r="P832" i="1"/>
  <c r="Q832" i="1" s="1"/>
  <c r="P822" i="1"/>
  <c r="P812" i="1"/>
  <c r="Q812" i="1" s="1"/>
  <c r="P802" i="1"/>
  <c r="P793" i="1"/>
  <c r="P831" i="1"/>
  <c r="P821" i="1"/>
  <c r="Q821" i="1" s="1"/>
  <c r="P811" i="1"/>
  <c r="Q811" i="1" s="1"/>
  <c r="P801" i="1"/>
  <c r="Q801" i="1" s="1"/>
  <c r="P792" i="1"/>
  <c r="Q792" i="1" s="1"/>
  <c r="P791" i="1"/>
  <c r="Q791" i="1" s="1"/>
  <c r="P830" i="1"/>
  <c r="Q830" i="1" s="1"/>
  <c r="P820" i="1"/>
  <c r="Q820" i="1" s="1"/>
  <c r="P810" i="1"/>
  <c r="P790" i="1"/>
  <c r="P829" i="1"/>
  <c r="Q829" i="1" s="1"/>
  <c r="P819" i="1"/>
  <c r="P809" i="1"/>
  <c r="Q809" i="1" s="1"/>
  <c r="P800" i="1"/>
  <c r="P789" i="1"/>
  <c r="Q789" i="1" s="1"/>
  <c r="P828" i="1"/>
  <c r="P818" i="1"/>
  <c r="Q818" i="1" s="1"/>
  <c r="P808" i="1"/>
  <c r="Q808" i="1" s="1"/>
  <c r="P799" i="1"/>
  <c r="P788" i="1"/>
  <c r="P816" i="1"/>
  <c r="P806" i="1"/>
  <c r="Q806" i="1" s="1"/>
  <c r="P797" i="1"/>
  <c r="Q797" i="1" s="1"/>
  <c r="P786" i="1"/>
  <c r="Q786" i="1" s="1"/>
  <c r="P782" i="1"/>
  <c r="P774" i="1"/>
  <c r="P781" i="1"/>
  <c r="Q781" i="1" s="1"/>
  <c r="P773" i="1"/>
  <c r="Q773" i="1" s="1"/>
  <c r="P777" i="1"/>
  <c r="Q777" i="1" s="1"/>
  <c r="P769" i="1"/>
  <c r="P726" i="1"/>
  <c r="Q726" i="1" s="1"/>
  <c r="P725" i="1"/>
  <c r="P724" i="1"/>
  <c r="Q724" i="1" s="1"/>
  <c r="P723" i="1"/>
  <c r="Q723" i="1" s="1"/>
  <c r="P722" i="1"/>
  <c r="Q722" i="1" s="1"/>
  <c r="P729" i="1"/>
  <c r="P719" i="1"/>
  <c r="P704" i="1"/>
  <c r="P721" i="1"/>
  <c r="Q721" i="1" s="1"/>
  <c r="P715" i="1"/>
  <c r="Q715" i="1" s="1"/>
  <c r="P672" i="1"/>
  <c r="Q672" i="1" s="1"/>
  <c r="P705" i="1"/>
  <c r="P693" i="1"/>
  <c r="Q693" i="1" s="1"/>
  <c r="P661" i="1"/>
  <c r="P753" i="1"/>
  <c r="P716" i="1"/>
  <c r="P700" i="1"/>
  <c r="P673" i="1"/>
  <c r="P657" i="1"/>
  <c r="P648" i="1"/>
  <c r="P745" i="1"/>
  <c r="Q745" i="1" s="1"/>
  <c r="P712" i="1"/>
  <c r="Q712" i="1" s="1"/>
  <c r="P691" i="1"/>
  <c r="Q691" i="1" s="1"/>
  <c r="P669" i="1"/>
  <c r="Q669" i="1" s="1"/>
  <c r="P640" i="1"/>
  <c r="P744" i="1"/>
  <c r="P690" i="1"/>
  <c r="Q690" i="1" s="1"/>
  <c r="P639" i="1"/>
  <c r="P743" i="1"/>
  <c r="Q743" i="1" s="1"/>
  <c r="P711" i="1"/>
  <c r="P689" i="1"/>
  <c r="Q689" i="1" s="1"/>
  <c r="P668" i="1"/>
  <c r="P638" i="1"/>
  <c r="Q638" i="1" s="1"/>
  <c r="P742" i="1"/>
  <c r="P710" i="1"/>
  <c r="Q710" i="1" s="1"/>
  <c r="P688" i="1"/>
  <c r="Q688" i="1" s="1"/>
  <c r="P667" i="1"/>
  <c r="Q667" i="1" s="1"/>
  <c r="P637" i="1"/>
  <c r="P741" i="1"/>
  <c r="P687" i="1"/>
  <c r="Q687" i="1" s="1"/>
  <c r="P636" i="1"/>
  <c r="P739" i="1"/>
  <c r="P686" i="1"/>
  <c r="P635" i="1"/>
  <c r="Q635" i="1" s="1"/>
  <c r="P736" i="1"/>
  <c r="Q736" i="1" s="1"/>
  <c r="P683" i="1"/>
  <c r="P632" i="1"/>
  <c r="Q632" i="1" s="1"/>
  <c r="P738" i="1"/>
  <c r="Q738" i="1" s="1"/>
  <c r="P682" i="1"/>
  <c r="Q682" i="1" s="1"/>
  <c r="P631" i="1"/>
  <c r="P735" i="1"/>
  <c r="P630" i="1"/>
  <c r="P734" i="1"/>
  <c r="Q734" i="1" s="1"/>
  <c r="P708" i="1"/>
  <c r="Q708" i="1" s="1"/>
  <c r="P681" i="1"/>
  <c r="Q681" i="1" s="1"/>
  <c r="P665" i="1"/>
  <c r="P629" i="1"/>
  <c r="Q629" i="1" s="1"/>
  <c r="P749" i="1"/>
  <c r="Q749" i="1" s="1"/>
  <c r="P732" i="1"/>
  <c r="Q732" i="1" s="1"/>
  <c r="P696" i="1"/>
  <c r="Q696" i="1" s="1"/>
  <c r="P679" i="1"/>
  <c r="Q679" i="1" s="1"/>
  <c r="P653" i="1"/>
  <c r="Q653" i="1" s="1"/>
  <c r="P644" i="1"/>
  <c r="P627" i="1"/>
  <c r="Q627" i="1" s="1"/>
  <c r="P748" i="1"/>
  <c r="P731" i="1"/>
  <c r="P707" i="1"/>
  <c r="Q707" i="1" s="1"/>
  <c r="P695" i="1"/>
  <c r="Q695" i="1" s="1"/>
  <c r="P678" i="1"/>
  <c r="Q678" i="1" s="1"/>
  <c r="P664" i="1"/>
  <c r="Q664" i="1" s="1"/>
  <c r="P652" i="1"/>
  <c r="Q652" i="1" s="1"/>
  <c r="P643" i="1"/>
  <c r="P626" i="1"/>
  <c r="P747" i="1"/>
  <c r="P730" i="1"/>
  <c r="P720" i="1"/>
  <c r="P714" i="1"/>
  <c r="Q714" i="1" s="1"/>
  <c r="P706" i="1"/>
  <c r="P694" i="1"/>
  <c r="P677" i="1"/>
  <c r="P671" i="1"/>
  <c r="P663" i="1"/>
  <c r="Q663" i="1" s="1"/>
  <c r="P651" i="1"/>
  <c r="Q651" i="1" s="1"/>
  <c r="P642" i="1"/>
  <c r="Q642" i="1" s="1"/>
  <c r="P625" i="1"/>
  <c r="Q625" i="1" s="1"/>
  <c r="P604" i="1"/>
  <c r="P591" i="1"/>
  <c r="Q591" i="1" s="1"/>
  <c r="P573" i="1"/>
  <c r="P618" i="1"/>
  <c r="P616" i="1"/>
  <c r="P584" i="1"/>
  <c r="P582" i="1"/>
  <c r="P556" i="1"/>
  <c r="Q556" i="1" s="1"/>
  <c r="P554" i="1"/>
  <c r="P552" i="1"/>
  <c r="Q552" i="1" s="1"/>
  <c r="P620" i="1"/>
  <c r="P614" i="1"/>
  <c r="Q614" i="1" s="1"/>
  <c r="P612" i="1"/>
  <c r="P599" i="1"/>
  <c r="Q599" i="1" s="1"/>
  <c r="P597" i="1"/>
  <c r="P586" i="1"/>
  <c r="P580" i="1"/>
  <c r="P578" i="1"/>
  <c r="P567" i="1"/>
  <c r="P565" i="1"/>
  <c r="Q565" i="1" s="1"/>
  <c r="P558" i="1"/>
  <c r="Q558" i="1" s="1"/>
  <c r="P550" i="1"/>
  <c r="Q550" i="1" s="1"/>
  <c r="P547" i="1"/>
  <c r="Q547" i="1" s="1"/>
  <c r="P540" i="1"/>
  <c r="Q540" i="1" s="1"/>
  <c r="P603" i="1"/>
  <c r="Q603" i="1" s="1"/>
  <c r="P590" i="1"/>
  <c r="P572" i="1"/>
  <c r="Q572" i="1" s="1"/>
  <c r="P563" i="1"/>
  <c r="P539" i="1"/>
  <c r="Q539" i="1" s="1"/>
  <c r="P602" i="1"/>
  <c r="P571" i="1"/>
  <c r="Q571" i="1" s="1"/>
  <c r="P562" i="1"/>
  <c r="P559" i="1" s="1"/>
  <c r="P538" i="1"/>
  <c r="Q538" i="1" s="1"/>
  <c r="P589" i="1"/>
  <c r="P570" i="1"/>
  <c r="P568" i="1" s="1"/>
  <c r="P561" i="1"/>
  <c r="P537" i="1"/>
  <c r="Q537" i="1" s="1"/>
  <c r="P530" i="1"/>
  <c r="P529" i="1"/>
  <c r="Q529" i="1" s="1"/>
  <c r="P436" i="1"/>
  <c r="P408" i="1"/>
  <c r="P497" i="1"/>
  <c r="P406" i="1"/>
  <c r="Q406" i="1" s="1"/>
  <c r="P364" i="1"/>
  <c r="Q364" i="1" s="1"/>
  <c r="P284" i="1"/>
  <c r="Q284" i="1" s="1"/>
  <c r="P526" i="1"/>
  <c r="Q526" i="1" s="1"/>
  <c r="P281" i="1"/>
  <c r="Q281" i="1" s="1"/>
  <c r="P531" i="1"/>
  <c r="Q531" i="1" s="1"/>
  <c r="P438" i="1"/>
  <c r="P381" i="1"/>
  <c r="Q381" i="1" s="1"/>
  <c r="P283" i="1"/>
  <c r="P232" i="1"/>
  <c r="Q232" i="1" s="1"/>
  <c r="P231" i="1"/>
  <c r="P437" i="1"/>
  <c r="Q437" i="1" s="1"/>
  <c r="P380" i="1"/>
  <c r="Q380" i="1" s="1"/>
  <c r="P230" i="1"/>
  <c r="Q230" i="1" s="1"/>
  <c r="P528" i="1"/>
  <c r="Q528" i="1" s="1"/>
  <c r="P379" i="1"/>
  <c r="Q379" i="1" s="1"/>
  <c r="P229" i="1"/>
  <c r="Q229" i="1" s="1"/>
  <c r="P527" i="1"/>
  <c r="P378" i="1"/>
  <c r="Q378" i="1" s="1"/>
  <c r="P282" i="1"/>
  <c r="P228" i="1"/>
  <c r="Q228" i="1" s="1"/>
  <c r="P524" i="1"/>
  <c r="Q524" i="1" s="1"/>
  <c r="P376" i="1"/>
  <c r="Q376" i="1" s="1"/>
  <c r="P226" i="1"/>
  <c r="Q226" i="1" s="1"/>
  <c r="P523" i="1"/>
  <c r="Q523" i="1" s="1"/>
  <c r="P375" i="1"/>
  <c r="Q375" i="1" s="1"/>
  <c r="P225" i="1"/>
  <c r="Q225" i="1" s="1"/>
  <c r="P521" i="1"/>
  <c r="Q521" i="1" s="1"/>
  <c r="P434" i="1"/>
  <c r="Q434" i="1" s="1"/>
  <c r="P373" i="1"/>
  <c r="P279" i="1"/>
  <c r="P223" i="1"/>
  <c r="P520" i="1"/>
  <c r="Q520" i="1" s="1"/>
  <c r="P433" i="1"/>
  <c r="Q433" i="1" s="1"/>
  <c r="P372" i="1"/>
  <c r="Q372" i="1" s="1"/>
  <c r="P278" i="1"/>
  <c r="Q278" i="1" s="1"/>
  <c r="P222" i="1"/>
  <c r="Q222" i="1" s="1"/>
  <c r="P506" i="1"/>
  <c r="Q506" i="1" s="1"/>
  <c r="P362" i="1"/>
  <c r="Q362" i="1" s="1"/>
  <c r="P220" i="1"/>
  <c r="Q220" i="1" s="1"/>
  <c r="P502" i="1"/>
  <c r="P358" i="1"/>
  <c r="Q358" i="1" s="1"/>
  <c r="P274" i="1"/>
  <c r="P216" i="1"/>
  <c r="P903" i="1"/>
  <c r="Q903" i="1" s="1"/>
  <c r="P889" i="1"/>
  <c r="P874" i="1"/>
  <c r="P860" i="1"/>
  <c r="Q860" i="1" s="1"/>
  <c r="P841" i="1"/>
  <c r="P500" i="1"/>
  <c r="Q500" i="1" s="1"/>
  <c r="P411" i="1"/>
  <c r="Q411" i="1" s="1"/>
  <c r="P356" i="1"/>
  <c r="Q356" i="1" s="1"/>
  <c r="P272" i="1"/>
  <c r="Q272" i="1" s="1"/>
  <c r="P214" i="1"/>
  <c r="Q214" i="1" s="1"/>
  <c r="P211" i="1"/>
  <c r="Q211" i="1" s="1"/>
  <c r="P499" i="1"/>
  <c r="Q499" i="1" s="1"/>
  <c r="P410" i="1"/>
  <c r="Q410" i="1" s="1"/>
  <c r="P355" i="1"/>
  <c r="Q355" i="1" s="1"/>
  <c r="P271" i="1"/>
  <c r="P213" i="1"/>
  <c r="P210" i="1"/>
  <c r="Q210" i="1" s="1"/>
  <c r="P404" i="1"/>
  <c r="Q404" i="1" s="1"/>
  <c r="P202" i="1"/>
  <c r="P491" i="1"/>
  <c r="Q491" i="1" s="1"/>
  <c r="P402" i="1"/>
  <c r="P349" i="1"/>
  <c r="P269" i="1"/>
  <c r="Q269" i="1" s="1"/>
  <c r="P200" i="1"/>
  <c r="P347" i="1"/>
  <c r="Q347" i="1" s="1"/>
  <c r="P267" i="1"/>
  <c r="P198" i="1"/>
  <c r="P485" i="1"/>
  <c r="P341" i="1"/>
  <c r="P192" i="1"/>
  <c r="Q192" i="1" s="1"/>
  <c r="P398" i="1"/>
  <c r="Q398" i="1" s="1"/>
  <c r="P263" i="1"/>
  <c r="Q263" i="1" s="1"/>
  <c r="P255" i="1"/>
  <c r="Q255" i="1" s="1"/>
  <c r="P186" i="1"/>
  <c r="Q186" i="1" s="1"/>
  <c r="P517" i="1"/>
  <c r="Q517" i="1" s="1"/>
  <c r="P511" i="1"/>
  <c r="P484" i="1"/>
  <c r="Q484" i="1" s="1"/>
  <c r="P478" i="1"/>
  <c r="Q478" i="1" s="1"/>
  <c r="P472" i="1"/>
  <c r="P395" i="1"/>
  <c r="P389" i="1"/>
  <c r="P369" i="1"/>
  <c r="Q369" i="1" s="1"/>
  <c r="P340" i="1"/>
  <c r="Q340" i="1" s="1"/>
  <c r="P334" i="1"/>
  <c r="Q334" i="1" s="1"/>
  <c r="P328" i="1"/>
  <c r="Q328" i="1" s="1"/>
  <c r="P322" i="1"/>
  <c r="P260" i="1"/>
  <c r="Q260" i="1" s="1"/>
  <c r="P252" i="1"/>
  <c r="Q252" i="1" s="1"/>
  <c r="P246" i="1"/>
  <c r="Q246" i="1" s="1"/>
  <c r="P240" i="1"/>
  <c r="P191" i="1"/>
  <c r="P183" i="1"/>
  <c r="P177" i="1"/>
  <c r="P171" i="1"/>
  <c r="Q171" i="1" s="1"/>
  <c r="P549" i="1"/>
  <c r="Q549" i="1" s="1"/>
  <c r="P518" i="1"/>
  <c r="Q518" i="1" s="1"/>
  <c r="P512" i="1"/>
  <c r="P486" i="1"/>
  <c r="Q486" i="1" s="1"/>
  <c r="P479" i="1"/>
  <c r="Q479" i="1" s="1"/>
  <c r="P473" i="1"/>
  <c r="P467" i="1"/>
  <c r="P461" i="1"/>
  <c r="P455" i="1"/>
  <c r="Q455" i="1" s="1"/>
  <c r="P431" i="1"/>
  <c r="P425" i="1"/>
  <c r="Q425" i="1" s="1"/>
  <c r="P419" i="1"/>
  <c r="Q419" i="1" s="1"/>
  <c r="P396" i="1"/>
  <c r="Q396" i="1" s="1"/>
  <c r="P390" i="1"/>
  <c r="Q390" i="1" s="1"/>
  <c r="P370" i="1"/>
  <c r="P342" i="1"/>
  <c r="P335" i="1"/>
  <c r="P329" i="1"/>
  <c r="P323" i="1"/>
  <c r="Q323" i="1" s="1"/>
  <c r="P317" i="1"/>
  <c r="P311" i="1"/>
  <c r="Q311" i="1" s="1"/>
  <c r="P305" i="1"/>
  <c r="P299" i="1"/>
  <c r="Q299" i="1" s="1"/>
  <c r="P261" i="1"/>
  <c r="Q261" i="1" s="1"/>
  <c r="P253" i="1"/>
  <c r="Q253" i="1" s="1"/>
  <c r="P247" i="1"/>
  <c r="Q247" i="1" s="1"/>
  <c r="P241" i="1"/>
  <c r="Q241" i="1" s="1"/>
  <c r="P193" i="1"/>
  <c r="P184" i="1"/>
  <c r="P178" i="1"/>
  <c r="P172" i="1"/>
  <c r="Q172" i="1" s="1"/>
  <c r="P166" i="1"/>
  <c r="P516" i="1"/>
  <c r="P510" i="1"/>
  <c r="Q510" i="1" s="1"/>
  <c r="P483" i="1"/>
  <c r="Q483" i="1" s="1"/>
  <c r="P477" i="1"/>
  <c r="Q477" i="1" s="1"/>
  <c r="P471" i="1"/>
  <c r="P466" i="1"/>
  <c r="Q466" i="1" s="1"/>
  <c r="P460" i="1"/>
  <c r="P454" i="1"/>
  <c r="Q454" i="1" s="1"/>
  <c r="P430" i="1"/>
  <c r="Q430" i="1" s="1"/>
  <c r="P424" i="1"/>
  <c r="Q424" i="1" s="1"/>
  <c r="P418" i="1"/>
  <c r="Q418" i="1" s="1"/>
  <c r="P394" i="1"/>
  <c r="P388" i="1"/>
  <c r="Q388" i="1" s="1"/>
  <c r="P368" i="1"/>
  <c r="Q368" i="1" s="1"/>
  <c r="P339" i="1"/>
  <c r="Q339" i="1" s="1"/>
  <c r="P333" i="1"/>
  <c r="P327" i="1"/>
  <c r="Q327" i="1" s="1"/>
  <c r="P321" i="1"/>
  <c r="Q321" i="1" s="1"/>
  <c r="P316" i="1"/>
  <c r="Q316" i="1" s="1"/>
  <c r="P310" i="1"/>
  <c r="Q310" i="1" s="1"/>
  <c r="P304" i="1"/>
  <c r="P298" i="1"/>
  <c r="Q298" i="1" s="1"/>
  <c r="P259" i="1"/>
  <c r="P251" i="1"/>
  <c r="Q251" i="1" s="1"/>
  <c r="P245" i="1"/>
  <c r="Q245" i="1" s="1"/>
  <c r="P239" i="1"/>
  <c r="Q239" i="1" s="1"/>
  <c r="P190" i="1"/>
  <c r="Q190" i="1" s="1"/>
  <c r="P182" i="1"/>
  <c r="Q182" i="1" s="1"/>
  <c r="P176" i="1"/>
  <c r="P170" i="1"/>
  <c r="Q170" i="1" s="1"/>
  <c r="P165" i="1"/>
  <c r="P515" i="1"/>
  <c r="P509" i="1"/>
  <c r="Q509" i="1" s="1"/>
  <c r="P482" i="1"/>
  <c r="Q482" i="1" s="1"/>
  <c r="P476" i="1"/>
  <c r="Q476" i="1" s="1"/>
  <c r="P470" i="1"/>
  <c r="P465" i="1"/>
  <c r="P459" i="1"/>
  <c r="Q459" i="1" s="1"/>
  <c r="P453" i="1"/>
  <c r="P429" i="1"/>
  <c r="Q429" i="1" s="1"/>
  <c r="P423" i="1"/>
  <c r="Q423" i="1" s="1"/>
  <c r="P417" i="1"/>
  <c r="Q417" i="1" s="1"/>
  <c r="P393" i="1"/>
  <c r="Q393" i="1" s="1"/>
  <c r="P387" i="1"/>
  <c r="P367" i="1"/>
  <c r="P338" i="1"/>
  <c r="Q338" i="1" s="1"/>
  <c r="P332" i="1"/>
  <c r="Q332" i="1" s="1"/>
  <c r="P326" i="1"/>
  <c r="P320" i="1"/>
  <c r="P315" i="1"/>
  <c r="Q315" i="1" s="1"/>
  <c r="P309" i="1"/>
  <c r="Q309" i="1" s="1"/>
  <c r="P303" i="1"/>
  <c r="P297" i="1"/>
  <c r="Q297" i="1" s="1"/>
  <c r="P258" i="1"/>
  <c r="Q258" i="1" s="1"/>
  <c r="P250" i="1"/>
  <c r="P244" i="1"/>
  <c r="Q244" i="1" s="1"/>
  <c r="P238" i="1"/>
  <c r="P189" i="1"/>
  <c r="P181" i="1"/>
  <c r="Q181" i="1" s="1"/>
  <c r="P175" i="1"/>
  <c r="P169" i="1"/>
  <c r="P164" i="1"/>
  <c r="Q164" i="1" s="1"/>
  <c r="P514" i="1"/>
  <c r="P508" i="1"/>
  <c r="Q508" i="1" s="1"/>
  <c r="P481" i="1"/>
  <c r="Q481" i="1" s="1"/>
  <c r="P475" i="1"/>
  <c r="Q475" i="1" s="1"/>
  <c r="P469" i="1"/>
  <c r="P463" i="1"/>
  <c r="P457" i="1"/>
  <c r="Q457" i="1" s="1"/>
  <c r="P451" i="1"/>
  <c r="Q451" i="1" s="1"/>
  <c r="P427" i="1"/>
  <c r="Q427" i="1" s="1"/>
  <c r="P421" i="1"/>
  <c r="P415" i="1"/>
  <c r="Q415" i="1" s="1"/>
  <c r="P392" i="1"/>
  <c r="P386" i="1"/>
  <c r="P366" i="1"/>
  <c r="Q366" i="1" s="1"/>
  <c r="P337" i="1"/>
  <c r="Q337" i="1" s="1"/>
  <c r="P331" i="1"/>
  <c r="Q331" i="1" s="1"/>
  <c r="P325" i="1"/>
  <c r="P319" i="1"/>
  <c r="Q319" i="1" s="1"/>
  <c r="P313" i="1"/>
  <c r="Q313" i="1" s="1"/>
  <c r="P307" i="1"/>
  <c r="P301" i="1"/>
  <c r="Q301" i="1" s="1"/>
  <c r="P295" i="1"/>
  <c r="P257" i="1"/>
  <c r="Q257" i="1" s="1"/>
  <c r="P249" i="1"/>
  <c r="P243" i="1"/>
  <c r="P237" i="1"/>
  <c r="P188" i="1"/>
  <c r="Q188" i="1" s="1"/>
  <c r="P180" i="1"/>
  <c r="Q180" i="1" s="1"/>
  <c r="P174" i="1"/>
  <c r="P168" i="1"/>
  <c r="P162" i="1"/>
  <c r="P449" i="1"/>
  <c r="Q449" i="1" s="1"/>
  <c r="P293" i="1"/>
  <c r="Q293" i="1" s="1"/>
  <c r="P160" i="1"/>
  <c r="P139" i="1"/>
  <c r="Q139" i="1" s="1"/>
  <c r="P138" i="1"/>
  <c r="Q138" i="1" s="1"/>
  <c r="P124" i="1"/>
  <c r="Q124" i="1" s="1"/>
  <c r="P147" i="1"/>
  <c r="Q147" i="1" s="1"/>
  <c r="P129" i="1"/>
  <c r="Q129" i="1" s="1"/>
  <c r="P115" i="1"/>
  <c r="Q115" i="1" s="1"/>
  <c r="P107" i="1"/>
  <c r="P106" i="1"/>
  <c r="Q106" i="1" s="1"/>
  <c r="P95" i="1"/>
  <c r="P779" i="1"/>
  <c r="Q779" i="1" s="1"/>
  <c r="P771" i="1"/>
  <c r="Q771" i="1" s="1"/>
  <c r="P150" i="1"/>
  <c r="P132" i="1"/>
  <c r="Q132" i="1" s="1"/>
  <c r="P118" i="1"/>
  <c r="P100" i="1"/>
  <c r="Q100" i="1" s="1"/>
  <c r="P89" i="1"/>
  <c r="P146" i="1"/>
  <c r="P114" i="1"/>
  <c r="Q114" i="1" s="1"/>
  <c r="P86" i="1"/>
  <c r="Q86" i="1" s="1"/>
  <c r="P145" i="1"/>
  <c r="Q145" i="1" s="1"/>
  <c r="P113" i="1"/>
  <c r="Q113" i="1" s="1"/>
  <c r="P85" i="1"/>
  <c r="Q85" i="1" s="1"/>
  <c r="P783" i="1"/>
  <c r="Q783" i="1" s="1"/>
  <c r="P775" i="1"/>
  <c r="Q775" i="1" s="1"/>
  <c r="P144" i="1"/>
  <c r="P128" i="1"/>
  <c r="Q128" i="1" s="1"/>
  <c r="P112" i="1"/>
  <c r="P97" i="1"/>
  <c r="Q97" i="1" s="1"/>
  <c r="P84" i="1"/>
  <c r="Q84" i="1" s="1"/>
  <c r="P80" i="1"/>
  <c r="Q80" i="1" s="1"/>
  <c r="P79" i="1"/>
  <c r="P136" i="1"/>
  <c r="P122" i="1"/>
  <c r="Q122" i="1" s="1"/>
  <c r="P104" i="1"/>
  <c r="Q104" i="1" s="1"/>
  <c r="P93" i="1"/>
  <c r="Q93" i="1" s="1"/>
  <c r="P77" i="1"/>
  <c r="P135" i="1"/>
  <c r="P121" i="1"/>
  <c r="P103" i="1"/>
  <c r="P92" i="1"/>
  <c r="Q92" i="1" s="1"/>
  <c r="P76" i="1"/>
  <c r="Q76" i="1" s="1"/>
  <c r="Q908" i="1"/>
  <c r="Q907" i="1"/>
  <c r="Q905" i="1"/>
  <c r="Q904" i="1"/>
  <c r="Q902" i="1"/>
  <c r="Q892" i="1"/>
  <c r="Q891" i="1"/>
  <c r="Q889" i="1"/>
  <c r="Q878" i="1"/>
  <c r="Q876" i="1"/>
  <c r="Q874" i="1"/>
  <c r="Q864" i="1"/>
  <c r="Q861" i="1"/>
  <c r="Q859" i="1"/>
  <c r="Q844" i="1"/>
  <c r="Q843" i="1"/>
  <c r="Q841" i="1"/>
  <c r="Q840" i="1"/>
  <c r="Q831" i="1"/>
  <c r="Q828" i="1"/>
  <c r="Q827" i="1"/>
  <c r="Q822" i="1"/>
  <c r="Q819" i="1"/>
  <c r="Q817" i="1"/>
  <c r="Q816" i="1"/>
  <c r="Q810" i="1"/>
  <c r="Q807" i="1"/>
  <c r="Q802" i="1"/>
  <c r="Q800" i="1"/>
  <c r="Q799" i="1"/>
  <c r="Q798" i="1"/>
  <c r="Q793" i="1"/>
  <c r="Q790" i="1"/>
  <c r="Q788" i="1"/>
  <c r="Q787" i="1"/>
  <c r="Q782" i="1"/>
  <c r="Q774" i="1"/>
  <c r="Q769" i="1"/>
  <c r="Q765" i="1"/>
  <c r="Q763" i="1"/>
  <c r="Q762" i="1"/>
  <c r="Q761" i="1"/>
  <c r="Q759" i="1"/>
  <c r="Q757" i="1"/>
  <c r="Q753" i="1"/>
  <c r="Q748" i="1"/>
  <c r="Q747" i="1"/>
  <c r="Q744" i="1"/>
  <c r="Q742" i="1"/>
  <c r="Q741" i="1"/>
  <c r="Q739" i="1"/>
  <c r="Q735" i="1"/>
  <c r="Q731" i="1"/>
  <c r="Q730" i="1"/>
  <c r="Q729" i="1"/>
  <c r="Q725" i="1"/>
  <c r="Q720" i="1"/>
  <c r="Q719" i="1"/>
  <c r="Q716" i="1"/>
  <c r="Q711" i="1"/>
  <c r="Q706" i="1"/>
  <c r="Q705" i="1"/>
  <c r="Q704" i="1"/>
  <c r="Q700" i="1"/>
  <c r="Q694" i="1"/>
  <c r="Q686" i="1"/>
  <c r="Q683" i="1"/>
  <c r="Q677" i="1"/>
  <c r="Q673" i="1"/>
  <c r="Q671" i="1"/>
  <c r="Q668" i="1"/>
  <c r="Q665" i="1"/>
  <c r="Q661" i="1"/>
  <c r="Q657" i="1"/>
  <c r="Q648" i="1"/>
  <c r="Q644" i="1"/>
  <c r="Q643" i="1"/>
  <c r="Q640" i="1"/>
  <c r="Q639" i="1"/>
  <c r="Q637" i="1"/>
  <c r="Q636" i="1"/>
  <c r="Q631" i="1"/>
  <c r="Q630" i="1"/>
  <c r="Q626" i="1"/>
  <c r="Q620" i="1"/>
  <c r="Q618" i="1"/>
  <c r="Q616" i="1"/>
  <c r="Q612" i="1"/>
  <c r="Q604" i="1"/>
  <c r="Q602" i="1"/>
  <c r="Q597" i="1"/>
  <c r="Q590" i="1"/>
  <c r="Q586" i="1"/>
  <c r="Q584" i="1"/>
  <c r="Q582" i="1"/>
  <c r="Q580" i="1"/>
  <c r="Q578" i="1"/>
  <c r="Q573" i="1"/>
  <c r="Q570" i="1"/>
  <c r="Q567" i="1"/>
  <c r="Q563" i="1"/>
  <c r="Q561" i="1"/>
  <c r="Q554" i="1"/>
  <c r="Q530" i="1"/>
  <c r="Q527" i="1"/>
  <c r="Q516" i="1"/>
  <c r="Q515" i="1"/>
  <c r="Q514" i="1"/>
  <c r="Q512" i="1"/>
  <c r="Q511" i="1"/>
  <c r="Q502" i="1"/>
  <c r="Q497" i="1"/>
  <c r="Q485" i="1"/>
  <c r="Q473" i="1"/>
  <c r="Q472" i="1"/>
  <c r="Q471" i="1"/>
  <c r="Q470" i="1"/>
  <c r="Q469" i="1"/>
  <c r="Q467" i="1"/>
  <c r="Q465" i="1"/>
  <c r="Q463" i="1"/>
  <c r="Q461" i="1"/>
  <c r="Q460" i="1"/>
  <c r="Q453" i="1"/>
  <c r="Q438" i="1"/>
  <c r="Q436" i="1"/>
  <c r="Q431" i="1"/>
  <c r="Q421" i="1"/>
  <c r="Q408" i="1"/>
  <c r="Q402" i="1"/>
  <c r="Q395" i="1"/>
  <c r="Q394" i="1"/>
  <c r="Q392" i="1"/>
  <c r="Q389" i="1"/>
  <c r="Q387" i="1"/>
  <c r="Q386" i="1"/>
  <c r="Q373" i="1"/>
  <c r="Q370" i="1"/>
  <c r="Q367" i="1"/>
  <c r="Q349" i="1"/>
  <c r="Q342" i="1"/>
  <c r="Q341" i="1"/>
  <c r="Q335" i="1"/>
  <c r="Q333" i="1"/>
  <c r="Q329" i="1"/>
  <c r="Q326" i="1"/>
  <c r="Q325" i="1"/>
  <c r="Q322" i="1"/>
  <c r="Q320" i="1"/>
  <c r="Q317" i="1"/>
  <c r="Q307" i="1"/>
  <c r="Q305" i="1"/>
  <c r="Q304" i="1"/>
  <c r="Q303" i="1"/>
  <c r="Q295" i="1"/>
  <c r="Q283" i="1"/>
  <c r="Q282" i="1"/>
  <c r="Q279" i="1"/>
  <c r="Q274" i="1"/>
  <c r="Q271" i="1"/>
  <c r="Q267" i="1"/>
  <c r="Q259" i="1"/>
  <c r="Q250" i="1"/>
  <c r="Q249" i="1"/>
  <c r="Q243" i="1"/>
  <c r="Q240" i="1"/>
  <c r="Q238" i="1"/>
  <c r="Q231" i="1"/>
  <c r="Q223" i="1"/>
  <c r="Q216" i="1"/>
  <c r="Q213" i="1"/>
  <c r="Q202" i="1"/>
  <c r="Q200" i="1"/>
  <c r="Q198" i="1"/>
  <c r="Q193" i="1"/>
  <c r="Q191" i="1"/>
  <c r="Q189" i="1"/>
  <c r="Q184" i="1"/>
  <c r="Q183" i="1"/>
  <c r="Q178" i="1"/>
  <c r="Q177" i="1"/>
  <c r="Q176" i="1"/>
  <c r="Q175" i="1"/>
  <c r="Q174" i="1"/>
  <c r="Q169" i="1"/>
  <c r="Q168" i="1"/>
  <c r="Q166" i="1"/>
  <c r="Q165" i="1"/>
  <c r="Q162" i="1"/>
  <c r="Q160" i="1"/>
  <c r="Q150" i="1"/>
  <c r="Q146" i="1"/>
  <c r="Q144" i="1"/>
  <c r="Q136" i="1"/>
  <c r="Q135" i="1"/>
  <c r="Q121" i="1"/>
  <c r="Q118" i="1"/>
  <c r="Q112" i="1"/>
  <c r="Q107" i="1"/>
  <c r="Q103" i="1"/>
  <c r="Q95" i="1"/>
  <c r="Q89" i="1"/>
  <c r="Q79" i="1"/>
  <c r="Q77" i="1"/>
  <c r="P39" i="1"/>
  <c r="P37" i="1" s="1"/>
  <c r="P974" i="1"/>
  <c r="P962" i="1"/>
  <c r="P950" i="1"/>
  <c r="P938" i="1"/>
  <c r="P926" i="1"/>
  <c r="P973" i="1"/>
  <c r="P961" i="1"/>
  <c r="P949" i="1"/>
  <c r="P937" i="1"/>
  <c r="P925" i="1"/>
  <c r="P975" i="1"/>
  <c r="P971" i="1"/>
  <c r="P963" i="1"/>
  <c r="P959" i="1"/>
  <c r="P951" i="1"/>
  <c r="P947" i="1"/>
  <c r="P939" i="1"/>
  <c r="P935" i="1"/>
  <c r="P927" i="1"/>
  <c r="P923" i="1"/>
  <c r="P970" i="1"/>
  <c r="P958" i="1"/>
  <c r="P946" i="1"/>
  <c r="P934" i="1"/>
  <c r="P922" i="1"/>
  <c r="P969" i="1"/>
  <c r="P957" i="1"/>
  <c r="P945" i="1"/>
  <c r="P933" i="1"/>
  <c r="P921" i="1"/>
  <c r="P966" i="1"/>
  <c r="P954" i="1"/>
  <c r="P942" i="1"/>
  <c r="P930" i="1"/>
  <c r="P918" i="1"/>
  <c r="P914" i="1"/>
  <c r="P899" i="1"/>
  <c r="P884" i="1"/>
  <c r="P869" i="1"/>
  <c r="P855" i="1"/>
  <c r="P913" i="1"/>
  <c r="P898" i="1"/>
  <c r="P883" i="1"/>
  <c r="P868" i="1"/>
  <c r="P854" i="1"/>
  <c r="P912" i="1"/>
  <c r="P897" i="1"/>
  <c r="P882" i="1"/>
  <c r="P867" i="1"/>
  <c r="P853" i="1"/>
  <c r="P851" i="1"/>
  <c r="P910" i="1"/>
  <c r="P895" i="1"/>
  <c r="P880" i="1"/>
  <c r="P865" i="1"/>
  <c r="P847" i="1"/>
  <c r="P909" i="1"/>
  <c r="P879" i="1"/>
  <c r="P846" i="1"/>
  <c r="P825" i="1"/>
  <c r="P834" i="1"/>
  <c r="P824" i="1"/>
  <c r="P814" i="1"/>
  <c r="P804" i="1"/>
  <c r="P835" i="1"/>
  <c r="P795" i="1"/>
  <c r="P833" i="1"/>
  <c r="P823" i="1"/>
  <c r="P813" i="1"/>
  <c r="P803" i="1"/>
  <c r="P794" i="1"/>
  <c r="P780" i="1"/>
  <c r="P772" i="1"/>
  <c r="P778" i="1"/>
  <c r="P770" i="1"/>
  <c r="P533" i="1"/>
  <c r="P440" i="1"/>
  <c r="P383" i="1"/>
  <c r="P234" i="1"/>
  <c r="P504" i="1"/>
  <c r="P413" i="1"/>
  <c r="P360" i="1"/>
  <c r="P276" i="1"/>
  <c r="P218" i="1"/>
  <c r="P489" i="1"/>
  <c r="P400" i="1"/>
  <c r="P345" i="1"/>
  <c r="P265" i="1"/>
  <c r="P196" i="1"/>
  <c r="P487" i="1"/>
  <c r="P343" i="1"/>
  <c r="P194" i="1"/>
  <c r="P397" i="1"/>
  <c r="P262" i="1"/>
  <c r="P254" i="1"/>
  <c r="P185" i="1"/>
  <c r="P447" i="1"/>
  <c r="P291" i="1"/>
  <c r="P158" i="1"/>
  <c r="P445" i="1"/>
  <c r="P289" i="1"/>
  <c r="P156" i="1"/>
  <c r="P443" i="1"/>
  <c r="P287" i="1"/>
  <c r="P154" i="1"/>
  <c r="P149" i="1"/>
  <c r="P826" i="1" l="1"/>
  <c r="P235" i="1"/>
  <c r="P285" i="1"/>
  <c r="P952" i="1"/>
  <c r="P441" i="1"/>
  <c r="P964" i="1"/>
  <c r="Q562" i="1"/>
  <c r="Q559" i="1" s="1"/>
  <c r="P675" i="1"/>
  <c r="P384" i="1"/>
  <c r="P702" i="1"/>
  <c r="P600" i="1"/>
  <c r="P133" i="1"/>
  <c r="P727" i="1"/>
  <c r="P900" i="1"/>
  <c r="Q901" i="1"/>
  <c r="P815" i="1"/>
  <c r="P916" i="1"/>
  <c r="P659" i="1"/>
  <c r="P928" i="1"/>
  <c r="Q237" i="1"/>
  <c r="P767" i="1"/>
  <c r="P766" i="1" s="1"/>
  <c r="P856" i="1"/>
  <c r="P940" i="1"/>
  <c r="P587" i="1"/>
  <c r="P119" i="1"/>
  <c r="Q39" i="1"/>
  <c r="Q589" i="1"/>
  <c r="Q587" i="1" s="1"/>
  <c r="P837" i="1"/>
  <c r="Q857" i="1"/>
  <c r="P785" i="1"/>
  <c r="P152" i="1"/>
  <c r="P796" i="1"/>
  <c r="P870" i="1"/>
  <c r="P622" i="1"/>
  <c r="P805" i="1"/>
  <c r="P885" i="1"/>
  <c r="P535" i="1"/>
  <c r="Q764" i="1"/>
  <c r="P755" i="1"/>
  <c r="Q50" i="1"/>
  <c r="Q659" i="1"/>
  <c r="Q60" i="1"/>
  <c r="Q758" i="1"/>
  <c r="Q600" i="1"/>
  <c r="Q56" i="1"/>
  <c r="Q46" i="1"/>
  <c r="Q568" i="1"/>
  <c r="Q52" i="1"/>
  <c r="Q535" i="1"/>
  <c r="Q760" i="1"/>
  <c r="Q48" i="1"/>
  <c r="Q58" i="1"/>
  <c r="Q756" i="1"/>
  <c r="Q54" i="1"/>
  <c r="Q702" i="1"/>
  <c r="Q40" i="1"/>
  <c r="Q35" i="1"/>
  <c r="Q37" i="1"/>
  <c r="Q23" i="1"/>
  <c r="P131" i="1"/>
  <c r="Q131" i="1" s="1"/>
  <c r="Q975" i="1"/>
  <c r="Q974" i="1"/>
  <c r="Q973" i="1"/>
  <c r="Q971" i="1"/>
  <c r="Q970" i="1"/>
  <c r="Q969" i="1"/>
  <c r="Q968" i="1"/>
  <c r="Q966" i="1"/>
  <c r="Q963" i="1"/>
  <c r="Q962" i="1"/>
  <c r="Q961" i="1"/>
  <c r="Q959" i="1"/>
  <c r="Q958" i="1"/>
  <c r="Q957" i="1"/>
  <c r="Q956" i="1"/>
  <c r="Q954" i="1"/>
  <c r="Q951" i="1"/>
  <c r="Q950" i="1"/>
  <c r="Q949" i="1"/>
  <c r="Q947" i="1"/>
  <c r="Q946" i="1"/>
  <c r="Q945" i="1"/>
  <c r="Q944" i="1"/>
  <c r="Q942" i="1"/>
  <c r="Q939" i="1"/>
  <c r="Q938" i="1"/>
  <c r="Q937" i="1"/>
  <c r="Q935" i="1"/>
  <c r="Q934" i="1"/>
  <c r="Q933" i="1"/>
  <c r="Q932" i="1"/>
  <c r="Q930" i="1"/>
  <c r="Q927" i="1"/>
  <c r="Q926" i="1"/>
  <c r="Q925" i="1"/>
  <c r="Q923" i="1"/>
  <c r="Q922" i="1"/>
  <c r="Q921" i="1"/>
  <c r="Q920" i="1"/>
  <c r="Q918" i="1"/>
  <c r="Q914" i="1"/>
  <c r="Q913" i="1"/>
  <c r="Q912" i="1"/>
  <c r="Q911" i="1"/>
  <c r="Q910" i="1"/>
  <c r="Q909" i="1"/>
  <c r="Q899" i="1"/>
  <c r="Q898" i="1"/>
  <c r="Q897" i="1"/>
  <c r="Q896" i="1"/>
  <c r="Q895" i="1"/>
  <c r="Q884" i="1"/>
  <c r="Q883" i="1"/>
  <c r="Q882" i="1"/>
  <c r="Q881" i="1"/>
  <c r="Q880" i="1"/>
  <c r="Q879" i="1"/>
  <c r="Q869" i="1"/>
  <c r="Q868" i="1"/>
  <c r="Q867" i="1"/>
  <c r="Q866" i="1"/>
  <c r="Q865" i="1"/>
  <c r="Q855" i="1"/>
  <c r="Q854" i="1"/>
  <c r="Q853" i="1"/>
  <c r="Q852" i="1"/>
  <c r="Q851" i="1"/>
  <c r="Q850" i="1"/>
  <c r="Q849" i="1"/>
  <c r="Q847" i="1"/>
  <c r="Q846" i="1"/>
  <c r="Q835" i="1"/>
  <c r="Q834" i="1"/>
  <c r="Q833" i="1"/>
  <c r="Q825" i="1"/>
  <c r="Q824" i="1"/>
  <c r="Q823" i="1"/>
  <c r="Q814" i="1"/>
  <c r="Q813" i="1"/>
  <c r="Q804" i="1"/>
  <c r="Q803" i="1"/>
  <c r="Q795" i="1"/>
  <c r="Q794" i="1"/>
  <c r="Q780" i="1"/>
  <c r="Q778" i="1"/>
  <c r="Q772" i="1"/>
  <c r="Q770" i="1"/>
  <c r="Q752" i="1"/>
  <c r="Q751" i="1"/>
  <c r="Q699" i="1"/>
  <c r="Q698" i="1"/>
  <c r="Q656" i="1"/>
  <c r="Q655" i="1"/>
  <c r="Q647" i="1"/>
  <c r="Q646" i="1"/>
  <c r="Q533" i="1"/>
  <c r="Q504" i="1"/>
  <c r="Q489" i="1"/>
  <c r="Q487" i="1"/>
  <c r="Q447" i="1"/>
  <c r="Q445" i="1"/>
  <c r="Q443" i="1"/>
  <c r="Q440" i="1"/>
  <c r="Q413" i="1"/>
  <c r="Q400" i="1"/>
  <c r="Q397" i="1"/>
  <c r="Q383" i="1"/>
  <c r="Q360" i="1"/>
  <c r="Q345" i="1"/>
  <c r="Q343" i="1"/>
  <c r="Q291" i="1"/>
  <c r="Q289" i="1"/>
  <c r="Q287" i="1"/>
  <c r="Q276" i="1"/>
  <c r="Q265" i="1"/>
  <c r="Q262" i="1"/>
  <c r="Q254" i="1"/>
  <c r="Q234" i="1"/>
  <c r="Q218" i="1"/>
  <c r="Q196" i="1"/>
  <c r="Q194" i="1"/>
  <c r="Q185" i="1"/>
  <c r="Q158" i="1"/>
  <c r="Q156" i="1"/>
  <c r="Q154" i="1"/>
  <c r="Q149" i="1"/>
  <c r="Q142" i="1"/>
  <c r="Q141" i="1"/>
  <c r="Q126" i="1"/>
  <c r="Q110" i="1"/>
  <c r="Q109" i="1"/>
  <c r="Q82" i="1"/>
  <c r="P72" i="1"/>
  <c r="Q72" i="1" s="1"/>
  <c r="P71" i="1"/>
  <c r="Q71" i="1" s="1"/>
  <c r="Q68" i="1"/>
  <c r="P70" i="1"/>
  <c r="P34" i="1"/>
  <c r="P117" i="1"/>
  <c r="P101" i="1" s="1"/>
  <c r="P99" i="1"/>
  <c r="P88" i="1"/>
  <c r="P74" i="1" s="1"/>
  <c r="L17" i="166"/>
  <c r="L12" i="166"/>
  <c r="M24" i="164"/>
  <c r="M25" i="164"/>
  <c r="M26" i="164"/>
  <c r="M27" i="164"/>
  <c r="M28" i="164"/>
  <c r="M29" i="164"/>
  <c r="M30" i="164"/>
  <c r="M31" i="164"/>
  <c r="M32" i="164"/>
  <c r="M33" i="164"/>
  <c r="M34" i="164"/>
  <c r="M35" i="164"/>
  <c r="M36" i="164"/>
  <c r="M37" i="164"/>
  <c r="M23" i="164"/>
  <c r="M14" i="164"/>
  <c r="M15" i="164"/>
  <c r="M16" i="164"/>
  <c r="M17" i="164"/>
  <c r="M18" i="164"/>
  <c r="M19" i="164"/>
  <c r="M20" i="164"/>
  <c r="M13" i="164"/>
  <c r="L61" i="142"/>
  <c r="L55" i="142"/>
  <c r="L54" i="142"/>
  <c r="L51" i="142"/>
  <c r="L50" i="142"/>
  <c r="L49" i="142"/>
  <c r="L46" i="142"/>
  <c r="L45" i="142"/>
  <c r="L43" i="142" s="1"/>
  <c r="P20" i="1" s="1"/>
  <c r="L44" i="142"/>
  <c r="L40" i="142"/>
  <c r="L39" i="142" s="1"/>
  <c r="L41" i="142"/>
  <c r="L36" i="142"/>
  <c r="L33" i="142"/>
  <c r="L32" i="142"/>
  <c r="L29" i="142"/>
  <c r="L28" i="142"/>
  <c r="L25" i="142"/>
  <c r="L24" i="142"/>
  <c r="L23" i="142"/>
  <c r="L22" i="142"/>
  <c r="L21" i="142"/>
  <c r="L20" i="142"/>
  <c r="L15" i="142"/>
  <c r="L14" i="142"/>
  <c r="L13" i="142"/>
  <c r="L12" i="142"/>
  <c r="P151" i="1" l="1"/>
  <c r="P534" i="1"/>
  <c r="P915" i="1"/>
  <c r="M12" i="164"/>
  <c r="P979" i="1" s="1"/>
  <c r="M22" i="164"/>
  <c r="P980" i="1" s="1"/>
  <c r="Q980" i="1" s="1"/>
  <c r="P19" i="1"/>
  <c r="Q19" i="1"/>
  <c r="P978" i="1"/>
  <c r="Q979" i="1"/>
  <c r="Q978" i="1" s="1"/>
  <c r="P621" i="1"/>
  <c r="Q20" i="1"/>
  <c r="Q88" i="1"/>
  <c r="Q74" i="1" s="1"/>
  <c r="L48" i="142"/>
  <c r="L27" i="142"/>
  <c r="P836" i="1"/>
  <c r="P784" i="1"/>
  <c r="Q99" i="1"/>
  <c r="Q90" i="1" s="1"/>
  <c r="P90" i="1"/>
  <c r="P73" i="1" s="1"/>
  <c r="P33" i="1"/>
  <c r="P32" i="1" s="1"/>
  <c r="Q34" i="1"/>
  <c r="Q33" i="1" s="1"/>
  <c r="P69" i="1"/>
  <c r="Q117" i="1"/>
  <c r="Q101" i="1" s="1"/>
  <c r="Q70" i="1"/>
  <c r="Q755" i="1"/>
  <c r="Q796" i="1"/>
  <c r="Q622" i="1"/>
  <c r="Q119" i="1"/>
  <c r="Q64" i="1"/>
  <c r="Q826" i="1"/>
  <c r="Q885" i="1"/>
  <c r="Q928" i="1"/>
  <c r="Q964" i="1"/>
  <c r="Q235" i="1"/>
  <c r="Q805" i="1"/>
  <c r="Q767" i="1"/>
  <c r="Q766" i="1" s="1"/>
  <c r="Q441" i="1"/>
  <c r="Q152" i="1"/>
  <c r="Q285" i="1"/>
  <c r="Q785" i="1"/>
  <c r="Q856" i="1"/>
  <c r="Q815" i="1"/>
  <c r="Q916" i="1"/>
  <c r="Q952" i="1"/>
  <c r="Q727" i="1"/>
  <c r="Q900" i="1"/>
  <c r="Q133" i="1"/>
  <c r="Q534" i="1"/>
  <c r="Q940" i="1"/>
  <c r="Q870" i="1"/>
  <c r="Q384" i="1"/>
  <c r="Q675" i="1"/>
  <c r="Q837" i="1"/>
  <c r="L16" i="166"/>
  <c r="L31" i="142"/>
  <c r="L19" i="142"/>
  <c r="P16" i="1" l="1"/>
  <c r="Q16" i="1"/>
  <c r="P21" i="1"/>
  <c r="Q21" i="1"/>
  <c r="P15" i="1"/>
  <c r="Q15" i="1"/>
  <c r="P17" i="1"/>
  <c r="Q17" i="1"/>
  <c r="Q69" i="1"/>
  <c r="Q621" i="1"/>
  <c r="Q73" i="1"/>
  <c r="Q836" i="1"/>
  <c r="Q915" i="1"/>
  <c r="Q784" i="1"/>
  <c r="Q151" i="1"/>
  <c r="Q32" i="1"/>
  <c r="A26" i="159" l="1"/>
  <c r="J270" i="167" l="1"/>
  <c r="D267" i="167"/>
  <c r="B267" i="167"/>
  <c r="D266" i="167"/>
  <c r="B266" i="167"/>
  <c r="I265" i="167"/>
  <c r="D265" i="167"/>
  <c r="B265" i="167"/>
  <c r="C263" i="167"/>
  <c r="D262" i="167"/>
  <c r="B262" i="167"/>
  <c r="D261" i="167"/>
  <c r="B261" i="167"/>
  <c r="D260" i="167"/>
  <c r="B260" i="167"/>
  <c r="H258" i="167"/>
  <c r="C258" i="167"/>
  <c r="H255" i="167"/>
  <c r="C255" i="167"/>
  <c r="J254" i="167"/>
  <c r="J252" i="167" s="1"/>
  <c r="H252" i="167"/>
  <c r="C252" i="167"/>
  <c r="D251" i="167"/>
  <c r="B251" i="167"/>
  <c r="J250" i="167"/>
  <c r="D250" i="167"/>
  <c r="B250" i="167"/>
  <c r="D249" i="167"/>
  <c r="B249" i="167"/>
  <c r="J248" i="167"/>
  <c r="D248" i="167"/>
  <c r="B248" i="167"/>
  <c r="D247" i="167"/>
  <c r="B247" i="167"/>
  <c r="H245" i="167"/>
  <c r="C245" i="167"/>
  <c r="D244" i="167"/>
  <c r="B244" i="167"/>
  <c r="H242" i="167"/>
  <c r="C242" i="167"/>
  <c r="D241" i="167"/>
  <c r="B241" i="167"/>
  <c r="D240" i="167"/>
  <c r="B240" i="167"/>
  <c r="D239" i="167"/>
  <c r="B239" i="167"/>
  <c r="D238" i="167"/>
  <c r="B238" i="167"/>
  <c r="H236" i="167"/>
  <c r="C236" i="167"/>
  <c r="D235" i="167"/>
  <c r="B235" i="167"/>
  <c r="D234" i="167"/>
  <c r="B234" i="167"/>
  <c r="D233" i="167"/>
  <c r="B233" i="167"/>
  <c r="H231" i="167"/>
  <c r="C231" i="167"/>
  <c r="J230" i="167"/>
  <c r="D230" i="167"/>
  <c r="B230" i="167"/>
  <c r="D229" i="167"/>
  <c r="B229" i="167"/>
  <c r="D228" i="167"/>
  <c r="B228" i="167"/>
  <c r="H226" i="167"/>
  <c r="C226" i="167"/>
  <c r="J225" i="167"/>
  <c r="J223" i="167" s="1"/>
  <c r="H223" i="167"/>
  <c r="C223" i="167"/>
  <c r="D222" i="167"/>
  <c r="B222" i="167"/>
  <c r="D221" i="167"/>
  <c r="B221" i="167"/>
  <c r="D220" i="167"/>
  <c r="B220" i="167"/>
  <c r="H218" i="167"/>
  <c r="C218" i="167"/>
  <c r="J217" i="167"/>
  <c r="D216" i="167"/>
  <c r="B216" i="167"/>
  <c r="H214" i="167"/>
  <c r="C214" i="167"/>
  <c r="D213" i="167"/>
  <c r="B213" i="167"/>
  <c r="J212" i="167"/>
  <c r="D212" i="167"/>
  <c r="B212" i="167"/>
  <c r="D211" i="167"/>
  <c r="B211" i="167"/>
  <c r="D210" i="167"/>
  <c r="B210" i="167"/>
  <c r="H208" i="167"/>
  <c r="C208" i="167"/>
  <c r="J207" i="167"/>
  <c r="J205" i="167" s="1"/>
  <c r="H205" i="167"/>
  <c r="C205" i="167"/>
  <c r="J204" i="167"/>
  <c r="J202" i="167" s="1"/>
  <c r="H202" i="167"/>
  <c r="C202" i="167"/>
  <c r="J201" i="167"/>
  <c r="J199" i="167" s="1"/>
  <c r="H199" i="167"/>
  <c r="C199" i="167"/>
  <c r="J198" i="167"/>
  <c r="J196" i="167" s="1"/>
  <c r="H196" i="167"/>
  <c r="C196" i="167"/>
  <c r="J195" i="167"/>
  <c r="J193" i="167" s="1"/>
  <c r="H193" i="167"/>
  <c r="C193" i="167"/>
  <c r="J192" i="167"/>
  <c r="J190" i="167" s="1"/>
  <c r="H190" i="167"/>
  <c r="C190" i="167"/>
  <c r="J189" i="167"/>
  <c r="J187" i="167" s="1"/>
  <c r="H187" i="167"/>
  <c r="C187" i="167"/>
  <c r="J186" i="167"/>
  <c r="J184" i="167" s="1"/>
  <c r="H184" i="167"/>
  <c r="C184" i="167"/>
  <c r="J183" i="167"/>
  <c r="J181" i="167" s="1"/>
  <c r="H181" i="167"/>
  <c r="C181" i="167"/>
  <c r="J180" i="167"/>
  <c r="J178" i="167" s="1"/>
  <c r="H178" i="167"/>
  <c r="C178" i="167"/>
  <c r="D177" i="167"/>
  <c r="B177" i="167"/>
  <c r="D176" i="167"/>
  <c r="B176" i="167"/>
  <c r="D175" i="167"/>
  <c r="B175" i="167"/>
  <c r="H173" i="167"/>
  <c r="C173" i="167"/>
  <c r="H170" i="167"/>
  <c r="C170" i="167"/>
  <c r="D169" i="167"/>
  <c r="B169" i="167"/>
  <c r="D168" i="167"/>
  <c r="B168" i="167"/>
  <c r="H166" i="167"/>
  <c r="C166" i="167"/>
  <c r="D165" i="167"/>
  <c r="B165" i="167"/>
  <c r="D164" i="167"/>
  <c r="B164" i="167"/>
  <c r="H162" i="167"/>
  <c r="C162" i="167"/>
  <c r="D160" i="167"/>
  <c r="B160" i="167"/>
  <c r="H158" i="167"/>
  <c r="C158" i="167"/>
  <c r="D157" i="167"/>
  <c r="B157" i="167"/>
  <c r="H155" i="167"/>
  <c r="C155" i="167"/>
  <c r="D153" i="167"/>
  <c r="B153" i="167"/>
  <c r="D152" i="167"/>
  <c r="B152" i="167"/>
  <c r="D151" i="167"/>
  <c r="B151" i="167"/>
  <c r="H149" i="167"/>
  <c r="C149" i="167"/>
  <c r="D148" i="167"/>
  <c r="B148" i="167"/>
  <c r="H146" i="167"/>
  <c r="C146" i="167"/>
  <c r="D144" i="167"/>
  <c r="B144" i="167"/>
  <c r="D143" i="167"/>
  <c r="B143" i="167"/>
  <c r="D140" i="167"/>
  <c r="B140" i="167"/>
  <c r="D139" i="167"/>
  <c r="B139" i="167"/>
  <c r="H137" i="167"/>
  <c r="C137" i="167"/>
  <c r="D136" i="167"/>
  <c r="B136" i="167"/>
  <c r="D135" i="167"/>
  <c r="B135" i="167"/>
  <c r="D132" i="167"/>
  <c r="B132" i="167"/>
  <c r="D131" i="167"/>
  <c r="B131" i="167"/>
  <c r="D130" i="167"/>
  <c r="B130" i="167"/>
  <c r="D129" i="167"/>
  <c r="B129" i="167"/>
  <c r="D128" i="167"/>
  <c r="B128" i="167"/>
  <c r="D125" i="167"/>
  <c r="B125" i="167"/>
  <c r="D124" i="167"/>
  <c r="B124" i="167"/>
  <c r="D123" i="167"/>
  <c r="B123" i="167"/>
  <c r="D122" i="167"/>
  <c r="B122" i="167"/>
  <c r="D121" i="167"/>
  <c r="B121" i="167"/>
  <c r="D118" i="167"/>
  <c r="B118" i="167"/>
  <c r="D117" i="167"/>
  <c r="B117" i="167"/>
  <c r="D116" i="167"/>
  <c r="B116" i="167"/>
  <c r="H114" i="167"/>
  <c r="C114" i="167"/>
  <c r="D113" i="167"/>
  <c r="B113" i="167"/>
  <c r="D112" i="167"/>
  <c r="B112" i="167"/>
  <c r="D111" i="167"/>
  <c r="B111" i="167"/>
  <c r="H109" i="167"/>
  <c r="C109" i="167"/>
  <c r="D108" i="167"/>
  <c r="B108" i="167"/>
  <c r="D107" i="167"/>
  <c r="B107" i="167"/>
  <c r="D106" i="167"/>
  <c r="B106" i="167"/>
  <c r="H104" i="167"/>
  <c r="C104" i="167"/>
  <c r="D103" i="167"/>
  <c r="B103" i="167"/>
  <c r="D102" i="167"/>
  <c r="B102" i="167"/>
  <c r="D101" i="167"/>
  <c r="B101" i="167"/>
  <c r="J100" i="167"/>
  <c r="D100" i="167"/>
  <c r="B100" i="167"/>
  <c r="H98" i="167"/>
  <c r="C98" i="167"/>
  <c r="D97" i="167"/>
  <c r="B97" i="167"/>
  <c r="D96" i="167"/>
  <c r="B96" i="167"/>
  <c r="D95" i="167"/>
  <c r="B95" i="167"/>
  <c r="D94" i="167"/>
  <c r="B94" i="167"/>
  <c r="H92" i="167"/>
  <c r="C92" i="167"/>
  <c r="D91" i="167"/>
  <c r="B91" i="167"/>
  <c r="D90" i="167"/>
  <c r="B90" i="167"/>
  <c r="D89" i="167"/>
  <c r="B89" i="167"/>
  <c r="J88" i="167"/>
  <c r="D88" i="167"/>
  <c r="B88" i="167"/>
  <c r="H86" i="167"/>
  <c r="C86" i="167"/>
  <c r="D85" i="167"/>
  <c r="B85" i="167"/>
  <c r="D84" i="167"/>
  <c r="B84" i="167"/>
  <c r="D83" i="167"/>
  <c r="B83" i="167"/>
  <c r="D82" i="167"/>
  <c r="B82" i="167"/>
  <c r="H80" i="167"/>
  <c r="C80" i="167"/>
  <c r="J79" i="167"/>
  <c r="D79" i="167"/>
  <c r="B79" i="167"/>
  <c r="D78" i="167"/>
  <c r="B78" i="167"/>
  <c r="D77" i="167"/>
  <c r="B77" i="167"/>
  <c r="J76" i="167"/>
  <c r="D76" i="167"/>
  <c r="B76" i="167"/>
  <c r="H74" i="167"/>
  <c r="C74" i="167"/>
  <c r="D73" i="167"/>
  <c r="B73" i="167"/>
  <c r="D72" i="167"/>
  <c r="B72" i="167"/>
  <c r="D71" i="167"/>
  <c r="B71" i="167"/>
  <c r="D70" i="167"/>
  <c r="B70" i="167"/>
  <c r="H68" i="167"/>
  <c r="C68" i="167"/>
  <c r="I67" i="167"/>
  <c r="D67" i="167"/>
  <c r="B67" i="167"/>
  <c r="D66" i="167"/>
  <c r="B66" i="167"/>
  <c r="I65" i="167"/>
  <c r="D65" i="167"/>
  <c r="B65" i="167"/>
  <c r="I64" i="167"/>
  <c r="D64" i="167"/>
  <c r="B64" i="167"/>
  <c r="D63" i="167"/>
  <c r="B63" i="167"/>
  <c r="H61" i="167"/>
  <c r="C61" i="167"/>
  <c r="I60" i="167"/>
  <c r="D60" i="167"/>
  <c r="B60" i="167"/>
  <c r="I59" i="167"/>
  <c r="D59" i="167"/>
  <c r="B59" i="167"/>
  <c r="D58" i="167"/>
  <c r="B58" i="167"/>
  <c r="H56" i="167"/>
  <c r="C56" i="167"/>
  <c r="I55" i="167"/>
  <c r="D55" i="167"/>
  <c r="B55" i="167"/>
  <c r="I54" i="167"/>
  <c r="D54" i="167"/>
  <c r="B54" i="167"/>
  <c r="I53" i="167"/>
  <c r="D53" i="167"/>
  <c r="B53" i="167"/>
  <c r="I52" i="167"/>
  <c r="D52" i="167"/>
  <c r="B52" i="167"/>
  <c r="D51" i="167"/>
  <c r="B51" i="167"/>
  <c r="H49" i="167"/>
  <c r="C49" i="167"/>
  <c r="I48" i="167"/>
  <c r="D48" i="167"/>
  <c r="B48" i="167"/>
  <c r="I47" i="167"/>
  <c r="D47" i="167"/>
  <c r="B47" i="167"/>
  <c r="D46" i="167"/>
  <c r="B46" i="167"/>
  <c r="H44" i="167"/>
  <c r="C44" i="167"/>
  <c r="I43" i="167"/>
  <c r="J43" i="167" s="1"/>
  <c r="D43" i="167"/>
  <c r="B43" i="167"/>
  <c r="I42" i="167"/>
  <c r="D42" i="167"/>
  <c r="B42" i="167"/>
  <c r="I41" i="167"/>
  <c r="D41" i="167"/>
  <c r="B41" i="167"/>
  <c r="I40" i="167"/>
  <c r="D40" i="167"/>
  <c r="B40" i="167"/>
  <c r="D39" i="167"/>
  <c r="B39" i="167"/>
  <c r="H37" i="167"/>
  <c r="C37" i="167"/>
  <c r="D36" i="167"/>
  <c r="B36" i="167"/>
  <c r="H34" i="167"/>
  <c r="C34" i="167"/>
  <c r="D33" i="167"/>
  <c r="B33" i="167"/>
  <c r="D32" i="167"/>
  <c r="B32" i="167"/>
  <c r="H30" i="167"/>
  <c r="C30" i="167"/>
  <c r="I29" i="167"/>
  <c r="D29" i="167"/>
  <c r="B29" i="167"/>
  <c r="D28" i="167"/>
  <c r="B28" i="167"/>
  <c r="I27" i="167"/>
  <c r="J27" i="167"/>
  <c r="D27" i="167"/>
  <c r="B27" i="167"/>
  <c r="I26" i="167"/>
  <c r="D26" i="167"/>
  <c r="B26" i="167"/>
  <c r="H24" i="167"/>
  <c r="C24" i="167"/>
  <c r="D23" i="167"/>
  <c r="B23" i="167"/>
  <c r="D20" i="167"/>
  <c r="B20" i="167"/>
  <c r="D19" i="167"/>
  <c r="B19" i="167"/>
  <c r="D18" i="167"/>
  <c r="B18" i="167"/>
  <c r="H16" i="167"/>
  <c r="C16" i="167"/>
  <c r="D15" i="167"/>
  <c r="B15" i="167"/>
  <c r="D14" i="167"/>
  <c r="B14" i="167"/>
  <c r="D13" i="167"/>
  <c r="B13" i="167"/>
  <c r="J277" i="167" l="1"/>
  <c r="J275" i="167" s="1"/>
  <c r="H679" i="1" s="1"/>
  <c r="J143" i="167"/>
  <c r="J148" i="167"/>
  <c r="J146" i="167" s="1"/>
  <c r="J175" i="167"/>
  <c r="J108" i="167"/>
  <c r="J122" i="167"/>
  <c r="J130" i="167"/>
  <c r="J33" i="167"/>
  <c r="J59" i="167"/>
  <c r="J63" i="167"/>
  <c r="J36" i="167"/>
  <c r="J34" i="167" s="1"/>
  <c r="H599" i="1" s="1"/>
  <c r="J18" i="167"/>
  <c r="J71" i="167"/>
  <c r="J42" i="167"/>
  <c r="J46" i="167"/>
  <c r="J82" i="167"/>
  <c r="J97" i="167"/>
  <c r="J118" i="167"/>
  <c r="J128" i="167"/>
  <c r="J131" i="167"/>
  <c r="J213" i="167"/>
  <c r="J14" i="167"/>
  <c r="J19" i="167"/>
  <c r="J140" i="167"/>
  <c r="J55" i="167"/>
  <c r="J73" i="167"/>
  <c r="J229" i="167"/>
  <c r="J241" i="167"/>
  <c r="J247" i="167"/>
  <c r="J78" i="167"/>
  <c r="J90" i="167"/>
  <c r="J136" i="167"/>
  <c r="J168" i="167"/>
  <c r="J210" i="167"/>
  <c r="J220" i="167"/>
  <c r="J102" i="167"/>
  <c r="J47" i="167"/>
  <c r="J124" i="167"/>
  <c r="J129" i="167"/>
  <c r="J132" i="167"/>
  <c r="J221" i="167"/>
  <c r="J265" i="167"/>
  <c r="J271" i="167"/>
  <c r="J58" i="167"/>
  <c r="J139" i="167"/>
  <c r="J154" i="167"/>
  <c r="J165" i="167"/>
  <c r="J228" i="167"/>
  <c r="J240" i="167"/>
  <c r="J292" i="167"/>
  <c r="J290" i="167" s="1"/>
  <c r="J28" i="167"/>
  <c r="J41" i="167"/>
  <c r="J26" i="167"/>
  <c r="J89" i="167"/>
  <c r="J15" i="167"/>
  <c r="J48" i="167"/>
  <c r="J53" i="167"/>
  <c r="J83" i="167"/>
  <c r="J84" i="167"/>
  <c r="J95" i="167"/>
  <c r="J103" i="167"/>
  <c r="J112" i="167"/>
  <c r="J234" i="167"/>
  <c r="J260" i="167"/>
  <c r="J261" i="167"/>
  <c r="J286" i="167"/>
  <c r="J284" i="167" s="1"/>
  <c r="H723" i="1" s="1"/>
  <c r="J160" i="167"/>
  <c r="J13" i="167"/>
  <c r="J29" i="167"/>
  <c r="J32" i="167"/>
  <c r="J52" i="167"/>
  <c r="J66" i="167"/>
  <c r="J67" i="167"/>
  <c r="J106" i="167"/>
  <c r="J117" i="167"/>
  <c r="J151" i="167"/>
  <c r="J153" i="167"/>
  <c r="J157" i="167"/>
  <c r="J155" i="167" s="1"/>
  <c r="H657" i="1" s="1"/>
  <c r="J176" i="167"/>
  <c r="J239" i="167"/>
  <c r="J251" i="167"/>
  <c r="J257" i="167"/>
  <c r="J255" i="167" s="1"/>
  <c r="H27" i="1" s="1"/>
  <c r="J266" i="167"/>
  <c r="J274" i="167"/>
  <c r="J272" i="167" s="1"/>
  <c r="H552" i="1" s="1"/>
  <c r="J289" i="167"/>
  <c r="J287" i="167" s="1"/>
  <c r="H724" i="1" s="1"/>
  <c r="J113" i="167"/>
  <c r="J233" i="167"/>
  <c r="J235" i="167"/>
  <c r="J262" i="167"/>
  <c r="H82" i="1"/>
  <c r="H110" i="1"/>
  <c r="H141" i="1"/>
  <c r="H556" i="1"/>
  <c r="H696" i="1"/>
  <c r="H726" i="1"/>
  <c r="H735" i="1"/>
  <c r="H868" i="1"/>
  <c r="J20" i="167"/>
  <c r="J23" i="167"/>
  <c r="J21" i="167" s="1"/>
  <c r="J40" i="167"/>
  <c r="J60" i="167"/>
  <c r="J65" i="167"/>
  <c r="J77" i="167"/>
  <c r="J91" i="167"/>
  <c r="J101" i="167"/>
  <c r="J116" i="167"/>
  <c r="J114" i="167" s="1"/>
  <c r="H364" i="1" s="1"/>
  <c r="J135" i="167"/>
  <c r="J144" i="167"/>
  <c r="J161" i="167"/>
  <c r="J158" i="167" s="1"/>
  <c r="H678" i="1" s="1"/>
  <c r="J169" i="167"/>
  <c r="J177" i="167"/>
  <c r="J216" i="167"/>
  <c r="J214" i="167" s="1"/>
  <c r="J222" i="167"/>
  <c r="J238" i="167"/>
  <c r="J249" i="167"/>
  <c r="J280" i="167"/>
  <c r="J278" i="167" s="1"/>
  <c r="H704" i="1" s="1"/>
  <c r="H88" i="1"/>
  <c r="H117" i="1"/>
  <c r="H142" i="1"/>
  <c r="H582" i="1"/>
  <c r="H770" i="1"/>
  <c r="H778" i="1"/>
  <c r="H854" i="1"/>
  <c r="H913" i="1"/>
  <c r="J164" i="167"/>
  <c r="J172" i="167"/>
  <c r="J170" i="167" s="1"/>
  <c r="H878" i="1" s="1"/>
  <c r="J211" i="167"/>
  <c r="J267" i="167"/>
  <c r="J283" i="167"/>
  <c r="J281" i="167" s="1"/>
  <c r="H722" i="1" s="1"/>
  <c r="H99" i="1"/>
  <c r="H126" i="1"/>
  <c r="H149" i="1"/>
  <c r="H630" i="1"/>
  <c r="H772" i="1"/>
  <c r="H780" i="1"/>
  <c r="H898" i="1"/>
  <c r="J111" i="167"/>
  <c r="J109" i="167" s="1"/>
  <c r="J121" i="167"/>
  <c r="J123" i="167"/>
  <c r="J125" i="167"/>
  <c r="J145" i="167"/>
  <c r="J152" i="167"/>
  <c r="J244" i="167"/>
  <c r="J242" i="167" s="1"/>
  <c r="H851" i="1" s="1"/>
  <c r="H109" i="1"/>
  <c r="H131" i="1"/>
  <c r="H673" i="1"/>
  <c r="H725" i="1"/>
  <c r="H749" i="1"/>
  <c r="H883" i="1"/>
  <c r="J51" i="167"/>
  <c r="J70" i="167"/>
  <c r="J96" i="167"/>
  <c r="J39" i="167"/>
  <c r="J37" i="167" s="1"/>
  <c r="H589" i="1" s="1"/>
  <c r="J64" i="167"/>
  <c r="J85" i="167"/>
  <c r="J107" i="167"/>
  <c r="J104" i="167" s="1"/>
  <c r="H274" i="1" s="1"/>
  <c r="J54" i="167"/>
  <c r="J72" i="167"/>
  <c r="J94" i="167"/>
  <c r="J126" i="167"/>
  <c r="J268" i="167"/>
  <c r="H39" i="1" s="1"/>
  <c r="J44" i="167" l="1"/>
  <c r="H602" i="1" s="1"/>
  <c r="H732" i="1"/>
  <c r="H618" i="1"/>
  <c r="H554" i="1"/>
  <c r="H653" i="1"/>
  <c r="H584" i="1"/>
  <c r="J137" i="167"/>
  <c r="H672" i="1" s="1"/>
  <c r="H616" i="1"/>
  <c r="H908" i="1"/>
  <c r="J166" i="167"/>
  <c r="H774" i="1" s="1"/>
  <c r="H580" i="1"/>
  <c r="J30" i="167"/>
  <c r="H263" i="1" s="1"/>
  <c r="J56" i="167"/>
  <c r="H573" i="1" s="1"/>
  <c r="H845" i="1"/>
  <c r="J218" i="167"/>
  <c r="H614" i="1"/>
  <c r="H753" i="1"/>
  <c r="H586" i="1"/>
  <c r="H578" i="1"/>
  <c r="H565" i="1"/>
  <c r="H547" i="1"/>
  <c r="H558" i="1"/>
  <c r="J16" i="167"/>
  <c r="H305" i="1" s="1"/>
  <c r="H550" i="1"/>
  <c r="J162" i="167"/>
  <c r="H781" i="1" s="1"/>
  <c r="H567" i="1"/>
  <c r="H620" i="1"/>
  <c r="H612" i="1"/>
  <c r="H597" i="1"/>
  <c r="J86" i="167"/>
  <c r="H406" i="1" s="1"/>
  <c r="J258" i="167"/>
  <c r="H950" i="1" s="1"/>
  <c r="J236" i="167"/>
  <c r="H911" i="1" s="1"/>
  <c r="H716" i="1"/>
  <c r="H700" i="1"/>
  <c r="J74" i="167"/>
  <c r="H200" i="1" s="1"/>
  <c r="J173" i="167"/>
  <c r="H848" i="1" s="1"/>
  <c r="J24" i="167"/>
  <c r="H254" i="1" s="1"/>
  <c r="H864" i="1"/>
  <c r="H648" i="1"/>
  <c r="H721" i="1"/>
  <c r="H719" i="1"/>
  <c r="H729" i="1"/>
  <c r="J133" i="167"/>
  <c r="H707" i="1"/>
  <c r="J245" i="167"/>
  <c r="H852" i="1" s="1"/>
  <c r="J208" i="167"/>
  <c r="H345" i="1" s="1"/>
  <c r="J226" i="167"/>
  <c r="H835" i="1" s="1"/>
  <c r="J98" i="167"/>
  <c r="H293" i="1" s="1"/>
  <c r="J11" i="167"/>
  <c r="J231" i="167"/>
  <c r="H849" i="1" s="1"/>
  <c r="H695" i="1"/>
  <c r="H748" i="1"/>
  <c r="J80" i="167"/>
  <c r="H404" i="1" s="1"/>
  <c r="H731" i="1"/>
  <c r="J263" i="167"/>
  <c r="H643" i="1"/>
  <c r="J149" i="167"/>
  <c r="H741" i="1" s="1"/>
  <c r="H773" i="1"/>
  <c r="H652" i="1"/>
  <c r="H397" i="1"/>
  <c r="H562" i="1"/>
  <c r="H664" i="1"/>
  <c r="J49" i="167"/>
  <c r="H603" i="1" s="1"/>
  <c r="J92" i="167"/>
  <c r="H408" i="1" s="1"/>
  <c r="J119" i="167"/>
  <c r="H626" i="1"/>
  <c r="J141" i="167"/>
  <c r="H220" i="1"/>
  <c r="H362" i="1"/>
  <c r="H506" i="1"/>
  <c r="H261" i="1"/>
  <c r="J61" i="167"/>
  <c r="H540" i="1" s="1"/>
  <c r="H974" i="1"/>
  <c r="H591" i="1"/>
  <c r="H561" i="1"/>
  <c r="H358" i="1"/>
  <c r="H894" i="1"/>
  <c r="H571" i="1"/>
  <c r="H538" i="1"/>
  <c r="H185" i="1"/>
  <c r="H604" i="1"/>
  <c r="H570" i="1"/>
  <c r="H537" i="1"/>
  <c r="H262" i="1"/>
  <c r="H926" i="1"/>
  <c r="H850" i="1"/>
  <c r="H502" i="1"/>
  <c r="H962" i="1"/>
  <c r="H715" i="1"/>
  <c r="H489" i="1"/>
  <c r="H216" i="1"/>
  <c r="H881" i="1"/>
  <c r="J68" i="167"/>
  <c r="H419" i="1" l="1"/>
  <c r="H449" i="1"/>
  <c r="H172" i="1"/>
  <c r="H335" i="1"/>
  <c r="H253" i="1"/>
  <c r="H461" i="1"/>
  <c r="H186" i="1"/>
  <c r="H255" i="1"/>
  <c r="H398" i="1"/>
  <c r="H636" i="1"/>
  <c r="H782" i="1"/>
  <c r="H497" i="1"/>
  <c r="H938" i="1"/>
  <c r="H539" i="1"/>
  <c r="H572" i="1"/>
  <c r="H563" i="1"/>
  <c r="H866" i="1"/>
  <c r="H896" i="1"/>
  <c r="H342" i="1"/>
  <c r="H518" i="1"/>
  <c r="H247" i="1"/>
  <c r="H329" i="1"/>
  <c r="H473" i="1"/>
  <c r="H400" i="1"/>
  <c r="H402" i="1"/>
  <c r="H431" i="1"/>
  <c r="H455" i="1"/>
  <c r="H390" i="1"/>
  <c r="H166" i="1"/>
  <c r="H349" i="1"/>
  <c r="H425" i="1"/>
  <c r="H193" i="1"/>
  <c r="H549" i="1"/>
  <c r="H178" i="1"/>
  <c r="H491" i="1"/>
  <c r="H590" i="1"/>
  <c r="H184" i="1"/>
  <c r="H317" i="1"/>
  <c r="H467" i="1"/>
  <c r="H160" i="1"/>
  <c r="H323" i="1"/>
  <c r="H479" i="1"/>
  <c r="H241" i="1"/>
  <c r="H370" i="1"/>
  <c r="H396" i="1"/>
  <c r="H311" i="1"/>
  <c r="H795" i="1"/>
  <c r="H196" i="1"/>
  <c r="H299" i="1"/>
  <c r="H486" i="1"/>
  <c r="H265" i="1"/>
  <c r="H269" i="1"/>
  <c r="H512" i="1"/>
  <c r="H202" i="1"/>
  <c r="H687" i="1"/>
  <c r="H198" i="1"/>
  <c r="H267" i="1"/>
  <c r="H347" i="1"/>
  <c r="D25" i="1"/>
  <c r="D26" i="1"/>
  <c r="D24" i="1"/>
  <c r="G739" i="1" l="1"/>
  <c r="F739" i="1"/>
  <c r="D739" i="1"/>
  <c r="G686" i="1"/>
  <c r="F686" i="1"/>
  <c r="D686" i="1"/>
  <c r="G635" i="1"/>
  <c r="F635" i="1"/>
  <c r="D635" i="1"/>
  <c r="D636" i="1"/>
  <c r="F636" i="1"/>
  <c r="G636" i="1"/>
  <c r="C23" i="139" l="1"/>
  <c r="I57" i="142" l="1"/>
  <c r="G57" i="142"/>
  <c r="F57" i="142"/>
  <c r="I56" i="142"/>
  <c r="G56" i="142"/>
  <c r="F56" i="142"/>
  <c r="I58" i="142"/>
  <c r="G58" i="142"/>
  <c r="F58" i="142"/>
  <c r="I55" i="142"/>
  <c r="G55" i="142"/>
  <c r="F55" i="142"/>
  <c r="F59" i="142"/>
  <c r="G59" i="142"/>
  <c r="I59" i="142"/>
  <c r="H37" i="142"/>
  <c r="L37" i="142" s="1"/>
  <c r="L35" i="142" s="1"/>
  <c r="H17" i="142"/>
  <c r="L17" i="142" s="1"/>
  <c r="H16" i="142"/>
  <c r="L16" i="142" s="1"/>
  <c r="C28" i="153"/>
  <c r="C29" i="153"/>
  <c r="C30" i="153"/>
  <c r="C31" i="153"/>
  <c r="C27" i="153"/>
  <c r="C10" i="153"/>
  <c r="C11" i="153"/>
  <c r="C12" i="153"/>
  <c r="C13" i="153"/>
  <c r="C9" i="153"/>
  <c r="L11" i="142" l="1"/>
  <c r="P18" i="1"/>
  <c r="Q18" i="1"/>
  <c r="J59" i="142"/>
  <c r="M59" i="142" s="1"/>
  <c r="J55" i="142"/>
  <c r="M55" i="142" s="1"/>
  <c r="J58" i="142"/>
  <c r="M58" i="142" s="1"/>
  <c r="J56" i="142"/>
  <c r="M56" i="142" s="1"/>
  <c r="J57" i="142"/>
  <c r="M57" i="142" s="1"/>
  <c r="G620" i="1"/>
  <c r="F620" i="1"/>
  <c r="D620" i="1"/>
  <c r="G599" i="1"/>
  <c r="F599" i="1"/>
  <c r="D599" i="1"/>
  <c r="G586" i="1"/>
  <c r="F586" i="1"/>
  <c r="D586" i="1"/>
  <c r="G567" i="1"/>
  <c r="F567" i="1"/>
  <c r="D567" i="1"/>
  <c r="G558" i="1"/>
  <c r="F558" i="1"/>
  <c r="D558" i="1"/>
  <c r="A86" i="154"/>
  <c r="A85" i="154"/>
  <c r="A84" i="154"/>
  <c r="A83" i="154"/>
  <c r="A59" i="154"/>
  <c r="A58" i="154"/>
  <c r="A57" i="154"/>
  <c r="A31" i="154"/>
  <c r="A30" i="154"/>
  <c r="A29" i="154"/>
  <c r="A28" i="154"/>
  <c r="D34" i="1"/>
  <c r="D15" i="1"/>
  <c r="D16" i="1"/>
  <c r="D17" i="1"/>
  <c r="D18" i="1"/>
  <c r="D19" i="1"/>
  <c r="D20" i="1"/>
  <c r="D21" i="1"/>
  <c r="D22" i="1"/>
  <c r="D30" i="1"/>
  <c r="D31" i="1"/>
  <c r="D70" i="1"/>
  <c r="G65" i="1"/>
  <c r="F65" i="1"/>
  <c r="D65" i="1"/>
  <c r="G66" i="1"/>
  <c r="F66" i="1"/>
  <c r="D66" i="1"/>
  <c r="G67" i="1"/>
  <c r="F67" i="1"/>
  <c r="D67" i="1"/>
  <c r="B25" i="141"/>
  <c r="Q14" i="1" l="1"/>
  <c r="P14" i="1"/>
  <c r="D437" i="1"/>
  <c r="F437" i="1"/>
  <c r="G437" i="1"/>
  <c r="G589" i="1" l="1"/>
  <c r="F589" i="1"/>
  <c r="D589" i="1"/>
  <c r="G317" i="1"/>
  <c r="F317" i="1"/>
  <c r="D317" i="1"/>
  <c r="G316" i="1"/>
  <c r="F316" i="1"/>
  <c r="D316" i="1"/>
  <c r="G315" i="1"/>
  <c r="F315" i="1"/>
  <c r="D315" i="1"/>
  <c r="G314" i="1"/>
  <c r="F314" i="1"/>
  <c r="D314" i="1"/>
  <c r="G313" i="1"/>
  <c r="F313" i="1"/>
  <c r="D313" i="1"/>
  <c r="G342" i="1"/>
  <c r="F342" i="1"/>
  <c r="D342" i="1"/>
  <c r="G341" i="1"/>
  <c r="F341" i="1"/>
  <c r="D341" i="1"/>
  <c r="G340" i="1"/>
  <c r="F340" i="1"/>
  <c r="D340" i="1"/>
  <c r="G339" i="1"/>
  <c r="F339" i="1"/>
  <c r="D339" i="1"/>
  <c r="G338" i="1"/>
  <c r="F338" i="1"/>
  <c r="D338" i="1"/>
  <c r="G337" i="1"/>
  <c r="F337" i="1"/>
  <c r="D337" i="1"/>
  <c r="G274" i="1"/>
  <c r="F274" i="1"/>
  <c r="D274" i="1"/>
  <c r="G531" i="1"/>
  <c r="F531" i="1"/>
  <c r="D531" i="1"/>
  <c r="G530" i="1"/>
  <c r="F530" i="1"/>
  <c r="D530" i="1"/>
  <c r="G529" i="1"/>
  <c r="F529" i="1"/>
  <c r="D529" i="1"/>
  <c r="G528" i="1"/>
  <c r="F528" i="1"/>
  <c r="D528" i="1"/>
  <c r="G527" i="1"/>
  <c r="F527" i="1"/>
  <c r="D527" i="1"/>
  <c r="G526" i="1"/>
  <c r="F526" i="1"/>
  <c r="D526" i="1"/>
  <c r="G438" i="1"/>
  <c r="F438" i="1"/>
  <c r="D438" i="1"/>
  <c r="G436" i="1"/>
  <c r="F436" i="1"/>
  <c r="D436" i="1"/>
  <c r="G381" i="1"/>
  <c r="F381" i="1"/>
  <c r="D381" i="1"/>
  <c r="G380" i="1"/>
  <c r="F380" i="1"/>
  <c r="D380" i="1"/>
  <c r="G379" i="1"/>
  <c r="F379" i="1"/>
  <c r="D379" i="1"/>
  <c r="G378" i="1"/>
  <c r="F378" i="1"/>
  <c r="D378" i="1"/>
  <c r="G284" i="1"/>
  <c r="F284" i="1"/>
  <c r="D284" i="1"/>
  <c r="G283" i="1"/>
  <c r="F283" i="1"/>
  <c r="D283" i="1"/>
  <c r="G282" i="1"/>
  <c r="F282" i="1"/>
  <c r="D282" i="1"/>
  <c r="G281" i="1"/>
  <c r="F281" i="1"/>
  <c r="D281" i="1"/>
  <c r="F228" i="1"/>
  <c r="G228" i="1"/>
  <c r="F229" i="1"/>
  <c r="G229" i="1"/>
  <c r="F230" i="1"/>
  <c r="G230" i="1"/>
  <c r="F231" i="1"/>
  <c r="G231" i="1"/>
  <c r="F232" i="1"/>
  <c r="G232" i="1"/>
  <c r="D232" i="1"/>
  <c r="D231" i="1"/>
  <c r="D229" i="1"/>
  <c r="D228" i="1"/>
  <c r="D230" i="1"/>
  <c r="F76" i="74" l="1"/>
  <c r="F71" i="74" s="1"/>
  <c r="F70" i="74"/>
  <c r="F65" i="74" s="1"/>
  <c r="F64" i="74"/>
  <c r="F59" i="74" s="1"/>
  <c r="G24" i="1" s="1"/>
  <c r="G26" i="1" l="1"/>
  <c r="G25" i="1"/>
  <c r="D38" i="1" l="1"/>
  <c r="D39" i="1"/>
  <c r="G39" i="1" l="1"/>
  <c r="F39" i="1"/>
  <c r="G38" i="1"/>
  <c r="F38" i="1"/>
  <c r="G36" i="1"/>
  <c r="F36" i="1"/>
  <c r="D36" i="1"/>
  <c r="F34" i="1"/>
  <c r="G57" i="1"/>
  <c r="F57" i="1"/>
  <c r="G59" i="1"/>
  <c r="F59" i="1"/>
  <c r="G55" i="1"/>
  <c r="F55" i="1"/>
  <c r="D55" i="1"/>
  <c r="D43" i="1"/>
  <c r="F43" i="1"/>
  <c r="G43" i="1"/>
  <c r="D45" i="1"/>
  <c r="F45" i="1"/>
  <c r="G45" i="1"/>
  <c r="D47" i="1"/>
  <c r="F47" i="1"/>
  <c r="G47" i="1"/>
  <c r="D49" i="1"/>
  <c r="F49" i="1"/>
  <c r="G49" i="1"/>
  <c r="D51" i="1"/>
  <c r="F51" i="1"/>
  <c r="G51" i="1"/>
  <c r="F53" i="1"/>
  <c r="G53" i="1"/>
  <c r="D61" i="1"/>
  <c r="F61" i="1"/>
  <c r="G61" i="1"/>
  <c r="G41" i="1"/>
  <c r="F41" i="1"/>
  <c r="D41" i="1"/>
  <c r="H60" i="142" l="1"/>
  <c r="L60" i="142" s="1"/>
  <c r="L53" i="142" s="1"/>
  <c r="P22" i="1" l="1"/>
  <c r="P13" i="1" s="1"/>
  <c r="P981" i="1" s="1"/>
  <c r="Q22" i="1"/>
  <c r="Q13" i="1" s="1"/>
  <c r="Q981" i="1" s="1"/>
  <c r="G654" i="1"/>
  <c r="F654" i="1"/>
  <c r="D654" i="1"/>
  <c r="G122" i="1" l="1"/>
  <c r="F122" i="1"/>
  <c r="D122" i="1"/>
  <c r="G93" i="1"/>
  <c r="F93" i="1"/>
  <c r="D93" i="1"/>
  <c r="G908" i="1" l="1"/>
  <c r="F908" i="1"/>
  <c r="D908" i="1"/>
  <c r="G907" i="1"/>
  <c r="F907" i="1"/>
  <c r="D907" i="1"/>
  <c r="G906" i="1"/>
  <c r="F906" i="1"/>
  <c r="D906" i="1"/>
  <c r="G905" i="1"/>
  <c r="F905" i="1"/>
  <c r="D905" i="1"/>
  <c r="G904" i="1"/>
  <c r="F904" i="1"/>
  <c r="D904" i="1"/>
  <c r="G903" i="1"/>
  <c r="F903" i="1"/>
  <c r="D903" i="1"/>
  <c r="G902" i="1"/>
  <c r="F902" i="1"/>
  <c r="D902" i="1"/>
  <c r="G901" i="1"/>
  <c r="F901" i="1"/>
  <c r="D901" i="1"/>
  <c r="G894" i="1"/>
  <c r="F894" i="1"/>
  <c r="D894" i="1"/>
  <c r="G893" i="1"/>
  <c r="F893" i="1"/>
  <c r="D893" i="1"/>
  <c r="G892" i="1"/>
  <c r="F892" i="1"/>
  <c r="D892" i="1"/>
  <c r="G891" i="1"/>
  <c r="F891" i="1"/>
  <c r="D891" i="1"/>
  <c r="G890" i="1"/>
  <c r="F890" i="1"/>
  <c r="D890" i="1"/>
  <c r="G889" i="1"/>
  <c r="F889" i="1"/>
  <c r="D889" i="1"/>
  <c r="G888" i="1"/>
  <c r="F888" i="1"/>
  <c r="D888" i="1"/>
  <c r="G887" i="1"/>
  <c r="F887" i="1"/>
  <c r="D887" i="1"/>
  <c r="G886" i="1"/>
  <c r="F886" i="1"/>
  <c r="D886" i="1"/>
  <c r="G878" i="1"/>
  <c r="F878" i="1"/>
  <c r="D878" i="1"/>
  <c r="G877" i="1"/>
  <c r="F877" i="1"/>
  <c r="D877" i="1"/>
  <c r="G876" i="1"/>
  <c r="F876" i="1"/>
  <c r="D876" i="1"/>
  <c r="G875" i="1"/>
  <c r="F875" i="1"/>
  <c r="D875" i="1"/>
  <c r="G874" i="1"/>
  <c r="F874" i="1"/>
  <c r="D874" i="1"/>
  <c r="G873" i="1"/>
  <c r="F873" i="1"/>
  <c r="D873" i="1"/>
  <c r="G872" i="1"/>
  <c r="F872" i="1"/>
  <c r="D872" i="1"/>
  <c r="G871" i="1"/>
  <c r="F871" i="1"/>
  <c r="D871" i="1"/>
  <c r="G864" i="1"/>
  <c r="F864" i="1"/>
  <c r="D864" i="1"/>
  <c r="G863" i="1"/>
  <c r="F863" i="1"/>
  <c r="D863" i="1"/>
  <c r="G862" i="1"/>
  <c r="F862" i="1"/>
  <c r="D862" i="1"/>
  <c r="G861" i="1"/>
  <c r="F861" i="1"/>
  <c r="D861" i="1"/>
  <c r="G860" i="1"/>
  <c r="F860" i="1"/>
  <c r="D860" i="1"/>
  <c r="G859" i="1"/>
  <c r="F859" i="1"/>
  <c r="D859" i="1"/>
  <c r="G858" i="1"/>
  <c r="F858" i="1"/>
  <c r="D858" i="1"/>
  <c r="G857" i="1"/>
  <c r="F857" i="1"/>
  <c r="D857" i="1"/>
  <c r="I44" i="142" l="1"/>
  <c r="G44" i="142"/>
  <c r="F44" i="142"/>
  <c r="F45" i="142"/>
  <c r="G45" i="142"/>
  <c r="I45" i="142"/>
  <c r="F46" i="142"/>
  <c r="G46" i="142"/>
  <c r="I46" i="142"/>
  <c r="I41" i="142"/>
  <c r="G41" i="142"/>
  <c r="F41" i="142"/>
  <c r="I50" i="142"/>
  <c r="G50" i="142"/>
  <c r="F50" i="142"/>
  <c r="I49" i="142"/>
  <c r="G49" i="142"/>
  <c r="F49" i="142"/>
  <c r="I28" i="142"/>
  <c r="G28" i="142"/>
  <c r="F28" i="142"/>
  <c r="I32" i="142"/>
  <c r="G32" i="142"/>
  <c r="F32" i="142"/>
  <c r="G14" i="142"/>
  <c r="I14" i="142"/>
  <c r="F16" i="142"/>
  <c r="I16" i="142"/>
  <c r="G16" i="142"/>
  <c r="F13" i="142"/>
  <c r="I13" i="142"/>
  <c r="G13" i="142"/>
  <c r="J32" i="142" l="1"/>
  <c r="M32" i="142" s="1"/>
  <c r="J41" i="142"/>
  <c r="M41" i="142" s="1"/>
  <c r="J46" i="142"/>
  <c r="M46" i="142" s="1"/>
  <c r="J28" i="142"/>
  <c r="M28" i="142" s="1"/>
  <c r="J45" i="142"/>
  <c r="J49" i="142"/>
  <c r="M49" i="142" s="1"/>
  <c r="J50" i="142"/>
  <c r="M50" i="142" s="1"/>
  <c r="J44" i="142"/>
  <c r="M44" i="142" s="1"/>
  <c r="J13" i="142"/>
  <c r="M13" i="142" s="1"/>
  <c r="J14" i="142"/>
  <c r="M14" i="142" s="1"/>
  <c r="J16" i="142"/>
  <c r="M16" i="142" s="1"/>
  <c r="G822" i="1"/>
  <c r="F822" i="1"/>
  <c r="D822" i="1"/>
  <c r="G821" i="1"/>
  <c r="F821" i="1"/>
  <c r="D821" i="1"/>
  <c r="G820" i="1"/>
  <c r="F820" i="1"/>
  <c r="D820" i="1"/>
  <c r="G819" i="1"/>
  <c r="F819" i="1"/>
  <c r="D819" i="1"/>
  <c r="G818" i="1"/>
  <c r="F818" i="1"/>
  <c r="D818" i="1"/>
  <c r="G817" i="1"/>
  <c r="F817" i="1"/>
  <c r="D817" i="1"/>
  <c r="G816" i="1"/>
  <c r="F816" i="1"/>
  <c r="D816" i="1"/>
  <c r="G832" i="1"/>
  <c r="F832" i="1"/>
  <c r="D832" i="1"/>
  <c r="G831" i="1"/>
  <c r="F831" i="1"/>
  <c r="D831" i="1"/>
  <c r="G830" i="1"/>
  <c r="F830" i="1"/>
  <c r="D830" i="1"/>
  <c r="G829" i="1"/>
  <c r="F829" i="1"/>
  <c r="D829" i="1"/>
  <c r="G828" i="1"/>
  <c r="F828" i="1"/>
  <c r="D828" i="1"/>
  <c r="G827" i="1"/>
  <c r="F827" i="1"/>
  <c r="D827" i="1"/>
  <c r="G812" i="1"/>
  <c r="F812" i="1"/>
  <c r="D812" i="1"/>
  <c r="G811" i="1"/>
  <c r="F811" i="1"/>
  <c r="D811" i="1"/>
  <c r="G810" i="1"/>
  <c r="F810" i="1"/>
  <c r="D810" i="1"/>
  <c r="G809" i="1"/>
  <c r="F809" i="1"/>
  <c r="D809" i="1"/>
  <c r="G808" i="1"/>
  <c r="F808" i="1"/>
  <c r="D808" i="1"/>
  <c r="G807" i="1"/>
  <c r="F807" i="1"/>
  <c r="D807" i="1"/>
  <c r="G806" i="1"/>
  <c r="F806" i="1"/>
  <c r="D806" i="1"/>
  <c r="G802" i="1"/>
  <c r="F802" i="1"/>
  <c r="D802" i="1"/>
  <c r="G801" i="1"/>
  <c r="F801" i="1"/>
  <c r="D801" i="1"/>
  <c r="G800" i="1"/>
  <c r="F800" i="1"/>
  <c r="D800" i="1"/>
  <c r="G799" i="1"/>
  <c r="F799" i="1"/>
  <c r="D799" i="1"/>
  <c r="G798" i="1"/>
  <c r="F798" i="1"/>
  <c r="D798" i="1"/>
  <c r="G797" i="1"/>
  <c r="F797" i="1"/>
  <c r="D797" i="1"/>
  <c r="J43" i="142" l="1"/>
  <c r="M45" i="142"/>
  <c r="M43" i="142" s="1"/>
  <c r="G20" i="1"/>
  <c r="F70" i="1"/>
  <c r="D76" i="1"/>
  <c r="F76" i="1"/>
  <c r="D77" i="1"/>
  <c r="F77" i="1"/>
  <c r="D79" i="1"/>
  <c r="F79" i="1"/>
  <c r="D80" i="1"/>
  <c r="F80" i="1"/>
  <c r="D84" i="1"/>
  <c r="F84" i="1"/>
  <c r="D85" i="1"/>
  <c r="F85" i="1"/>
  <c r="D86" i="1"/>
  <c r="F86" i="1"/>
  <c r="D89" i="1"/>
  <c r="F89" i="1"/>
  <c r="D92" i="1"/>
  <c r="F92" i="1"/>
  <c r="D95" i="1"/>
  <c r="F95" i="1"/>
  <c r="D97" i="1"/>
  <c r="F97" i="1"/>
  <c r="G524" i="1" l="1"/>
  <c r="F524" i="1"/>
  <c r="D524" i="1"/>
  <c r="G523" i="1"/>
  <c r="F523" i="1"/>
  <c r="D523" i="1"/>
  <c r="G521" i="1"/>
  <c r="F521" i="1"/>
  <c r="D521" i="1"/>
  <c r="G520" i="1"/>
  <c r="F520" i="1"/>
  <c r="D520" i="1"/>
  <c r="G434" i="1"/>
  <c r="F434" i="1"/>
  <c r="D434" i="1"/>
  <c r="G433" i="1"/>
  <c r="F433" i="1"/>
  <c r="D433" i="1"/>
  <c r="G376" i="1"/>
  <c r="F376" i="1"/>
  <c r="D376" i="1"/>
  <c r="G375" i="1"/>
  <c r="F375" i="1"/>
  <c r="D375" i="1"/>
  <c r="G373" i="1"/>
  <c r="F373" i="1"/>
  <c r="D373" i="1"/>
  <c r="G372" i="1"/>
  <c r="F372" i="1"/>
  <c r="D372" i="1"/>
  <c r="G279" i="1"/>
  <c r="F279" i="1"/>
  <c r="D279" i="1"/>
  <c r="G278" i="1"/>
  <c r="F278" i="1"/>
  <c r="D278" i="1"/>
  <c r="G223" i="1"/>
  <c r="F223" i="1"/>
  <c r="D223" i="1"/>
  <c r="G222" i="1"/>
  <c r="F222" i="1"/>
  <c r="D222" i="1"/>
  <c r="G225" i="1"/>
  <c r="F225" i="1"/>
  <c r="D225" i="1"/>
  <c r="G226" i="1"/>
  <c r="F226" i="1"/>
  <c r="D226" i="1"/>
  <c r="G783" i="1" l="1"/>
  <c r="F783" i="1"/>
  <c r="D783" i="1"/>
  <c r="G782" i="1"/>
  <c r="F782" i="1"/>
  <c r="D782" i="1"/>
  <c r="G781" i="1"/>
  <c r="F781" i="1"/>
  <c r="D781" i="1"/>
  <c r="G779" i="1"/>
  <c r="F779" i="1"/>
  <c r="D779" i="1"/>
  <c r="G777" i="1"/>
  <c r="F777" i="1"/>
  <c r="D777" i="1"/>
  <c r="G774" i="1"/>
  <c r="F774" i="1"/>
  <c r="D774" i="1"/>
  <c r="G773" i="1"/>
  <c r="F773" i="1"/>
  <c r="D773" i="1"/>
  <c r="G769" i="1"/>
  <c r="F769" i="1"/>
  <c r="D769" i="1"/>
  <c r="G771" i="1"/>
  <c r="F771" i="1"/>
  <c r="D771" i="1"/>
  <c r="G775" i="1"/>
  <c r="F775" i="1"/>
  <c r="D775" i="1"/>
  <c r="G763" i="1" l="1"/>
  <c r="F763" i="1"/>
  <c r="D763" i="1"/>
  <c r="G762" i="1"/>
  <c r="F762" i="1"/>
  <c r="D762" i="1"/>
  <c r="G761" i="1"/>
  <c r="F761" i="1"/>
  <c r="D761" i="1"/>
  <c r="G765" i="1"/>
  <c r="F765" i="1"/>
  <c r="D765" i="1"/>
  <c r="G757" i="1"/>
  <c r="F757" i="1"/>
  <c r="D757" i="1"/>
  <c r="G737" i="1" l="1"/>
  <c r="F737" i="1"/>
  <c r="D737" i="1"/>
  <c r="G736" i="1"/>
  <c r="F736" i="1"/>
  <c r="D736" i="1"/>
  <c r="G684" i="1"/>
  <c r="F684" i="1"/>
  <c r="D684" i="1"/>
  <c r="G683" i="1"/>
  <c r="F683" i="1"/>
  <c r="D683" i="1"/>
  <c r="G633" i="1" l="1"/>
  <c r="F633" i="1"/>
  <c r="D633" i="1"/>
  <c r="G738" i="1"/>
  <c r="F738" i="1"/>
  <c r="D738" i="1"/>
  <c r="G745" i="1"/>
  <c r="F745" i="1"/>
  <c r="D745" i="1"/>
  <c r="G744" i="1"/>
  <c r="F744" i="1"/>
  <c r="D744" i="1"/>
  <c r="G743" i="1"/>
  <c r="F743" i="1"/>
  <c r="D743" i="1"/>
  <c r="G742" i="1"/>
  <c r="F742" i="1"/>
  <c r="D742" i="1"/>
  <c r="G741" i="1"/>
  <c r="F741" i="1"/>
  <c r="D741" i="1"/>
  <c r="G735" i="1"/>
  <c r="F735" i="1"/>
  <c r="D735" i="1"/>
  <c r="G734" i="1"/>
  <c r="F734" i="1"/>
  <c r="D734" i="1"/>
  <c r="G733" i="1"/>
  <c r="F733" i="1"/>
  <c r="D733" i="1"/>
  <c r="G732" i="1"/>
  <c r="F732" i="1"/>
  <c r="D732" i="1"/>
  <c r="G731" i="1"/>
  <c r="F731" i="1"/>
  <c r="D731" i="1"/>
  <c r="G730" i="1"/>
  <c r="F730" i="1"/>
  <c r="D730" i="1"/>
  <c r="G729" i="1"/>
  <c r="F729" i="1"/>
  <c r="D729" i="1"/>
  <c r="G682" i="1"/>
  <c r="F682" i="1"/>
  <c r="D682" i="1"/>
  <c r="G691" i="1"/>
  <c r="F691" i="1"/>
  <c r="D691" i="1"/>
  <c r="G690" i="1"/>
  <c r="F690" i="1"/>
  <c r="D690" i="1"/>
  <c r="G689" i="1"/>
  <c r="F689" i="1"/>
  <c r="D689" i="1"/>
  <c r="G688" i="1"/>
  <c r="F688" i="1"/>
  <c r="D688" i="1"/>
  <c r="G687" i="1"/>
  <c r="F687" i="1"/>
  <c r="D687" i="1"/>
  <c r="G681" i="1"/>
  <c r="F681" i="1"/>
  <c r="D681" i="1"/>
  <c r="G680" i="1"/>
  <c r="F680" i="1"/>
  <c r="D680" i="1"/>
  <c r="G679" i="1"/>
  <c r="F679" i="1"/>
  <c r="D679" i="1"/>
  <c r="G678" i="1"/>
  <c r="F678" i="1"/>
  <c r="D678" i="1"/>
  <c r="G677" i="1"/>
  <c r="F677" i="1"/>
  <c r="D677" i="1"/>
  <c r="G608" i="1" l="1"/>
  <c r="F608" i="1"/>
  <c r="D608" i="1"/>
  <c r="G614" i="1"/>
  <c r="F614" i="1"/>
  <c r="D614" i="1"/>
  <c r="G604" i="1"/>
  <c r="F604" i="1"/>
  <c r="D604" i="1"/>
  <c r="G618" i="1"/>
  <c r="F618" i="1"/>
  <c r="D618" i="1"/>
  <c r="G616" i="1"/>
  <c r="F616" i="1"/>
  <c r="D616" i="1"/>
  <c r="G612" i="1"/>
  <c r="F612" i="1"/>
  <c r="D612" i="1"/>
  <c r="G610" i="1"/>
  <c r="F610" i="1"/>
  <c r="D610" i="1"/>
  <c r="G606" i="1"/>
  <c r="F606" i="1"/>
  <c r="D606" i="1"/>
  <c r="G603" i="1"/>
  <c r="F603" i="1"/>
  <c r="D603" i="1"/>
  <c r="G602" i="1"/>
  <c r="F602" i="1"/>
  <c r="D602" i="1"/>
  <c r="G597" i="1"/>
  <c r="F597" i="1"/>
  <c r="D597" i="1"/>
  <c r="G595" i="1"/>
  <c r="F595" i="1"/>
  <c r="D595" i="1"/>
  <c r="G591" i="1"/>
  <c r="F591" i="1"/>
  <c r="D591" i="1"/>
  <c r="G593" i="1"/>
  <c r="F593" i="1"/>
  <c r="D593" i="1"/>
  <c r="G590" i="1"/>
  <c r="F590" i="1"/>
  <c r="D590" i="1"/>
  <c r="G580" i="1"/>
  <c r="F580" i="1"/>
  <c r="D580" i="1"/>
  <c r="G584" i="1"/>
  <c r="F584" i="1"/>
  <c r="D584" i="1"/>
  <c r="G582" i="1"/>
  <c r="F582" i="1"/>
  <c r="D582" i="1"/>
  <c r="G578" i="1"/>
  <c r="F578" i="1"/>
  <c r="D578" i="1"/>
  <c r="G576" i="1"/>
  <c r="F576" i="1"/>
  <c r="D576" i="1"/>
  <c r="G575" i="1"/>
  <c r="F575" i="1"/>
  <c r="D575" i="1"/>
  <c r="G573" i="1"/>
  <c r="F573" i="1"/>
  <c r="D573" i="1"/>
  <c r="G572" i="1"/>
  <c r="F572" i="1"/>
  <c r="D572" i="1"/>
  <c r="G571" i="1"/>
  <c r="F571" i="1"/>
  <c r="D571" i="1"/>
  <c r="G570" i="1"/>
  <c r="F570" i="1"/>
  <c r="D570" i="1"/>
  <c r="G565" i="1"/>
  <c r="F565" i="1"/>
  <c r="D565" i="1"/>
  <c r="G563" i="1"/>
  <c r="F563" i="1"/>
  <c r="D563" i="1"/>
  <c r="G562" i="1"/>
  <c r="F562" i="1"/>
  <c r="D562" i="1"/>
  <c r="G561" i="1"/>
  <c r="F561" i="1"/>
  <c r="D561" i="1"/>
  <c r="G556" i="1"/>
  <c r="F556" i="1"/>
  <c r="D556" i="1"/>
  <c r="G554" i="1"/>
  <c r="F554" i="1"/>
  <c r="D554" i="1"/>
  <c r="G552" i="1"/>
  <c r="F552" i="1"/>
  <c r="D552" i="1"/>
  <c r="G550" i="1"/>
  <c r="F550" i="1"/>
  <c r="D550" i="1"/>
  <c r="G549" i="1"/>
  <c r="F549" i="1"/>
  <c r="D549" i="1"/>
  <c r="G542" i="1"/>
  <c r="F542" i="1"/>
  <c r="D542" i="1"/>
  <c r="G543" i="1"/>
  <c r="F543" i="1"/>
  <c r="D543" i="1"/>
  <c r="G545" i="1"/>
  <c r="F545" i="1"/>
  <c r="D545" i="1"/>
  <c r="G540" i="1"/>
  <c r="F540" i="1"/>
  <c r="D540" i="1"/>
  <c r="G539" i="1"/>
  <c r="F539" i="1"/>
  <c r="D539" i="1"/>
  <c r="G538" i="1"/>
  <c r="F538" i="1"/>
  <c r="D538" i="1"/>
  <c r="G537" i="1"/>
  <c r="F537" i="1"/>
  <c r="D537" i="1"/>
  <c r="G547" i="1" l="1"/>
  <c r="F547" i="1"/>
  <c r="D547" i="1"/>
  <c r="G726" i="1" l="1"/>
  <c r="F726" i="1"/>
  <c r="D726" i="1"/>
  <c r="G725" i="1"/>
  <c r="F725" i="1"/>
  <c r="D725" i="1"/>
  <c r="G724" i="1"/>
  <c r="F724" i="1"/>
  <c r="D724" i="1"/>
  <c r="G723" i="1"/>
  <c r="F723" i="1"/>
  <c r="D723" i="1"/>
  <c r="G722" i="1"/>
  <c r="F722" i="1"/>
  <c r="D722" i="1"/>
  <c r="G721" i="1"/>
  <c r="F721" i="1"/>
  <c r="D721" i="1"/>
  <c r="G720" i="1"/>
  <c r="F720" i="1"/>
  <c r="D720" i="1"/>
  <c r="G719" i="1"/>
  <c r="F719" i="1"/>
  <c r="D719" i="1"/>
  <c r="G717" i="1"/>
  <c r="F717" i="1"/>
  <c r="D717" i="1"/>
  <c r="G716" i="1"/>
  <c r="F716" i="1"/>
  <c r="D716" i="1"/>
  <c r="G715" i="1"/>
  <c r="F715" i="1"/>
  <c r="D715" i="1"/>
  <c r="G714" i="1"/>
  <c r="F714" i="1"/>
  <c r="D714" i="1"/>
  <c r="G712" i="1"/>
  <c r="F712" i="1"/>
  <c r="D712" i="1"/>
  <c r="G711" i="1"/>
  <c r="F711" i="1"/>
  <c r="D711" i="1"/>
  <c r="G710" i="1"/>
  <c r="F710" i="1"/>
  <c r="D710" i="1"/>
  <c r="G709" i="1"/>
  <c r="F709" i="1"/>
  <c r="D709" i="1"/>
  <c r="G708" i="1"/>
  <c r="F708" i="1"/>
  <c r="D708" i="1"/>
  <c r="G707" i="1"/>
  <c r="F707" i="1"/>
  <c r="D707" i="1"/>
  <c r="G706" i="1"/>
  <c r="F706" i="1"/>
  <c r="D706" i="1"/>
  <c r="G705" i="1"/>
  <c r="F705" i="1"/>
  <c r="D705" i="1"/>
  <c r="G704" i="1"/>
  <c r="F704" i="1"/>
  <c r="D704" i="1"/>
  <c r="G701" i="1"/>
  <c r="F701" i="1"/>
  <c r="D701" i="1"/>
  <c r="G700" i="1"/>
  <c r="F700" i="1"/>
  <c r="D700" i="1"/>
  <c r="F699" i="1"/>
  <c r="D699" i="1"/>
  <c r="F698" i="1"/>
  <c r="D698" i="1"/>
  <c r="G697" i="1"/>
  <c r="F697" i="1"/>
  <c r="D697" i="1"/>
  <c r="G696" i="1"/>
  <c r="F696" i="1"/>
  <c r="D696" i="1"/>
  <c r="G695" i="1"/>
  <c r="F695" i="1"/>
  <c r="D695" i="1"/>
  <c r="G694" i="1"/>
  <c r="F694" i="1"/>
  <c r="D694" i="1"/>
  <c r="G693" i="1"/>
  <c r="F693" i="1"/>
  <c r="D693" i="1"/>
  <c r="G674" i="1"/>
  <c r="F674" i="1"/>
  <c r="D674" i="1"/>
  <c r="G673" i="1"/>
  <c r="F673" i="1"/>
  <c r="D673" i="1"/>
  <c r="G672" i="1"/>
  <c r="F672" i="1"/>
  <c r="D672" i="1"/>
  <c r="G671" i="1"/>
  <c r="F671" i="1"/>
  <c r="D671" i="1"/>
  <c r="G669" i="1"/>
  <c r="F669" i="1"/>
  <c r="D669" i="1"/>
  <c r="G668" i="1"/>
  <c r="F668" i="1"/>
  <c r="D668" i="1"/>
  <c r="G667" i="1"/>
  <c r="F667" i="1"/>
  <c r="D667" i="1"/>
  <c r="G666" i="1"/>
  <c r="F666" i="1"/>
  <c r="D666" i="1"/>
  <c r="G665" i="1"/>
  <c r="F665" i="1"/>
  <c r="D665" i="1"/>
  <c r="G664" i="1"/>
  <c r="F664" i="1"/>
  <c r="D664" i="1"/>
  <c r="G663" i="1"/>
  <c r="F663" i="1"/>
  <c r="D663" i="1"/>
  <c r="G662" i="1"/>
  <c r="F662" i="1"/>
  <c r="D662" i="1"/>
  <c r="G661" i="1"/>
  <c r="F661" i="1"/>
  <c r="D661" i="1"/>
  <c r="G754" i="1"/>
  <c r="F754" i="1"/>
  <c r="D754" i="1"/>
  <c r="G753" i="1"/>
  <c r="F753" i="1"/>
  <c r="D753" i="1"/>
  <c r="F752" i="1"/>
  <c r="D752" i="1"/>
  <c r="F751" i="1"/>
  <c r="D751" i="1"/>
  <c r="G750" i="1"/>
  <c r="F750" i="1"/>
  <c r="D750" i="1"/>
  <c r="G749" i="1"/>
  <c r="F749" i="1"/>
  <c r="D749" i="1"/>
  <c r="G748" i="1"/>
  <c r="F748" i="1"/>
  <c r="D748" i="1"/>
  <c r="G747" i="1"/>
  <c r="F747" i="1"/>
  <c r="D747" i="1"/>
  <c r="H14" i="166"/>
  <c r="L14" i="166" s="1"/>
  <c r="H13" i="166"/>
  <c r="L13" i="166" s="1"/>
  <c r="L11" i="166" s="1"/>
  <c r="G624" i="1"/>
  <c r="F624" i="1"/>
  <c r="D624" i="1"/>
  <c r="G518" i="1" l="1"/>
  <c r="F518" i="1"/>
  <c r="D518" i="1"/>
  <c r="G517" i="1"/>
  <c r="F517" i="1"/>
  <c r="D517" i="1"/>
  <c r="G516" i="1"/>
  <c r="F516" i="1"/>
  <c r="D516" i="1"/>
  <c r="G515" i="1"/>
  <c r="F515" i="1"/>
  <c r="D515" i="1"/>
  <c r="G514" i="1"/>
  <c r="F514" i="1"/>
  <c r="D514" i="1"/>
  <c r="G512" i="1"/>
  <c r="F512" i="1"/>
  <c r="D512" i="1"/>
  <c r="G511" i="1"/>
  <c r="F511" i="1"/>
  <c r="D511" i="1"/>
  <c r="G510" i="1"/>
  <c r="F510" i="1"/>
  <c r="D510" i="1"/>
  <c r="G509" i="1"/>
  <c r="F509" i="1"/>
  <c r="D509" i="1"/>
  <c r="G508" i="1"/>
  <c r="F508" i="1"/>
  <c r="D508" i="1"/>
  <c r="G495" i="1"/>
  <c r="F495" i="1"/>
  <c r="D495" i="1"/>
  <c r="G497" i="1"/>
  <c r="F497" i="1"/>
  <c r="D497" i="1"/>
  <c r="G467" i="1"/>
  <c r="F467" i="1"/>
  <c r="D467" i="1"/>
  <c r="G466" i="1"/>
  <c r="F466" i="1"/>
  <c r="D466" i="1"/>
  <c r="G465" i="1"/>
  <c r="F465" i="1"/>
  <c r="D465" i="1"/>
  <c r="G464" i="1"/>
  <c r="F464" i="1"/>
  <c r="D464" i="1"/>
  <c r="G463" i="1"/>
  <c r="F463" i="1"/>
  <c r="D463" i="1"/>
  <c r="G461" i="1"/>
  <c r="F461" i="1"/>
  <c r="D461" i="1"/>
  <c r="G460" i="1"/>
  <c r="F460" i="1"/>
  <c r="D460" i="1"/>
  <c r="G459" i="1"/>
  <c r="F459" i="1"/>
  <c r="D459" i="1"/>
  <c r="G458" i="1"/>
  <c r="F458" i="1"/>
  <c r="D458" i="1"/>
  <c r="G457" i="1"/>
  <c r="F457" i="1"/>
  <c r="D457" i="1"/>
  <c r="G506" i="1"/>
  <c r="F506" i="1"/>
  <c r="D506" i="1"/>
  <c r="G502" i="1"/>
  <c r="F502" i="1"/>
  <c r="D502" i="1"/>
  <c r="G500" i="1"/>
  <c r="F500" i="1"/>
  <c r="D500" i="1"/>
  <c r="G499" i="1"/>
  <c r="F499" i="1"/>
  <c r="D499" i="1"/>
  <c r="G493" i="1"/>
  <c r="F493" i="1"/>
  <c r="D493" i="1"/>
  <c r="G491" i="1"/>
  <c r="F491" i="1"/>
  <c r="D491" i="1"/>
  <c r="G486" i="1"/>
  <c r="F486" i="1"/>
  <c r="D486" i="1"/>
  <c r="G485" i="1"/>
  <c r="F485" i="1"/>
  <c r="D485" i="1"/>
  <c r="G484" i="1"/>
  <c r="F484" i="1"/>
  <c r="D484" i="1"/>
  <c r="G483" i="1"/>
  <c r="F483" i="1"/>
  <c r="D483" i="1"/>
  <c r="G482" i="1"/>
  <c r="F482" i="1"/>
  <c r="D482" i="1"/>
  <c r="G481" i="1"/>
  <c r="F481" i="1"/>
  <c r="D481" i="1"/>
  <c r="G479" i="1"/>
  <c r="F479" i="1"/>
  <c r="D479" i="1"/>
  <c r="G478" i="1"/>
  <c r="F478" i="1"/>
  <c r="D478" i="1"/>
  <c r="G477" i="1"/>
  <c r="F477" i="1"/>
  <c r="D477" i="1"/>
  <c r="G476" i="1"/>
  <c r="F476" i="1"/>
  <c r="D476" i="1"/>
  <c r="G475" i="1"/>
  <c r="F475" i="1"/>
  <c r="D475" i="1"/>
  <c r="G473" i="1"/>
  <c r="F473" i="1"/>
  <c r="D473" i="1"/>
  <c r="G472" i="1"/>
  <c r="F472" i="1"/>
  <c r="D472" i="1"/>
  <c r="G471" i="1"/>
  <c r="F471" i="1"/>
  <c r="D471" i="1"/>
  <c r="G470" i="1"/>
  <c r="F470" i="1"/>
  <c r="D470" i="1"/>
  <c r="G469" i="1"/>
  <c r="F469" i="1"/>
  <c r="D469" i="1"/>
  <c r="G455" i="1"/>
  <c r="F455" i="1"/>
  <c r="D455" i="1"/>
  <c r="G454" i="1"/>
  <c r="F454" i="1"/>
  <c r="D454" i="1"/>
  <c r="G453" i="1"/>
  <c r="F453" i="1"/>
  <c r="D453" i="1"/>
  <c r="G452" i="1"/>
  <c r="F452" i="1"/>
  <c r="D452" i="1"/>
  <c r="G451" i="1"/>
  <c r="F451" i="1"/>
  <c r="D451" i="1"/>
  <c r="G449" i="1"/>
  <c r="F449" i="1"/>
  <c r="D449" i="1"/>
  <c r="G431" i="1"/>
  <c r="F431" i="1"/>
  <c r="D431" i="1"/>
  <c r="G430" i="1"/>
  <c r="F430" i="1"/>
  <c r="D430" i="1"/>
  <c r="G429" i="1"/>
  <c r="F429" i="1"/>
  <c r="D429" i="1"/>
  <c r="G428" i="1"/>
  <c r="F428" i="1"/>
  <c r="D428" i="1"/>
  <c r="G427" i="1"/>
  <c r="F427" i="1"/>
  <c r="D427" i="1"/>
  <c r="G419" i="1"/>
  <c r="F419" i="1"/>
  <c r="D419" i="1"/>
  <c r="G418" i="1"/>
  <c r="F418" i="1"/>
  <c r="D418" i="1"/>
  <c r="G417" i="1"/>
  <c r="F417" i="1"/>
  <c r="D417" i="1"/>
  <c r="G416" i="1"/>
  <c r="F416" i="1"/>
  <c r="D416" i="1"/>
  <c r="G415" i="1"/>
  <c r="F415" i="1"/>
  <c r="D415" i="1"/>
  <c r="G425" i="1"/>
  <c r="F425" i="1"/>
  <c r="D425" i="1"/>
  <c r="G424" i="1"/>
  <c r="F424" i="1"/>
  <c r="D424" i="1"/>
  <c r="G423" i="1"/>
  <c r="F423" i="1"/>
  <c r="D423" i="1"/>
  <c r="G422" i="1"/>
  <c r="F422" i="1"/>
  <c r="D422" i="1"/>
  <c r="G421" i="1"/>
  <c r="F421" i="1"/>
  <c r="D421" i="1"/>
  <c r="G408" i="1"/>
  <c r="F408" i="1"/>
  <c r="D408" i="1"/>
  <c r="G406" i="1"/>
  <c r="F406" i="1"/>
  <c r="D406" i="1"/>
  <c r="G404" i="1"/>
  <c r="F404" i="1"/>
  <c r="D404" i="1"/>
  <c r="G411" i="1"/>
  <c r="F411" i="1"/>
  <c r="D411" i="1"/>
  <c r="G410" i="1"/>
  <c r="F410" i="1"/>
  <c r="D410" i="1"/>
  <c r="G402" i="1"/>
  <c r="F402" i="1"/>
  <c r="D402" i="1"/>
  <c r="G398" i="1"/>
  <c r="F398" i="1"/>
  <c r="D398" i="1"/>
  <c r="G396" i="1"/>
  <c r="F396" i="1"/>
  <c r="D396" i="1"/>
  <c r="G395" i="1"/>
  <c r="F395" i="1"/>
  <c r="D395" i="1"/>
  <c r="G394" i="1"/>
  <c r="F394" i="1"/>
  <c r="D394" i="1"/>
  <c r="G393" i="1"/>
  <c r="F393" i="1"/>
  <c r="D393" i="1"/>
  <c r="G392" i="1"/>
  <c r="F392" i="1"/>
  <c r="D392" i="1"/>
  <c r="G390" i="1"/>
  <c r="F390" i="1"/>
  <c r="D390" i="1"/>
  <c r="G389" i="1"/>
  <c r="F389" i="1"/>
  <c r="D389" i="1"/>
  <c r="G388" i="1"/>
  <c r="F388" i="1"/>
  <c r="D388" i="1"/>
  <c r="G387" i="1"/>
  <c r="F387" i="1"/>
  <c r="D387" i="1"/>
  <c r="G386" i="1"/>
  <c r="F386" i="1"/>
  <c r="D386" i="1"/>
  <c r="G369" i="1"/>
  <c r="F369" i="1"/>
  <c r="D369" i="1"/>
  <c r="G370" i="1"/>
  <c r="F370" i="1"/>
  <c r="D370" i="1"/>
  <c r="G368" i="1"/>
  <c r="F368" i="1"/>
  <c r="D368" i="1"/>
  <c r="G367" i="1"/>
  <c r="F367" i="1"/>
  <c r="D367" i="1"/>
  <c r="G366" i="1"/>
  <c r="F366" i="1"/>
  <c r="D366" i="1"/>
  <c r="G364" i="1"/>
  <c r="F364" i="1"/>
  <c r="D364" i="1"/>
  <c r="G335" i="1"/>
  <c r="F335" i="1"/>
  <c r="D335" i="1"/>
  <c r="G334" i="1"/>
  <c r="F334" i="1"/>
  <c r="D334" i="1"/>
  <c r="G333" i="1"/>
  <c r="F333" i="1"/>
  <c r="D333" i="1"/>
  <c r="G332" i="1"/>
  <c r="F332" i="1"/>
  <c r="D332" i="1"/>
  <c r="G331" i="1"/>
  <c r="F331" i="1"/>
  <c r="D331" i="1"/>
  <c r="G305" i="1"/>
  <c r="F305" i="1"/>
  <c r="D305" i="1"/>
  <c r="G304" i="1"/>
  <c r="F304" i="1"/>
  <c r="D304" i="1"/>
  <c r="G303" i="1"/>
  <c r="F303" i="1"/>
  <c r="D303" i="1"/>
  <c r="G302" i="1"/>
  <c r="F302" i="1"/>
  <c r="D302" i="1"/>
  <c r="G301" i="1"/>
  <c r="F301" i="1"/>
  <c r="D301" i="1"/>
  <c r="G299" i="1"/>
  <c r="F299" i="1"/>
  <c r="D299" i="1"/>
  <c r="G298" i="1"/>
  <c r="F298" i="1"/>
  <c r="D298" i="1"/>
  <c r="G297" i="1"/>
  <c r="F297" i="1"/>
  <c r="D297" i="1"/>
  <c r="G296" i="1"/>
  <c r="F296" i="1"/>
  <c r="D296" i="1"/>
  <c r="G295" i="1"/>
  <c r="F295" i="1"/>
  <c r="D295" i="1"/>
  <c r="G362" i="1"/>
  <c r="F362" i="1"/>
  <c r="D362" i="1"/>
  <c r="G358" i="1"/>
  <c r="F358" i="1"/>
  <c r="D358" i="1"/>
  <c r="G356" i="1"/>
  <c r="F356" i="1"/>
  <c r="D356" i="1"/>
  <c r="G355" i="1"/>
  <c r="F355" i="1"/>
  <c r="D355" i="1"/>
  <c r="G353" i="1"/>
  <c r="F353" i="1"/>
  <c r="D353" i="1"/>
  <c r="G351" i="1"/>
  <c r="F351" i="1"/>
  <c r="D351" i="1"/>
  <c r="G349" i="1"/>
  <c r="F349" i="1"/>
  <c r="D349" i="1"/>
  <c r="G347" i="1"/>
  <c r="F347" i="1"/>
  <c r="D347" i="1"/>
  <c r="G329" i="1"/>
  <c r="F329" i="1"/>
  <c r="D329" i="1"/>
  <c r="G328" i="1"/>
  <c r="F328" i="1"/>
  <c r="D328" i="1"/>
  <c r="G327" i="1"/>
  <c r="F327" i="1"/>
  <c r="D327" i="1"/>
  <c r="G326" i="1"/>
  <c r="F326" i="1"/>
  <c r="D326" i="1"/>
  <c r="G325" i="1"/>
  <c r="F325" i="1"/>
  <c r="D325" i="1"/>
  <c r="G323" i="1"/>
  <c r="F323" i="1"/>
  <c r="D323" i="1"/>
  <c r="G322" i="1"/>
  <c r="F322" i="1"/>
  <c r="D322" i="1"/>
  <c r="G321" i="1"/>
  <c r="F321" i="1"/>
  <c r="D321" i="1"/>
  <c r="G320" i="1"/>
  <c r="F320" i="1"/>
  <c r="D320" i="1"/>
  <c r="G319" i="1"/>
  <c r="F319" i="1"/>
  <c r="D319" i="1"/>
  <c r="G311" i="1"/>
  <c r="F311" i="1"/>
  <c r="D311" i="1"/>
  <c r="G310" i="1"/>
  <c r="F310" i="1"/>
  <c r="D310" i="1"/>
  <c r="G309" i="1"/>
  <c r="F309" i="1"/>
  <c r="D309" i="1"/>
  <c r="G308" i="1"/>
  <c r="F308" i="1"/>
  <c r="D308" i="1"/>
  <c r="G307" i="1"/>
  <c r="F307" i="1"/>
  <c r="D307" i="1"/>
  <c r="G293" i="1"/>
  <c r="F293" i="1"/>
  <c r="D293" i="1"/>
  <c r="G263" i="1"/>
  <c r="F263" i="1"/>
  <c r="D263" i="1"/>
  <c r="G261" i="1"/>
  <c r="F261" i="1"/>
  <c r="D261" i="1"/>
  <c r="G260" i="1"/>
  <c r="F260" i="1"/>
  <c r="D260" i="1"/>
  <c r="G259" i="1"/>
  <c r="F259" i="1"/>
  <c r="D259" i="1"/>
  <c r="G258" i="1"/>
  <c r="F258" i="1"/>
  <c r="D258" i="1"/>
  <c r="G257" i="1"/>
  <c r="F257" i="1"/>
  <c r="D257" i="1"/>
  <c r="G272" i="1"/>
  <c r="F272" i="1"/>
  <c r="D272" i="1"/>
  <c r="G271" i="1"/>
  <c r="F271" i="1"/>
  <c r="D271" i="1"/>
  <c r="G269" i="1"/>
  <c r="F269" i="1"/>
  <c r="D269" i="1"/>
  <c r="G267" i="1"/>
  <c r="F267" i="1"/>
  <c r="D267" i="1"/>
  <c r="G255" i="1"/>
  <c r="F255" i="1"/>
  <c r="D255" i="1"/>
  <c r="G253" i="1"/>
  <c r="F253" i="1"/>
  <c r="D253" i="1"/>
  <c r="G252" i="1"/>
  <c r="F252" i="1"/>
  <c r="D252" i="1"/>
  <c r="G251" i="1"/>
  <c r="F251" i="1"/>
  <c r="D251" i="1"/>
  <c r="G250" i="1"/>
  <c r="F250" i="1"/>
  <c r="D250" i="1"/>
  <c r="G249" i="1"/>
  <c r="F249" i="1"/>
  <c r="D249" i="1"/>
  <c r="G247" i="1"/>
  <c r="F247" i="1"/>
  <c r="D247" i="1"/>
  <c r="G246" i="1"/>
  <c r="F246" i="1"/>
  <c r="D246" i="1"/>
  <c r="G245" i="1"/>
  <c r="F245" i="1"/>
  <c r="D245" i="1"/>
  <c r="G244" i="1"/>
  <c r="F244" i="1"/>
  <c r="D244" i="1"/>
  <c r="G243" i="1"/>
  <c r="F243" i="1"/>
  <c r="D243" i="1"/>
  <c r="G241" i="1"/>
  <c r="F241" i="1"/>
  <c r="D241" i="1"/>
  <c r="G240" i="1"/>
  <c r="F240" i="1"/>
  <c r="D240" i="1"/>
  <c r="G239" i="1"/>
  <c r="F239" i="1"/>
  <c r="D239" i="1"/>
  <c r="G238" i="1"/>
  <c r="F238" i="1"/>
  <c r="D238" i="1"/>
  <c r="G237" i="1"/>
  <c r="F237" i="1"/>
  <c r="D237" i="1"/>
  <c r="G220" i="1"/>
  <c r="F220" i="1"/>
  <c r="D220" i="1"/>
  <c r="G216" i="1"/>
  <c r="F216" i="1"/>
  <c r="D216" i="1"/>
  <c r="G214" i="1"/>
  <c r="F214" i="1"/>
  <c r="D214" i="1"/>
  <c r="G213" i="1"/>
  <c r="F213" i="1"/>
  <c r="D213" i="1"/>
  <c r="G211" i="1"/>
  <c r="F211" i="1"/>
  <c r="D211" i="1"/>
  <c r="G210" i="1"/>
  <c r="F210" i="1"/>
  <c r="D210" i="1"/>
  <c r="G206" i="1"/>
  <c r="F206" i="1"/>
  <c r="D206" i="1"/>
  <c r="G204" i="1"/>
  <c r="F204" i="1"/>
  <c r="D204" i="1"/>
  <c r="G208" i="1"/>
  <c r="F208" i="1"/>
  <c r="D208" i="1"/>
  <c r="G202" i="1"/>
  <c r="F202" i="1"/>
  <c r="D202" i="1"/>
  <c r="G200" i="1"/>
  <c r="F200" i="1"/>
  <c r="D200" i="1"/>
  <c r="G198" i="1"/>
  <c r="F198" i="1"/>
  <c r="D198" i="1"/>
  <c r="G192" i="1"/>
  <c r="F192" i="1"/>
  <c r="D192" i="1"/>
  <c r="G193" i="1"/>
  <c r="F193" i="1"/>
  <c r="D193" i="1"/>
  <c r="G191" i="1"/>
  <c r="F191" i="1"/>
  <c r="D191" i="1"/>
  <c r="G190" i="1"/>
  <c r="F190" i="1"/>
  <c r="D190" i="1"/>
  <c r="G189" i="1"/>
  <c r="F189" i="1"/>
  <c r="D189" i="1"/>
  <c r="G188" i="1"/>
  <c r="F188" i="1"/>
  <c r="D188" i="1"/>
  <c r="G186" i="1"/>
  <c r="F186" i="1"/>
  <c r="D186" i="1"/>
  <c r="G184" i="1"/>
  <c r="F184" i="1"/>
  <c r="D184" i="1"/>
  <c r="G183" i="1"/>
  <c r="F183" i="1"/>
  <c r="D183" i="1"/>
  <c r="G182" i="1"/>
  <c r="F182" i="1"/>
  <c r="D182" i="1"/>
  <c r="G181" i="1"/>
  <c r="F181" i="1"/>
  <c r="D181" i="1"/>
  <c r="G180" i="1"/>
  <c r="F180" i="1"/>
  <c r="D180" i="1"/>
  <c r="G178" i="1"/>
  <c r="F178" i="1"/>
  <c r="D178" i="1"/>
  <c r="G177" i="1"/>
  <c r="F177" i="1"/>
  <c r="D177" i="1"/>
  <c r="G176" i="1"/>
  <c r="F176" i="1"/>
  <c r="D176" i="1"/>
  <c r="G175" i="1"/>
  <c r="F175" i="1"/>
  <c r="D175" i="1"/>
  <c r="G174" i="1"/>
  <c r="F174" i="1"/>
  <c r="D174" i="1"/>
  <c r="G171" i="1"/>
  <c r="F171" i="1"/>
  <c r="D171" i="1"/>
  <c r="G169" i="1"/>
  <c r="F169" i="1"/>
  <c r="D169" i="1"/>
  <c r="G172" i="1"/>
  <c r="F172" i="1"/>
  <c r="D172" i="1"/>
  <c r="G170" i="1"/>
  <c r="F170" i="1"/>
  <c r="D170" i="1"/>
  <c r="G168" i="1"/>
  <c r="F168" i="1"/>
  <c r="D168" i="1"/>
  <c r="G163" i="1"/>
  <c r="F163" i="1"/>
  <c r="D163" i="1"/>
  <c r="G166" i="1"/>
  <c r="F166" i="1"/>
  <c r="D166" i="1"/>
  <c r="G165" i="1"/>
  <c r="F165" i="1"/>
  <c r="D165" i="1"/>
  <c r="G164" i="1"/>
  <c r="F164" i="1"/>
  <c r="D164" i="1"/>
  <c r="G162" i="1"/>
  <c r="F162" i="1"/>
  <c r="D162" i="1"/>
  <c r="G160" i="1"/>
  <c r="F160" i="1"/>
  <c r="D160" i="1"/>
  <c r="F848" i="1" l="1"/>
  <c r="F845" i="1"/>
  <c r="F844" i="1"/>
  <c r="F843" i="1"/>
  <c r="F842" i="1"/>
  <c r="F841" i="1"/>
  <c r="F840" i="1"/>
  <c r="F839" i="1"/>
  <c r="F838" i="1"/>
  <c r="F793" i="1"/>
  <c r="F792" i="1"/>
  <c r="F791" i="1"/>
  <c r="F790" i="1"/>
  <c r="F789" i="1"/>
  <c r="F788" i="1"/>
  <c r="F787" i="1"/>
  <c r="F786" i="1"/>
  <c r="F759" i="1"/>
  <c r="F657" i="1"/>
  <c r="F653" i="1"/>
  <c r="F652" i="1"/>
  <c r="F651" i="1"/>
  <c r="F648" i="1"/>
  <c r="F644" i="1"/>
  <c r="F643" i="1"/>
  <c r="F642" i="1"/>
  <c r="F640" i="1"/>
  <c r="F639" i="1"/>
  <c r="F638" i="1"/>
  <c r="F637" i="1"/>
  <c r="F630" i="1"/>
  <c r="F632" i="1"/>
  <c r="F631" i="1"/>
  <c r="F629" i="1"/>
  <c r="F627" i="1"/>
  <c r="F626" i="1"/>
  <c r="F625" i="1"/>
  <c r="F150" i="1"/>
  <c r="F147" i="1"/>
  <c r="F146" i="1"/>
  <c r="F145" i="1"/>
  <c r="F144" i="1"/>
  <c r="F139" i="1"/>
  <c r="F138" i="1"/>
  <c r="F136" i="1"/>
  <c r="F135" i="1"/>
  <c r="F132" i="1"/>
  <c r="F129" i="1"/>
  <c r="F128" i="1"/>
  <c r="F124" i="1"/>
  <c r="F121" i="1"/>
  <c r="F118" i="1"/>
  <c r="F115" i="1"/>
  <c r="F114" i="1"/>
  <c r="F113" i="1"/>
  <c r="F112" i="1"/>
  <c r="F107" i="1"/>
  <c r="F106" i="1"/>
  <c r="F104" i="1"/>
  <c r="F103" i="1"/>
  <c r="F100" i="1"/>
  <c r="D848" i="1"/>
  <c r="D845" i="1"/>
  <c r="D844" i="1"/>
  <c r="D843" i="1"/>
  <c r="D842" i="1"/>
  <c r="D841" i="1"/>
  <c r="D840" i="1"/>
  <c r="D839" i="1"/>
  <c r="D838" i="1"/>
  <c r="D793" i="1"/>
  <c r="D792" i="1"/>
  <c r="D791" i="1"/>
  <c r="D790" i="1"/>
  <c r="D789" i="1"/>
  <c r="D788" i="1"/>
  <c r="D787" i="1"/>
  <c r="D786" i="1"/>
  <c r="D759" i="1"/>
  <c r="D657" i="1"/>
  <c r="D653" i="1"/>
  <c r="D652" i="1"/>
  <c r="D651" i="1"/>
  <c r="D648" i="1"/>
  <c r="D644" i="1"/>
  <c r="D643" i="1"/>
  <c r="D642" i="1"/>
  <c r="D640" i="1"/>
  <c r="D639" i="1"/>
  <c r="D638" i="1"/>
  <c r="D637" i="1"/>
  <c r="D630" i="1"/>
  <c r="D632" i="1"/>
  <c r="D631" i="1"/>
  <c r="D629" i="1"/>
  <c r="D627" i="1"/>
  <c r="D626" i="1"/>
  <c r="D625" i="1"/>
  <c r="D150" i="1"/>
  <c r="D147" i="1"/>
  <c r="D146" i="1"/>
  <c r="D145" i="1"/>
  <c r="D144" i="1"/>
  <c r="D139" i="1"/>
  <c r="D138" i="1"/>
  <c r="D136" i="1"/>
  <c r="D135" i="1"/>
  <c r="D132" i="1"/>
  <c r="D129" i="1"/>
  <c r="D128" i="1"/>
  <c r="D124" i="1"/>
  <c r="D121" i="1"/>
  <c r="D118" i="1"/>
  <c r="D115" i="1"/>
  <c r="D114" i="1"/>
  <c r="D113" i="1"/>
  <c r="D112" i="1"/>
  <c r="D107" i="1"/>
  <c r="D106" i="1"/>
  <c r="D104" i="1"/>
  <c r="D103" i="1"/>
  <c r="D100" i="1"/>
  <c r="D14" i="1"/>
  <c r="G139" i="1"/>
  <c r="G107" i="1"/>
  <c r="G89" i="1"/>
  <c r="G80" i="1"/>
  <c r="G150" i="1"/>
  <c r="G132" i="1"/>
  <c r="G118" i="1"/>
  <c r="G100" i="1"/>
  <c r="G135" i="1" l="1"/>
  <c r="G121" i="1" l="1"/>
  <c r="G103" i="1"/>
  <c r="G92" i="1" l="1"/>
  <c r="G136" i="1" l="1"/>
  <c r="G104" i="1"/>
  <c r="G77" i="1"/>
  <c r="G76" i="1"/>
  <c r="G138" i="1"/>
  <c r="G147" i="1"/>
  <c r="G146" i="1"/>
  <c r="G145" i="1"/>
  <c r="G144" i="1"/>
  <c r="G124" i="1"/>
  <c r="G129" i="1"/>
  <c r="G128" i="1"/>
  <c r="G106" i="1"/>
  <c r="G115" i="1"/>
  <c r="G114" i="1"/>
  <c r="G113" i="1"/>
  <c r="G112" i="1"/>
  <c r="G95" i="1"/>
  <c r="G97" i="1"/>
  <c r="G79" i="1"/>
  <c r="G86" i="1"/>
  <c r="G85" i="1"/>
  <c r="G84" i="1"/>
  <c r="E594" i="128" l="1"/>
  <c r="A594" i="128"/>
  <c r="G594" i="128"/>
  <c r="E1338" i="128" l="1"/>
  <c r="E1258" i="128"/>
  <c r="E1232" i="128"/>
  <c r="E1207" i="128"/>
  <c r="E1182" i="128"/>
  <c r="E217" i="128"/>
  <c r="E191" i="128"/>
  <c r="E139" i="128"/>
  <c r="A1338" i="128"/>
  <c r="A1258" i="128"/>
  <c r="A1232" i="128"/>
  <c r="A1207" i="128"/>
  <c r="A1182" i="128"/>
  <c r="A217" i="128"/>
  <c r="A191" i="128"/>
  <c r="A139" i="128"/>
  <c r="E1391" i="128"/>
  <c r="E1392" i="128"/>
  <c r="E1393" i="128"/>
  <c r="E1394" i="128"/>
  <c r="E1395" i="128"/>
  <c r="E1396" i="128"/>
  <c r="E1397" i="128"/>
  <c r="E1390" i="128"/>
  <c r="A1391" i="128"/>
  <c r="A1392" i="128"/>
  <c r="A1393" i="128"/>
  <c r="A1394" i="128"/>
  <c r="A1395" i="128"/>
  <c r="A1396" i="128"/>
  <c r="A1397" i="128"/>
  <c r="A1390" i="128"/>
  <c r="E1337" i="128"/>
  <c r="E1284" i="128"/>
  <c r="E1233" i="128"/>
  <c r="E1183" i="128"/>
  <c r="E856" i="128"/>
  <c r="E822" i="128"/>
  <c r="E821" i="128"/>
  <c r="E406" i="128"/>
  <c r="A1337" i="128"/>
  <c r="A1284" i="128"/>
  <c r="A1233" i="128"/>
  <c r="A1183" i="128"/>
  <c r="A856" i="128"/>
  <c r="A822" i="128"/>
  <c r="A821" i="128"/>
  <c r="A406" i="128"/>
  <c r="E1128" i="128"/>
  <c r="E567" i="128"/>
  <c r="E541" i="128"/>
  <c r="E463" i="128"/>
  <c r="E384" i="128"/>
  <c r="A1128" i="128"/>
  <c r="A567" i="128"/>
  <c r="A541" i="128"/>
  <c r="A463" i="128"/>
  <c r="A384" i="128"/>
  <c r="E1457" i="128"/>
  <c r="E1456" i="128"/>
  <c r="E1455" i="128"/>
  <c r="E1366" i="128"/>
  <c r="E1365" i="128"/>
  <c r="E1364" i="128"/>
  <c r="E1363" i="128"/>
  <c r="E1073" i="128"/>
  <c r="E1072" i="128"/>
  <c r="E1071" i="128"/>
  <c r="E855" i="128"/>
  <c r="E854" i="128"/>
  <c r="E853" i="128"/>
  <c r="E852" i="128"/>
  <c r="E820" i="128"/>
  <c r="E819" i="128"/>
  <c r="E818" i="128"/>
  <c r="E817" i="128"/>
  <c r="E787" i="128"/>
  <c r="E786" i="128"/>
  <c r="E785" i="128"/>
  <c r="E784" i="128"/>
  <c r="E783" i="128"/>
  <c r="E675" i="128"/>
  <c r="E515" i="128"/>
  <c r="E487" i="128"/>
  <c r="E460" i="128"/>
  <c r="E459" i="128"/>
  <c r="E434" i="128"/>
  <c r="E433" i="128"/>
  <c r="E432" i="128"/>
  <c r="E380" i="128"/>
  <c r="E379" i="128"/>
  <c r="E378" i="128"/>
  <c r="E352" i="128"/>
  <c r="E326" i="128"/>
  <c r="E325" i="128"/>
  <c r="E324" i="128"/>
  <c r="E323" i="128"/>
  <c r="E296" i="128"/>
  <c r="E270" i="128"/>
  <c r="E243" i="128"/>
  <c r="A1457" i="128"/>
  <c r="A1456" i="128"/>
  <c r="A1455" i="128"/>
  <c r="A1366" i="128"/>
  <c r="A1365" i="128"/>
  <c r="A1364" i="128"/>
  <c r="A1363" i="128"/>
  <c r="A1073" i="128"/>
  <c r="A1072" i="128"/>
  <c r="A1071" i="128"/>
  <c r="A855" i="128"/>
  <c r="A854" i="128"/>
  <c r="A853" i="128"/>
  <c r="A852" i="128"/>
  <c r="A820" i="128"/>
  <c r="A819" i="128"/>
  <c r="A818" i="128"/>
  <c r="A817" i="128"/>
  <c r="A787" i="128"/>
  <c r="A786" i="128"/>
  <c r="A785" i="128"/>
  <c r="A784" i="128"/>
  <c r="A783" i="128"/>
  <c r="A675" i="128"/>
  <c r="A515" i="128"/>
  <c r="A487" i="128"/>
  <c r="A460" i="128"/>
  <c r="A459" i="128"/>
  <c r="A434" i="128"/>
  <c r="A433" i="128"/>
  <c r="A432" i="128"/>
  <c r="A380" i="128"/>
  <c r="A379" i="128"/>
  <c r="A378" i="128"/>
  <c r="A352" i="128"/>
  <c r="A326" i="128"/>
  <c r="A325" i="128"/>
  <c r="A324" i="128"/>
  <c r="A323" i="128"/>
  <c r="A296" i="128"/>
  <c r="A270" i="128"/>
  <c r="A243" i="128"/>
  <c r="A1446" i="128"/>
  <c r="A1445" i="128"/>
  <c r="A1412" i="128"/>
  <c r="A1353" i="128"/>
  <c r="A1352" i="128"/>
  <c r="A1327" i="128"/>
  <c r="A1326" i="128"/>
  <c r="A1301" i="128"/>
  <c r="A1300" i="128"/>
  <c r="A1274" i="128"/>
  <c r="A1273" i="128"/>
  <c r="A1248" i="128"/>
  <c r="A1247" i="128"/>
  <c r="A1222" i="128"/>
  <c r="A1221" i="128"/>
  <c r="A1198" i="128"/>
  <c r="A1197" i="128"/>
  <c r="A1172" i="128"/>
  <c r="A1171" i="128"/>
  <c r="A1146" i="128"/>
  <c r="A1145" i="128"/>
  <c r="A1144" i="128"/>
  <c r="A1143" i="128"/>
  <c r="A1117" i="128"/>
  <c r="A1092" i="128"/>
  <c r="A1091" i="128"/>
  <c r="A1090" i="128"/>
  <c r="A1089" i="128"/>
  <c r="A1061" i="128"/>
  <c r="A1060" i="128"/>
  <c r="A1035" i="128"/>
  <c r="A1034" i="128"/>
  <c r="A1033" i="128"/>
  <c r="A1007" i="128"/>
  <c r="A981" i="128"/>
  <c r="A928" i="128"/>
  <c r="A927" i="128"/>
  <c r="A926" i="128"/>
  <c r="A842" i="128"/>
  <c r="A841" i="128"/>
  <c r="A840" i="128"/>
  <c r="A807" i="128"/>
  <c r="A806" i="128"/>
  <c r="A805" i="128"/>
  <c r="A773" i="128"/>
  <c r="A772" i="128"/>
  <c r="A771" i="128"/>
  <c r="A770" i="128"/>
  <c r="A744" i="128"/>
  <c r="A743" i="128"/>
  <c r="A717" i="128"/>
  <c r="A691" i="128"/>
  <c r="A665" i="128"/>
  <c r="A664" i="128"/>
  <c r="A663" i="128"/>
  <c r="A637" i="128"/>
  <c r="A612" i="128"/>
  <c r="A611" i="128"/>
  <c r="A610" i="128"/>
  <c r="A584" i="128"/>
  <c r="A583" i="128"/>
  <c r="A582" i="128"/>
  <c r="A556" i="128"/>
  <c r="A530" i="128"/>
  <c r="A505" i="128"/>
  <c r="A504" i="128"/>
  <c r="A503" i="128"/>
  <c r="A477" i="128"/>
  <c r="A476" i="128"/>
  <c r="A475" i="128"/>
  <c r="A474" i="128"/>
  <c r="A449" i="128"/>
  <c r="A448" i="128"/>
  <c r="A422" i="128"/>
  <c r="A421" i="128"/>
  <c r="A396" i="128"/>
  <c r="A395" i="128"/>
  <c r="A394" i="128"/>
  <c r="A368" i="128"/>
  <c r="A367" i="128"/>
  <c r="A342" i="128"/>
  <c r="A341" i="128"/>
  <c r="A340" i="128"/>
  <c r="A313" i="128"/>
  <c r="A312" i="128"/>
  <c r="A311" i="128"/>
  <c r="A103" i="128"/>
  <c r="A102" i="128"/>
  <c r="A101" i="128"/>
  <c r="A75" i="128"/>
  <c r="A74" i="128"/>
  <c r="A73" i="128"/>
  <c r="A47" i="128"/>
  <c r="A46" i="128"/>
  <c r="A45" i="128"/>
  <c r="A19" i="128"/>
  <c r="A18" i="128"/>
  <c r="A17" i="128"/>
  <c r="A1409" i="128"/>
  <c r="A1408" i="128"/>
  <c r="A1407" i="128"/>
  <c r="A1406" i="128"/>
  <c r="A1295" i="128"/>
  <c r="A1269" i="128"/>
  <c r="A1243" i="128"/>
  <c r="A1217" i="128"/>
  <c r="A1139" i="128"/>
  <c r="A1086" i="128"/>
  <c r="A1085" i="128"/>
  <c r="A1084" i="128"/>
  <c r="A1083" i="128"/>
  <c r="A1029" i="128"/>
  <c r="A1004" i="128"/>
  <c r="A1003" i="128"/>
  <c r="A837" i="128"/>
  <c r="A836" i="128"/>
  <c r="A835" i="128"/>
  <c r="A834" i="128"/>
  <c r="A833" i="128"/>
  <c r="A832" i="128"/>
  <c r="A802" i="128"/>
  <c r="A801" i="128"/>
  <c r="A800" i="128"/>
  <c r="A799" i="128"/>
  <c r="A798" i="128"/>
  <c r="A797" i="128"/>
  <c r="A767" i="128"/>
  <c r="A766" i="128"/>
  <c r="A765" i="128"/>
  <c r="A740" i="128"/>
  <c r="A739" i="128"/>
  <c r="A713" i="128"/>
  <c r="A687" i="128"/>
  <c r="A660" i="128"/>
  <c r="A659" i="128"/>
  <c r="A633" i="128"/>
  <c r="A607" i="128"/>
  <c r="A606" i="128"/>
  <c r="A605" i="128"/>
  <c r="A578" i="128"/>
  <c r="A500" i="128"/>
  <c r="A499" i="128"/>
  <c r="A390" i="128"/>
  <c r="A98" i="128"/>
  <c r="A97" i="128"/>
  <c r="A96" i="128"/>
  <c r="A70" i="128"/>
  <c r="A69" i="128"/>
  <c r="A68" i="128"/>
  <c r="A42" i="128"/>
  <c r="A41" i="128"/>
  <c r="A40" i="128"/>
  <c r="A14" i="128"/>
  <c r="A13" i="128"/>
  <c r="A12" i="128"/>
  <c r="E27" i="159"/>
  <c r="E28" i="159"/>
  <c r="E26" i="159"/>
  <c r="A27" i="159"/>
  <c r="A28" i="159"/>
  <c r="E31" i="159"/>
  <c r="E25" i="159"/>
  <c r="A31" i="159"/>
  <c r="A25" i="159"/>
  <c r="A16" i="159"/>
  <c r="A15" i="159"/>
  <c r="D68" i="1" l="1"/>
  <c r="F68" i="1"/>
  <c r="E85" i="154"/>
  <c r="E58" i="154"/>
  <c r="E30" i="154"/>
  <c r="E29" i="154"/>
  <c r="E86" i="154"/>
  <c r="E84" i="154"/>
  <c r="E83" i="154"/>
  <c r="E59" i="154"/>
  <c r="E57" i="154"/>
  <c r="E31" i="154"/>
  <c r="E28" i="154"/>
  <c r="E94" i="154"/>
  <c r="E93" i="154"/>
  <c r="E92" i="154"/>
  <c r="E91" i="154"/>
  <c r="E90" i="154"/>
  <c r="E89" i="154"/>
  <c r="E68" i="154"/>
  <c r="E67" i="154"/>
  <c r="E66" i="154"/>
  <c r="E65" i="154"/>
  <c r="E64" i="154"/>
  <c r="E63" i="154"/>
  <c r="E62" i="154"/>
  <c r="E38" i="154"/>
  <c r="E37" i="154"/>
  <c r="E36" i="154"/>
  <c r="E35" i="154"/>
  <c r="E34" i="154"/>
  <c r="A94" i="154"/>
  <c r="A93" i="154"/>
  <c r="A92" i="154"/>
  <c r="A91" i="154"/>
  <c r="A90" i="154"/>
  <c r="A89" i="154"/>
  <c r="A68" i="154"/>
  <c r="A67" i="154"/>
  <c r="A66" i="154"/>
  <c r="A65" i="154"/>
  <c r="A64" i="154"/>
  <c r="A63" i="154"/>
  <c r="A62" i="154"/>
  <c r="A38" i="154"/>
  <c r="A37" i="154"/>
  <c r="A36" i="154"/>
  <c r="A35" i="154"/>
  <c r="A34" i="154"/>
  <c r="A75" i="154"/>
  <c r="A46" i="154"/>
  <c r="A17" i="154"/>
  <c r="I13" i="139"/>
  <c r="D71" i="1" l="1"/>
  <c r="F71" i="1"/>
  <c r="D72" i="1"/>
  <c r="F72" i="1"/>
  <c r="F35" i="74"/>
  <c r="F29" i="74" s="1"/>
  <c r="F54" i="74"/>
  <c r="F53" i="74"/>
  <c r="F48" i="74" s="1"/>
  <c r="F47" i="74"/>
  <c r="F42" i="74" s="1"/>
  <c r="F41" i="74"/>
  <c r="F36" i="74" s="1"/>
  <c r="F28" i="74"/>
  <c r="F23" i="74" s="1"/>
  <c r="F22" i="74"/>
  <c r="F17" i="74" s="1"/>
  <c r="F16" i="74"/>
  <c r="F10" i="74" s="1"/>
  <c r="G977" i="1" l="1"/>
  <c r="G658" i="1" l="1"/>
  <c r="F658" i="1"/>
  <c r="D658" i="1"/>
  <c r="G657" i="1"/>
  <c r="F656" i="1"/>
  <c r="D656" i="1"/>
  <c r="F655" i="1"/>
  <c r="D655" i="1"/>
  <c r="G653" i="1"/>
  <c r="G652" i="1"/>
  <c r="G651" i="1"/>
  <c r="G645" i="1"/>
  <c r="F645" i="1"/>
  <c r="D645" i="1"/>
  <c r="F628" i="1" l="1"/>
  <c r="G631" i="1"/>
  <c r="D628" i="1"/>
  <c r="F647" i="1"/>
  <c r="D647" i="1"/>
  <c r="I17" i="166"/>
  <c r="J17" i="166" s="1"/>
  <c r="M17" i="166" s="1"/>
  <c r="G17" i="166"/>
  <c r="F17" i="166"/>
  <c r="J18" i="166" l="1"/>
  <c r="G648" i="1"/>
  <c r="D649" i="1"/>
  <c r="G649" i="1"/>
  <c r="F649" i="1"/>
  <c r="F646" i="1"/>
  <c r="D646" i="1"/>
  <c r="F12" i="166"/>
  <c r="F13" i="166"/>
  <c r="F14" i="166"/>
  <c r="I14" i="166"/>
  <c r="G14" i="166"/>
  <c r="I13" i="166"/>
  <c r="J13" i="166" s="1"/>
  <c r="M13" i="166" s="1"/>
  <c r="G13" i="166"/>
  <c r="I12" i="166"/>
  <c r="G12" i="166"/>
  <c r="G643" i="1"/>
  <c r="G642" i="1"/>
  <c r="G644" i="1"/>
  <c r="G640" i="1"/>
  <c r="G632" i="1"/>
  <c r="G638" i="1"/>
  <c r="G637" i="1"/>
  <c r="G639" i="1"/>
  <c r="G628" i="1"/>
  <c r="G627" i="1"/>
  <c r="J16" i="166" l="1"/>
  <c r="M18" i="166"/>
  <c r="M16" i="166" s="1"/>
  <c r="G699" i="1"/>
  <c r="G752" i="1"/>
  <c r="G647" i="1"/>
  <c r="G656" i="1"/>
  <c r="J14" i="166"/>
  <c r="M14" i="166" s="1"/>
  <c r="J12" i="166"/>
  <c r="M12" i="166" s="1"/>
  <c r="M11" i="166" s="1"/>
  <c r="J11" i="166" l="1"/>
  <c r="C32" i="153"/>
  <c r="D31" i="153"/>
  <c r="D30" i="153"/>
  <c r="D29" i="153"/>
  <c r="D28" i="153"/>
  <c r="G15" i="142"/>
  <c r="I15" i="142"/>
  <c r="G915" i="128"/>
  <c r="E1413" i="128"/>
  <c r="E1414" i="128"/>
  <c r="E1415" i="128"/>
  <c r="E1412" i="128"/>
  <c r="G1413" i="128"/>
  <c r="G1414" i="128"/>
  <c r="K1414" i="128" s="1"/>
  <c r="G1415" i="128"/>
  <c r="K1415" i="128" s="1"/>
  <c r="G1412" i="128"/>
  <c r="K1412" i="128" s="1"/>
  <c r="I1407" i="128"/>
  <c r="I1408" i="128"/>
  <c r="I1409" i="128"/>
  <c r="I1406" i="128"/>
  <c r="H1407" i="128"/>
  <c r="H1408" i="128"/>
  <c r="H1409" i="128"/>
  <c r="H1406" i="128"/>
  <c r="G1391" i="128"/>
  <c r="K1391" i="128" s="1"/>
  <c r="G1392" i="128"/>
  <c r="K1392" i="128" s="1"/>
  <c r="G1393" i="128"/>
  <c r="K1393" i="128" s="1"/>
  <c r="G1394" i="128"/>
  <c r="K1394" i="128" s="1"/>
  <c r="G1395" i="128"/>
  <c r="K1395" i="128" s="1"/>
  <c r="G1396" i="128"/>
  <c r="K1396" i="128" s="1"/>
  <c r="G1397" i="128"/>
  <c r="K1397" i="128" s="1"/>
  <c r="G1390" i="128"/>
  <c r="K1390" i="128" s="1"/>
  <c r="I24" i="139"/>
  <c r="I25" i="139"/>
  <c r="I26" i="139"/>
  <c r="I27" i="139"/>
  <c r="I28" i="139"/>
  <c r="I29" i="139"/>
  <c r="I30" i="139"/>
  <c r="I31" i="139"/>
  <c r="I32" i="139"/>
  <c r="I33" i="139"/>
  <c r="I34" i="139"/>
  <c r="I35" i="139"/>
  <c r="I36" i="139"/>
  <c r="I37" i="139"/>
  <c r="I23" i="139"/>
  <c r="I24" i="164"/>
  <c r="I25" i="164"/>
  <c r="I26" i="164"/>
  <c r="I27" i="164"/>
  <c r="I28" i="164"/>
  <c r="I29" i="164"/>
  <c r="I30" i="164"/>
  <c r="I31" i="164"/>
  <c r="I32" i="164"/>
  <c r="I33" i="164"/>
  <c r="I34" i="164"/>
  <c r="I35" i="164"/>
  <c r="I36" i="164"/>
  <c r="I37" i="164"/>
  <c r="I23" i="164"/>
  <c r="D37" i="164"/>
  <c r="C37" i="164"/>
  <c r="D36" i="164"/>
  <c r="C36" i="164"/>
  <c r="D35" i="164"/>
  <c r="C35" i="164"/>
  <c r="D34" i="164"/>
  <c r="C34" i="164"/>
  <c r="D33" i="164"/>
  <c r="C33" i="164"/>
  <c r="D32" i="164"/>
  <c r="C32" i="164"/>
  <c r="D31" i="164"/>
  <c r="C31" i="164"/>
  <c r="D30" i="164"/>
  <c r="C30" i="164"/>
  <c r="D29" i="164"/>
  <c r="C29" i="164"/>
  <c r="D28" i="164"/>
  <c r="C28" i="164"/>
  <c r="D27" i="164"/>
  <c r="C27" i="164"/>
  <c r="D26" i="164"/>
  <c r="C26" i="164"/>
  <c r="D25" i="164"/>
  <c r="C25" i="164"/>
  <c r="D24" i="164"/>
  <c r="C24" i="164"/>
  <c r="D23" i="164"/>
  <c r="C23" i="164"/>
  <c r="I20" i="164"/>
  <c r="D20" i="164"/>
  <c r="C20" i="164"/>
  <c r="I19" i="164"/>
  <c r="D19" i="164"/>
  <c r="C19" i="164"/>
  <c r="I18" i="164"/>
  <c r="D18" i="164"/>
  <c r="C18" i="164"/>
  <c r="I17" i="164"/>
  <c r="D17" i="164"/>
  <c r="C17" i="164"/>
  <c r="I16" i="164"/>
  <c r="D16" i="164"/>
  <c r="C16" i="164"/>
  <c r="I15" i="164"/>
  <c r="D15" i="164"/>
  <c r="C15" i="164"/>
  <c r="I14" i="164"/>
  <c r="D14" i="164"/>
  <c r="J14" i="164" s="1"/>
  <c r="K14" i="164" s="1"/>
  <c r="N14" i="164" s="1"/>
  <c r="C14" i="164"/>
  <c r="I13" i="164"/>
  <c r="D13" i="164"/>
  <c r="C13" i="164"/>
  <c r="K1413" i="128"/>
  <c r="K1437" i="128"/>
  <c r="K1438" i="128" s="1"/>
  <c r="K1436" i="128"/>
  <c r="K1433" i="128"/>
  <c r="K1432" i="128"/>
  <c r="K1431" i="128"/>
  <c r="K1430" i="128"/>
  <c r="K1429" i="128"/>
  <c r="K1428" i="128"/>
  <c r="K1427" i="128"/>
  <c r="K1426" i="128"/>
  <c r="K1425" i="128"/>
  <c r="K1401" i="128"/>
  <c r="K1386" i="128"/>
  <c r="K1388" i="128" s="1"/>
  <c r="K1398" i="128"/>
  <c r="K1402" i="128"/>
  <c r="K1403" i="128" s="1"/>
  <c r="K1443" i="128"/>
  <c r="E1445" i="128"/>
  <c r="G1445" i="128"/>
  <c r="K1445" i="128" s="1"/>
  <c r="E1446" i="128"/>
  <c r="G1446" i="128"/>
  <c r="K1446" i="128" s="1"/>
  <c r="G1455" i="128"/>
  <c r="K1455" i="128" s="1"/>
  <c r="G1456" i="128"/>
  <c r="K1456" i="128" s="1"/>
  <c r="G1457" i="128"/>
  <c r="K1457" i="128" s="1"/>
  <c r="K1464" i="128"/>
  <c r="J15" i="142" l="1"/>
  <c r="M15" i="142" s="1"/>
  <c r="K33" i="164"/>
  <c r="N33" i="164" s="1"/>
  <c r="K36" i="164"/>
  <c r="N36" i="164" s="1"/>
  <c r="J17" i="164"/>
  <c r="K17" i="164" s="1"/>
  <c r="N17" i="164" s="1"/>
  <c r="K1407" i="128"/>
  <c r="J16" i="164"/>
  <c r="K16" i="164" s="1"/>
  <c r="N16" i="164" s="1"/>
  <c r="K28" i="164"/>
  <c r="N28" i="164" s="1"/>
  <c r="K1409" i="128"/>
  <c r="J19" i="164"/>
  <c r="K19" i="164" s="1"/>
  <c r="N19" i="164" s="1"/>
  <c r="K25" i="164"/>
  <c r="N25" i="164" s="1"/>
  <c r="J15" i="164"/>
  <c r="K15" i="164" s="1"/>
  <c r="N15" i="164" s="1"/>
  <c r="K32" i="164"/>
  <c r="N32" i="164" s="1"/>
  <c r="K1408" i="128"/>
  <c r="J20" i="164"/>
  <c r="K20" i="164" s="1"/>
  <c r="N20" i="164" s="1"/>
  <c r="K29" i="164"/>
  <c r="N29" i="164" s="1"/>
  <c r="G698" i="1"/>
  <c r="G751" i="1"/>
  <c r="G646" i="1"/>
  <c r="G655" i="1"/>
  <c r="C37" i="153"/>
  <c r="C40" i="153" s="1"/>
  <c r="D27" i="153"/>
  <c r="K37" i="164"/>
  <c r="N37" i="164" s="1"/>
  <c r="J13" i="164"/>
  <c r="K13" i="164" s="1"/>
  <c r="N13" i="164" s="1"/>
  <c r="J18" i="164"/>
  <c r="K18" i="164" s="1"/>
  <c r="N18" i="164" s="1"/>
  <c r="K1416" i="128"/>
  <c r="K1418" i="128" s="1"/>
  <c r="K1406" i="128"/>
  <c r="K24" i="164"/>
  <c r="N24" i="164" s="1"/>
  <c r="K27" i="164"/>
  <c r="N27" i="164" s="1"/>
  <c r="K31" i="164"/>
  <c r="N31" i="164" s="1"/>
  <c r="K35" i="164"/>
  <c r="N35" i="164" s="1"/>
  <c r="K26" i="164"/>
  <c r="N26" i="164" s="1"/>
  <c r="K30" i="164"/>
  <c r="N30" i="164" s="1"/>
  <c r="K34" i="164"/>
  <c r="N34" i="164" s="1"/>
  <c r="K23" i="164"/>
  <c r="N23" i="164" s="1"/>
  <c r="J23" i="164"/>
  <c r="J24" i="164"/>
  <c r="J25" i="164"/>
  <c r="J26" i="164"/>
  <c r="J27" i="164"/>
  <c r="J28" i="164"/>
  <c r="J29" i="164"/>
  <c r="J30" i="164"/>
  <c r="J31" i="164"/>
  <c r="J32" i="164"/>
  <c r="J33" i="164"/>
  <c r="J34" i="164"/>
  <c r="J35" i="164"/>
  <c r="J36" i="164"/>
  <c r="J37" i="164"/>
  <c r="K1434" i="128"/>
  <c r="K1447" i="128"/>
  <c r="K1449" i="128" s="1"/>
  <c r="K1450" i="128" s="1"/>
  <c r="K1451" i="128" s="1"/>
  <c r="K1453" i="128" s="1"/>
  <c r="K1460" i="128"/>
  <c r="K1399" i="128"/>
  <c r="K1373" i="128" s="1"/>
  <c r="N12" i="164" l="1"/>
  <c r="N22" i="164"/>
  <c r="G68" i="1"/>
  <c r="I944" i="1"/>
  <c r="R944" i="1" s="1"/>
  <c r="I961" i="1"/>
  <c r="R961" i="1" s="1"/>
  <c r="I921" i="1"/>
  <c r="R921" i="1" s="1"/>
  <c r="I977" i="1"/>
  <c r="R977" i="1" s="1"/>
  <c r="R976" i="1" s="1"/>
  <c r="I946" i="1"/>
  <c r="R946" i="1" s="1"/>
  <c r="I963" i="1"/>
  <c r="R963" i="1" s="1"/>
  <c r="I923" i="1"/>
  <c r="R923" i="1" s="1"/>
  <c r="I930" i="1"/>
  <c r="R930" i="1" s="1"/>
  <c r="I947" i="1"/>
  <c r="R947" i="1" s="1"/>
  <c r="I966" i="1"/>
  <c r="R966" i="1" s="1"/>
  <c r="I925" i="1"/>
  <c r="R925" i="1" s="1"/>
  <c r="I932" i="1"/>
  <c r="R932" i="1" s="1"/>
  <c r="I968" i="1"/>
  <c r="R968" i="1" s="1"/>
  <c r="I926" i="1"/>
  <c r="R926" i="1" s="1"/>
  <c r="I933" i="1"/>
  <c r="R933" i="1" s="1"/>
  <c r="I950" i="1"/>
  <c r="R950" i="1" s="1"/>
  <c r="I969" i="1"/>
  <c r="R969" i="1" s="1"/>
  <c r="I927" i="1"/>
  <c r="R927" i="1" s="1"/>
  <c r="I934" i="1"/>
  <c r="R934" i="1" s="1"/>
  <c r="I951" i="1"/>
  <c r="R951" i="1" s="1"/>
  <c r="I970" i="1"/>
  <c r="R970" i="1" s="1"/>
  <c r="I918" i="1"/>
  <c r="R918" i="1" s="1"/>
  <c r="I938" i="1"/>
  <c r="R938" i="1" s="1"/>
  <c r="I957" i="1"/>
  <c r="R957" i="1" s="1"/>
  <c r="I974" i="1"/>
  <c r="R974" i="1" s="1"/>
  <c r="I939" i="1"/>
  <c r="R939" i="1" s="1"/>
  <c r="I958" i="1"/>
  <c r="R958" i="1" s="1"/>
  <c r="I975" i="1"/>
  <c r="R975" i="1" s="1"/>
  <c r="I935" i="1"/>
  <c r="R935" i="1" s="1"/>
  <c r="I954" i="1"/>
  <c r="R954" i="1" s="1"/>
  <c r="I971" i="1"/>
  <c r="R971" i="1" s="1"/>
  <c r="I937" i="1"/>
  <c r="R937" i="1" s="1"/>
  <c r="I956" i="1"/>
  <c r="R956" i="1" s="1"/>
  <c r="I973" i="1"/>
  <c r="R973" i="1" s="1"/>
  <c r="I949" i="1"/>
  <c r="R949" i="1" s="1"/>
  <c r="I942" i="1"/>
  <c r="R942" i="1" s="1"/>
  <c r="I959" i="1"/>
  <c r="R959" i="1" s="1"/>
  <c r="I920" i="1"/>
  <c r="R920" i="1" s="1"/>
  <c r="I945" i="1"/>
  <c r="R945" i="1" s="1"/>
  <c r="I962" i="1"/>
  <c r="R962" i="1" s="1"/>
  <c r="I922" i="1"/>
  <c r="R922" i="1" s="1"/>
  <c r="I763" i="1"/>
  <c r="R763" i="1" s="1"/>
  <c r="I765" i="1"/>
  <c r="R765" i="1" s="1"/>
  <c r="R764" i="1" s="1"/>
  <c r="I761" i="1"/>
  <c r="R761" i="1" s="1"/>
  <c r="I762" i="1"/>
  <c r="R762" i="1" s="1"/>
  <c r="I757" i="1"/>
  <c r="R757" i="1" s="1"/>
  <c r="R756" i="1" s="1"/>
  <c r="I759" i="1"/>
  <c r="R759" i="1" s="1"/>
  <c r="R758" i="1" s="1"/>
  <c r="K1410" i="128"/>
  <c r="K1421" i="128" s="1"/>
  <c r="K1423" i="128" s="1"/>
  <c r="K1404" i="128" s="1"/>
  <c r="K12" i="164"/>
  <c r="K1439" i="128"/>
  <c r="G916" i="128" s="1"/>
  <c r="K22" i="164"/>
  <c r="R916" i="1" l="1"/>
  <c r="R940" i="1"/>
  <c r="R964" i="1"/>
  <c r="R928" i="1"/>
  <c r="R760" i="1"/>
  <c r="R755" i="1" s="1"/>
  <c r="R952" i="1"/>
  <c r="G979" i="1"/>
  <c r="K761" i="1"/>
  <c r="M761" i="1" s="1"/>
  <c r="J761" i="1"/>
  <c r="L761" i="1" s="1"/>
  <c r="K757" i="1"/>
  <c r="M757" i="1" s="1"/>
  <c r="M756" i="1" s="1"/>
  <c r="J757" i="1"/>
  <c r="L757" i="1" s="1"/>
  <c r="K765" i="1"/>
  <c r="M765" i="1" s="1"/>
  <c r="M764" i="1" s="1"/>
  <c r="J765" i="1"/>
  <c r="L765" i="1" s="1"/>
  <c r="K763" i="1"/>
  <c r="M763" i="1" s="1"/>
  <c r="J763" i="1"/>
  <c r="L763" i="1" s="1"/>
  <c r="K762" i="1"/>
  <c r="M762" i="1" s="1"/>
  <c r="J762" i="1"/>
  <c r="L762" i="1" s="1"/>
  <c r="G980" i="1"/>
  <c r="G28" i="1"/>
  <c r="E1089" i="128"/>
  <c r="G1089" i="128"/>
  <c r="K1350" i="128"/>
  <c r="E1352" i="128"/>
  <c r="G1352" i="128"/>
  <c r="K1352" i="128" s="1"/>
  <c r="E1353" i="128"/>
  <c r="G1353" i="128"/>
  <c r="K1353" i="128" s="1"/>
  <c r="K1358" i="128"/>
  <c r="G1363" i="128"/>
  <c r="K1363" i="128" s="1"/>
  <c r="G1364" i="128"/>
  <c r="K1364" i="128" s="1"/>
  <c r="G1365" i="128"/>
  <c r="K1365" i="128" s="1"/>
  <c r="G1366" i="128"/>
  <c r="K1366" i="128" s="1"/>
  <c r="K1371" i="128"/>
  <c r="G856" i="128"/>
  <c r="G822" i="128"/>
  <c r="G821" i="128"/>
  <c r="G567" i="128"/>
  <c r="G541" i="128"/>
  <c r="G406" i="128"/>
  <c r="G1337" i="128"/>
  <c r="G1284" i="128"/>
  <c r="G1233" i="128"/>
  <c r="G1183" i="128"/>
  <c r="G1128" i="128"/>
  <c r="G463" i="128"/>
  <c r="G384" i="128"/>
  <c r="R915" i="1" l="1"/>
  <c r="N763" i="1"/>
  <c r="S763" i="1" s="1"/>
  <c r="N762" i="1"/>
  <c r="S762" i="1" s="1"/>
  <c r="L764" i="1"/>
  <c r="N765" i="1"/>
  <c r="S765" i="1" s="1"/>
  <c r="S764" i="1" s="1"/>
  <c r="L756" i="1"/>
  <c r="N757" i="1"/>
  <c r="S757" i="1" s="1"/>
  <c r="S756" i="1" s="1"/>
  <c r="L760" i="1"/>
  <c r="N761" i="1"/>
  <c r="S761" i="1" s="1"/>
  <c r="M760" i="1"/>
  <c r="K1354" i="128"/>
  <c r="K1359" i="128" s="1"/>
  <c r="K1361" i="128" s="1"/>
  <c r="K1367" i="128"/>
  <c r="G27" i="159"/>
  <c r="G28" i="159"/>
  <c r="G26" i="159"/>
  <c r="S760" i="1" l="1"/>
  <c r="N756" i="1"/>
  <c r="N764" i="1"/>
  <c r="N760" i="1"/>
  <c r="K1346" i="128"/>
  <c r="G914" i="128" s="1"/>
  <c r="K1022" i="128"/>
  <c r="K986" i="128"/>
  <c r="K977" i="128"/>
  <c r="C55" i="151" l="1"/>
  <c r="C64" i="151"/>
  <c r="C28" i="151"/>
  <c r="K113" i="128"/>
  <c r="K91" i="128"/>
  <c r="K85" i="128"/>
  <c r="K108" i="128"/>
  <c r="K80" i="128"/>
  <c r="AL28" i="151" l="1"/>
  <c r="T28" i="151"/>
  <c r="AH28" i="151"/>
  <c r="AD28" i="151"/>
  <c r="V28" i="151"/>
  <c r="AB28" i="151"/>
  <c r="AT28" i="151"/>
  <c r="AJ28" i="151"/>
  <c r="N28" i="151"/>
  <c r="F28" i="151"/>
  <c r="L28" i="151"/>
  <c r="J28" i="151"/>
  <c r="P28" i="151"/>
  <c r="Z28" i="151"/>
  <c r="AP28" i="151"/>
  <c r="AF28" i="151"/>
  <c r="R28" i="151"/>
  <c r="X28" i="151"/>
  <c r="H28" i="151"/>
  <c r="AR28" i="151"/>
  <c r="AN28" i="151"/>
  <c r="F64" i="151"/>
  <c r="AF64" i="151"/>
  <c r="X64" i="151"/>
  <c r="AT64" i="151"/>
  <c r="Z64" i="151"/>
  <c r="AB64" i="151"/>
  <c r="P64" i="151"/>
  <c r="AD64" i="151"/>
  <c r="H64" i="151"/>
  <c r="AR64" i="151"/>
  <c r="AJ64" i="151"/>
  <c r="AL64" i="151"/>
  <c r="AP64" i="151"/>
  <c r="T64" i="151"/>
  <c r="AN64" i="151"/>
  <c r="N64" i="151"/>
  <c r="V64" i="151"/>
  <c r="R64" i="151"/>
  <c r="J64" i="151"/>
  <c r="AH64" i="151"/>
  <c r="L64" i="151"/>
  <c r="AR55" i="151"/>
  <c r="R55" i="151"/>
  <c r="N55" i="151"/>
  <c r="P55" i="151"/>
  <c r="AB55" i="151"/>
  <c r="AF55" i="151"/>
  <c r="AP55" i="151"/>
  <c r="L55" i="151"/>
  <c r="AT55" i="151"/>
  <c r="H55" i="151"/>
  <c r="Z55" i="151"/>
  <c r="V55" i="151"/>
  <c r="AN55" i="151"/>
  <c r="J55" i="151"/>
  <c r="F55" i="151"/>
  <c r="AD55" i="151"/>
  <c r="AJ55" i="151"/>
  <c r="T55" i="151"/>
  <c r="X55" i="151"/>
  <c r="AH55" i="151"/>
  <c r="AL55" i="151"/>
  <c r="G437" i="128"/>
  <c r="G1288" i="128"/>
  <c r="G971" i="128"/>
  <c r="G970" i="128"/>
  <c r="G969" i="128"/>
  <c r="G944" i="128"/>
  <c r="G943" i="128"/>
  <c r="G942" i="128"/>
  <c r="G913" i="128"/>
  <c r="G912" i="128"/>
  <c r="G911" i="128"/>
  <c r="G1076" i="128"/>
  <c r="G886" i="128"/>
  <c r="G885" i="128"/>
  <c r="G626" i="128"/>
  <c r="G493" i="128"/>
  <c r="G492" i="128"/>
  <c r="G491" i="128"/>
  <c r="G357" i="128"/>
  <c r="G773" i="128" l="1"/>
  <c r="G772" i="128"/>
  <c r="G771" i="128"/>
  <c r="G770" i="128"/>
  <c r="G1007" i="128"/>
  <c r="G981" i="128"/>
  <c r="G1146" i="128"/>
  <c r="G1145" i="128"/>
  <c r="G1144" i="128"/>
  <c r="G1143" i="128"/>
  <c r="G1327" i="128"/>
  <c r="G1326" i="128"/>
  <c r="G1301" i="128"/>
  <c r="G1300" i="128"/>
  <c r="G1274" i="128"/>
  <c r="G1273" i="128"/>
  <c r="G1248" i="128"/>
  <c r="G1247" i="128"/>
  <c r="G1222" i="128"/>
  <c r="G1221" i="128"/>
  <c r="G1198" i="128"/>
  <c r="G1197" i="128"/>
  <c r="G1172" i="128"/>
  <c r="G1171" i="128"/>
  <c r="G928" i="128"/>
  <c r="G927" i="128"/>
  <c r="G926" i="128"/>
  <c r="G1092" i="128"/>
  <c r="G1091" i="128"/>
  <c r="G1090" i="128"/>
  <c r="G1061" i="128"/>
  <c r="G1060" i="128"/>
  <c r="G842" i="128"/>
  <c r="G841" i="128"/>
  <c r="G840" i="128"/>
  <c r="G807" i="128"/>
  <c r="G806" i="128"/>
  <c r="G805" i="128"/>
  <c r="G744" i="128"/>
  <c r="G743" i="128"/>
  <c r="G717" i="128"/>
  <c r="G1035" i="128"/>
  <c r="G1034" i="128"/>
  <c r="G1033" i="128"/>
  <c r="G1117" i="128"/>
  <c r="G691" i="128"/>
  <c r="G665" i="128"/>
  <c r="G664" i="128"/>
  <c r="G663" i="128"/>
  <c r="G637" i="128"/>
  <c r="G612" i="128"/>
  <c r="G611" i="128"/>
  <c r="G610" i="128"/>
  <c r="G584" i="128"/>
  <c r="G583" i="128"/>
  <c r="G582" i="128"/>
  <c r="G556" i="128"/>
  <c r="G530" i="128"/>
  <c r="G505" i="128"/>
  <c r="G504" i="128"/>
  <c r="G503" i="128"/>
  <c r="G477" i="128"/>
  <c r="G476" i="128"/>
  <c r="G475" i="128"/>
  <c r="G474" i="128"/>
  <c r="G449" i="128"/>
  <c r="G448" i="128"/>
  <c r="G422" i="128"/>
  <c r="G421" i="128"/>
  <c r="G396" i="128"/>
  <c r="G395" i="128"/>
  <c r="G394" i="128"/>
  <c r="G368" i="128"/>
  <c r="G367" i="128"/>
  <c r="G342" i="128"/>
  <c r="G341" i="128"/>
  <c r="G340" i="128"/>
  <c r="G313" i="128"/>
  <c r="G312" i="128"/>
  <c r="G311" i="128"/>
  <c r="G103" i="128"/>
  <c r="G102" i="128"/>
  <c r="G101" i="128"/>
  <c r="G75" i="128"/>
  <c r="G74" i="128"/>
  <c r="G73" i="128"/>
  <c r="G47" i="128"/>
  <c r="G46" i="128"/>
  <c r="G45" i="128"/>
  <c r="G19" i="128"/>
  <c r="G18" i="128"/>
  <c r="E773" i="128"/>
  <c r="E772" i="128"/>
  <c r="E771" i="128"/>
  <c r="E770" i="128"/>
  <c r="E1007" i="128"/>
  <c r="E981" i="128"/>
  <c r="E1146" i="128"/>
  <c r="E1145" i="128"/>
  <c r="E1144" i="128"/>
  <c r="E1143" i="128"/>
  <c r="E1327" i="128"/>
  <c r="E1326" i="128"/>
  <c r="E1301" i="128"/>
  <c r="E1300" i="128"/>
  <c r="E1274" i="128"/>
  <c r="E1273" i="128"/>
  <c r="E1248" i="128"/>
  <c r="E1247" i="128"/>
  <c r="E1222" i="128"/>
  <c r="E1221" i="128"/>
  <c r="E1198" i="128"/>
  <c r="E1197" i="128"/>
  <c r="E1172" i="128"/>
  <c r="E1171" i="128"/>
  <c r="E928" i="128"/>
  <c r="E927" i="128"/>
  <c r="E926" i="128"/>
  <c r="E1092" i="128"/>
  <c r="E1091" i="128"/>
  <c r="E1090" i="128"/>
  <c r="E1061" i="128"/>
  <c r="E1060" i="128"/>
  <c r="E842" i="128"/>
  <c r="E841" i="128"/>
  <c r="E840" i="128"/>
  <c r="E807" i="128"/>
  <c r="E806" i="128"/>
  <c r="E805" i="128"/>
  <c r="E744" i="128"/>
  <c r="E743" i="128"/>
  <c r="E717" i="128"/>
  <c r="E1035" i="128"/>
  <c r="E1034" i="128"/>
  <c r="E1033" i="128"/>
  <c r="E1117" i="128"/>
  <c r="E691" i="128"/>
  <c r="E665" i="128"/>
  <c r="E664" i="128"/>
  <c r="E663" i="128"/>
  <c r="E637" i="128"/>
  <c r="E612" i="128"/>
  <c r="E611" i="128"/>
  <c r="E610" i="128"/>
  <c r="E584" i="128"/>
  <c r="E583" i="128"/>
  <c r="E582" i="128"/>
  <c r="E556" i="128"/>
  <c r="E530" i="128"/>
  <c r="E505" i="128"/>
  <c r="E504" i="128"/>
  <c r="E503" i="128"/>
  <c r="E477" i="128"/>
  <c r="E476" i="128"/>
  <c r="E475" i="128"/>
  <c r="E474" i="128"/>
  <c r="E449" i="128"/>
  <c r="E448" i="128"/>
  <c r="E422" i="128"/>
  <c r="E421" i="128"/>
  <c r="E396" i="128"/>
  <c r="E395" i="128"/>
  <c r="E394" i="128"/>
  <c r="E368" i="128"/>
  <c r="E367" i="128"/>
  <c r="E342" i="128"/>
  <c r="E341" i="128"/>
  <c r="E340" i="128"/>
  <c r="E313" i="128"/>
  <c r="E312" i="128"/>
  <c r="E311" i="128"/>
  <c r="E103" i="128"/>
  <c r="E102" i="128"/>
  <c r="E101" i="128"/>
  <c r="E75" i="128"/>
  <c r="E74" i="128"/>
  <c r="E73" i="128"/>
  <c r="E47" i="128"/>
  <c r="E46" i="128"/>
  <c r="E45" i="128"/>
  <c r="E19" i="128"/>
  <c r="E18" i="128"/>
  <c r="G787" i="128"/>
  <c r="G786" i="128"/>
  <c r="G785" i="128"/>
  <c r="G784" i="128"/>
  <c r="G783" i="128"/>
  <c r="G1073" i="128"/>
  <c r="G1072" i="128"/>
  <c r="G1071" i="128"/>
  <c r="G855" i="128"/>
  <c r="G854" i="128"/>
  <c r="G853" i="128"/>
  <c r="G852" i="128"/>
  <c r="G820" i="128"/>
  <c r="G819" i="128"/>
  <c r="G818" i="128"/>
  <c r="G817" i="128"/>
  <c r="G675" i="128"/>
  <c r="G515" i="128"/>
  <c r="G487" i="128"/>
  <c r="G460" i="128"/>
  <c r="G459" i="128"/>
  <c r="G434" i="128"/>
  <c r="G433" i="128"/>
  <c r="G432" i="128"/>
  <c r="G380" i="128"/>
  <c r="G379" i="128"/>
  <c r="G378" i="128"/>
  <c r="G352" i="128"/>
  <c r="G326" i="128"/>
  <c r="G325" i="128"/>
  <c r="G324" i="128"/>
  <c r="G323" i="128"/>
  <c r="G296" i="128"/>
  <c r="G270" i="128"/>
  <c r="I767" i="128" l="1"/>
  <c r="H767" i="128"/>
  <c r="I766" i="128"/>
  <c r="H766" i="128"/>
  <c r="I765" i="128"/>
  <c r="H765" i="128"/>
  <c r="I1004" i="128"/>
  <c r="H1004" i="128"/>
  <c r="I1003" i="128"/>
  <c r="H1003" i="128"/>
  <c r="I1139" i="128"/>
  <c r="H1139" i="128"/>
  <c r="I1295" i="128"/>
  <c r="H1295" i="128"/>
  <c r="I1269" i="128"/>
  <c r="H1269" i="128"/>
  <c r="I1243" i="128"/>
  <c r="H1243" i="128"/>
  <c r="I1217" i="128"/>
  <c r="H1217" i="128"/>
  <c r="I1086" i="128"/>
  <c r="H1086" i="128"/>
  <c r="I1085" i="128"/>
  <c r="H1085" i="128"/>
  <c r="I1084" i="128"/>
  <c r="H1084" i="128"/>
  <c r="I1083" i="128"/>
  <c r="H1083" i="128"/>
  <c r="I837" i="128"/>
  <c r="H837" i="128"/>
  <c r="I836" i="128"/>
  <c r="H836" i="128"/>
  <c r="I835" i="128"/>
  <c r="H835" i="128"/>
  <c r="I834" i="128"/>
  <c r="H834" i="128"/>
  <c r="I833" i="128"/>
  <c r="H833" i="128"/>
  <c r="I832" i="128"/>
  <c r="H832" i="128"/>
  <c r="I802" i="128"/>
  <c r="H802" i="128"/>
  <c r="I801" i="128"/>
  <c r="H801" i="128"/>
  <c r="I800" i="128"/>
  <c r="H800" i="128"/>
  <c r="I799" i="128"/>
  <c r="H799" i="128"/>
  <c r="I798" i="128"/>
  <c r="H798" i="128"/>
  <c r="I797" i="128"/>
  <c r="H797" i="128"/>
  <c r="I740" i="128"/>
  <c r="H740" i="128"/>
  <c r="I739" i="128"/>
  <c r="H739" i="128"/>
  <c r="I713" i="128"/>
  <c r="H713" i="128"/>
  <c r="I1029" i="128"/>
  <c r="H1029" i="128"/>
  <c r="I687" i="128"/>
  <c r="H687" i="128"/>
  <c r="I660" i="128"/>
  <c r="H660" i="128"/>
  <c r="I659" i="128"/>
  <c r="H659" i="128"/>
  <c r="I633" i="128"/>
  <c r="H633" i="128"/>
  <c r="I607" i="128"/>
  <c r="H607" i="128"/>
  <c r="I606" i="128"/>
  <c r="H606" i="128"/>
  <c r="I605" i="128"/>
  <c r="H605" i="128"/>
  <c r="I578" i="128"/>
  <c r="H578" i="128"/>
  <c r="I500" i="128"/>
  <c r="H500" i="128"/>
  <c r="I499" i="128"/>
  <c r="H499" i="128"/>
  <c r="I390" i="128"/>
  <c r="H390" i="128"/>
  <c r="I98" i="128"/>
  <c r="H98" i="128"/>
  <c r="I97" i="128"/>
  <c r="H97" i="128"/>
  <c r="I96" i="128"/>
  <c r="H96" i="128"/>
  <c r="I70" i="128"/>
  <c r="H70" i="128"/>
  <c r="I69" i="128"/>
  <c r="H69" i="128"/>
  <c r="I68" i="128"/>
  <c r="H68" i="128"/>
  <c r="I42" i="128"/>
  <c r="H42" i="128"/>
  <c r="I41" i="128"/>
  <c r="H41" i="128"/>
  <c r="I40" i="128"/>
  <c r="H40" i="128"/>
  <c r="I14" i="128"/>
  <c r="H14" i="128"/>
  <c r="I13" i="128"/>
  <c r="H13" i="128"/>
  <c r="G383" i="128" l="1"/>
  <c r="G356" i="128"/>
  <c r="G243" i="128"/>
  <c r="G17" i="128" l="1"/>
  <c r="E17" i="128"/>
  <c r="I12" i="128"/>
  <c r="H12" i="128"/>
  <c r="K35" i="128" l="1"/>
  <c r="K27" i="159" l="1"/>
  <c r="K28" i="159"/>
  <c r="K26" i="159"/>
  <c r="K31" i="159"/>
  <c r="K32" i="159" s="1"/>
  <c r="G25" i="159"/>
  <c r="K25" i="159" s="1"/>
  <c r="G16" i="159"/>
  <c r="K16" i="159" s="1"/>
  <c r="G15" i="159"/>
  <c r="K15" i="159" s="1"/>
  <c r="E16" i="159"/>
  <c r="E15" i="159"/>
  <c r="K13" i="159"/>
  <c r="F94" i="154"/>
  <c r="K94" i="154" s="1"/>
  <c r="F93" i="154"/>
  <c r="K93" i="154" s="1"/>
  <c r="F92" i="154"/>
  <c r="K92" i="154" s="1"/>
  <c r="F91" i="154"/>
  <c r="K91" i="154" s="1"/>
  <c r="F90" i="154"/>
  <c r="K90" i="154" s="1"/>
  <c r="F89" i="154"/>
  <c r="K89" i="154" s="1"/>
  <c r="F68" i="154"/>
  <c r="K68" i="154" s="1"/>
  <c r="F67" i="154"/>
  <c r="K67" i="154" s="1"/>
  <c r="F66" i="154"/>
  <c r="K66" i="154" s="1"/>
  <c r="F65" i="154"/>
  <c r="K65" i="154" s="1"/>
  <c r="F64" i="154"/>
  <c r="K64" i="154" s="1"/>
  <c r="F63" i="154"/>
  <c r="K63" i="154" s="1"/>
  <c r="F62" i="154"/>
  <c r="K62" i="154" s="1"/>
  <c r="F38" i="154"/>
  <c r="K38" i="154" s="1"/>
  <c r="F37" i="154"/>
  <c r="K37" i="154" s="1"/>
  <c r="F36" i="154"/>
  <c r="K36" i="154" s="1"/>
  <c r="F35" i="154"/>
  <c r="K35" i="154" s="1"/>
  <c r="G75" i="154"/>
  <c r="K75" i="154" s="1"/>
  <c r="K76" i="154" s="1"/>
  <c r="G46" i="154"/>
  <c r="K46" i="154" s="1"/>
  <c r="K48" i="154" s="1"/>
  <c r="E75" i="154"/>
  <c r="E46" i="154"/>
  <c r="F86" i="154"/>
  <c r="K86" i="154" s="1"/>
  <c r="F84" i="154"/>
  <c r="K84" i="154" s="1"/>
  <c r="F83" i="154"/>
  <c r="K83" i="154" s="1"/>
  <c r="F59" i="154"/>
  <c r="K59" i="154" s="1"/>
  <c r="F57" i="154"/>
  <c r="K57" i="154" s="1"/>
  <c r="F31" i="154"/>
  <c r="K31" i="154" s="1"/>
  <c r="F28" i="154"/>
  <c r="K28" i="154" s="1"/>
  <c r="F85" i="154"/>
  <c r="K85" i="154" s="1"/>
  <c r="F58" i="154"/>
  <c r="K58" i="154" s="1"/>
  <c r="F30" i="154"/>
  <c r="K30" i="154" s="1"/>
  <c r="F29" i="154"/>
  <c r="K29" i="154" s="1"/>
  <c r="K23" i="154"/>
  <c r="F34" i="154"/>
  <c r="K34" i="154" s="1"/>
  <c r="G17" i="154"/>
  <c r="K17" i="154" s="1"/>
  <c r="K19" i="154" s="1"/>
  <c r="E17" i="154"/>
  <c r="K73" i="154"/>
  <c r="K44" i="154"/>
  <c r="K15" i="154"/>
  <c r="K29" i="159" l="1"/>
  <c r="K17" i="159"/>
  <c r="K95" i="154"/>
  <c r="K53" i="154"/>
  <c r="K55" i="154" s="1"/>
  <c r="K32" i="154"/>
  <c r="K79" i="154"/>
  <c r="K81" i="154" s="1"/>
  <c r="K39" i="154"/>
  <c r="K69" i="154"/>
  <c r="K60" i="154"/>
  <c r="K24" i="154"/>
  <c r="K26" i="154" s="1"/>
  <c r="K87" i="154"/>
  <c r="K19" i="159" l="1"/>
  <c r="K20" i="159" s="1"/>
  <c r="K21" i="159" s="1"/>
  <c r="K23" i="159" s="1"/>
  <c r="K10" i="159" s="1"/>
  <c r="K70" i="154"/>
  <c r="K40" i="154"/>
  <c r="K11" i="154"/>
  <c r="G71" i="1" l="1"/>
  <c r="G70" i="1"/>
  <c r="G72" i="1"/>
  <c r="G34" i="1"/>
  <c r="D10" i="153"/>
  <c r="D9" i="153"/>
  <c r="D11" i="153"/>
  <c r="D12" i="153"/>
  <c r="C14" i="153"/>
  <c r="D13" i="153"/>
  <c r="C19" i="153" l="1"/>
  <c r="I636" i="1" l="1"/>
  <c r="R636" i="1" s="1"/>
  <c r="I739" i="1"/>
  <c r="R739" i="1" s="1"/>
  <c r="I686" i="1"/>
  <c r="R686" i="1" s="1"/>
  <c r="I635" i="1"/>
  <c r="R635" i="1" s="1"/>
  <c r="I620" i="1"/>
  <c r="R620" i="1" s="1"/>
  <c r="I599" i="1"/>
  <c r="R599" i="1" s="1"/>
  <c r="I586" i="1"/>
  <c r="R586" i="1" s="1"/>
  <c r="I567" i="1"/>
  <c r="R567" i="1" s="1"/>
  <c r="I558" i="1"/>
  <c r="R558" i="1" s="1"/>
  <c r="I68" i="1"/>
  <c r="R68" i="1" s="1"/>
  <c r="I533" i="1"/>
  <c r="I65" i="1"/>
  <c r="R65" i="1" s="1"/>
  <c r="I66" i="1"/>
  <c r="R66" i="1" s="1"/>
  <c r="I63" i="1"/>
  <c r="R63" i="1" s="1"/>
  <c r="R62" i="1" s="1"/>
  <c r="I67" i="1"/>
  <c r="R67" i="1" s="1"/>
  <c r="I437" i="1"/>
  <c r="R437" i="1" s="1"/>
  <c r="I531" i="1"/>
  <c r="R531" i="1" s="1"/>
  <c r="I284" i="1"/>
  <c r="R284" i="1" s="1"/>
  <c r="I229" i="1"/>
  <c r="R229" i="1" s="1"/>
  <c r="I526" i="1"/>
  <c r="R526" i="1" s="1"/>
  <c r="I337" i="1"/>
  <c r="R337" i="1" s="1"/>
  <c r="I380" i="1"/>
  <c r="R380" i="1" s="1"/>
  <c r="I315" i="1"/>
  <c r="R315" i="1" s="1"/>
  <c r="I379" i="1"/>
  <c r="R379" i="1" s="1"/>
  <c r="I317" i="1"/>
  <c r="R317" i="1" s="1"/>
  <c r="I339" i="1"/>
  <c r="R339" i="1" s="1"/>
  <c r="I528" i="1"/>
  <c r="R528" i="1" s="1"/>
  <c r="I281" i="1"/>
  <c r="R281" i="1" s="1"/>
  <c r="I230" i="1"/>
  <c r="R230" i="1" s="1"/>
  <c r="I527" i="1"/>
  <c r="R527" i="1" s="1"/>
  <c r="I381" i="1"/>
  <c r="R381" i="1" s="1"/>
  <c r="I341" i="1"/>
  <c r="R341" i="1" s="1"/>
  <c r="I530" i="1"/>
  <c r="R530" i="1" s="1"/>
  <c r="I283" i="1"/>
  <c r="R283" i="1" s="1"/>
  <c r="I314" i="1"/>
  <c r="R314" i="1" s="1"/>
  <c r="I274" i="1"/>
  <c r="R274" i="1" s="1"/>
  <c r="I438" i="1"/>
  <c r="R438" i="1" s="1"/>
  <c r="I231" i="1"/>
  <c r="R231" i="1" s="1"/>
  <c r="I343" i="1"/>
  <c r="I378" i="1"/>
  <c r="R378" i="1" s="1"/>
  <c r="I338" i="1"/>
  <c r="R338" i="1" s="1"/>
  <c r="I228" i="1"/>
  <c r="R228" i="1" s="1"/>
  <c r="I232" i="1"/>
  <c r="R232" i="1" s="1"/>
  <c r="I436" i="1"/>
  <c r="R436" i="1" s="1"/>
  <c r="I589" i="1"/>
  <c r="R589" i="1" s="1"/>
  <c r="I316" i="1"/>
  <c r="R316" i="1" s="1"/>
  <c r="I340" i="1"/>
  <c r="R340" i="1" s="1"/>
  <c r="I529" i="1"/>
  <c r="R529" i="1" s="1"/>
  <c r="I282" i="1"/>
  <c r="R282" i="1" s="1"/>
  <c r="I313" i="1"/>
  <c r="R313" i="1" s="1"/>
  <c r="I342" i="1"/>
  <c r="R342" i="1" s="1"/>
  <c r="I25" i="1"/>
  <c r="R25" i="1" s="1"/>
  <c r="I26" i="1"/>
  <c r="R26" i="1" s="1"/>
  <c r="I24" i="1"/>
  <c r="R24" i="1" s="1"/>
  <c r="I34" i="1"/>
  <c r="R34" i="1" s="1"/>
  <c r="R33" i="1" s="1"/>
  <c r="I47" i="1"/>
  <c r="R47" i="1" s="1"/>
  <c r="R46" i="1" s="1"/>
  <c r="I39" i="1"/>
  <c r="R39" i="1" s="1"/>
  <c r="I49" i="1"/>
  <c r="R49" i="1" s="1"/>
  <c r="R48" i="1" s="1"/>
  <c r="I45" i="1"/>
  <c r="R45" i="1" s="1"/>
  <c r="R44" i="1" s="1"/>
  <c r="I41" i="1"/>
  <c r="R41" i="1" s="1"/>
  <c r="R40" i="1" s="1"/>
  <c r="I43" i="1"/>
  <c r="R43" i="1" s="1"/>
  <c r="R42" i="1" s="1"/>
  <c r="I57" i="1"/>
  <c r="R57" i="1" s="1"/>
  <c r="R56" i="1" s="1"/>
  <c r="I38" i="1"/>
  <c r="R38" i="1" s="1"/>
  <c r="I51" i="1"/>
  <c r="R51" i="1" s="1"/>
  <c r="R50" i="1" s="1"/>
  <c r="I36" i="1"/>
  <c r="R36" i="1" s="1"/>
  <c r="R35" i="1" s="1"/>
  <c r="I55" i="1"/>
  <c r="R55" i="1" s="1"/>
  <c r="R54" i="1" s="1"/>
  <c r="I59" i="1"/>
  <c r="R59" i="1" s="1"/>
  <c r="R58" i="1" s="1"/>
  <c r="I654" i="1"/>
  <c r="R654" i="1" s="1"/>
  <c r="I122" i="1"/>
  <c r="R122" i="1" s="1"/>
  <c r="I93" i="1"/>
  <c r="R93" i="1" s="1"/>
  <c r="I914" i="1"/>
  <c r="I879" i="1"/>
  <c r="I866" i="1"/>
  <c r="I913" i="1"/>
  <c r="I878" i="1"/>
  <c r="R878" i="1" s="1"/>
  <c r="I875" i="1"/>
  <c r="R875" i="1" s="1"/>
  <c r="I872" i="1"/>
  <c r="R872" i="1" s="1"/>
  <c r="I865" i="1"/>
  <c r="I912" i="1"/>
  <c r="I906" i="1"/>
  <c r="R906" i="1" s="1"/>
  <c r="I903" i="1"/>
  <c r="R903" i="1" s="1"/>
  <c r="I899" i="1"/>
  <c r="I864" i="1"/>
  <c r="R864" i="1" s="1"/>
  <c r="I861" i="1"/>
  <c r="R861" i="1" s="1"/>
  <c r="I858" i="1"/>
  <c r="R858" i="1" s="1"/>
  <c r="I911" i="1"/>
  <c r="I898" i="1"/>
  <c r="I892" i="1"/>
  <c r="R892" i="1" s="1"/>
  <c r="I889" i="1"/>
  <c r="R889" i="1" s="1"/>
  <c r="I886" i="1"/>
  <c r="R886" i="1" s="1"/>
  <c r="I896" i="1"/>
  <c r="I910" i="1"/>
  <c r="I897" i="1"/>
  <c r="I909" i="1"/>
  <c r="I874" i="1"/>
  <c r="R874" i="1" s="1"/>
  <c r="I908" i="1"/>
  <c r="R908" i="1" s="1"/>
  <c r="I905" i="1"/>
  <c r="R905" i="1" s="1"/>
  <c r="I902" i="1"/>
  <c r="R902" i="1" s="1"/>
  <c r="I895" i="1"/>
  <c r="I863" i="1"/>
  <c r="R863" i="1" s="1"/>
  <c r="I860" i="1"/>
  <c r="R860" i="1" s="1"/>
  <c r="I857" i="1"/>
  <c r="R857" i="1" s="1"/>
  <c r="I873" i="1"/>
  <c r="R873" i="1" s="1"/>
  <c r="I894" i="1"/>
  <c r="R894" i="1" s="1"/>
  <c r="I891" i="1"/>
  <c r="R891" i="1" s="1"/>
  <c r="I888" i="1"/>
  <c r="R888" i="1" s="1"/>
  <c r="I884" i="1"/>
  <c r="I883" i="1"/>
  <c r="I882" i="1"/>
  <c r="I876" i="1"/>
  <c r="R876" i="1" s="1"/>
  <c r="I869" i="1"/>
  <c r="I383" i="1"/>
  <c r="I867" i="1"/>
  <c r="I877" i="1"/>
  <c r="R877" i="1" s="1"/>
  <c r="I871" i="1"/>
  <c r="R871" i="1" s="1"/>
  <c r="I907" i="1"/>
  <c r="R907" i="1" s="1"/>
  <c r="I904" i="1"/>
  <c r="R904" i="1" s="1"/>
  <c r="I901" i="1"/>
  <c r="R901" i="1" s="1"/>
  <c r="I881" i="1"/>
  <c r="I868" i="1"/>
  <c r="I862" i="1"/>
  <c r="R862" i="1" s="1"/>
  <c r="I859" i="1"/>
  <c r="R859" i="1" s="1"/>
  <c r="I440" i="1"/>
  <c r="I893" i="1"/>
  <c r="R893" i="1" s="1"/>
  <c r="I890" i="1"/>
  <c r="R890" i="1" s="1"/>
  <c r="I887" i="1"/>
  <c r="R887" i="1" s="1"/>
  <c r="I880" i="1"/>
  <c r="I20" i="1"/>
  <c r="R20" i="1" s="1"/>
  <c r="I803" i="1"/>
  <c r="I818" i="1"/>
  <c r="R818" i="1" s="1"/>
  <c r="I832" i="1"/>
  <c r="R832" i="1" s="1"/>
  <c r="I806" i="1"/>
  <c r="R806" i="1" s="1"/>
  <c r="I820" i="1"/>
  <c r="R820" i="1" s="1"/>
  <c r="I835" i="1"/>
  <c r="I808" i="1"/>
  <c r="R808" i="1" s="1"/>
  <c r="I802" i="1"/>
  <c r="R802" i="1" s="1"/>
  <c r="I825" i="1"/>
  <c r="I830" i="1"/>
  <c r="R830" i="1" s="1"/>
  <c r="I799" i="1"/>
  <c r="R799" i="1" s="1"/>
  <c r="I821" i="1"/>
  <c r="R821" i="1" s="1"/>
  <c r="I810" i="1"/>
  <c r="R810" i="1" s="1"/>
  <c r="I824" i="1"/>
  <c r="I817" i="1"/>
  <c r="R817" i="1" s="1"/>
  <c r="I831" i="1"/>
  <c r="R831" i="1" s="1"/>
  <c r="I828" i="1"/>
  <c r="R828" i="1" s="1"/>
  <c r="I812" i="1"/>
  <c r="R812" i="1" s="1"/>
  <c r="I827" i="1"/>
  <c r="R827" i="1" s="1"/>
  <c r="I811" i="1"/>
  <c r="R811" i="1" s="1"/>
  <c r="I823" i="1"/>
  <c r="I819" i="1"/>
  <c r="R819" i="1" s="1"/>
  <c r="I834" i="1"/>
  <c r="I807" i="1"/>
  <c r="R807" i="1" s="1"/>
  <c r="I801" i="1"/>
  <c r="R801" i="1" s="1"/>
  <c r="I800" i="1"/>
  <c r="R800" i="1" s="1"/>
  <c r="I829" i="1"/>
  <c r="R829" i="1" s="1"/>
  <c r="I814" i="1"/>
  <c r="I798" i="1"/>
  <c r="R798" i="1" s="1"/>
  <c r="I833" i="1"/>
  <c r="I809" i="1"/>
  <c r="R809" i="1" s="1"/>
  <c r="I804" i="1"/>
  <c r="I797" i="1"/>
  <c r="R797" i="1" s="1"/>
  <c r="I822" i="1"/>
  <c r="R822" i="1" s="1"/>
  <c r="I816" i="1"/>
  <c r="R816" i="1" s="1"/>
  <c r="I813" i="1"/>
  <c r="I524" i="1"/>
  <c r="R524" i="1" s="1"/>
  <c r="I433" i="1"/>
  <c r="R433" i="1" s="1"/>
  <c r="I279" i="1"/>
  <c r="R279" i="1" s="1"/>
  <c r="I226" i="1"/>
  <c r="R226" i="1" s="1"/>
  <c r="I373" i="1"/>
  <c r="R373" i="1" s="1"/>
  <c r="I223" i="1"/>
  <c r="R223" i="1" s="1"/>
  <c r="I520" i="1"/>
  <c r="R520" i="1" s="1"/>
  <c r="I523" i="1"/>
  <c r="R523" i="1" s="1"/>
  <c r="I222" i="1"/>
  <c r="R222" i="1" s="1"/>
  <c r="I376" i="1"/>
  <c r="R376" i="1" s="1"/>
  <c r="I372" i="1"/>
  <c r="R372" i="1" s="1"/>
  <c r="I225" i="1"/>
  <c r="R225" i="1" s="1"/>
  <c r="I375" i="1"/>
  <c r="R375" i="1" s="1"/>
  <c r="I278" i="1"/>
  <c r="R278" i="1" s="1"/>
  <c r="I434" i="1"/>
  <c r="R434" i="1" s="1"/>
  <c r="I521" i="1"/>
  <c r="R521" i="1" s="1"/>
  <c r="K968" i="1"/>
  <c r="M968" i="1" s="1"/>
  <c r="K944" i="1"/>
  <c r="M944" i="1" s="1"/>
  <c r="K934" i="1"/>
  <c r="M934" i="1" s="1"/>
  <c r="K974" i="1"/>
  <c r="M974" i="1" s="1"/>
  <c r="K959" i="1"/>
  <c r="M959" i="1" s="1"/>
  <c r="K950" i="1"/>
  <c r="M950" i="1" s="1"/>
  <c r="K958" i="1"/>
  <c r="M958" i="1" s="1"/>
  <c r="K933" i="1"/>
  <c r="M933" i="1" s="1"/>
  <c r="K954" i="1"/>
  <c r="M954" i="1" s="1"/>
  <c r="K942" i="1"/>
  <c r="M942" i="1" s="1"/>
  <c r="K973" i="1"/>
  <c r="M973" i="1" s="1"/>
  <c r="K966" i="1"/>
  <c r="M966" i="1" s="1"/>
  <c r="K949" i="1"/>
  <c r="M949" i="1" s="1"/>
  <c r="K939" i="1"/>
  <c r="M939" i="1" s="1"/>
  <c r="K975" i="1"/>
  <c r="M975" i="1" s="1"/>
  <c r="K951" i="1"/>
  <c r="M951" i="1" s="1"/>
  <c r="K957" i="1"/>
  <c r="M957" i="1" s="1"/>
  <c r="K932" i="1"/>
  <c r="M932" i="1" s="1"/>
  <c r="K971" i="1"/>
  <c r="M971" i="1" s="1"/>
  <c r="K963" i="1"/>
  <c r="M963" i="1" s="1"/>
  <c r="K938" i="1"/>
  <c r="M938" i="1" s="1"/>
  <c r="K956" i="1"/>
  <c r="M956" i="1" s="1"/>
  <c r="K930" i="1"/>
  <c r="M930" i="1" s="1"/>
  <c r="K947" i="1"/>
  <c r="M947" i="1" s="1"/>
  <c r="K937" i="1"/>
  <c r="M937" i="1" s="1"/>
  <c r="K961" i="1"/>
  <c r="M961" i="1" s="1"/>
  <c r="K935" i="1"/>
  <c r="M935" i="1" s="1"/>
  <c r="K970" i="1"/>
  <c r="M970" i="1" s="1"/>
  <c r="K962" i="1"/>
  <c r="M962" i="1" s="1"/>
  <c r="K946" i="1"/>
  <c r="M946" i="1" s="1"/>
  <c r="K969" i="1"/>
  <c r="M969" i="1" s="1"/>
  <c r="K945" i="1"/>
  <c r="M945" i="1" s="1"/>
  <c r="K927" i="1"/>
  <c r="M927" i="1" s="1"/>
  <c r="K925" i="1"/>
  <c r="M925" i="1" s="1"/>
  <c r="K918" i="1"/>
  <c r="M918" i="1" s="1"/>
  <c r="K926" i="1"/>
  <c r="M926" i="1" s="1"/>
  <c r="K922" i="1"/>
  <c r="M922" i="1" s="1"/>
  <c r="K923" i="1"/>
  <c r="M923" i="1" s="1"/>
  <c r="K920" i="1"/>
  <c r="M920" i="1" s="1"/>
  <c r="K921" i="1"/>
  <c r="M921" i="1" s="1"/>
  <c r="I781" i="1"/>
  <c r="R781" i="1" s="1"/>
  <c r="I775" i="1"/>
  <c r="R775" i="1" s="1"/>
  <c r="I777" i="1"/>
  <c r="R777" i="1" s="1"/>
  <c r="I773" i="1"/>
  <c r="R773" i="1" s="1"/>
  <c r="I771" i="1"/>
  <c r="R771" i="1" s="1"/>
  <c r="I783" i="1"/>
  <c r="R783" i="1" s="1"/>
  <c r="I774" i="1"/>
  <c r="R774" i="1" s="1"/>
  <c r="I769" i="1"/>
  <c r="R769" i="1" s="1"/>
  <c r="I780" i="1"/>
  <c r="I782" i="1"/>
  <c r="R782" i="1" s="1"/>
  <c r="I779" i="1"/>
  <c r="R779" i="1" s="1"/>
  <c r="I772" i="1"/>
  <c r="I770" i="1"/>
  <c r="I778" i="1"/>
  <c r="I737" i="1"/>
  <c r="R737" i="1" s="1"/>
  <c r="I683" i="1"/>
  <c r="R683" i="1" s="1"/>
  <c r="I736" i="1"/>
  <c r="R736" i="1" s="1"/>
  <c r="I684" i="1"/>
  <c r="R684" i="1" s="1"/>
  <c r="I633" i="1"/>
  <c r="R633" i="1" s="1"/>
  <c r="I744" i="1"/>
  <c r="R744" i="1" s="1"/>
  <c r="I741" i="1"/>
  <c r="R741" i="1" s="1"/>
  <c r="I733" i="1"/>
  <c r="R733" i="1" s="1"/>
  <c r="I730" i="1"/>
  <c r="R730" i="1" s="1"/>
  <c r="I682" i="1"/>
  <c r="R682" i="1" s="1"/>
  <c r="I689" i="1"/>
  <c r="R689" i="1" s="1"/>
  <c r="I679" i="1"/>
  <c r="R679" i="1" s="1"/>
  <c r="I738" i="1"/>
  <c r="R738" i="1" s="1"/>
  <c r="I743" i="1"/>
  <c r="R743" i="1" s="1"/>
  <c r="I735" i="1"/>
  <c r="R735" i="1" s="1"/>
  <c r="I732" i="1"/>
  <c r="R732" i="1" s="1"/>
  <c r="I691" i="1"/>
  <c r="R691" i="1" s="1"/>
  <c r="I688" i="1"/>
  <c r="R688" i="1" s="1"/>
  <c r="I681" i="1"/>
  <c r="R681" i="1" s="1"/>
  <c r="I678" i="1"/>
  <c r="R678" i="1" s="1"/>
  <c r="I745" i="1"/>
  <c r="R745" i="1" s="1"/>
  <c r="I742" i="1"/>
  <c r="R742" i="1" s="1"/>
  <c r="I734" i="1"/>
  <c r="R734" i="1" s="1"/>
  <c r="I731" i="1"/>
  <c r="R731" i="1" s="1"/>
  <c r="I729" i="1"/>
  <c r="R729" i="1" s="1"/>
  <c r="I690" i="1"/>
  <c r="R690" i="1" s="1"/>
  <c r="I687" i="1"/>
  <c r="R687" i="1" s="1"/>
  <c r="I680" i="1"/>
  <c r="R680" i="1" s="1"/>
  <c r="I677" i="1"/>
  <c r="R677" i="1" s="1"/>
  <c r="I608" i="1"/>
  <c r="R608" i="1" s="1"/>
  <c r="I604" i="1"/>
  <c r="R604" i="1" s="1"/>
  <c r="I612" i="1"/>
  <c r="R612" i="1" s="1"/>
  <c r="I603" i="1"/>
  <c r="R603" i="1" s="1"/>
  <c r="I554" i="1"/>
  <c r="R554" i="1" s="1"/>
  <c r="I543" i="1"/>
  <c r="R543" i="1" s="1"/>
  <c r="I539" i="1"/>
  <c r="R539" i="1" s="1"/>
  <c r="I545" i="1"/>
  <c r="R545" i="1" s="1"/>
  <c r="I538" i="1"/>
  <c r="R538" i="1" s="1"/>
  <c r="I563" i="1"/>
  <c r="R563" i="1" s="1"/>
  <c r="I595" i="1"/>
  <c r="R595" i="1" s="1"/>
  <c r="I590" i="1"/>
  <c r="R590" i="1" s="1"/>
  <c r="I584" i="1"/>
  <c r="R584" i="1" s="1"/>
  <c r="I576" i="1"/>
  <c r="R576" i="1" s="1"/>
  <c r="I572" i="1"/>
  <c r="R572" i="1" s="1"/>
  <c r="I549" i="1"/>
  <c r="R549" i="1" s="1"/>
  <c r="I565" i="1"/>
  <c r="R565" i="1" s="1"/>
  <c r="I561" i="1"/>
  <c r="R561" i="1" s="1"/>
  <c r="I618" i="1"/>
  <c r="R618" i="1" s="1"/>
  <c r="I610" i="1"/>
  <c r="R610" i="1" s="1"/>
  <c r="I602" i="1"/>
  <c r="R602" i="1" s="1"/>
  <c r="I556" i="1"/>
  <c r="R556" i="1" s="1"/>
  <c r="I591" i="1"/>
  <c r="R591" i="1" s="1"/>
  <c r="I582" i="1"/>
  <c r="R582" i="1" s="1"/>
  <c r="I575" i="1"/>
  <c r="R575" i="1" s="1"/>
  <c r="I571" i="1"/>
  <c r="R571" i="1" s="1"/>
  <c r="I552" i="1"/>
  <c r="R552" i="1" s="1"/>
  <c r="I550" i="1"/>
  <c r="R550" i="1" s="1"/>
  <c r="I614" i="1"/>
  <c r="R614" i="1" s="1"/>
  <c r="I616" i="1"/>
  <c r="R616" i="1" s="1"/>
  <c r="I606" i="1"/>
  <c r="R606" i="1" s="1"/>
  <c r="I580" i="1"/>
  <c r="R580" i="1" s="1"/>
  <c r="I542" i="1"/>
  <c r="R542" i="1" s="1"/>
  <c r="I540" i="1"/>
  <c r="R540" i="1" s="1"/>
  <c r="I537" i="1"/>
  <c r="R537" i="1" s="1"/>
  <c r="I597" i="1"/>
  <c r="R597" i="1" s="1"/>
  <c r="I593" i="1"/>
  <c r="R593" i="1" s="1"/>
  <c r="I578" i="1"/>
  <c r="R578" i="1" s="1"/>
  <c r="I573" i="1"/>
  <c r="R573" i="1" s="1"/>
  <c r="I570" i="1"/>
  <c r="R570" i="1" s="1"/>
  <c r="I562" i="1"/>
  <c r="R562" i="1" s="1"/>
  <c r="I547" i="1"/>
  <c r="R547" i="1" s="1"/>
  <c r="I726" i="1"/>
  <c r="R726" i="1" s="1"/>
  <c r="I723" i="1"/>
  <c r="R723" i="1" s="1"/>
  <c r="I720" i="1"/>
  <c r="R720" i="1" s="1"/>
  <c r="I716" i="1"/>
  <c r="R716" i="1" s="1"/>
  <c r="I712" i="1"/>
  <c r="R712" i="1" s="1"/>
  <c r="I709" i="1"/>
  <c r="R709" i="1" s="1"/>
  <c r="I706" i="1"/>
  <c r="R706" i="1" s="1"/>
  <c r="I704" i="1"/>
  <c r="R704" i="1" s="1"/>
  <c r="I699" i="1"/>
  <c r="R699" i="1" s="1"/>
  <c r="I750" i="1"/>
  <c r="R750" i="1" s="1"/>
  <c r="I747" i="1"/>
  <c r="R747" i="1" s="1"/>
  <c r="I695" i="1"/>
  <c r="R695" i="1" s="1"/>
  <c r="I674" i="1"/>
  <c r="R674" i="1" s="1"/>
  <c r="I671" i="1"/>
  <c r="R671" i="1" s="1"/>
  <c r="I667" i="1"/>
  <c r="R667" i="1" s="1"/>
  <c r="I664" i="1"/>
  <c r="R664" i="1" s="1"/>
  <c r="I661" i="1"/>
  <c r="R661" i="1" s="1"/>
  <c r="I753" i="1"/>
  <c r="R753" i="1" s="1"/>
  <c r="I624" i="1"/>
  <c r="R624" i="1" s="1"/>
  <c r="I698" i="1"/>
  <c r="R698" i="1" s="1"/>
  <c r="I725" i="1"/>
  <c r="R725" i="1" s="1"/>
  <c r="I722" i="1"/>
  <c r="R722" i="1" s="1"/>
  <c r="I719" i="1"/>
  <c r="R719" i="1" s="1"/>
  <c r="I715" i="1"/>
  <c r="R715" i="1" s="1"/>
  <c r="I711" i="1"/>
  <c r="R711" i="1" s="1"/>
  <c r="I708" i="1"/>
  <c r="R708" i="1" s="1"/>
  <c r="I701" i="1"/>
  <c r="R701" i="1" s="1"/>
  <c r="I749" i="1"/>
  <c r="R749" i="1" s="1"/>
  <c r="I697" i="1"/>
  <c r="R697" i="1" s="1"/>
  <c r="I694" i="1"/>
  <c r="R694" i="1" s="1"/>
  <c r="I673" i="1"/>
  <c r="R673" i="1" s="1"/>
  <c r="I669" i="1"/>
  <c r="R669" i="1" s="1"/>
  <c r="I666" i="1"/>
  <c r="R666" i="1" s="1"/>
  <c r="I663" i="1"/>
  <c r="R663" i="1" s="1"/>
  <c r="I752" i="1"/>
  <c r="R752" i="1" s="1"/>
  <c r="I724" i="1"/>
  <c r="R724" i="1" s="1"/>
  <c r="I721" i="1"/>
  <c r="R721" i="1" s="1"/>
  <c r="I717" i="1"/>
  <c r="R717" i="1" s="1"/>
  <c r="I714" i="1"/>
  <c r="R714" i="1" s="1"/>
  <c r="I710" i="1"/>
  <c r="R710" i="1" s="1"/>
  <c r="I707" i="1"/>
  <c r="R707" i="1" s="1"/>
  <c r="I705" i="1"/>
  <c r="R705" i="1" s="1"/>
  <c r="I700" i="1"/>
  <c r="R700" i="1" s="1"/>
  <c r="I748" i="1"/>
  <c r="R748" i="1" s="1"/>
  <c r="I751" i="1"/>
  <c r="R751" i="1" s="1"/>
  <c r="I696" i="1"/>
  <c r="R696" i="1" s="1"/>
  <c r="I693" i="1"/>
  <c r="R693" i="1" s="1"/>
  <c r="I672" i="1"/>
  <c r="R672" i="1" s="1"/>
  <c r="I668" i="1"/>
  <c r="R668" i="1" s="1"/>
  <c r="I665" i="1"/>
  <c r="R665" i="1" s="1"/>
  <c r="I662" i="1"/>
  <c r="R662" i="1" s="1"/>
  <c r="I754" i="1"/>
  <c r="R754" i="1" s="1"/>
  <c r="I511" i="1"/>
  <c r="R511" i="1" s="1"/>
  <c r="I508" i="1"/>
  <c r="R508" i="1" s="1"/>
  <c r="I471" i="1"/>
  <c r="R471" i="1" s="1"/>
  <c r="I455" i="1"/>
  <c r="R455" i="1" s="1"/>
  <c r="I422" i="1"/>
  <c r="R422" i="1" s="1"/>
  <c r="I386" i="1"/>
  <c r="R386" i="1" s="1"/>
  <c r="I304" i="1"/>
  <c r="R304" i="1" s="1"/>
  <c r="I301" i="1"/>
  <c r="R301" i="1" s="1"/>
  <c r="I356" i="1"/>
  <c r="R356" i="1" s="1"/>
  <c r="I351" i="1"/>
  <c r="R351" i="1" s="1"/>
  <c r="I291" i="1"/>
  <c r="I258" i="1"/>
  <c r="R258" i="1" s="1"/>
  <c r="I250" i="1"/>
  <c r="R250" i="1" s="1"/>
  <c r="I196" i="1"/>
  <c r="I193" i="1"/>
  <c r="R193" i="1" s="1"/>
  <c r="I178" i="1"/>
  <c r="R178" i="1" s="1"/>
  <c r="I460" i="1"/>
  <c r="R460" i="1" s="1"/>
  <c r="I457" i="1"/>
  <c r="R457" i="1" s="1"/>
  <c r="I499" i="1"/>
  <c r="R499" i="1" s="1"/>
  <c r="I452" i="1"/>
  <c r="R452" i="1" s="1"/>
  <c r="I430" i="1"/>
  <c r="R430" i="1" s="1"/>
  <c r="I297" i="1"/>
  <c r="R297" i="1" s="1"/>
  <c r="I362" i="1"/>
  <c r="R362" i="1" s="1"/>
  <c r="I327" i="1"/>
  <c r="R327" i="1" s="1"/>
  <c r="I323" i="1"/>
  <c r="R323" i="1" s="1"/>
  <c r="I516" i="1"/>
  <c r="R516" i="1" s="1"/>
  <c r="I489" i="1"/>
  <c r="I484" i="1"/>
  <c r="R484" i="1" s="1"/>
  <c r="I481" i="1"/>
  <c r="R481" i="1" s="1"/>
  <c r="I447" i="1"/>
  <c r="I418" i="1"/>
  <c r="R418" i="1" s="1"/>
  <c r="I415" i="1"/>
  <c r="R415" i="1" s="1"/>
  <c r="I388" i="1"/>
  <c r="R388" i="1" s="1"/>
  <c r="I370" i="1"/>
  <c r="R370" i="1" s="1"/>
  <c r="I333" i="1"/>
  <c r="R333" i="1" s="1"/>
  <c r="I345" i="1"/>
  <c r="I320" i="1"/>
  <c r="R320" i="1" s="1"/>
  <c r="I287" i="1"/>
  <c r="I239" i="1"/>
  <c r="R239" i="1" s="1"/>
  <c r="I220" i="1"/>
  <c r="R220" i="1" s="1"/>
  <c r="I200" i="1"/>
  <c r="R200" i="1" s="1"/>
  <c r="I171" i="1"/>
  <c r="R171" i="1" s="1"/>
  <c r="I160" i="1"/>
  <c r="R160" i="1" s="1"/>
  <c r="I307" i="1"/>
  <c r="R307" i="1" s="1"/>
  <c r="I263" i="1"/>
  <c r="R263" i="1" s="1"/>
  <c r="I269" i="1"/>
  <c r="R269" i="1" s="1"/>
  <c r="I255" i="1"/>
  <c r="R255" i="1" s="1"/>
  <c r="I214" i="1"/>
  <c r="R214" i="1" s="1"/>
  <c r="I170" i="1"/>
  <c r="R170" i="1" s="1"/>
  <c r="I465" i="1"/>
  <c r="R465" i="1" s="1"/>
  <c r="I504" i="1"/>
  <c r="I477" i="1"/>
  <c r="R477" i="1" s="1"/>
  <c r="I473" i="1"/>
  <c r="R473" i="1" s="1"/>
  <c r="I445" i="1"/>
  <c r="I406" i="1"/>
  <c r="R406" i="1" s="1"/>
  <c r="I402" i="1"/>
  <c r="R402" i="1" s="1"/>
  <c r="I397" i="1"/>
  <c r="I394" i="1"/>
  <c r="R394" i="1" s="1"/>
  <c r="I390" i="1"/>
  <c r="R390" i="1" s="1"/>
  <c r="I366" i="1"/>
  <c r="R366" i="1" s="1"/>
  <c r="I310" i="1"/>
  <c r="R310" i="1" s="1"/>
  <c r="I183" i="1"/>
  <c r="R183" i="1" s="1"/>
  <c r="I180" i="1"/>
  <c r="R180" i="1" s="1"/>
  <c r="I510" i="1"/>
  <c r="R510" i="1" s="1"/>
  <c r="I502" i="1"/>
  <c r="R502" i="1" s="1"/>
  <c r="I487" i="1"/>
  <c r="I470" i="1"/>
  <c r="R470" i="1" s="1"/>
  <c r="I443" i="1"/>
  <c r="I427" i="1"/>
  <c r="R427" i="1" s="1"/>
  <c r="I424" i="1"/>
  <c r="R424" i="1" s="1"/>
  <c r="I421" i="1"/>
  <c r="R421" i="1" s="1"/>
  <c r="I303" i="1"/>
  <c r="R303" i="1" s="1"/>
  <c r="I299" i="1"/>
  <c r="R299" i="1" s="1"/>
  <c r="I355" i="1"/>
  <c r="R355" i="1" s="1"/>
  <c r="I349" i="1"/>
  <c r="R349" i="1" s="1"/>
  <c r="I329" i="1"/>
  <c r="R329" i="1" s="1"/>
  <c r="I260" i="1"/>
  <c r="R260" i="1" s="1"/>
  <c r="I257" i="1"/>
  <c r="R257" i="1" s="1"/>
  <c r="I252" i="1"/>
  <c r="R252" i="1" s="1"/>
  <c r="I249" i="1"/>
  <c r="R249" i="1" s="1"/>
  <c r="I194" i="1"/>
  <c r="I168" i="1"/>
  <c r="R168" i="1" s="1"/>
  <c r="I475" i="1"/>
  <c r="R475" i="1" s="1"/>
  <c r="I367" i="1"/>
  <c r="R367" i="1" s="1"/>
  <c r="I518" i="1"/>
  <c r="R518" i="1" s="1"/>
  <c r="I459" i="1"/>
  <c r="R459" i="1" s="1"/>
  <c r="I493" i="1"/>
  <c r="R493" i="1" s="1"/>
  <c r="I486" i="1"/>
  <c r="R486" i="1" s="1"/>
  <c r="I454" i="1"/>
  <c r="R454" i="1" s="1"/>
  <c r="I451" i="1"/>
  <c r="R451" i="1" s="1"/>
  <c r="I335" i="1"/>
  <c r="R335" i="1" s="1"/>
  <c r="I296" i="1"/>
  <c r="R296" i="1" s="1"/>
  <c r="I326" i="1"/>
  <c r="R326" i="1" s="1"/>
  <c r="I245" i="1"/>
  <c r="R245" i="1" s="1"/>
  <c r="I241" i="1"/>
  <c r="R241" i="1" s="1"/>
  <c r="I210" i="1"/>
  <c r="R210" i="1" s="1"/>
  <c r="I208" i="1"/>
  <c r="R208" i="1" s="1"/>
  <c r="I191" i="1"/>
  <c r="R191" i="1" s="1"/>
  <c r="I188" i="1"/>
  <c r="R188" i="1" s="1"/>
  <c r="I177" i="1"/>
  <c r="R177" i="1" s="1"/>
  <c r="I174" i="1"/>
  <c r="R174" i="1" s="1"/>
  <c r="I164" i="1"/>
  <c r="R164" i="1" s="1"/>
  <c r="I360" i="1"/>
  <c r="I319" i="1"/>
  <c r="R319" i="1" s="1"/>
  <c r="I192" i="1"/>
  <c r="R192" i="1" s="1"/>
  <c r="I182" i="1"/>
  <c r="R182" i="1" s="1"/>
  <c r="I163" i="1"/>
  <c r="R163" i="1" s="1"/>
  <c r="I166" i="1"/>
  <c r="R166" i="1" s="1"/>
  <c r="I154" i="1"/>
  <c r="I162" i="1"/>
  <c r="R162" i="1" s="1"/>
  <c r="I158" i="1"/>
  <c r="I184" i="1"/>
  <c r="R184" i="1" s="1"/>
  <c r="I172" i="1"/>
  <c r="R172" i="1" s="1"/>
  <c r="I392" i="1"/>
  <c r="R392" i="1" s="1"/>
  <c r="I261" i="1"/>
  <c r="R261" i="1" s="1"/>
  <c r="I271" i="1"/>
  <c r="R271" i="1" s="1"/>
  <c r="I515" i="1"/>
  <c r="R515" i="1" s="1"/>
  <c r="I467" i="1"/>
  <c r="R467" i="1" s="1"/>
  <c r="I483" i="1"/>
  <c r="R483" i="1" s="1"/>
  <c r="I479" i="1"/>
  <c r="R479" i="1" s="1"/>
  <c r="I429" i="1"/>
  <c r="R429" i="1" s="1"/>
  <c r="I417" i="1"/>
  <c r="R417" i="1" s="1"/>
  <c r="I413" i="1"/>
  <c r="I396" i="1"/>
  <c r="R396" i="1" s="1"/>
  <c r="I369" i="1"/>
  <c r="R369" i="1" s="1"/>
  <c r="I332" i="1"/>
  <c r="R332" i="1" s="1"/>
  <c r="I322" i="1"/>
  <c r="R322" i="1" s="1"/>
  <c r="I276" i="1"/>
  <c r="I238" i="1"/>
  <c r="R238" i="1" s="1"/>
  <c r="I169" i="1"/>
  <c r="R169" i="1" s="1"/>
  <c r="I206" i="1"/>
  <c r="R206" i="1" s="1"/>
  <c r="I176" i="1"/>
  <c r="R176" i="1" s="1"/>
  <c r="I311" i="1"/>
  <c r="R311" i="1" s="1"/>
  <c r="I410" i="1"/>
  <c r="R410" i="1" s="1"/>
  <c r="I246" i="1"/>
  <c r="R246" i="1" s="1"/>
  <c r="I204" i="1"/>
  <c r="R204" i="1" s="1"/>
  <c r="I189" i="1"/>
  <c r="R189" i="1" s="1"/>
  <c r="I512" i="1"/>
  <c r="R512" i="1" s="1"/>
  <c r="I495" i="1"/>
  <c r="R495" i="1" s="1"/>
  <c r="I464" i="1"/>
  <c r="R464" i="1" s="1"/>
  <c r="I476" i="1"/>
  <c r="R476" i="1" s="1"/>
  <c r="I431" i="1"/>
  <c r="R431" i="1" s="1"/>
  <c r="I411" i="1"/>
  <c r="R411" i="1" s="1"/>
  <c r="I393" i="1"/>
  <c r="R393" i="1" s="1"/>
  <c r="I387" i="1"/>
  <c r="R387" i="1" s="1"/>
  <c r="I368" i="1"/>
  <c r="R368" i="1" s="1"/>
  <c r="I364" i="1"/>
  <c r="R364" i="1" s="1"/>
  <c r="I305" i="1"/>
  <c r="R305" i="1" s="1"/>
  <c r="I358" i="1"/>
  <c r="R358" i="1" s="1"/>
  <c r="I309" i="1"/>
  <c r="R309" i="1" s="1"/>
  <c r="I293" i="1"/>
  <c r="R293" i="1" s="1"/>
  <c r="I272" i="1"/>
  <c r="R272" i="1" s="1"/>
  <c r="I218" i="1"/>
  <c r="I213" i="1"/>
  <c r="R213" i="1" s="1"/>
  <c r="I198" i="1"/>
  <c r="R198" i="1" s="1"/>
  <c r="I185" i="1"/>
  <c r="I156" i="1"/>
  <c r="I202" i="1"/>
  <c r="R202" i="1" s="1"/>
  <c r="I425" i="1"/>
  <c r="R425" i="1" s="1"/>
  <c r="I395" i="1"/>
  <c r="R395" i="1" s="1"/>
  <c r="I509" i="1"/>
  <c r="R509" i="1" s="1"/>
  <c r="I461" i="1"/>
  <c r="R461" i="1" s="1"/>
  <c r="I472" i="1"/>
  <c r="R472" i="1" s="1"/>
  <c r="I469" i="1"/>
  <c r="R469" i="1" s="1"/>
  <c r="I423" i="1"/>
  <c r="R423" i="1" s="1"/>
  <c r="I404" i="1"/>
  <c r="R404" i="1" s="1"/>
  <c r="I400" i="1"/>
  <c r="I302" i="1"/>
  <c r="R302" i="1" s="1"/>
  <c r="I353" i="1"/>
  <c r="R353" i="1" s="1"/>
  <c r="I262" i="1"/>
  <c r="I259" i="1"/>
  <c r="R259" i="1" s="1"/>
  <c r="I267" i="1"/>
  <c r="R267" i="1" s="1"/>
  <c r="I254" i="1"/>
  <c r="I251" i="1"/>
  <c r="R251" i="1" s="1"/>
  <c r="I247" i="1"/>
  <c r="R247" i="1" s="1"/>
  <c r="I216" i="1"/>
  <c r="R216" i="1" s="1"/>
  <c r="I244" i="1"/>
  <c r="R244" i="1" s="1"/>
  <c r="I240" i="1"/>
  <c r="R240" i="1" s="1"/>
  <c r="I186" i="1"/>
  <c r="R186" i="1" s="1"/>
  <c r="I478" i="1"/>
  <c r="R478" i="1" s="1"/>
  <c r="I428" i="1"/>
  <c r="R428" i="1" s="1"/>
  <c r="I289" i="1"/>
  <c r="I265" i="1"/>
  <c r="I458" i="1"/>
  <c r="R458" i="1" s="1"/>
  <c r="I500" i="1"/>
  <c r="R500" i="1" s="1"/>
  <c r="I491" i="1"/>
  <c r="R491" i="1" s="1"/>
  <c r="I453" i="1"/>
  <c r="R453" i="1" s="1"/>
  <c r="I449" i="1"/>
  <c r="R449" i="1" s="1"/>
  <c r="I419" i="1"/>
  <c r="R419" i="1" s="1"/>
  <c r="I389" i="1"/>
  <c r="R389" i="1" s="1"/>
  <c r="I298" i="1"/>
  <c r="R298" i="1" s="1"/>
  <c r="I295" i="1"/>
  <c r="R295" i="1" s="1"/>
  <c r="I347" i="1"/>
  <c r="R347" i="1" s="1"/>
  <c r="I328" i="1"/>
  <c r="R328" i="1" s="1"/>
  <c r="I325" i="1"/>
  <c r="R325" i="1" s="1"/>
  <c r="I190" i="1"/>
  <c r="R190" i="1" s="1"/>
  <c r="I237" i="1"/>
  <c r="R237" i="1" s="1"/>
  <c r="I181" i="1"/>
  <c r="R181" i="1" s="1"/>
  <c r="I517" i="1"/>
  <c r="R517" i="1" s="1"/>
  <c r="I514" i="1"/>
  <c r="R514" i="1" s="1"/>
  <c r="I506" i="1"/>
  <c r="R506" i="1" s="1"/>
  <c r="I485" i="1"/>
  <c r="R485" i="1" s="1"/>
  <c r="I482" i="1"/>
  <c r="R482" i="1" s="1"/>
  <c r="I416" i="1"/>
  <c r="R416" i="1" s="1"/>
  <c r="I408" i="1"/>
  <c r="R408" i="1" s="1"/>
  <c r="I398" i="1"/>
  <c r="R398" i="1" s="1"/>
  <c r="I334" i="1"/>
  <c r="R334" i="1" s="1"/>
  <c r="I331" i="1"/>
  <c r="R331" i="1" s="1"/>
  <c r="I321" i="1"/>
  <c r="R321" i="1" s="1"/>
  <c r="I308" i="1"/>
  <c r="R308" i="1" s="1"/>
  <c r="I253" i="1"/>
  <c r="R253" i="1" s="1"/>
  <c r="I243" i="1"/>
  <c r="R243" i="1" s="1"/>
  <c r="I211" i="1"/>
  <c r="R211" i="1" s="1"/>
  <c r="I175" i="1"/>
  <c r="R175" i="1" s="1"/>
  <c r="I165" i="1"/>
  <c r="R165" i="1" s="1"/>
  <c r="I497" i="1"/>
  <c r="R497" i="1" s="1"/>
  <c r="I466" i="1"/>
  <c r="R466" i="1" s="1"/>
  <c r="I463" i="1"/>
  <c r="R463" i="1" s="1"/>
  <c r="I89" i="1"/>
  <c r="R89" i="1" s="1"/>
  <c r="I150" i="1"/>
  <c r="R150" i="1" s="1"/>
  <c r="I141" i="1"/>
  <c r="I132" i="1"/>
  <c r="R132" i="1" s="1"/>
  <c r="I139" i="1"/>
  <c r="R139" i="1" s="1"/>
  <c r="I80" i="1"/>
  <c r="R80" i="1" s="1"/>
  <c r="I118" i="1"/>
  <c r="R118" i="1" s="1"/>
  <c r="I100" i="1"/>
  <c r="R100" i="1" s="1"/>
  <c r="I110" i="1"/>
  <c r="I107" i="1"/>
  <c r="R107" i="1" s="1"/>
  <c r="I135" i="1"/>
  <c r="R135" i="1" s="1"/>
  <c r="I121" i="1"/>
  <c r="R121" i="1" s="1"/>
  <c r="I103" i="1"/>
  <c r="R103" i="1" s="1"/>
  <c r="I92" i="1"/>
  <c r="R92" i="1" s="1"/>
  <c r="I76" i="1"/>
  <c r="R76" i="1" s="1"/>
  <c r="I147" i="1"/>
  <c r="R147" i="1" s="1"/>
  <c r="I114" i="1"/>
  <c r="R114" i="1" s="1"/>
  <c r="I88" i="1"/>
  <c r="I131" i="1"/>
  <c r="I97" i="1"/>
  <c r="R97" i="1" s="1"/>
  <c r="I86" i="1"/>
  <c r="R86" i="1" s="1"/>
  <c r="I117" i="1"/>
  <c r="I82" i="1"/>
  <c r="I142" i="1"/>
  <c r="I136" i="1"/>
  <c r="R136" i="1" s="1"/>
  <c r="I146" i="1"/>
  <c r="R146" i="1" s="1"/>
  <c r="I113" i="1"/>
  <c r="R113" i="1" s="1"/>
  <c r="I85" i="1"/>
  <c r="R85" i="1" s="1"/>
  <c r="I124" i="1"/>
  <c r="R124" i="1" s="1"/>
  <c r="I149" i="1"/>
  <c r="I112" i="1"/>
  <c r="R112" i="1" s="1"/>
  <c r="I84" i="1"/>
  <c r="R84" i="1" s="1"/>
  <c r="I104" i="1"/>
  <c r="R104" i="1" s="1"/>
  <c r="I145" i="1"/>
  <c r="R145" i="1" s="1"/>
  <c r="I106" i="1"/>
  <c r="R106" i="1" s="1"/>
  <c r="I109" i="1"/>
  <c r="I95" i="1"/>
  <c r="R95" i="1" s="1"/>
  <c r="I129" i="1"/>
  <c r="R129" i="1" s="1"/>
  <c r="I99" i="1"/>
  <c r="I144" i="1"/>
  <c r="R144" i="1" s="1"/>
  <c r="I77" i="1"/>
  <c r="R77" i="1" s="1"/>
  <c r="I138" i="1"/>
  <c r="R138" i="1" s="1"/>
  <c r="I128" i="1"/>
  <c r="R128" i="1" s="1"/>
  <c r="I115" i="1"/>
  <c r="R115" i="1" s="1"/>
  <c r="I79" i="1"/>
  <c r="R79" i="1" s="1"/>
  <c r="I126" i="1"/>
  <c r="I658" i="1"/>
  <c r="R658" i="1" s="1"/>
  <c r="I653" i="1"/>
  <c r="I652" i="1"/>
  <c r="I655" i="1"/>
  <c r="R655" i="1" s="1"/>
  <c r="I657" i="1"/>
  <c r="I651" i="1"/>
  <c r="R651" i="1" s="1"/>
  <c r="I656" i="1"/>
  <c r="R656" i="1" s="1"/>
  <c r="I645" i="1"/>
  <c r="R645" i="1" s="1"/>
  <c r="I640" i="1"/>
  <c r="R640" i="1" s="1"/>
  <c r="I647" i="1"/>
  <c r="R647" i="1" s="1"/>
  <c r="I632" i="1"/>
  <c r="R632" i="1" s="1"/>
  <c r="I648" i="1"/>
  <c r="I631" i="1"/>
  <c r="R631" i="1" s="1"/>
  <c r="I649" i="1"/>
  <c r="R649" i="1" s="1"/>
  <c r="I643" i="1"/>
  <c r="I637" i="1"/>
  <c r="R637" i="1" s="1"/>
  <c r="I642" i="1"/>
  <c r="R642" i="1" s="1"/>
  <c r="I638" i="1"/>
  <c r="R638" i="1" s="1"/>
  <c r="I644" i="1"/>
  <c r="I639" i="1"/>
  <c r="R639" i="1" s="1"/>
  <c r="I980" i="1"/>
  <c r="R980" i="1" s="1"/>
  <c r="I855" i="1"/>
  <c r="R855" i="1" s="1"/>
  <c r="I851" i="1"/>
  <c r="R851" i="1" s="1"/>
  <c r="I847" i="1"/>
  <c r="R847" i="1" s="1"/>
  <c r="I844" i="1"/>
  <c r="R844" i="1" s="1"/>
  <c r="I840" i="1"/>
  <c r="R840" i="1" s="1"/>
  <c r="I792" i="1"/>
  <c r="R792" i="1" s="1"/>
  <c r="I788" i="1"/>
  <c r="R788" i="1" s="1"/>
  <c r="I627" i="1"/>
  <c r="R627" i="1" s="1"/>
  <c r="I61" i="1"/>
  <c r="R61" i="1" s="1"/>
  <c r="R60" i="1" s="1"/>
  <c r="I53" i="1"/>
  <c r="R53" i="1" s="1"/>
  <c r="R52" i="1" s="1"/>
  <c r="I22" i="1"/>
  <c r="R22" i="1" s="1"/>
  <c r="I18" i="1"/>
  <c r="R18" i="1" s="1"/>
  <c r="I14" i="1"/>
  <c r="R14" i="1" s="1"/>
  <c r="I793" i="1"/>
  <c r="R793" i="1" s="1"/>
  <c r="I646" i="1"/>
  <c r="R646" i="1" s="1"/>
  <c r="I19" i="1"/>
  <c r="R19" i="1" s="1"/>
  <c r="I979" i="1"/>
  <c r="R979" i="1" s="1"/>
  <c r="I28" i="1"/>
  <c r="R28" i="1" s="1"/>
  <c r="I854" i="1"/>
  <c r="R854" i="1" s="1"/>
  <c r="I850" i="1"/>
  <c r="R850" i="1" s="1"/>
  <c r="I846" i="1"/>
  <c r="R846" i="1" s="1"/>
  <c r="I843" i="1"/>
  <c r="R843" i="1" s="1"/>
  <c r="I839" i="1"/>
  <c r="R839" i="1" s="1"/>
  <c r="I791" i="1"/>
  <c r="R791" i="1" s="1"/>
  <c r="I787" i="1"/>
  <c r="R787" i="1" s="1"/>
  <c r="I630" i="1"/>
  <c r="R630" i="1" s="1"/>
  <c r="I626" i="1"/>
  <c r="R626" i="1" s="1"/>
  <c r="I72" i="1"/>
  <c r="R72" i="1" s="1"/>
  <c r="I21" i="1"/>
  <c r="R21" i="1" s="1"/>
  <c r="I17" i="1"/>
  <c r="R17" i="1" s="1"/>
  <c r="I234" i="1"/>
  <c r="R234" i="1" s="1"/>
  <c r="I848" i="1"/>
  <c r="R848" i="1" s="1"/>
  <c r="I795" i="1"/>
  <c r="R795" i="1" s="1"/>
  <c r="I628" i="1"/>
  <c r="R628" i="1" s="1"/>
  <c r="I70" i="1"/>
  <c r="R70" i="1" s="1"/>
  <c r="I15" i="1"/>
  <c r="R15" i="1" s="1"/>
  <c r="I27" i="1"/>
  <c r="R27" i="1" s="1"/>
  <c r="I853" i="1"/>
  <c r="R853" i="1" s="1"/>
  <c r="I849" i="1"/>
  <c r="R849" i="1" s="1"/>
  <c r="I845" i="1"/>
  <c r="R845" i="1" s="1"/>
  <c r="I842" i="1"/>
  <c r="R842" i="1" s="1"/>
  <c r="I838" i="1"/>
  <c r="R838" i="1" s="1"/>
  <c r="I794" i="1"/>
  <c r="R794" i="1" s="1"/>
  <c r="I790" i="1"/>
  <c r="R790" i="1" s="1"/>
  <c r="I786" i="1"/>
  <c r="R786" i="1" s="1"/>
  <c r="I629" i="1"/>
  <c r="R629" i="1" s="1"/>
  <c r="I625" i="1"/>
  <c r="R625" i="1" s="1"/>
  <c r="I71" i="1"/>
  <c r="R71" i="1" s="1"/>
  <c r="I31" i="1"/>
  <c r="R31" i="1" s="1"/>
  <c r="I16" i="1"/>
  <c r="R16" i="1" s="1"/>
  <c r="I852" i="1"/>
  <c r="R852" i="1" s="1"/>
  <c r="I841" i="1"/>
  <c r="R841" i="1" s="1"/>
  <c r="I789" i="1"/>
  <c r="R789" i="1" s="1"/>
  <c r="I30" i="1"/>
  <c r="R30" i="1" s="1"/>
  <c r="C24" i="139"/>
  <c r="C25" i="139"/>
  <c r="C26" i="139"/>
  <c r="C27" i="139"/>
  <c r="C28" i="139"/>
  <c r="C29" i="139"/>
  <c r="C30" i="139"/>
  <c r="C31" i="139"/>
  <c r="C32" i="139"/>
  <c r="C33" i="139"/>
  <c r="C34" i="139"/>
  <c r="C35" i="139"/>
  <c r="C36" i="139"/>
  <c r="C37" i="139"/>
  <c r="D24" i="139"/>
  <c r="J24" i="139" s="1"/>
  <c r="D25" i="139"/>
  <c r="J25" i="139" s="1"/>
  <c r="D26" i="139"/>
  <c r="J26" i="139" s="1"/>
  <c r="D27" i="139"/>
  <c r="J27" i="139" s="1"/>
  <c r="D28" i="139"/>
  <c r="J28" i="139" s="1"/>
  <c r="D29" i="139"/>
  <c r="J29" i="139" s="1"/>
  <c r="D30" i="139"/>
  <c r="J30" i="139" s="1"/>
  <c r="D31" i="139"/>
  <c r="J31" i="139" s="1"/>
  <c r="D32" i="139"/>
  <c r="J32" i="139" s="1"/>
  <c r="D33" i="139"/>
  <c r="J33" i="139" s="1"/>
  <c r="D34" i="139"/>
  <c r="J34" i="139" s="1"/>
  <c r="D35" i="139"/>
  <c r="J35" i="139" s="1"/>
  <c r="D36" i="139"/>
  <c r="J36" i="139" s="1"/>
  <c r="D37" i="139"/>
  <c r="J37" i="139" s="1"/>
  <c r="D23" i="139"/>
  <c r="J23" i="139" s="1"/>
  <c r="I14" i="139"/>
  <c r="I15" i="139"/>
  <c r="I16" i="139"/>
  <c r="I17" i="139"/>
  <c r="I18" i="139"/>
  <c r="I19" i="139"/>
  <c r="I20" i="139"/>
  <c r="R978" i="1" l="1"/>
  <c r="R29" i="1"/>
  <c r="R675" i="1"/>
  <c r="R600" i="1"/>
  <c r="K881" i="1"/>
  <c r="M881" i="1" s="1"/>
  <c r="R881" i="1"/>
  <c r="R837" i="1"/>
  <c r="J643" i="1"/>
  <c r="L643" i="1" s="1"/>
  <c r="R643" i="1"/>
  <c r="J652" i="1"/>
  <c r="L652" i="1" s="1"/>
  <c r="R652" i="1"/>
  <c r="K265" i="1"/>
  <c r="M265" i="1" s="1"/>
  <c r="R265" i="1"/>
  <c r="K413" i="1"/>
  <c r="M413" i="1" s="1"/>
  <c r="R413" i="1"/>
  <c r="K158" i="1"/>
  <c r="M158" i="1" s="1"/>
  <c r="R158" i="1"/>
  <c r="K504" i="1"/>
  <c r="M504" i="1" s="1"/>
  <c r="R504" i="1"/>
  <c r="K489" i="1"/>
  <c r="M489" i="1" s="1"/>
  <c r="R489" i="1"/>
  <c r="K814" i="1"/>
  <c r="M814" i="1" s="1"/>
  <c r="R814" i="1"/>
  <c r="K868" i="1"/>
  <c r="M868" i="1" s="1"/>
  <c r="R868" i="1"/>
  <c r="K883" i="1"/>
  <c r="M883" i="1" s="1"/>
  <c r="R883" i="1"/>
  <c r="K879" i="1"/>
  <c r="M879" i="1" s="1"/>
  <c r="R879" i="1"/>
  <c r="K82" i="1"/>
  <c r="M82" i="1" s="1"/>
  <c r="R82" i="1"/>
  <c r="K156" i="1"/>
  <c r="M156" i="1" s="1"/>
  <c r="R156" i="1"/>
  <c r="K154" i="1"/>
  <c r="M154" i="1" s="1"/>
  <c r="R154" i="1"/>
  <c r="R659" i="1"/>
  <c r="R535" i="1"/>
  <c r="K824" i="1"/>
  <c r="M824" i="1" s="1"/>
  <c r="R824" i="1"/>
  <c r="K909" i="1"/>
  <c r="M909" i="1" s="1"/>
  <c r="R909" i="1"/>
  <c r="K899" i="1"/>
  <c r="M899" i="1" s="1"/>
  <c r="R899" i="1"/>
  <c r="R64" i="1"/>
  <c r="J653" i="1"/>
  <c r="L653" i="1" s="1"/>
  <c r="R653" i="1"/>
  <c r="J648" i="1"/>
  <c r="L648" i="1" s="1"/>
  <c r="R648" i="1"/>
  <c r="K126" i="1"/>
  <c r="M126" i="1" s="1"/>
  <c r="R126" i="1"/>
  <c r="K117" i="1"/>
  <c r="M117" i="1" s="1"/>
  <c r="R117" i="1"/>
  <c r="K185" i="1"/>
  <c r="M185" i="1" s="1"/>
  <c r="R185" i="1"/>
  <c r="K345" i="1"/>
  <c r="M345" i="1" s="1"/>
  <c r="R345" i="1"/>
  <c r="K803" i="1"/>
  <c r="M803" i="1" s="1"/>
  <c r="R803" i="1"/>
  <c r="K897" i="1"/>
  <c r="M897" i="1" s="1"/>
  <c r="R897" i="1"/>
  <c r="R587" i="1"/>
  <c r="K196" i="1"/>
  <c r="M196" i="1" s="1"/>
  <c r="R196" i="1"/>
  <c r="K110" i="1"/>
  <c r="M110" i="1" s="1"/>
  <c r="R110" i="1"/>
  <c r="K291" i="1"/>
  <c r="M291" i="1" s="1"/>
  <c r="R291" i="1"/>
  <c r="K813" i="1"/>
  <c r="M813" i="1" s="1"/>
  <c r="R813" i="1"/>
  <c r="R805" i="1" s="1"/>
  <c r="K910" i="1"/>
  <c r="M910" i="1" s="1"/>
  <c r="R910" i="1"/>
  <c r="K142" i="1"/>
  <c r="M142" i="1" s="1"/>
  <c r="R142" i="1"/>
  <c r="K262" i="1"/>
  <c r="M262" i="1" s="1"/>
  <c r="R262" i="1"/>
  <c r="R727" i="1"/>
  <c r="K834" i="1"/>
  <c r="M834" i="1" s="1"/>
  <c r="R834" i="1"/>
  <c r="K880" i="1"/>
  <c r="M880" i="1" s="1"/>
  <c r="R880" i="1"/>
  <c r="K896" i="1"/>
  <c r="M896" i="1" s="1"/>
  <c r="R896" i="1"/>
  <c r="K912" i="1"/>
  <c r="M912" i="1" s="1"/>
  <c r="R912" i="1"/>
  <c r="K289" i="1"/>
  <c r="M289" i="1" s="1"/>
  <c r="R289" i="1"/>
  <c r="K884" i="1"/>
  <c r="M884" i="1" s="1"/>
  <c r="R884" i="1"/>
  <c r="K131" i="1"/>
  <c r="M131" i="1" s="1"/>
  <c r="R131" i="1"/>
  <c r="K218" i="1"/>
  <c r="M218" i="1" s="1"/>
  <c r="R218" i="1"/>
  <c r="K194" i="1"/>
  <c r="M194" i="1" s="1"/>
  <c r="R194" i="1"/>
  <c r="K397" i="1"/>
  <c r="M397" i="1" s="1"/>
  <c r="R397" i="1"/>
  <c r="K778" i="1"/>
  <c r="M778" i="1" s="1"/>
  <c r="R778" i="1"/>
  <c r="K865" i="1"/>
  <c r="M865" i="1" s="1"/>
  <c r="R865" i="1"/>
  <c r="R23" i="1"/>
  <c r="K149" i="1"/>
  <c r="M149" i="1" s="1"/>
  <c r="R149" i="1"/>
  <c r="K88" i="1"/>
  <c r="M88" i="1" s="1"/>
  <c r="R88" i="1"/>
  <c r="K276" i="1"/>
  <c r="M276" i="1" s="1"/>
  <c r="R276" i="1"/>
  <c r="K443" i="1"/>
  <c r="M443" i="1" s="1"/>
  <c r="R443" i="1"/>
  <c r="R559" i="1"/>
  <c r="K770" i="1"/>
  <c r="M770" i="1" s="1"/>
  <c r="R770" i="1"/>
  <c r="K823" i="1"/>
  <c r="M823" i="1" s="1"/>
  <c r="R823" i="1"/>
  <c r="K825" i="1"/>
  <c r="M825" i="1" s="1"/>
  <c r="R825" i="1"/>
  <c r="R815" i="1" s="1"/>
  <c r="K867" i="1"/>
  <c r="M867" i="1" s="1"/>
  <c r="R867" i="1"/>
  <c r="J644" i="1"/>
  <c r="L644" i="1" s="1"/>
  <c r="R644" i="1"/>
  <c r="K360" i="1"/>
  <c r="M360" i="1" s="1"/>
  <c r="R360" i="1"/>
  <c r="K772" i="1"/>
  <c r="M772" i="1" s="1"/>
  <c r="R772" i="1"/>
  <c r="K804" i="1"/>
  <c r="M804" i="1" s="1"/>
  <c r="R804" i="1"/>
  <c r="R796" i="1" s="1"/>
  <c r="K383" i="1"/>
  <c r="M383" i="1" s="1"/>
  <c r="R383" i="1"/>
  <c r="K109" i="1"/>
  <c r="M109" i="1" s="1"/>
  <c r="R109" i="1"/>
  <c r="K533" i="1"/>
  <c r="M533" i="1" s="1"/>
  <c r="R533" i="1"/>
  <c r="K400" i="1"/>
  <c r="M400" i="1" s="1"/>
  <c r="R400" i="1"/>
  <c r="R785" i="1"/>
  <c r="K487" i="1"/>
  <c r="M487" i="1" s="1"/>
  <c r="R487" i="1"/>
  <c r="K445" i="1"/>
  <c r="M445" i="1" s="1"/>
  <c r="R445" i="1"/>
  <c r="K447" i="1"/>
  <c r="M447" i="1" s="1"/>
  <c r="R447" i="1"/>
  <c r="R568" i="1"/>
  <c r="K440" i="1"/>
  <c r="M440" i="1" s="1"/>
  <c r="R440" i="1"/>
  <c r="K869" i="1"/>
  <c r="M869" i="1" s="1"/>
  <c r="R869" i="1"/>
  <c r="K895" i="1"/>
  <c r="M895" i="1" s="1"/>
  <c r="R895" i="1"/>
  <c r="K898" i="1"/>
  <c r="M898" i="1" s="1"/>
  <c r="R898" i="1"/>
  <c r="R37" i="1"/>
  <c r="K343" i="1"/>
  <c r="M343" i="1" s="1"/>
  <c r="R343" i="1"/>
  <c r="K287" i="1"/>
  <c r="M287" i="1" s="1"/>
  <c r="R287" i="1"/>
  <c r="K914" i="1"/>
  <c r="M914" i="1" s="1"/>
  <c r="R914" i="1"/>
  <c r="J657" i="1"/>
  <c r="L657" i="1" s="1"/>
  <c r="R657" i="1"/>
  <c r="K99" i="1"/>
  <c r="M99" i="1" s="1"/>
  <c r="R99" i="1"/>
  <c r="R90" i="1" s="1"/>
  <c r="K141" i="1"/>
  <c r="M141" i="1" s="1"/>
  <c r="R141" i="1"/>
  <c r="K254" i="1"/>
  <c r="M254" i="1" s="1"/>
  <c r="R254" i="1"/>
  <c r="K833" i="1"/>
  <c r="M833" i="1" s="1"/>
  <c r="R833" i="1"/>
  <c r="K835" i="1"/>
  <c r="M835" i="1" s="1"/>
  <c r="R835" i="1"/>
  <c r="K911" i="1"/>
  <c r="M911" i="1" s="1"/>
  <c r="R911" i="1"/>
  <c r="K913" i="1"/>
  <c r="M913" i="1" s="1"/>
  <c r="R913" i="1"/>
  <c r="R69" i="1"/>
  <c r="R702" i="1"/>
  <c r="K780" i="1"/>
  <c r="M780" i="1" s="1"/>
  <c r="R780" i="1"/>
  <c r="K882" i="1"/>
  <c r="M882" i="1" s="1"/>
  <c r="R882" i="1"/>
  <c r="K866" i="1"/>
  <c r="M866" i="1" s="1"/>
  <c r="R866" i="1"/>
  <c r="R13" i="1"/>
  <c r="K635" i="1"/>
  <c r="M635" i="1" s="1"/>
  <c r="J635" i="1"/>
  <c r="L635" i="1" s="1"/>
  <c r="K686" i="1"/>
  <c r="M686" i="1" s="1"/>
  <c r="J686" i="1"/>
  <c r="L686" i="1" s="1"/>
  <c r="K739" i="1"/>
  <c r="M739" i="1" s="1"/>
  <c r="J739" i="1"/>
  <c r="L739" i="1" s="1"/>
  <c r="J636" i="1"/>
  <c r="L636" i="1" s="1"/>
  <c r="K636" i="1"/>
  <c r="M636" i="1" s="1"/>
  <c r="K67" i="1"/>
  <c r="M67" i="1" s="1"/>
  <c r="J67" i="1"/>
  <c r="L67" i="1" s="1"/>
  <c r="J586" i="1"/>
  <c r="L586" i="1" s="1"/>
  <c r="K586" i="1"/>
  <c r="M586" i="1" s="1"/>
  <c r="K65" i="1"/>
  <c r="M65" i="1" s="1"/>
  <c r="J65" i="1"/>
  <c r="L65" i="1" s="1"/>
  <c r="J567" i="1"/>
  <c r="L567" i="1" s="1"/>
  <c r="K567" i="1"/>
  <c r="M567" i="1" s="1"/>
  <c r="J63" i="1"/>
  <c r="L63" i="1" s="1"/>
  <c r="K63" i="1"/>
  <c r="M63" i="1" s="1"/>
  <c r="M62" i="1" s="1"/>
  <c r="K68" i="1"/>
  <c r="M68" i="1" s="1"/>
  <c r="J68" i="1"/>
  <c r="L68" i="1" s="1"/>
  <c r="J599" i="1"/>
  <c r="L599" i="1" s="1"/>
  <c r="K599" i="1"/>
  <c r="M599" i="1" s="1"/>
  <c r="K66" i="1"/>
  <c r="M66" i="1" s="1"/>
  <c r="J66" i="1"/>
  <c r="L66" i="1" s="1"/>
  <c r="J558" i="1"/>
  <c r="L558" i="1" s="1"/>
  <c r="K558" i="1"/>
  <c r="M558" i="1" s="1"/>
  <c r="J620" i="1"/>
  <c r="L620" i="1" s="1"/>
  <c r="K620" i="1"/>
  <c r="M620" i="1" s="1"/>
  <c r="M940" i="1"/>
  <c r="M952" i="1"/>
  <c r="M964" i="1"/>
  <c r="M916" i="1"/>
  <c r="M928" i="1"/>
  <c r="K57" i="1"/>
  <c r="M57" i="1" s="1"/>
  <c r="M56" i="1" s="1"/>
  <c r="J57" i="1"/>
  <c r="L57" i="1" s="1"/>
  <c r="L56" i="1" s="1"/>
  <c r="K313" i="1"/>
  <c r="M313" i="1" s="1"/>
  <c r="J313" i="1"/>
  <c r="L313" i="1" s="1"/>
  <c r="K231" i="1"/>
  <c r="M231" i="1" s="1"/>
  <c r="J231" i="1"/>
  <c r="L231" i="1" s="1"/>
  <c r="K339" i="1"/>
  <c r="M339" i="1" s="1"/>
  <c r="J339" i="1"/>
  <c r="L339" i="1" s="1"/>
  <c r="J342" i="1"/>
  <c r="L342" i="1" s="1"/>
  <c r="K342" i="1"/>
  <c r="M342" i="1" s="1"/>
  <c r="K858" i="1"/>
  <c r="M858" i="1" s="1"/>
  <c r="J858" i="1"/>
  <c r="L858" i="1" s="1"/>
  <c r="J908" i="1"/>
  <c r="L908" i="1" s="1"/>
  <c r="K908" i="1"/>
  <c r="M908" i="1" s="1"/>
  <c r="K861" i="1"/>
  <c r="M861" i="1" s="1"/>
  <c r="J861" i="1"/>
  <c r="L861" i="1" s="1"/>
  <c r="J43" i="1"/>
  <c r="L43" i="1" s="1"/>
  <c r="L42" i="1" s="1"/>
  <c r="K43" i="1"/>
  <c r="M43" i="1" s="1"/>
  <c r="M42" i="1" s="1"/>
  <c r="K282" i="1"/>
  <c r="M282" i="1" s="1"/>
  <c r="J282" i="1"/>
  <c r="L282" i="1" s="1"/>
  <c r="K438" i="1"/>
  <c r="M438" i="1" s="1"/>
  <c r="J438" i="1"/>
  <c r="L438" i="1" s="1"/>
  <c r="J317" i="1"/>
  <c r="L317" i="1" s="1"/>
  <c r="K317" i="1"/>
  <c r="M317" i="1" s="1"/>
  <c r="K874" i="1"/>
  <c r="M874" i="1" s="1"/>
  <c r="J874" i="1"/>
  <c r="L874" i="1" s="1"/>
  <c r="J864" i="1"/>
  <c r="L864" i="1" s="1"/>
  <c r="K864" i="1"/>
  <c r="M864" i="1" s="1"/>
  <c r="K41" i="1"/>
  <c r="M41" i="1" s="1"/>
  <c r="M40" i="1" s="1"/>
  <c r="J41" i="1"/>
  <c r="L41" i="1" s="1"/>
  <c r="L40" i="1" s="1"/>
  <c r="K529" i="1"/>
  <c r="M529" i="1" s="1"/>
  <c r="J529" i="1"/>
  <c r="L529" i="1" s="1"/>
  <c r="J274" i="1"/>
  <c r="L274" i="1" s="1"/>
  <c r="K274" i="1"/>
  <c r="M274" i="1" s="1"/>
  <c r="K379" i="1"/>
  <c r="M379" i="1" s="1"/>
  <c r="J379" i="1"/>
  <c r="L379" i="1" s="1"/>
  <c r="K901" i="1"/>
  <c r="M901" i="1" s="1"/>
  <c r="J901" i="1"/>
  <c r="L901" i="1" s="1"/>
  <c r="K888" i="1"/>
  <c r="M888" i="1" s="1"/>
  <c r="J888" i="1"/>
  <c r="L888" i="1" s="1"/>
  <c r="K45" i="1"/>
  <c r="M45" i="1" s="1"/>
  <c r="M44" i="1" s="1"/>
  <c r="J45" i="1"/>
  <c r="L45" i="1" s="1"/>
  <c r="L44" i="1" s="1"/>
  <c r="K340" i="1"/>
  <c r="M340" i="1" s="1"/>
  <c r="J340" i="1"/>
  <c r="L340" i="1" s="1"/>
  <c r="K314" i="1"/>
  <c r="M314" i="1" s="1"/>
  <c r="J314" i="1"/>
  <c r="L314" i="1" s="1"/>
  <c r="K315" i="1"/>
  <c r="M315" i="1" s="1"/>
  <c r="J315" i="1"/>
  <c r="L315" i="1" s="1"/>
  <c r="K904" i="1"/>
  <c r="M904" i="1" s="1"/>
  <c r="J904" i="1"/>
  <c r="L904" i="1" s="1"/>
  <c r="K891" i="1"/>
  <c r="M891" i="1" s="1"/>
  <c r="J891" i="1"/>
  <c r="L891" i="1" s="1"/>
  <c r="K903" i="1"/>
  <c r="M903" i="1" s="1"/>
  <c r="J903" i="1"/>
  <c r="L903" i="1" s="1"/>
  <c r="K93" i="1"/>
  <c r="M93" i="1" s="1"/>
  <c r="J93" i="1"/>
  <c r="L93" i="1" s="1"/>
  <c r="K49" i="1"/>
  <c r="M49" i="1" s="1"/>
  <c r="M48" i="1" s="1"/>
  <c r="J49" i="1"/>
  <c r="L49" i="1" s="1"/>
  <c r="L48" i="1" s="1"/>
  <c r="K316" i="1"/>
  <c r="M316" i="1" s="1"/>
  <c r="J316" i="1"/>
  <c r="L316" i="1" s="1"/>
  <c r="K283" i="1"/>
  <c r="M283" i="1" s="1"/>
  <c r="J283" i="1"/>
  <c r="L283" i="1" s="1"/>
  <c r="K380" i="1"/>
  <c r="M380" i="1" s="1"/>
  <c r="J380" i="1"/>
  <c r="L380" i="1" s="1"/>
  <c r="K20" i="1"/>
  <c r="M20" i="1" s="1"/>
  <c r="J20" i="1"/>
  <c r="L20" i="1" s="1"/>
  <c r="K907" i="1"/>
  <c r="M907" i="1" s="1"/>
  <c r="J907" i="1"/>
  <c r="L907" i="1" s="1"/>
  <c r="J894" i="1"/>
  <c r="L894" i="1" s="1"/>
  <c r="K894" i="1"/>
  <c r="M894" i="1" s="1"/>
  <c r="K906" i="1"/>
  <c r="M906" i="1" s="1"/>
  <c r="J906" i="1"/>
  <c r="L906" i="1" s="1"/>
  <c r="K122" i="1"/>
  <c r="M122" i="1" s="1"/>
  <c r="J122" i="1"/>
  <c r="L122" i="1" s="1"/>
  <c r="J39" i="1"/>
  <c r="L39" i="1" s="1"/>
  <c r="K39" i="1"/>
  <c r="M39" i="1" s="1"/>
  <c r="J589" i="1"/>
  <c r="L589" i="1" s="1"/>
  <c r="K589" i="1"/>
  <c r="M589" i="1" s="1"/>
  <c r="K530" i="1"/>
  <c r="M530" i="1" s="1"/>
  <c r="J530" i="1"/>
  <c r="L530" i="1" s="1"/>
  <c r="K337" i="1"/>
  <c r="M337" i="1" s="1"/>
  <c r="J337" i="1"/>
  <c r="L337" i="1" s="1"/>
  <c r="K871" i="1"/>
  <c r="M871" i="1" s="1"/>
  <c r="J871" i="1"/>
  <c r="L871" i="1" s="1"/>
  <c r="K873" i="1"/>
  <c r="M873" i="1" s="1"/>
  <c r="J873" i="1"/>
  <c r="L873" i="1" s="1"/>
  <c r="K654" i="1"/>
  <c r="M654" i="1" s="1"/>
  <c r="J654" i="1"/>
  <c r="L654" i="1" s="1"/>
  <c r="K47" i="1"/>
  <c r="M47" i="1" s="1"/>
  <c r="M46" i="1" s="1"/>
  <c r="J47" i="1"/>
  <c r="L47" i="1" s="1"/>
  <c r="L46" i="1" s="1"/>
  <c r="K436" i="1"/>
  <c r="M436" i="1" s="1"/>
  <c r="J436" i="1"/>
  <c r="L436" i="1" s="1"/>
  <c r="K341" i="1"/>
  <c r="M341" i="1" s="1"/>
  <c r="J341" i="1"/>
  <c r="L341" i="1" s="1"/>
  <c r="K526" i="1"/>
  <c r="M526" i="1" s="1"/>
  <c r="J526" i="1"/>
  <c r="L526" i="1" s="1"/>
  <c r="K38" i="1"/>
  <c r="M38" i="1" s="1"/>
  <c r="J38" i="1"/>
  <c r="L38" i="1" s="1"/>
  <c r="K905" i="1"/>
  <c r="M905" i="1" s="1"/>
  <c r="J905" i="1"/>
  <c r="L905" i="1" s="1"/>
  <c r="K887" i="1"/>
  <c r="M887" i="1" s="1"/>
  <c r="J887" i="1"/>
  <c r="L887" i="1" s="1"/>
  <c r="K877" i="1"/>
  <c r="M877" i="1" s="1"/>
  <c r="J877" i="1"/>
  <c r="L877" i="1" s="1"/>
  <c r="K857" i="1"/>
  <c r="M857" i="1" s="1"/>
  <c r="J857" i="1"/>
  <c r="L857" i="1" s="1"/>
  <c r="K886" i="1"/>
  <c r="M886" i="1" s="1"/>
  <c r="J886" i="1"/>
  <c r="L886" i="1" s="1"/>
  <c r="K59" i="1"/>
  <c r="M59" i="1" s="1"/>
  <c r="M58" i="1" s="1"/>
  <c r="J59" i="1"/>
  <c r="L59" i="1" s="1"/>
  <c r="L58" i="1" s="1"/>
  <c r="K34" i="1"/>
  <c r="M34" i="1" s="1"/>
  <c r="M33" i="1" s="1"/>
  <c r="J34" i="1"/>
  <c r="L34" i="1" s="1"/>
  <c r="L33" i="1" s="1"/>
  <c r="K232" i="1"/>
  <c r="M232" i="1" s="1"/>
  <c r="J232" i="1"/>
  <c r="L232" i="1" s="1"/>
  <c r="K381" i="1"/>
  <c r="M381" i="1" s="1"/>
  <c r="J381" i="1"/>
  <c r="L381" i="1" s="1"/>
  <c r="K229" i="1"/>
  <c r="M229" i="1" s="1"/>
  <c r="J229" i="1"/>
  <c r="L229" i="1" s="1"/>
  <c r="K859" i="1"/>
  <c r="M859" i="1" s="1"/>
  <c r="J859" i="1"/>
  <c r="L859" i="1" s="1"/>
  <c r="K876" i="1"/>
  <c r="M876" i="1" s="1"/>
  <c r="J876" i="1"/>
  <c r="L876" i="1" s="1"/>
  <c r="K528" i="1"/>
  <c r="M528" i="1" s="1"/>
  <c r="J528" i="1"/>
  <c r="L528" i="1" s="1"/>
  <c r="K890" i="1"/>
  <c r="M890" i="1" s="1"/>
  <c r="J890" i="1"/>
  <c r="L890" i="1" s="1"/>
  <c r="K860" i="1"/>
  <c r="M860" i="1" s="1"/>
  <c r="J860" i="1"/>
  <c r="L860" i="1" s="1"/>
  <c r="K889" i="1"/>
  <c r="M889" i="1" s="1"/>
  <c r="J889" i="1"/>
  <c r="L889" i="1" s="1"/>
  <c r="K872" i="1"/>
  <c r="M872" i="1" s="1"/>
  <c r="J872" i="1"/>
  <c r="L872" i="1" s="1"/>
  <c r="J55" i="1"/>
  <c r="L55" i="1" s="1"/>
  <c r="L54" i="1" s="1"/>
  <c r="K55" i="1"/>
  <c r="M55" i="1" s="1"/>
  <c r="M54" i="1" s="1"/>
  <c r="K24" i="1"/>
  <c r="M24" i="1" s="1"/>
  <c r="J24" i="1"/>
  <c r="L24" i="1" s="1"/>
  <c r="K228" i="1"/>
  <c r="M228" i="1" s="1"/>
  <c r="J228" i="1"/>
  <c r="L228" i="1" s="1"/>
  <c r="K527" i="1"/>
  <c r="M527" i="1" s="1"/>
  <c r="J527" i="1"/>
  <c r="L527" i="1" s="1"/>
  <c r="K284" i="1"/>
  <c r="M284" i="1" s="1"/>
  <c r="J284" i="1"/>
  <c r="L284" i="1" s="1"/>
  <c r="K862" i="1"/>
  <c r="M862" i="1" s="1"/>
  <c r="J862" i="1"/>
  <c r="L862" i="1" s="1"/>
  <c r="K893" i="1"/>
  <c r="M893" i="1" s="1"/>
  <c r="J893" i="1"/>
  <c r="L893" i="1" s="1"/>
  <c r="K863" i="1"/>
  <c r="M863" i="1" s="1"/>
  <c r="J863" i="1"/>
  <c r="L863" i="1" s="1"/>
  <c r="K892" i="1"/>
  <c r="M892" i="1" s="1"/>
  <c r="J892" i="1"/>
  <c r="L892" i="1" s="1"/>
  <c r="K875" i="1"/>
  <c r="M875" i="1" s="1"/>
  <c r="J875" i="1"/>
  <c r="L875" i="1" s="1"/>
  <c r="K36" i="1"/>
  <c r="M36" i="1" s="1"/>
  <c r="M35" i="1" s="1"/>
  <c r="J36" i="1"/>
  <c r="L36" i="1" s="1"/>
  <c r="L35" i="1" s="1"/>
  <c r="K26" i="1"/>
  <c r="M26" i="1" s="1"/>
  <c r="J26" i="1"/>
  <c r="L26" i="1" s="1"/>
  <c r="K338" i="1"/>
  <c r="M338" i="1" s="1"/>
  <c r="J338" i="1"/>
  <c r="L338" i="1" s="1"/>
  <c r="K230" i="1"/>
  <c r="M230" i="1" s="1"/>
  <c r="J230" i="1"/>
  <c r="L230" i="1" s="1"/>
  <c r="K531" i="1"/>
  <c r="M531" i="1" s="1"/>
  <c r="J531" i="1"/>
  <c r="L531" i="1" s="1"/>
  <c r="K902" i="1"/>
  <c r="M902" i="1" s="1"/>
  <c r="J902" i="1"/>
  <c r="L902" i="1" s="1"/>
  <c r="J878" i="1"/>
  <c r="L878" i="1" s="1"/>
  <c r="K878" i="1"/>
  <c r="M878" i="1" s="1"/>
  <c r="K51" i="1"/>
  <c r="M51" i="1" s="1"/>
  <c r="M50" i="1" s="1"/>
  <c r="J51" i="1"/>
  <c r="L51" i="1" s="1"/>
  <c r="L50" i="1" s="1"/>
  <c r="K25" i="1"/>
  <c r="M25" i="1" s="1"/>
  <c r="J25" i="1"/>
  <c r="L25" i="1" s="1"/>
  <c r="K378" i="1"/>
  <c r="M378" i="1" s="1"/>
  <c r="J378" i="1"/>
  <c r="L378" i="1" s="1"/>
  <c r="K281" i="1"/>
  <c r="M281" i="1" s="1"/>
  <c r="J281" i="1"/>
  <c r="L281" i="1" s="1"/>
  <c r="J437" i="1"/>
  <c r="L437" i="1" s="1"/>
  <c r="K437" i="1"/>
  <c r="M437" i="1" s="1"/>
  <c r="K298" i="1"/>
  <c r="M298" i="1" s="1"/>
  <c r="J298" i="1"/>
  <c r="L298" i="1" s="1"/>
  <c r="J198" i="1"/>
  <c r="L198" i="1" s="1"/>
  <c r="K198" i="1"/>
  <c r="M198" i="1" s="1"/>
  <c r="K593" i="1"/>
  <c r="M593" i="1" s="1"/>
  <c r="J593" i="1"/>
  <c r="L593" i="1" s="1"/>
  <c r="K647" i="1"/>
  <c r="M647" i="1" s="1"/>
  <c r="J647" i="1"/>
  <c r="L647" i="1" s="1"/>
  <c r="K115" i="1"/>
  <c r="M115" i="1" s="1"/>
  <c r="J115" i="1"/>
  <c r="L115" i="1" s="1"/>
  <c r="K84" i="1"/>
  <c r="M84" i="1" s="1"/>
  <c r="J84" i="1"/>
  <c r="L84" i="1" s="1"/>
  <c r="K97" i="1"/>
  <c r="M97" i="1" s="1"/>
  <c r="J97" i="1"/>
  <c r="L97" i="1" s="1"/>
  <c r="K100" i="1"/>
  <c r="M100" i="1" s="1"/>
  <c r="J100" i="1"/>
  <c r="L100" i="1" s="1"/>
  <c r="K175" i="1"/>
  <c r="M175" i="1" s="1"/>
  <c r="J175" i="1"/>
  <c r="L175" i="1" s="1"/>
  <c r="K485" i="1"/>
  <c r="M485" i="1" s="1"/>
  <c r="J485" i="1"/>
  <c r="L485" i="1" s="1"/>
  <c r="K389" i="1"/>
  <c r="M389" i="1" s="1"/>
  <c r="J389" i="1"/>
  <c r="L389" i="1" s="1"/>
  <c r="K240" i="1"/>
  <c r="M240" i="1" s="1"/>
  <c r="J240" i="1"/>
  <c r="L240" i="1" s="1"/>
  <c r="J404" i="1"/>
  <c r="L404" i="1" s="1"/>
  <c r="K404" i="1"/>
  <c r="M404" i="1" s="1"/>
  <c r="K213" i="1"/>
  <c r="M213" i="1" s="1"/>
  <c r="J213" i="1"/>
  <c r="L213" i="1" s="1"/>
  <c r="K431" i="1"/>
  <c r="M431" i="1" s="1"/>
  <c r="J431" i="1"/>
  <c r="L431" i="1" s="1"/>
  <c r="K169" i="1"/>
  <c r="M169" i="1" s="1"/>
  <c r="J169" i="1"/>
  <c r="L169" i="1" s="1"/>
  <c r="K467" i="1"/>
  <c r="M467" i="1" s="1"/>
  <c r="J467" i="1"/>
  <c r="L467" i="1" s="1"/>
  <c r="K182" i="1"/>
  <c r="M182" i="1" s="1"/>
  <c r="J182" i="1"/>
  <c r="L182" i="1" s="1"/>
  <c r="K245" i="1"/>
  <c r="M245" i="1" s="1"/>
  <c r="J245" i="1"/>
  <c r="L245" i="1" s="1"/>
  <c r="K168" i="1"/>
  <c r="M168" i="1" s="1"/>
  <c r="J168" i="1"/>
  <c r="L168" i="1" s="1"/>
  <c r="K424" i="1"/>
  <c r="M424" i="1" s="1"/>
  <c r="J424" i="1"/>
  <c r="L424" i="1" s="1"/>
  <c r="K394" i="1"/>
  <c r="M394" i="1" s="1"/>
  <c r="J394" i="1"/>
  <c r="L394" i="1" s="1"/>
  <c r="J269" i="1"/>
  <c r="L269" i="1" s="1"/>
  <c r="K269" i="1"/>
  <c r="M269" i="1" s="1"/>
  <c r="J370" i="1"/>
  <c r="L370" i="1" s="1"/>
  <c r="K370" i="1"/>
  <c r="M370" i="1" s="1"/>
  <c r="K297" i="1"/>
  <c r="M297" i="1" s="1"/>
  <c r="J297" i="1"/>
  <c r="L297" i="1" s="1"/>
  <c r="K351" i="1"/>
  <c r="M351" i="1" s="1"/>
  <c r="J351" i="1"/>
  <c r="L351" i="1" s="1"/>
  <c r="K662" i="1"/>
  <c r="M662" i="1" s="1"/>
  <c r="J662" i="1"/>
  <c r="L662" i="1" s="1"/>
  <c r="K714" i="1"/>
  <c r="M714" i="1" s="1"/>
  <c r="J714" i="1"/>
  <c r="L714" i="1" s="1"/>
  <c r="J753" i="1"/>
  <c r="L753" i="1" s="1"/>
  <c r="K753" i="1"/>
  <c r="M753" i="1" s="1"/>
  <c r="K709" i="1"/>
  <c r="M709" i="1" s="1"/>
  <c r="J709" i="1"/>
  <c r="L709" i="1" s="1"/>
  <c r="J597" i="1"/>
  <c r="L597" i="1" s="1"/>
  <c r="K597" i="1"/>
  <c r="M597" i="1" s="1"/>
  <c r="K582" i="1"/>
  <c r="M582" i="1" s="1"/>
  <c r="J582" i="1"/>
  <c r="L582" i="1" s="1"/>
  <c r="J590" i="1"/>
  <c r="L590" i="1" s="1"/>
  <c r="K590" i="1"/>
  <c r="M590" i="1" s="1"/>
  <c r="K677" i="1"/>
  <c r="M677" i="1" s="1"/>
  <c r="J677" i="1"/>
  <c r="L677" i="1" s="1"/>
  <c r="K691" i="1"/>
  <c r="M691" i="1" s="1"/>
  <c r="J691" i="1"/>
  <c r="L691" i="1" s="1"/>
  <c r="J741" i="1"/>
  <c r="L741" i="1" s="1"/>
  <c r="K741" i="1"/>
  <c r="M741" i="1" s="1"/>
  <c r="K223" i="1"/>
  <c r="M223" i="1" s="1"/>
  <c r="J223" i="1"/>
  <c r="L223" i="1" s="1"/>
  <c r="K800" i="1"/>
  <c r="M800" i="1" s="1"/>
  <c r="J800" i="1"/>
  <c r="L800" i="1" s="1"/>
  <c r="K802" i="1"/>
  <c r="M802" i="1" s="1"/>
  <c r="J802" i="1"/>
  <c r="L802" i="1" s="1"/>
  <c r="K79" i="1"/>
  <c r="M79" i="1" s="1"/>
  <c r="J79" i="1"/>
  <c r="L79" i="1" s="1"/>
  <c r="K482" i="1"/>
  <c r="M482" i="1" s="1"/>
  <c r="J482" i="1"/>
  <c r="L482" i="1" s="1"/>
  <c r="K333" i="1"/>
  <c r="M333" i="1" s="1"/>
  <c r="J333" i="1"/>
  <c r="L333" i="1" s="1"/>
  <c r="K640" i="1"/>
  <c r="M640" i="1" s="1"/>
  <c r="J640" i="1"/>
  <c r="L640" i="1" s="1"/>
  <c r="K128" i="1"/>
  <c r="M128" i="1" s="1"/>
  <c r="J128" i="1"/>
  <c r="L128" i="1" s="1"/>
  <c r="K112" i="1"/>
  <c r="M112" i="1" s="1"/>
  <c r="J112" i="1"/>
  <c r="L112" i="1" s="1"/>
  <c r="K118" i="1"/>
  <c r="M118" i="1" s="1"/>
  <c r="J118" i="1"/>
  <c r="L118" i="1" s="1"/>
  <c r="K211" i="1"/>
  <c r="M211" i="1" s="1"/>
  <c r="J211" i="1"/>
  <c r="L211" i="1" s="1"/>
  <c r="J506" i="1"/>
  <c r="L506" i="1" s="1"/>
  <c r="K506" i="1"/>
  <c r="M506" i="1" s="1"/>
  <c r="K419" i="1"/>
  <c r="M419" i="1" s="1"/>
  <c r="J419" i="1"/>
  <c r="L419" i="1" s="1"/>
  <c r="K244" i="1"/>
  <c r="M244" i="1" s="1"/>
  <c r="J244" i="1"/>
  <c r="L244" i="1" s="1"/>
  <c r="K423" i="1"/>
  <c r="M423" i="1" s="1"/>
  <c r="J423" i="1"/>
  <c r="L423" i="1" s="1"/>
  <c r="K476" i="1"/>
  <c r="M476" i="1" s="1"/>
  <c r="J476" i="1"/>
  <c r="L476" i="1" s="1"/>
  <c r="K238" i="1"/>
  <c r="M238" i="1" s="1"/>
  <c r="J238" i="1"/>
  <c r="L238" i="1" s="1"/>
  <c r="K515" i="1"/>
  <c r="M515" i="1" s="1"/>
  <c r="J515" i="1"/>
  <c r="L515" i="1" s="1"/>
  <c r="K192" i="1"/>
  <c r="M192" i="1" s="1"/>
  <c r="J192" i="1"/>
  <c r="L192" i="1" s="1"/>
  <c r="K326" i="1"/>
  <c r="M326" i="1" s="1"/>
  <c r="J326" i="1"/>
  <c r="L326" i="1" s="1"/>
  <c r="K427" i="1"/>
  <c r="M427" i="1" s="1"/>
  <c r="J427" i="1"/>
  <c r="L427" i="1" s="1"/>
  <c r="J263" i="1"/>
  <c r="L263" i="1" s="1"/>
  <c r="K263" i="1"/>
  <c r="M263" i="1" s="1"/>
  <c r="K388" i="1"/>
  <c r="M388" i="1" s="1"/>
  <c r="J388" i="1"/>
  <c r="L388" i="1" s="1"/>
  <c r="K430" i="1"/>
  <c r="M430" i="1" s="1"/>
  <c r="J430" i="1"/>
  <c r="L430" i="1" s="1"/>
  <c r="K356" i="1"/>
  <c r="M356" i="1" s="1"/>
  <c r="J356" i="1"/>
  <c r="L356" i="1" s="1"/>
  <c r="K665" i="1"/>
  <c r="M665" i="1" s="1"/>
  <c r="J665" i="1"/>
  <c r="L665" i="1" s="1"/>
  <c r="K717" i="1"/>
  <c r="M717" i="1" s="1"/>
  <c r="J717" i="1"/>
  <c r="L717" i="1" s="1"/>
  <c r="J749" i="1"/>
  <c r="L749" i="1" s="1"/>
  <c r="K749" i="1"/>
  <c r="M749" i="1" s="1"/>
  <c r="K661" i="1"/>
  <c r="M661" i="1" s="1"/>
  <c r="J661" i="1"/>
  <c r="L661" i="1" s="1"/>
  <c r="K712" i="1"/>
  <c r="M712" i="1" s="1"/>
  <c r="J712" i="1"/>
  <c r="L712" i="1" s="1"/>
  <c r="J537" i="1"/>
  <c r="L537" i="1" s="1"/>
  <c r="K537" i="1"/>
  <c r="M537" i="1" s="1"/>
  <c r="J591" i="1"/>
  <c r="L591" i="1" s="1"/>
  <c r="K591" i="1"/>
  <c r="M591" i="1" s="1"/>
  <c r="K595" i="1"/>
  <c r="M595" i="1" s="1"/>
  <c r="J595" i="1"/>
  <c r="L595" i="1" s="1"/>
  <c r="K680" i="1"/>
  <c r="M680" i="1" s="1"/>
  <c r="J680" i="1"/>
  <c r="L680" i="1" s="1"/>
  <c r="K744" i="1"/>
  <c r="M744" i="1" s="1"/>
  <c r="J744" i="1"/>
  <c r="L744" i="1" s="1"/>
  <c r="K769" i="1"/>
  <c r="M769" i="1" s="1"/>
  <c r="J769" i="1"/>
  <c r="L769" i="1" s="1"/>
  <c r="K373" i="1"/>
  <c r="M373" i="1" s="1"/>
  <c r="J373" i="1"/>
  <c r="L373" i="1" s="1"/>
  <c r="K801" i="1"/>
  <c r="M801" i="1" s="1"/>
  <c r="J801" i="1"/>
  <c r="L801" i="1" s="1"/>
  <c r="K831" i="1"/>
  <c r="M831" i="1" s="1"/>
  <c r="J831" i="1"/>
  <c r="L831" i="1" s="1"/>
  <c r="K808" i="1"/>
  <c r="M808" i="1" s="1"/>
  <c r="J808" i="1"/>
  <c r="L808" i="1" s="1"/>
  <c r="J206" i="1"/>
  <c r="L206" i="1" s="1"/>
  <c r="K206" i="1"/>
  <c r="M206" i="1" s="1"/>
  <c r="K639" i="1"/>
  <c r="M639" i="1" s="1"/>
  <c r="J639" i="1"/>
  <c r="L639" i="1" s="1"/>
  <c r="K645" i="1"/>
  <c r="M645" i="1" s="1"/>
  <c r="J645" i="1"/>
  <c r="L645" i="1" s="1"/>
  <c r="K138" i="1"/>
  <c r="M138" i="1" s="1"/>
  <c r="J138" i="1"/>
  <c r="L138" i="1" s="1"/>
  <c r="K80" i="1"/>
  <c r="M80" i="1" s="1"/>
  <c r="J80" i="1"/>
  <c r="L80" i="1" s="1"/>
  <c r="K243" i="1"/>
  <c r="M243" i="1" s="1"/>
  <c r="J243" i="1"/>
  <c r="L243" i="1" s="1"/>
  <c r="K514" i="1"/>
  <c r="M514" i="1" s="1"/>
  <c r="J514" i="1"/>
  <c r="L514" i="1" s="1"/>
  <c r="J449" i="1"/>
  <c r="L449" i="1" s="1"/>
  <c r="K449" i="1"/>
  <c r="M449" i="1" s="1"/>
  <c r="J216" i="1"/>
  <c r="L216" i="1" s="1"/>
  <c r="K216" i="1"/>
  <c r="M216" i="1" s="1"/>
  <c r="K469" i="1"/>
  <c r="M469" i="1" s="1"/>
  <c r="J469" i="1"/>
  <c r="L469" i="1" s="1"/>
  <c r="K272" i="1"/>
  <c r="M272" i="1" s="1"/>
  <c r="J272" i="1"/>
  <c r="L272" i="1" s="1"/>
  <c r="K464" i="1"/>
  <c r="M464" i="1" s="1"/>
  <c r="J464" i="1"/>
  <c r="L464" i="1" s="1"/>
  <c r="K271" i="1"/>
  <c r="M271" i="1" s="1"/>
  <c r="J271" i="1"/>
  <c r="L271" i="1" s="1"/>
  <c r="K319" i="1"/>
  <c r="M319" i="1" s="1"/>
  <c r="J319" i="1"/>
  <c r="L319" i="1" s="1"/>
  <c r="K296" i="1"/>
  <c r="M296" i="1" s="1"/>
  <c r="J296" i="1"/>
  <c r="L296" i="1" s="1"/>
  <c r="K249" i="1"/>
  <c r="M249" i="1" s="1"/>
  <c r="J249" i="1"/>
  <c r="L249" i="1" s="1"/>
  <c r="J402" i="1"/>
  <c r="L402" i="1" s="1"/>
  <c r="K402" i="1"/>
  <c r="M402" i="1" s="1"/>
  <c r="J307" i="1"/>
  <c r="L307" i="1" s="1"/>
  <c r="K307" i="1"/>
  <c r="M307" i="1" s="1"/>
  <c r="K415" i="1"/>
  <c r="M415" i="1" s="1"/>
  <c r="J415" i="1"/>
  <c r="L415" i="1" s="1"/>
  <c r="K452" i="1"/>
  <c r="M452" i="1" s="1"/>
  <c r="J452" i="1"/>
  <c r="L452" i="1" s="1"/>
  <c r="K301" i="1"/>
  <c r="M301" i="1" s="1"/>
  <c r="J301" i="1"/>
  <c r="L301" i="1" s="1"/>
  <c r="K668" i="1"/>
  <c r="M668" i="1" s="1"/>
  <c r="J668" i="1"/>
  <c r="L668" i="1" s="1"/>
  <c r="J721" i="1"/>
  <c r="L721" i="1" s="1"/>
  <c r="K721" i="1"/>
  <c r="M721" i="1" s="1"/>
  <c r="K701" i="1"/>
  <c r="M701" i="1" s="1"/>
  <c r="J701" i="1"/>
  <c r="L701" i="1" s="1"/>
  <c r="J664" i="1"/>
  <c r="L664" i="1" s="1"/>
  <c r="K664" i="1"/>
  <c r="M664" i="1" s="1"/>
  <c r="J716" i="1"/>
  <c r="L716" i="1" s="1"/>
  <c r="K716" i="1"/>
  <c r="M716" i="1" s="1"/>
  <c r="J540" i="1"/>
  <c r="L540" i="1" s="1"/>
  <c r="K540" i="1"/>
  <c r="M540" i="1" s="1"/>
  <c r="K556" i="1"/>
  <c r="M556" i="1" s="1"/>
  <c r="J556" i="1"/>
  <c r="L556" i="1" s="1"/>
  <c r="J563" i="1"/>
  <c r="L563" i="1" s="1"/>
  <c r="K563" i="1"/>
  <c r="M563" i="1" s="1"/>
  <c r="J687" i="1"/>
  <c r="L687" i="1" s="1"/>
  <c r="K687" i="1"/>
  <c r="M687" i="1" s="1"/>
  <c r="J732" i="1"/>
  <c r="L732" i="1" s="1"/>
  <c r="K732" i="1"/>
  <c r="M732" i="1" s="1"/>
  <c r="K633" i="1"/>
  <c r="M633" i="1" s="1"/>
  <c r="J633" i="1"/>
  <c r="L633" i="1" s="1"/>
  <c r="J774" i="1"/>
  <c r="L774" i="1" s="1"/>
  <c r="K774" i="1"/>
  <c r="M774" i="1" s="1"/>
  <c r="K521" i="1"/>
  <c r="M521" i="1" s="1"/>
  <c r="J521" i="1"/>
  <c r="L521" i="1" s="1"/>
  <c r="K226" i="1"/>
  <c r="M226" i="1" s="1"/>
  <c r="J226" i="1"/>
  <c r="L226" i="1" s="1"/>
  <c r="K816" i="1"/>
  <c r="M816" i="1" s="1"/>
  <c r="J816" i="1"/>
  <c r="L816" i="1" s="1"/>
  <c r="K632" i="1"/>
  <c r="M632" i="1" s="1"/>
  <c r="J632" i="1"/>
  <c r="L632" i="1" s="1"/>
  <c r="K165" i="1"/>
  <c r="M165" i="1" s="1"/>
  <c r="J165" i="1"/>
  <c r="L165" i="1" s="1"/>
  <c r="J362" i="1"/>
  <c r="L362" i="1" s="1"/>
  <c r="K362" i="1"/>
  <c r="M362" i="1" s="1"/>
  <c r="K656" i="1"/>
  <c r="M656" i="1" s="1"/>
  <c r="J656" i="1"/>
  <c r="L656" i="1" s="1"/>
  <c r="K77" i="1"/>
  <c r="M77" i="1" s="1"/>
  <c r="J77" i="1"/>
  <c r="L77" i="1" s="1"/>
  <c r="K124" i="1"/>
  <c r="M124" i="1" s="1"/>
  <c r="J124" i="1"/>
  <c r="L124" i="1" s="1"/>
  <c r="K114" i="1"/>
  <c r="M114" i="1" s="1"/>
  <c r="J114" i="1"/>
  <c r="L114" i="1" s="1"/>
  <c r="K139" i="1"/>
  <c r="M139" i="1" s="1"/>
  <c r="J139" i="1"/>
  <c r="L139" i="1" s="1"/>
  <c r="K253" i="1"/>
  <c r="M253" i="1" s="1"/>
  <c r="J253" i="1"/>
  <c r="L253" i="1" s="1"/>
  <c r="K517" i="1"/>
  <c r="M517" i="1" s="1"/>
  <c r="J517" i="1"/>
  <c r="L517" i="1" s="1"/>
  <c r="K453" i="1"/>
  <c r="M453" i="1" s="1"/>
  <c r="J453" i="1"/>
  <c r="L453" i="1" s="1"/>
  <c r="J247" i="1"/>
  <c r="L247" i="1" s="1"/>
  <c r="K247" i="1"/>
  <c r="M247" i="1" s="1"/>
  <c r="K472" i="1"/>
  <c r="M472" i="1" s="1"/>
  <c r="J472" i="1"/>
  <c r="L472" i="1" s="1"/>
  <c r="K293" i="1"/>
  <c r="M293" i="1" s="1"/>
  <c r="J293" i="1"/>
  <c r="L293" i="1" s="1"/>
  <c r="K495" i="1"/>
  <c r="M495" i="1" s="1"/>
  <c r="J495" i="1"/>
  <c r="L495" i="1" s="1"/>
  <c r="J322" i="1"/>
  <c r="L322" i="1" s="1"/>
  <c r="K322" i="1"/>
  <c r="M322" i="1" s="1"/>
  <c r="K261" i="1"/>
  <c r="M261" i="1" s="1"/>
  <c r="J261" i="1"/>
  <c r="L261" i="1" s="1"/>
  <c r="J335" i="1"/>
  <c r="L335" i="1" s="1"/>
  <c r="K335" i="1"/>
  <c r="M335" i="1" s="1"/>
  <c r="J252" i="1"/>
  <c r="L252" i="1" s="1"/>
  <c r="K252" i="1"/>
  <c r="M252" i="1" s="1"/>
  <c r="K470" i="1"/>
  <c r="M470" i="1" s="1"/>
  <c r="J470" i="1"/>
  <c r="L470" i="1" s="1"/>
  <c r="J406" i="1"/>
  <c r="L406" i="1" s="1"/>
  <c r="K406" i="1"/>
  <c r="M406" i="1" s="1"/>
  <c r="K160" i="1"/>
  <c r="M160" i="1" s="1"/>
  <c r="J160" i="1"/>
  <c r="L160" i="1" s="1"/>
  <c r="K418" i="1"/>
  <c r="M418" i="1" s="1"/>
  <c r="J418" i="1"/>
  <c r="L418" i="1" s="1"/>
  <c r="K499" i="1"/>
  <c r="M499" i="1" s="1"/>
  <c r="J499" i="1"/>
  <c r="L499" i="1" s="1"/>
  <c r="K304" i="1"/>
  <c r="M304" i="1" s="1"/>
  <c r="J304" i="1"/>
  <c r="L304" i="1" s="1"/>
  <c r="J672" i="1"/>
  <c r="L672" i="1" s="1"/>
  <c r="K672" i="1"/>
  <c r="M672" i="1" s="1"/>
  <c r="K724" i="1"/>
  <c r="M724" i="1" s="1"/>
  <c r="J724" i="1"/>
  <c r="L724" i="1" s="1"/>
  <c r="K667" i="1"/>
  <c r="M667" i="1" s="1"/>
  <c r="J667" i="1"/>
  <c r="L667" i="1" s="1"/>
  <c r="K720" i="1"/>
  <c r="M720" i="1" s="1"/>
  <c r="J720" i="1"/>
  <c r="L720" i="1" s="1"/>
  <c r="K542" i="1"/>
  <c r="M542" i="1" s="1"/>
  <c r="J542" i="1"/>
  <c r="L542" i="1" s="1"/>
  <c r="J602" i="1"/>
  <c r="L602" i="1" s="1"/>
  <c r="K602" i="1"/>
  <c r="M602" i="1" s="1"/>
  <c r="J538" i="1"/>
  <c r="L538" i="1" s="1"/>
  <c r="K538" i="1"/>
  <c r="M538" i="1" s="1"/>
  <c r="K690" i="1"/>
  <c r="M690" i="1" s="1"/>
  <c r="J690" i="1"/>
  <c r="L690" i="1" s="1"/>
  <c r="J735" i="1"/>
  <c r="L735" i="1" s="1"/>
  <c r="K735" i="1"/>
  <c r="M735" i="1" s="1"/>
  <c r="J684" i="1"/>
  <c r="L684" i="1" s="1"/>
  <c r="K684" i="1"/>
  <c r="M684" i="1" s="1"/>
  <c r="K783" i="1"/>
  <c r="M783" i="1" s="1"/>
  <c r="J783" i="1"/>
  <c r="L783" i="1" s="1"/>
  <c r="K434" i="1"/>
  <c r="M434" i="1" s="1"/>
  <c r="J434" i="1"/>
  <c r="L434" i="1" s="1"/>
  <c r="K279" i="1"/>
  <c r="M279" i="1" s="1"/>
  <c r="J279" i="1"/>
  <c r="L279" i="1" s="1"/>
  <c r="K822" i="1"/>
  <c r="M822" i="1" s="1"/>
  <c r="J822" i="1"/>
  <c r="L822" i="1" s="1"/>
  <c r="K807" i="1"/>
  <c r="M807" i="1" s="1"/>
  <c r="J807" i="1"/>
  <c r="L807" i="1" s="1"/>
  <c r="K817" i="1"/>
  <c r="M817" i="1" s="1"/>
  <c r="J817" i="1"/>
  <c r="L817" i="1" s="1"/>
  <c r="K820" i="1"/>
  <c r="M820" i="1" s="1"/>
  <c r="J820" i="1"/>
  <c r="L820" i="1" s="1"/>
  <c r="K86" i="1"/>
  <c r="M86" i="1" s="1"/>
  <c r="J86" i="1"/>
  <c r="L86" i="1" s="1"/>
  <c r="K186" i="1"/>
  <c r="M186" i="1" s="1"/>
  <c r="J186" i="1"/>
  <c r="L186" i="1" s="1"/>
  <c r="K754" i="1"/>
  <c r="M754" i="1" s="1"/>
  <c r="J754" i="1"/>
  <c r="L754" i="1" s="1"/>
  <c r="K638" i="1"/>
  <c r="M638" i="1" s="1"/>
  <c r="J638" i="1"/>
  <c r="L638" i="1" s="1"/>
  <c r="K651" i="1"/>
  <c r="M651" i="1" s="1"/>
  <c r="J651" i="1"/>
  <c r="L651" i="1" s="1"/>
  <c r="K144" i="1"/>
  <c r="M144" i="1" s="1"/>
  <c r="J144" i="1"/>
  <c r="L144" i="1" s="1"/>
  <c r="J85" i="1"/>
  <c r="L85" i="1" s="1"/>
  <c r="K85" i="1"/>
  <c r="M85" i="1" s="1"/>
  <c r="K147" i="1"/>
  <c r="M147" i="1" s="1"/>
  <c r="J147" i="1"/>
  <c r="L147" i="1" s="1"/>
  <c r="K132" i="1"/>
  <c r="M132" i="1" s="1"/>
  <c r="J132" i="1"/>
  <c r="L132" i="1" s="1"/>
  <c r="K308" i="1"/>
  <c r="M308" i="1" s="1"/>
  <c r="J308" i="1"/>
  <c r="L308" i="1" s="1"/>
  <c r="K181" i="1"/>
  <c r="M181" i="1" s="1"/>
  <c r="J181" i="1"/>
  <c r="L181" i="1" s="1"/>
  <c r="K491" i="1"/>
  <c r="M491" i="1" s="1"/>
  <c r="J491" i="1"/>
  <c r="L491" i="1" s="1"/>
  <c r="K251" i="1"/>
  <c r="M251" i="1" s="1"/>
  <c r="J251" i="1"/>
  <c r="L251" i="1" s="1"/>
  <c r="K461" i="1"/>
  <c r="M461" i="1" s="1"/>
  <c r="J461" i="1"/>
  <c r="L461" i="1" s="1"/>
  <c r="K309" i="1"/>
  <c r="M309" i="1" s="1"/>
  <c r="J309" i="1"/>
  <c r="L309" i="1" s="1"/>
  <c r="K512" i="1"/>
  <c r="M512" i="1" s="1"/>
  <c r="J512" i="1"/>
  <c r="L512" i="1" s="1"/>
  <c r="K332" i="1"/>
  <c r="M332" i="1" s="1"/>
  <c r="J332" i="1"/>
  <c r="L332" i="1" s="1"/>
  <c r="K392" i="1"/>
  <c r="M392" i="1" s="1"/>
  <c r="J392" i="1"/>
  <c r="L392" i="1" s="1"/>
  <c r="K164" i="1"/>
  <c r="M164" i="1" s="1"/>
  <c r="J164" i="1"/>
  <c r="L164" i="1" s="1"/>
  <c r="K451" i="1"/>
  <c r="M451" i="1" s="1"/>
  <c r="J451" i="1"/>
  <c r="L451" i="1" s="1"/>
  <c r="K257" i="1"/>
  <c r="M257" i="1" s="1"/>
  <c r="J257" i="1"/>
  <c r="L257" i="1" s="1"/>
  <c r="K171" i="1"/>
  <c r="M171" i="1" s="1"/>
  <c r="J171" i="1"/>
  <c r="L171" i="1" s="1"/>
  <c r="K457" i="1"/>
  <c r="M457" i="1" s="1"/>
  <c r="J457" i="1"/>
  <c r="L457" i="1" s="1"/>
  <c r="K386" i="1"/>
  <c r="M386" i="1" s="1"/>
  <c r="J386" i="1"/>
  <c r="L386" i="1" s="1"/>
  <c r="K693" i="1"/>
  <c r="M693" i="1" s="1"/>
  <c r="J693" i="1"/>
  <c r="L693" i="1" s="1"/>
  <c r="K752" i="1"/>
  <c r="M752" i="1" s="1"/>
  <c r="J752" i="1"/>
  <c r="L752" i="1" s="1"/>
  <c r="K708" i="1"/>
  <c r="M708" i="1" s="1"/>
  <c r="J708" i="1"/>
  <c r="L708" i="1" s="1"/>
  <c r="K671" i="1"/>
  <c r="M671" i="1" s="1"/>
  <c r="J671" i="1"/>
  <c r="L671" i="1" s="1"/>
  <c r="K723" i="1"/>
  <c r="M723" i="1" s="1"/>
  <c r="J723" i="1"/>
  <c r="L723" i="1" s="1"/>
  <c r="J580" i="1"/>
  <c r="L580" i="1" s="1"/>
  <c r="K580" i="1"/>
  <c r="M580" i="1" s="1"/>
  <c r="K610" i="1"/>
  <c r="M610" i="1" s="1"/>
  <c r="J610" i="1"/>
  <c r="L610" i="1" s="1"/>
  <c r="K545" i="1"/>
  <c r="M545" i="1" s="1"/>
  <c r="J545" i="1"/>
  <c r="L545" i="1" s="1"/>
  <c r="K729" i="1"/>
  <c r="M729" i="1" s="1"/>
  <c r="J729" i="1"/>
  <c r="L729" i="1" s="1"/>
  <c r="K743" i="1"/>
  <c r="M743" i="1" s="1"/>
  <c r="J743" i="1"/>
  <c r="L743" i="1" s="1"/>
  <c r="K736" i="1"/>
  <c r="M736" i="1" s="1"/>
  <c r="J736" i="1"/>
  <c r="L736" i="1" s="1"/>
  <c r="K771" i="1"/>
  <c r="M771" i="1" s="1"/>
  <c r="J771" i="1"/>
  <c r="L771" i="1" s="1"/>
  <c r="K977" i="1"/>
  <c r="M977" i="1" s="1"/>
  <c r="M976" i="1" s="1"/>
  <c r="J977" i="1"/>
  <c r="L977" i="1" s="1"/>
  <c r="L976" i="1" s="1"/>
  <c r="K278" i="1"/>
  <c r="M278" i="1" s="1"/>
  <c r="J278" i="1"/>
  <c r="L278" i="1" s="1"/>
  <c r="K433" i="1"/>
  <c r="M433" i="1" s="1"/>
  <c r="J433" i="1"/>
  <c r="L433" i="1" s="1"/>
  <c r="K797" i="1"/>
  <c r="M797" i="1" s="1"/>
  <c r="J797" i="1"/>
  <c r="L797" i="1" s="1"/>
  <c r="K642" i="1"/>
  <c r="M642" i="1" s="1"/>
  <c r="J642" i="1"/>
  <c r="L642" i="1" s="1"/>
  <c r="J113" i="1"/>
  <c r="L113" i="1" s="1"/>
  <c r="K113" i="1"/>
  <c r="M113" i="1" s="1"/>
  <c r="K76" i="1"/>
  <c r="M76" i="1" s="1"/>
  <c r="J76" i="1"/>
  <c r="L76" i="1" s="1"/>
  <c r="K321" i="1"/>
  <c r="M321" i="1" s="1"/>
  <c r="J321" i="1"/>
  <c r="L321" i="1" s="1"/>
  <c r="K237" i="1"/>
  <c r="M237" i="1" s="1"/>
  <c r="J237" i="1"/>
  <c r="L237" i="1" s="1"/>
  <c r="K500" i="1"/>
  <c r="M500" i="1" s="1"/>
  <c r="J500" i="1"/>
  <c r="L500" i="1" s="1"/>
  <c r="K509" i="1"/>
  <c r="M509" i="1" s="1"/>
  <c r="J509" i="1"/>
  <c r="L509" i="1" s="1"/>
  <c r="J358" i="1"/>
  <c r="L358" i="1" s="1"/>
  <c r="K358" i="1"/>
  <c r="M358" i="1" s="1"/>
  <c r="K189" i="1"/>
  <c r="M189" i="1" s="1"/>
  <c r="J189" i="1"/>
  <c r="L189" i="1" s="1"/>
  <c r="K369" i="1"/>
  <c r="M369" i="1" s="1"/>
  <c r="J369" i="1"/>
  <c r="L369" i="1" s="1"/>
  <c r="J172" i="1"/>
  <c r="L172" i="1" s="1"/>
  <c r="K172" i="1"/>
  <c r="M172" i="1" s="1"/>
  <c r="K174" i="1"/>
  <c r="M174" i="1" s="1"/>
  <c r="J174" i="1"/>
  <c r="L174" i="1" s="1"/>
  <c r="K454" i="1"/>
  <c r="M454" i="1" s="1"/>
  <c r="J454" i="1"/>
  <c r="L454" i="1" s="1"/>
  <c r="K260" i="1"/>
  <c r="M260" i="1" s="1"/>
  <c r="J260" i="1"/>
  <c r="L260" i="1" s="1"/>
  <c r="J502" i="1"/>
  <c r="L502" i="1" s="1"/>
  <c r="K502" i="1"/>
  <c r="M502" i="1" s="1"/>
  <c r="K473" i="1"/>
  <c r="M473" i="1" s="1"/>
  <c r="J473" i="1"/>
  <c r="L473" i="1" s="1"/>
  <c r="J200" i="1"/>
  <c r="L200" i="1" s="1"/>
  <c r="K200" i="1"/>
  <c r="M200" i="1" s="1"/>
  <c r="K481" i="1"/>
  <c r="M481" i="1" s="1"/>
  <c r="J481" i="1"/>
  <c r="L481" i="1" s="1"/>
  <c r="K460" i="1"/>
  <c r="M460" i="1" s="1"/>
  <c r="J460" i="1"/>
  <c r="L460" i="1" s="1"/>
  <c r="K422" i="1"/>
  <c r="M422" i="1" s="1"/>
  <c r="J422" i="1"/>
  <c r="L422" i="1" s="1"/>
  <c r="J696" i="1"/>
  <c r="L696" i="1" s="1"/>
  <c r="K696" i="1"/>
  <c r="M696" i="1" s="1"/>
  <c r="K711" i="1"/>
  <c r="M711" i="1" s="1"/>
  <c r="J711" i="1"/>
  <c r="L711" i="1" s="1"/>
  <c r="K674" i="1"/>
  <c r="M674" i="1" s="1"/>
  <c r="J674" i="1"/>
  <c r="L674" i="1" s="1"/>
  <c r="K726" i="1"/>
  <c r="M726" i="1" s="1"/>
  <c r="J726" i="1"/>
  <c r="L726" i="1" s="1"/>
  <c r="K606" i="1"/>
  <c r="M606" i="1" s="1"/>
  <c r="J606" i="1"/>
  <c r="L606" i="1" s="1"/>
  <c r="K618" i="1"/>
  <c r="M618" i="1" s="1"/>
  <c r="J618" i="1"/>
  <c r="L618" i="1" s="1"/>
  <c r="J539" i="1"/>
  <c r="L539" i="1" s="1"/>
  <c r="K539" i="1"/>
  <c r="M539" i="1" s="1"/>
  <c r="J731" i="1"/>
  <c r="L731" i="1" s="1"/>
  <c r="K731" i="1"/>
  <c r="M731" i="1" s="1"/>
  <c r="K738" i="1"/>
  <c r="M738" i="1" s="1"/>
  <c r="J738" i="1"/>
  <c r="L738" i="1" s="1"/>
  <c r="K683" i="1"/>
  <c r="M683" i="1" s="1"/>
  <c r="J683" i="1"/>
  <c r="L683" i="1" s="1"/>
  <c r="J773" i="1"/>
  <c r="L773" i="1" s="1"/>
  <c r="K773" i="1"/>
  <c r="M773" i="1" s="1"/>
  <c r="K375" i="1"/>
  <c r="M375" i="1" s="1"/>
  <c r="J375" i="1"/>
  <c r="L375" i="1" s="1"/>
  <c r="K524" i="1"/>
  <c r="M524" i="1" s="1"/>
  <c r="J524" i="1"/>
  <c r="L524" i="1" s="1"/>
  <c r="K819" i="1"/>
  <c r="M819" i="1" s="1"/>
  <c r="J819" i="1"/>
  <c r="L819" i="1" s="1"/>
  <c r="K806" i="1"/>
  <c r="M806" i="1" s="1"/>
  <c r="J806" i="1"/>
  <c r="L806" i="1" s="1"/>
  <c r="K637" i="1"/>
  <c r="M637" i="1" s="1"/>
  <c r="J637" i="1"/>
  <c r="L637" i="1" s="1"/>
  <c r="K655" i="1"/>
  <c r="M655" i="1" s="1"/>
  <c r="J655" i="1"/>
  <c r="L655" i="1" s="1"/>
  <c r="K129" i="1"/>
  <c r="M129" i="1" s="1"/>
  <c r="J129" i="1"/>
  <c r="L129" i="1" s="1"/>
  <c r="K146" i="1"/>
  <c r="M146" i="1" s="1"/>
  <c r="J146" i="1"/>
  <c r="L146" i="1" s="1"/>
  <c r="K92" i="1"/>
  <c r="M92" i="1" s="1"/>
  <c r="J92" i="1"/>
  <c r="L92" i="1" s="1"/>
  <c r="K150" i="1"/>
  <c r="M150" i="1" s="1"/>
  <c r="J150" i="1"/>
  <c r="L150" i="1" s="1"/>
  <c r="K331" i="1"/>
  <c r="M331" i="1" s="1"/>
  <c r="J331" i="1"/>
  <c r="L331" i="1" s="1"/>
  <c r="K190" i="1"/>
  <c r="M190" i="1" s="1"/>
  <c r="J190" i="1"/>
  <c r="L190" i="1" s="1"/>
  <c r="K458" i="1"/>
  <c r="M458" i="1" s="1"/>
  <c r="J458" i="1"/>
  <c r="L458" i="1" s="1"/>
  <c r="J267" i="1"/>
  <c r="L267" i="1" s="1"/>
  <c r="K267" i="1"/>
  <c r="M267" i="1" s="1"/>
  <c r="K395" i="1"/>
  <c r="M395" i="1" s="1"/>
  <c r="J395" i="1"/>
  <c r="L395" i="1" s="1"/>
  <c r="J305" i="1"/>
  <c r="L305" i="1" s="1"/>
  <c r="K305" i="1"/>
  <c r="M305" i="1" s="1"/>
  <c r="K204" i="1"/>
  <c r="M204" i="1" s="1"/>
  <c r="J204" i="1"/>
  <c r="L204" i="1" s="1"/>
  <c r="K396" i="1"/>
  <c r="M396" i="1" s="1"/>
  <c r="J396" i="1"/>
  <c r="L396" i="1" s="1"/>
  <c r="K184" i="1"/>
  <c r="M184" i="1" s="1"/>
  <c r="J184" i="1"/>
  <c r="L184" i="1" s="1"/>
  <c r="K177" i="1"/>
  <c r="M177" i="1" s="1"/>
  <c r="J177" i="1"/>
  <c r="L177" i="1" s="1"/>
  <c r="K486" i="1"/>
  <c r="M486" i="1" s="1"/>
  <c r="J486" i="1"/>
  <c r="L486" i="1" s="1"/>
  <c r="J329" i="1"/>
  <c r="L329" i="1" s="1"/>
  <c r="K329" i="1"/>
  <c r="M329" i="1" s="1"/>
  <c r="K510" i="1"/>
  <c r="M510" i="1" s="1"/>
  <c r="J510" i="1"/>
  <c r="L510" i="1" s="1"/>
  <c r="K477" i="1"/>
  <c r="M477" i="1" s="1"/>
  <c r="J477" i="1"/>
  <c r="L477" i="1" s="1"/>
  <c r="J220" i="1"/>
  <c r="L220" i="1" s="1"/>
  <c r="K220" i="1"/>
  <c r="M220" i="1" s="1"/>
  <c r="K484" i="1"/>
  <c r="M484" i="1" s="1"/>
  <c r="J484" i="1"/>
  <c r="L484" i="1" s="1"/>
  <c r="J178" i="1"/>
  <c r="L178" i="1" s="1"/>
  <c r="K178" i="1"/>
  <c r="M178" i="1" s="1"/>
  <c r="K455" i="1"/>
  <c r="M455" i="1" s="1"/>
  <c r="J455" i="1"/>
  <c r="L455" i="1" s="1"/>
  <c r="K751" i="1"/>
  <c r="M751" i="1" s="1"/>
  <c r="J751" i="1"/>
  <c r="L751" i="1" s="1"/>
  <c r="K663" i="1"/>
  <c r="M663" i="1" s="1"/>
  <c r="J663" i="1"/>
  <c r="L663" i="1" s="1"/>
  <c r="J715" i="1"/>
  <c r="L715" i="1" s="1"/>
  <c r="K715" i="1"/>
  <c r="M715" i="1" s="1"/>
  <c r="J695" i="1"/>
  <c r="L695" i="1" s="1"/>
  <c r="K695" i="1"/>
  <c r="M695" i="1" s="1"/>
  <c r="J547" i="1"/>
  <c r="L547" i="1" s="1"/>
  <c r="K547" i="1"/>
  <c r="M547" i="1" s="1"/>
  <c r="K616" i="1"/>
  <c r="M616" i="1" s="1"/>
  <c r="J616" i="1"/>
  <c r="L616" i="1" s="1"/>
  <c r="J561" i="1"/>
  <c r="L561" i="1" s="1"/>
  <c r="K561" i="1"/>
  <c r="M561" i="1" s="1"/>
  <c r="K543" i="1"/>
  <c r="M543" i="1" s="1"/>
  <c r="J543" i="1"/>
  <c r="L543" i="1" s="1"/>
  <c r="K734" i="1"/>
  <c r="M734" i="1" s="1"/>
  <c r="J734" i="1"/>
  <c r="L734" i="1" s="1"/>
  <c r="J679" i="1"/>
  <c r="L679" i="1" s="1"/>
  <c r="K679" i="1"/>
  <c r="M679" i="1" s="1"/>
  <c r="K737" i="1"/>
  <c r="M737" i="1" s="1"/>
  <c r="J737" i="1"/>
  <c r="L737" i="1" s="1"/>
  <c r="K777" i="1"/>
  <c r="M777" i="1" s="1"/>
  <c r="J777" i="1"/>
  <c r="L777" i="1" s="1"/>
  <c r="J225" i="1"/>
  <c r="L225" i="1" s="1"/>
  <c r="K225" i="1"/>
  <c r="M225" i="1" s="1"/>
  <c r="K809" i="1"/>
  <c r="M809" i="1" s="1"/>
  <c r="J809" i="1"/>
  <c r="L809" i="1" s="1"/>
  <c r="K810" i="1"/>
  <c r="M810" i="1" s="1"/>
  <c r="J810" i="1"/>
  <c r="L810" i="1" s="1"/>
  <c r="K832" i="1"/>
  <c r="M832" i="1" s="1"/>
  <c r="J832" i="1"/>
  <c r="L832" i="1" s="1"/>
  <c r="K95" i="1"/>
  <c r="M95" i="1" s="1"/>
  <c r="J95" i="1"/>
  <c r="L95" i="1" s="1"/>
  <c r="K136" i="1"/>
  <c r="M136" i="1" s="1"/>
  <c r="J136" i="1"/>
  <c r="L136" i="1" s="1"/>
  <c r="K103" i="1"/>
  <c r="M103" i="1" s="1"/>
  <c r="J103" i="1"/>
  <c r="L103" i="1" s="1"/>
  <c r="K89" i="1"/>
  <c r="M89" i="1" s="1"/>
  <c r="J89" i="1"/>
  <c r="L89" i="1" s="1"/>
  <c r="K334" i="1"/>
  <c r="M334" i="1" s="1"/>
  <c r="J334" i="1"/>
  <c r="L334" i="1" s="1"/>
  <c r="K325" i="1"/>
  <c r="M325" i="1" s="1"/>
  <c r="J325" i="1"/>
  <c r="L325" i="1" s="1"/>
  <c r="K259" i="1"/>
  <c r="M259" i="1" s="1"/>
  <c r="J259" i="1"/>
  <c r="L259" i="1" s="1"/>
  <c r="J425" i="1"/>
  <c r="L425" i="1" s="1"/>
  <c r="K425" i="1"/>
  <c r="M425" i="1" s="1"/>
  <c r="J364" i="1"/>
  <c r="L364" i="1" s="1"/>
  <c r="K364" i="1"/>
  <c r="M364" i="1" s="1"/>
  <c r="K246" i="1"/>
  <c r="M246" i="1" s="1"/>
  <c r="J246" i="1"/>
  <c r="L246" i="1" s="1"/>
  <c r="J188" i="1"/>
  <c r="L188" i="1" s="1"/>
  <c r="K188" i="1"/>
  <c r="M188" i="1" s="1"/>
  <c r="K493" i="1"/>
  <c r="M493" i="1" s="1"/>
  <c r="J493" i="1"/>
  <c r="L493" i="1" s="1"/>
  <c r="J349" i="1"/>
  <c r="L349" i="1" s="1"/>
  <c r="K349" i="1"/>
  <c r="M349" i="1" s="1"/>
  <c r="K180" i="1"/>
  <c r="M180" i="1" s="1"/>
  <c r="J180" i="1"/>
  <c r="L180" i="1" s="1"/>
  <c r="K239" i="1"/>
  <c r="M239" i="1" s="1"/>
  <c r="J239" i="1"/>
  <c r="L239" i="1" s="1"/>
  <c r="K193" i="1"/>
  <c r="M193" i="1" s="1"/>
  <c r="J193" i="1"/>
  <c r="L193" i="1" s="1"/>
  <c r="K471" i="1"/>
  <c r="M471" i="1" s="1"/>
  <c r="J471" i="1"/>
  <c r="L471" i="1" s="1"/>
  <c r="J748" i="1"/>
  <c r="L748" i="1" s="1"/>
  <c r="K748" i="1"/>
  <c r="M748" i="1" s="1"/>
  <c r="K666" i="1"/>
  <c r="M666" i="1" s="1"/>
  <c r="J666" i="1"/>
  <c r="L666" i="1" s="1"/>
  <c r="J719" i="1"/>
  <c r="L719" i="1" s="1"/>
  <c r="K719" i="1"/>
  <c r="M719" i="1" s="1"/>
  <c r="K747" i="1"/>
  <c r="M747" i="1" s="1"/>
  <c r="J747" i="1"/>
  <c r="L747" i="1" s="1"/>
  <c r="J562" i="1"/>
  <c r="L562" i="1" s="1"/>
  <c r="K562" i="1"/>
  <c r="M562" i="1" s="1"/>
  <c r="J614" i="1"/>
  <c r="L614" i="1" s="1"/>
  <c r="K614" i="1"/>
  <c r="M614" i="1" s="1"/>
  <c r="J565" i="1"/>
  <c r="L565" i="1" s="1"/>
  <c r="K565" i="1"/>
  <c r="M565" i="1" s="1"/>
  <c r="K554" i="1"/>
  <c r="M554" i="1" s="1"/>
  <c r="J554" i="1"/>
  <c r="L554" i="1" s="1"/>
  <c r="K742" i="1"/>
  <c r="M742" i="1" s="1"/>
  <c r="J742" i="1"/>
  <c r="L742" i="1" s="1"/>
  <c r="K775" i="1"/>
  <c r="M775" i="1" s="1"/>
  <c r="J775" i="1"/>
  <c r="L775" i="1" s="1"/>
  <c r="K372" i="1"/>
  <c r="M372" i="1" s="1"/>
  <c r="J372" i="1"/>
  <c r="L372" i="1" s="1"/>
  <c r="K811" i="1"/>
  <c r="M811" i="1" s="1"/>
  <c r="J811" i="1"/>
  <c r="L811" i="1" s="1"/>
  <c r="K821" i="1"/>
  <c r="M821" i="1" s="1"/>
  <c r="J821" i="1"/>
  <c r="L821" i="1" s="1"/>
  <c r="K818" i="1"/>
  <c r="M818" i="1" s="1"/>
  <c r="J818" i="1"/>
  <c r="L818" i="1" s="1"/>
  <c r="K649" i="1"/>
  <c r="M649" i="1" s="1"/>
  <c r="J649" i="1"/>
  <c r="L649" i="1" s="1"/>
  <c r="K121" i="1"/>
  <c r="M121" i="1" s="1"/>
  <c r="J121" i="1"/>
  <c r="L121" i="1" s="1"/>
  <c r="K463" i="1"/>
  <c r="M463" i="1" s="1"/>
  <c r="J463" i="1"/>
  <c r="L463" i="1" s="1"/>
  <c r="J398" i="1"/>
  <c r="L398" i="1" s="1"/>
  <c r="K398" i="1"/>
  <c r="M398" i="1" s="1"/>
  <c r="K328" i="1"/>
  <c r="M328" i="1" s="1"/>
  <c r="J328" i="1"/>
  <c r="L328" i="1" s="1"/>
  <c r="J202" i="1"/>
  <c r="L202" i="1" s="1"/>
  <c r="K202" i="1"/>
  <c r="M202" i="1" s="1"/>
  <c r="K368" i="1"/>
  <c r="M368" i="1" s="1"/>
  <c r="J368" i="1"/>
  <c r="L368" i="1" s="1"/>
  <c r="K410" i="1"/>
  <c r="M410" i="1" s="1"/>
  <c r="J410" i="1"/>
  <c r="L410" i="1" s="1"/>
  <c r="K417" i="1"/>
  <c r="M417" i="1" s="1"/>
  <c r="J417" i="1"/>
  <c r="L417" i="1" s="1"/>
  <c r="K162" i="1"/>
  <c r="M162" i="1" s="1"/>
  <c r="J162" i="1"/>
  <c r="L162" i="1" s="1"/>
  <c r="J191" i="1"/>
  <c r="L191" i="1" s="1"/>
  <c r="K191" i="1"/>
  <c r="M191" i="1" s="1"/>
  <c r="K459" i="1"/>
  <c r="M459" i="1" s="1"/>
  <c r="J459" i="1"/>
  <c r="L459" i="1" s="1"/>
  <c r="K355" i="1"/>
  <c r="M355" i="1" s="1"/>
  <c r="J355" i="1"/>
  <c r="L355" i="1" s="1"/>
  <c r="K183" i="1"/>
  <c r="M183" i="1" s="1"/>
  <c r="J183" i="1"/>
  <c r="L183" i="1" s="1"/>
  <c r="K465" i="1"/>
  <c r="M465" i="1" s="1"/>
  <c r="J465" i="1"/>
  <c r="L465" i="1" s="1"/>
  <c r="K516" i="1"/>
  <c r="M516" i="1" s="1"/>
  <c r="J516" i="1"/>
  <c r="L516" i="1" s="1"/>
  <c r="K508" i="1"/>
  <c r="M508" i="1" s="1"/>
  <c r="J508" i="1"/>
  <c r="L508" i="1" s="1"/>
  <c r="J700" i="1"/>
  <c r="L700" i="1" s="1"/>
  <c r="K700" i="1"/>
  <c r="M700" i="1" s="1"/>
  <c r="K669" i="1"/>
  <c r="M669" i="1" s="1"/>
  <c r="J669" i="1"/>
  <c r="L669" i="1" s="1"/>
  <c r="K722" i="1"/>
  <c r="M722" i="1" s="1"/>
  <c r="J722" i="1"/>
  <c r="L722" i="1" s="1"/>
  <c r="K750" i="1"/>
  <c r="M750" i="1" s="1"/>
  <c r="J750" i="1"/>
  <c r="L750" i="1" s="1"/>
  <c r="J570" i="1"/>
  <c r="L570" i="1" s="1"/>
  <c r="K570" i="1"/>
  <c r="M570" i="1" s="1"/>
  <c r="K550" i="1"/>
  <c r="M550" i="1" s="1"/>
  <c r="J550" i="1"/>
  <c r="L550" i="1" s="1"/>
  <c r="J549" i="1"/>
  <c r="L549" i="1" s="1"/>
  <c r="K549" i="1"/>
  <c r="M549" i="1" s="1"/>
  <c r="J603" i="1"/>
  <c r="L603" i="1" s="1"/>
  <c r="K603" i="1"/>
  <c r="M603" i="1" s="1"/>
  <c r="K745" i="1"/>
  <c r="M745" i="1" s="1"/>
  <c r="J745" i="1"/>
  <c r="L745" i="1" s="1"/>
  <c r="K689" i="1"/>
  <c r="M689" i="1" s="1"/>
  <c r="J689" i="1"/>
  <c r="L689" i="1" s="1"/>
  <c r="J781" i="1"/>
  <c r="L781" i="1" s="1"/>
  <c r="K781" i="1"/>
  <c r="M781" i="1" s="1"/>
  <c r="K376" i="1"/>
  <c r="M376" i="1" s="1"/>
  <c r="J376" i="1"/>
  <c r="L376" i="1" s="1"/>
  <c r="K799" i="1"/>
  <c r="M799" i="1" s="1"/>
  <c r="J799" i="1"/>
  <c r="L799" i="1" s="1"/>
  <c r="K631" i="1"/>
  <c r="M631" i="1" s="1"/>
  <c r="J631" i="1"/>
  <c r="L631" i="1" s="1"/>
  <c r="K658" i="1"/>
  <c r="M658" i="1" s="1"/>
  <c r="J658" i="1"/>
  <c r="L658" i="1" s="1"/>
  <c r="K106" i="1"/>
  <c r="M106" i="1" s="1"/>
  <c r="J106" i="1"/>
  <c r="L106" i="1" s="1"/>
  <c r="K135" i="1"/>
  <c r="M135" i="1" s="1"/>
  <c r="J135" i="1"/>
  <c r="L135" i="1" s="1"/>
  <c r="K466" i="1"/>
  <c r="M466" i="1" s="1"/>
  <c r="J466" i="1"/>
  <c r="L466" i="1" s="1"/>
  <c r="J408" i="1"/>
  <c r="L408" i="1" s="1"/>
  <c r="K408" i="1"/>
  <c r="M408" i="1" s="1"/>
  <c r="K347" i="1"/>
  <c r="M347" i="1" s="1"/>
  <c r="J347" i="1"/>
  <c r="L347" i="1" s="1"/>
  <c r="K428" i="1"/>
  <c r="M428" i="1" s="1"/>
  <c r="J428" i="1"/>
  <c r="L428" i="1" s="1"/>
  <c r="K353" i="1"/>
  <c r="M353" i="1" s="1"/>
  <c r="J353" i="1"/>
  <c r="L353" i="1" s="1"/>
  <c r="K387" i="1"/>
  <c r="M387" i="1" s="1"/>
  <c r="J387" i="1"/>
  <c r="L387" i="1" s="1"/>
  <c r="K311" i="1"/>
  <c r="M311" i="1" s="1"/>
  <c r="J311" i="1"/>
  <c r="L311" i="1" s="1"/>
  <c r="K429" i="1"/>
  <c r="M429" i="1" s="1"/>
  <c r="J429" i="1"/>
  <c r="L429" i="1" s="1"/>
  <c r="K208" i="1"/>
  <c r="M208" i="1" s="1"/>
  <c r="J208" i="1"/>
  <c r="L208" i="1" s="1"/>
  <c r="J518" i="1"/>
  <c r="L518" i="1" s="1"/>
  <c r="K518" i="1"/>
  <c r="M518" i="1" s="1"/>
  <c r="K299" i="1"/>
  <c r="M299" i="1" s="1"/>
  <c r="J299" i="1"/>
  <c r="L299" i="1" s="1"/>
  <c r="J310" i="1"/>
  <c r="L310" i="1" s="1"/>
  <c r="K310" i="1"/>
  <c r="M310" i="1" s="1"/>
  <c r="K170" i="1"/>
  <c r="M170" i="1" s="1"/>
  <c r="J170" i="1"/>
  <c r="L170" i="1" s="1"/>
  <c r="K320" i="1"/>
  <c r="M320" i="1" s="1"/>
  <c r="J320" i="1"/>
  <c r="L320" i="1" s="1"/>
  <c r="K323" i="1"/>
  <c r="M323" i="1" s="1"/>
  <c r="J323" i="1"/>
  <c r="L323" i="1" s="1"/>
  <c r="K250" i="1"/>
  <c r="M250" i="1" s="1"/>
  <c r="J250" i="1"/>
  <c r="L250" i="1" s="1"/>
  <c r="K511" i="1"/>
  <c r="M511" i="1" s="1"/>
  <c r="J511" i="1"/>
  <c r="L511" i="1" s="1"/>
  <c r="K705" i="1"/>
  <c r="M705" i="1" s="1"/>
  <c r="J705" i="1"/>
  <c r="L705" i="1" s="1"/>
  <c r="J673" i="1"/>
  <c r="L673" i="1" s="1"/>
  <c r="K673" i="1"/>
  <c r="M673" i="1" s="1"/>
  <c r="K725" i="1"/>
  <c r="M725" i="1" s="1"/>
  <c r="J725" i="1"/>
  <c r="L725" i="1" s="1"/>
  <c r="K699" i="1"/>
  <c r="M699" i="1" s="1"/>
  <c r="J699" i="1"/>
  <c r="L699" i="1" s="1"/>
  <c r="J573" i="1"/>
  <c r="L573" i="1" s="1"/>
  <c r="K573" i="1"/>
  <c r="M573" i="1" s="1"/>
  <c r="K552" i="1"/>
  <c r="M552" i="1" s="1"/>
  <c r="J552" i="1"/>
  <c r="L552" i="1" s="1"/>
  <c r="J572" i="1"/>
  <c r="L572" i="1" s="1"/>
  <c r="K572" i="1"/>
  <c r="M572" i="1" s="1"/>
  <c r="J612" i="1"/>
  <c r="L612" i="1" s="1"/>
  <c r="K612" i="1"/>
  <c r="M612" i="1" s="1"/>
  <c r="J678" i="1"/>
  <c r="L678" i="1" s="1"/>
  <c r="K678" i="1"/>
  <c r="M678" i="1" s="1"/>
  <c r="K682" i="1"/>
  <c r="M682" i="1" s="1"/>
  <c r="J682" i="1"/>
  <c r="L682" i="1" s="1"/>
  <c r="K222" i="1"/>
  <c r="M222" i="1" s="1"/>
  <c r="J222" i="1"/>
  <c r="L222" i="1" s="1"/>
  <c r="K798" i="1"/>
  <c r="M798" i="1" s="1"/>
  <c r="J798" i="1"/>
  <c r="L798" i="1" s="1"/>
  <c r="K827" i="1"/>
  <c r="M827" i="1" s="1"/>
  <c r="J827" i="1"/>
  <c r="L827" i="1" s="1"/>
  <c r="K145" i="1"/>
  <c r="M145" i="1" s="1"/>
  <c r="J145" i="1"/>
  <c r="L145" i="1" s="1"/>
  <c r="K107" i="1"/>
  <c r="M107" i="1" s="1"/>
  <c r="J107" i="1"/>
  <c r="L107" i="1" s="1"/>
  <c r="J497" i="1"/>
  <c r="L497" i="1" s="1"/>
  <c r="K497" i="1"/>
  <c r="M497" i="1" s="1"/>
  <c r="K416" i="1"/>
  <c r="M416" i="1" s="1"/>
  <c r="J416" i="1"/>
  <c r="L416" i="1" s="1"/>
  <c r="K295" i="1"/>
  <c r="M295" i="1" s="1"/>
  <c r="J295" i="1"/>
  <c r="L295" i="1" s="1"/>
  <c r="K478" i="1"/>
  <c r="M478" i="1" s="1"/>
  <c r="J478" i="1"/>
  <c r="L478" i="1" s="1"/>
  <c r="K302" i="1"/>
  <c r="M302" i="1" s="1"/>
  <c r="J302" i="1"/>
  <c r="L302" i="1" s="1"/>
  <c r="K393" i="1"/>
  <c r="M393" i="1" s="1"/>
  <c r="J393" i="1"/>
  <c r="L393" i="1" s="1"/>
  <c r="K176" i="1"/>
  <c r="M176" i="1" s="1"/>
  <c r="J176" i="1"/>
  <c r="L176" i="1" s="1"/>
  <c r="J479" i="1"/>
  <c r="L479" i="1" s="1"/>
  <c r="K479" i="1"/>
  <c r="M479" i="1" s="1"/>
  <c r="K166" i="1"/>
  <c r="M166" i="1" s="1"/>
  <c r="J166" i="1"/>
  <c r="L166" i="1" s="1"/>
  <c r="K210" i="1"/>
  <c r="M210" i="1" s="1"/>
  <c r="J210" i="1"/>
  <c r="L210" i="1" s="1"/>
  <c r="K367" i="1"/>
  <c r="M367" i="1" s="1"/>
  <c r="J367" i="1"/>
  <c r="L367" i="1" s="1"/>
  <c r="K303" i="1"/>
  <c r="M303" i="1" s="1"/>
  <c r="J303" i="1"/>
  <c r="L303" i="1" s="1"/>
  <c r="K366" i="1"/>
  <c r="M366" i="1" s="1"/>
  <c r="J366" i="1"/>
  <c r="L366" i="1" s="1"/>
  <c r="K214" i="1"/>
  <c r="M214" i="1" s="1"/>
  <c r="J214" i="1"/>
  <c r="L214" i="1" s="1"/>
  <c r="K327" i="1"/>
  <c r="M327" i="1" s="1"/>
  <c r="J327" i="1"/>
  <c r="L327" i="1" s="1"/>
  <c r="K258" i="1"/>
  <c r="M258" i="1" s="1"/>
  <c r="J258" i="1"/>
  <c r="L258" i="1" s="1"/>
  <c r="J707" i="1"/>
  <c r="L707" i="1" s="1"/>
  <c r="K707" i="1"/>
  <c r="M707" i="1" s="1"/>
  <c r="K694" i="1"/>
  <c r="M694" i="1" s="1"/>
  <c r="J694" i="1"/>
  <c r="L694" i="1" s="1"/>
  <c r="K698" i="1"/>
  <c r="M698" i="1" s="1"/>
  <c r="J698" i="1"/>
  <c r="L698" i="1" s="1"/>
  <c r="K704" i="1"/>
  <c r="M704" i="1" s="1"/>
  <c r="J704" i="1"/>
  <c r="L704" i="1" s="1"/>
  <c r="J578" i="1"/>
  <c r="L578" i="1" s="1"/>
  <c r="K578" i="1"/>
  <c r="M578" i="1" s="1"/>
  <c r="J571" i="1"/>
  <c r="L571" i="1" s="1"/>
  <c r="K571" i="1"/>
  <c r="M571" i="1" s="1"/>
  <c r="K576" i="1"/>
  <c r="M576" i="1" s="1"/>
  <c r="J576" i="1"/>
  <c r="L576" i="1" s="1"/>
  <c r="J604" i="1"/>
  <c r="L604" i="1" s="1"/>
  <c r="K604" i="1"/>
  <c r="M604" i="1" s="1"/>
  <c r="K681" i="1"/>
  <c r="M681" i="1" s="1"/>
  <c r="J681" i="1"/>
  <c r="L681" i="1" s="1"/>
  <c r="K730" i="1"/>
  <c r="M730" i="1" s="1"/>
  <c r="J730" i="1"/>
  <c r="L730" i="1" s="1"/>
  <c r="K779" i="1"/>
  <c r="M779" i="1" s="1"/>
  <c r="J779" i="1"/>
  <c r="L779" i="1" s="1"/>
  <c r="J523" i="1"/>
  <c r="L523" i="1" s="1"/>
  <c r="K523" i="1"/>
  <c r="M523" i="1" s="1"/>
  <c r="K812" i="1"/>
  <c r="M812" i="1" s="1"/>
  <c r="J812" i="1"/>
  <c r="L812" i="1" s="1"/>
  <c r="K830" i="1"/>
  <c r="M830" i="1" s="1"/>
  <c r="J830" i="1"/>
  <c r="L830" i="1" s="1"/>
  <c r="K104" i="1"/>
  <c r="M104" i="1" s="1"/>
  <c r="J104" i="1"/>
  <c r="L104" i="1" s="1"/>
  <c r="K411" i="1"/>
  <c r="M411" i="1" s="1"/>
  <c r="J411" i="1"/>
  <c r="L411" i="1" s="1"/>
  <c r="K483" i="1"/>
  <c r="M483" i="1" s="1"/>
  <c r="J483" i="1"/>
  <c r="L483" i="1" s="1"/>
  <c r="K163" i="1"/>
  <c r="M163" i="1" s="1"/>
  <c r="J163" i="1"/>
  <c r="L163" i="1" s="1"/>
  <c r="K241" i="1"/>
  <c r="M241" i="1" s="1"/>
  <c r="J241" i="1"/>
  <c r="L241" i="1" s="1"/>
  <c r="K475" i="1"/>
  <c r="M475" i="1" s="1"/>
  <c r="J475" i="1"/>
  <c r="L475" i="1" s="1"/>
  <c r="K421" i="1"/>
  <c r="M421" i="1" s="1"/>
  <c r="J421" i="1"/>
  <c r="L421" i="1" s="1"/>
  <c r="J390" i="1"/>
  <c r="L390" i="1" s="1"/>
  <c r="K390" i="1"/>
  <c r="M390" i="1" s="1"/>
  <c r="J255" i="1"/>
  <c r="L255" i="1" s="1"/>
  <c r="K255" i="1"/>
  <c r="M255" i="1" s="1"/>
  <c r="K710" i="1"/>
  <c r="M710" i="1" s="1"/>
  <c r="J710" i="1"/>
  <c r="L710" i="1" s="1"/>
  <c r="K697" i="1"/>
  <c r="M697" i="1" s="1"/>
  <c r="J697" i="1"/>
  <c r="L697" i="1" s="1"/>
  <c r="K624" i="1"/>
  <c r="M624" i="1" s="1"/>
  <c r="J624" i="1"/>
  <c r="L624" i="1" s="1"/>
  <c r="K706" i="1"/>
  <c r="M706" i="1" s="1"/>
  <c r="J706" i="1"/>
  <c r="L706" i="1" s="1"/>
  <c r="K575" i="1"/>
  <c r="M575" i="1" s="1"/>
  <c r="J575" i="1"/>
  <c r="L575" i="1" s="1"/>
  <c r="K584" i="1"/>
  <c r="M584" i="1" s="1"/>
  <c r="J584" i="1"/>
  <c r="L584" i="1" s="1"/>
  <c r="K608" i="1"/>
  <c r="M608" i="1" s="1"/>
  <c r="J608" i="1"/>
  <c r="L608" i="1" s="1"/>
  <c r="K688" i="1"/>
  <c r="M688" i="1" s="1"/>
  <c r="J688" i="1"/>
  <c r="L688" i="1" s="1"/>
  <c r="K733" i="1"/>
  <c r="M733" i="1" s="1"/>
  <c r="J733" i="1"/>
  <c r="L733" i="1" s="1"/>
  <c r="J782" i="1"/>
  <c r="L782" i="1" s="1"/>
  <c r="K782" i="1"/>
  <c r="M782" i="1" s="1"/>
  <c r="J520" i="1"/>
  <c r="L520" i="1" s="1"/>
  <c r="K520" i="1"/>
  <c r="M520" i="1" s="1"/>
  <c r="K829" i="1"/>
  <c r="M829" i="1" s="1"/>
  <c r="J829" i="1"/>
  <c r="L829" i="1" s="1"/>
  <c r="K828" i="1"/>
  <c r="M828" i="1" s="1"/>
  <c r="J828" i="1"/>
  <c r="L828" i="1" s="1"/>
  <c r="D14" i="139"/>
  <c r="J14" i="139" s="1"/>
  <c r="D15" i="139"/>
  <c r="J15" i="139" s="1"/>
  <c r="D16" i="139"/>
  <c r="J16" i="139" s="1"/>
  <c r="D17" i="139"/>
  <c r="J17" i="139" s="1"/>
  <c r="D18" i="139"/>
  <c r="J18" i="139" s="1"/>
  <c r="D19" i="139"/>
  <c r="J19" i="139" s="1"/>
  <c r="D20" i="139"/>
  <c r="J20" i="139" s="1"/>
  <c r="D13" i="139"/>
  <c r="J13" i="139" s="1"/>
  <c r="C14" i="139"/>
  <c r="C15" i="139"/>
  <c r="C16" i="139"/>
  <c r="C17" i="139"/>
  <c r="C18" i="139"/>
  <c r="C19" i="139"/>
  <c r="C20" i="139"/>
  <c r="C13" i="139"/>
  <c r="K61" i="1"/>
  <c r="M61" i="1" s="1"/>
  <c r="M60" i="1" s="1"/>
  <c r="J61" i="1"/>
  <c r="L61" i="1" s="1"/>
  <c r="L60" i="1" s="1"/>
  <c r="K53" i="1"/>
  <c r="M53" i="1" s="1"/>
  <c r="M52" i="1" s="1"/>
  <c r="J53" i="1"/>
  <c r="L53" i="1" s="1"/>
  <c r="L52" i="1" s="1"/>
  <c r="K22" i="1"/>
  <c r="M22" i="1" s="1"/>
  <c r="I40" i="142"/>
  <c r="G40" i="142"/>
  <c r="F40" i="142"/>
  <c r="I12" i="142"/>
  <c r="G12" i="142"/>
  <c r="F12" i="142"/>
  <c r="G848" i="1"/>
  <c r="G845" i="1"/>
  <c r="G844" i="1"/>
  <c r="G843" i="1"/>
  <c r="G842" i="1"/>
  <c r="G841" i="1"/>
  <c r="G840" i="1"/>
  <c r="G839" i="1"/>
  <c r="G838" i="1"/>
  <c r="G793" i="1"/>
  <c r="G792" i="1"/>
  <c r="G791" i="1"/>
  <c r="G790" i="1"/>
  <c r="G789" i="1"/>
  <c r="G788" i="1"/>
  <c r="G787" i="1"/>
  <c r="G786" i="1"/>
  <c r="G759" i="1"/>
  <c r="G630" i="1"/>
  <c r="G629" i="1"/>
  <c r="G626" i="1"/>
  <c r="G625" i="1"/>
  <c r="I25" i="142"/>
  <c r="G25" i="142"/>
  <c r="F25" i="142"/>
  <c r="I60" i="142"/>
  <c r="F60" i="142"/>
  <c r="I54" i="142"/>
  <c r="G54" i="142"/>
  <c r="F54" i="142"/>
  <c r="I36" i="142"/>
  <c r="I37" i="142"/>
  <c r="G29" i="142"/>
  <c r="G33" i="142"/>
  <c r="G36" i="142"/>
  <c r="G37" i="142"/>
  <c r="F37" i="142"/>
  <c r="F36" i="142"/>
  <c r="F29" i="142"/>
  <c r="F33" i="142"/>
  <c r="I33" i="142"/>
  <c r="K17" i="1"/>
  <c r="M17" i="1" s="1"/>
  <c r="I29" i="142"/>
  <c r="K14" i="1"/>
  <c r="M14" i="1" s="1"/>
  <c r="I20" i="142"/>
  <c r="I17" i="142"/>
  <c r="I21" i="142"/>
  <c r="I22" i="142"/>
  <c r="I23" i="142"/>
  <c r="I24" i="142"/>
  <c r="I51" i="142"/>
  <c r="I61" i="142"/>
  <c r="G20" i="142"/>
  <c r="G17" i="142"/>
  <c r="G21" i="142"/>
  <c r="G22" i="142"/>
  <c r="G23" i="142"/>
  <c r="G24" i="142"/>
  <c r="G51" i="142"/>
  <c r="G61" i="142"/>
  <c r="F20" i="142"/>
  <c r="F21" i="142"/>
  <c r="F22" i="142"/>
  <c r="F23" i="142"/>
  <c r="F24" i="142"/>
  <c r="F51" i="142"/>
  <c r="F61" i="142"/>
  <c r="R32" i="1" l="1"/>
  <c r="R826" i="1"/>
  <c r="R784" i="1" s="1"/>
  <c r="R235" i="1"/>
  <c r="R133" i="1"/>
  <c r="R622" i="1"/>
  <c r="R621" i="1" s="1"/>
  <c r="R101" i="1"/>
  <c r="R885" i="1"/>
  <c r="R900" i="1"/>
  <c r="R285" i="1"/>
  <c r="R870" i="1"/>
  <c r="R767" i="1"/>
  <c r="R766" i="1" s="1"/>
  <c r="R856" i="1"/>
  <c r="R384" i="1"/>
  <c r="R152" i="1"/>
  <c r="R441" i="1"/>
  <c r="R74" i="1"/>
  <c r="R119" i="1"/>
  <c r="R534" i="1"/>
  <c r="N739" i="1"/>
  <c r="S739" i="1" s="1"/>
  <c r="J36" i="142"/>
  <c r="M36" i="142" s="1"/>
  <c r="J33" i="142"/>
  <c r="J22" i="142"/>
  <c r="M22" i="142" s="1"/>
  <c r="J25" i="142"/>
  <c r="M25" i="142" s="1"/>
  <c r="J12" i="142"/>
  <c r="M12" i="142" s="1"/>
  <c r="M11" i="142" s="1"/>
  <c r="N635" i="1"/>
  <c r="S635" i="1" s="1"/>
  <c r="N636" i="1"/>
  <c r="S636" i="1" s="1"/>
  <c r="N686" i="1"/>
  <c r="S686" i="1" s="1"/>
  <c r="L37" i="1"/>
  <c r="M119" i="1"/>
  <c r="N620" i="1"/>
  <c r="S620" i="1" s="1"/>
  <c r="N65" i="1"/>
  <c r="S65" i="1" s="1"/>
  <c r="N599" i="1"/>
  <c r="S599" i="1" s="1"/>
  <c r="N66" i="1"/>
  <c r="S66" i="1" s="1"/>
  <c r="N567" i="1"/>
  <c r="S567" i="1" s="1"/>
  <c r="N586" i="1"/>
  <c r="S586" i="1" s="1"/>
  <c r="N67" i="1"/>
  <c r="S67" i="1" s="1"/>
  <c r="N558" i="1"/>
  <c r="S558" i="1" s="1"/>
  <c r="L64" i="1"/>
  <c r="N68" i="1"/>
  <c r="M64" i="1"/>
  <c r="L62" i="1"/>
  <c r="N63" i="1"/>
  <c r="S63" i="1" s="1"/>
  <c r="S62" i="1" s="1"/>
  <c r="M37" i="1"/>
  <c r="M856" i="1"/>
  <c r="M133" i="1"/>
  <c r="M74" i="1"/>
  <c r="M441" i="1"/>
  <c r="M285" i="1"/>
  <c r="M826" i="1"/>
  <c r="L568" i="1"/>
  <c r="M805" i="1"/>
  <c r="L559" i="1"/>
  <c r="M90" i="1"/>
  <c r="M796" i="1"/>
  <c r="M384" i="1"/>
  <c r="M815" i="1"/>
  <c r="M767" i="1"/>
  <c r="M675" i="1"/>
  <c r="M885" i="1"/>
  <c r="M870" i="1"/>
  <c r="L702" i="1"/>
  <c r="M568" i="1"/>
  <c r="L727" i="1"/>
  <c r="M600" i="1"/>
  <c r="M535" i="1"/>
  <c r="L659" i="1"/>
  <c r="M587" i="1"/>
  <c r="M727" i="1"/>
  <c r="L600" i="1"/>
  <c r="L535" i="1"/>
  <c r="M659" i="1"/>
  <c r="L587" i="1"/>
  <c r="M702" i="1"/>
  <c r="M101" i="1"/>
  <c r="M235" i="1"/>
  <c r="M559" i="1"/>
  <c r="L675" i="1"/>
  <c r="M900" i="1"/>
  <c r="M915" i="1"/>
  <c r="N281" i="1"/>
  <c r="S281" i="1" s="1"/>
  <c r="N25" i="1"/>
  <c r="S25" i="1" s="1"/>
  <c r="N531" i="1"/>
  <c r="S531" i="1" s="1"/>
  <c r="N338" i="1"/>
  <c r="S338" i="1" s="1"/>
  <c r="N892" i="1"/>
  <c r="S892" i="1" s="1"/>
  <c r="N893" i="1"/>
  <c r="S893" i="1" s="1"/>
  <c r="N284" i="1"/>
  <c r="S284" i="1" s="1"/>
  <c r="N228" i="1"/>
  <c r="S228" i="1" s="1"/>
  <c r="N889" i="1"/>
  <c r="S889" i="1" s="1"/>
  <c r="N876" i="1"/>
  <c r="S876" i="1" s="1"/>
  <c r="N229" i="1"/>
  <c r="S229" i="1" s="1"/>
  <c r="N857" i="1"/>
  <c r="S857" i="1" s="1"/>
  <c r="N341" i="1"/>
  <c r="S341" i="1" s="1"/>
  <c r="N873" i="1"/>
  <c r="S873" i="1" s="1"/>
  <c r="N337" i="1"/>
  <c r="S337" i="1" s="1"/>
  <c r="N122" i="1"/>
  <c r="S122" i="1" s="1"/>
  <c r="N283" i="1"/>
  <c r="S283" i="1" s="1"/>
  <c r="N904" i="1"/>
  <c r="S904" i="1" s="1"/>
  <c r="N340" i="1"/>
  <c r="S340" i="1" s="1"/>
  <c r="N888" i="1"/>
  <c r="S888" i="1" s="1"/>
  <c r="N529" i="1"/>
  <c r="S529" i="1" s="1"/>
  <c r="N282" i="1"/>
  <c r="S282" i="1" s="1"/>
  <c r="N861" i="1"/>
  <c r="S861" i="1" s="1"/>
  <c r="N274" i="1"/>
  <c r="S274" i="1" s="1"/>
  <c r="N39" i="1"/>
  <c r="S39" i="1" s="1"/>
  <c r="N339" i="1"/>
  <c r="S339" i="1" s="1"/>
  <c r="N874" i="1"/>
  <c r="S874" i="1" s="1"/>
  <c r="N317" i="1"/>
  <c r="S317" i="1" s="1"/>
  <c r="N589" i="1"/>
  <c r="S589" i="1" s="1"/>
  <c r="N901" i="1"/>
  <c r="S901" i="1" s="1"/>
  <c r="N437" i="1"/>
  <c r="S437" i="1" s="1"/>
  <c r="N378" i="1"/>
  <c r="S378" i="1" s="1"/>
  <c r="N902" i="1"/>
  <c r="S902" i="1" s="1"/>
  <c r="N230" i="1"/>
  <c r="S230" i="1" s="1"/>
  <c r="N875" i="1"/>
  <c r="S875" i="1" s="1"/>
  <c r="N863" i="1"/>
  <c r="S863" i="1" s="1"/>
  <c r="N527" i="1"/>
  <c r="S527" i="1" s="1"/>
  <c r="N24" i="1"/>
  <c r="S24" i="1" s="1"/>
  <c r="N860" i="1"/>
  <c r="S860" i="1" s="1"/>
  <c r="N528" i="1"/>
  <c r="S528" i="1" s="1"/>
  <c r="N381" i="1"/>
  <c r="S381" i="1" s="1"/>
  <c r="N877" i="1"/>
  <c r="S877" i="1" s="1"/>
  <c r="N905" i="1"/>
  <c r="S905" i="1" s="1"/>
  <c r="N436" i="1"/>
  <c r="S436" i="1" s="1"/>
  <c r="N530" i="1"/>
  <c r="S530" i="1" s="1"/>
  <c r="N907" i="1"/>
  <c r="S907" i="1" s="1"/>
  <c r="N380" i="1"/>
  <c r="S380" i="1" s="1"/>
  <c r="N93" i="1"/>
  <c r="S93" i="1" s="1"/>
  <c r="N891" i="1"/>
  <c r="S891" i="1" s="1"/>
  <c r="N342" i="1"/>
  <c r="S342" i="1" s="1"/>
  <c r="N315" i="1"/>
  <c r="S315" i="1" s="1"/>
  <c r="N379" i="1"/>
  <c r="S379" i="1" s="1"/>
  <c r="N858" i="1"/>
  <c r="S858" i="1" s="1"/>
  <c r="N36" i="1"/>
  <c r="S36" i="1" s="1"/>
  <c r="S35" i="1" s="1"/>
  <c r="N49" i="1"/>
  <c r="S49" i="1" s="1"/>
  <c r="S48" i="1" s="1"/>
  <c r="N878" i="1"/>
  <c r="S878" i="1" s="1"/>
  <c r="N894" i="1"/>
  <c r="S894" i="1" s="1"/>
  <c r="N314" i="1"/>
  <c r="S314" i="1" s="1"/>
  <c r="N438" i="1"/>
  <c r="S438" i="1" s="1"/>
  <c r="N890" i="1"/>
  <c r="S890" i="1" s="1"/>
  <c r="N232" i="1"/>
  <c r="S232" i="1" s="1"/>
  <c r="N887" i="1"/>
  <c r="S887" i="1" s="1"/>
  <c r="N47" i="1"/>
  <c r="S47" i="1" s="1"/>
  <c r="S46" i="1" s="1"/>
  <c r="N20" i="1"/>
  <c r="S20" i="1" s="1"/>
  <c r="N903" i="1"/>
  <c r="S903" i="1" s="1"/>
  <c r="N45" i="1"/>
  <c r="S45" i="1" s="1"/>
  <c r="S44" i="1" s="1"/>
  <c r="N41" i="1"/>
  <c r="S41" i="1" s="1"/>
  <c r="S40" i="1" s="1"/>
  <c r="N231" i="1"/>
  <c r="S231" i="1" s="1"/>
  <c r="N34" i="1"/>
  <c r="N654" i="1"/>
  <c r="S654" i="1" s="1"/>
  <c r="N43" i="1"/>
  <c r="S43" i="1" s="1"/>
  <c r="S42" i="1" s="1"/>
  <c r="N313" i="1"/>
  <c r="S313" i="1" s="1"/>
  <c r="N59" i="1"/>
  <c r="S59" i="1" s="1"/>
  <c r="S58" i="1" s="1"/>
  <c r="N38" i="1"/>
  <c r="S38" i="1" s="1"/>
  <c r="N864" i="1"/>
  <c r="S864" i="1" s="1"/>
  <c r="N55" i="1"/>
  <c r="S55" i="1" s="1"/>
  <c r="S54" i="1" s="1"/>
  <c r="N57" i="1"/>
  <c r="S57" i="1" s="1"/>
  <c r="S56" i="1" s="1"/>
  <c r="N51" i="1"/>
  <c r="S51" i="1" s="1"/>
  <c r="S50" i="1" s="1"/>
  <c r="N26" i="1"/>
  <c r="S26" i="1" s="1"/>
  <c r="N862" i="1"/>
  <c r="S862" i="1" s="1"/>
  <c r="N872" i="1"/>
  <c r="S872" i="1" s="1"/>
  <c r="N859" i="1"/>
  <c r="S859" i="1" s="1"/>
  <c r="N886" i="1"/>
  <c r="S886" i="1" s="1"/>
  <c r="N526" i="1"/>
  <c r="S526" i="1" s="1"/>
  <c r="N871" i="1"/>
  <c r="S871" i="1" s="1"/>
  <c r="N906" i="1"/>
  <c r="S906" i="1" s="1"/>
  <c r="N316" i="1"/>
  <c r="S316" i="1" s="1"/>
  <c r="N908" i="1"/>
  <c r="S908" i="1" s="1"/>
  <c r="N689" i="1"/>
  <c r="S689" i="1" s="1"/>
  <c r="N750" i="1"/>
  <c r="S750" i="1" s="1"/>
  <c r="N465" i="1"/>
  <c r="S465" i="1" s="1"/>
  <c r="N355" i="1"/>
  <c r="S355" i="1" s="1"/>
  <c r="N417" i="1"/>
  <c r="S417" i="1" s="1"/>
  <c r="N394" i="1"/>
  <c r="S394" i="1" s="1"/>
  <c r="N310" i="1"/>
  <c r="S310" i="1" s="1"/>
  <c r="N518" i="1"/>
  <c r="S518" i="1" s="1"/>
  <c r="N172" i="1"/>
  <c r="S172" i="1" s="1"/>
  <c r="N307" i="1"/>
  <c r="S307" i="1" s="1"/>
  <c r="N368" i="1"/>
  <c r="S368" i="1" s="1"/>
  <c r="N463" i="1"/>
  <c r="S463" i="1" s="1"/>
  <c r="N649" i="1"/>
  <c r="S649" i="1" s="1"/>
  <c r="N775" i="1"/>
  <c r="S775" i="1" s="1"/>
  <c r="N562" i="1"/>
  <c r="S562" i="1" s="1"/>
  <c r="N748" i="1"/>
  <c r="S748" i="1" s="1"/>
  <c r="N493" i="1"/>
  <c r="S493" i="1" s="1"/>
  <c r="N246" i="1"/>
  <c r="S246" i="1" s="1"/>
  <c r="N325" i="1"/>
  <c r="S325" i="1" s="1"/>
  <c r="N89" i="1"/>
  <c r="S89" i="1" s="1"/>
  <c r="N832" i="1"/>
  <c r="S832" i="1" s="1"/>
  <c r="N809" i="1"/>
  <c r="S809" i="1" s="1"/>
  <c r="N737" i="1"/>
  <c r="S737" i="1" s="1"/>
  <c r="N734" i="1"/>
  <c r="S734" i="1" s="1"/>
  <c r="N715" i="1"/>
  <c r="S715" i="1" s="1"/>
  <c r="N395" i="1"/>
  <c r="S395" i="1" s="1"/>
  <c r="N375" i="1"/>
  <c r="S375" i="1" s="1"/>
  <c r="N736" i="1"/>
  <c r="S736" i="1" s="1"/>
  <c r="N708" i="1"/>
  <c r="S708" i="1" s="1"/>
  <c r="N257" i="1"/>
  <c r="S257" i="1" s="1"/>
  <c r="N309" i="1"/>
  <c r="S309" i="1" s="1"/>
  <c r="N132" i="1"/>
  <c r="S132" i="1" s="1"/>
  <c r="N754" i="1"/>
  <c r="S754" i="1" s="1"/>
  <c r="N822" i="1"/>
  <c r="S822" i="1" s="1"/>
  <c r="N690" i="1"/>
  <c r="S690" i="1" s="1"/>
  <c r="N517" i="1"/>
  <c r="S517" i="1" s="1"/>
  <c r="N656" i="1"/>
  <c r="S656" i="1" s="1"/>
  <c r="N521" i="1"/>
  <c r="S521" i="1" s="1"/>
  <c r="N595" i="1"/>
  <c r="S595" i="1" s="1"/>
  <c r="N661" i="1"/>
  <c r="S661" i="1" s="1"/>
  <c r="N717" i="1"/>
  <c r="S717" i="1" s="1"/>
  <c r="N388" i="1"/>
  <c r="S388" i="1" s="1"/>
  <c r="N427" i="1"/>
  <c r="S427" i="1" s="1"/>
  <c r="N423" i="1"/>
  <c r="S423" i="1" s="1"/>
  <c r="N112" i="1"/>
  <c r="S112" i="1" s="1"/>
  <c r="N802" i="1"/>
  <c r="S802" i="1" s="1"/>
  <c r="N389" i="1"/>
  <c r="S389" i="1" s="1"/>
  <c r="N115" i="1"/>
  <c r="S115" i="1" s="1"/>
  <c r="N520" i="1"/>
  <c r="S520" i="1" s="1"/>
  <c r="N733" i="1"/>
  <c r="S733" i="1" s="1"/>
  <c r="N608" i="1"/>
  <c r="S608" i="1" s="1"/>
  <c r="N575" i="1"/>
  <c r="S575" i="1" s="1"/>
  <c r="N624" i="1"/>
  <c r="S624" i="1" s="1"/>
  <c r="N829" i="1"/>
  <c r="S829" i="1" s="1"/>
  <c r="N819" i="1"/>
  <c r="S819" i="1" s="1"/>
  <c r="N710" i="1"/>
  <c r="S710" i="1" s="1"/>
  <c r="N475" i="1"/>
  <c r="S475" i="1" s="1"/>
  <c r="N163" i="1"/>
  <c r="S163" i="1" s="1"/>
  <c r="N411" i="1"/>
  <c r="S411" i="1" s="1"/>
  <c r="N812" i="1"/>
  <c r="S812" i="1" s="1"/>
  <c r="N732" i="1"/>
  <c r="S732" i="1" s="1"/>
  <c r="N563" i="1"/>
  <c r="S563" i="1" s="1"/>
  <c r="N540" i="1"/>
  <c r="S540" i="1" s="1"/>
  <c r="N664" i="1"/>
  <c r="S664" i="1" s="1"/>
  <c r="N721" i="1"/>
  <c r="S721" i="1" s="1"/>
  <c r="N301" i="1"/>
  <c r="S301" i="1" s="1"/>
  <c r="N168" i="1"/>
  <c r="S168" i="1" s="1"/>
  <c r="N182" i="1"/>
  <c r="S182" i="1" s="1"/>
  <c r="N523" i="1"/>
  <c r="S523" i="1" s="1"/>
  <c r="N730" i="1"/>
  <c r="S730" i="1" s="1"/>
  <c r="N604" i="1"/>
  <c r="S604" i="1" s="1"/>
  <c r="N571" i="1"/>
  <c r="S571" i="1" s="1"/>
  <c r="N694" i="1"/>
  <c r="S694" i="1" s="1"/>
  <c r="N327" i="1"/>
  <c r="S327" i="1" s="1"/>
  <c r="N366" i="1"/>
  <c r="S366" i="1" s="1"/>
  <c r="N367" i="1"/>
  <c r="S367" i="1" s="1"/>
  <c r="N176" i="1"/>
  <c r="S176" i="1" s="1"/>
  <c r="N302" i="1"/>
  <c r="S302" i="1" s="1"/>
  <c r="N295" i="1"/>
  <c r="S295" i="1" s="1"/>
  <c r="N145" i="1"/>
  <c r="S145" i="1" s="1"/>
  <c r="N827" i="1"/>
  <c r="S827" i="1" s="1"/>
  <c r="N682" i="1"/>
  <c r="S682" i="1" s="1"/>
  <c r="N552" i="1"/>
  <c r="S552" i="1" s="1"/>
  <c r="N169" i="1"/>
  <c r="S169" i="1" s="1"/>
  <c r="N213" i="1"/>
  <c r="S213" i="1" s="1"/>
  <c r="N240" i="1"/>
  <c r="S240" i="1" s="1"/>
  <c r="N485" i="1"/>
  <c r="S485" i="1" s="1"/>
  <c r="N100" i="1"/>
  <c r="S100" i="1" s="1"/>
  <c r="N84" i="1"/>
  <c r="S84" i="1" s="1"/>
  <c r="N647" i="1"/>
  <c r="S647" i="1" s="1"/>
  <c r="N699" i="1"/>
  <c r="S699" i="1" s="1"/>
  <c r="N511" i="1"/>
  <c r="S511" i="1" s="1"/>
  <c r="N208" i="1"/>
  <c r="S208" i="1" s="1"/>
  <c r="N353" i="1"/>
  <c r="S353" i="1" s="1"/>
  <c r="N466" i="1"/>
  <c r="S466" i="1" s="1"/>
  <c r="N106" i="1"/>
  <c r="S106" i="1" s="1"/>
  <c r="N376" i="1"/>
  <c r="S376" i="1" s="1"/>
  <c r="N738" i="1"/>
  <c r="S738" i="1" s="1"/>
  <c r="N674" i="1"/>
  <c r="S674" i="1" s="1"/>
  <c r="N481" i="1"/>
  <c r="S481" i="1" s="1"/>
  <c r="N174" i="1"/>
  <c r="S174" i="1" s="1"/>
  <c r="N500" i="1"/>
  <c r="S500" i="1" s="1"/>
  <c r="N433" i="1"/>
  <c r="S433" i="1" s="1"/>
  <c r="N415" i="1"/>
  <c r="S415" i="1" s="1"/>
  <c r="N549" i="1"/>
  <c r="S549" i="1" s="1"/>
  <c r="N516" i="1"/>
  <c r="S516" i="1" s="1"/>
  <c r="N183" i="1"/>
  <c r="S183" i="1" s="1"/>
  <c r="N459" i="1"/>
  <c r="S459" i="1" s="1"/>
  <c r="N410" i="1"/>
  <c r="S410" i="1" s="1"/>
  <c r="N818" i="1"/>
  <c r="S818" i="1" s="1"/>
  <c r="N372" i="1"/>
  <c r="S372" i="1" s="1"/>
  <c r="N614" i="1"/>
  <c r="S614" i="1" s="1"/>
  <c r="N747" i="1"/>
  <c r="S747" i="1" s="1"/>
  <c r="N471" i="1"/>
  <c r="S471" i="1" s="1"/>
  <c r="N239" i="1"/>
  <c r="S239" i="1" s="1"/>
  <c r="N334" i="1"/>
  <c r="S334" i="1" s="1"/>
  <c r="N810" i="1"/>
  <c r="S810" i="1" s="1"/>
  <c r="N679" i="1"/>
  <c r="S679" i="1" s="1"/>
  <c r="N543" i="1"/>
  <c r="S543" i="1" s="1"/>
  <c r="N695" i="1"/>
  <c r="S695" i="1" s="1"/>
  <c r="N663" i="1"/>
  <c r="S663" i="1" s="1"/>
  <c r="N484" i="1"/>
  <c r="S484" i="1" s="1"/>
  <c r="N477" i="1"/>
  <c r="S477" i="1" s="1"/>
  <c r="N177" i="1"/>
  <c r="S177" i="1" s="1"/>
  <c r="N190" i="1"/>
  <c r="S190" i="1" s="1"/>
  <c r="N655" i="1"/>
  <c r="S655" i="1" s="1"/>
  <c r="N771" i="1"/>
  <c r="S771" i="1" s="1"/>
  <c r="N580" i="1"/>
  <c r="S580" i="1" s="1"/>
  <c r="N386" i="1"/>
  <c r="S386" i="1" s="1"/>
  <c r="N392" i="1"/>
  <c r="S392" i="1" s="1"/>
  <c r="N144" i="1"/>
  <c r="S144" i="1" s="1"/>
  <c r="N820" i="1"/>
  <c r="S820" i="1" s="1"/>
  <c r="N783" i="1"/>
  <c r="S783" i="1" s="1"/>
  <c r="N542" i="1"/>
  <c r="S542" i="1" s="1"/>
  <c r="N304" i="1"/>
  <c r="S304" i="1" s="1"/>
  <c r="N472" i="1"/>
  <c r="S472" i="1" s="1"/>
  <c r="N114" i="1"/>
  <c r="S114" i="1" s="1"/>
  <c r="N632" i="1"/>
  <c r="S632" i="1" s="1"/>
  <c r="N744" i="1"/>
  <c r="S744" i="1" s="1"/>
  <c r="N680" i="1"/>
  <c r="S680" i="1" s="1"/>
  <c r="N591" i="1"/>
  <c r="S591" i="1" s="1"/>
  <c r="N712" i="1"/>
  <c r="S712" i="1" s="1"/>
  <c r="N749" i="1"/>
  <c r="S749" i="1" s="1"/>
  <c r="N665" i="1"/>
  <c r="S665" i="1" s="1"/>
  <c r="N430" i="1"/>
  <c r="S430" i="1" s="1"/>
  <c r="N326" i="1"/>
  <c r="S326" i="1" s="1"/>
  <c r="N515" i="1"/>
  <c r="S515" i="1" s="1"/>
  <c r="N476" i="1"/>
  <c r="S476" i="1" s="1"/>
  <c r="N244" i="1"/>
  <c r="S244" i="1" s="1"/>
  <c r="N118" i="1"/>
  <c r="S118" i="1" s="1"/>
  <c r="N128" i="1"/>
  <c r="S128" i="1" s="1"/>
  <c r="N333" i="1"/>
  <c r="S333" i="1" s="1"/>
  <c r="N79" i="1"/>
  <c r="S79" i="1" s="1"/>
  <c r="N223" i="1"/>
  <c r="S223" i="1" s="1"/>
  <c r="N691" i="1"/>
  <c r="S691" i="1" s="1"/>
  <c r="N753" i="1"/>
  <c r="S753" i="1" s="1"/>
  <c r="N714" i="1"/>
  <c r="S714" i="1" s="1"/>
  <c r="N351" i="1"/>
  <c r="S351" i="1" s="1"/>
  <c r="N113" i="1"/>
  <c r="S113" i="1" s="1"/>
  <c r="N206" i="1"/>
  <c r="S206" i="1" s="1"/>
  <c r="N584" i="1"/>
  <c r="S584" i="1" s="1"/>
  <c r="N706" i="1"/>
  <c r="S706" i="1" s="1"/>
  <c r="N421" i="1"/>
  <c r="S421" i="1" s="1"/>
  <c r="N104" i="1"/>
  <c r="S104" i="1" s="1"/>
  <c r="N779" i="1"/>
  <c r="S779" i="1" s="1"/>
  <c r="N258" i="1"/>
  <c r="S258" i="1" s="1"/>
  <c r="N210" i="1"/>
  <c r="S210" i="1" s="1"/>
  <c r="N478" i="1"/>
  <c r="S478" i="1" s="1"/>
  <c r="N678" i="1"/>
  <c r="S678" i="1" s="1"/>
  <c r="N725" i="1"/>
  <c r="S725" i="1" s="1"/>
  <c r="N320" i="1"/>
  <c r="S320" i="1" s="1"/>
  <c r="N429" i="1"/>
  <c r="S429" i="1" s="1"/>
  <c r="N387" i="1"/>
  <c r="S387" i="1" s="1"/>
  <c r="N799" i="1"/>
  <c r="S799" i="1" s="1"/>
  <c r="N191" i="1"/>
  <c r="S191" i="1" s="1"/>
  <c r="N719" i="1"/>
  <c r="S719" i="1" s="1"/>
  <c r="N225" i="1"/>
  <c r="S225" i="1" s="1"/>
  <c r="N618" i="1"/>
  <c r="S618" i="1" s="1"/>
  <c r="N696" i="1"/>
  <c r="S696" i="1" s="1"/>
  <c r="N189" i="1"/>
  <c r="S189" i="1" s="1"/>
  <c r="N237" i="1"/>
  <c r="S237" i="1" s="1"/>
  <c r="N642" i="1"/>
  <c r="S642" i="1" s="1"/>
  <c r="N85" i="1"/>
  <c r="S85" i="1" s="1"/>
  <c r="N684" i="1"/>
  <c r="S684" i="1" s="1"/>
  <c r="N633" i="1"/>
  <c r="S633" i="1" s="1"/>
  <c r="N556" i="1"/>
  <c r="S556" i="1" s="1"/>
  <c r="N716" i="1"/>
  <c r="S716" i="1" s="1"/>
  <c r="N668" i="1"/>
  <c r="S668" i="1" s="1"/>
  <c r="N452" i="1"/>
  <c r="S452" i="1" s="1"/>
  <c r="N319" i="1"/>
  <c r="S319" i="1" s="1"/>
  <c r="N639" i="1"/>
  <c r="S639" i="1" s="1"/>
  <c r="N373" i="1"/>
  <c r="S373" i="1" s="1"/>
  <c r="N479" i="1"/>
  <c r="S479" i="1" s="1"/>
  <c r="N166" i="1"/>
  <c r="S166" i="1" s="1"/>
  <c r="N323" i="1"/>
  <c r="S323" i="1" s="1"/>
  <c r="N299" i="1"/>
  <c r="S299" i="1" s="1"/>
  <c r="N311" i="1"/>
  <c r="S311" i="1" s="1"/>
  <c r="N467" i="1"/>
  <c r="S467" i="1" s="1"/>
  <c r="N255" i="1"/>
  <c r="S255" i="1" s="1"/>
  <c r="N200" i="1"/>
  <c r="S200" i="1" s="1"/>
  <c r="N329" i="1"/>
  <c r="S329" i="1" s="1"/>
  <c r="N305" i="1"/>
  <c r="S305" i="1" s="1"/>
  <c r="N267" i="1"/>
  <c r="S267" i="1" s="1"/>
  <c r="N406" i="1"/>
  <c r="S406" i="1" s="1"/>
  <c r="N362" i="1"/>
  <c r="S362" i="1" s="1"/>
  <c r="N216" i="1"/>
  <c r="S216" i="1" s="1"/>
  <c r="N335" i="1"/>
  <c r="S335" i="1" s="1"/>
  <c r="N247" i="1"/>
  <c r="S247" i="1" s="1"/>
  <c r="N396" i="1"/>
  <c r="S396" i="1" s="1"/>
  <c r="N491" i="1"/>
  <c r="S491" i="1" s="1"/>
  <c r="N398" i="1"/>
  <c r="S398" i="1" s="1"/>
  <c r="N349" i="1"/>
  <c r="S349" i="1" s="1"/>
  <c r="N735" i="1"/>
  <c r="S735" i="1" s="1"/>
  <c r="N612" i="1"/>
  <c r="S612" i="1" s="1"/>
  <c r="N193" i="1"/>
  <c r="S193" i="1" s="1"/>
  <c r="N486" i="1"/>
  <c r="S486" i="1" s="1"/>
  <c r="N184" i="1"/>
  <c r="S184" i="1" s="1"/>
  <c r="N773" i="1"/>
  <c r="S773" i="1" s="1"/>
  <c r="N358" i="1"/>
  <c r="S358" i="1" s="1"/>
  <c r="N160" i="1"/>
  <c r="S160" i="1" s="1"/>
  <c r="N425" i="1"/>
  <c r="S425" i="1" s="1"/>
  <c r="N404" i="1"/>
  <c r="S404" i="1" s="1"/>
  <c r="N570" i="1"/>
  <c r="S570" i="1" s="1"/>
  <c r="N977" i="1"/>
  <c r="S977" i="1" s="1"/>
  <c r="S976" i="1" s="1"/>
  <c r="N390" i="1"/>
  <c r="S390" i="1" s="1"/>
  <c r="N347" i="1"/>
  <c r="S347" i="1" s="1"/>
  <c r="N631" i="1"/>
  <c r="S631" i="1" s="1"/>
  <c r="N781" i="1"/>
  <c r="S781" i="1" s="1"/>
  <c r="N162" i="1"/>
  <c r="S162" i="1" s="1"/>
  <c r="N811" i="1"/>
  <c r="S811" i="1" s="1"/>
  <c r="N554" i="1"/>
  <c r="S554" i="1" s="1"/>
  <c r="N666" i="1"/>
  <c r="S666" i="1" s="1"/>
  <c r="N259" i="1"/>
  <c r="S259" i="1" s="1"/>
  <c r="N95" i="1"/>
  <c r="S95" i="1" s="1"/>
  <c r="N777" i="1"/>
  <c r="S777" i="1" s="1"/>
  <c r="N616" i="1"/>
  <c r="S616" i="1" s="1"/>
  <c r="N455" i="1"/>
  <c r="S455" i="1" s="1"/>
  <c r="N150" i="1"/>
  <c r="S150" i="1" s="1"/>
  <c r="N806" i="1"/>
  <c r="S806" i="1" s="1"/>
  <c r="N683" i="1"/>
  <c r="S683" i="1" s="1"/>
  <c r="N726" i="1"/>
  <c r="S726" i="1" s="1"/>
  <c r="N460" i="1"/>
  <c r="S460" i="1" s="1"/>
  <c r="N454" i="1"/>
  <c r="S454" i="1" s="1"/>
  <c r="N509" i="1"/>
  <c r="S509" i="1" s="1"/>
  <c r="N610" i="1"/>
  <c r="S610" i="1" s="1"/>
  <c r="N693" i="1"/>
  <c r="S693" i="1" s="1"/>
  <c r="N164" i="1"/>
  <c r="S164" i="1" s="1"/>
  <c r="N251" i="1"/>
  <c r="S251" i="1" s="1"/>
  <c r="N86" i="1"/>
  <c r="S86" i="1" s="1"/>
  <c r="N434" i="1"/>
  <c r="S434" i="1" s="1"/>
  <c r="N602" i="1"/>
  <c r="S602" i="1" s="1"/>
  <c r="N672" i="1"/>
  <c r="S672" i="1" s="1"/>
  <c r="N470" i="1"/>
  <c r="S470" i="1" s="1"/>
  <c r="N293" i="1"/>
  <c r="S293" i="1" s="1"/>
  <c r="N139" i="1"/>
  <c r="S139" i="1" s="1"/>
  <c r="N165" i="1"/>
  <c r="S165" i="1" s="1"/>
  <c r="N774" i="1"/>
  <c r="S774" i="1" s="1"/>
  <c r="N296" i="1"/>
  <c r="S296" i="1" s="1"/>
  <c r="N645" i="1"/>
  <c r="S645" i="1" s="1"/>
  <c r="N263" i="1"/>
  <c r="S263" i="1" s="1"/>
  <c r="N370" i="1"/>
  <c r="S370" i="1" s="1"/>
  <c r="N677" i="1"/>
  <c r="S677" i="1" s="1"/>
  <c r="N782" i="1"/>
  <c r="S782" i="1" s="1"/>
  <c r="N578" i="1"/>
  <c r="S578" i="1" s="1"/>
  <c r="N92" i="1"/>
  <c r="S92" i="1" s="1"/>
  <c r="N269" i="1"/>
  <c r="S269" i="1" s="1"/>
  <c r="N704" i="1"/>
  <c r="S704" i="1" s="1"/>
  <c r="N673" i="1"/>
  <c r="S673" i="1" s="1"/>
  <c r="N170" i="1"/>
  <c r="S170" i="1" s="1"/>
  <c r="N408" i="1"/>
  <c r="S408" i="1" s="1"/>
  <c r="N745" i="1"/>
  <c r="S745" i="1" s="1"/>
  <c r="N722" i="1"/>
  <c r="S722" i="1" s="1"/>
  <c r="N565" i="1"/>
  <c r="S565" i="1" s="1"/>
  <c r="N547" i="1"/>
  <c r="S547" i="1" s="1"/>
  <c r="N178" i="1"/>
  <c r="S178" i="1" s="1"/>
  <c r="N252" i="1"/>
  <c r="S252" i="1" s="1"/>
  <c r="N449" i="1"/>
  <c r="S449" i="1" s="1"/>
  <c r="N590" i="1"/>
  <c r="S590" i="1" s="1"/>
  <c r="N121" i="1"/>
  <c r="S121" i="1" s="1"/>
  <c r="N146" i="1"/>
  <c r="S146" i="1" s="1"/>
  <c r="N731" i="1"/>
  <c r="S731" i="1" s="1"/>
  <c r="N711" i="1"/>
  <c r="S711" i="1" s="1"/>
  <c r="N723" i="1"/>
  <c r="S723" i="1" s="1"/>
  <c r="N457" i="1"/>
  <c r="S457" i="1" s="1"/>
  <c r="N332" i="1"/>
  <c r="S332" i="1" s="1"/>
  <c r="N181" i="1"/>
  <c r="S181" i="1" s="1"/>
  <c r="N651" i="1"/>
  <c r="S651" i="1" s="1"/>
  <c r="N817" i="1"/>
  <c r="S817" i="1" s="1"/>
  <c r="N720" i="1"/>
  <c r="S720" i="1" s="1"/>
  <c r="N499" i="1"/>
  <c r="S499" i="1" s="1"/>
  <c r="N124" i="1"/>
  <c r="S124" i="1" s="1"/>
  <c r="N816" i="1"/>
  <c r="S816" i="1" s="1"/>
  <c r="N271" i="1"/>
  <c r="S271" i="1" s="1"/>
  <c r="N514" i="1"/>
  <c r="S514" i="1" s="1"/>
  <c r="N828" i="1"/>
  <c r="S828" i="1" s="1"/>
  <c r="N688" i="1"/>
  <c r="S688" i="1" s="1"/>
  <c r="N697" i="1"/>
  <c r="S697" i="1" s="1"/>
  <c r="N241" i="1"/>
  <c r="S241" i="1" s="1"/>
  <c r="N830" i="1"/>
  <c r="S830" i="1" s="1"/>
  <c r="N681" i="1"/>
  <c r="S681" i="1" s="1"/>
  <c r="N698" i="1"/>
  <c r="S698" i="1" s="1"/>
  <c r="N214" i="1"/>
  <c r="S214" i="1" s="1"/>
  <c r="N416" i="1"/>
  <c r="S416" i="1" s="1"/>
  <c r="N798" i="1"/>
  <c r="S798" i="1" s="1"/>
  <c r="N572" i="1"/>
  <c r="S572" i="1" s="1"/>
  <c r="N705" i="1"/>
  <c r="S705" i="1" s="1"/>
  <c r="N603" i="1"/>
  <c r="S603" i="1" s="1"/>
  <c r="N669" i="1"/>
  <c r="S669" i="1" s="1"/>
  <c r="N188" i="1"/>
  <c r="S188" i="1" s="1"/>
  <c r="N524" i="1"/>
  <c r="S524" i="1" s="1"/>
  <c r="N797" i="1"/>
  <c r="S797" i="1" s="1"/>
  <c r="N687" i="1"/>
  <c r="S687" i="1" s="1"/>
  <c r="N701" i="1"/>
  <c r="S701" i="1" s="1"/>
  <c r="N769" i="1"/>
  <c r="S769" i="1" s="1"/>
  <c r="N537" i="1"/>
  <c r="S537" i="1" s="1"/>
  <c r="N356" i="1"/>
  <c r="S356" i="1" s="1"/>
  <c r="N192" i="1"/>
  <c r="S192" i="1" s="1"/>
  <c r="N419" i="1"/>
  <c r="S419" i="1" s="1"/>
  <c r="N640" i="1"/>
  <c r="S640" i="1" s="1"/>
  <c r="N800" i="1"/>
  <c r="S800" i="1" s="1"/>
  <c r="N582" i="1"/>
  <c r="S582" i="1" s="1"/>
  <c r="N662" i="1"/>
  <c r="S662" i="1" s="1"/>
  <c r="N424" i="1"/>
  <c r="S424" i="1" s="1"/>
  <c r="N431" i="1"/>
  <c r="S431" i="1" s="1"/>
  <c r="N175" i="1"/>
  <c r="S175" i="1" s="1"/>
  <c r="N593" i="1"/>
  <c r="S593" i="1" s="1"/>
  <c r="N135" i="1"/>
  <c r="S135" i="1" s="1"/>
  <c r="N458" i="1"/>
  <c r="S458" i="1" s="1"/>
  <c r="N129" i="1"/>
  <c r="S129" i="1" s="1"/>
  <c r="N539" i="1"/>
  <c r="S539" i="1" s="1"/>
  <c r="N473" i="1"/>
  <c r="S473" i="1" s="1"/>
  <c r="N369" i="1"/>
  <c r="S369" i="1" s="1"/>
  <c r="N321" i="1"/>
  <c r="S321" i="1" s="1"/>
  <c r="N743" i="1"/>
  <c r="S743" i="1" s="1"/>
  <c r="N671" i="1"/>
  <c r="S671" i="1" s="1"/>
  <c r="N171" i="1"/>
  <c r="S171" i="1" s="1"/>
  <c r="N512" i="1"/>
  <c r="S512" i="1" s="1"/>
  <c r="N308" i="1"/>
  <c r="S308" i="1" s="1"/>
  <c r="N638" i="1"/>
  <c r="S638" i="1" s="1"/>
  <c r="N807" i="1"/>
  <c r="S807" i="1" s="1"/>
  <c r="N667" i="1"/>
  <c r="S667" i="1" s="1"/>
  <c r="N418" i="1"/>
  <c r="S418" i="1" s="1"/>
  <c r="N261" i="1"/>
  <c r="S261" i="1" s="1"/>
  <c r="N453" i="1"/>
  <c r="S453" i="1" s="1"/>
  <c r="N77" i="1"/>
  <c r="S77" i="1" s="1"/>
  <c r="N226" i="1"/>
  <c r="S226" i="1" s="1"/>
  <c r="N464" i="1"/>
  <c r="S464" i="1" s="1"/>
  <c r="N243" i="1"/>
  <c r="S243" i="1" s="1"/>
  <c r="N808" i="1"/>
  <c r="S808" i="1" s="1"/>
  <c r="N220" i="1"/>
  <c r="S220" i="1" s="1"/>
  <c r="N497" i="1"/>
  <c r="S497" i="1" s="1"/>
  <c r="N700" i="1"/>
  <c r="S700" i="1" s="1"/>
  <c r="N103" i="1"/>
  <c r="S103" i="1" s="1"/>
  <c r="N76" i="1"/>
  <c r="S76" i="1" s="1"/>
  <c r="N729" i="1"/>
  <c r="S729" i="1" s="1"/>
  <c r="N402" i="1"/>
  <c r="S402" i="1" s="1"/>
  <c r="N272" i="1"/>
  <c r="S272" i="1" s="1"/>
  <c r="N80" i="1"/>
  <c r="S80" i="1" s="1"/>
  <c r="N831" i="1"/>
  <c r="S831" i="1" s="1"/>
  <c r="N506" i="1"/>
  <c r="S506" i="1" s="1"/>
  <c r="N597" i="1"/>
  <c r="S597" i="1" s="1"/>
  <c r="N198" i="1"/>
  <c r="S198" i="1" s="1"/>
  <c r="N483" i="1"/>
  <c r="S483" i="1" s="1"/>
  <c r="N576" i="1"/>
  <c r="S576" i="1" s="1"/>
  <c r="N707" i="1"/>
  <c r="S707" i="1" s="1"/>
  <c r="N303" i="1"/>
  <c r="S303" i="1" s="1"/>
  <c r="N393" i="1"/>
  <c r="S393" i="1" s="1"/>
  <c r="N107" i="1"/>
  <c r="S107" i="1" s="1"/>
  <c r="N222" i="1"/>
  <c r="S222" i="1" s="1"/>
  <c r="N573" i="1"/>
  <c r="S573" i="1" s="1"/>
  <c r="N250" i="1"/>
  <c r="S250" i="1" s="1"/>
  <c r="N550" i="1"/>
  <c r="S550" i="1" s="1"/>
  <c r="N508" i="1"/>
  <c r="S508" i="1" s="1"/>
  <c r="N202" i="1"/>
  <c r="S202" i="1" s="1"/>
  <c r="N364" i="1"/>
  <c r="S364" i="1" s="1"/>
  <c r="N502" i="1"/>
  <c r="S502" i="1" s="1"/>
  <c r="N278" i="1"/>
  <c r="S278" i="1" s="1"/>
  <c r="N322" i="1"/>
  <c r="S322" i="1" s="1"/>
  <c r="N238" i="1"/>
  <c r="S238" i="1" s="1"/>
  <c r="N211" i="1"/>
  <c r="S211" i="1" s="1"/>
  <c r="N482" i="1"/>
  <c r="S482" i="1" s="1"/>
  <c r="N741" i="1"/>
  <c r="S741" i="1" s="1"/>
  <c r="N709" i="1"/>
  <c r="S709" i="1" s="1"/>
  <c r="N297" i="1"/>
  <c r="S297" i="1" s="1"/>
  <c r="N245" i="1"/>
  <c r="S245" i="1" s="1"/>
  <c r="N97" i="1"/>
  <c r="S97" i="1" s="1"/>
  <c r="N298" i="1"/>
  <c r="S298" i="1" s="1"/>
  <c r="N428" i="1"/>
  <c r="S428" i="1" s="1"/>
  <c r="N658" i="1"/>
  <c r="S658" i="1" s="1"/>
  <c r="N328" i="1"/>
  <c r="S328" i="1" s="1"/>
  <c r="N821" i="1"/>
  <c r="S821" i="1" s="1"/>
  <c r="N742" i="1"/>
  <c r="S742" i="1" s="1"/>
  <c r="N180" i="1"/>
  <c r="S180" i="1" s="1"/>
  <c r="N136" i="1"/>
  <c r="S136" i="1" s="1"/>
  <c r="N561" i="1"/>
  <c r="S561" i="1" s="1"/>
  <c r="N751" i="1"/>
  <c r="S751" i="1" s="1"/>
  <c r="N510" i="1"/>
  <c r="S510" i="1" s="1"/>
  <c r="N204" i="1"/>
  <c r="S204" i="1" s="1"/>
  <c r="N331" i="1"/>
  <c r="S331" i="1" s="1"/>
  <c r="N637" i="1"/>
  <c r="S637" i="1" s="1"/>
  <c r="N606" i="1"/>
  <c r="S606" i="1" s="1"/>
  <c r="N422" i="1"/>
  <c r="S422" i="1" s="1"/>
  <c r="N260" i="1"/>
  <c r="S260" i="1" s="1"/>
  <c r="N545" i="1"/>
  <c r="S545" i="1" s="1"/>
  <c r="N752" i="1"/>
  <c r="S752" i="1" s="1"/>
  <c r="N451" i="1"/>
  <c r="S451" i="1" s="1"/>
  <c r="N461" i="1"/>
  <c r="S461" i="1" s="1"/>
  <c r="N147" i="1"/>
  <c r="S147" i="1" s="1"/>
  <c r="N186" i="1"/>
  <c r="S186" i="1" s="1"/>
  <c r="N279" i="1"/>
  <c r="S279" i="1" s="1"/>
  <c r="N538" i="1"/>
  <c r="S538" i="1" s="1"/>
  <c r="N724" i="1"/>
  <c r="S724" i="1" s="1"/>
  <c r="N495" i="1"/>
  <c r="S495" i="1" s="1"/>
  <c r="N253" i="1"/>
  <c r="S253" i="1" s="1"/>
  <c r="N249" i="1"/>
  <c r="S249" i="1" s="1"/>
  <c r="N469" i="1"/>
  <c r="S469" i="1" s="1"/>
  <c r="N138" i="1"/>
  <c r="S138" i="1" s="1"/>
  <c r="N801" i="1"/>
  <c r="S801" i="1" s="1"/>
  <c r="N61" i="1"/>
  <c r="S61" i="1" s="1"/>
  <c r="S60" i="1" s="1"/>
  <c r="K15" i="139"/>
  <c r="K18" i="139"/>
  <c r="K14" i="139"/>
  <c r="K19" i="139"/>
  <c r="K17" i="139"/>
  <c r="K20" i="139"/>
  <c r="K16" i="139"/>
  <c r="K13" i="139"/>
  <c r="N53" i="1"/>
  <c r="S53" i="1" s="1"/>
  <c r="S52" i="1" s="1"/>
  <c r="J37" i="142"/>
  <c r="M37" i="142" s="1"/>
  <c r="M35" i="142" s="1"/>
  <c r="J40" i="142"/>
  <c r="M40" i="142" s="1"/>
  <c r="M39" i="142" s="1"/>
  <c r="J60" i="142"/>
  <c r="M60" i="142" s="1"/>
  <c r="J29" i="142"/>
  <c r="M29" i="142" s="1"/>
  <c r="M27" i="142" s="1"/>
  <c r="J54" i="142"/>
  <c r="M54" i="142" s="1"/>
  <c r="M53" i="142" s="1"/>
  <c r="J61" i="142"/>
  <c r="M61" i="142" s="1"/>
  <c r="J51" i="142"/>
  <c r="J24" i="142"/>
  <c r="M24" i="142" s="1"/>
  <c r="J23" i="142"/>
  <c r="M23" i="142" s="1"/>
  <c r="J21" i="142"/>
  <c r="M21" i="142" s="1"/>
  <c r="J17" i="142"/>
  <c r="M17" i="142" s="1"/>
  <c r="J20" i="142"/>
  <c r="M20" i="142" s="1"/>
  <c r="B12" i="141"/>
  <c r="B17" i="151" s="1"/>
  <c r="B13" i="141"/>
  <c r="B18" i="151" s="1"/>
  <c r="B14" i="141"/>
  <c r="B19" i="151" s="1"/>
  <c r="B15" i="141"/>
  <c r="B16" i="141"/>
  <c r="B17" i="141"/>
  <c r="B18" i="141"/>
  <c r="B19" i="141"/>
  <c r="B20" i="141"/>
  <c r="B55" i="151" s="1"/>
  <c r="B21" i="141"/>
  <c r="B22" i="141"/>
  <c r="B23" i="141"/>
  <c r="B24" i="141"/>
  <c r="B26" i="141"/>
  <c r="B11" i="141"/>
  <c r="B16" i="151" s="1"/>
  <c r="K72" i="1"/>
  <c r="M72" i="1" s="1"/>
  <c r="J72" i="1"/>
  <c r="L72" i="1" s="1"/>
  <c r="K71" i="1"/>
  <c r="M71" i="1" s="1"/>
  <c r="J71" i="1"/>
  <c r="L71" i="1" s="1"/>
  <c r="K70" i="1"/>
  <c r="M70" i="1" s="1"/>
  <c r="J70" i="1"/>
  <c r="L70" i="1" s="1"/>
  <c r="R836" i="1" l="1"/>
  <c r="J31" i="142"/>
  <c r="G17" i="1" s="1"/>
  <c r="J17" i="1" s="1"/>
  <c r="L17" i="1" s="1"/>
  <c r="N17" i="1" s="1"/>
  <c r="S17" i="1" s="1"/>
  <c r="M33" i="142"/>
  <c r="M31" i="142" s="1"/>
  <c r="J48" i="142"/>
  <c r="M51" i="142"/>
  <c r="M48" i="142" s="1"/>
  <c r="S37" i="1"/>
  <c r="R151" i="1"/>
  <c r="R73" i="1"/>
  <c r="S600" i="1"/>
  <c r="S702" i="1"/>
  <c r="S587" i="1"/>
  <c r="S675" i="1"/>
  <c r="S727" i="1"/>
  <c r="S568" i="1"/>
  <c r="S34" i="1"/>
  <c r="S33" i="1" s="1"/>
  <c r="S659" i="1"/>
  <c r="S68" i="1"/>
  <c r="S64" i="1" s="1"/>
  <c r="S535" i="1"/>
  <c r="S559" i="1"/>
  <c r="J35" i="142"/>
  <c r="G18" i="1" s="1"/>
  <c r="J11" i="142"/>
  <c r="M19" i="142"/>
  <c r="N33" i="1"/>
  <c r="N40" i="1"/>
  <c r="N48" i="1"/>
  <c r="N50" i="1"/>
  <c r="N44" i="1"/>
  <c r="N35" i="1"/>
  <c r="N56" i="1"/>
  <c r="N62" i="1"/>
  <c r="N60" i="1"/>
  <c r="N54" i="1"/>
  <c r="N46" i="1"/>
  <c r="N52" i="1"/>
  <c r="N58" i="1"/>
  <c r="N976" i="1"/>
  <c r="N42" i="1"/>
  <c r="J53" i="142"/>
  <c r="N64" i="1"/>
  <c r="M32" i="1"/>
  <c r="N37" i="1"/>
  <c r="L69" i="1"/>
  <c r="L534" i="1"/>
  <c r="M534" i="1"/>
  <c r="M69" i="1"/>
  <c r="L32" i="1"/>
  <c r="M73" i="1"/>
  <c r="N600" i="1"/>
  <c r="N587" i="1"/>
  <c r="N568" i="1"/>
  <c r="N559" i="1"/>
  <c r="N535" i="1"/>
  <c r="B21" i="151"/>
  <c r="B22" i="151"/>
  <c r="B31" i="151"/>
  <c r="B48" i="151"/>
  <c r="B39" i="151"/>
  <c r="B57" i="151"/>
  <c r="B66" i="151"/>
  <c r="B20" i="151"/>
  <c r="B30" i="151"/>
  <c r="B38" i="151"/>
  <c r="B65" i="151"/>
  <c r="B47" i="151"/>
  <c r="B56" i="151"/>
  <c r="B32" i="151"/>
  <c r="B49" i="151"/>
  <c r="B58" i="151"/>
  <c r="B40" i="151"/>
  <c r="B67" i="151"/>
  <c r="B29" i="151"/>
  <c r="B28" i="151"/>
  <c r="B46" i="151"/>
  <c r="B64" i="151"/>
  <c r="B27" i="151"/>
  <c r="B63" i="151"/>
  <c r="B37" i="151"/>
  <c r="B54" i="151"/>
  <c r="B45" i="151"/>
  <c r="B26" i="151"/>
  <c r="B44" i="151"/>
  <c r="B36" i="151"/>
  <c r="B53" i="151"/>
  <c r="B62" i="151"/>
  <c r="B25" i="151"/>
  <c r="B43" i="151"/>
  <c r="B35" i="151"/>
  <c r="B52" i="151"/>
  <c r="B61" i="151"/>
  <c r="B24" i="151"/>
  <c r="B60" i="151"/>
  <c r="B34" i="151"/>
  <c r="B42" i="151"/>
  <c r="B51" i="151"/>
  <c r="J27" i="142"/>
  <c r="N702" i="1"/>
  <c r="N659" i="1"/>
  <c r="N675" i="1"/>
  <c r="N727" i="1"/>
  <c r="J19" i="142"/>
  <c r="K12" i="139"/>
  <c r="J39" i="142"/>
  <c r="G21" i="1"/>
  <c r="N72" i="1"/>
  <c r="S72" i="1" s="1"/>
  <c r="N71" i="1"/>
  <c r="S71" i="1" s="1"/>
  <c r="N70" i="1"/>
  <c r="S70" i="1" s="1"/>
  <c r="K980" i="1"/>
  <c r="M980" i="1" s="1"/>
  <c r="J980" i="1"/>
  <c r="L980" i="1" s="1"/>
  <c r="K979" i="1"/>
  <c r="M979" i="1" s="1"/>
  <c r="J979" i="1"/>
  <c r="L979" i="1" s="1"/>
  <c r="K28" i="1"/>
  <c r="M28" i="1" s="1"/>
  <c r="J28" i="1"/>
  <c r="L28" i="1" s="1"/>
  <c r="K27" i="1"/>
  <c r="M27" i="1" s="1"/>
  <c r="K234" i="1"/>
  <c r="M234" i="1" s="1"/>
  <c r="K855" i="1"/>
  <c r="M855" i="1" s="1"/>
  <c r="K854" i="1"/>
  <c r="M854" i="1" s="1"/>
  <c r="K853" i="1"/>
  <c r="M853" i="1" s="1"/>
  <c r="K852" i="1"/>
  <c r="M852" i="1" s="1"/>
  <c r="K851" i="1"/>
  <c r="M851" i="1" s="1"/>
  <c r="K850" i="1"/>
  <c r="M850" i="1" s="1"/>
  <c r="K849" i="1"/>
  <c r="M849" i="1" s="1"/>
  <c r="J848" i="1"/>
  <c r="L848" i="1" s="1"/>
  <c r="K847" i="1"/>
  <c r="M847" i="1" s="1"/>
  <c r="K846" i="1"/>
  <c r="M846" i="1" s="1"/>
  <c r="J845" i="1"/>
  <c r="L845" i="1" s="1"/>
  <c r="K844" i="1"/>
  <c r="M844" i="1" s="1"/>
  <c r="J844" i="1"/>
  <c r="L844" i="1" s="1"/>
  <c r="K843" i="1"/>
  <c r="M843" i="1" s="1"/>
  <c r="J843" i="1"/>
  <c r="L843" i="1" s="1"/>
  <c r="K842" i="1"/>
  <c r="M842" i="1" s="1"/>
  <c r="J842" i="1"/>
  <c r="L842" i="1" s="1"/>
  <c r="K841" i="1"/>
  <c r="M841" i="1" s="1"/>
  <c r="J841" i="1"/>
  <c r="L841" i="1" s="1"/>
  <c r="K840" i="1"/>
  <c r="M840" i="1" s="1"/>
  <c r="J840" i="1"/>
  <c r="L840" i="1" s="1"/>
  <c r="K839" i="1"/>
  <c r="M839" i="1" s="1"/>
  <c r="J839" i="1"/>
  <c r="L839" i="1" s="1"/>
  <c r="K838" i="1"/>
  <c r="M838" i="1" s="1"/>
  <c r="J838" i="1"/>
  <c r="L838" i="1" s="1"/>
  <c r="K795" i="1"/>
  <c r="M795" i="1" s="1"/>
  <c r="K794" i="1"/>
  <c r="M794" i="1" s="1"/>
  <c r="K793" i="1"/>
  <c r="M793" i="1" s="1"/>
  <c r="J793" i="1"/>
  <c r="L793" i="1" s="1"/>
  <c r="K792" i="1"/>
  <c r="M792" i="1" s="1"/>
  <c r="J792" i="1"/>
  <c r="L792" i="1" s="1"/>
  <c r="K791" i="1"/>
  <c r="M791" i="1" s="1"/>
  <c r="J791" i="1"/>
  <c r="L791" i="1" s="1"/>
  <c r="K790" i="1"/>
  <c r="M790" i="1" s="1"/>
  <c r="J790" i="1"/>
  <c r="L790" i="1" s="1"/>
  <c r="K789" i="1"/>
  <c r="M789" i="1" s="1"/>
  <c r="J789" i="1"/>
  <c r="L789" i="1" s="1"/>
  <c r="K788" i="1"/>
  <c r="M788" i="1" s="1"/>
  <c r="J788" i="1"/>
  <c r="L788" i="1" s="1"/>
  <c r="K787" i="1"/>
  <c r="M787" i="1" s="1"/>
  <c r="J787" i="1"/>
  <c r="L787" i="1" s="1"/>
  <c r="K786" i="1"/>
  <c r="M786" i="1" s="1"/>
  <c r="J786" i="1"/>
  <c r="L786" i="1" s="1"/>
  <c r="K759" i="1"/>
  <c r="M759" i="1" s="1"/>
  <c r="J759" i="1"/>
  <c r="L759" i="1" s="1"/>
  <c r="J646" i="1"/>
  <c r="L646" i="1" s="1"/>
  <c r="J630" i="1"/>
  <c r="L630" i="1" s="1"/>
  <c r="J629" i="1"/>
  <c r="L629" i="1" s="1"/>
  <c r="J628" i="1"/>
  <c r="L628" i="1" s="1"/>
  <c r="J626" i="1"/>
  <c r="L626" i="1" s="1"/>
  <c r="K625" i="1"/>
  <c r="M625" i="1" s="1"/>
  <c r="J625" i="1"/>
  <c r="L625" i="1" s="1"/>
  <c r="K21" i="1"/>
  <c r="M21" i="1" s="1"/>
  <c r="K19" i="1"/>
  <c r="M19" i="1" s="1"/>
  <c r="K18" i="1"/>
  <c r="M18" i="1" s="1"/>
  <c r="K16" i="1"/>
  <c r="M16" i="1" s="1"/>
  <c r="K15" i="1"/>
  <c r="M15" i="1" s="1"/>
  <c r="K31" i="1"/>
  <c r="M31" i="1" s="1"/>
  <c r="K30" i="1"/>
  <c r="M30" i="1" s="1"/>
  <c r="R981" i="1" l="1"/>
  <c r="S32" i="1"/>
  <c r="S534" i="1"/>
  <c r="S69" i="1"/>
  <c r="J18" i="1"/>
  <c r="L18" i="1" s="1"/>
  <c r="N18" i="1" s="1"/>
  <c r="S18" i="1" s="1"/>
  <c r="J21" i="1"/>
  <c r="L21" i="1" s="1"/>
  <c r="N21" i="1" s="1"/>
  <c r="S21" i="1" s="1"/>
  <c r="M29" i="1"/>
  <c r="M23" i="1"/>
  <c r="N32" i="1"/>
  <c r="C63" i="151"/>
  <c r="AL63" i="151" s="1"/>
  <c r="C26" i="151"/>
  <c r="N26" i="151" s="1"/>
  <c r="C45" i="151"/>
  <c r="AL45" i="151" s="1"/>
  <c r="C36" i="151"/>
  <c r="AF36" i="151" s="1"/>
  <c r="C44" i="151"/>
  <c r="V44" i="151" s="1"/>
  <c r="C54" i="151"/>
  <c r="AJ54" i="151" s="1"/>
  <c r="C53" i="151"/>
  <c r="N53" i="151" s="1"/>
  <c r="C37" i="151"/>
  <c r="AJ37" i="151" s="1"/>
  <c r="C62" i="151"/>
  <c r="Z62" i="151" s="1"/>
  <c r="G30" i="1"/>
  <c r="G22" i="1"/>
  <c r="G16" i="1"/>
  <c r="M785" i="1"/>
  <c r="M784" i="1" s="1"/>
  <c r="L758" i="1"/>
  <c r="L755" i="1" s="1"/>
  <c r="M758" i="1"/>
  <c r="M755" i="1" s="1"/>
  <c r="M152" i="1"/>
  <c r="M151" i="1" s="1"/>
  <c r="L978" i="1"/>
  <c r="M13" i="1"/>
  <c r="M978" i="1"/>
  <c r="N534" i="1"/>
  <c r="G15" i="1"/>
  <c r="G19" i="1"/>
  <c r="N69" i="1"/>
  <c r="G14" i="1"/>
  <c r="N789" i="1"/>
  <c r="S789" i="1" s="1"/>
  <c r="N793" i="1"/>
  <c r="S793" i="1" s="1"/>
  <c r="N841" i="1"/>
  <c r="S841" i="1" s="1"/>
  <c r="N625" i="1"/>
  <c r="S625" i="1" s="1"/>
  <c r="N786" i="1"/>
  <c r="S786" i="1" s="1"/>
  <c r="N788" i="1"/>
  <c r="S788" i="1" s="1"/>
  <c r="N790" i="1"/>
  <c r="S790" i="1" s="1"/>
  <c r="N792" i="1"/>
  <c r="S792" i="1" s="1"/>
  <c r="N838" i="1"/>
  <c r="S838" i="1" s="1"/>
  <c r="N840" i="1"/>
  <c r="S840" i="1" s="1"/>
  <c r="N842" i="1"/>
  <c r="S842" i="1" s="1"/>
  <c r="N844" i="1"/>
  <c r="S844" i="1" s="1"/>
  <c r="N979" i="1"/>
  <c r="S979" i="1" s="1"/>
  <c r="N980" i="1"/>
  <c r="S980" i="1" s="1"/>
  <c r="N759" i="1"/>
  <c r="S759" i="1" s="1"/>
  <c r="S758" i="1" s="1"/>
  <c r="S755" i="1" s="1"/>
  <c r="N787" i="1"/>
  <c r="S787" i="1" s="1"/>
  <c r="N791" i="1"/>
  <c r="S791" i="1" s="1"/>
  <c r="N839" i="1"/>
  <c r="S839" i="1" s="1"/>
  <c r="N843" i="1"/>
  <c r="S843" i="1" s="1"/>
  <c r="N28" i="1"/>
  <c r="S28" i="1" s="1"/>
  <c r="S978" i="1" l="1"/>
  <c r="J30" i="1"/>
  <c r="L30" i="1" s="1"/>
  <c r="N30" i="1" s="1"/>
  <c r="S30" i="1" s="1"/>
  <c r="J14" i="1"/>
  <c r="L14" i="1" s="1"/>
  <c r="N14" i="1" s="1"/>
  <c r="S14" i="1" s="1"/>
  <c r="J22" i="1"/>
  <c r="L22" i="1" s="1"/>
  <c r="N22" i="1" s="1"/>
  <c r="S22" i="1" s="1"/>
  <c r="J15" i="1"/>
  <c r="L15" i="1" s="1"/>
  <c r="N15" i="1" s="1"/>
  <c r="S15" i="1" s="1"/>
  <c r="J16" i="1"/>
  <c r="L16" i="1" s="1"/>
  <c r="N16" i="1" s="1"/>
  <c r="S16" i="1" s="1"/>
  <c r="J19" i="1"/>
  <c r="L19" i="1" s="1"/>
  <c r="N19" i="1" s="1"/>
  <c r="S19" i="1" s="1"/>
  <c r="AJ44" i="151"/>
  <c r="AP44" i="151"/>
  <c r="T54" i="151"/>
  <c r="P54" i="151"/>
  <c r="F54" i="151"/>
  <c r="N54" i="151"/>
  <c r="R54" i="151"/>
  <c r="J54" i="151"/>
  <c r="AR54" i="151"/>
  <c r="AP54" i="151"/>
  <c r="AL54" i="151"/>
  <c r="Z54" i="151"/>
  <c r="X54" i="151"/>
  <c r="AH54" i="151"/>
  <c r="AD62" i="151"/>
  <c r="H54" i="151"/>
  <c r="AD54" i="151"/>
  <c r="AN54" i="151"/>
  <c r="AF53" i="151"/>
  <c r="AT54" i="151"/>
  <c r="J53" i="151"/>
  <c r="AB54" i="151"/>
  <c r="X53" i="151"/>
  <c r="L54" i="151"/>
  <c r="L62" i="151"/>
  <c r="P62" i="151"/>
  <c r="AF54" i="151"/>
  <c r="AR37" i="151"/>
  <c r="T37" i="151"/>
  <c r="AD36" i="151"/>
  <c r="AD53" i="151"/>
  <c r="J62" i="151"/>
  <c r="H37" i="151"/>
  <c r="R44" i="151"/>
  <c r="T53" i="151"/>
  <c r="T44" i="151"/>
  <c r="V45" i="151"/>
  <c r="J44" i="151"/>
  <c r="H45" i="151"/>
  <c r="X44" i="151"/>
  <c r="P44" i="151"/>
  <c r="AF44" i="151"/>
  <c r="AT44" i="151"/>
  <c r="AJ26" i="151"/>
  <c r="AH62" i="151"/>
  <c r="AP26" i="151"/>
  <c r="AF62" i="151"/>
  <c r="V63" i="151"/>
  <c r="AH26" i="151"/>
  <c r="J37" i="151"/>
  <c r="AH45" i="151"/>
  <c r="P53" i="151"/>
  <c r="H44" i="151"/>
  <c r="AD26" i="151"/>
  <c r="R45" i="151"/>
  <c r="AR44" i="151"/>
  <c r="AJ53" i="151"/>
  <c r="L53" i="151"/>
  <c r="AN26" i="151"/>
  <c r="F37" i="151"/>
  <c r="AH53" i="151"/>
  <c r="R53" i="151"/>
  <c r="F44" i="151"/>
  <c r="AF26" i="151"/>
  <c r="N45" i="151"/>
  <c r="AB44" i="151"/>
  <c r="L44" i="151"/>
  <c r="AT36" i="151"/>
  <c r="AN44" i="151"/>
  <c r="AB53" i="151"/>
  <c r="N44" i="151"/>
  <c r="F63" i="151"/>
  <c r="AL44" i="151"/>
  <c r="R37" i="151"/>
  <c r="AD37" i="151"/>
  <c r="X37" i="151"/>
  <c r="Z37" i="151"/>
  <c r="AR36" i="151"/>
  <c r="AB37" i="151"/>
  <c r="AP53" i="151"/>
  <c r="V54" i="151"/>
  <c r="Z44" i="151"/>
  <c r="L26" i="151"/>
  <c r="R62" i="151"/>
  <c r="P26" i="151"/>
  <c r="J36" i="151"/>
  <c r="AJ63" i="151"/>
  <c r="AT37" i="151"/>
  <c r="N36" i="151"/>
  <c r="AF45" i="151"/>
  <c r="AF37" i="151"/>
  <c r="V53" i="151"/>
  <c r="X62" i="151"/>
  <c r="R26" i="151"/>
  <c r="F36" i="151"/>
  <c r="P45" i="151"/>
  <c r="Z45" i="151"/>
  <c r="AN53" i="151"/>
  <c r="AH37" i="151"/>
  <c r="T36" i="151"/>
  <c r="AR26" i="151"/>
  <c r="AT26" i="151"/>
  <c r="X45" i="151"/>
  <c r="AD45" i="151"/>
  <c r="R36" i="151"/>
  <c r="T26" i="151"/>
  <c r="H36" i="151"/>
  <c r="T45" i="151"/>
  <c r="AR45" i="151"/>
  <c r="AP45" i="151"/>
  <c r="F26" i="151"/>
  <c r="AN36" i="151"/>
  <c r="AN37" i="151"/>
  <c r="AN45" i="151"/>
  <c r="H53" i="151"/>
  <c r="AT53" i="151"/>
  <c r="AR62" i="151"/>
  <c r="J26" i="151"/>
  <c r="Z26" i="151"/>
  <c r="AL36" i="151"/>
  <c r="AL37" i="151"/>
  <c r="AT45" i="151"/>
  <c r="V37" i="151"/>
  <c r="AB45" i="151"/>
  <c r="AJ36" i="151"/>
  <c r="Z63" i="151"/>
  <c r="L36" i="151"/>
  <c r="AN62" i="151"/>
  <c r="H26" i="151"/>
  <c r="V26" i="151"/>
  <c r="X36" i="151"/>
  <c r="L45" i="151"/>
  <c r="AP62" i="151"/>
  <c r="X26" i="151"/>
  <c r="F45" i="151"/>
  <c r="N37" i="151"/>
  <c r="AB36" i="151"/>
  <c r="F53" i="151"/>
  <c r="F62" i="151"/>
  <c r="AL26" i="151"/>
  <c r="AB26" i="151"/>
  <c r="AP36" i="151"/>
  <c r="AP37" i="151"/>
  <c r="J45" i="151"/>
  <c r="L37" i="151"/>
  <c r="AJ45" i="151"/>
  <c r="AH36" i="151"/>
  <c r="L63" i="151"/>
  <c r="AJ62" i="151"/>
  <c r="AB62" i="151"/>
  <c r="T63" i="151"/>
  <c r="AF63" i="151"/>
  <c r="AL53" i="151"/>
  <c r="H63" i="151"/>
  <c r="AN63" i="151"/>
  <c r="J63" i="151"/>
  <c r="AP63" i="151"/>
  <c r="AR63" i="151"/>
  <c r="N63" i="151"/>
  <c r="Z53" i="151"/>
  <c r="N62" i="151"/>
  <c r="AT62" i="151"/>
  <c r="R63" i="151"/>
  <c r="AT63" i="151"/>
  <c r="AD44" i="151"/>
  <c r="P37" i="151"/>
  <c r="AR53" i="151"/>
  <c r="N758" i="1"/>
  <c r="N755" i="1" s="1"/>
  <c r="T62" i="151"/>
  <c r="AB63" i="151"/>
  <c r="AH44" i="151"/>
  <c r="P36" i="151"/>
  <c r="Z36" i="151"/>
  <c r="H62" i="151"/>
  <c r="V62" i="151"/>
  <c r="P63" i="151"/>
  <c r="AD63" i="151"/>
  <c r="AH63" i="151"/>
  <c r="AL62" i="151"/>
  <c r="X63" i="151"/>
  <c r="V36" i="151"/>
  <c r="C20" i="151"/>
  <c r="N978" i="1"/>
  <c r="C15" i="141"/>
  <c r="L13" i="1" l="1"/>
  <c r="S13" i="1"/>
  <c r="C46" i="151"/>
  <c r="AH46" i="151" s="1"/>
  <c r="N13" i="1"/>
  <c r="C16" i="151" s="1"/>
  <c r="C21" i="151"/>
  <c r="C25" i="141"/>
  <c r="AP20" i="151"/>
  <c r="AH20" i="151"/>
  <c r="Z20" i="151"/>
  <c r="R20" i="151"/>
  <c r="J20" i="151"/>
  <c r="AR20" i="151"/>
  <c r="AJ20" i="151"/>
  <c r="AB20" i="151"/>
  <c r="T20" i="151"/>
  <c r="L20" i="151"/>
  <c r="AN20" i="151"/>
  <c r="AF20" i="151"/>
  <c r="X20" i="151"/>
  <c r="P20" i="151"/>
  <c r="H20" i="151"/>
  <c r="AT20" i="151"/>
  <c r="AL20" i="151"/>
  <c r="AD20" i="151"/>
  <c r="V20" i="151"/>
  <c r="N20" i="151"/>
  <c r="F20" i="151"/>
  <c r="C22" i="151"/>
  <c r="AB46" i="151" l="1"/>
  <c r="Z46" i="151"/>
  <c r="V46" i="151"/>
  <c r="R46" i="151"/>
  <c r="N46" i="151"/>
  <c r="AT46" i="151"/>
  <c r="H46" i="151"/>
  <c r="AR46" i="151"/>
  <c r="AJ46" i="151"/>
  <c r="F46" i="151"/>
  <c r="AP46" i="151"/>
  <c r="J46" i="151"/>
  <c r="T46" i="151"/>
  <c r="AN46" i="151"/>
  <c r="L46" i="151"/>
  <c r="AD46" i="151"/>
  <c r="P46" i="151"/>
  <c r="AL46" i="151"/>
  <c r="X46" i="151"/>
  <c r="AF46" i="151"/>
  <c r="C11" i="141"/>
  <c r="AR21" i="151"/>
  <c r="AF21" i="151"/>
  <c r="Z21" i="151"/>
  <c r="N21" i="151"/>
  <c r="AT21" i="151"/>
  <c r="X21" i="151"/>
  <c r="AH21" i="151"/>
  <c r="AD21" i="151"/>
  <c r="AB21" i="151"/>
  <c r="AN21" i="151"/>
  <c r="AP21" i="151"/>
  <c r="AL21" i="151"/>
  <c r="AJ21" i="151"/>
  <c r="H21" i="151"/>
  <c r="J21" i="151"/>
  <c r="F21" i="151"/>
  <c r="L21" i="151"/>
  <c r="V21" i="151"/>
  <c r="T21" i="151"/>
  <c r="P21" i="151"/>
  <c r="R21" i="151"/>
  <c r="AT22" i="151"/>
  <c r="AL22" i="151"/>
  <c r="AD22" i="151"/>
  <c r="V22" i="151"/>
  <c r="N22" i="151"/>
  <c r="F22" i="151"/>
  <c r="AN22" i="151"/>
  <c r="AF22" i="151"/>
  <c r="X22" i="151"/>
  <c r="P22" i="151"/>
  <c r="H22" i="151"/>
  <c r="AR22" i="151"/>
  <c r="AJ22" i="151"/>
  <c r="AB22" i="151"/>
  <c r="T22" i="151"/>
  <c r="L22" i="151"/>
  <c r="AP22" i="151"/>
  <c r="AH22" i="151"/>
  <c r="Z22" i="151"/>
  <c r="R22" i="151"/>
  <c r="J22" i="151"/>
  <c r="C19" i="151"/>
  <c r="K421" i="128"/>
  <c r="AN19" i="151" l="1"/>
  <c r="AF19" i="151"/>
  <c r="X19" i="151"/>
  <c r="P19" i="151"/>
  <c r="H19" i="151"/>
  <c r="AP19" i="151"/>
  <c r="AH19" i="151"/>
  <c r="Z19" i="151"/>
  <c r="R19" i="151"/>
  <c r="J19" i="151"/>
  <c r="AT19" i="151"/>
  <c r="AL19" i="151"/>
  <c r="AD19" i="151"/>
  <c r="V19" i="151"/>
  <c r="N19" i="151"/>
  <c r="F19" i="151"/>
  <c r="AR19" i="151"/>
  <c r="AJ19" i="151"/>
  <c r="AB19" i="151"/>
  <c r="T19" i="151"/>
  <c r="L19" i="151"/>
  <c r="C14" i="141"/>
  <c r="K171" i="128" l="1"/>
  <c r="K167" i="128"/>
  <c r="K160" i="128"/>
  <c r="K156" i="128"/>
  <c r="K150" i="128" l="1"/>
  <c r="K152" i="128" l="1"/>
  <c r="K161" i="128" s="1"/>
  <c r="K163" i="128" s="1"/>
  <c r="K148" i="128" s="1"/>
  <c r="G274" i="128" s="1"/>
  <c r="G221" i="128" l="1"/>
  <c r="G248" i="128"/>
  <c r="G143" i="128"/>
  <c r="G195" i="128"/>
  <c r="K248" i="128" l="1"/>
  <c r="K250" i="128" s="1"/>
  <c r="K437" i="128" l="1"/>
  <c r="K439" i="128" s="1"/>
  <c r="K433" i="128"/>
  <c r="K434" i="128"/>
  <c r="K432" i="128"/>
  <c r="K422" i="128"/>
  <c r="K423" i="128" s="1"/>
  <c r="K425" i="128" s="1"/>
  <c r="K427" i="128" s="1"/>
  <c r="K492" i="128"/>
  <c r="K493" i="128"/>
  <c r="K491" i="128"/>
  <c r="K487" i="128"/>
  <c r="K489" i="128" s="1"/>
  <c r="K475" i="128"/>
  <c r="K476" i="128"/>
  <c r="K477" i="128"/>
  <c r="K460" i="128"/>
  <c r="K459" i="128"/>
  <c r="K454" i="128"/>
  <c r="K449" i="128"/>
  <c r="K448" i="128"/>
  <c r="K446" i="128"/>
  <c r="K471" i="128"/>
  <c r="K470" i="128"/>
  <c r="K435" i="128" l="1"/>
  <c r="K461" i="128"/>
  <c r="K494" i="128"/>
  <c r="K472" i="128"/>
  <c r="K474" i="128"/>
  <c r="K419" i="128"/>
  <c r="K428" i="128" s="1"/>
  <c r="K430" i="128" s="1"/>
  <c r="K450" i="128"/>
  <c r="K455" i="128" s="1"/>
  <c r="K457" i="128" s="1"/>
  <c r="K415" i="128" l="1"/>
  <c r="K478" i="128"/>
  <c r="K480" i="128" s="1"/>
  <c r="K482" i="128" s="1"/>
  <c r="K483" i="128" s="1"/>
  <c r="K485" i="128" s="1"/>
  <c r="K468" i="128" s="1"/>
  <c r="G413" i="1" l="1"/>
  <c r="J413" i="1" s="1"/>
  <c r="L413" i="1" s="1"/>
  <c r="N413" i="1" s="1"/>
  <c r="S413" i="1" s="1"/>
  <c r="G360" i="1"/>
  <c r="J360" i="1" s="1"/>
  <c r="L360" i="1" s="1"/>
  <c r="N360" i="1" s="1"/>
  <c r="S360" i="1" s="1"/>
  <c r="G276" i="1"/>
  <c r="J276" i="1" s="1"/>
  <c r="L276" i="1" s="1"/>
  <c r="N276" i="1" s="1"/>
  <c r="S276" i="1" s="1"/>
  <c r="G218" i="1"/>
  <c r="J218" i="1" s="1"/>
  <c r="L218" i="1" s="1"/>
  <c r="N218" i="1" s="1"/>
  <c r="S218" i="1" s="1"/>
  <c r="G504" i="1"/>
  <c r="J504" i="1" s="1"/>
  <c r="L504" i="1" s="1"/>
  <c r="N504" i="1" s="1"/>
  <c r="S504" i="1" s="1"/>
  <c r="G447" i="1"/>
  <c r="J447" i="1" s="1"/>
  <c r="L447" i="1" s="1"/>
  <c r="N447" i="1" s="1"/>
  <c r="S447" i="1" s="1"/>
  <c r="G291" i="1"/>
  <c r="J291" i="1" s="1"/>
  <c r="L291" i="1" s="1"/>
  <c r="N291" i="1" s="1"/>
  <c r="S291" i="1" s="1"/>
  <c r="G158" i="1"/>
  <c r="J158" i="1" s="1"/>
  <c r="L158" i="1" s="1"/>
  <c r="N158" i="1" s="1"/>
  <c r="S158" i="1" s="1"/>
  <c r="G191" i="128"/>
  <c r="G139" i="128"/>
  <c r="G217" i="128"/>
  <c r="K331" i="128" l="1"/>
  <c r="K325" i="128"/>
  <c r="K313" i="128"/>
  <c r="K312" i="128"/>
  <c r="K308" i="128"/>
  <c r="K307" i="128"/>
  <c r="K309" i="128" l="1"/>
  <c r="K324" i="128"/>
  <c r="K311" i="128"/>
  <c r="K314" i="128" s="1"/>
  <c r="K316" i="128" s="1"/>
  <c r="K318" i="128" s="1"/>
  <c r="K326" i="128"/>
  <c r="K323" i="128"/>
  <c r="K327" i="128" l="1"/>
  <c r="K319" i="128"/>
  <c r="K321" i="128" l="1"/>
  <c r="K305" i="128" s="1"/>
  <c r="G185" i="1" l="1"/>
  <c r="J185" i="1" s="1"/>
  <c r="L185" i="1" s="1"/>
  <c r="N185" i="1" s="1"/>
  <c r="S185" i="1" s="1"/>
  <c r="G254" i="1"/>
  <c r="J254" i="1" s="1"/>
  <c r="L254" i="1" s="1"/>
  <c r="G262" i="1"/>
  <c r="J262" i="1" s="1"/>
  <c r="L262" i="1" s="1"/>
  <c r="N262" i="1" s="1"/>
  <c r="S262" i="1" s="1"/>
  <c r="G397" i="1"/>
  <c r="J397" i="1" s="1"/>
  <c r="L397" i="1" s="1"/>
  <c r="G1182" i="128"/>
  <c r="G1258" i="128"/>
  <c r="G1232" i="128"/>
  <c r="G1207" i="128"/>
  <c r="G1338" i="128"/>
  <c r="N397" i="1" l="1"/>
  <c r="S397" i="1" s="1"/>
  <c r="N254" i="1"/>
  <c r="S254" i="1" s="1"/>
  <c r="K300" i="128"/>
  <c r="K463" i="128" l="1"/>
  <c r="K465" i="128" s="1"/>
  <c r="K442" i="128" s="1"/>
  <c r="K274" i="128"/>
  <c r="K63" i="128"/>
  <c r="G289" i="1" l="1"/>
  <c r="J289" i="1" s="1"/>
  <c r="L289" i="1" s="1"/>
  <c r="N289" i="1" s="1"/>
  <c r="S289" i="1" s="1"/>
  <c r="G445" i="1"/>
  <c r="J445" i="1" s="1"/>
  <c r="L445" i="1" s="1"/>
  <c r="N445" i="1" s="1"/>
  <c r="S445" i="1" s="1"/>
  <c r="G156" i="1"/>
  <c r="J156" i="1" s="1"/>
  <c r="L156" i="1" s="1"/>
  <c r="N156" i="1" s="1"/>
  <c r="S156" i="1" s="1"/>
  <c r="K26" i="139"/>
  <c r="K37" i="139"/>
  <c r="K25" i="139"/>
  <c r="K27" i="139"/>
  <c r="K36" i="139"/>
  <c r="K24" i="139"/>
  <c r="K32" i="139"/>
  <c r="K35" i="139"/>
  <c r="K33" i="139"/>
  <c r="K23" i="139"/>
  <c r="K31" i="139"/>
  <c r="K34" i="139"/>
  <c r="K30" i="139"/>
  <c r="K29" i="139"/>
  <c r="K28" i="139"/>
  <c r="K24" i="128"/>
  <c r="K22" i="139" l="1"/>
  <c r="K186" i="128"/>
  <c r="K182" i="128"/>
  <c r="K178" i="128"/>
  <c r="G31" i="1" l="1"/>
  <c r="K187" i="128"/>
  <c r="K189" i="128" s="1"/>
  <c r="J31" i="1" l="1"/>
  <c r="L31" i="1" s="1"/>
  <c r="L29" i="1" s="1"/>
  <c r="N31" i="1" l="1"/>
  <c r="N29" i="1" l="1"/>
  <c r="S31" i="1"/>
  <c r="S29" i="1" s="1"/>
  <c r="C18" i="151"/>
  <c r="AR18" i="151" s="1"/>
  <c r="C13" i="141"/>
  <c r="K1004" i="128"/>
  <c r="H18" i="151" l="1"/>
  <c r="P18" i="151"/>
  <c r="X18" i="151"/>
  <c r="AF18" i="151"/>
  <c r="AN18" i="151"/>
  <c r="F18" i="151"/>
  <c r="N18" i="151"/>
  <c r="V18" i="151"/>
  <c r="AD18" i="151"/>
  <c r="AL18" i="151"/>
  <c r="AT18" i="151"/>
  <c r="J18" i="151"/>
  <c r="R18" i="151"/>
  <c r="Z18" i="151"/>
  <c r="AH18" i="151"/>
  <c r="AP18" i="151"/>
  <c r="L18" i="151"/>
  <c r="T18" i="151"/>
  <c r="AB18" i="151"/>
  <c r="AJ18" i="151"/>
  <c r="K255" i="128"/>
  <c r="K766" i="128" l="1"/>
  <c r="K302" i="128" l="1"/>
  <c r="K296" i="128"/>
  <c r="K298" i="128" s="1"/>
  <c r="K291" i="128"/>
  <c r="K286" i="128"/>
  <c r="K285" i="128"/>
  <c r="K276" i="128"/>
  <c r="K270" i="128"/>
  <c r="K272" i="128" s="1"/>
  <c r="K265" i="128"/>
  <c r="K260" i="128"/>
  <c r="K259" i="128"/>
  <c r="K243" i="128"/>
  <c r="K246" i="128" s="1"/>
  <c r="K238" i="128"/>
  <c r="K233" i="128"/>
  <c r="K232" i="128"/>
  <c r="K212" i="128"/>
  <c r="K208" i="128"/>
  <c r="K204" i="128"/>
  <c r="K195" i="128"/>
  <c r="K197" i="128" s="1"/>
  <c r="K213" i="128" l="1"/>
  <c r="K215" i="128" s="1"/>
  <c r="K234" i="128"/>
  <c r="K228" i="128"/>
  <c r="K229" i="128"/>
  <c r="K221" i="128"/>
  <c r="K223" i="128" s="1"/>
  <c r="K287" i="128"/>
  <c r="K256" i="128"/>
  <c r="K261" i="128"/>
  <c r="K281" i="128"/>
  <c r="K282" i="128"/>
  <c r="K134" i="128"/>
  <c r="K230" i="128" l="1"/>
  <c r="K239" i="128" s="1"/>
  <c r="K241" i="128" s="1"/>
  <c r="K283" i="128"/>
  <c r="K292" i="128" s="1"/>
  <c r="K294" i="128" s="1"/>
  <c r="K257" i="128"/>
  <c r="K266" i="128" s="1"/>
  <c r="K268" i="128" s="1"/>
  <c r="K253" i="128" s="1"/>
  <c r="K143" i="128"/>
  <c r="K145" i="128" s="1"/>
  <c r="K130" i="128"/>
  <c r="K126" i="128"/>
  <c r="G126" i="1" l="1"/>
  <c r="J126" i="1" s="1"/>
  <c r="L126" i="1" s="1"/>
  <c r="N126" i="1" s="1"/>
  <c r="S126" i="1" s="1"/>
  <c r="K279" i="128"/>
  <c r="K226" i="128"/>
  <c r="K135" i="128"/>
  <c r="K137" i="128" s="1"/>
  <c r="G142" i="1" l="1"/>
  <c r="J142" i="1" s="1"/>
  <c r="L142" i="1" s="1"/>
  <c r="N142" i="1" s="1"/>
  <c r="S142" i="1" s="1"/>
  <c r="G110" i="1"/>
  <c r="J110" i="1" s="1"/>
  <c r="L110" i="1" s="1"/>
  <c r="N110" i="1" s="1"/>
  <c r="S110" i="1" s="1"/>
  <c r="K119" i="128"/>
  <c r="K114" i="128"/>
  <c r="K115" i="128" s="1"/>
  <c r="K103" i="128"/>
  <c r="K102" i="128"/>
  <c r="K101" i="128"/>
  <c r="K47" i="128"/>
  <c r="K46" i="128"/>
  <c r="K45" i="128"/>
  <c r="K18" i="128"/>
  <c r="K97" i="128" l="1"/>
  <c r="K98" i="128"/>
  <c r="K104" i="128"/>
  <c r="K96" i="128"/>
  <c r="K69" i="128"/>
  <c r="K40" i="128"/>
  <c r="K42" i="128"/>
  <c r="K41" i="128"/>
  <c r="K99" i="128" l="1"/>
  <c r="K109" i="128" s="1"/>
  <c r="K111" i="128" s="1"/>
  <c r="K14" i="128"/>
  <c r="K43" i="128"/>
  <c r="K13" i="128"/>
  <c r="K94" i="128" l="1"/>
  <c r="K787" i="128"/>
  <c r="K786" i="128"/>
  <c r="K785" i="128"/>
  <c r="K784" i="128"/>
  <c r="K773" i="128"/>
  <c r="K86" i="128"/>
  <c r="K87" i="128" s="1"/>
  <c r="K75" i="128"/>
  <c r="K74" i="128"/>
  <c r="K73" i="128"/>
  <c r="K792" i="128"/>
  <c r="K783" i="128"/>
  <c r="K772" i="128"/>
  <c r="K771" i="128"/>
  <c r="K770" i="128"/>
  <c r="G149" i="1" l="1"/>
  <c r="J149" i="1" s="1"/>
  <c r="L149" i="1" s="1"/>
  <c r="N149" i="1" s="1"/>
  <c r="S149" i="1" s="1"/>
  <c r="K765" i="128"/>
  <c r="K767" i="128"/>
  <c r="K70" i="128"/>
  <c r="K68" i="128"/>
  <c r="K788" i="128"/>
  <c r="K76" i="128"/>
  <c r="K774" i="128"/>
  <c r="K776" i="128" s="1"/>
  <c r="K778" i="128" s="1"/>
  <c r="K71" i="128" l="1"/>
  <c r="K81" i="128" s="1"/>
  <c r="K83" i="128" s="1"/>
  <c r="K66" i="128" s="1"/>
  <c r="K768" i="128"/>
  <c r="K779" i="128" s="1"/>
  <c r="K781" i="128" s="1"/>
  <c r="K763" i="128" s="1"/>
  <c r="G131" i="1" l="1"/>
  <c r="J131" i="1" s="1"/>
  <c r="L131" i="1" s="1"/>
  <c r="L119" i="1" s="1"/>
  <c r="G795" i="1"/>
  <c r="J795" i="1" s="1"/>
  <c r="L795" i="1" s="1"/>
  <c r="N795" i="1" s="1"/>
  <c r="S795" i="1" s="1"/>
  <c r="G835" i="1"/>
  <c r="J835" i="1" s="1"/>
  <c r="L835" i="1" s="1"/>
  <c r="N835" i="1" s="1"/>
  <c r="S835" i="1" s="1"/>
  <c r="K380" i="128"/>
  <c r="K676" i="128"/>
  <c r="K675" i="128"/>
  <c r="K1023" i="128"/>
  <c r="K1024" i="128" s="1"/>
  <c r="K682" i="128"/>
  <c r="K669" i="128"/>
  <c r="K665" i="128"/>
  <c r="K664" i="128"/>
  <c r="K663" i="128"/>
  <c r="K1020" i="128"/>
  <c r="K1007" i="128"/>
  <c r="K1009" i="128" s="1"/>
  <c r="K998" i="128"/>
  <c r="K994" i="128"/>
  <c r="K982" i="128"/>
  <c r="K981" i="128"/>
  <c r="N131" i="1" l="1"/>
  <c r="S131" i="1" s="1"/>
  <c r="S119" i="1" s="1"/>
  <c r="K666" i="128"/>
  <c r="K677" i="128"/>
  <c r="K1003" i="128"/>
  <c r="K660" i="128"/>
  <c r="K659" i="128"/>
  <c r="K978" i="128"/>
  <c r="K979" i="128" s="1"/>
  <c r="K1013" i="128"/>
  <c r="K983" i="128"/>
  <c r="K985" i="128" s="1"/>
  <c r="K987" i="128" s="1"/>
  <c r="N119" i="1" l="1"/>
  <c r="K661" i="128"/>
  <c r="K1005" i="128"/>
  <c r="K1014" i="128" s="1"/>
  <c r="K1016" i="128" s="1"/>
  <c r="K1001" i="128" s="1"/>
  <c r="K988" i="128"/>
  <c r="K990" i="128" s="1"/>
  <c r="K975" i="128" s="1"/>
  <c r="C51" i="151" l="1"/>
  <c r="G853" i="1"/>
  <c r="J853" i="1" s="1"/>
  <c r="L853" i="1" s="1"/>
  <c r="N853" i="1" s="1"/>
  <c r="S853" i="1" s="1"/>
  <c r="G882" i="1"/>
  <c r="J882" i="1" s="1"/>
  <c r="L882" i="1" s="1"/>
  <c r="N882" i="1" s="1"/>
  <c r="S882" i="1" s="1"/>
  <c r="G912" i="1"/>
  <c r="J912" i="1" s="1"/>
  <c r="L912" i="1" s="1"/>
  <c r="N912" i="1" s="1"/>
  <c r="S912" i="1" s="1"/>
  <c r="G897" i="1"/>
  <c r="J897" i="1" s="1"/>
  <c r="L897" i="1" s="1"/>
  <c r="N897" i="1" s="1"/>
  <c r="S897" i="1" s="1"/>
  <c r="G867" i="1"/>
  <c r="J867" i="1" s="1"/>
  <c r="L867" i="1" s="1"/>
  <c r="N867" i="1" s="1"/>
  <c r="S867" i="1" s="1"/>
  <c r="G854" i="1"/>
  <c r="J854" i="1" s="1"/>
  <c r="L854" i="1" s="1"/>
  <c r="N854" i="1" s="1"/>
  <c r="S854" i="1" s="1"/>
  <c r="G913" i="1"/>
  <c r="J913" i="1" s="1"/>
  <c r="L913" i="1" s="1"/>
  <c r="N913" i="1" s="1"/>
  <c r="S913" i="1" s="1"/>
  <c r="G898" i="1"/>
  <c r="J898" i="1" s="1"/>
  <c r="L898" i="1" s="1"/>
  <c r="N898" i="1" s="1"/>
  <c r="S898" i="1" s="1"/>
  <c r="G868" i="1"/>
  <c r="J868" i="1" s="1"/>
  <c r="L868" i="1" s="1"/>
  <c r="N868" i="1" s="1"/>
  <c r="S868" i="1" s="1"/>
  <c r="G883" i="1"/>
  <c r="J883" i="1" s="1"/>
  <c r="L883" i="1" s="1"/>
  <c r="N883" i="1" s="1"/>
  <c r="S883" i="1" s="1"/>
  <c r="K1145" i="128"/>
  <c r="K1143" i="128"/>
  <c r="K1162" i="128"/>
  <c r="K1158" i="128"/>
  <c r="K1146" i="128"/>
  <c r="K1144" i="128"/>
  <c r="Z51" i="151" l="1"/>
  <c r="V51" i="151"/>
  <c r="AR51" i="151"/>
  <c r="AH51" i="151"/>
  <c r="H51" i="151"/>
  <c r="F51" i="151"/>
  <c r="L51" i="151"/>
  <c r="AT51" i="151"/>
  <c r="R51" i="151"/>
  <c r="N51" i="151"/>
  <c r="AP51" i="151"/>
  <c r="AN51" i="151"/>
  <c r="AD51" i="151"/>
  <c r="AJ51" i="151"/>
  <c r="X51" i="151"/>
  <c r="AF51" i="151"/>
  <c r="T51" i="151"/>
  <c r="J51" i="151"/>
  <c r="P51" i="151"/>
  <c r="AB51" i="151"/>
  <c r="AL51" i="151"/>
  <c r="K1147" i="128"/>
  <c r="K1149" i="128" s="1"/>
  <c r="K1151" i="128" s="1"/>
  <c r="K1139" i="128"/>
  <c r="K1141" i="128" s="1"/>
  <c r="K1152" i="128" l="1"/>
  <c r="K1154" i="128" s="1"/>
  <c r="K1137" i="128" s="1"/>
  <c r="G942" i="1" l="1"/>
  <c r="J942" i="1" s="1"/>
  <c r="L942" i="1" s="1"/>
  <c r="G918" i="1"/>
  <c r="J918" i="1" s="1"/>
  <c r="L918" i="1" s="1"/>
  <c r="G966" i="1"/>
  <c r="J966" i="1" s="1"/>
  <c r="L966" i="1" s="1"/>
  <c r="G930" i="1"/>
  <c r="J930" i="1" s="1"/>
  <c r="L930" i="1" s="1"/>
  <c r="G954" i="1"/>
  <c r="J954" i="1" s="1"/>
  <c r="L954" i="1" s="1"/>
  <c r="K1301" i="128"/>
  <c r="K1300" i="128"/>
  <c r="K1288" i="128"/>
  <c r="K1274" i="128"/>
  <c r="K1273" i="128"/>
  <c r="K1248" i="128"/>
  <c r="K1247" i="128"/>
  <c r="K1222" i="128"/>
  <c r="K1221" i="128"/>
  <c r="K1198" i="128"/>
  <c r="K1197" i="128"/>
  <c r="K1327" i="128"/>
  <c r="K1326" i="128"/>
  <c r="N954" i="1" l="1"/>
  <c r="S954" i="1" s="1"/>
  <c r="N930" i="1"/>
  <c r="S930" i="1" s="1"/>
  <c r="N966" i="1"/>
  <c r="S966" i="1" s="1"/>
  <c r="N918" i="1"/>
  <c r="S918" i="1" s="1"/>
  <c r="N942" i="1"/>
  <c r="S942" i="1" s="1"/>
  <c r="K1328" i="128"/>
  <c r="K1269" i="128"/>
  <c r="K1271" i="128" s="1"/>
  <c r="K1275" i="128"/>
  <c r="K1249" i="128"/>
  <c r="K1295" i="128"/>
  <c r="K1297" i="128" s="1"/>
  <c r="K1217" i="128"/>
  <c r="K1243" i="128"/>
  <c r="K1245" i="128" s="1"/>
  <c r="K1317" i="128" l="1"/>
  <c r="K1290" i="128"/>
  <c r="K1264" i="128"/>
  <c r="K1238" i="128"/>
  <c r="K1219" i="128"/>
  <c r="K1212" i="128"/>
  <c r="K1195" i="128"/>
  <c r="K1343" i="128"/>
  <c r="K1324" i="128"/>
  <c r="K1188" i="128"/>
  <c r="K1172" i="128"/>
  <c r="K1171" i="128"/>
  <c r="K1169" i="128"/>
  <c r="K1277" i="128" l="1"/>
  <c r="K1279" i="128" s="1"/>
  <c r="K1280" i="128" s="1"/>
  <c r="K1282" i="128" s="1"/>
  <c r="K1251" i="128"/>
  <c r="K1253" i="128" s="1"/>
  <c r="K1254" i="128" s="1"/>
  <c r="K1256" i="128" s="1"/>
  <c r="K1199" i="128"/>
  <c r="K1201" i="128" s="1"/>
  <c r="K1202" i="128" s="1"/>
  <c r="K1203" i="128" s="1"/>
  <c r="K1205" i="128" s="1"/>
  <c r="K1313" i="128"/>
  <c r="K1173" i="128"/>
  <c r="K1175" i="128" s="1"/>
  <c r="K1177" i="128" s="1"/>
  <c r="K1178" i="128" s="1"/>
  <c r="K1180" i="128" s="1"/>
  <c r="K1302" i="128"/>
  <c r="K1223" i="128"/>
  <c r="K1225" i="128" s="1"/>
  <c r="K1227" i="128" s="1"/>
  <c r="K1330" i="128"/>
  <c r="K1332" i="128" s="1"/>
  <c r="K1304" i="128" l="1"/>
  <c r="K1306" i="128" s="1"/>
  <c r="K1307" i="128" s="1"/>
  <c r="K1309" i="128" s="1"/>
  <c r="K1293" i="128" s="1"/>
  <c r="K1228" i="128"/>
  <c r="K1230" i="128" s="1"/>
  <c r="K1333" i="128"/>
  <c r="K1335" i="128" s="1"/>
  <c r="G956" i="1" l="1"/>
  <c r="J956" i="1" s="1"/>
  <c r="L956" i="1" s="1"/>
  <c r="G920" i="1"/>
  <c r="J920" i="1" s="1"/>
  <c r="L920" i="1" s="1"/>
  <c r="G968" i="1"/>
  <c r="J968" i="1" s="1"/>
  <c r="L968" i="1" s="1"/>
  <c r="G944" i="1"/>
  <c r="J944" i="1" s="1"/>
  <c r="L944" i="1" s="1"/>
  <c r="G932" i="1"/>
  <c r="J932" i="1" s="1"/>
  <c r="L932" i="1" s="1"/>
  <c r="K970" i="128"/>
  <c r="K971" i="128"/>
  <c r="K969" i="128"/>
  <c r="N932" i="1" l="1"/>
  <c r="S932" i="1" s="1"/>
  <c r="N944" i="1"/>
  <c r="S944" i="1" s="1"/>
  <c r="N968" i="1"/>
  <c r="S968" i="1" s="1"/>
  <c r="N920" i="1"/>
  <c r="S920" i="1" s="1"/>
  <c r="N956" i="1"/>
  <c r="S956" i="1" s="1"/>
  <c r="K942" i="128"/>
  <c r="K944" i="128"/>
  <c r="K943" i="128"/>
  <c r="K926" i="128"/>
  <c r="K915" i="128"/>
  <c r="K912" i="128"/>
  <c r="K913" i="128"/>
  <c r="K911" i="128"/>
  <c r="K972" i="128" l="1"/>
  <c r="K967" i="128"/>
  <c r="K960" i="128"/>
  <c r="K945" i="128"/>
  <c r="K933" i="128"/>
  <c r="K928" i="128"/>
  <c r="K927" i="128"/>
  <c r="K909" i="128"/>
  <c r="K902" i="128"/>
  <c r="K929" i="128" l="1"/>
  <c r="K952" i="128"/>
  <c r="K894" i="128"/>
  <c r="K924" i="128"/>
  <c r="K956" i="128"/>
  <c r="K898" i="128"/>
  <c r="K961" i="128" l="1"/>
  <c r="K963" i="128" s="1"/>
  <c r="K948" i="128" s="1"/>
  <c r="K914" i="128"/>
  <c r="K903" i="128"/>
  <c r="K905" i="128" s="1"/>
  <c r="K934" i="128"/>
  <c r="K936" i="128" s="1"/>
  <c r="G852" i="1" l="1"/>
  <c r="J852" i="1" s="1"/>
  <c r="L852" i="1" s="1"/>
  <c r="N852" i="1" s="1"/>
  <c r="S852" i="1" s="1"/>
  <c r="K645" i="128"/>
  <c r="K637" i="128"/>
  <c r="K639" i="128" s="1"/>
  <c r="K643" i="128" s="1"/>
  <c r="K650" i="128"/>
  <c r="K633" i="128" l="1"/>
  <c r="K635" i="128" s="1"/>
  <c r="K644" i="128" s="1"/>
  <c r="K646" i="128" s="1"/>
  <c r="K654" i="128"/>
  <c r="K631" i="128" l="1"/>
  <c r="K861" i="128" l="1"/>
  <c r="K855" i="128"/>
  <c r="K854" i="128"/>
  <c r="K853" i="128"/>
  <c r="K852" i="128"/>
  <c r="K842" i="128"/>
  <c r="K841" i="128"/>
  <c r="K840" i="128"/>
  <c r="K643" i="1" l="1"/>
  <c r="M643" i="1" s="1"/>
  <c r="N643" i="1" s="1"/>
  <c r="S643" i="1" s="1"/>
  <c r="K652" i="1"/>
  <c r="M652" i="1" s="1"/>
  <c r="K627" i="1"/>
  <c r="M627" i="1" s="1"/>
  <c r="K644" i="1"/>
  <c r="M644" i="1" s="1"/>
  <c r="N644" i="1" s="1"/>
  <c r="S644" i="1" s="1"/>
  <c r="K835" i="128"/>
  <c r="K836" i="128"/>
  <c r="K832" i="128"/>
  <c r="K834" i="128"/>
  <c r="K837" i="128"/>
  <c r="K833" i="128"/>
  <c r="K843" i="128"/>
  <c r="K845" i="128" s="1"/>
  <c r="K847" i="128" s="1"/>
  <c r="K357" i="128"/>
  <c r="K352" i="128"/>
  <c r="K356" i="128"/>
  <c r="N652" i="1" l="1"/>
  <c r="S652" i="1" s="1"/>
  <c r="K838" i="128"/>
  <c r="K848" i="128" s="1"/>
  <c r="K850" i="128" s="1"/>
  <c r="K358" i="128"/>
  <c r="K354" i="128"/>
  <c r="K342" i="128"/>
  <c r="K341" i="128"/>
  <c r="K340" i="128"/>
  <c r="K343" i="128" l="1"/>
  <c r="K345" i="128" s="1"/>
  <c r="K347" i="128" s="1"/>
  <c r="K338" i="128"/>
  <c r="K886" i="128"/>
  <c r="K717" i="128"/>
  <c r="K885" i="128"/>
  <c r="K868" i="128"/>
  <c r="K760" i="128"/>
  <c r="K744" i="128"/>
  <c r="K743" i="128"/>
  <c r="K887" i="128" l="1"/>
  <c r="K348" i="128"/>
  <c r="K350" i="128" s="1"/>
  <c r="K334" i="128" s="1"/>
  <c r="K48" i="128"/>
  <c r="K52" i="128" s="1"/>
  <c r="K740" i="128"/>
  <c r="K872" i="128"/>
  <c r="K876" i="128" s="1"/>
  <c r="K883" i="128"/>
  <c r="K739" i="128"/>
  <c r="K745" i="128"/>
  <c r="K749" i="128" s="1"/>
  <c r="K756" i="128"/>
  <c r="K734" i="128"/>
  <c r="K708" i="128"/>
  <c r="K691" i="128"/>
  <c r="G196" i="1" l="1"/>
  <c r="J196" i="1" s="1"/>
  <c r="L196" i="1" s="1"/>
  <c r="N196" i="1" s="1"/>
  <c r="S196" i="1" s="1"/>
  <c r="G265" i="1"/>
  <c r="J265" i="1" s="1"/>
  <c r="L265" i="1" s="1"/>
  <c r="L235" i="1" s="1"/>
  <c r="G489" i="1"/>
  <c r="J489" i="1" s="1"/>
  <c r="L489" i="1" s="1"/>
  <c r="N489" i="1" s="1"/>
  <c r="S489" i="1" s="1"/>
  <c r="G400" i="1"/>
  <c r="J400" i="1" s="1"/>
  <c r="L400" i="1" s="1"/>
  <c r="G345" i="1"/>
  <c r="J345" i="1" s="1"/>
  <c r="L345" i="1" s="1"/>
  <c r="N345" i="1" s="1"/>
  <c r="S345" i="1" s="1"/>
  <c r="K741" i="128"/>
  <c r="K750" i="128" s="1"/>
  <c r="K752" i="128" s="1"/>
  <c r="K737" i="128" s="1"/>
  <c r="K53" i="128"/>
  <c r="K55" i="128" s="1"/>
  <c r="K713" i="128"/>
  <c r="K877" i="128"/>
  <c r="K879" i="128" s="1"/>
  <c r="K864" i="128" s="1"/>
  <c r="K730" i="128"/>
  <c r="K719" i="128"/>
  <c r="K723" i="128" s="1"/>
  <c r="K687" i="128"/>
  <c r="K693" i="128"/>
  <c r="K697" i="128" s="1"/>
  <c r="K704" i="128"/>
  <c r="G849" i="1" l="1"/>
  <c r="J849" i="1" s="1"/>
  <c r="L849" i="1" s="1"/>
  <c r="N849" i="1" s="1"/>
  <c r="S849" i="1" s="1"/>
  <c r="G825" i="1"/>
  <c r="J825" i="1" s="1"/>
  <c r="L825" i="1" s="1"/>
  <c r="N825" i="1" s="1"/>
  <c r="S825" i="1" s="1"/>
  <c r="N265" i="1"/>
  <c r="S265" i="1" s="1"/>
  <c r="S235" i="1" s="1"/>
  <c r="N400" i="1"/>
  <c r="S400" i="1" s="1"/>
  <c r="K38" i="128"/>
  <c r="K715" i="128"/>
  <c r="K724" i="128" s="1"/>
  <c r="K726" i="128" s="1"/>
  <c r="K711" i="128" s="1"/>
  <c r="K689" i="128"/>
  <c r="K698" i="128" s="1"/>
  <c r="K700" i="128" s="1"/>
  <c r="K685" i="128" s="1"/>
  <c r="N235" i="1" l="1"/>
  <c r="G117" i="1"/>
  <c r="J117" i="1" s="1"/>
  <c r="L117" i="1" s="1"/>
  <c r="N117" i="1" s="1"/>
  <c r="S117" i="1" s="1"/>
  <c r="G794" i="1"/>
  <c r="J794" i="1" s="1"/>
  <c r="L794" i="1" s="1"/>
  <c r="G813" i="1"/>
  <c r="J813" i="1" s="1"/>
  <c r="L813" i="1" s="1"/>
  <c r="G803" i="1"/>
  <c r="J803" i="1" s="1"/>
  <c r="L803" i="1" s="1"/>
  <c r="G833" i="1"/>
  <c r="J833" i="1" s="1"/>
  <c r="L833" i="1" s="1"/>
  <c r="G823" i="1"/>
  <c r="J823" i="1" s="1"/>
  <c r="L823" i="1" s="1"/>
  <c r="G814" i="1"/>
  <c r="J814" i="1" s="1"/>
  <c r="L814" i="1" s="1"/>
  <c r="N814" i="1" s="1"/>
  <c r="S814" i="1" s="1"/>
  <c r="G804" i="1"/>
  <c r="J804" i="1" s="1"/>
  <c r="L804" i="1" s="1"/>
  <c r="N804" i="1" s="1"/>
  <c r="S804" i="1" s="1"/>
  <c r="G834" i="1"/>
  <c r="J834" i="1" s="1"/>
  <c r="L834" i="1" s="1"/>
  <c r="N834" i="1" s="1"/>
  <c r="S834" i="1" s="1"/>
  <c r="G824" i="1"/>
  <c r="J824" i="1" s="1"/>
  <c r="L824" i="1" s="1"/>
  <c r="N824" i="1" s="1"/>
  <c r="S824" i="1" s="1"/>
  <c r="K626" i="128"/>
  <c r="C35" i="151" l="1"/>
  <c r="L815" i="1"/>
  <c r="L796" i="1"/>
  <c r="L805" i="1"/>
  <c r="N794" i="1"/>
  <c r="S794" i="1" s="1"/>
  <c r="S785" i="1" s="1"/>
  <c r="L785" i="1"/>
  <c r="L826" i="1"/>
  <c r="N823" i="1"/>
  <c r="S823" i="1" s="1"/>
  <c r="S815" i="1" s="1"/>
  <c r="N833" i="1"/>
  <c r="S833" i="1" s="1"/>
  <c r="S826" i="1" s="1"/>
  <c r="N803" i="1"/>
  <c r="S803" i="1" s="1"/>
  <c r="S796" i="1" s="1"/>
  <c r="N813" i="1"/>
  <c r="S813" i="1" s="1"/>
  <c r="S805" i="1" s="1"/>
  <c r="K607" i="128"/>
  <c r="K606" i="128"/>
  <c r="S784" i="1" l="1"/>
  <c r="N785" i="1"/>
  <c r="AH35" i="151"/>
  <c r="X35" i="151"/>
  <c r="AT35" i="151"/>
  <c r="AB35" i="151"/>
  <c r="AF35" i="151"/>
  <c r="J35" i="151"/>
  <c r="AD35" i="151"/>
  <c r="AL35" i="151"/>
  <c r="T35" i="151"/>
  <c r="AN35" i="151"/>
  <c r="F35" i="151"/>
  <c r="R35" i="151"/>
  <c r="P35" i="151"/>
  <c r="L35" i="151"/>
  <c r="H35" i="151"/>
  <c r="N35" i="151"/>
  <c r="V35" i="151"/>
  <c r="AJ35" i="151"/>
  <c r="AR35" i="151"/>
  <c r="AP35" i="151"/>
  <c r="Z35" i="151"/>
  <c r="N815" i="1"/>
  <c r="N805" i="1"/>
  <c r="N796" i="1"/>
  <c r="N826" i="1"/>
  <c r="L784" i="1"/>
  <c r="K628" i="128"/>
  <c r="K624" i="128"/>
  <c r="K612" i="128"/>
  <c r="K611" i="128"/>
  <c r="K610" i="128"/>
  <c r="C56" i="151" l="1"/>
  <c r="N784" i="1"/>
  <c r="C65" i="151"/>
  <c r="C38" i="151"/>
  <c r="C47" i="151"/>
  <c r="C30" i="151"/>
  <c r="K605" i="128"/>
  <c r="K608" i="128" s="1"/>
  <c r="K613" i="128"/>
  <c r="K615" i="128" s="1"/>
  <c r="K617" i="128" s="1"/>
  <c r="P38" i="151" l="1"/>
  <c r="AL38" i="151"/>
  <c r="T38" i="151"/>
  <c r="V38" i="151"/>
  <c r="AF38" i="151"/>
  <c r="AT38" i="151"/>
  <c r="AD38" i="151"/>
  <c r="X38" i="151"/>
  <c r="J38" i="151"/>
  <c r="Z38" i="151"/>
  <c r="AH38" i="151"/>
  <c r="F38" i="151"/>
  <c r="AR38" i="151"/>
  <c r="N38" i="151"/>
  <c r="AJ38" i="151"/>
  <c r="H38" i="151"/>
  <c r="AB38" i="151"/>
  <c r="L38" i="151"/>
  <c r="R38" i="151"/>
  <c r="AP38" i="151"/>
  <c r="AN38" i="151"/>
  <c r="AR47" i="151"/>
  <c r="P47" i="151"/>
  <c r="AP47" i="151"/>
  <c r="AH47" i="151"/>
  <c r="AL47" i="151"/>
  <c r="N47" i="151"/>
  <c r="L47" i="151"/>
  <c r="AD47" i="151"/>
  <c r="R47" i="151"/>
  <c r="Z47" i="151"/>
  <c r="J47" i="151"/>
  <c r="F47" i="151"/>
  <c r="AF47" i="151"/>
  <c r="AJ47" i="151"/>
  <c r="H47" i="151"/>
  <c r="AN47" i="151"/>
  <c r="T47" i="151"/>
  <c r="AB47" i="151"/>
  <c r="V47" i="151"/>
  <c r="X47" i="151"/>
  <c r="AT47" i="151"/>
  <c r="AH30" i="151"/>
  <c r="X30" i="151"/>
  <c r="AF30" i="151"/>
  <c r="AP30" i="151"/>
  <c r="AN30" i="151"/>
  <c r="N30" i="151"/>
  <c r="AB30" i="151"/>
  <c r="AT30" i="151"/>
  <c r="Z30" i="151"/>
  <c r="T30" i="151"/>
  <c r="AR30" i="151"/>
  <c r="L30" i="151"/>
  <c r="V30" i="151"/>
  <c r="AD30" i="151"/>
  <c r="J30" i="151"/>
  <c r="H30" i="151"/>
  <c r="F30" i="151"/>
  <c r="P30" i="151"/>
  <c r="AL30" i="151"/>
  <c r="AJ30" i="151"/>
  <c r="R30" i="151"/>
  <c r="AL65" i="151"/>
  <c r="N65" i="151"/>
  <c r="AB65" i="151"/>
  <c r="AR65" i="151"/>
  <c r="AP65" i="151"/>
  <c r="AN65" i="151"/>
  <c r="AJ65" i="151"/>
  <c r="R65" i="151"/>
  <c r="AH65" i="151"/>
  <c r="J65" i="151"/>
  <c r="AF65" i="151"/>
  <c r="T65" i="151"/>
  <c r="L65" i="151"/>
  <c r="F65" i="151"/>
  <c r="H65" i="151"/>
  <c r="AD65" i="151"/>
  <c r="V65" i="151"/>
  <c r="AT65" i="151"/>
  <c r="Z65" i="151"/>
  <c r="X65" i="151"/>
  <c r="P65" i="151"/>
  <c r="AL56" i="151"/>
  <c r="V56" i="151"/>
  <c r="R56" i="151"/>
  <c r="N56" i="151"/>
  <c r="X56" i="151"/>
  <c r="AF56" i="151"/>
  <c r="AJ56" i="151"/>
  <c r="H56" i="151"/>
  <c r="AB56" i="151"/>
  <c r="Z56" i="151"/>
  <c r="P56" i="151"/>
  <c r="J56" i="151"/>
  <c r="F56" i="151"/>
  <c r="AD56" i="151"/>
  <c r="AP56" i="151"/>
  <c r="AN56" i="151"/>
  <c r="AR56" i="151"/>
  <c r="AT56" i="151"/>
  <c r="T56" i="151"/>
  <c r="L56" i="151"/>
  <c r="AH56" i="151"/>
  <c r="K618" i="128"/>
  <c r="K620" i="128" s="1"/>
  <c r="K603" i="128" s="1"/>
  <c r="J627" i="1" s="1"/>
  <c r="L627" i="1" s="1"/>
  <c r="L622" i="1" s="1"/>
  <c r="L621" i="1" l="1"/>
  <c r="N627" i="1"/>
  <c r="S627" i="1" s="1"/>
  <c r="K384" i="128" l="1"/>
  <c r="K217" i="128"/>
  <c r="K219" i="128" s="1"/>
  <c r="K200" i="128" s="1"/>
  <c r="K191" i="128"/>
  <c r="K193" i="128" s="1"/>
  <c r="K174" i="128" s="1"/>
  <c r="K139" i="128"/>
  <c r="K141" i="128" s="1"/>
  <c r="K122" i="128" s="1"/>
  <c r="K1207" i="128"/>
  <c r="K1208" i="128" s="1"/>
  <c r="K1191" i="128" s="1"/>
  <c r="K1232" i="128"/>
  <c r="K1258" i="128"/>
  <c r="K1260" i="128" s="1"/>
  <c r="K1241" i="128" s="1"/>
  <c r="K1182" i="128"/>
  <c r="K1233" i="128"/>
  <c r="K1338" i="128"/>
  <c r="K1183" i="128"/>
  <c r="K1337" i="128"/>
  <c r="K938" i="128"/>
  <c r="K940" i="128" s="1"/>
  <c r="K920" i="128" s="1"/>
  <c r="K1284" i="128"/>
  <c r="K1286" i="128" s="1"/>
  <c r="K1267" i="128" s="1"/>
  <c r="G109" i="1" l="1"/>
  <c r="J109" i="1" s="1"/>
  <c r="L109" i="1" s="1"/>
  <c r="L101" i="1" s="1"/>
  <c r="G82" i="1"/>
  <c r="J82" i="1" s="1"/>
  <c r="L82" i="1" s="1"/>
  <c r="N82" i="1" s="1"/>
  <c r="S82" i="1" s="1"/>
  <c r="G141" i="1"/>
  <c r="J141" i="1" s="1"/>
  <c r="L141" i="1" s="1"/>
  <c r="L133" i="1" s="1"/>
  <c r="G851" i="1"/>
  <c r="J851" i="1" s="1"/>
  <c r="L851" i="1" s="1"/>
  <c r="N851" i="1" s="1"/>
  <c r="S851" i="1" s="1"/>
  <c r="G933" i="1"/>
  <c r="J933" i="1" s="1"/>
  <c r="L933" i="1" s="1"/>
  <c r="G945" i="1"/>
  <c r="J945" i="1" s="1"/>
  <c r="L945" i="1" s="1"/>
  <c r="G969" i="1"/>
  <c r="J969" i="1" s="1"/>
  <c r="L969" i="1" s="1"/>
  <c r="G921" i="1"/>
  <c r="J921" i="1" s="1"/>
  <c r="L921" i="1" s="1"/>
  <c r="G957" i="1"/>
  <c r="J957" i="1" s="1"/>
  <c r="L957" i="1" s="1"/>
  <c r="G923" i="1"/>
  <c r="J923" i="1" s="1"/>
  <c r="L923" i="1" s="1"/>
  <c r="N923" i="1" s="1"/>
  <c r="S923" i="1" s="1"/>
  <c r="G971" i="1"/>
  <c r="J971" i="1" s="1"/>
  <c r="L971" i="1" s="1"/>
  <c r="N971" i="1" s="1"/>
  <c r="S971" i="1" s="1"/>
  <c r="G947" i="1"/>
  <c r="J947" i="1" s="1"/>
  <c r="L947" i="1" s="1"/>
  <c r="N947" i="1" s="1"/>
  <c r="S947" i="1" s="1"/>
  <c r="G975" i="1"/>
  <c r="J975" i="1" s="1"/>
  <c r="L975" i="1" s="1"/>
  <c r="N975" i="1" s="1"/>
  <c r="S975" i="1" s="1"/>
  <c r="G927" i="1"/>
  <c r="J927" i="1" s="1"/>
  <c r="L927" i="1" s="1"/>
  <c r="N927" i="1" s="1"/>
  <c r="S927" i="1" s="1"/>
  <c r="G951" i="1"/>
  <c r="J951" i="1" s="1"/>
  <c r="L951" i="1" s="1"/>
  <c r="N951" i="1" s="1"/>
  <c r="S951" i="1" s="1"/>
  <c r="G935" i="1"/>
  <c r="J935" i="1" s="1"/>
  <c r="L935" i="1" s="1"/>
  <c r="N935" i="1" s="1"/>
  <c r="S935" i="1" s="1"/>
  <c r="G939" i="1"/>
  <c r="J939" i="1" s="1"/>
  <c r="L939" i="1" s="1"/>
  <c r="N939" i="1" s="1"/>
  <c r="S939" i="1" s="1"/>
  <c r="G959" i="1"/>
  <c r="J959" i="1" s="1"/>
  <c r="L959" i="1" s="1"/>
  <c r="N959" i="1" s="1"/>
  <c r="S959" i="1" s="1"/>
  <c r="G963" i="1"/>
  <c r="J963" i="1" s="1"/>
  <c r="L963" i="1" s="1"/>
  <c r="N963" i="1" s="1"/>
  <c r="S963" i="1" s="1"/>
  <c r="G926" i="1"/>
  <c r="J926" i="1" s="1"/>
  <c r="L926" i="1" s="1"/>
  <c r="N926" i="1" s="1"/>
  <c r="S926" i="1" s="1"/>
  <c r="G938" i="1"/>
  <c r="J938" i="1" s="1"/>
  <c r="L938" i="1" s="1"/>
  <c r="N938" i="1" s="1"/>
  <c r="S938" i="1" s="1"/>
  <c r="G950" i="1"/>
  <c r="J950" i="1" s="1"/>
  <c r="L950" i="1" s="1"/>
  <c r="N950" i="1" s="1"/>
  <c r="S950" i="1" s="1"/>
  <c r="G962" i="1"/>
  <c r="J962" i="1" s="1"/>
  <c r="L962" i="1" s="1"/>
  <c r="N962" i="1" s="1"/>
  <c r="S962" i="1" s="1"/>
  <c r="G974" i="1"/>
  <c r="J974" i="1" s="1"/>
  <c r="L974" i="1" s="1"/>
  <c r="N974" i="1" s="1"/>
  <c r="S974" i="1" s="1"/>
  <c r="K1184" i="128"/>
  <c r="K1165" i="128" s="1"/>
  <c r="K1339" i="128"/>
  <c r="K1320" i="128" s="1"/>
  <c r="K1234" i="128"/>
  <c r="K1215" i="128" s="1"/>
  <c r="N109" i="1" l="1"/>
  <c r="N141" i="1"/>
  <c r="N957" i="1"/>
  <c r="S957" i="1" s="1"/>
  <c r="N921" i="1"/>
  <c r="S921" i="1" s="1"/>
  <c r="G934" i="1"/>
  <c r="J934" i="1" s="1"/>
  <c r="L934" i="1" s="1"/>
  <c r="N934" i="1" s="1"/>
  <c r="S934" i="1" s="1"/>
  <c r="G958" i="1"/>
  <c r="J958" i="1" s="1"/>
  <c r="L958" i="1" s="1"/>
  <c r="N958" i="1" s="1"/>
  <c r="S958" i="1" s="1"/>
  <c r="G946" i="1"/>
  <c r="J946" i="1" s="1"/>
  <c r="L946" i="1" s="1"/>
  <c r="N946" i="1" s="1"/>
  <c r="S946" i="1" s="1"/>
  <c r="G970" i="1"/>
  <c r="J970" i="1" s="1"/>
  <c r="L970" i="1" s="1"/>
  <c r="N970" i="1" s="1"/>
  <c r="S970" i="1" s="1"/>
  <c r="G922" i="1"/>
  <c r="J922" i="1" s="1"/>
  <c r="L922" i="1" s="1"/>
  <c r="N922" i="1" s="1"/>
  <c r="S922" i="1" s="1"/>
  <c r="N969" i="1"/>
  <c r="S969" i="1" s="1"/>
  <c r="G961" i="1"/>
  <c r="J961" i="1" s="1"/>
  <c r="L961" i="1" s="1"/>
  <c r="N961" i="1" s="1"/>
  <c r="S961" i="1" s="1"/>
  <c r="G973" i="1"/>
  <c r="J973" i="1" s="1"/>
  <c r="L973" i="1" s="1"/>
  <c r="N973" i="1" s="1"/>
  <c r="S973" i="1" s="1"/>
  <c r="G925" i="1"/>
  <c r="J925" i="1" s="1"/>
  <c r="L925" i="1" s="1"/>
  <c r="N925" i="1" s="1"/>
  <c r="S925" i="1" s="1"/>
  <c r="G949" i="1"/>
  <c r="J949" i="1" s="1"/>
  <c r="L949" i="1" s="1"/>
  <c r="N949" i="1" s="1"/>
  <c r="S949" i="1" s="1"/>
  <c r="G937" i="1"/>
  <c r="J937" i="1" s="1"/>
  <c r="L937" i="1" s="1"/>
  <c r="N937" i="1" s="1"/>
  <c r="S937" i="1" s="1"/>
  <c r="N945" i="1"/>
  <c r="S945" i="1" s="1"/>
  <c r="N933" i="1"/>
  <c r="S933" i="1" s="1"/>
  <c r="K856" i="128"/>
  <c r="K857" i="128" s="1"/>
  <c r="K830" i="128" s="1"/>
  <c r="S928" i="1" l="1"/>
  <c r="S916" i="1"/>
  <c r="S952" i="1"/>
  <c r="S940" i="1"/>
  <c r="N133" i="1"/>
  <c r="C60" i="151" s="1"/>
  <c r="H60" i="151" s="1"/>
  <c r="S141" i="1"/>
  <c r="S133" i="1" s="1"/>
  <c r="N101" i="1"/>
  <c r="C42" i="151" s="1"/>
  <c r="R42" i="151" s="1"/>
  <c r="S109" i="1"/>
  <c r="S101" i="1" s="1"/>
  <c r="S964" i="1"/>
  <c r="L916" i="1"/>
  <c r="L928" i="1"/>
  <c r="L952" i="1"/>
  <c r="L964" i="1"/>
  <c r="L940" i="1"/>
  <c r="G847" i="1"/>
  <c r="J847" i="1" s="1"/>
  <c r="L847" i="1" s="1"/>
  <c r="N847" i="1" s="1"/>
  <c r="S847" i="1" s="1"/>
  <c r="G880" i="1"/>
  <c r="J880" i="1" s="1"/>
  <c r="L880" i="1" s="1"/>
  <c r="N880" i="1" s="1"/>
  <c r="S880" i="1" s="1"/>
  <c r="G910" i="1"/>
  <c r="J910" i="1" s="1"/>
  <c r="L910" i="1" s="1"/>
  <c r="N910" i="1" s="1"/>
  <c r="S910" i="1" s="1"/>
  <c r="G895" i="1"/>
  <c r="J895" i="1" s="1"/>
  <c r="L895" i="1" s="1"/>
  <c r="G865" i="1"/>
  <c r="J865" i="1" s="1"/>
  <c r="L865" i="1" s="1"/>
  <c r="N964" i="1"/>
  <c r="N952" i="1"/>
  <c r="N928" i="1"/>
  <c r="N940" i="1"/>
  <c r="N916" i="1"/>
  <c r="K536" i="128"/>
  <c r="K530" i="128"/>
  <c r="K532" i="128" s="1"/>
  <c r="K528" i="128"/>
  <c r="K412" i="128"/>
  <c r="K396" i="128"/>
  <c r="K395" i="128"/>
  <c r="K394" i="128"/>
  <c r="S915" i="1" l="1"/>
  <c r="P42" i="151"/>
  <c r="N42" i="151"/>
  <c r="AJ42" i="151"/>
  <c r="AN42" i="151"/>
  <c r="AH42" i="151"/>
  <c r="H42" i="151"/>
  <c r="L42" i="151"/>
  <c r="AR60" i="151"/>
  <c r="N60" i="151"/>
  <c r="AR42" i="151"/>
  <c r="AF42" i="151"/>
  <c r="J42" i="151"/>
  <c r="AT42" i="151"/>
  <c r="Z42" i="151"/>
  <c r="V42" i="151"/>
  <c r="X42" i="151"/>
  <c r="L60" i="151"/>
  <c r="AT60" i="151"/>
  <c r="C49" i="151"/>
  <c r="AH49" i="151" s="1"/>
  <c r="C40" i="151"/>
  <c r="AH40" i="151" s="1"/>
  <c r="C58" i="151"/>
  <c r="AH58" i="151" s="1"/>
  <c r="C67" i="151"/>
  <c r="AT67" i="151" s="1"/>
  <c r="AD60" i="151"/>
  <c r="R60" i="151"/>
  <c r="F60" i="151"/>
  <c r="AF60" i="151"/>
  <c r="P60" i="151"/>
  <c r="AL60" i="151"/>
  <c r="AH60" i="151"/>
  <c r="AP60" i="151"/>
  <c r="AN60" i="151"/>
  <c r="AJ60" i="151"/>
  <c r="X60" i="151"/>
  <c r="T60" i="151"/>
  <c r="AB60" i="151"/>
  <c r="J60" i="151"/>
  <c r="Z60" i="151"/>
  <c r="AD42" i="151"/>
  <c r="AL42" i="151"/>
  <c r="AP42" i="151"/>
  <c r="AB42" i="151"/>
  <c r="T42" i="151"/>
  <c r="F42" i="151"/>
  <c r="C32" i="151"/>
  <c r="P32" i="151" s="1"/>
  <c r="V60" i="151"/>
  <c r="L915" i="1"/>
  <c r="N865" i="1"/>
  <c r="S865" i="1" s="1"/>
  <c r="N895" i="1"/>
  <c r="S895" i="1" s="1"/>
  <c r="N915" i="1"/>
  <c r="K406" i="128"/>
  <c r="K408" i="128" s="1"/>
  <c r="K537" i="128"/>
  <c r="K539" i="128" s="1"/>
  <c r="K547" i="128"/>
  <c r="K397" i="128"/>
  <c r="K399" i="128" s="1"/>
  <c r="K401" i="128" s="1"/>
  <c r="K390" i="128"/>
  <c r="K392" i="128" s="1"/>
  <c r="J67" i="151" l="1"/>
  <c r="P67" i="151"/>
  <c r="AN67" i="151"/>
  <c r="X40" i="151"/>
  <c r="N67" i="151"/>
  <c r="L67" i="151"/>
  <c r="AF49" i="151"/>
  <c r="Z67" i="151"/>
  <c r="AL67" i="151"/>
  <c r="V67" i="151"/>
  <c r="AB67" i="151"/>
  <c r="AL40" i="151"/>
  <c r="V40" i="151"/>
  <c r="AR32" i="151"/>
  <c r="AB40" i="151"/>
  <c r="L40" i="151"/>
  <c r="AP67" i="151"/>
  <c r="AT49" i="151"/>
  <c r="R49" i="151"/>
  <c r="AP49" i="151"/>
  <c r="V49" i="151"/>
  <c r="N49" i="151"/>
  <c r="F49" i="151"/>
  <c r="AN49" i="151"/>
  <c r="AD49" i="151"/>
  <c r="T49" i="151"/>
  <c r="L49" i="151"/>
  <c r="J49" i="151"/>
  <c r="Z49" i="151"/>
  <c r="AB49" i="151"/>
  <c r="AL49" i="151"/>
  <c r="H49" i="151"/>
  <c r="P49" i="151"/>
  <c r="AR49" i="151"/>
  <c r="AJ49" i="151"/>
  <c r="X49" i="151"/>
  <c r="T67" i="151"/>
  <c r="AD67" i="151"/>
  <c r="H58" i="151"/>
  <c r="R67" i="151"/>
  <c r="AH67" i="151"/>
  <c r="X67" i="151"/>
  <c r="AJ67" i="151"/>
  <c r="P58" i="151"/>
  <c r="AH32" i="151"/>
  <c r="N32" i="151"/>
  <c r="AJ32" i="151"/>
  <c r="H40" i="151"/>
  <c r="F40" i="151"/>
  <c r="AT40" i="151"/>
  <c r="T40" i="151"/>
  <c r="AF40" i="151"/>
  <c r="AJ40" i="151"/>
  <c r="AT32" i="151"/>
  <c r="V32" i="151"/>
  <c r="AR40" i="151"/>
  <c r="AP40" i="151"/>
  <c r="P40" i="151"/>
  <c r="Z40" i="151"/>
  <c r="AD40" i="151"/>
  <c r="R32" i="151"/>
  <c r="AP32" i="151"/>
  <c r="J40" i="151"/>
  <c r="AN40" i="151"/>
  <c r="R40" i="151"/>
  <c r="N40" i="151"/>
  <c r="AD58" i="151"/>
  <c r="F58" i="151"/>
  <c r="R58" i="151"/>
  <c r="AB58" i="151"/>
  <c r="F67" i="151"/>
  <c r="V58" i="151"/>
  <c r="AT58" i="151"/>
  <c r="X58" i="151"/>
  <c r="AR58" i="151"/>
  <c r="AJ58" i="151"/>
  <c r="N58" i="151"/>
  <c r="AP58" i="151"/>
  <c r="T58" i="151"/>
  <c r="J58" i="151"/>
  <c r="AF58" i="151"/>
  <c r="AD32" i="151"/>
  <c r="AL32" i="151"/>
  <c r="AB32" i="151"/>
  <c r="L32" i="151"/>
  <c r="H67" i="151"/>
  <c r="AR67" i="151"/>
  <c r="T32" i="151"/>
  <c r="X32" i="151"/>
  <c r="AF67" i="151"/>
  <c r="Z32" i="151"/>
  <c r="AL58" i="151"/>
  <c r="AN32" i="151"/>
  <c r="F32" i="151"/>
  <c r="AF32" i="151"/>
  <c r="L58" i="151"/>
  <c r="AN58" i="151"/>
  <c r="H32" i="151"/>
  <c r="J32" i="151"/>
  <c r="Z58" i="151"/>
  <c r="K402" i="128"/>
  <c r="K404" i="128" s="1"/>
  <c r="K388" i="128" s="1"/>
  <c r="G343" i="1" l="1"/>
  <c r="J343" i="1" s="1"/>
  <c r="L343" i="1" s="1"/>
  <c r="N343" i="1" s="1"/>
  <c r="S343" i="1" s="1"/>
  <c r="G194" i="1"/>
  <c r="J194" i="1" s="1"/>
  <c r="L194" i="1" s="1"/>
  <c r="N194" i="1" s="1"/>
  <c r="S194" i="1" s="1"/>
  <c r="G487" i="1"/>
  <c r="J487" i="1" s="1"/>
  <c r="L487" i="1" s="1"/>
  <c r="N487" i="1" s="1"/>
  <c r="S487" i="1" s="1"/>
  <c r="K628" i="1"/>
  <c r="M628" i="1" s="1"/>
  <c r="N628" i="1" s="1"/>
  <c r="S628" i="1" s="1"/>
  <c r="K1128" i="128" l="1"/>
  <c r="K541" i="128"/>
  <c r="K543" i="128" s="1"/>
  <c r="K524" i="128" s="1"/>
  <c r="K567" i="128"/>
  <c r="K1092" i="128" l="1"/>
  <c r="K1090" i="128"/>
  <c r="K1073" i="128"/>
  <c r="K820" i="128"/>
  <c r="K819" i="128"/>
  <c r="K807" i="128"/>
  <c r="K1035" i="128"/>
  <c r="K584" i="128"/>
  <c r="K505" i="128"/>
  <c r="K515" i="128"/>
  <c r="K517" i="128" s="1"/>
  <c r="K510" i="128"/>
  <c r="K504" i="128"/>
  <c r="K503" i="128"/>
  <c r="K1091" i="128"/>
  <c r="K1089" i="128"/>
  <c r="K1076" i="128"/>
  <c r="K1072" i="128"/>
  <c r="K1071" i="128"/>
  <c r="K1061" i="128"/>
  <c r="K1060" i="128"/>
  <c r="K818" i="128"/>
  <c r="K817" i="128"/>
  <c r="K806" i="128"/>
  <c r="K805" i="128"/>
  <c r="K1047" i="128"/>
  <c r="K1034" i="128"/>
  <c r="K1033" i="128"/>
  <c r="K589" i="128"/>
  <c r="K583" i="128"/>
  <c r="K582" i="128"/>
  <c r="K562" i="128"/>
  <c r="K556" i="128"/>
  <c r="K1123" i="128"/>
  <c r="K1117" i="128"/>
  <c r="K383" i="128"/>
  <c r="K379" i="128"/>
  <c r="K378" i="128"/>
  <c r="K368" i="128"/>
  <c r="K367" i="128"/>
  <c r="K373" i="128"/>
  <c r="K365" i="128"/>
  <c r="K506" i="128" l="1"/>
  <c r="K381" i="128"/>
  <c r="K798" i="128"/>
  <c r="K802" i="128"/>
  <c r="K1084" i="128"/>
  <c r="K1086" i="128"/>
  <c r="K801" i="128"/>
  <c r="K1085" i="128"/>
  <c r="K799" i="128"/>
  <c r="K800" i="128"/>
  <c r="K1104" i="128"/>
  <c r="K1083" i="128"/>
  <c r="K1036" i="128"/>
  <c r="K1038" i="128" s="1"/>
  <c r="K1040" i="128" s="1"/>
  <c r="K1134" i="128"/>
  <c r="K1115" i="128"/>
  <c r="K797" i="128"/>
  <c r="K1074" i="128"/>
  <c r="K558" i="128"/>
  <c r="K578" i="128"/>
  <c r="K580" i="128" s="1"/>
  <c r="K1058" i="128"/>
  <c r="K1062" i="128"/>
  <c r="K1064" i="128" s="1"/>
  <c r="K1066" i="128" s="1"/>
  <c r="K499" i="128"/>
  <c r="K827" i="128"/>
  <c r="K1108" i="128"/>
  <c r="K569" i="128"/>
  <c r="K1093" i="128"/>
  <c r="K1095" i="128" s="1"/>
  <c r="K1097" i="128" s="1"/>
  <c r="K500" i="128"/>
  <c r="K554" i="128"/>
  <c r="K573" i="128"/>
  <c r="K1119" i="128"/>
  <c r="K1029" i="128"/>
  <c r="K1031" i="128" s="1"/>
  <c r="K1078" i="128"/>
  <c r="K521" i="128"/>
  <c r="K808" i="128"/>
  <c r="K810" i="128" s="1"/>
  <c r="K812" i="128" s="1"/>
  <c r="K1051" i="128"/>
  <c r="K585" i="128"/>
  <c r="K600" i="128"/>
  <c r="K1130" i="128"/>
  <c r="K385" i="128"/>
  <c r="K369" i="128"/>
  <c r="K374" i="128" s="1"/>
  <c r="K376" i="128" s="1"/>
  <c r="K361" i="128" l="1"/>
  <c r="K1087" i="128"/>
  <c r="K1098" i="128" s="1"/>
  <c r="K1100" i="128" s="1"/>
  <c r="K1081" i="128" s="1"/>
  <c r="K803" i="128"/>
  <c r="K813" i="128" s="1"/>
  <c r="K815" i="128" s="1"/>
  <c r="K1124" i="128"/>
  <c r="K1126" i="128" s="1"/>
  <c r="K1111" i="128" s="1"/>
  <c r="K590" i="128"/>
  <c r="K592" i="128" s="1"/>
  <c r="K501" i="128"/>
  <c r="K511" i="128" s="1"/>
  <c r="K513" i="128" s="1"/>
  <c r="K497" i="128" s="1"/>
  <c r="K1067" i="128"/>
  <c r="K1069" i="128" s="1"/>
  <c r="K1054" i="128" s="1"/>
  <c r="K1041" i="128"/>
  <c r="K1043" i="128" s="1"/>
  <c r="K1027" i="128" s="1"/>
  <c r="K563" i="128"/>
  <c r="K565" i="128" s="1"/>
  <c r="K550" i="128" s="1"/>
  <c r="K31" i="128"/>
  <c r="K19" i="128"/>
  <c r="K17" i="128"/>
  <c r="K12" i="128"/>
  <c r="K15" i="128" s="1"/>
  <c r="G533" i="1" l="1"/>
  <c r="J533" i="1" s="1"/>
  <c r="L533" i="1" s="1"/>
  <c r="N533" i="1" s="1"/>
  <c r="S533" i="1" s="1"/>
  <c r="G27" i="1"/>
  <c r="J27" i="1" s="1"/>
  <c r="L27" i="1" s="1"/>
  <c r="L23" i="1" s="1"/>
  <c r="G855" i="1"/>
  <c r="J855" i="1" s="1"/>
  <c r="L855" i="1" s="1"/>
  <c r="N855" i="1" s="1"/>
  <c r="S855" i="1" s="1"/>
  <c r="G884" i="1"/>
  <c r="J884" i="1" s="1"/>
  <c r="L884" i="1" s="1"/>
  <c r="N884" i="1" s="1"/>
  <c r="S884" i="1" s="1"/>
  <c r="G914" i="1"/>
  <c r="J914" i="1" s="1"/>
  <c r="L914" i="1" s="1"/>
  <c r="N914" i="1" s="1"/>
  <c r="S914" i="1" s="1"/>
  <c r="G869" i="1"/>
  <c r="J869" i="1" s="1"/>
  <c r="L869" i="1" s="1"/>
  <c r="N869" i="1" s="1"/>
  <c r="S869" i="1" s="1"/>
  <c r="G899" i="1"/>
  <c r="J899" i="1" s="1"/>
  <c r="L899" i="1" s="1"/>
  <c r="N899" i="1" s="1"/>
  <c r="S899" i="1" s="1"/>
  <c r="G234" i="1"/>
  <c r="J234" i="1" s="1"/>
  <c r="L234" i="1" s="1"/>
  <c r="G440" i="1"/>
  <c r="J440" i="1" s="1"/>
  <c r="L440" i="1" s="1"/>
  <c r="L384" i="1" s="1"/>
  <c r="G383" i="1"/>
  <c r="J383" i="1" s="1"/>
  <c r="L383" i="1" s="1"/>
  <c r="G772" i="1"/>
  <c r="J772" i="1" s="1"/>
  <c r="L772" i="1" s="1"/>
  <c r="N772" i="1" s="1"/>
  <c r="S772" i="1" s="1"/>
  <c r="G780" i="1"/>
  <c r="J780" i="1" s="1"/>
  <c r="L780" i="1" s="1"/>
  <c r="N780" i="1" s="1"/>
  <c r="S780" i="1" s="1"/>
  <c r="G287" i="1"/>
  <c r="J287" i="1" s="1"/>
  <c r="L287" i="1" s="1"/>
  <c r="G443" i="1"/>
  <c r="J443" i="1" s="1"/>
  <c r="L443" i="1" s="1"/>
  <c r="G154" i="1"/>
  <c r="J154" i="1" s="1"/>
  <c r="L154" i="1" s="1"/>
  <c r="K20" i="128"/>
  <c r="K25" i="128" s="1"/>
  <c r="L441" i="1" l="1"/>
  <c r="N27" i="1"/>
  <c r="S27" i="1" s="1"/>
  <c r="L152" i="1"/>
  <c r="L285" i="1"/>
  <c r="N234" i="1"/>
  <c r="S234" i="1" s="1"/>
  <c r="N383" i="1"/>
  <c r="S383" i="1" s="1"/>
  <c r="N440" i="1"/>
  <c r="S440" i="1" s="1"/>
  <c r="S384" i="1" s="1"/>
  <c r="C26" i="141"/>
  <c r="N443" i="1"/>
  <c r="S443" i="1" s="1"/>
  <c r="S441" i="1" s="1"/>
  <c r="N287" i="1"/>
  <c r="S287" i="1" s="1"/>
  <c r="S285" i="1" s="1"/>
  <c r="N154" i="1"/>
  <c r="S154" i="1" s="1"/>
  <c r="K27" i="128"/>
  <c r="K10" i="128" s="1"/>
  <c r="S152" i="1" l="1"/>
  <c r="S151" i="1" s="1"/>
  <c r="N23" i="1"/>
  <c r="C12" i="141" s="1"/>
  <c r="S23" i="1"/>
  <c r="N384" i="1"/>
  <c r="L151" i="1"/>
  <c r="N285" i="1"/>
  <c r="N152" i="1"/>
  <c r="N441" i="1"/>
  <c r="G778" i="1"/>
  <c r="J778" i="1" s="1"/>
  <c r="L778" i="1" s="1"/>
  <c r="N778" i="1" s="1"/>
  <c r="S778" i="1" s="1"/>
  <c r="G770" i="1"/>
  <c r="J770" i="1" s="1"/>
  <c r="L770" i="1" s="1"/>
  <c r="G88" i="1"/>
  <c r="J88" i="1" s="1"/>
  <c r="L88" i="1" s="1"/>
  <c r="L74" i="1" s="1"/>
  <c r="G99" i="1"/>
  <c r="J99" i="1" s="1"/>
  <c r="L99" i="1" s="1"/>
  <c r="L90" i="1" s="1"/>
  <c r="C17" i="151" l="1"/>
  <c r="Z17" i="151" s="1"/>
  <c r="C25" i="151"/>
  <c r="AP25" i="151" s="1"/>
  <c r="C43" i="151"/>
  <c r="AH43" i="151" s="1"/>
  <c r="C61" i="151"/>
  <c r="AN61" i="151" s="1"/>
  <c r="C52" i="151"/>
  <c r="N770" i="1"/>
  <c r="S770" i="1" s="1"/>
  <c r="S767" i="1" s="1"/>
  <c r="S766" i="1" s="1"/>
  <c r="L767" i="1"/>
  <c r="L766" i="1" s="1"/>
  <c r="N151" i="1"/>
  <c r="N99" i="1"/>
  <c r="S99" i="1" s="1"/>
  <c r="S90" i="1" s="1"/>
  <c r="N88" i="1"/>
  <c r="S88" i="1" s="1"/>
  <c r="S74" i="1" s="1"/>
  <c r="L73" i="1"/>
  <c r="K629" i="1"/>
  <c r="M629" i="1" s="1"/>
  <c r="N629" i="1" s="1"/>
  <c r="S629" i="1" s="1"/>
  <c r="S73" i="1" l="1"/>
  <c r="AN17" i="151"/>
  <c r="V17" i="151"/>
  <c r="AH17" i="151"/>
  <c r="C15" i="151"/>
  <c r="C68" i="151" s="1"/>
  <c r="AP17" i="151"/>
  <c r="AR17" i="151"/>
  <c r="AD17" i="151"/>
  <c r="P17" i="151"/>
  <c r="X17" i="151"/>
  <c r="H17" i="151"/>
  <c r="AL17" i="151"/>
  <c r="T17" i="151"/>
  <c r="AT17" i="151"/>
  <c r="AF17" i="151"/>
  <c r="N17" i="151"/>
  <c r="AJ17" i="151"/>
  <c r="F17" i="151"/>
  <c r="J17" i="151"/>
  <c r="L17" i="151"/>
  <c r="R17" i="151"/>
  <c r="AB17" i="151"/>
  <c r="Z25" i="151"/>
  <c r="AD25" i="151"/>
  <c r="AB25" i="151"/>
  <c r="AT25" i="151"/>
  <c r="AR25" i="151"/>
  <c r="N43" i="151"/>
  <c r="L43" i="151"/>
  <c r="AD61" i="151"/>
  <c r="T25" i="151"/>
  <c r="T43" i="151"/>
  <c r="AT43" i="151"/>
  <c r="AN43" i="151"/>
  <c r="AF25" i="151"/>
  <c r="P61" i="151"/>
  <c r="Z43" i="151"/>
  <c r="AR43" i="151"/>
  <c r="AP61" i="151"/>
  <c r="AP43" i="151"/>
  <c r="AH25" i="151"/>
  <c r="P43" i="151"/>
  <c r="P25" i="151"/>
  <c r="L25" i="151"/>
  <c r="F43" i="151"/>
  <c r="AL25" i="151"/>
  <c r="T61" i="151"/>
  <c r="R25" i="151"/>
  <c r="AT61" i="151"/>
  <c r="F25" i="151"/>
  <c r="AJ25" i="151"/>
  <c r="R43" i="151"/>
  <c r="N25" i="151"/>
  <c r="H43" i="151"/>
  <c r="H25" i="151"/>
  <c r="AN25" i="151"/>
  <c r="X25" i="151"/>
  <c r="J25" i="151"/>
  <c r="J43" i="151"/>
  <c r="V25" i="151"/>
  <c r="J61" i="151"/>
  <c r="R61" i="151"/>
  <c r="L61" i="151"/>
  <c r="AB43" i="151"/>
  <c r="AJ43" i="151"/>
  <c r="AR61" i="151"/>
  <c r="V43" i="151"/>
  <c r="AD43" i="151"/>
  <c r="AL43" i="151"/>
  <c r="N74" i="1"/>
  <c r="AN52" i="151"/>
  <c r="X52" i="151"/>
  <c r="AL52" i="151"/>
  <c r="J52" i="151"/>
  <c r="AH52" i="151"/>
  <c r="F52" i="151"/>
  <c r="AD52" i="151"/>
  <c r="AT52" i="151"/>
  <c r="L52" i="151"/>
  <c r="V52" i="151"/>
  <c r="AP52" i="151"/>
  <c r="P52" i="151"/>
  <c r="AF52" i="151"/>
  <c r="R52" i="151"/>
  <c r="N52" i="151"/>
  <c r="AR52" i="151"/>
  <c r="H52" i="151"/>
  <c r="T52" i="151"/>
  <c r="AB52" i="151"/>
  <c r="AJ52" i="151"/>
  <c r="Z52" i="151"/>
  <c r="N90" i="1"/>
  <c r="F61" i="151"/>
  <c r="AF61" i="151"/>
  <c r="AB61" i="151"/>
  <c r="AH61" i="151"/>
  <c r="X61" i="151"/>
  <c r="N61" i="151"/>
  <c r="H61" i="151"/>
  <c r="X43" i="151"/>
  <c r="AJ61" i="151"/>
  <c r="V61" i="151"/>
  <c r="AL61" i="151"/>
  <c r="AF43" i="151"/>
  <c r="Z61" i="151"/>
  <c r="N73" i="1" l="1"/>
  <c r="C24" i="151"/>
  <c r="C34" i="151"/>
  <c r="C16" i="141" l="1"/>
  <c r="R34" i="151"/>
  <c r="F34" i="151"/>
  <c r="N34" i="151"/>
  <c r="AN34" i="151"/>
  <c r="X34" i="151"/>
  <c r="P34" i="151"/>
  <c r="J34" i="151"/>
  <c r="T34" i="151"/>
  <c r="H34" i="151"/>
  <c r="L34" i="151"/>
  <c r="V34" i="151"/>
  <c r="AF34" i="151"/>
  <c r="AJ34" i="151"/>
  <c r="AT34" i="151"/>
  <c r="AP34" i="151"/>
  <c r="AB34" i="151"/>
  <c r="Z34" i="151"/>
  <c r="AD34" i="151"/>
  <c r="AH34" i="151"/>
  <c r="AL34" i="151"/>
  <c r="AR34" i="151"/>
  <c r="AJ24" i="151"/>
  <c r="AD24" i="151"/>
  <c r="R24" i="151"/>
  <c r="X24" i="151"/>
  <c r="P24" i="151"/>
  <c r="H24" i="151"/>
  <c r="N24" i="151"/>
  <c r="T24" i="151"/>
  <c r="AH24" i="151"/>
  <c r="AF24" i="151"/>
  <c r="F24" i="151"/>
  <c r="Z24" i="151"/>
  <c r="AT24" i="151"/>
  <c r="AL24" i="151"/>
  <c r="L24" i="151"/>
  <c r="J24" i="151"/>
  <c r="AB24" i="151"/>
  <c r="AN24" i="151"/>
  <c r="V24" i="151"/>
  <c r="AP24" i="151"/>
  <c r="AR24" i="151"/>
  <c r="K916" i="128"/>
  <c r="K917" i="128" s="1"/>
  <c r="K890" i="128" s="1"/>
  <c r="G911" i="1" l="1"/>
  <c r="J911" i="1" s="1"/>
  <c r="L911" i="1" s="1"/>
  <c r="N911" i="1" s="1"/>
  <c r="S911" i="1" s="1"/>
  <c r="G881" i="1"/>
  <c r="J881" i="1" s="1"/>
  <c r="L881" i="1" s="1"/>
  <c r="G896" i="1"/>
  <c r="J896" i="1" s="1"/>
  <c r="L896" i="1" s="1"/>
  <c r="L885" i="1" s="1"/>
  <c r="G850" i="1"/>
  <c r="J850" i="1" s="1"/>
  <c r="L850" i="1" s="1"/>
  <c r="N850" i="1" s="1"/>
  <c r="S850" i="1" s="1"/>
  <c r="G866" i="1"/>
  <c r="J866" i="1" s="1"/>
  <c r="L866" i="1" s="1"/>
  <c r="L856" i="1" s="1"/>
  <c r="K594" i="128"/>
  <c r="K596" i="128" s="1"/>
  <c r="K576" i="128" s="1"/>
  <c r="N896" i="1" l="1"/>
  <c r="S896" i="1" s="1"/>
  <c r="S885" i="1" s="1"/>
  <c r="N881" i="1"/>
  <c r="S881" i="1" s="1"/>
  <c r="N866" i="1"/>
  <c r="S866" i="1" s="1"/>
  <c r="S856" i="1" s="1"/>
  <c r="K821" i="128"/>
  <c r="K822" i="128"/>
  <c r="N856" i="1" l="1"/>
  <c r="N885" i="1"/>
  <c r="K823" i="128"/>
  <c r="K795" i="128" s="1"/>
  <c r="C57" i="151" l="1"/>
  <c r="C39" i="151"/>
  <c r="G846" i="1"/>
  <c r="J846" i="1" s="1"/>
  <c r="L846" i="1" s="1"/>
  <c r="L837" i="1" s="1"/>
  <c r="G879" i="1"/>
  <c r="J879" i="1" s="1"/>
  <c r="L879" i="1" s="1"/>
  <c r="L870" i="1" s="1"/>
  <c r="G909" i="1"/>
  <c r="J909" i="1" s="1"/>
  <c r="L909" i="1" s="1"/>
  <c r="L900" i="1" s="1"/>
  <c r="AB39" i="151" l="1"/>
  <c r="AB33" i="151" s="1"/>
  <c r="P39" i="151"/>
  <c r="P33" i="151" s="1"/>
  <c r="F39" i="151"/>
  <c r="F33" i="151" s="1"/>
  <c r="F70" i="151" s="1"/>
  <c r="AH39" i="151"/>
  <c r="AH33" i="151" s="1"/>
  <c r="H39" i="151"/>
  <c r="H33" i="151" s="1"/>
  <c r="Z39" i="151"/>
  <c r="Z33" i="151" s="1"/>
  <c r="AF39" i="151"/>
  <c r="AF33" i="151" s="1"/>
  <c r="AN39" i="151"/>
  <c r="AN33" i="151" s="1"/>
  <c r="C33" i="151"/>
  <c r="C70" i="151" s="1"/>
  <c r="AT39" i="151"/>
  <c r="AT33" i="151" s="1"/>
  <c r="AD39" i="151"/>
  <c r="AD33" i="151" s="1"/>
  <c r="X39" i="151"/>
  <c r="X33" i="151" s="1"/>
  <c r="J39" i="151"/>
  <c r="J33" i="151" s="1"/>
  <c r="AJ39" i="151"/>
  <c r="AJ33" i="151" s="1"/>
  <c r="AR39" i="151"/>
  <c r="AR33" i="151" s="1"/>
  <c r="AL39" i="151"/>
  <c r="AL33" i="151" s="1"/>
  <c r="T39" i="151"/>
  <c r="T33" i="151" s="1"/>
  <c r="V39" i="151"/>
  <c r="V33" i="151" s="1"/>
  <c r="N39" i="151"/>
  <c r="N33" i="151" s="1"/>
  <c r="L39" i="151"/>
  <c r="L33" i="151" s="1"/>
  <c r="AP39" i="151"/>
  <c r="AP33" i="151" s="1"/>
  <c r="R39" i="151"/>
  <c r="R33" i="151" s="1"/>
  <c r="X57" i="151"/>
  <c r="X50" i="151" s="1"/>
  <c r="F57" i="151"/>
  <c r="F50" i="151" s="1"/>
  <c r="P57" i="151"/>
  <c r="P50" i="151" s="1"/>
  <c r="P72" i="151" s="1"/>
  <c r="L57" i="151"/>
  <c r="L50" i="151" s="1"/>
  <c r="L72" i="151" s="1"/>
  <c r="V57" i="151"/>
  <c r="V50" i="151" s="1"/>
  <c r="V72" i="151" s="1"/>
  <c r="AB57" i="151"/>
  <c r="AB50" i="151" s="1"/>
  <c r="T57" i="151"/>
  <c r="T50" i="151" s="1"/>
  <c r="AN57" i="151"/>
  <c r="AN50" i="151" s="1"/>
  <c r="AN72" i="151" s="1"/>
  <c r="C50" i="151"/>
  <c r="C72" i="151" s="1"/>
  <c r="AP57" i="151"/>
  <c r="AP50" i="151" s="1"/>
  <c r="AP72" i="151" s="1"/>
  <c r="AR57" i="151"/>
  <c r="AR50" i="151" s="1"/>
  <c r="AR72" i="151" s="1"/>
  <c r="AF57" i="151"/>
  <c r="AF50" i="151" s="1"/>
  <c r="AF72" i="151" s="1"/>
  <c r="Z57" i="151"/>
  <c r="Z50" i="151" s="1"/>
  <c r="J57" i="151"/>
  <c r="J50" i="151" s="1"/>
  <c r="AL57" i="151"/>
  <c r="AL50" i="151" s="1"/>
  <c r="AL72" i="151" s="1"/>
  <c r="AH57" i="151"/>
  <c r="AH50" i="151" s="1"/>
  <c r="AH72" i="151" s="1"/>
  <c r="N57" i="151"/>
  <c r="N50" i="151" s="1"/>
  <c r="N72" i="151" s="1"/>
  <c r="R57" i="151"/>
  <c r="R50" i="151" s="1"/>
  <c r="AD57" i="151"/>
  <c r="AD50" i="151" s="1"/>
  <c r="AD72" i="151" s="1"/>
  <c r="H57" i="151"/>
  <c r="H50" i="151" s="1"/>
  <c r="H72" i="151" s="1"/>
  <c r="AT57" i="151"/>
  <c r="AT50" i="151" s="1"/>
  <c r="AJ57" i="151"/>
  <c r="AJ50" i="151" s="1"/>
  <c r="N846" i="1"/>
  <c r="S846" i="1" s="1"/>
  <c r="N909" i="1"/>
  <c r="S909" i="1" s="1"/>
  <c r="S900" i="1" s="1"/>
  <c r="N879" i="1"/>
  <c r="S879" i="1" s="1"/>
  <c r="S870" i="1" s="1"/>
  <c r="K626" i="1"/>
  <c r="M626" i="1" s="1"/>
  <c r="Y50" i="151" l="1"/>
  <c r="Q50" i="151"/>
  <c r="AI50" i="151"/>
  <c r="I50" i="151"/>
  <c r="AO72" i="151"/>
  <c r="E50" i="151"/>
  <c r="W50" i="151"/>
  <c r="R72" i="151"/>
  <c r="Q72" i="151" s="1"/>
  <c r="AE72" i="151"/>
  <c r="AQ72" i="151"/>
  <c r="AM72" i="151"/>
  <c r="AS50" i="151"/>
  <c r="G72" i="151"/>
  <c r="AC72" i="151"/>
  <c r="M50" i="151"/>
  <c r="S50" i="151"/>
  <c r="AC50" i="151"/>
  <c r="AO50" i="151"/>
  <c r="E70" i="151"/>
  <c r="AA50" i="151"/>
  <c r="AB72" i="151"/>
  <c r="AA72" i="151" s="1"/>
  <c r="AK72" i="151"/>
  <c r="AK50" i="151"/>
  <c r="T72" i="151"/>
  <c r="S72" i="151" s="1"/>
  <c r="M72" i="151"/>
  <c r="X70" i="151"/>
  <c r="W33" i="151"/>
  <c r="AS33" i="151"/>
  <c r="AT70" i="151"/>
  <c r="L70" i="151"/>
  <c r="K33" i="151"/>
  <c r="AN70" i="151"/>
  <c r="AM33" i="151"/>
  <c r="J72" i="151"/>
  <c r="I72" i="151" s="1"/>
  <c r="X72" i="151"/>
  <c r="W72" i="151" s="1"/>
  <c r="N70" i="151"/>
  <c r="M33" i="151"/>
  <c r="AF70" i="151"/>
  <c r="AE33" i="151"/>
  <c r="Z70" i="151"/>
  <c r="Y33" i="151"/>
  <c r="N870" i="1"/>
  <c r="E33" i="151"/>
  <c r="O72" i="151"/>
  <c r="AG50" i="151"/>
  <c r="T70" i="151"/>
  <c r="S33" i="151"/>
  <c r="H70" i="151"/>
  <c r="G33" i="151"/>
  <c r="AD70" i="151"/>
  <c r="AC33" i="151"/>
  <c r="V70" i="151"/>
  <c r="U33" i="151"/>
  <c r="AJ72" i="151"/>
  <c r="AI72" i="151" s="1"/>
  <c r="AT72" i="151"/>
  <c r="AS72" i="151" s="1"/>
  <c r="AL70" i="151"/>
  <c r="AK33" i="151"/>
  <c r="AH70" i="151"/>
  <c r="AG33" i="151"/>
  <c r="AE50" i="151"/>
  <c r="AG72" i="151"/>
  <c r="G50" i="151"/>
  <c r="AQ50" i="151"/>
  <c r="AR70" i="151"/>
  <c r="AQ33" i="151"/>
  <c r="R70" i="151"/>
  <c r="Q33" i="151"/>
  <c r="F72" i="151"/>
  <c r="E72" i="151" s="1"/>
  <c r="U72" i="151"/>
  <c r="Z72" i="151"/>
  <c r="Y72" i="151" s="1"/>
  <c r="K72" i="151"/>
  <c r="AJ70" i="151"/>
  <c r="AI33" i="151"/>
  <c r="P70" i="151"/>
  <c r="O33" i="151"/>
  <c r="AP70" i="151"/>
  <c r="AO33" i="151"/>
  <c r="AM50" i="151"/>
  <c r="O50" i="151"/>
  <c r="U50" i="151"/>
  <c r="K50" i="151"/>
  <c r="J70" i="151"/>
  <c r="I33" i="151"/>
  <c r="AB70" i="151"/>
  <c r="AA33" i="151"/>
  <c r="L836" i="1"/>
  <c r="L981" i="1" s="1"/>
  <c r="N900" i="1"/>
  <c r="N626" i="1"/>
  <c r="S626" i="1" s="1"/>
  <c r="AU50" i="151" l="1"/>
  <c r="AU33" i="151"/>
  <c r="AU72" i="151"/>
  <c r="C48" i="151"/>
  <c r="Q70" i="151"/>
  <c r="M70" i="151"/>
  <c r="AG70" i="151"/>
  <c r="W70" i="151"/>
  <c r="Y70" i="151"/>
  <c r="AM70" i="151"/>
  <c r="O70" i="151"/>
  <c r="AI70" i="151"/>
  <c r="K70" i="151"/>
  <c r="AC70" i="151"/>
  <c r="U70" i="151"/>
  <c r="S70" i="151"/>
  <c r="AO70" i="151"/>
  <c r="AE70" i="151"/>
  <c r="I70" i="151"/>
  <c r="G70" i="151"/>
  <c r="AS70" i="151"/>
  <c r="AA70" i="151"/>
  <c r="AK70" i="151"/>
  <c r="AQ70" i="151"/>
  <c r="C66" i="151"/>
  <c r="C59" i="151" s="1"/>
  <c r="AU70" i="151" l="1"/>
  <c r="AR48" i="151"/>
  <c r="AR41" i="151" s="1"/>
  <c r="AR71" i="151" s="1"/>
  <c r="H48" i="151"/>
  <c r="H41" i="151" s="1"/>
  <c r="H71" i="151" s="1"/>
  <c r="N48" i="151"/>
  <c r="N41" i="151" s="1"/>
  <c r="N71" i="151" s="1"/>
  <c r="AB48" i="151"/>
  <c r="AB41" i="151" s="1"/>
  <c r="AB71" i="151" s="1"/>
  <c r="Z48" i="151"/>
  <c r="Z41" i="151" s="1"/>
  <c r="AN48" i="151"/>
  <c r="AN41" i="151" s="1"/>
  <c r="AN71" i="151" s="1"/>
  <c r="AL48" i="151"/>
  <c r="AL41" i="151" s="1"/>
  <c r="AL71" i="151" s="1"/>
  <c r="AJ48" i="151"/>
  <c r="AJ41" i="151" s="1"/>
  <c r="AJ71" i="151" s="1"/>
  <c r="J48" i="151"/>
  <c r="J41" i="151" s="1"/>
  <c r="L48" i="151"/>
  <c r="L41" i="151" s="1"/>
  <c r="AT48" i="151"/>
  <c r="AT41" i="151" s="1"/>
  <c r="AT71" i="151" s="1"/>
  <c r="C41" i="151"/>
  <c r="C71" i="151" s="1"/>
  <c r="P48" i="151"/>
  <c r="P41" i="151" s="1"/>
  <c r="P71" i="151" s="1"/>
  <c r="AH48" i="151"/>
  <c r="AH41" i="151" s="1"/>
  <c r="AH71" i="151" s="1"/>
  <c r="AP48" i="151"/>
  <c r="AP41" i="151" s="1"/>
  <c r="AP71" i="151" s="1"/>
  <c r="X48" i="151"/>
  <c r="X41" i="151" s="1"/>
  <c r="X71" i="151" s="1"/>
  <c r="V48" i="151"/>
  <c r="V41" i="151" s="1"/>
  <c r="V71" i="151" s="1"/>
  <c r="F48" i="151"/>
  <c r="F41" i="151" s="1"/>
  <c r="AF48" i="151"/>
  <c r="AF41" i="151" s="1"/>
  <c r="T48" i="151"/>
  <c r="T41" i="151" s="1"/>
  <c r="AD48" i="151"/>
  <c r="AD41" i="151" s="1"/>
  <c r="R48" i="151"/>
  <c r="R41" i="151" s="1"/>
  <c r="AL66" i="151"/>
  <c r="AH66" i="151"/>
  <c r="AT66" i="151"/>
  <c r="AR66" i="151"/>
  <c r="AP66" i="151"/>
  <c r="AN66" i="151"/>
  <c r="AJ66" i="151"/>
  <c r="AF66" i="151"/>
  <c r="AD66" i="151"/>
  <c r="AB66" i="151"/>
  <c r="Z66" i="151"/>
  <c r="X66" i="151"/>
  <c r="V66" i="151"/>
  <c r="T66" i="151"/>
  <c r="R66" i="151"/>
  <c r="P66" i="151"/>
  <c r="N66" i="151"/>
  <c r="L66" i="151"/>
  <c r="J66" i="151"/>
  <c r="H66" i="151"/>
  <c r="F66" i="151"/>
  <c r="K648" i="1"/>
  <c r="M648" i="1" s="1"/>
  <c r="K657" i="1"/>
  <c r="M657" i="1" s="1"/>
  <c r="K848" i="1"/>
  <c r="M848" i="1" s="1"/>
  <c r="N848" i="1" s="1"/>
  <c r="S848" i="1" s="1"/>
  <c r="K653" i="1"/>
  <c r="M653" i="1" s="1"/>
  <c r="K646" i="1"/>
  <c r="M646" i="1" s="1"/>
  <c r="N646" i="1" s="1"/>
  <c r="S646" i="1" s="1"/>
  <c r="K845" i="1"/>
  <c r="M845" i="1" s="1"/>
  <c r="K630" i="1"/>
  <c r="M630" i="1" s="1"/>
  <c r="M766" i="1"/>
  <c r="AQ71" i="151" l="1"/>
  <c r="AE41" i="151"/>
  <c r="AK71" i="151"/>
  <c r="AS71" i="151"/>
  <c r="AC41" i="151"/>
  <c r="S41" i="151"/>
  <c r="Y41" i="151"/>
  <c r="Q41" i="151"/>
  <c r="AO71" i="151"/>
  <c r="AM71" i="151"/>
  <c r="I41" i="151"/>
  <c r="AM41" i="151"/>
  <c r="E41" i="151"/>
  <c r="AO41" i="151"/>
  <c r="AF71" i="151"/>
  <c r="AE71" i="151" s="1"/>
  <c r="K41" i="151"/>
  <c r="F71" i="151"/>
  <c r="T71" i="151"/>
  <c r="S71" i="151" s="1"/>
  <c r="U41" i="151"/>
  <c r="M41" i="151"/>
  <c r="AI41" i="151"/>
  <c r="U71" i="151"/>
  <c r="R71" i="151"/>
  <c r="Q71" i="151" s="1"/>
  <c r="G71" i="151"/>
  <c r="G41" i="151"/>
  <c r="AK41" i="151"/>
  <c r="AI71" i="151"/>
  <c r="AS41" i="151"/>
  <c r="AG71" i="151"/>
  <c r="AA71" i="151"/>
  <c r="O71" i="151"/>
  <c r="AQ41" i="151"/>
  <c r="E71" i="151"/>
  <c r="W71" i="151"/>
  <c r="W41" i="151"/>
  <c r="AG41" i="151"/>
  <c r="AA41" i="151"/>
  <c r="O41" i="151"/>
  <c r="AD71" i="151"/>
  <c r="AC71" i="151" s="1"/>
  <c r="Z71" i="151"/>
  <c r="Y71" i="151" s="1"/>
  <c r="L71" i="151"/>
  <c r="K71" i="151" s="1"/>
  <c r="J71" i="151"/>
  <c r="I71" i="151" s="1"/>
  <c r="M71" i="151"/>
  <c r="M837" i="1"/>
  <c r="M836" i="1" s="1"/>
  <c r="M622" i="1"/>
  <c r="M621" i="1" s="1"/>
  <c r="C73" i="151"/>
  <c r="J59" i="151"/>
  <c r="R59" i="151"/>
  <c r="Z59" i="151"/>
  <c r="AJ59" i="151"/>
  <c r="AT59" i="151"/>
  <c r="L59" i="151"/>
  <c r="T59" i="151"/>
  <c r="AB59" i="151"/>
  <c r="AN59" i="151"/>
  <c r="AH59" i="151"/>
  <c r="F59" i="151"/>
  <c r="N59" i="151"/>
  <c r="V59" i="151"/>
  <c r="AD59" i="151"/>
  <c r="AP59" i="151"/>
  <c r="AL59" i="151"/>
  <c r="H59" i="151"/>
  <c r="P59" i="151"/>
  <c r="X59" i="151"/>
  <c r="AF59" i="151"/>
  <c r="AR59" i="151"/>
  <c r="N845" i="1"/>
  <c r="S845" i="1" s="1"/>
  <c r="S837" i="1" s="1"/>
  <c r="S836" i="1" s="1"/>
  <c r="N657" i="1"/>
  <c r="S657" i="1" s="1"/>
  <c r="N648" i="1"/>
  <c r="S648" i="1" s="1"/>
  <c r="N767" i="1"/>
  <c r="N630" i="1"/>
  <c r="S630" i="1" s="1"/>
  <c r="N653" i="1"/>
  <c r="S653" i="1" s="1"/>
  <c r="AU71" i="151" l="1"/>
  <c r="AU41" i="151"/>
  <c r="S622" i="1"/>
  <c r="S621" i="1" s="1"/>
  <c r="S981" i="1" s="1"/>
  <c r="N837" i="1"/>
  <c r="C31" i="151" s="1"/>
  <c r="AQ59" i="151"/>
  <c r="AR73" i="151"/>
  <c r="AQ73" i="151" s="1"/>
  <c r="G59" i="151"/>
  <c r="H73" i="151"/>
  <c r="G73" i="151" s="1"/>
  <c r="U59" i="151"/>
  <c r="V73" i="151"/>
  <c r="U73" i="151" s="1"/>
  <c r="AM59" i="151"/>
  <c r="AN73" i="151"/>
  <c r="AM73" i="151" s="1"/>
  <c r="AS59" i="151"/>
  <c r="AT73" i="151"/>
  <c r="AS73" i="151" s="1"/>
  <c r="I59" i="151"/>
  <c r="J73" i="151"/>
  <c r="I73" i="151" s="1"/>
  <c r="AK59" i="151"/>
  <c r="AL73" i="151"/>
  <c r="AK73" i="151" s="1"/>
  <c r="M59" i="151"/>
  <c r="N73" i="151"/>
  <c r="M73" i="151" s="1"/>
  <c r="AA59" i="151"/>
  <c r="AB73" i="151"/>
  <c r="AA73" i="151" s="1"/>
  <c r="AI59" i="151"/>
  <c r="AJ73" i="151"/>
  <c r="AI73" i="151" s="1"/>
  <c r="AE59" i="151"/>
  <c r="AF73" i="151"/>
  <c r="AE73" i="151" s="1"/>
  <c r="W59" i="151"/>
  <c r="X73" i="151"/>
  <c r="W73" i="151" s="1"/>
  <c r="AO59" i="151"/>
  <c r="AP73" i="151"/>
  <c r="AO73" i="151" s="1"/>
  <c r="E59" i="151"/>
  <c r="F73" i="151"/>
  <c r="E73" i="151" s="1"/>
  <c r="S59" i="151"/>
  <c r="T73" i="151"/>
  <c r="S73" i="151" s="1"/>
  <c r="Y59" i="151"/>
  <c r="Z73" i="151"/>
  <c r="Y73" i="151" s="1"/>
  <c r="O59" i="151"/>
  <c r="P73" i="151"/>
  <c r="O73" i="151" s="1"/>
  <c r="AC59" i="151"/>
  <c r="AD73" i="151"/>
  <c r="AC73" i="151" s="1"/>
  <c r="AG59" i="151"/>
  <c r="AH73" i="151"/>
  <c r="AG73" i="151" s="1"/>
  <c r="K59" i="151"/>
  <c r="L73" i="151"/>
  <c r="K73" i="151" s="1"/>
  <c r="Q59" i="151"/>
  <c r="R73" i="151"/>
  <c r="Q73" i="151" s="1"/>
  <c r="M981" i="1"/>
  <c r="N766" i="1"/>
  <c r="C29" i="151"/>
  <c r="C22" i="141"/>
  <c r="N622" i="1"/>
  <c r="C17" i="141"/>
  <c r="C24" i="141"/>
  <c r="AU59" i="151" l="1"/>
  <c r="AU73" i="151"/>
  <c r="N836" i="1"/>
  <c r="C23" i="141" s="1"/>
  <c r="AR31" i="151"/>
  <c r="AD31" i="151"/>
  <c r="T31" i="151"/>
  <c r="F31" i="151"/>
  <c r="AP31" i="151"/>
  <c r="AB31" i="151"/>
  <c r="P31" i="151"/>
  <c r="AJ31" i="151"/>
  <c r="AL31" i="151"/>
  <c r="AN31" i="151"/>
  <c r="J31" i="151"/>
  <c r="L31" i="151"/>
  <c r="AT31" i="151"/>
  <c r="R31" i="151"/>
  <c r="AH31" i="151"/>
  <c r="AF31" i="151"/>
  <c r="X31" i="151"/>
  <c r="N31" i="151"/>
  <c r="H31" i="151"/>
  <c r="Z31" i="151"/>
  <c r="V31" i="151"/>
  <c r="N621" i="1"/>
  <c r="C27" i="151"/>
  <c r="C23" i="151" s="1"/>
  <c r="J29" i="151"/>
  <c r="V29" i="151"/>
  <c r="AR29" i="151"/>
  <c r="AJ29" i="151"/>
  <c r="AB29" i="151"/>
  <c r="L29" i="151"/>
  <c r="F29" i="151"/>
  <c r="AN29" i="151"/>
  <c r="AF29" i="151"/>
  <c r="T29" i="151"/>
  <c r="AH29" i="151"/>
  <c r="H29" i="151"/>
  <c r="AT29" i="151"/>
  <c r="AD29" i="151"/>
  <c r="AP29" i="151"/>
  <c r="X29" i="151"/>
  <c r="R29" i="151"/>
  <c r="AL29" i="151"/>
  <c r="P29" i="151"/>
  <c r="N29" i="151"/>
  <c r="Z29" i="151"/>
  <c r="C20" i="141"/>
  <c r="C18" i="141"/>
  <c r="C21" i="141"/>
  <c r="N981" i="1" l="1"/>
  <c r="C19" i="141"/>
  <c r="C27" i="141" s="1"/>
  <c r="X27" i="151"/>
  <c r="L27" i="151"/>
  <c r="AT27" i="151"/>
  <c r="AJ27" i="151"/>
  <c r="AD27" i="151"/>
  <c r="R27" i="151"/>
  <c r="F27" i="151"/>
  <c r="T27" i="151"/>
  <c r="P27" i="151"/>
  <c r="AP27" i="151"/>
  <c r="AF27" i="151"/>
  <c r="N27" i="151"/>
  <c r="AN27" i="151"/>
  <c r="AB27" i="151"/>
  <c r="J27" i="151"/>
  <c r="AL27" i="151"/>
  <c r="Z27" i="151"/>
  <c r="H27" i="151"/>
  <c r="AR27" i="151"/>
  <c r="AH27" i="151"/>
  <c r="V27" i="151"/>
  <c r="K668" i="128"/>
  <c r="K670" i="128" s="1"/>
  <c r="K671" i="128" s="1"/>
  <c r="K673" i="128" s="1"/>
  <c r="K657" i="128" s="1"/>
  <c r="R982" i="1" l="1"/>
  <c r="S982" i="1"/>
  <c r="C69" i="151"/>
  <c r="AL23" i="151"/>
  <c r="T23" i="151"/>
  <c r="AJ23" i="151"/>
  <c r="F23" i="151"/>
  <c r="F69" i="151" s="1"/>
  <c r="F76" i="151" s="1"/>
  <c r="AH23" i="151"/>
  <c r="AP23" i="151"/>
  <c r="L23" i="151"/>
  <c r="N23" i="151"/>
  <c r="AR23" i="151"/>
  <c r="J23" i="151"/>
  <c r="AF23" i="151"/>
  <c r="AT23" i="151"/>
  <c r="H23" i="151"/>
  <c r="AB23" i="151"/>
  <c r="R23" i="151"/>
  <c r="V23" i="151"/>
  <c r="Z23" i="151"/>
  <c r="AN23" i="151"/>
  <c r="P23" i="151"/>
  <c r="AD23" i="151"/>
  <c r="X23" i="151"/>
  <c r="D25" i="141"/>
  <c r="O23" i="151" l="1"/>
  <c r="P69" i="151"/>
  <c r="P76" i="151" s="1"/>
  <c r="K23" i="151"/>
  <c r="L69" i="151"/>
  <c r="L76" i="151" s="1"/>
  <c r="AI23" i="151"/>
  <c r="AJ69" i="151"/>
  <c r="AJ76" i="151" s="1"/>
  <c r="I23" i="151"/>
  <c r="J69" i="151"/>
  <c r="J76" i="151" s="1"/>
  <c r="AO23" i="151"/>
  <c r="AP69" i="151"/>
  <c r="AP76" i="151" s="1"/>
  <c r="S23" i="151"/>
  <c r="T69" i="151"/>
  <c r="T76" i="151" s="1"/>
  <c r="Q23" i="151"/>
  <c r="R69" i="151"/>
  <c r="R76" i="151" s="1"/>
  <c r="AM23" i="151"/>
  <c r="AN69" i="151"/>
  <c r="AN76" i="151" s="1"/>
  <c r="Y23" i="151"/>
  <c r="Z69" i="151"/>
  <c r="Z76" i="151" s="1"/>
  <c r="G23" i="151"/>
  <c r="H69" i="151"/>
  <c r="H76" i="151" s="1"/>
  <c r="AQ23" i="151"/>
  <c r="AR69" i="151"/>
  <c r="AR76" i="151" s="1"/>
  <c r="AG23" i="151"/>
  <c r="AH69" i="151"/>
  <c r="AH76" i="151" s="1"/>
  <c r="AK23" i="151"/>
  <c r="AL69" i="151"/>
  <c r="AL76" i="151" s="1"/>
  <c r="AE23" i="151"/>
  <c r="AF69" i="151"/>
  <c r="AF76" i="151" s="1"/>
  <c r="AA23" i="151"/>
  <c r="AB69" i="151"/>
  <c r="AB76" i="151" s="1"/>
  <c r="W23" i="151"/>
  <c r="X69" i="151"/>
  <c r="X76" i="151" s="1"/>
  <c r="AC23" i="151"/>
  <c r="AD69" i="151"/>
  <c r="AD76" i="151" s="1"/>
  <c r="U23" i="151"/>
  <c r="V69" i="151"/>
  <c r="V76" i="151" s="1"/>
  <c r="AS23" i="151"/>
  <c r="AT69" i="151"/>
  <c r="AT76" i="151" s="1"/>
  <c r="M23" i="151"/>
  <c r="N69" i="151"/>
  <c r="N76" i="151" s="1"/>
  <c r="C74" i="151"/>
  <c r="D55" i="151" s="1"/>
  <c r="C76" i="151"/>
  <c r="E76" i="151" s="1"/>
  <c r="E16" i="151" s="1"/>
  <c r="E23" i="151"/>
  <c r="E69" i="151"/>
  <c r="D11" i="141"/>
  <c r="F16" i="151" l="1"/>
  <c r="F15" i="151" s="1"/>
  <c r="F68" i="151" s="1"/>
  <c r="AU23" i="151"/>
  <c r="O69" i="151"/>
  <c r="AS69" i="151"/>
  <c r="AA69" i="151"/>
  <c r="AI69" i="151"/>
  <c r="M76" i="151"/>
  <c r="M16" i="151" s="1"/>
  <c r="N16" i="151" s="1"/>
  <c r="N15" i="151" s="1"/>
  <c r="N68" i="151" s="1"/>
  <c r="U76" i="151"/>
  <c r="U16" i="151" s="1"/>
  <c r="V16" i="151" s="1"/>
  <c r="V15" i="151" s="1"/>
  <c r="U15" i="151" s="1"/>
  <c r="W76" i="151"/>
  <c r="W16" i="151" s="1"/>
  <c r="X16" i="151" s="1"/>
  <c r="X15" i="151" s="1"/>
  <c r="X68" i="151" s="1"/>
  <c r="AE76" i="151"/>
  <c r="AE16" i="151" s="1"/>
  <c r="AF16" i="151" s="1"/>
  <c r="AF15" i="151" s="1"/>
  <c r="AE15" i="151" s="1"/>
  <c r="G76" i="151"/>
  <c r="G16" i="151" s="1"/>
  <c r="H16" i="151" s="1"/>
  <c r="H15" i="151" s="1"/>
  <c r="G15" i="151" s="1"/>
  <c r="AG76" i="151"/>
  <c r="AG16" i="151" s="1"/>
  <c r="AH16" i="151" s="1"/>
  <c r="AH15" i="151" s="1"/>
  <c r="AH68" i="151" s="1"/>
  <c r="AM76" i="151"/>
  <c r="AM16" i="151" s="1"/>
  <c r="AN16" i="151" s="1"/>
  <c r="AN15" i="151" s="1"/>
  <c r="AM15" i="151" s="1"/>
  <c r="S76" i="151"/>
  <c r="S16" i="151" s="1"/>
  <c r="T16" i="151" s="1"/>
  <c r="T15" i="151" s="1"/>
  <c r="S15" i="151" s="1"/>
  <c r="I76" i="151"/>
  <c r="I16" i="151" s="1"/>
  <c r="J16" i="151" s="1"/>
  <c r="J15" i="151" s="1"/>
  <c r="I15" i="151" s="1"/>
  <c r="AK69" i="151"/>
  <c r="AS76" i="151"/>
  <c r="AQ69" i="151"/>
  <c r="C75" i="151"/>
  <c r="AM69" i="151"/>
  <c r="AC69" i="151"/>
  <c r="G69" i="151"/>
  <c r="Y69" i="151"/>
  <c r="S69" i="151"/>
  <c r="AO69" i="151"/>
  <c r="K69" i="151"/>
  <c r="I69" i="151"/>
  <c r="AC76" i="151"/>
  <c r="AC16" i="151" s="1"/>
  <c r="AD16" i="151" s="1"/>
  <c r="AD15" i="151" s="1"/>
  <c r="AD68" i="151" s="1"/>
  <c r="AK76" i="151"/>
  <c r="AK16" i="151" s="1"/>
  <c r="AL16" i="151" s="1"/>
  <c r="AL15" i="151" s="1"/>
  <c r="AK15" i="151" s="1"/>
  <c r="AQ76" i="151"/>
  <c r="AQ16" i="151" s="1"/>
  <c r="AR16" i="151" s="1"/>
  <c r="AR15" i="151" s="1"/>
  <c r="AQ15" i="151" s="1"/>
  <c r="Q76" i="151"/>
  <c r="Q16" i="151" s="1"/>
  <c r="R16" i="151" s="1"/>
  <c r="R15" i="151" s="1"/>
  <c r="R68" i="151" s="1"/>
  <c r="AG69" i="151"/>
  <c r="AA76" i="151"/>
  <c r="AA16" i="151" s="1"/>
  <c r="AB16" i="151" s="1"/>
  <c r="AB15" i="151" s="1"/>
  <c r="AA15" i="151" s="1"/>
  <c r="Y76" i="151"/>
  <c r="Y16" i="151" s="1"/>
  <c r="Z16" i="151" s="1"/>
  <c r="Z15" i="151" s="1"/>
  <c r="Z68" i="151" s="1"/>
  <c r="AE69" i="151"/>
  <c r="W69" i="151"/>
  <c r="Q69" i="151"/>
  <c r="U69" i="151"/>
  <c r="K76" i="151"/>
  <c r="K16" i="151" s="1"/>
  <c r="L16" i="151" s="1"/>
  <c r="L15" i="151" s="1"/>
  <c r="AO76" i="151"/>
  <c r="AO16" i="151" s="1"/>
  <c r="AP16" i="151" s="1"/>
  <c r="AP15" i="151" s="1"/>
  <c r="AI76" i="151"/>
  <c r="AI16" i="151" s="1"/>
  <c r="AJ16" i="151" s="1"/>
  <c r="AJ15" i="151" s="1"/>
  <c r="O76" i="151"/>
  <c r="O16" i="151" s="1"/>
  <c r="P16" i="151" s="1"/>
  <c r="P15" i="151" s="1"/>
  <c r="M69" i="151"/>
  <c r="D69" i="151"/>
  <c r="D16" i="151"/>
  <c r="D67" i="151"/>
  <c r="D63" i="151"/>
  <c r="D58" i="151"/>
  <c r="D54" i="151"/>
  <c r="D49" i="151"/>
  <c r="D45" i="151"/>
  <c r="D40" i="151"/>
  <c r="D36" i="151"/>
  <c r="D31" i="151"/>
  <c r="D27" i="151"/>
  <c r="D44" i="151"/>
  <c r="D66" i="151"/>
  <c r="D62" i="151"/>
  <c r="D57" i="151"/>
  <c r="D48" i="151"/>
  <c r="D39" i="151"/>
  <c r="D30" i="151"/>
  <c r="D65" i="151"/>
  <c r="D61" i="151"/>
  <c r="D56" i="151"/>
  <c r="D52" i="151"/>
  <c r="D47" i="151"/>
  <c r="D43" i="151"/>
  <c r="D38" i="151"/>
  <c r="D34" i="151"/>
  <c r="D29" i="151"/>
  <c r="D25" i="151"/>
  <c r="D64" i="151"/>
  <c r="D60" i="151"/>
  <c r="D51" i="151"/>
  <c r="D46" i="151"/>
  <c r="D42" i="151"/>
  <c r="D37" i="151"/>
  <c r="D32" i="151"/>
  <c r="D28" i="151"/>
  <c r="D24" i="151"/>
  <c r="D53" i="151"/>
  <c r="D35" i="151"/>
  <c r="D26" i="151"/>
  <c r="D20" i="151"/>
  <c r="D22" i="151"/>
  <c r="D21" i="151"/>
  <c r="D19" i="151"/>
  <c r="D17" i="151"/>
  <c r="D18" i="151"/>
  <c r="D68" i="151"/>
  <c r="D50" i="151"/>
  <c r="D33" i="151"/>
  <c r="D72" i="151"/>
  <c r="D70" i="151"/>
  <c r="D41" i="151"/>
  <c r="D71" i="151"/>
  <c r="D59" i="151"/>
  <c r="D73" i="151"/>
  <c r="D23" i="151"/>
  <c r="D15" i="151"/>
  <c r="D23" i="141"/>
  <c r="D13" i="141"/>
  <c r="D12" i="141"/>
  <c r="D22" i="141"/>
  <c r="D21" i="141"/>
  <c r="D24" i="141"/>
  <c r="D18" i="141"/>
  <c r="D16" i="141"/>
  <c r="D15" i="141"/>
  <c r="D20" i="141"/>
  <c r="D17" i="141"/>
  <c r="D14" i="141"/>
  <c r="D26" i="141"/>
  <c r="D19" i="141"/>
  <c r="AU69" i="151" l="1"/>
  <c r="E15" i="151"/>
  <c r="M15" i="151"/>
  <c r="AG15" i="151"/>
  <c r="W15" i="151"/>
  <c r="AF68" i="151"/>
  <c r="AF74" i="151" s="1"/>
  <c r="AE74" i="151" s="1"/>
  <c r="T68" i="151"/>
  <c r="T74" i="151" s="1"/>
  <c r="S74" i="151" s="1"/>
  <c r="V68" i="151"/>
  <c r="V74" i="151" s="1"/>
  <c r="U74" i="151" s="1"/>
  <c r="J68" i="151"/>
  <c r="I68" i="151" s="1"/>
  <c r="Q15" i="151"/>
  <c r="H68" i="151"/>
  <c r="G68" i="151" s="1"/>
  <c r="Y15" i="151"/>
  <c r="AC15" i="151"/>
  <c r="AN68" i="151"/>
  <c r="AN74" i="151" s="1"/>
  <c r="AM74" i="151" s="1"/>
  <c r="AL68" i="151"/>
  <c r="AL74" i="151" s="1"/>
  <c r="AK74" i="151" s="1"/>
  <c r="Q68" i="151"/>
  <c r="R74" i="151"/>
  <c r="Q74" i="151" s="1"/>
  <c r="AC68" i="151"/>
  <c r="AD74" i="151"/>
  <c r="AC74" i="151" s="1"/>
  <c r="M68" i="151"/>
  <c r="N74" i="151"/>
  <c r="M74" i="151" s="1"/>
  <c r="AS16" i="151"/>
  <c r="AT16" i="151" s="1"/>
  <c r="AT15" i="151" s="1"/>
  <c r="AT68" i="151" s="1"/>
  <c r="AT74" i="151" s="1"/>
  <c r="AS74" i="151" s="1"/>
  <c r="W68" i="151"/>
  <c r="X74" i="151"/>
  <c r="W74" i="151" s="1"/>
  <c r="AG68" i="151"/>
  <c r="AH74" i="151"/>
  <c r="AG74" i="151" s="1"/>
  <c r="Y68" i="151"/>
  <c r="Z74" i="151"/>
  <c r="Y74" i="151" s="1"/>
  <c r="AR68" i="151"/>
  <c r="AR74" i="151" s="1"/>
  <c r="AQ74" i="151" s="1"/>
  <c r="AB68" i="151"/>
  <c r="AB74" i="151" s="1"/>
  <c r="AA74" i="151" s="1"/>
  <c r="AI15" i="151"/>
  <c r="AJ68" i="151"/>
  <c r="AJ74" i="151" s="1"/>
  <c r="AI74" i="151" s="1"/>
  <c r="AO15" i="151"/>
  <c r="AP68" i="151"/>
  <c r="AP74" i="151" s="1"/>
  <c r="AO74" i="151" s="1"/>
  <c r="K15" i="151"/>
  <c r="L68" i="151"/>
  <c r="L74" i="151" s="1"/>
  <c r="K74" i="151" s="1"/>
  <c r="O15" i="151"/>
  <c r="P68" i="151"/>
  <c r="P74" i="151" s="1"/>
  <c r="O74" i="151" s="1"/>
  <c r="F74" i="151"/>
  <c r="E74" i="151" s="1"/>
  <c r="E68" i="151"/>
  <c r="D27" i="141"/>
  <c r="AU16" i="151" l="1"/>
  <c r="AE68" i="151"/>
  <c r="S68" i="151"/>
  <c r="U68" i="151"/>
  <c r="J74" i="151"/>
  <c r="I74" i="151" s="1"/>
  <c r="H74" i="151"/>
  <c r="G74" i="151" s="1"/>
  <c r="AS15" i="151"/>
  <c r="AM68" i="151"/>
  <c r="AK68" i="151"/>
  <c r="AQ68" i="151"/>
  <c r="AA68" i="151"/>
  <c r="AS68" i="151"/>
  <c r="F75" i="151"/>
  <c r="K68" i="151"/>
  <c r="AI68" i="151"/>
  <c r="O68" i="151"/>
  <c r="AO68" i="151"/>
  <c r="AU74" i="151" l="1"/>
  <c r="AU68" i="151"/>
  <c r="H75" i="151"/>
  <c r="E75" i="151"/>
  <c r="J75" i="151" l="1"/>
  <c r="G75" i="151"/>
  <c r="I75" i="151" l="1"/>
  <c r="L75" i="151"/>
  <c r="K75" i="151" l="1"/>
  <c r="N75" i="151"/>
  <c r="M75" i="151" l="1"/>
  <c r="P75" i="151"/>
  <c r="O75" i="151" l="1"/>
  <c r="R75" i="151"/>
  <c r="T75" i="151" l="1"/>
  <c r="Q75" i="151"/>
  <c r="V75" i="151" l="1"/>
  <c r="S75" i="151"/>
  <c r="U75" i="151" l="1"/>
  <c r="X75" i="151"/>
  <c r="W75" i="151" l="1"/>
  <c r="Z75" i="151"/>
  <c r="AB75" i="151" l="1"/>
  <c r="Y75" i="151"/>
  <c r="AD75" i="151" l="1"/>
  <c r="AA75" i="151"/>
  <c r="AC75" i="151" l="1"/>
  <c r="AF75" i="151"/>
  <c r="AE75" i="151" l="1"/>
  <c r="AH75" i="151"/>
  <c r="AJ75" i="151" l="1"/>
  <c r="AG75" i="151"/>
  <c r="AL75" i="151" l="1"/>
  <c r="AI75" i="151"/>
  <c r="AK75" i="151" l="1"/>
  <c r="AN75" i="151"/>
  <c r="AM75" i="151" l="1"/>
  <c r="AP75" i="151"/>
  <c r="AR75" i="151" l="1"/>
  <c r="AO75" i="151"/>
  <c r="AT75" i="151" l="1"/>
  <c r="AQ75" i="151"/>
  <c r="AS75" i="151" l="1"/>
  <c r="AT79" i="151"/>
</calcChain>
</file>

<file path=xl/sharedStrings.xml><?xml version="1.0" encoding="utf-8"?>
<sst xmlns="http://schemas.openxmlformats.org/spreadsheetml/2006/main" count="55613" uniqueCount="25935">
  <si>
    <t>Código</t>
  </si>
  <si>
    <t>Quantidade</t>
  </si>
  <si>
    <t>Unid.</t>
  </si>
  <si>
    <t>m²</t>
  </si>
  <si>
    <t>TERRAPLENAGEM</t>
  </si>
  <si>
    <t>m³</t>
  </si>
  <si>
    <t>m</t>
  </si>
  <si>
    <t>PAVIMENTAÇÃO</t>
  </si>
  <si>
    <t>SINALIZAÇÃO VIÁRIA</t>
  </si>
  <si>
    <t>Custo Unitário</t>
  </si>
  <si>
    <t>kg</t>
  </si>
  <si>
    <t>PIS</t>
  </si>
  <si>
    <t>COFINS</t>
  </si>
  <si>
    <t>-</t>
  </si>
  <si>
    <t>%</t>
  </si>
  <si>
    <t>Reaterro e apiloamento mecânico</t>
  </si>
  <si>
    <t>Escavação manual de vala 1a. cat.</t>
  </si>
  <si>
    <t>Apiloamento manual</t>
  </si>
  <si>
    <t>t</t>
  </si>
  <si>
    <t>Concreto magro, preparo em betoneira e lanç.</t>
  </si>
  <si>
    <t>Argamassa cimento e areia 1:3</t>
  </si>
  <si>
    <t>Concreto Fck = 20 MPa, preparo em betoneira e lanç.</t>
  </si>
  <si>
    <t>Escavação valas de drenagem 1a. cat.</t>
  </si>
  <si>
    <t>Fornecimento e colocação geotextil n/tecido(GNT)</t>
  </si>
  <si>
    <t>Lastro de brita</t>
  </si>
  <si>
    <t>Consumo</t>
  </si>
  <si>
    <t>Unidade:</t>
  </si>
  <si>
    <t>(A) Equipamento</t>
  </si>
  <si>
    <t>h</t>
  </si>
  <si>
    <t>Equip.</t>
  </si>
  <si>
    <t>Mat.</t>
  </si>
  <si>
    <t>Ferramentas manuais</t>
  </si>
  <si>
    <t>X</t>
  </si>
  <si>
    <t>Custo</t>
  </si>
  <si>
    <t>T</t>
  </si>
  <si>
    <t>COMPONENTE AMBIENTAL</t>
  </si>
  <si>
    <t>Eq. Salarial</t>
  </si>
  <si>
    <t>LIGANTES BETUMINOSOS</t>
  </si>
  <si>
    <t>SERVIÇOS COMPLEMENTARES</t>
  </si>
  <si>
    <t>Ut. Pr</t>
  </si>
  <si>
    <t>Ut. Impr</t>
  </si>
  <si>
    <t>Vl. Hr. Prod</t>
  </si>
  <si>
    <t>Vl. Hr. Imp</t>
  </si>
  <si>
    <t>Custo horário</t>
  </si>
  <si>
    <t>Total (A)</t>
  </si>
  <si>
    <t>(B) Mão de obra</t>
  </si>
  <si>
    <t>Encargos</t>
  </si>
  <si>
    <t>Sal/hora</t>
  </si>
  <si>
    <t>Total (B)</t>
  </si>
  <si>
    <t>(C) Itens de incidência</t>
  </si>
  <si>
    <t>M.O.</t>
  </si>
  <si>
    <t>Total (C)</t>
  </si>
  <si>
    <t>Custo horário da execução (A + B + C)</t>
  </si>
  <si>
    <t xml:space="preserve"> (D) Produção da equipe</t>
  </si>
  <si>
    <t>(E) Custo unitário da execução (A + B + C) / D</t>
  </si>
  <si>
    <t>(F) Materiais</t>
  </si>
  <si>
    <t>Custo unitário</t>
  </si>
  <si>
    <t>Total (F)</t>
  </si>
  <si>
    <t>(G) Serviços</t>
  </si>
  <si>
    <t>Total (G)</t>
  </si>
  <si>
    <t>COT-01</t>
  </si>
  <si>
    <t>COT-02</t>
  </si>
  <si>
    <t>COT-03</t>
  </si>
  <si>
    <t>COT-04</t>
  </si>
  <si>
    <t>COT-05</t>
  </si>
  <si>
    <t>COT-06</t>
  </si>
  <si>
    <t>COT-07</t>
  </si>
  <si>
    <t>COT-08</t>
  </si>
  <si>
    <t>Material</t>
  </si>
  <si>
    <t>Média</t>
  </si>
  <si>
    <t>TOTAL ACUMULADO</t>
  </si>
  <si>
    <t>SINALIZAÇÃO</t>
  </si>
  <si>
    <t>Colchão drenante de areia para fundação de aterros</t>
  </si>
  <si>
    <t>Aço CA-50 fornec. dobr. colocação</t>
  </si>
  <si>
    <t>Ferramentas Manuais</t>
  </si>
  <si>
    <t>ORSE</t>
  </si>
  <si>
    <t>Fita de sinalização subterrânea</t>
  </si>
  <si>
    <t>Inael Construções Elétricas Ltda.</t>
  </si>
  <si>
    <t>inael@inaelengenharia.com.br</t>
  </si>
  <si>
    <t>(41) 3032-2550</t>
  </si>
  <si>
    <t>Construcel Construção de obras elétricas Ltda.</t>
  </si>
  <si>
    <t>engenharia@construcel.com.br</t>
  </si>
  <si>
    <t>(41) 3283-5883</t>
  </si>
  <si>
    <t>M2700</t>
  </si>
  <si>
    <t>E9785</t>
  </si>
  <si>
    <t>M2711</t>
  </si>
  <si>
    <t>M2714</t>
  </si>
  <si>
    <t>atendimento3@luzville.com.br</t>
  </si>
  <si>
    <t>Ramal de Alimentação Elétrica Trifásico para Iluminação - padrão COPEL -  cabo em Alumínio Multiplexado (3+1) de 10mm² com neutro isolado</t>
  </si>
  <si>
    <t>Conector Pierce IP-66 10mm²</t>
  </si>
  <si>
    <t>Braco para Luminária Pública em ferro galvanizado, Ø25mm, comprimento de 2,00m</t>
  </si>
  <si>
    <t>liomar@andra.com.br</t>
  </si>
  <si>
    <t>OBRAS DE ARTE ESPECIAIS</t>
  </si>
  <si>
    <t>ADMINISTRAÇÃO LOCAL</t>
  </si>
  <si>
    <t>Corpo de BSTC 0,60m sem berço</t>
  </si>
  <si>
    <t>M0047</t>
  </si>
  <si>
    <t>M0051</t>
  </si>
  <si>
    <t>un</t>
  </si>
  <si>
    <t>M0767</t>
  </si>
  <si>
    <t>mês</t>
  </si>
  <si>
    <t>Servente</t>
  </si>
  <si>
    <t>E9093</t>
  </si>
  <si>
    <t>E9125</t>
  </si>
  <si>
    <t>K</t>
  </si>
  <si>
    <t>FU</t>
  </si>
  <si>
    <t>E9665</t>
  </si>
  <si>
    <t>TRSP-04</t>
  </si>
  <si>
    <t>Escavação mecânica de vala para drenagem com valetadeira em material de 1ª categoria</t>
  </si>
  <si>
    <t>Carga, manobra e descarga de agregados ou solos em caminhão basculante de 10 m³ - carga com carregadeira de 3,40 m³ (exclusa) e descarga livre</t>
  </si>
  <si>
    <t>lucas.closs@reymaster.com.br</t>
  </si>
  <si>
    <t>Cabo de cobre PP Cordplast 3 x 2.5 mm2, 450/750v - fornecimento - CORFIO OU RCM CABOS</t>
  </si>
  <si>
    <t>TRSP-07</t>
  </si>
  <si>
    <t>MOBILIZAÇÃO</t>
  </si>
  <si>
    <t>CANTEIRO DE OBRAS</t>
  </si>
  <si>
    <t>DESMOBILIZAÇÃO</t>
  </si>
  <si>
    <t>Saibreira Mariandré Ltda</t>
  </si>
  <si>
    <t>saibreiramariandre@yahoo.com.br</t>
  </si>
  <si>
    <t>(41) 3627-1288</t>
  </si>
  <si>
    <t>Saibreira São Matheus</t>
  </si>
  <si>
    <t>contato@demetriorocha.com.br</t>
  </si>
  <si>
    <t>(41) 3635-1411</t>
  </si>
  <si>
    <t>Pedreira Costa</t>
  </si>
  <si>
    <t>contato@pedreiracosta.com.br</t>
  </si>
  <si>
    <t>(41) 99121-8215</t>
  </si>
  <si>
    <t>Luzville Engenharia</t>
  </si>
  <si>
    <t>Andra Matériais Elétricos</t>
  </si>
  <si>
    <t>Reymaster Materiais Elétricos</t>
  </si>
  <si>
    <t>(47) 3145-4600</t>
  </si>
  <si>
    <t>(47) 98831-4659</t>
  </si>
  <si>
    <t>(41) 3021-5010</t>
  </si>
  <si>
    <t>Remanejamento de rede de distribuição de energia</t>
  </si>
  <si>
    <t>Encarregado de Serviço</t>
  </si>
  <si>
    <t>Passagem de onibus de Curitiba para Mandirituba</t>
  </si>
  <si>
    <t>Click Bus</t>
  </si>
  <si>
    <t>Buson</t>
  </si>
  <si>
    <t>Quero passagem</t>
  </si>
  <si>
    <t>Construtora Marc</t>
  </si>
  <si>
    <t>tiago@marcconstrutora.com.br</t>
  </si>
  <si>
    <t>(41) 3382-1244</t>
  </si>
  <si>
    <t>Material de jazida comercial (saibro)</t>
  </si>
  <si>
    <t>Luminária LED externa, com 01 lampada LED 70W, com driver multitensão (100A 250V) integrado, com acessório de fixação, cor 3000K com fotocontrolador</t>
  </si>
  <si>
    <t>COMP-56</t>
  </si>
  <si>
    <t>Alvenaria de tijolos cerâmicos de 6 furos (14x9x19cm) com esp.=14cm</t>
  </si>
  <si>
    <t>TRSP-08</t>
  </si>
  <si>
    <t>Argamassa traço 1:2:8 para emboço/reboco com preparo mecânico</t>
  </si>
  <si>
    <t>m3</t>
  </si>
  <si>
    <t>m2</t>
  </si>
  <si>
    <t>Esc. carga e transp. 2a. cat.    0-200m</t>
  </si>
  <si>
    <t>Operador de equipamentos manuais</t>
  </si>
  <si>
    <t>Concreto Fck = 11 MPa, preparo em betoneira e lanç.</t>
  </si>
  <si>
    <t>Formas de madeira compensada  resinada</t>
  </si>
  <si>
    <t>Argamassa cimento e areia 1:4</t>
  </si>
  <si>
    <t>Cam. bascul. 2426/48 10m3 média</t>
  </si>
  <si>
    <t>PLANILHA ORÇAMENTÁRIA SINTÉTICA</t>
  </si>
  <si>
    <t>ITEM</t>
  </si>
  <si>
    <t>BASE</t>
  </si>
  <si>
    <t>CÓDIGO</t>
  </si>
  <si>
    <t>DESCRIÇÃO</t>
  </si>
  <si>
    <t>UNIDADE</t>
  </si>
  <si>
    <t>CUSTO UNITÁRIO</t>
  </si>
  <si>
    <t xml:space="preserve">SERVIÇO </t>
  </si>
  <si>
    <t>TRANSPORTE</t>
  </si>
  <si>
    <t>PREÇO UNITÁRIO</t>
  </si>
  <si>
    <t>PREÇO TOTAL</t>
  </si>
  <si>
    <t>BDI (%)</t>
  </si>
  <si>
    <t>EXECUÇÃO DE OBRA DE ENGENHARIA PARA PAVIMENTAÇÃO DA ESTRADA DE LIGAÇÃO ENTRE SÃO JOSÉ DOS PINHAIS E MANDIRITUBA</t>
  </si>
  <si>
    <t>QTDE</t>
  </si>
  <si>
    <t>AGÊNCIA DE ASSUNTOS METROPOLITANOS DO PARANÁ - AMEP</t>
  </si>
  <si>
    <t>MOBILIZAÇÃO DE VEÍCULOS LEVES E CAMINHÕES COMUNS</t>
  </si>
  <si>
    <t>CAMINHÃO C/ GUINDAUTO</t>
  </si>
  <si>
    <t>CAMINHÃO CARROCERIA 815/37 6 T</t>
  </si>
  <si>
    <t>CAMINHÃO CARROCERIA 1419 14 T</t>
  </si>
  <si>
    <t>CAMINHÃO PIPA 6000 L</t>
  </si>
  <si>
    <t>MOBILIZAÇÃO DE EQUIPAMENTOS DE GRANDE PORTE</t>
  </si>
  <si>
    <t>ESCAV. HIDRÁULICA E-215 C MÉDIA</t>
  </si>
  <si>
    <t>ESCAV. HIDRÁULICA 336D L MÉDIA</t>
  </si>
  <si>
    <t>GRADE DE DISCOS</t>
  </si>
  <si>
    <t>MÁQUINA PINTURA DE FAIXAS</t>
  </si>
  <si>
    <t>MOTONIVELADORA C/ ESCARIFICADOR 140-K MÉDIA</t>
  </si>
  <si>
    <t>RETROESCAVADEIRA 580N MÉDIA</t>
  </si>
  <si>
    <t>ROLO PNEUS AUTOPROPELIDO 22 T</t>
  </si>
  <si>
    <t>ROLO PÉ DE CARNEIRO AUTOPROPELIDO VAP-70 PT</t>
  </si>
  <si>
    <t>ROLO TANDEM LISO AUTOPROPELIDO CC-4200</t>
  </si>
  <si>
    <t>TRATOR LÂMINA D6-N MÉDIA</t>
  </si>
  <si>
    <t>TANQUE DEPÓSITO ASFALTO FRIO 20000 L</t>
  </si>
  <si>
    <t>SERVENTE</t>
  </si>
  <si>
    <t>PEDREIRO</t>
  </si>
  <si>
    <t>CALCETEIRO</t>
  </si>
  <si>
    <t>CARPINTEIRO</t>
  </si>
  <si>
    <t>ENCARREGADO DE SERVIÇO</t>
  </si>
  <si>
    <t>MONTADOR</t>
  </si>
  <si>
    <t>OPERADOR DA PESADA</t>
  </si>
  <si>
    <t>PRÉ-MARCADOR (SINALIZAÇÃO)</t>
  </si>
  <si>
    <t>SERRALHEIRO</t>
  </si>
  <si>
    <t>TÉCNICO DE LABORATÓRIO COM ENCARGOS COMPLEMENTARES</t>
  </si>
  <si>
    <t/>
  </si>
  <si>
    <t>ENCARREGADO GERAL DE OBRAS COM ENCARGOS COMPLEMENTARES</t>
  </si>
  <si>
    <t>AUXILIAR DE TOPÓGRAFO COM ENCARGOS COMPLEMENTARES</t>
  </si>
  <si>
    <t>EQUIPE DE SEGURANÇA DO TRABALHO</t>
  </si>
  <si>
    <t>TÉCNICO EM SEGURANÇA DO TRABALHO COM ENCARGOS COMPLEMENTARES</t>
  </si>
  <si>
    <t>MACADAME SECO BRITADO PREENCHIDO C/PÓ DE PEDRA</t>
  </si>
  <si>
    <t>DESMATAMENTO E LIMPEZA DIAM. ATÉ 30CM</t>
  </si>
  <si>
    <t>DESTOCAMENTO ÁRVORES DIAM. &gt; 30CM</t>
  </si>
  <si>
    <t>COMPACTAÇÃO DE ATERROS 100% PN (B)</t>
  </si>
  <si>
    <t>COMPACTAÇÃO DE ATERROS  95% PN (B)</t>
  </si>
  <si>
    <t>COMPACTAÇÃO DE ATERROS EM 2A. CAT.</t>
  </si>
  <si>
    <t>COMPACTAÇÃO DE ATERROS EM 3A. CAT.</t>
  </si>
  <si>
    <t>ESPALHAMENTO E CONFORMAÇÃO DE BOTA-FORA</t>
  </si>
  <si>
    <t>ESC. CARGA E TRANSP. 1A. CAT.  1000-1200M</t>
  </si>
  <si>
    <t>ESC. CARGA E TRANSP. 1A. CAT.  1200-1400M</t>
  </si>
  <si>
    <t>ESC. CARGA E TRANSP. 1A. CAT.  2000-3000M</t>
  </si>
  <si>
    <t>ESC. CARGA E TRANSP. 1A. CAT.  12000-14000M (BOTA FORA)</t>
  </si>
  <si>
    <t>ESC. CARGA E TRANSP. 1A. CAT.  16000-18000M (BOTA FORA)</t>
  </si>
  <si>
    <t>ESC. CARGA E TRANSP. 1A. CAT.  20000-22000M (BOTA FORA)</t>
  </si>
  <si>
    <t>ESC. CARGA E TRANSP. 1A. CAT.  26000-28000M (BOTA FORA)</t>
  </si>
  <si>
    <t xml:space="preserve">EMPRÉSTIMO DE 1A CAT 4000-5000M PARA ATERRO (INCLUSIVE FORNECIMENTO, AQUISIÇÃO, CARGA, DESCARGA E TRANSPORTE) </t>
  </si>
  <si>
    <t xml:space="preserve">EMPRÉSTIMO DE 1A CAT 6000-8000M PARA ATERRO (INCLUSIVE FORNECIMENTO, AQUISIÇÃO, CARGA, DESCARGA E TRANSPORTE) </t>
  </si>
  <si>
    <t xml:space="preserve">EMPRÉSTIMO DE 1A CAT 14000-16000M PARA ATERRO (INCLUSIVE FORNECIMENTO, AQUISIÇÃO, CARGA, DESCARGA E TRANSPORTE) </t>
  </si>
  <si>
    <t>EMPRÉSTIMO DE 3A CAT 4000-5000M PARA ENROCAMENTO (INCLUSIVE FORNECIMENTO, AQUISIÇÃO, CARGA, DESCARGA E TRANSPORTE)</t>
  </si>
  <si>
    <t>EMPRÉSTIMO DE 3A CAT 8000-10000M PARA ENROCAMENTO (INCLUSIVE FORNECIMENTO, AQUISIÇÃO, CARGA, DESCARGA E TRANSPORTE)</t>
  </si>
  <si>
    <t xml:space="preserve">EMPRÉSTIMO DE 3A CAT 14000-16000M PARA ENROCAMENTO (INCLUSIVE FORNECIMENTO, AQUISIÇÃO, CARGA, DESCARGA E TRANSPORTE) </t>
  </si>
  <si>
    <t>ESCAVAÇÃO MANUAL DE VALA 1A. CAT.</t>
  </si>
  <si>
    <t>ESCAVAÇÃO VALAS DE DRENAGEM 1A. CAT.</t>
  </si>
  <si>
    <t>APILOAMENTO MANUAL</t>
  </si>
  <si>
    <t>FORMAS DE MADEIRA COMPENSADA RESINADA</t>
  </si>
  <si>
    <t>AÇO CA-50 FORNEC. DOBR. COLOCAÇÃO</t>
  </si>
  <si>
    <t>AÇO CA-60 FORNEC. DOBR. COLOCAÇÃO</t>
  </si>
  <si>
    <t>CONCRETO MAGRO, PREPARO EM BETONEIRA E LANÇ.</t>
  </si>
  <si>
    <t>CONCRETO FCK = 20 MPA, PREPARO EM BETONEIRA E LANÇ.</t>
  </si>
  <si>
    <t>ENROCAMENTO PEDRA DE MÃO ARRUMADA</t>
  </si>
  <si>
    <t>ALVENARIA DE BLOCOS DE CONCRETO (10X20CM)</t>
  </si>
  <si>
    <t>ARGAMASSA CIMENTO E AREIA 1:3</t>
  </si>
  <si>
    <t>LIMPEZA E DESOBSTRUÇÃO DE BUEIROS SIMPLES</t>
  </si>
  <si>
    <t>ESCAVAÇÃO DE BUEIROS EM 1A. CAT.</t>
  </si>
  <si>
    <t>REATERRO E APILOAMENTO MECÂNICO</t>
  </si>
  <si>
    <t>ESCORAMENTO DE CAVAS DE FUNDAÇÃO</t>
  </si>
  <si>
    <t>LASTRO DE BRITA</t>
  </si>
  <si>
    <t>CORPO DE BSTC 0,60M COM BERÇO</t>
  </si>
  <si>
    <t>CORPO DE BSTC 0,60M SEM BERÇO</t>
  </si>
  <si>
    <t>CORPO DE BSTC 0,80M COM BERÇO</t>
  </si>
  <si>
    <t>CORPO DE BSTC 0,80M SEM BERÇO</t>
  </si>
  <si>
    <t>CORPO DE BSTC 1,50M COM BERÇO</t>
  </si>
  <si>
    <t>BOCA DE BSTC 0,60M</t>
  </si>
  <si>
    <t>BOCA DE BSTC 0,80M</t>
  </si>
  <si>
    <t>BOCA DE BSTC 1,50M</t>
  </si>
  <si>
    <t>BOCA DE BDTC 1,50M</t>
  </si>
  <si>
    <t>BOCA DE BTTC 1,50M</t>
  </si>
  <si>
    <t>BOCA DE SAÍDA DRENO PROFUNDO - TIPO 2</t>
  </si>
  <si>
    <t>DRENO PROFUNDO H = 1,5 M - COM GEOCOMPOSTO DRENANTE - DPS 09</t>
  </si>
  <si>
    <t>CONCRETO MAGRO USINADO, EXCLUSIVE BOMBEAMENTO</t>
  </si>
  <si>
    <t>REMOÇÃO DE BUEIRO 0,30M</t>
  </si>
  <si>
    <t>REMOÇÃO DE BUEIRO 0,40M</t>
  </si>
  <si>
    <t>REMOÇÃO DE BUEIRO 0,60M</t>
  </si>
  <si>
    <t>REMOÇÃO DE BUEIRO 0,80M</t>
  </si>
  <si>
    <t>REMOÇÃO DE BUEIRO 1,00M</t>
  </si>
  <si>
    <t>REMOÇÃO DE BUEIRO 1,20M</t>
  </si>
  <si>
    <t>REMOÇÃO DE BUEIRO 1,50M</t>
  </si>
  <si>
    <t>DRENO SUBSUPERFICIAL DE PAVIMENTO DSSP</t>
  </si>
  <si>
    <t>DRENO DE REBAIXO DR</t>
  </si>
  <si>
    <t>SARJETA TRIANGULAR CONCRETO - TIPO 1 - STC 01A</t>
  </si>
  <si>
    <t>CORPO DE BDTC 1,50M COM BERÇO</t>
  </si>
  <si>
    <t>CORPO DE BTTC 1,50M COM BERÇO</t>
  </si>
  <si>
    <t>ESCAVAÇÃO 1A. CAT. P/GALERIAS CELULARES</t>
  </si>
  <si>
    <t xml:space="preserve">FORNECIMENTO E ASSENTAMENTO DE GALERIA BSCC - SEÇÃO 2,0 X 2,0M FECHADA - PRÉ-MOLDADO </t>
  </si>
  <si>
    <t>REGULARIZAÇÃO COMPAC.SUBLEITO 100% PN (B)</t>
  </si>
  <si>
    <t>DEMOLIÇÃO MECÂNICA DE PAVIMENTO</t>
  </si>
  <si>
    <t>CASCALHO COMPACTADO</t>
  </si>
  <si>
    <t>PREENCHIMENTO REBAIXO C/ RACHÃO</t>
  </si>
  <si>
    <t>BRITA GRADUADA 100% PM</t>
  </si>
  <si>
    <t>IMPRIMAÇÃO IMPERMEAB. EXCLUSIVE FORNEC. DA EMULSÃO</t>
  </si>
  <si>
    <t>PINTURA DE LIGAÇÃO EXCLUSIVE FORNEC. DA EMULSÃO</t>
  </si>
  <si>
    <t>C.B.U.Q. C/ASF.MODIFICADO POR POLÍMERO EXCL. FORNEC. ASFALTO</t>
  </si>
  <si>
    <t>REMOÇÃO DE PARALELEPÍPEDO EXISTENTE</t>
  </si>
  <si>
    <t>COLCHÃO DE AREIA PARA PARALELEPÍPEDO</t>
  </si>
  <si>
    <t>RECOMPOSIÇÃO DE PAVIMENTO EM PARALELEPÍPEDO, COM REAPROVEITAMENTO</t>
  </si>
  <si>
    <t>FORNECIMENTO DE EMULSÃO ASFÁLTICA EAI P/IMPRIMAÇÃO</t>
  </si>
  <si>
    <t>FORNECIMENTO DE EMULSÃO ASFÁLTICA RR-1C</t>
  </si>
  <si>
    <t>FORNECIMENTO E COLOCAÇÃO GEOTEXTIL N/TECIDO(GNT)</t>
  </si>
  <si>
    <t>GABIÃO TIPO COLCHÃO ZN/AL + PVC E=0,23M (NBR 8964)</t>
  </si>
  <si>
    <t>GABIÃO TIPO CAIXA 2X1X1,00M ZN/AL + PVC (NBR 8964)</t>
  </si>
  <si>
    <t>LASTRO DE RACHÃO COM BRITAGEM PARA FUNDAÇÃO DO MURO, INCLUSIVE ESPALHAMENTO E COMPACTAÇÃO</t>
  </si>
  <si>
    <t>LIMPEZA E LAVAGEM DE SINALIZAÇÃO VERTICAL</t>
  </si>
  <si>
    <t>PLACA SINALIZAÇÃO C/ PELÍCULA REFLETIVA</t>
  </si>
  <si>
    <t>DEFENSA SIMPLES SEMI-MALEÁVEL C/ ESPAÇADOR E CALÇO</t>
  </si>
  <si>
    <t>TACHA REFLETIVA MONODIRECIONAL</t>
  </si>
  <si>
    <t>TACHA REFLETIVA BIDIRECIONAL</t>
  </si>
  <si>
    <t>TACHÃO REFLETIVO BIDIRECIONAL</t>
  </si>
  <si>
    <t>REMOÇÃO DE PLACA DE SINALIZAÇÃO INCLUSIVE SUPORTE SIMPLES</t>
  </si>
  <si>
    <t>RELOCAÇÃO DE PLACA DE SINALIZAÇÃO VERTICAL</t>
  </si>
  <si>
    <t>DEFENSA METÁLICA A REMOVER</t>
  </si>
  <si>
    <t>SUPORTE DUPLO DE MADEIRA 3"X3" P/ PLACA SINALIZAÇÃO</t>
  </si>
  <si>
    <t>DEMOLIÇÃO DE ALVENARIA</t>
  </si>
  <si>
    <t>DEMOLIÇÃO DE CONCRETO ARMADO</t>
  </si>
  <si>
    <t>DEMOLIÇÃO DE CONCRETO SIMPLES</t>
  </si>
  <si>
    <t>CERCA 4 FIOS C/ MOURÕES DE CONCRETO</t>
  </si>
  <si>
    <t>REMOÇÃO DE CERCAS</t>
  </si>
  <si>
    <t>REMOÇÃO DE CASA DE ALVENARIA</t>
  </si>
  <si>
    <t>ABRIGO EM PARADA DE ÔNIBUS</t>
  </si>
  <si>
    <t>CERCA DE TELA COM MOURÕES DE CONCRETO PARA PASSA FAUNA</t>
  </si>
  <si>
    <t>CERCA DE TELA COM MOURÕES DE CONCRETO</t>
  </si>
  <si>
    <t>MEIO FIO DE CONCRETO TIPO 3 (PRÉ-MOLDADO)</t>
  </si>
  <si>
    <t>CALÇADA COM LASTRO DE BRITA E ACABAMENTO EM CONCRETO</t>
  </si>
  <si>
    <t>RECOMPOSIÇÃO DE MURO DE ALVENARIA, REBOCADO COM FUNDAÇÃO EM CONCRETO ARMADO E PINGADEIRA (H=2,00M SENDO 1,70M DE ALVENARIA E 0,30M DE VIGA BALDRAME)</t>
  </si>
  <si>
    <t>REMANEJAMENTO DE REDE DE ÁGUA</t>
  </si>
  <si>
    <t>PROLONGAMENTO DA CAIXA DA ADUTORA</t>
  </si>
  <si>
    <t>REMOÇÃO E RECOLOCAÇÃO DE PORTÕES</t>
  </si>
  <si>
    <t>CARGA E TRANSPORTE DE ENTULHOS - 15.000M</t>
  </si>
  <si>
    <t>REATERRO DE BORDO DE PAVIMENTO</t>
  </si>
  <si>
    <t>BARREIRA DE SILTAGEM</t>
  </si>
  <si>
    <t>CORTE/LIMPEZA, CLASSIFICAÇÃO, ENLEIRAMENTO, CARGA E TRANSPORTE DE ÁRVORES (VOLUME ESTÉREO) COM DISTÂNCIA DE 20KM</t>
  </si>
  <si>
    <t>PLANTIO DE ÁRVORE COM ALTURA DE MUDA MAIOR QUE 1,00M</t>
  </si>
  <si>
    <t xml:space="preserve">FORNECIMENTO E ASSENTAMENTO DE GALERIA BSCC - SEÇÃO 1,5 X 1,5M FECHADA - PRÉ-MOLDADO </t>
  </si>
  <si>
    <t>REMANEJAMENTO DE REDE DE DISTRIBUIÇÃO DE ENERGIA E RELOCAÇÃO DE POSTES</t>
  </si>
  <si>
    <t>REMOÇÃO E RECOLOCAÇÃO DE POSTES DE TELEFONIA OU ENTRADA DE ENERGIA</t>
  </si>
  <si>
    <t>REMANEJAMENTO DE REDE DE DISTRIBUIÇÃO DE ENERGIA</t>
  </si>
  <si>
    <t>FORNECIMENTO E INSTALAÇÃO DE CABO DE COBRE PP CORDPLAST 3 X 2.5 MM2, 450/750V</t>
  </si>
  <si>
    <t>FORNECIMENTO E INSTALAÇÃO DE CONECTOR PIERCE IP-66 10MM²</t>
  </si>
  <si>
    <t>LUMINÁRIA LED EXTERNA, COM 01 LAMPADA LED 70W, COM DRIVER MULTITENSÃO (100A 250V) INTEGRADO, COM ACESSÓRIO DE FIXAÇÃO, COR 3000K COM FOTOCONTROLADOR</t>
  </si>
  <si>
    <t>FORNECIMENTO E INSTALAÇÃO DE BRACO PARA LUMINÁRIA PÚBLICA EM FERRO GALVANIZADO, Ø25MM, COMPRIMENTO DE 3,00M</t>
  </si>
  <si>
    <t>FORNECIMENTO E INSTALAÇÃO DE POSTE DE CONCRETO ARMADO DE SEÇÃO DUPLO T, PADRÃO COPEL DE DISTRIBUIÇÃO - H = 12M - RESISTÊNCIA DE 600 DAN</t>
  </si>
  <si>
    <t xml:space="preserve">REMOÇÃO DE BRAÇO E LUMINÁRIA EXISTENTE </t>
  </si>
  <si>
    <t>FORNECIMENTO E INSTALAÇÃO DE RAMAL DE ALIMENTAÇÃO ELÉTRICA TRIFÁSICO PARA ILUMINAÇÃO - PADRÃO COPEL -  CABO EM ALUMÍNIO MULTIPLEXADO (3+1) DE 10MM² COM NEUTRO ISOLADO</t>
  </si>
  <si>
    <t>DESMOBILIZAÇÃO DE VEÍCULOS LEVES E CAMINHÕES COMUNS</t>
  </si>
  <si>
    <t>DESMOBILIZAÇÃO DE EQUIPAMENTOS DE GRANDE PORTE</t>
  </si>
  <si>
    <t>H</t>
  </si>
  <si>
    <t>M²</t>
  </si>
  <si>
    <t>M³</t>
  </si>
  <si>
    <t>KG</t>
  </si>
  <si>
    <t>M</t>
  </si>
  <si>
    <t>UNID</t>
  </si>
  <si>
    <t>UND</t>
  </si>
  <si>
    <t>UN</t>
  </si>
  <si>
    <t>TOTAL</t>
  </si>
  <si>
    <t>1.0</t>
  </si>
  <si>
    <t>2.0</t>
  </si>
  <si>
    <t>3.0</t>
  </si>
  <si>
    <t>4.0</t>
  </si>
  <si>
    <t>5.0</t>
  </si>
  <si>
    <t>6.0</t>
  </si>
  <si>
    <t>7.0</t>
  </si>
  <si>
    <t>8.0</t>
  </si>
  <si>
    <t>9.0</t>
  </si>
  <si>
    <t>10.0</t>
  </si>
  <si>
    <t>11.0</t>
  </si>
  <si>
    <t>12.0</t>
  </si>
  <si>
    <t>13.0</t>
  </si>
  <si>
    <t>14.0</t>
  </si>
  <si>
    <t>15.0</t>
  </si>
  <si>
    <t>16.0</t>
  </si>
  <si>
    <t>PLANILHA RESUMO</t>
  </si>
  <si>
    <t>EQUIPE ADMINISTRATIVA</t>
  </si>
  <si>
    <t>CCU-001</t>
  </si>
  <si>
    <t>CCU-002</t>
  </si>
  <si>
    <t>CCU-003</t>
  </si>
  <si>
    <t>CCU-004</t>
  </si>
  <si>
    <t>CCU-005</t>
  </si>
  <si>
    <t>CCU-006</t>
  </si>
  <si>
    <t>CCU-007</t>
  </si>
  <si>
    <t>AMEP</t>
  </si>
  <si>
    <t>CCU-008</t>
  </si>
  <si>
    <t>CCU-009</t>
  </si>
  <si>
    <t>CCU-010</t>
  </si>
  <si>
    <t>CCU-011</t>
  </si>
  <si>
    <t>CÓDIGO DA COMPOSIÇÃO</t>
  </si>
  <si>
    <t>DESCRIÇÃO DA COMPOSIÇÃO</t>
  </si>
  <si>
    <t>TIPO DO ITEM</t>
  </si>
  <si>
    <t>CÓDIGO ITEM</t>
  </si>
  <si>
    <t>DESCRIÇÃO DO ITEM</t>
  </si>
  <si>
    <t>COEFICIENTE</t>
  </si>
  <si>
    <t>CUSTO TOTAL</t>
  </si>
  <si>
    <t xml:space="preserve">DESCRIÇÃO DO SERVIÇO </t>
  </si>
  <si>
    <t xml:space="preserve">UNIDADE </t>
  </si>
  <si>
    <t xml:space="preserve">CUSTO EXECUÇÃO </t>
  </si>
  <si>
    <t>CUSTO MATERIAL</t>
  </si>
  <si>
    <t>CUSTO SUB-SERVIÇO</t>
  </si>
  <si>
    <t>DRENAGEM E OBRAS ARTE CORRENTES</t>
  </si>
  <si>
    <t>PAVIMENTO RÍGIDO</t>
  </si>
  <si>
    <t>RESTAURAÇÃO/CONSERVAÇÃO RODOVIÁRIA</t>
  </si>
  <si>
    <t>SINALIZAÇÃO PROVISÓRIA</t>
  </si>
  <si>
    <t>FORNECIMENTO DE VEÍCULOS</t>
  </si>
  <si>
    <t>ADEQUAÇÃO DE ESTRADAS</t>
  </si>
  <si>
    <t>CORTE/LIMPEZA, CLASSIFICAÇÃO E ENLEIRAMENTO DE ÁRVORES (VOLUME ESTÉREO), INCLUSIVE TRANSPORTE</t>
  </si>
  <si>
    <t>COLCHÃO DRENANTE DE AREIA PARA FUNDAÇÃO DE ATERROS</t>
  </si>
  <si>
    <t>COMPACTAÇÃO DE ATERROS  95% PN (A)</t>
  </si>
  <si>
    <t>COMPACTAÇÃO DE ATERROS C/CONTROLE VISUAL</t>
  </si>
  <si>
    <t>COMPACTAÇÃO DE ATERROS 100% PN (A)</t>
  </si>
  <si>
    <t>ESC. CARGA E TRANSP. 1A. CAT.     0-200M</t>
  </si>
  <si>
    <t>ESC. CARGA E TRANSP. 1A. CAT.   200-400M</t>
  </si>
  <si>
    <t>ESC. CARGA E TRANSP. 1A. CAT.   400-600M</t>
  </si>
  <si>
    <t>ESC. CARGA E TRANSP. 1A. CAT.   600-800M</t>
  </si>
  <si>
    <t>ESC. CARGA E TRANSP. 1A. CAT.   800-1000M</t>
  </si>
  <si>
    <t>ESC. CARGA E TRANSP. 1A. CAT.  1400-1600M</t>
  </si>
  <si>
    <t>ESC. CARGA E TRANSP. 1A. CAT.  1600-2000M</t>
  </si>
  <si>
    <t>ESC. CARGA E TRANSP. 1A. CAT.  3000-4000M</t>
  </si>
  <si>
    <t>ESC. CARGA E TRANSP. 1A. CAT.  4000-5000M</t>
  </si>
  <si>
    <t>ESC. CARGA E TRANSP. 1A. CAT.  5000-6000M</t>
  </si>
  <si>
    <t>ESC. CARGA E TRANSP. 1A. CAT.  6000-8000M</t>
  </si>
  <si>
    <t>ESC. CARGA E TRANSP. 1A. CAT.  8000-10000M</t>
  </si>
  <si>
    <t>ESC. CARGA E TRANSP. 2A. CAT.     0-200M</t>
  </si>
  <si>
    <t>ESC. CARGA E TRANSP. 2A. CAT.   200-400M</t>
  </si>
  <si>
    <t>ESC. CARGA E TRANSP. 2A. CAT.   400-600M</t>
  </si>
  <si>
    <t>ESC. CARGA E TRANSP. 2A. CAT.   600-800M</t>
  </si>
  <si>
    <t>ESC. CARGA E TRANSP. 2A. CAT.   800-1000M</t>
  </si>
  <si>
    <t>ESC. CARGA E TRANSP. 2A. CAT.  1000-1200M</t>
  </si>
  <si>
    <t>ESC. CARGA E TRANSP. 2A. CAT.  1200-1400M</t>
  </si>
  <si>
    <t>ESC. CARGA E TRANSP. 2A. CAT.  1400-1600M</t>
  </si>
  <si>
    <t>ESC. CARGA E TRANSP. 2A. CAT.  1600-2000M</t>
  </si>
  <si>
    <t>ESC. CARGA E TRANSP. 2A. CAT.  2000-3000M</t>
  </si>
  <si>
    <t>ESC. CARGA E TRANSP. 2A. CAT.  3000-4000M</t>
  </si>
  <si>
    <t>ESC. CARGA E TRANSP. 2A. CAT.  4000-5000M</t>
  </si>
  <si>
    <t>ESC. CARGA E TRANSP. 2A. CAT.  5000-6000M</t>
  </si>
  <si>
    <t>ESC. CARGA E TRANSP. 2A. CAT.  6000-8000M</t>
  </si>
  <si>
    <t>ESC. CARGA E TRANSP. 2A. CAT.  8000-10000M</t>
  </si>
  <si>
    <t>ESC. CARGA E TRANSP. 3A. CAT.    0-200M</t>
  </si>
  <si>
    <t>ESC. CARGA E TRANSP. 3A. CAT.  200-400M</t>
  </si>
  <si>
    <t>ESC. CARGA E TRANSP. 3A. CAT.  400-600M</t>
  </si>
  <si>
    <t>ESC. CARGA E TRANSP. 3A. CAT.  600-800M</t>
  </si>
  <si>
    <t>ESC. CARGA E TRANSP. 3A. CAT.  800-1000M</t>
  </si>
  <si>
    <t>ESC. CARGA E TRANSP. 3A. CAT. 1000-1200M</t>
  </si>
  <si>
    <t>ESC. CARGA E TRANSP. 3A. CAT. 1200-1400M</t>
  </si>
  <si>
    <t>ESC. CARGA E TRANSP. 3A. CAT. 1400-1600M</t>
  </si>
  <si>
    <t>ESC. CARGA E TRANSP. 3A. CAT. 1600-2000M</t>
  </si>
  <si>
    <t>ESC. CARGA E TRANSP. 3A. CAT. 2000-3000M</t>
  </si>
  <si>
    <t>ESC. CARGA E TRANSP. 3A. CAT. 3000-4000M</t>
  </si>
  <si>
    <t>ESC. CARGA E TRANSP. 3A. CAT. 4000-5000M</t>
  </si>
  <si>
    <t>ESC. CARGA E TRANSP. 3A. CAT. 5000-6000M</t>
  </si>
  <si>
    <t>ESC. CARGA E TRANSP. 3A. CAT. 6000-8000M</t>
  </si>
  <si>
    <t>ESC. CARGA E TRANSP. 3A. CAT. 8000-10000M</t>
  </si>
  <si>
    <t>EXTRAÇÃO DE MATERIAL 3A. CAT.</t>
  </si>
  <si>
    <t>REGULARIZAÇÃO, CONFORMAÇÃO E COMPACTAÇÃO DE LEITO</t>
  </si>
  <si>
    <t>REMOÇÃO DE SOLOS MOLES</t>
  </si>
  <si>
    <t>REVESTIMENTO PRIMÁRIO</t>
  </si>
  <si>
    <t>VALETÕES LATERAIS (FUNDO) 1A. CAT.  200 -  600M (A)</t>
  </si>
  <si>
    <t>VALETÕES LATERAIS (FUNDO) 1A. CAT.  200 -  600M (B)</t>
  </si>
  <si>
    <t>VALETÕES LATERAIS (FUNDO) 1A. CAT.  600 -1000M (A)</t>
  </si>
  <si>
    <t>VALETÕES LATERAIS (FUNDO) 1A. CAT.  600 -1000M (B)</t>
  </si>
  <si>
    <t>VALETÕES LATERAIS (FUNDO) 2A. CAT.  200 -  600M (A)</t>
  </si>
  <si>
    <t>VALETÕES LATERAIS (FUNDO) 2A. CAT.  200 -  600M (B)</t>
  </si>
  <si>
    <t>VALETÕES LATERAIS (FUNDO) 2A. CAT.  600 -1000M (A)</t>
  </si>
  <si>
    <t>VALETÕES LATERAIS (FUNDO) 2A. CAT.  600 -1000M (B)</t>
  </si>
  <si>
    <t>BICA CORRIDA</t>
  </si>
  <si>
    <t>BINDER EXCLUSIVE FORNECIMENTO DO CAP (ACIMA DE 10.000 T)</t>
  </si>
  <si>
    <t>BINDER EXCLUSIVE FORNECIMENTO DO CAP (ATÉ 10.000 T)</t>
  </si>
  <si>
    <t>BRITA GRADUADA - NA USINA</t>
  </si>
  <si>
    <t>BRITA GRADUADA C/ CIMENTO - NA USINA</t>
  </si>
  <si>
    <t>BRITA GRADUADA TRATADA C/CIMENTO (CP=4%) 100% PI</t>
  </si>
  <si>
    <t>BRITA GRADUADA TRATADA C/CIMENTO (CP=4%) 100% PM</t>
  </si>
  <si>
    <t>BRITA GRADUADA 100% PI</t>
  </si>
  <si>
    <t>CAMADA DE BLOQUEIO C/ PEDRA O &lt; 3/4"</t>
  </si>
  <si>
    <t>CAPA SELANTE EXCLUSIVE FORNECIMENTO DA EMULSÃO</t>
  </si>
  <si>
    <t>CARGA DE CORDÃO PEDRA P/ PAV. POLIÉDRICO</t>
  </si>
  <si>
    <t>CARGA DE PEDRA P/ PAV. POLIÉDRICO</t>
  </si>
  <si>
    <t>C.B.U.Q. - NA USINA EXCL. FORNEC. DO CAP (ACIMA DE 10.000 T)</t>
  </si>
  <si>
    <t>C.B.U.Q. - NA USINA EXCL. FORNEC. DO CAP (ATÉ 10.000 T)</t>
  </si>
  <si>
    <t>C.B.U.Q. C/ASF.MODIFICADO POR BORRACHA EXCL. FORNEC. ASFALTO</t>
  </si>
  <si>
    <t>C.B.U.Q. EXCL. FORNEC. DO CAP (ACIMA DE 10.000 T)</t>
  </si>
  <si>
    <t>C.B.U.Q. EXCL. FORNEC. DO CAP (ATÉ 10.000 T)</t>
  </si>
  <si>
    <t>COLCHÃO DE ARGILA P/ PAV. POLIÉDRICO</t>
  </si>
  <si>
    <t>COMPACTAÇÃO DE PAVIMENTO POLIÉDRICO</t>
  </si>
  <si>
    <t>CONTENÇÃO LATERAL C/ SOLO LOCAL P/ PAV. POLIÉDRICO</t>
  </si>
  <si>
    <t>CONTENÇÃO LATERAL COM SOLO LOCAL</t>
  </si>
  <si>
    <t>CORTE E PREPARO CORDÃO PEDRA P/ PAV. POLIÉDRICO</t>
  </si>
  <si>
    <t>CORTE E PREPARO DE PEDRA P/ PAV. POLIÉDRICO</t>
  </si>
  <si>
    <t>DECAPAGEM PEDREIRA E LIMPEZA PERIÓDICA P/ PAV. POLIÉDRICO</t>
  </si>
  <si>
    <t>DESMONTE MANUAL DE PEDRA  P/ PAV. POLIÉDRICO</t>
  </si>
  <si>
    <t>ENCHIMENTO C/ ARGILA P/ PAV. POLIÉDRICO</t>
  </si>
  <si>
    <t>ESCARIFICAÇÃO E REMOÇÃO REVESTIMENTO PRIMÁRIO</t>
  </si>
  <si>
    <t>ESCARIFICAÇÃO, REGULARIZAÇÃO COMPAC. SUBLEITO</t>
  </si>
  <si>
    <t>ESCAVAÇÃO E CARGA MAT. JAZIDA 1A. CAT.</t>
  </si>
  <si>
    <t>ESCAVAÇÃO E CARGA MAT. JAZIDA 2A. CAT.</t>
  </si>
  <si>
    <t>EXTRAÇÃO, CARGA E TRANSP. ROCHA JAZIDA P/ BRITAGEM</t>
  </si>
  <si>
    <t>EXTRAÇÃO, CARGA, TRANSP. ASSENT. CORDÃO LAT. PEDRA P/ PAV. POLIÉDRICO</t>
  </si>
  <si>
    <t>EXTRAÇÃO, CARGA, TRANSP. PREPARO E ASSENTAMENTO DO POLIEDRO</t>
  </si>
  <si>
    <t>IMPRIMAÇÃO IMPERMEAB. EXCLUSIVE FORNEC. DO CM</t>
  </si>
  <si>
    <t>LIMPEZA DE JAZIDA 1A. CAT.</t>
  </si>
  <si>
    <t>LIMPEZA DE JAZIDA 2A. CAT.</t>
  </si>
  <si>
    <t>MACADAME BETUMINOSO EXCLUSIVE FORNECIMENTO DA EMULSÃO</t>
  </si>
  <si>
    <t>MACADAME BETUMINOSO EXCLUSIVE FORNECIMENTO DO CAP</t>
  </si>
  <si>
    <t>MACADAME HIDRÁULICO</t>
  </si>
  <si>
    <t>MACADAME SECO BRITADO PREENCHIDO C/BICA CORRIDA</t>
  </si>
  <si>
    <t>MACADAME SECO BRITADO PREENCHIDO C/BRITA GRADUADA</t>
  </si>
  <si>
    <t>PARALELEPÍPEDO(REVESTIMENTO)</t>
  </si>
  <si>
    <t>PAVIMENTO C/ BLOCO INTERTRAVADO CONCRETO (PAVER-COR NATURAL) E=6CM, INCL. COLCHÃO AREIA</t>
  </si>
  <si>
    <t>PAVIMENTO C/ BLOCO INTERTRAVADO CONCRETO (PAVER-COR NATURAL) E=6CM, INCL. COLCHÃO PÓ DE PEDRA</t>
  </si>
  <si>
    <t>PAVIMENTO C/ BLOCO INTERTRAVADO CONCRETO (PAVER-COR NATURAL) E=8CM, INCL. COLCHÃO AREIA</t>
  </si>
  <si>
    <t>PAVIMENTO C/ BLOCO INTERTRAVADO CONCRETO (PAVER-COR NATURAL) E=8CM, INCL. COLCHÃO PÓ DE PEDRA</t>
  </si>
  <si>
    <t>PEDRA BRITADA (PRODUZIDA)</t>
  </si>
  <si>
    <t>PEDRA BRITADA 4" (PRODUZIDA)</t>
  </si>
  <si>
    <t>PINTURA DE LIGAÇÃO EXCL. FORNEC. EMULSÃO C/POLÍMERO</t>
  </si>
  <si>
    <t>PREENCHIMENTO REBAIXO C/ APROV. CORTE 3A. CAT.</t>
  </si>
  <si>
    <t>PREENCHIMENTO REBAIXO C/ BRITA</t>
  </si>
  <si>
    <t>PREENCHIMENTO REBAIXO C/ RACHÃO S/ BRITAGEM</t>
  </si>
  <si>
    <t>PRÉ-MIST. A FRIO P/ REFORÇO - NA USINA EXCL. FORNEC. DA EMULSÃO</t>
  </si>
  <si>
    <t>PRÉ-MIST. A FRIO P/ REFORÇO EXCLUSIVE FORNEC. DA EMULSÃO</t>
  </si>
  <si>
    <t>PRÉ-MIST. A FRIO P/ REVEST. - NA USINA EXCL. FORNEC. DA EMULSÃO</t>
  </si>
  <si>
    <t>PRÉ-MIST. A FRIO P/ REVESTIMENTO EXCLUSIVE FORNEC. DA EMULSÃO</t>
  </si>
  <si>
    <t>PRÉ-MISTURADO A QUENTE EXCL. FORNEC. DO CAP (ACIMA DE 10.000 T)</t>
  </si>
  <si>
    <t>PRÉ-MISTURADO A QUENTE EXCL. FORNEC. DO CAP (ATÉ 10.000 T)</t>
  </si>
  <si>
    <t>RACHÃO SEM BRITAGEM (PRODUZIDO)</t>
  </si>
  <si>
    <t>REGULARIZAÇÃO COMPAC.SUBLEITO S.A.F. 100% PI</t>
  </si>
  <si>
    <t>REGULARIZAÇÃO COMPAC.SUBLEITO 100% PN (A)</t>
  </si>
  <si>
    <t>REGULARIZAÇÃO DO SUBLEITO SEM COMPACTAÇÃO</t>
  </si>
  <si>
    <t>SOLO - BRITA (40/60) MISTURA NA USINA 100% PI</t>
  </si>
  <si>
    <t>SOLO - BRITA (50/50) MISTURA NA USINA 100% PI</t>
  </si>
  <si>
    <t>SOLO ARENOSO FINO (BASE) 100% PI</t>
  </si>
  <si>
    <t>SOLO ARENOSO FINO (BASE) 100% PM</t>
  </si>
  <si>
    <t>SOLO ARENOSO FINO (LOCAL) P/ BASE 100% PI</t>
  </si>
  <si>
    <t>SOLO ARENOSO FINO (LOCAL) P/ BASE 100% PM</t>
  </si>
  <si>
    <t>SOLO CIMENTO MIST. PISTA (2%) 100% PI</t>
  </si>
  <si>
    <t>SOLO CIMENTO MIST. PISTA (3%) 100% PI</t>
  </si>
  <si>
    <t>SOLO CIMENTO MIST. PISTA (4%) 100% PI</t>
  </si>
  <si>
    <t>SOLO CIMENTO MIST. PISTA (4%) 100% PN</t>
  </si>
  <si>
    <t>SOLO CIMENTO MIST. PISTA (5%) 100% PI</t>
  </si>
  <si>
    <t>SOLO CIMENTO MIST. PISTA (5%) 100% PN</t>
  </si>
  <si>
    <t>SOLO CIMENTO MIST. PISTA (6%) 100% PN</t>
  </si>
  <si>
    <t>SOLO CIMENTO MIST. PISTA (7%) 100% PN</t>
  </si>
  <si>
    <t>SOLO CIMENTO MIST. USINA (2%) 100% PI</t>
  </si>
  <si>
    <t>SOLO CIMENTO MIST. USINA (3%) 100% PI</t>
  </si>
  <si>
    <t>SOLO CIMENTO MIST. USINA (4%) 100% PI</t>
  </si>
  <si>
    <t>SOLO CIMENTO MIST. USINA (4%) 100% PN</t>
  </si>
  <si>
    <t>SOLO CIMENTO MIST. USINA (5%) 100% PI</t>
  </si>
  <si>
    <t>SOLO CIMENTO MIST. USINA (5%) 100% PN</t>
  </si>
  <si>
    <t>SOLO CIMENTO MIST. USINA (6%) 100% PN</t>
  </si>
  <si>
    <t>SOLO CIMENTO MIST. USINA (7%) 100% PN</t>
  </si>
  <si>
    <t>SOLO ESTABILIZADO S/ MISTURA 100% PI (1A. CAT.)</t>
  </si>
  <si>
    <t>SOLO ESTABILIZADO S/ MISTURA 100% PI (2A. CAT.)</t>
  </si>
  <si>
    <t>SOLO ESTABILIZADO S/ MISTURA 100% PM (1A. CAT.)</t>
  </si>
  <si>
    <t>SOLO ESTABILIZADO S/ MISTURA 100% PM (2A. CAT.)</t>
  </si>
  <si>
    <t>SOLO ESTABILIZADO S/ MISTURA 100% PN (1A. CAT.)</t>
  </si>
  <si>
    <t>SOLO ESTABILIZADO S/ MISTURA 100% PN (2A. CAT.)</t>
  </si>
  <si>
    <t>TSD EXCLUSIVE FORNECIMENTO DA EMULSÃO</t>
  </si>
  <si>
    <t>TSS EXCLUSIVE FORNECIMENTO DA EMULSÃO</t>
  </si>
  <si>
    <t>TST EXCLUSIVE FORNECIMENTO DA EMULSÃO</t>
  </si>
  <si>
    <t>AÇO CA-25 FORNEC. DOBR. COLOCAÇÃO</t>
  </si>
  <si>
    <t>ALVENARIA DE TIJOLOS MACIÇOS</t>
  </si>
  <si>
    <t>ALVENARIA PEDRA DE MÃO ARGAMASSADA</t>
  </si>
  <si>
    <t>ARGAMASSA CIMENTO E AREIA 1:4</t>
  </si>
  <si>
    <t>BOCA DE BDTC 1,00M</t>
  </si>
  <si>
    <t>BOCA DE BDTC 1,20M</t>
  </si>
  <si>
    <t>BOCA DE BDTC 2,00M</t>
  </si>
  <si>
    <t>BOCA DE BSTC 0,40M</t>
  </si>
  <si>
    <t>BOCA DE BSTC 1,00M</t>
  </si>
  <si>
    <t>BOCA DE BSTC 1,20M</t>
  </si>
  <si>
    <t>BOCA DE BSTC 2,00M</t>
  </si>
  <si>
    <t>BOCA DE BTTC 1,00M</t>
  </si>
  <si>
    <t>BOCA DE BTTC 1,20M</t>
  </si>
  <si>
    <t>BOCA DE BTTC 2,00M</t>
  </si>
  <si>
    <t>BOCA DE SAÍDA DRENO PROFUNDO - TIPO 1</t>
  </si>
  <si>
    <t>BOCA DE SAÍDA DRENO SUB-HORIZONTAL</t>
  </si>
  <si>
    <t>BOCA DE SAÍDA DRENO SUB-SUPERFICIAL</t>
  </si>
  <si>
    <t>BUEIRO METÁLICO MP-100 CIRCULAR E=2,0MM</t>
  </si>
  <si>
    <t>BUEIRO METÁLICO MP-100 CIRCULAR E=2,7MM</t>
  </si>
  <si>
    <t>BUEIRO METÁLICO MP-100 CIRCULAR E=3,4MM</t>
  </si>
  <si>
    <t>BUEIRO METÁLICO MP-152 CIRCULAR E=2,7MM</t>
  </si>
  <si>
    <t>BUEIRO METÁLICO MP-152 CIRCULAR E=3,4MM</t>
  </si>
  <si>
    <t>BUEIRO METÁLICO MP-152 CIRCULAR E=4,7MM</t>
  </si>
  <si>
    <t>BUEIRO METÁLICO MP-152 CIRCULAR E=6,3MM</t>
  </si>
  <si>
    <t>CONCRETO CICLÓPICO FCK = 11 MPA, PREPARO EM BETONEIRA E LANÇ.</t>
  </si>
  <si>
    <t>CONCRETO CICLÓPICO FCK = 15 MPA, PREPARO EM BETONEIRA E LANÇ.</t>
  </si>
  <si>
    <t>CONCRETO FCK =  9 MPA, PREPARO EM BETONEIRA E LANÇ.</t>
  </si>
  <si>
    <t>CONCRETO FCK = 11 MPA, PREPARO EM BETONEIRA E LANÇ.</t>
  </si>
  <si>
    <t>CONCRETO FCK = 15 MPA, PREPARO EM BETONEIRA E LANÇ.</t>
  </si>
  <si>
    <t>CONCRETO FCK = 18 MPA, PREPARO EM BETONEIRA E LANÇ.</t>
  </si>
  <si>
    <t>CONCRETO FCK = 22 MPA, PREPARO EM BETONEIRA E LANÇ.</t>
  </si>
  <si>
    <t>CONCRETO FCK = 24 MPA, PREPARO EM BETONEIRA E LANÇ.</t>
  </si>
  <si>
    <t>CONCRETO FCK = 25 MPA, PREPARO EM BETONEIRA E LANÇ.</t>
  </si>
  <si>
    <t>CONCRETO FCK = 30 MPA, PREPARO EM BETONEIRA E LANÇ.</t>
  </si>
  <si>
    <t>CONCRETO FCK = 32 MPA, PREPARO EM BETONEIRA E LANÇ.</t>
  </si>
  <si>
    <t>CORPO DE BDTC 0,80M COM BERÇO</t>
  </si>
  <si>
    <t>CORPO DE BDTC 1,00M COM BERÇO</t>
  </si>
  <si>
    <t>CORPO DE BDTC 1,00M SEM BERÇO</t>
  </si>
  <si>
    <t>CORPO DE BDTC 1,20M COM BERÇO</t>
  </si>
  <si>
    <t>CORPO DE BDTC 1,20M SEM BERÇO</t>
  </si>
  <si>
    <t>CORPO DE BDTC 1,50M SEM BERÇO</t>
  </si>
  <si>
    <t>CORPO DE BDTC 2,00M COM BERÇO</t>
  </si>
  <si>
    <t>CORPO DE BSTC 0,40M COM BERÇO</t>
  </si>
  <si>
    <t>CORPO DE BSTC 0,40M SEM BERÇO</t>
  </si>
  <si>
    <t>CORPO DE BSTC 1,00M COM BERÇO</t>
  </si>
  <si>
    <t>CORPO DE BSTC 1,00M SEM BERÇO</t>
  </si>
  <si>
    <t>CORPO DE BSTC 1,20M COM BERÇO</t>
  </si>
  <si>
    <t>CORPO DE BSTC 1,20M SEM BERÇO</t>
  </si>
  <si>
    <t>CORPO DE BSTC 1,50M SEM BERÇO</t>
  </si>
  <si>
    <t>CORPO DE BSTC 2,00M COM BERÇO</t>
  </si>
  <si>
    <t>CORPO DE BSTC 2,00M SEM BERÇO</t>
  </si>
  <si>
    <t>CORPO DE BTTC 1,00M COM BERÇO</t>
  </si>
  <si>
    <t>CORPO DE BTTC 1,00M SEM BERÇO</t>
  </si>
  <si>
    <t>CORPO DE BTTC 1,20M COM BERÇO</t>
  </si>
  <si>
    <t>CORPO DE BTTC 1,20M SEM BERÇO</t>
  </si>
  <si>
    <t>CORPO DE BTTC 1,50M SEM BERÇO</t>
  </si>
  <si>
    <t>CORPO DE BTTC 2,00M COM BERÇO</t>
  </si>
  <si>
    <t>DRENO PROFUNDO EM ROCHA - TIPO 1</t>
  </si>
  <si>
    <t>DRENO PROFUNDO EM ROCHA - TIPO 2(GNT)</t>
  </si>
  <si>
    <t>DRENO PROFUNDO EM ROCHA - TIPO 2(GT)</t>
  </si>
  <si>
    <t>DRENO PROFUNDO EM ROCHA - TIPO 3(GNT)</t>
  </si>
  <si>
    <t>DRENO PROFUNDO EM ROCHA - TIPO 3(GT)</t>
  </si>
  <si>
    <t>DRENO PROFUNDO EM ROCHA - TIPO 4</t>
  </si>
  <si>
    <t>DRENO PROFUNDO EM ROCHA - TIPO 5</t>
  </si>
  <si>
    <t>DRENO PROFUNDO EM SOLO - TIPO 1</t>
  </si>
  <si>
    <t>DRENO PROFUNDO EM SOLO - TIPO 1A</t>
  </si>
  <si>
    <t>DRENO PROFUNDO EM SOLO - TIPO 2</t>
  </si>
  <si>
    <t>DRENO PROFUNDO EM SOLO - TIPO 2A</t>
  </si>
  <si>
    <t>DRENO PROFUNDO EM SOLO - TIPO 3A(GNT)</t>
  </si>
  <si>
    <t>DRENO PROFUNDO EM SOLO - TIPO 3A(GT)</t>
  </si>
  <si>
    <t>DRENO PROFUNDO EM SOLO - TIPO 3(GNT)</t>
  </si>
  <si>
    <t>DRENO PROFUNDO EM SOLO - TIPO 3(GT)</t>
  </si>
  <si>
    <t>DRENO PROFUNDO EM SOLO - TIPO 4A(GNT)</t>
  </si>
  <si>
    <t>DRENO PROFUNDO EM SOLO - TIPO 4A(GT)</t>
  </si>
  <si>
    <t>DRENO PROFUNDO EM SOLO - TIPO 4(GNT)</t>
  </si>
  <si>
    <t>DRENO PROFUNDO EM SOLO - TIPO 4(GT)</t>
  </si>
  <si>
    <t>DRENO PROFUNDO EM SOLO - TIPO 5A(GNT)</t>
  </si>
  <si>
    <t>DRENO PROFUNDO EM SOLO - TIPO 5A(GT)</t>
  </si>
  <si>
    <t>DRENO PROFUNDO EM SOLO - TIPO 5(GNT)</t>
  </si>
  <si>
    <t>DRENO PROFUNDO EM SOLO - TIPO 5(GT)</t>
  </si>
  <si>
    <t>DRENO PROFUNDO EM SOLO - TIPO 6A(GNT)</t>
  </si>
  <si>
    <t>DRENO PROFUNDO EM SOLO - TIPO 6A(GT)</t>
  </si>
  <si>
    <t>DRENO PROFUNDO EM SOLO - TIPO 6(GNT)</t>
  </si>
  <si>
    <t>DRENO PROFUNDO EM SOLO - TIPO 6(GT)</t>
  </si>
  <si>
    <t>DRENO SUB-HORIZONTAL</t>
  </si>
  <si>
    <t>DRENO SUB-SUPERFICIAL - TIPO 1</t>
  </si>
  <si>
    <t>DRENO SUB-SUPERFICIAL - TIPO 2</t>
  </si>
  <si>
    <t>ENROCAMENTO PEDRA DE MÃO JOGADA</t>
  </si>
  <si>
    <t>ESCAVAÇÃO DE BUEIROS EM 2A. CAT.</t>
  </si>
  <si>
    <t>ESCAVAÇÃO DE BUEIROS EM 3A. CAT.</t>
  </si>
  <si>
    <t>ESCAVAÇÃO DE CORTA-RIO EM 1A. CAT.</t>
  </si>
  <si>
    <t>ESCAVAÇÃO DE CORTA-RIO EM 2A. CAT.</t>
  </si>
  <si>
    <t>ESCAVAÇÃO DE CORTA-RIO EM 3A. CAT.</t>
  </si>
  <si>
    <t>ESCAVAÇÃO MANUAL DE VALA 2A. CAT.</t>
  </si>
  <si>
    <t>ESCAVAÇÃO MANUAL DE VALA 3A. CAT.</t>
  </si>
  <si>
    <t>ESCAVAÇÃO VALAS DE DRENAGEM 2A. CAT.</t>
  </si>
  <si>
    <t>ESCAVAÇÃO VALAS DE DRENAGEM 3A. CAT.</t>
  </si>
  <si>
    <t>FORMAS DE MADEIRA COMPENSADA  RESINADA</t>
  </si>
  <si>
    <t>FORMAS DE MADEIRA COMUM</t>
  </si>
  <si>
    <t>FORNECIMENTO E COLOCAÇÃO GEOTEXTIL TECIDO(GT)</t>
  </si>
  <si>
    <t>FORNECIMENTO E COLOCAÇÃO TUBO CONCRETO D=20CM</t>
  </si>
  <si>
    <t>FORNECIMENTO E COLOCAÇÃO TUBO CONCRETO D=30CM</t>
  </si>
  <si>
    <t>GRADE FERRO P/ BOCA DE LOBO</t>
  </si>
  <si>
    <t>GRELHA FERRO P/ CXA. COLETORA SARJETA</t>
  </si>
  <si>
    <t>LIMPEZA E DESOBSTRUÇÃO DE BUEIROS DUPLOS</t>
  </si>
  <si>
    <t>LIMPEZA E DESOBSTRUÇÃO DE BUEIROS TRIPLOS</t>
  </si>
  <si>
    <t>MEIO FIO DE CONCRETO TIPO 1 (EXECUTADO C/ EXTRUSORA)</t>
  </si>
  <si>
    <t>MEIO FIO DE CONCRETO TIPO 1 (PRÉ-MOLDADO)</t>
  </si>
  <si>
    <t>MEIO FIO DE CONCRETO TIPO 2 (EXECUTADO C/ EXTRUSORA)</t>
  </si>
  <si>
    <t>MEIO FIO DE CONCRETO TIPO 2 (PRÉ-MOLDADO)</t>
  </si>
  <si>
    <t>MEIO FIO DE CONCRETO TIPO 3 (EXECUTADO C/ EXTRUSORA)</t>
  </si>
  <si>
    <t>MEIO FIO DE CONCRETO TIPO 4 (EXECUTADO C/ EXTRUSORA)</t>
  </si>
  <si>
    <t>MEIO FIO DE CONCRETO TIPO 4 (PRÉ-MOLDADO)</t>
  </si>
  <si>
    <t>MEIO FIO DE CONCRETO TIPO 5 (EXECUTADO C/ EXTRUSORA)</t>
  </si>
  <si>
    <t>MEIO FIO DE CONCRETO TIPO 5 (PRÉ-MOLDADO)</t>
  </si>
  <si>
    <t>MEIO FIO DE CONCRETO TIPO 6 (EXECUTADO C/ EXTRUSORA)</t>
  </si>
  <si>
    <t>MEIO FIO DE CONCRETO TIPO 6 (PRÉ-MOLDADO)</t>
  </si>
  <si>
    <t>MEIO FIO DE CONCRETO TIPO 7 (EXECUTADO C/ EXTRUSORA)</t>
  </si>
  <si>
    <t>MEIO FIO DE CONCRETO TIPO 7 (PRÉ-MOLDADO)</t>
  </si>
  <si>
    <t>MEIO FIO DE CONCRETO TIPO 8 (EXECUTADO C/ EXTRUSORA)</t>
  </si>
  <si>
    <t>MEIO FIO DE CONCRETO TIPO 8 (PRÉ-MOLDADO)</t>
  </si>
  <si>
    <t>MEIO FIO DE CONCRETO TIPO 9A (EXECUTADO C/ EXTRUSORA)</t>
  </si>
  <si>
    <t>MEIO FIO DE CONCRETO TIPO 9A (PRÉ-MOLDADO)</t>
  </si>
  <si>
    <t>MEIO FIO DE CONCRETO TIPO 9B (EXECUTADO C/ EXTRUSORA)</t>
  </si>
  <si>
    <t>MEIO FIO DE CONCRETO TIPO 9B (PRÉ-MOLDADO)</t>
  </si>
  <si>
    <t>REMOÇÃO DE BUEIRO 0,50M</t>
  </si>
  <si>
    <t>SARJETA TRAPEZOIDAL CONCRETO - TIPO  1</t>
  </si>
  <si>
    <t>SARJETA TRAPEZOIDAL CONCRETO - TIPO  1A</t>
  </si>
  <si>
    <t>SARJETA TRAPEZOIDAL CONCRETO - TIPO  2</t>
  </si>
  <si>
    <t>SARJETA TRAPEZOIDAL CONCRETO - TIPO  2A</t>
  </si>
  <si>
    <t>SARJETA TRAPEZOIDAL CONCRETO - TIPO  3</t>
  </si>
  <si>
    <t>SARJETA TRAPEZOIDAL CONCRETO - TIPO  3A</t>
  </si>
  <si>
    <t>SARJETA TRAPEZOIDAL CONCRETO - TIPO  4</t>
  </si>
  <si>
    <t>SARJETA TRAPEZOIDAL CONCRETO - TIPO  4A</t>
  </si>
  <si>
    <t>SARJETA TRAPEZOIDAL SOLO-CIMENTO - TIPO 3B</t>
  </si>
  <si>
    <t>SARJETA TRAPEZOIDAL SOLO-CIMENTO - TIPO 4B</t>
  </si>
  <si>
    <t>SARJETA TRIANGULAR CONCRETO - TIPO  1</t>
  </si>
  <si>
    <t>SARJETA TRIANGULAR CONCRETO - TIPO  2</t>
  </si>
  <si>
    <t>SARJETA TRIANGULAR CONCRETO - TIPO  2A</t>
  </si>
  <si>
    <t>SARJETA TRIANGULAR CONCRETO - TIPO  3</t>
  </si>
  <si>
    <t>SARJETA TRIANGULAR CONCRETO - TIPO  3A</t>
  </si>
  <si>
    <t>SARJETA TRIANGULAR CONCRETO - TIPO  4</t>
  </si>
  <si>
    <t>SARJETA TRIANGULAR CONCRETO - TIPO  4A</t>
  </si>
  <si>
    <t>SARJETA TRIANGULAR CONCRETO - TIPO  5</t>
  </si>
  <si>
    <t>SARJETA TRIANGULAR CONCRETO - TIPO  6</t>
  </si>
  <si>
    <t>SARJETA TRIANGULAR CONCRETO - TIPO  6A</t>
  </si>
  <si>
    <t>SARJETA TRIANGULAR CONCRETO - TIPO  7</t>
  </si>
  <si>
    <t>SARJETA TRIANGULAR CONCRETO - TIPO  7A</t>
  </si>
  <si>
    <t>SARJETA TRIANGULAR CONCRETO - TIPO  8</t>
  </si>
  <si>
    <t>SARJETA TRIANGULAR CONCRETO - TIPO  8A</t>
  </si>
  <si>
    <t>SARJETA TRIANGULAR CONCRETO - TIPO  9</t>
  </si>
  <si>
    <t>SARJETA TRIANGULAR CONCRETO - TIPO  9A</t>
  </si>
  <si>
    <t>SARJETA TRIANGULAR CONCRETO - TIPO 10</t>
  </si>
  <si>
    <t>SARJETA TRIANGULAR CONCRETO - TIPO 10A</t>
  </si>
  <si>
    <t>SARJETA TRIANGULAR SOLO-CIMENTO - TIPO  2B</t>
  </si>
  <si>
    <t>SARJETA TRIANGULAR SOLO-CIMENTO - TIPO  3B</t>
  </si>
  <si>
    <t>SARJETA TRIANGULAR SOLO-CIMENTO - TIPO  4B</t>
  </si>
  <si>
    <t>SARJETA TRIANGULAR SOLO-CIMENTO - TIPO  9B</t>
  </si>
  <si>
    <t>SARJETA TRIANGULAR SOLO-CIMENTO - TIPO 10B</t>
  </si>
  <si>
    <t>TRANSP.SEGMENTO SARJETA TIPO- 1 (ST-1/SZ-2) C/TUBO 0,30M</t>
  </si>
  <si>
    <t>TRANSP.SEGMENTO SARJETA TIPO- 2 (ST-2/SZ-3) C/TUBO 0,30M</t>
  </si>
  <si>
    <t>TRANSP.SEGMENTO SARJETA TIPO- 3 (ST-3) C/TUBO 0,30M</t>
  </si>
  <si>
    <t>TRANSP.SEGMENTO SARJETA TIPO- 4 (ST-4/SZ-4) C/TUBO 0,30M</t>
  </si>
  <si>
    <t>TRANSP.SEGMENTO SARJETA TIPO- 5 (ST-1/SZ-2) C/PLACAS</t>
  </si>
  <si>
    <t>TRANSP.SEGMENTO SARJETA TIPO- 6 (ST-2/SZ-3) C/PLACAS</t>
  </si>
  <si>
    <t>TRANSP.SEGMENTO SARJETA TIPO- 7 (ST-3/ST-4/SZ-4) C/PLACAS</t>
  </si>
  <si>
    <t>TRANSP.SEGMENTO SARJETA TIPO- 8 (ST-1/SZ-2) C/GRELHA</t>
  </si>
  <si>
    <t>TRANSP.SEGMENTO SARJETA TIPO- 9 (ST-2/SZ-3) C/GRELHA</t>
  </si>
  <si>
    <t>TRANSP.SEGMENTO SARJETA TIPO-10 (ST-3/ST-4/SZ-4) C/GRELHA</t>
  </si>
  <si>
    <t>VALETA CONCRETO PROTEÇÃO ATERRO - TIPO 5</t>
  </si>
  <si>
    <t>VALETA CONCRETO PROTEÇÃO ATERRO - TIPO 5A</t>
  </si>
  <si>
    <t>VALETA CONCRETO PROTEÇÃO ATERRO - TIPO 6</t>
  </si>
  <si>
    <t>VALETA CONCRETO PROTEÇÃO ATERRO - TIPO 6A</t>
  </si>
  <si>
    <t>VALETA CONCRETO PROTEÇÃO ATERRO - TIPO 7</t>
  </si>
  <si>
    <t>VALETA CONCRETO PROTEÇÃO ATERRO - TIPO 7A</t>
  </si>
  <si>
    <t>VALETA CONCRETO PROTEÇÃO ATERRO - TIPO 8</t>
  </si>
  <si>
    <t>VALETA CONCRETO PROTEÇÃO ATERRO - TIPO 8A</t>
  </si>
  <si>
    <t>VALETA CONCRETO PROTEÇÃO CORTE - TIPO 5</t>
  </si>
  <si>
    <t>VALETA CONCRETO PROTEÇÃO CORTE - TIPO 5A</t>
  </si>
  <si>
    <t>VALETA CONCRETO PROTEÇÃO CORTE - TIPO 6</t>
  </si>
  <si>
    <t>VALETA CONCRETO PROTEÇÃO CORTE - TIPO 6A</t>
  </si>
  <si>
    <t>VALETA CONCRETO PROTEÇÃO CORTE - TIPO 7</t>
  </si>
  <si>
    <t>VALETA CONCRETO PROTEÇÃO CORTE - TIPO 7A</t>
  </si>
  <si>
    <t>VALETA CONCRETO PROTEÇÃO CORTE - TIPO 8</t>
  </si>
  <si>
    <t>VALETA CONCRETO PROTEÇÃO CORTE - TIPO 8A</t>
  </si>
  <si>
    <t>CONCRETO COMPACTADO A ROLO FCK= 15MPA</t>
  </si>
  <si>
    <t>CONCRETO COMPACTADO A ROLO FCK= 5MPA</t>
  </si>
  <si>
    <t>CONCRETO MAGRO USINADO, ESPALHAMENTO MANUAL</t>
  </si>
  <si>
    <t>CURA QUÍMICA DE PAVIMENTO DE CONCRETO</t>
  </si>
  <si>
    <t>CURA ÚMIDA DE PAVIMENTO DE CONCRETO COM MANTA DE CURA</t>
  </si>
  <si>
    <t>FORMA METÁLICA PARA PAVIMENTO</t>
  </si>
  <si>
    <t>FORNECIMENTO E APLICAÇÃO DE FIBRA DE POLIPROPILENO MULTIFILAMENTOS (0,600KG/ M³)</t>
  </si>
  <si>
    <t>FORNECIMENTO E APLICAÇÃO DE LONA PLÁSTICA PRETA 200 MICRAS</t>
  </si>
  <si>
    <t>FORNECIMENTO E COLOCAÇÃO DE AÇO CA 50 PARA APOIO DE BARRA DE TRANSFERÊNCIA</t>
  </si>
  <si>
    <t>FORNECIMENTO E COLOCAÇÃO DE AÇO CA 50 PARA BARRAS DE LIGAÇÃO</t>
  </si>
  <si>
    <t>FORNECIMENTO E COLOCAÇÃO DE AÇO CA-25 PARA BARRA DE TRANSFERÊNCIA Ø= 20MM</t>
  </si>
  <si>
    <t>FORNECIMENTO E COLOCAÇÃO DE AÇO CA-25 PARA BARRA DE TRANSFERÊNCIA Ø= 25MM</t>
  </si>
  <si>
    <t>FORNECIMENTO E COLOCAÇÃO DE AÇO CA-25 PARA BARRA DE TRANSFERÊNCIA Ø= 32MM</t>
  </si>
  <si>
    <t>FORNECIMENTO E COLOCAÇÃO DE TELA TELCON Q-138 OU EQUIVALENTE</t>
  </si>
  <si>
    <t>JUNTA DE CONSTRUÇÃO COM ISOPOR, SELANTE A BASE DE SILICONE E CORDÃO DE POLIPROPILENO</t>
  </si>
  <si>
    <t>JUNTA LONGITUDINAL, INCLUSIVE CORTE, SELANTE A BASE DE SILICONE E CORDÃO DE POLIPROPILENO</t>
  </si>
  <si>
    <t>JUNTA TRANSVERSAL , INCLUSIVE CORTE, SELANTE A BASE DE SILICONE E CORDÃO DE POLIPROPILENO</t>
  </si>
  <si>
    <t>PAVIMENTO DE CONCRETO DE CIMENTO PORTLAND FCTMK = 4,5 MPA EXECUTADO COM PAVIMENTADORA</t>
  </si>
  <si>
    <t>PAVIMENTO DE CONCRETO FCTMK=4,50MPA EXECUTADO COM RÉGUA VIBRATÓRIA</t>
  </si>
  <si>
    <t>USINAGEM DE CONCRETO FCK =  5 MPA COM CIMENTO A GRANEL</t>
  </si>
  <si>
    <t>USINAGEM DE CONCRETO FCK = 15 MPA COM CIMENTO A GRANEL</t>
  </si>
  <si>
    <t>USINAGEM DE CONCRETO FCTMK = 4,50 MPA COM CIMENTO A GRANEL</t>
  </si>
  <si>
    <t>USINAGEM DE CONCRETO MAGRO</t>
  </si>
  <si>
    <t>ARGAMASSA FLUÍDA PARA ESTACA RAIZ (VOLUME EFETIVAMENTE APLICADO)</t>
  </si>
  <si>
    <t>ADESIVO EPÓXI TIXOTRÓPICO P/ CHUMBADORES</t>
  </si>
  <si>
    <t>ANDAIME SUSPENSO DE MADEIRA, INCLUSIVE PLATAFORMA</t>
  </si>
  <si>
    <t>APICOAMENTO EM CONCRETO</t>
  </si>
  <si>
    <t>APOIO ELASTOMÉRICO FRETADO FORNEC.COLOCAÇÃO</t>
  </si>
  <si>
    <t>CONCRETO FCK = 28 MPA, PREPARO EM BETONEIRA E LANÇ.</t>
  </si>
  <si>
    <t>CONCRETO FCK = 35 MPA, PREPARO EM BETONEIRA E LANÇ.</t>
  </si>
  <si>
    <t>DRENO FERRO GALVANIZADO 0,40M 3"</t>
  </si>
  <si>
    <t>DRENO FERRO GALVANIZADO 0,40M 4"</t>
  </si>
  <si>
    <t>ENSECADEIRA DUPLA MADEIRA H &gt;  2M</t>
  </si>
  <si>
    <t>ENSECADEIRA DUPLA MADEIRA H &lt;= 2M</t>
  </si>
  <si>
    <t>ENSECADEIRA SIMPLES MADEIRA H &gt;  2M</t>
  </si>
  <si>
    <t>ENSECADEIRA SIMPLES MADEIRA H &lt;= 2M</t>
  </si>
  <si>
    <t>ESCAVAÇÃO C/ ESGOTAMENTO 1A. CAT.</t>
  </si>
  <si>
    <t>ESCAVAÇÃO C/ ESGOTAMENTO 2A. CAT.</t>
  </si>
  <si>
    <t>ESCAVAÇÃO C/ ESGOTAMENTO 3A. CAT.</t>
  </si>
  <si>
    <t>ESCAVAÇÃO P/ FUNDAÇÃO EM 1A. CAT.</t>
  </si>
  <si>
    <t>ESCAVAÇÃO P/ FUNDAÇÃO EM 2A. CAT.</t>
  </si>
  <si>
    <t>ESCAVAÇÃO P/ FUNDAÇÃO EM 3A. CAT.</t>
  </si>
  <si>
    <t>ESCAVAÇÃO TUBULÃO A CÉU ABERTO 1A. CAT.</t>
  </si>
  <si>
    <t>ESCAVAÇÃO TUBULÃO A CÉU ABERTO 2A. CAT.</t>
  </si>
  <si>
    <t>ESCAVAÇÃO TUBULÃO A CÉU ABERTO 3A. CAT.</t>
  </si>
  <si>
    <t>ESCAVAÇÃO 2A. CAT. P/GALERIAS CELULARES</t>
  </si>
  <si>
    <t>ESCAVAÇÃO 3A. CAT. P/GALERIAS CELULARES</t>
  </si>
  <si>
    <t>ESCORAMENTO CAVAS DE FUNDAÇÃO</t>
  </si>
  <si>
    <t>ESCORAMENTO (CIMBRAMENTO) INCLUSIVE FUNDAÇÃO</t>
  </si>
  <si>
    <t>ESCORAMENTO DE GALERIAS CELULARES</t>
  </si>
  <si>
    <t>ESCORAMENTO SIMPLES P/ ANDAIMES</t>
  </si>
  <si>
    <t>FORNECIMENTO E CRAVAÇÃO ESTACA DUPLO TRILHO TR-37</t>
  </si>
  <si>
    <t>FORNECIMENTO E CRAVAÇÃO ESTACA TRIPLO TRILHO TR-37</t>
  </si>
  <si>
    <t>GRADIL FERRO GALV. D=2" C/ SUPORTE DE CONCRETO</t>
  </si>
  <si>
    <t>GUARDA CORPO TIPO DER-PR C/ 2,0M</t>
  </si>
  <si>
    <t>LIMPEZA C/ JATO DE ÁGUA</t>
  </si>
  <si>
    <t>PERFURAÇÃO EM CONCRETO ARMADO D=10,0MM</t>
  </si>
  <si>
    <t>PERFURAÇÃO EM CONCRETO ARMADO D=12,7MM</t>
  </si>
  <si>
    <t>PERFURAÇÃO EM CONCRETO ARMADO D=16,0MM</t>
  </si>
  <si>
    <t>PERFURAÇÃO EM CONCRETO ARMADO D=20,0MM</t>
  </si>
  <si>
    <t>PERFURAÇÃO EM CONCRETO ARMADO D=25,0MM</t>
  </si>
  <si>
    <t>PERFURAÇÃO EM CONCRETO ARMADO D=40,0MM</t>
  </si>
  <si>
    <t>PERFURAÇÃO EM ROCHA P/ CHUMBADOR D=25,0MM</t>
  </si>
  <si>
    <t>PINTURA A CIMENTO E LIMPEZA</t>
  </si>
  <si>
    <t>PLATAFORMA DE MADEIRA P/ ANDAIMES</t>
  </si>
  <si>
    <t>BRITA GRADUADA 100% PI (MANUAL) PARA REMENDO PROFUNDO</t>
  </si>
  <si>
    <t>BRITA GRADUADA 100% PI (MECÂNICA) PARA REMENDO PROFUNDO</t>
  </si>
  <si>
    <t>CAPINA MANUAL</t>
  </si>
  <si>
    <t>C.B.U.Q - NA USINA, EXCL. FORNEC. CAP</t>
  </si>
  <si>
    <t>C.B.U.Q. C/ASFALTO MODIFICADO POR POLÍMERO, EXCL. FORNEC. ASFALTO</t>
  </si>
  <si>
    <t>C.B.U.Q. P/FECHAMENTO DE REMENDO (MANUAL), EXCL. FORNEC. DO CAP</t>
  </si>
  <si>
    <t>C.B.U.Q. P/FECHAMENTO DE REMENDO (MECÂNICO), EXCL. FORNEC. DO CAP</t>
  </si>
  <si>
    <t>DEMOLIÇÃO MANUAL DE PAVIMENTO</t>
  </si>
  <si>
    <t>DESCONFINAMENTO LATERAL DE BORDO DO PAVIMENTO C/MOTONIVELADORA - TERRENO NATURAL</t>
  </si>
  <si>
    <t>DESOBSTRUÇÃO DE SARJETA</t>
  </si>
  <si>
    <t>DRENO LONGITUDINAL DE PAVIMENTO 15X60CM, INCLUSIVE ESCAVAÇÃO, GEOCOMPOSTO DRENANTE, TUBO PEAD D=100MM E SELO CBUQ (10CM), EXCL.
FORNEC. CAP</t>
  </si>
  <si>
    <t>DRENO TRANSVERSAL DE PAVIMENTO 13X30CM, INCLUSIVE ESCAVAÇÃO, BRITA, GEOTEXTIL (GNT) E SELO CBUQ (10CM), EXCL. FORNEC. CAP</t>
  </si>
  <si>
    <t>ESCAVAÇÃO MANUAL DE VALAS EM 1A. CAT. (BIGODES)</t>
  </si>
  <si>
    <t>FRESAGEM CONTÍNUA A FRIO</t>
  </si>
  <si>
    <t>FRESAGEM DESCONTÍNUA A FRIO</t>
  </si>
  <si>
    <t>IMPRIMAÇÃO IMPERMEAB. EXCLUSIVE FORNECIMENTO DA EMULSÃO</t>
  </si>
  <si>
    <t>LAMA ASFÁLTICA FAIXA "1" E "2" EXCL. FORNEC. EMULSÃO</t>
  </si>
  <si>
    <t>LAMA ASFÁLTICA FAIXA "3" E "4" EXCL. FORNEC. EMULSÃO</t>
  </si>
  <si>
    <t>LIMPEZA DE BUEIRO</t>
  </si>
  <si>
    <t>LIMPEZA DE FAIXA DE DOMÍNIO COM REMOÇÃO DE RESÍDUOS</t>
  </si>
  <si>
    <t>LIMPEZA DE SARJETA</t>
  </si>
  <si>
    <t>LIMPEZA E PINTURA DE ABRIGO DE ÔNIBUS</t>
  </si>
  <si>
    <t>LIMPEZA E PINTURA DE BARREIRAS DUPLAS DE CONCRETO, COM TINTA LATEX</t>
  </si>
  <si>
    <t>LIMPEZA E PINTURA DE MEIO FIO</t>
  </si>
  <si>
    <t>LIMPEZA E PINTURA DE PONTE</t>
  </si>
  <si>
    <t>LIMPEZA MANUAL DE VALETA</t>
  </si>
  <si>
    <t>MACADAME SECO BRITADO PREENCHIDO C/BRITA GRADUADA (MANUAL) PARA REMENDO PROFUNDO</t>
  </si>
  <si>
    <t>MACADAME SECO BRITADO PREENCHIDO C/BRITA GRADUADA (MECÂNICO) PARA REMENDO PROFUNDO</t>
  </si>
  <si>
    <t>MICROREVEST.ASF.A FRIO E= 8MM(SEM FIBRAS), DESCONTÍNUO, EXCL.FORNEC. EMULSÃO</t>
  </si>
  <si>
    <t>MICROREVEST.ASF.A FRIO E= 8MM(SEM FIBRAS), EXCL.FORNEC.EMULSÃO</t>
  </si>
  <si>
    <t>MICROREVEST.ASF.A FRIO E=12MM(SEM FIBRAS), DESCONTÍNUO, EXCL.FORNEC. EMULSÃO</t>
  </si>
  <si>
    <t>MICROREVEST.ASF.A FRIO E=12MM(SEM FIBRAS), EXCL.FORNEC.EMULSÃO</t>
  </si>
  <si>
    <t>MICROREVEST.ASF.A FRIO E=16MM(SEM FIBRAS), EXCL.FORNEC.EMULSÃO</t>
  </si>
  <si>
    <t>PINTURA DE LIGAÇÃO EXCL. FORNEC. DA EMULSÃO</t>
  </si>
  <si>
    <t>PODA DE ÁRVORES</t>
  </si>
  <si>
    <t>RECOMPOSIÇÃO DE SARJETA DE CONCRETO</t>
  </si>
  <si>
    <t>RECOMPOSIÇÃO DE SINALIZAÇÃO VERTICAL (MATERIAL FORNECIDO PELO DER)</t>
  </si>
  <si>
    <t>REMOÇÃO E TRANSPORTE MANUAL DE BARREIRA</t>
  </si>
  <si>
    <t>REMOÇÃO MECANIZADA BARREIRA</t>
  </si>
  <si>
    <t>REPERF. DESCONTÍNUA C/C.B.U.Q.(FAIXA D), EXCL. FORNEC. CAP</t>
  </si>
  <si>
    <t>REPERF. DESCONTÍNUA C/C.B.U.Q.(MASSA FINA), EXCL. FORNEC. CAP</t>
  </si>
  <si>
    <t>REPERF.C/C.B.U.Q.(MASSA FINA)EXCL.FORNEC.CAP (ACIMA DE 10.000 T)</t>
  </si>
  <si>
    <t>REPERF.C/C.B.U.Q.(MASSA FINA)EXCL.FORNEC.CAP (ATÉ 10.000 T)</t>
  </si>
  <si>
    <t>ROÇADA MANUAL</t>
  </si>
  <si>
    <t>SELAGEM DE TRINCA COM AREIA, EXCL. FORNEC. DA EMULSÃO</t>
  </si>
  <si>
    <t>SELAGEM DE TRINCA COM PÓ DE PEDRA, EXCL. FORNEC. DA EMULSÃO</t>
  </si>
  <si>
    <t>SOLO CIMENTO (6%) MISTURA NA PISTA 100% PN PARA REMENDO PROFUNDO</t>
  </si>
  <si>
    <t>FORNECIMENTO E ASSENTAMENTO DE PISO TÁTIL DE CONCRETO ALERTA/DIRECIONAL 20X20CM</t>
  </si>
  <si>
    <t>FORNECIMENTO E ASSENTAMENTO DE PISO TÁTIL DE CONCRETO ALERTA/DIRECIONAL 20X20CM VERMELHO</t>
  </si>
  <si>
    <t>FORNECIMENTO E ASSENTAMENTO DE PISO TÁTIL DE CONCRETO ALERTA/DIRECIONAL 40X40CM</t>
  </si>
  <si>
    <t>FORNECIMENTO E ASSENTAMENTO DE PISO TÁTIL DE CONCRETO ALERTA/DIRECIONAL 40X40CM VERMELHO</t>
  </si>
  <si>
    <t>CALÇADA EM LAJOTA CONCRETO 45X45X5CM</t>
  </si>
  <si>
    <t>CERCA 4 FIOS C/ MOURÕES DE MADEIRA</t>
  </si>
  <si>
    <t>CONTENÇÃO LATERAL INCLUSIVE ERVA CIDREIRA</t>
  </si>
  <si>
    <t>ENLEIVAMENTO</t>
  </si>
  <si>
    <t>FORNECIMENTO E PLANTIO DE ERVA CIDREIRA</t>
  </si>
  <si>
    <t>FORNECIMENTO E PLANTIO DE ERVA CIDREIRA P/ PAV. POLIÉDRICO</t>
  </si>
  <si>
    <t>GABIÃO TIPO CAIXA 2X1X0,50M ZN/AL + PVC  (NBR 8964)</t>
  </si>
  <si>
    <t>GABIÃO TIPO CAIXA 2X1X0,50M ZN/AL (NBR 8964)</t>
  </si>
  <si>
    <t>GABIÃO TIPO CAIXA 2X1X1,00M ZN/AL (NBR 8964)</t>
  </si>
  <si>
    <t>GABIÃO TIPO COLCHÃO ZN/AL + PVC E=0,17M (NBR 8964)</t>
  </si>
  <si>
    <t>GABIÃO TIPO COLCHÃO ZN/AL + PVC E=0,30M (NBR 8964)</t>
  </si>
  <si>
    <t>GRAMA EM MUDAS</t>
  </si>
  <si>
    <t>HIDROSSEMEADURA</t>
  </si>
  <si>
    <t>REMANEJAMENTO POSTES LINHA TRANSMISSÃO</t>
  </si>
  <si>
    <t>REMOÇÃO DE CASA DE MADEIRA</t>
  </si>
  <si>
    <t>REMOÇÃO E RECOLOCAÇÃO DE CERCAS DE ARAME</t>
  </si>
  <si>
    <t>BALIZADOR DE PLÁSTICO FLEXÍVEL REFLETIVO</t>
  </si>
  <si>
    <t>FORNECIMENTO E COLOCAÇÃO DE DISPOSITIVO REFLETIVO PARA BARREIRA NEW JERSEY</t>
  </si>
  <si>
    <t>FORNECIMENTO E COLOCAÇÃO DE DISPOSITIVO REFLETIVO PARA DEFENSA METÁLICA</t>
  </si>
  <si>
    <t>FORNECIMENTO E INSTALAÇÃO DE TERMINAL ABSORVEDOR DE ENERGIA P/ VELOCIDADE ATÉ 100 KM/H DE ACORDO COM ABNT NBR-15486-2016</t>
  </si>
  <si>
    <t>FORNECIMENTO E INSTALAÇÃO DE TERMINAL ABSORVEDOR DE ENERGIA P/ VELOCIDADE DE 80 KM/H DE ACORDO COM ABNT NBR-15486-2016</t>
  </si>
  <si>
    <t>FORNECIMENTO E INSTALAÇÃO DE TERMINAL AMORTECEDOR DE IMPACTO P/ VELOCIDADE ATÉ 100 KM/H DE ACORDO COM ABNT NBR-15486-2016</t>
  </si>
  <si>
    <t>FORNECIMENTO E INSTALAÇÃO DE TERMINAL AMORTECEDOR DE IMPACTO P/ VELOCIDADE DE 80 KM/H DE ACORDO COM ABNT NBR-15486-2016</t>
  </si>
  <si>
    <t>BARREIRA DUPLA DE CONCRETO, ARMADA, NÍVEL CONTENÇÃO TL4 - TERMINAL, EXECUTADA C/EXTRUSORA (NBR 14885/16)</t>
  </si>
  <si>
    <t>BARREIRA DUPLA DE CONCRETO, ARMADA, NÍVEL CONTENÇÃO TL4, EXECUTADA C/ EXTRUSORA (NBR 14885/16)</t>
  </si>
  <si>
    <t>BARREIRA DUPLA DE CONCRETO, ARMADA, NÍVEL CONTENÇÃO TL5 - TERMINAL, EXECUTADA C/EXTRUSORA (NBR 14885/16)</t>
  </si>
  <si>
    <t>BARREIRA DUPLA DE CONCRETO, ARMADA, NÍVEL CONTENÇÃO TL5, EXECUTADA C/ EXTRUSORA (NBR 14885/16)</t>
  </si>
  <si>
    <t>BARREIRA NEW JERSEY DUPLA DE CONCRETO, NÃO ARMADA, EXECUTADA COM EXTRUSORA</t>
  </si>
  <si>
    <t>BARREIRA NEW JERSEY (PADRÃO EUROPEU) (PRÉ-MOLDADA)</t>
  </si>
  <si>
    <t>BARREIRA NEW JERSEY SIMPLES DE CONCRETO, NÃO ARMADA, EXECUTADA COM EXTRUSORA</t>
  </si>
  <si>
    <t>BARREIRA SIMPLES DE CONCRETO, ARMADA, NÍVEL CONTENÇÃO TL4 - TERMINAL, EXECUTADA C/EXTRUSORA (NBR 14885/16)</t>
  </si>
  <si>
    <t>BARREIRA SIMPLES DE CONCRETO, ARMADA, NÍVEL CONTENÇÃO TL4, EXECUTADA C/ EXTRUSORA (NBR 14885/16)</t>
  </si>
  <si>
    <t>BARREIRA SIMPLES DE CONCRETO, ARMADA, NÍVEL CONTENÇÃO TL5 - TERMINAL, EXECUTADA C/EXTRUSORA (NBR 14885/16)</t>
  </si>
  <si>
    <t>BARREIRA SIMPLES DE CONCRETO, ARMADA, NÍVEL CONTENÇÃO TL5, EXECUTADA C/ EXTRUSORA (NBR 14885/16)</t>
  </si>
  <si>
    <t>CILINDRO DELIMITADOR ALTA PERFORMANCE</t>
  </si>
  <si>
    <t>FAIXA DE SINALIZAÇÃO HORIZONTAL - TERMOPLÁSTICO POR ASPERSÃO - E=1,5MM</t>
  </si>
  <si>
    <t>FAIXA DE SINALIZAÇÃO HORIZONTAL C/TINTA RESINA ACRÍLICA BASE ÁGUA</t>
  </si>
  <si>
    <t>FAIXA DE SINALIZAÇÃO HORIZONTAL C/TINTA RESINA ACRÍLICA BASE SOLVENTE</t>
  </si>
  <si>
    <t>PINTURA DE SETAS E ZEBRADOS - TERMOPLÁSTICO POR EXTRUSÃO - E=3MM</t>
  </si>
  <si>
    <t>PÓRTICO SIMPLES 11,00 A 15,00M P/PLACA ATÉ 24M2(EXCLUSIVE PLACA)</t>
  </si>
  <si>
    <t>PÓRTICO SIMPLES 16,00M P/PLACA ATÉ 24M2(EXCLUSIVE PLACA)</t>
  </si>
  <si>
    <t>PÓRTICO SIMPLES 17,00M P/PLACA ATÉ 24M2(EXCLUSIVE PLACA)</t>
  </si>
  <si>
    <t>PÓRTICO SIMPLES 18,00M P/PLACA ATÉ 24M2(EXCLUSIVE PLACA)</t>
  </si>
  <si>
    <t>SEMI-PÓRTICO DUPLO 2X4,90M P/PLACA ATÉ 24M2(EXCLUSIVE PLACA)</t>
  </si>
  <si>
    <t>SEMI-PÓRTICO DUPLO 2X6,00M P/PLACA ATÉ 24M2(EXCLUSIVE PLACA)</t>
  </si>
  <si>
    <t>SEMI-PÓRTICO DUPLO 2X7,20M P/PLACA ATÉ 24M2(EXCLUSIVE PLACA)</t>
  </si>
  <si>
    <t>SEMI-PÓRTICO DUPLO 2X8,30M P/PLACA ATÉ 24M2(EXCLUSIVE PLACA)</t>
  </si>
  <si>
    <t>SEMI-PÓRTICO SIMPLES 4,90M P/PLACA ATÉ 12M2(EXCLUSIVE PLACA)</t>
  </si>
  <si>
    <t>SEMI-PÓRTICO SIMPLES 6,00M P/PLACA ATÉ 12M2(EXCLUSIVE PLACA)</t>
  </si>
  <si>
    <t>SEMI-PÓRTICO SIMPLES 7,20M P/PLACA ATÉ 12M2(EXCLUSIVE PLACA)</t>
  </si>
  <si>
    <t>SEMI-PÓRTICO SIMPLES 8,30M P/PLACA ATÉ 12M2(EXCLUSIVE PLACA)</t>
  </si>
  <si>
    <t>SUPORTE DE MADEIRA 3"X3" P/ PLACA SINALIZAÇÃO, H=3,00M</t>
  </si>
  <si>
    <t>SUPORTE METÁLICO GALV. FOGO D=2,5" C/TAMPA E ALETAS ANTI-GIRO, H=3,00M</t>
  </si>
  <si>
    <t>SUPORTE METÁLICO GALV. FOGO D=2,5" C/TAMPA E ALETAS ANTI-GIRO, H=3,50M</t>
  </si>
  <si>
    <t>SUPORTE METÁLICO GALV. FOGO D=2,5" C/TAMPA E ALETAS ANTI-GIRO, H=4,00M</t>
  </si>
  <si>
    <t>SUPORTE METÁLICO GALV. FOGO PERFIL "C" 110X70X25X2,00MM, H=3,00M</t>
  </si>
  <si>
    <t>SUPORTE METÁLICO GALV. FOGO PERFIL "C" 110X70X25X2,00MM, H=3,50M</t>
  </si>
  <si>
    <t>SUPORTE METÁLICO GALV. FOGO PERFIL "C" 110X70X25X2,00MM, H=4,00M</t>
  </si>
  <si>
    <t>SUPORTE METÁLICO GALV. FOGO PERFIL "C" 150X85X25X2,70MM, H=4,00M</t>
  </si>
  <si>
    <t>SUPORTE METÁLICO GALV. FOGO PERFIL "C" 150X85X25X3,40MM, H=4,50M</t>
  </si>
  <si>
    <t>SUPORTE METÁLICO GALV. FOGO PERFIL "C" 250X85X25X2,70MM, H=5,00M</t>
  </si>
  <si>
    <t>SUPORTE METÁLICO GALV. FOGO PERFIL "C" 250X85X25X2,70MM, H=6,00M</t>
  </si>
  <si>
    <t>SUPORTE METÁLICO GALV. FOGO PERFIL "C" 300X85X25X3,40MM, H=6,00M</t>
  </si>
  <si>
    <t>TACHÃO REFLETIVO MONODIRECIONAL</t>
  </si>
  <si>
    <t>BALDE PLÁSTICO TRANSLÚCIDO DE 8 A 10 L , INCLUSIVE SOQUETES E SUPORTES PARA SINALIZAÇÃO NOTURNA</t>
  </si>
  <si>
    <t>BANDEIRINHA</t>
  </si>
  <si>
    <t>BARREIRA CONTÍNUA CLASSE I</t>
  </si>
  <si>
    <t>BASTÃO VERMELHO SINALIZADOR</t>
  </si>
  <si>
    <t>BONECO SINALIZADOR DE OBRA</t>
  </si>
  <si>
    <t>CABO ELÉTRICO 2 X 1,5 MM² PARA SINALIZAÇÃO NOTURNA</t>
  </si>
  <si>
    <t>CONE SINALIZADOR TIPO CONÃO/BOLO DE NOIVA H=1,10M, BASE 50X50CM PARA SINALIZAÇÃO PROVISÓRIA</t>
  </si>
  <si>
    <t>FAIXA DE SINALIZAÇÃO HORIZONTAL PROVISÓRIA</t>
  </si>
  <si>
    <t>FORNECIMENTO E INSTALAÇÃO DE BARREIRA CONTÍNUA CLASSE I</t>
  </si>
  <si>
    <t>FORNECIMENTO E INSTALAÇÃO DE CAVALETE DE MADEIRA</t>
  </si>
  <si>
    <t>FORNECIMENTO E INSTALAÇÃO DE CONE DE PVC FLEXÍVEL REFLETIVO H=75 CM PARA SINALIZAÇÃO PROVISÓRIA</t>
  </si>
  <si>
    <t>LÂMPADA FLUORESCENTE 11 W PARA SINALIZAÇÃO NOTURNA</t>
  </si>
  <si>
    <t>LUZ INTERMITENTE (PISCANTE)</t>
  </si>
  <si>
    <t>PLACA DE SINALIZAÇÃO PROVISÓRIA</t>
  </si>
  <si>
    <t>SINALIZADOR DE LED AMARELO</t>
  </si>
  <si>
    <t>SUPORTE DE MADEIRA 3" X 3" PARA SINALIZAÇÃO PROVISÓRIA</t>
  </si>
  <si>
    <t>AUTOMÓVEL SEDAN POTÊNCIA MÍNIMA 60 HP (SEM MOTORISTA)</t>
  </si>
  <si>
    <t>VEÍCULO UTILITÁRIO POTÊNCIA MÍNIMA 60 HP (SEM MOTORISTA)</t>
  </si>
  <si>
    <t>ASSENTAMENTO DE TUBO 0,40M SEM BERÇO</t>
  </si>
  <si>
    <t>ASSENTAMENTO DE TUBO 0,60M SEM BERÇO</t>
  </si>
  <si>
    <t>ASSENTAMENTO DE TUBO 0,80M SEM BERÇO</t>
  </si>
  <si>
    <t>CAIXA DE RETENÇÃO</t>
  </si>
  <si>
    <t>CARGA E TRANSP. 1A. CAT.     0-200M</t>
  </si>
  <si>
    <t>CARGA E TRANSP. 1A. CAT.  200-400M</t>
  </si>
  <si>
    <t>CASCALHAMENTO</t>
  </si>
  <si>
    <t>ESC. CARGA E TRANSP. 1A. CAT.     0-50M</t>
  </si>
  <si>
    <t>ESC. CARGA E TRANSP. 1A. CAT.    50-200M</t>
  </si>
  <si>
    <t>ESC. CARGA E TRANSP. 2A. CAT.     0-50M</t>
  </si>
  <si>
    <t>ESC. DE VALA LATERAL RASA C/MOTONIVELADORA</t>
  </si>
  <si>
    <t>ESCARIFICAÇÃO, CONFORMAÇÃO  E COMPACTAÇÃO DO SUBLEITO (VISUAL)</t>
  </si>
  <si>
    <t>ESCAVAÇÃO DE BUEIROS E VALAS DE DRENAGEM 1A. CAT.</t>
  </si>
  <si>
    <t>ESCAVAÇÃO PARA SAÍDAS DE ÁGUA</t>
  </si>
  <si>
    <t>LOMBADA</t>
  </si>
  <si>
    <t>REGULARIZAÇÃO, CONFORMAÇÃO E COMPACTAÇÃO DE LEITO (VISUAL)</t>
  </si>
  <si>
    <t>REGULARIZAÇÃO DE LEITO/PATROLAMENTO</t>
  </si>
  <si>
    <t>REMOÇÃO DE BUEIROS 0,40M</t>
  </si>
  <si>
    <t>REMOÇÃO DE BUEIROS 0,60M</t>
  </si>
  <si>
    <t>RETALUDAMENTO</t>
  </si>
  <si>
    <t>FORNECIMENTO DE ASFALTO DILUÍDO CM-30</t>
  </si>
  <si>
    <t>FORNECIMENTO DE ASFALTO MODIFICADO POR BORRACHA</t>
  </si>
  <si>
    <t>FORNECIMENTO DE CAP-30/45</t>
  </si>
  <si>
    <t>FORNECIMENTO DE CAP-50/70</t>
  </si>
  <si>
    <t>FORNECIMENTO DE CAP-50/70 COM POLÍMERO ELASTOMÉRICO (55/75)</t>
  </si>
  <si>
    <t>FORNECIMENTO DE CAP-50/70 COM POLÍMERO ELASTOMÉRICO (60/85)</t>
  </si>
  <si>
    <t>FORNECIMENTO DE CAP-50/70 COM POLÍMERO ELASTOMÉRICO (65/90)</t>
  </si>
  <si>
    <t>FORNECIMENTO DE EMULSÃO ASFÁLTICA RC-1C-E COM POLÍMERO</t>
  </si>
  <si>
    <t>FORNECIMENTO DE EMULSÃO ASFÁLTICA RL-1C</t>
  </si>
  <si>
    <t>FORNECIMENTO DE EMULSÃO ASFÁLTICA RM-1C</t>
  </si>
  <si>
    <t>FORNECIMENTO DE EMULSÃO ASFÁLTICA RM-2C</t>
  </si>
  <si>
    <t>FORNECIMENTO DE EMULSÃO ASFÁLTICA RR-1C-E COM POLÍMERO</t>
  </si>
  <si>
    <t>FORNECIMENTO DE EMULSÃO ASFÁLTICA RR-2C</t>
  </si>
  <si>
    <t>FORNECIMENTO DE EMULSÃO ASFÁLTICA RR-2C-E COM POLÍMERO</t>
  </si>
  <si>
    <t>M3</t>
  </si>
  <si>
    <t>M2</t>
  </si>
  <si>
    <t>UD</t>
  </si>
  <si>
    <t>HA</t>
  </si>
  <si>
    <t>L</t>
  </si>
  <si>
    <t>MES</t>
  </si>
  <si>
    <t>CT</t>
  </si>
  <si>
    <t>S</t>
  </si>
  <si>
    <t>DESCRIÇÃO DO EQUIPAMENTO</t>
  </si>
  <si>
    <t>POT</t>
  </si>
  <si>
    <t>V.UT.</t>
  </si>
  <si>
    <t>H/ANO</t>
  </si>
  <si>
    <t>AQUISIÇÃO</t>
  </si>
  <si>
    <t>COEF.</t>
  </si>
  <si>
    <t>COMBUST.</t>
  </si>
  <si>
    <t>DEP.JUROS</t>
  </si>
  <si>
    <t>MANUT.</t>
  </si>
  <si>
    <t>MATERIAL</t>
  </si>
  <si>
    <t>M.OBRA</t>
  </si>
  <si>
    <t>RESID.</t>
  </si>
  <si>
    <t>HORA PROD.</t>
  </si>
  <si>
    <t>IMPROD.</t>
  </si>
  <si>
    <t>ARADO REVERSÍVEL 3 DISCOS 28"</t>
  </si>
  <si>
    <t>AUTOMÓVEL SEDAN POT. MÍN.60 HP(C/MOTOR.)</t>
  </si>
  <si>
    <t>AUTOMÓVEL SEDAN POT. MIN.60 HP(S/MOTOR.)</t>
  </si>
  <si>
    <t>BATE ESTACAS HIDRÁULICO 300 KG</t>
  </si>
  <si>
    <t>BATE ESTACAS LEVE</t>
  </si>
  <si>
    <t>BETONEIRA 400 L GASOLINA</t>
  </si>
  <si>
    <t>BETONEIRA 600 L ELÉTRICA</t>
  </si>
  <si>
    <t>BETONEIRA 600 L GASOLINA</t>
  </si>
  <si>
    <t>BOMBA ESGOTAMENTO 3"</t>
  </si>
  <si>
    <t>CALDEIRA DE ASFALTO REBOC.2000 L A GASOLINA</t>
  </si>
  <si>
    <t>CAM. BASCUL. 1419 6M3 LEVE</t>
  </si>
  <si>
    <t>CAM. BASCUL. 1419-C 6M3 MÉDIA</t>
  </si>
  <si>
    <t>CAM. BASCUL. 1419-C 6M3 SEVERA</t>
  </si>
  <si>
    <t>CAM. BASCUL. 1635/45 12M3 LEVE</t>
  </si>
  <si>
    <t>CAM. BASCUL. 1635/45 12M3 MÉDIA</t>
  </si>
  <si>
    <t>CAM. BASCUL. 1635/45 12M3 SEVERA</t>
  </si>
  <si>
    <t>CAM. BASCUL. 2426/48  6M3 LEVE</t>
  </si>
  <si>
    <t>CAM. BASCUL. 2426/48  6M3 MÉDIA</t>
  </si>
  <si>
    <t>CAM. BASCUL. 2426/48  6M3 SEVERA</t>
  </si>
  <si>
    <t>CAM. BASCUL. 2426/48  8M3 MÉDIA</t>
  </si>
  <si>
    <t>CAM. BASCUL. 2426/48  9M3 MÉDIA</t>
  </si>
  <si>
    <t>CAM. BASCUL. 2426/48 10M3 MÉDIA</t>
  </si>
  <si>
    <t>CAM. BASCUL. 2730/36  5M3 MÉDIA</t>
  </si>
  <si>
    <t>CAM. CAÇAMBA MINÉRIO 10M3 SEVERA</t>
  </si>
  <si>
    <t>CAM. CHASSI VM-330 P/ MICROREVESTIMENTO</t>
  </si>
  <si>
    <t>CAM. CHASSI 1419</t>
  </si>
  <si>
    <t>CAM. CHASSI 17.230</t>
  </si>
  <si>
    <t>CAM. CHASSI 1726 P/ CARROCERIA</t>
  </si>
  <si>
    <t>CAM. CHASSI 1726 P/ LAMA ASFÁLTICA</t>
  </si>
  <si>
    <t>CAMINHÃO BETONEIRA 8 M³</t>
  </si>
  <si>
    <t>CAMINHÃO CARROCERIA CABINE DUPLA</t>
  </si>
  <si>
    <t>ENXADA ROTATIVA REBOCÁVEL</t>
  </si>
  <si>
    <t>EQUIPAMENTO APLICAÇÃO TERMOPLÁSTICO SPRAY/ EXTRUSÃO</t>
  </si>
  <si>
    <t>EQUIPAMENTO DEMARCAÇÃO FAIXA A FRIO</t>
  </si>
  <si>
    <t>GRUPO GERADOR   7 KVA</t>
  </si>
  <si>
    <t>GRUPO GERADOR  40 KVA</t>
  </si>
  <si>
    <t>MOTOSSERRA A GASOLINA</t>
  </si>
  <si>
    <t>PAVIMENTADORA COM FORMAS DESLIZANTES</t>
  </si>
  <si>
    <t>PAVIMENTADORA/EXTRUSORA DE CONCRETO 4400</t>
  </si>
  <si>
    <t>ROMPEDOR MANUAL 28 KG</t>
  </si>
  <si>
    <t>SERRA CIRCULAR ELÉTRICA</t>
  </si>
  <si>
    <t>SERRA CIRCULAR GASOLINA</t>
  </si>
  <si>
    <t>TRATOR LÂMINA D61-EX SEVERA</t>
  </si>
  <si>
    <t>TRATOR LÂMINA D8-T LEVE</t>
  </si>
  <si>
    <t>TRATOR LÂMINA D8-T MÉDIA</t>
  </si>
  <si>
    <t>CAMINHÃO COM GUINDASTE COM CESTO</t>
  </si>
  <si>
    <t>CAMINHÃO COMBOIO ABASTECEDOR</t>
  </si>
  <si>
    <t>CAMINHÃO IRRIGADOR 6000 L</t>
  </si>
  <si>
    <t>CAMINHÃO TRANSP. MATERIAL ASFÁLTICO</t>
  </si>
  <si>
    <t>CAMINHONETE CABINE DUPLA 4X4 POT. MÍN.120 HP( C/MOTOR.)</t>
  </si>
  <si>
    <t>CAMINHONETE CABINE DUPLA 4X4 POT. MÍN.120 HP( S/MOTOR.)</t>
  </si>
  <si>
    <t>CARREG. FRONTAL PNEUS L 60-F MÉDIA</t>
  </si>
  <si>
    <t>CARREG. FRONTAL PNEUS 924-K LEVE</t>
  </si>
  <si>
    <t>CARREG. FRONTAL PNEUS 924-K MÉDIA</t>
  </si>
  <si>
    <t>CARREG. FRONTAL PNEUS 924-K SEVERA</t>
  </si>
  <si>
    <t>CARREG. FRONTAL PNEUS 950-H LEVE</t>
  </si>
  <si>
    <t>CARREG. FRONTAL PNEUS 950-H MÉDIA</t>
  </si>
  <si>
    <t>CARREG. FRONTAL PNEUS 950-H SEVERA</t>
  </si>
  <si>
    <t>CARRETA DE PERFURAÇÃO</t>
  </si>
  <si>
    <t>CARRINHO DE CONCRETAGEM 80 L</t>
  </si>
  <si>
    <t>CENTRAL DOSADORA DE CONCRETO CAPAC. 30 M3/H</t>
  </si>
  <si>
    <t>CENTRAL DOSADORA DE CONCRETO CAPACIDADE 150M³/H - DOSADORA E MISTURADORA</t>
  </si>
  <si>
    <t>COMPACTADOR MANUAL SOLOS GASOLINA</t>
  </si>
  <si>
    <t>COMPRESSOR DE AR 175 PCM</t>
  </si>
  <si>
    <t>COMPRESSOR DE AR 293 PCM</t>
  </si>
  <si>
    <t>COMPRESSOR DE AR 748 PCM</t>
  </si>
  <si>
    <t>CONJ. BRITAGEM COMPLETO 80 M3/H</t>
  </si>
  <si>
    <t>DISTR. AGREGADOS REBOCÁVEL 1,3 M3</t>
  </si>
  <si>
    <t>DISTR. AGREGADOS REBOCÁVEL 9 M³</t>
  </si>
  <si>
    <t>EQUIPAMENTO P/ HIDROSSEMEADURA</t>
  </si>
  <si>
    <t>EQUIPAMENTO PARA LAMA ASFÁLTICA LA-6</t>
  </si>
  <si>
    <t>EQUIPAMENTO P/FUSÃO E APLICAÇÃO MANUAL DE TERMOPLÁSTICO</t>
  </si>
  <si>
    <t>ESCAV. HIDRÁULICA EC-140 LEVE</t>
  </si>
  <si>
    <t>ESCAV. HIDRÁULICA EC-140 MÉDIA</t>
  </si>
  <si>
    <t>ESCAV. HIDRÁULICA EC-140 SEVERA</t>
  </si>
  <si>
    <t>ESCAV. HIDRÁULICA E-215 C LEVE</t>
  </si>
  <si>
    <t>ESCAV. HIDRÁULICA E-215 C SEVERA</t>
  </si>
  <si>
    <t>ESCAV. HIDRÁULICA 320D L LEVE</t>
  </si>
  <si>
    <t>ESCAV. HIDRÁULICA 320D L MÉDIA</t>
  </si>
  <si>
    <t>ESCAV. HIDRÁULICA 320D L SEVERA</t>
  </si>
  <si>
    <t>ESCAV. HIDRÁULICA 336D L LEVE</t>
  </si>
  <si>
    <t>ESCAV. HIDRÁULICA 336D L SEVERA</t>
  </si>
  <si>
    <t>ESPARGIDOR DE ASFALTO 6000 L</t>
  </si>
  <si>
    <t>ESPARGIDOR P/ASFALTO BORRACHA 20 T EHR-700H</t>
  </si>
  <si>
    <t>EXTRUSORA PARA DEFENSA DE CONCRETO</t>
  </si>
  <si>
    <t>EXTRUSORA PARA DEFENSA DE CONCRETO ARMADA</t>
  </si>
  <si>
    <t>EXTRUSORA PARA MEIO FIO DE CONCRETO</t>
  </si>
  <si>
    <t>FORMA METÁLICA P/ ABRIGO</t>
  </si>
  <si>
    <t>FRESADORA ASFALTO A FRIO PM-102</t>
  </si>
  <si>
    <t>FRESADORA ASFALTO A FRIO W-1000</t>
  </si>
  <si>
    <t>FRESADORA ASFALTO A FRIO W-200 F</t>
  </si>
  <si>
    <t>FURADEIRA ELÉTRICA DE IMPACTO</t>
  </si>
  <si>
    <t>GERADOR DE SOLDA 400 A</t>
  </si>
  <si>
    <t>GRUPO GERADOR  55 KVA</t>
  </si>
  <si>
    <t>GRUPO GERADOR 150 KVA</t>
  </si>
  <si>
    <t>GRUPO GERADOR 450 KVA</t>
  </si>
  <si>
    <t>HIDROCOMPRESSOR 3700 LB/3,675 KW</t>
  </si>
  <si>
    <t>MARTELETE ELÉTRICO TE-A22</t>
  </si>
  <si>
    <t>MARTELETE ELÉTRICO TE-70</t>
  </si>
  <si>
    <t>MESA VIBRAT. COMPLETA ELÉTRICA</t>
  </si>
  <si>
    <t>MICROÔNIBUS TRANSPORTE URBANO CAPACIDADE 16 PESSOAS</t>
  </si>
  <si>
    <t>MICROÔNIBUS TRANSPORTE URBANO CAPACIDADE 30 PESSOAS</t>
  </si>
  <si>
    <t>MICROTRATOR C/ PULVERIZADOR 450 L</t>
  </si>
  <si>
    <t>MINICARREGADEIRA DE PNEUS S-450 C/VASSOURA</t>
  </si>
  <si>
    <t>MINICARREGADEIRA DE PNEUS S-650 C/FRESADORA ASF
. A FRIO L&lt;=1,00M C/VASSOURA</t>
  </si>
  <si>
    <t>MINICARREGADEIRA DE PNEUS S-650 C/VALETADEIRA MECÂNICA WS-24</t>
  </si>
  <si>
    <t>MOTONIVELADORA C/ ESCARIFICADOR 140-K LEVE</t>
  </si>
  <si>
    <t>MOTONIVELADORA C/ ESCARIFICADOR 140-K SEVERA</t>
  </si>
  <si>
    <t>MOTONIVELADORA 120-K LEVE</t>
  </si>
  <si>
    <t>MOTONIVELADORA 120-K MÉDIA</t>
  </si>
  <si>
    <t>MOTONIVELADORA 120-K SEVERA</t>
  </si>
  <si>
    <t>MOTONIVELADORA 140-K LEVE</t>
  </si>
  <si>
    <t>MOTONIVELADORA 140-K MÉDIA</t>
  </si>
  <si>
    <t>MOTONIVELADORA 140-K SEVERA</t>
  </si>
  <si>
    <t>MOTOPODA A GASOLINA</t>
  </si>
  <si>
    <t>PERFURATRIZ MANUAL ELÉTRICA</t>
  </si>
  <si>
    <t>PERFURATRIZ MANUAL 18 KG</t>
  </si>
  <si>
    <t>PERFURATRIZ MANUAL 24 KG</t>
  </si>
  <si>
    <t>PRANCHA P/ CARRETA (25 T)</t>
  </si>
  <si>
    <t>RECICL. A FRIO WR-240 P/ASP.ÁGUA/EMULSÃO</t>
  </si>
  <si>
    <t>RECICL. A FRIO WR-240 P/ESPUMA DE ASFALTO</t>
  </si>
  <si>
    <t>RECICLADORA A FRIO MPH-364</t>
  </si>
  <si>
    <t>RECICLADORA A FRIO RM-300</t>
  </si>
  <si>
    <t>RECICLADORA A FRIO RM-500</t>
  </si>
  <si>
    <t>RÉGUA VIBRATÓRIA TRELIÇADA L&lt;=6,00M</t>
  </si>
  <si>
    <t>RETROESCAVADEIRA 580N LEVE</t>
  </si>
  <si>
    <t>RETROESCAVADEIRA 580N SEVERA</t>
  </si>
  <si>
    <t>ROÇADEIRA COSTAL</t>
  </si>
  <si>
    <t>ROLO LISO AUTOPROPELIDO VAP-55 P</t>
  </si>
  <si>
    <t>ROLO PNEUS AUTOPROPELIDO 21 T</t>
  </si>
  <si>
    <t>ROLO PNEUS AUTOPROPELIDO 27 T</t>
  </si>
  <si>
    <t>ROLO TANDEM CC-900</t>
  </si>
  <si>
    <t>ROLO TANDEM LISO AUTOPROPELIDO HD 14VV</t>
  </si>
  <si>
    <t>ROLO TANDEM LISO 6-8 T</t>
  </si>
  <si>
    <t>ROLO VIBRATÓRIO CORRUG. AUTOPR. CP-54 B</t>
  </si>
  <si>
    <t>ROLO VIBRATÓRIO LISO AUTOPROP. CA 150A</t>
  </si>
  <si>
    <t>ROLO VIBRATÓRIO LISO AUTOPROP. CS-44 B</t>
  </si>
  <si>
    <t>ROLO VIBRATÓRIO LISO AUTOPROP. CS-54 B</t>
  </si>
  <si>
    <t>ROLO VIBRATÓRIO LISO AUTOPROP. 3411</t>
  </si>
  <si>
    <t>SERRA CORTE CONCRETO/ASFALTO GS-3</t>
  </si>
  <si>
    <t>SERRA CORTE CONCRETO/ASFALTO M-110</t>
  </si>
  <si>
    <t>SERRA ELÉTRICA CORTE CONCRETO 4100</t>
  </si>
  <si>
    <t>SOPRADOR A GASOLINA</t>
  </si>
  <si>
    <t>TALHA GUINCHO MANUAL 3 T</t>
  </si>
  <si>
    <t>TANQUE ÁGUA SEM BOMBA 6000 L</t>
  </si>
  <si>
    <t>TANQUE DEPÓSITO ASFALTO BORRACHA 20 T</t>
  </si>
  <si>
    <t>TANQUE DEPÓSITO ASFALTO FRIO 10000 L</t>
  </si>
  <si>
    <t>TANQUE DEPÓSITO ASFALTO ISOTÉRMICO 25 T</t>
  </si>
  <si>
    <t>TRATOR AGRÍCOLA  5105 4X4</t>
  </si>
  <si>
    <t>TRATOR AGRÍCOLA BH-174 4X4</t>
  </si>
  <si>
    <t>TRATOR AGRÍCOLA C/ ROÇADEIRA 150/540</t>
  </si>
  <si>
    <t>TRATOR C/ ESCARIFICADOR D61-EX LEVE</t>
  </si>
  <si>
    <t>TRATOR C/ ESCARIFICADOR D61-EX MÉDIA</t>
  </si>
  <si>
    <t>TRATOR C/ ESCARIFICADOR D61-EX SEVERA</t>
  </si>
  <si>
    <t>TRATOR C/ ESCARIFICADOR D8-T LEVE</t>
  </si>
  <si>
    <t>TRATOR C/ ESCARIFICADOR D8-T MÉDIA</t>
  </si>
  <si>
    <t>TRATOR C/ ESCARIFICADOR D8-T SEVERA</t>
  </si>
  <si>
    <t>TRATOR LÂMINA D-150B MÉDIA</t>
  </si>
  <si>
    <t>TRATOR LÂMINA D6-K2 LEVE</t>
  </si>
  <si>
    <t>TRATOR LÂMINA D6-K2 MÉDIA</t>
  </si>
  <si>
    <t>TRATOR LÂMINA D6-K2 SEVERA</t>
  </si>
  <si>
    <t>TRATOR LÂMINA D6-N LEVE</t>
  </si>
  <si>
    <t>TRATOR LÂMINA D6-N SEVERA</t>
  </si>
  <si>
    <t>TRATOR LÂMINA D61-EX LEVE</t>
  </si>
  <si>
    <t>TRATOR LÂMINA D61-EX MÉDIA</t>
  </si>
  <si>
    <t>TRATOR LÂMINA D8-T SEVERA</t>
  </si>
  <si>
    <t>TRATOR LÂMINA 7D MÉDIA</t>
  </si>
  <si>
    <t>USINA ASFALTO MÓVEL CONTRA-FLUXO 50/100 T/HORA</t>
  </si>
  <si>
    <t>USINA ASFALTO MÓVEL CONTRA-FLUXO 60/120 T/HORA ASF. BORRACHA/POLÍMERO</t>
  </si>
  <si>
    <t>USINA MISTURADORA PMF 40/60 T/HORA</t>
  </si>
  <si>
    <t>USINA P/ MICROREVESTIMENTO ASFÁLTICO A FRIO</t>
  </si>
  <si>
    <t>USINA SOLOS BRITA GRADUADA 200/500 T/HORA</t>
  </si>
  <si>
    <t>USINA SOLOS C/ DOSADOR CIMENTO 200/500 T/HORA</t>
  </si>
  <si>
    <t>VASSOURA MECÂNICA REBOCÁVEL</t>
  </si>
  <si>
    <t>VEICULO TRANSPORTE COLETIVO 40 PASSAGEIROS</t>
  </si>
  <si>
    <t>VEÍCULO UTILITÁRIO POT. MÍN. 60 HP(C/MOTOR.)</t>
  </si>
  <si>
    <t>VEÍCULO UTILITÁRIO POT. MIN. 60 HP(S/MOTOR.)</t>
  </si>
  <si>
    <t>VIBRADOR IMERSÃO ELÉTRICO 45MM</t>
  </si>
  <si>
    <t>VIBRADOR IMERSÃO GASOLINA 45MM</t>
  </si>
  <si>
    <t>VIBRO ACABADORA ESTEIRAS</t>
  </si>
  <si>
    <t>ÁLCOOL</t>
  </si>
  <si>
    <t>DIESEL</t>
  </si>
  <si>
    <t>GASOLINA</t>
  </si>
  <si>
    <t>ELÉTRICO</t>
  </si>
  <si>
    <t>TAXA DE JUROS = 6,00%</t>
  </si>
  <si>
    <t>SALÁRIO BASE = R$ 1.302,00</t>
  </si>
  <si>
    <t>ÁLCOOL = R$ 3,957 ; DIESEL = 6,017; ELÉTRICO = R$ 0,896; GASOLINA = R$ 5,128; ÓLEO COMBUSTÍVEL = R$ 5,810</t>
  </si>
  <si>
    <t>SALÁRIO HORA = R$ 5,91</t>
  </si>
  <si>
    <t>PADRÃO SALARIAL</t>
  </si>
  <si>
    <t>SALÁRIO HORA</t>
  </si>
  <si>
    <t>APONTADOR</t>
  </si>
  <si>
    <t>ARMADOR</t>
  </si>
  <si>
    <t>BLASTER</t>
  </si>
  <si>
    <t>CANCHEIRO</t>
  </si>
  <si>
    <t>CLASSIFICADOR DE MADEIRA</t>
  </si>
  <si>
    <t>ELETRICISTA</t>
  </si>
  <si>
    <t>EQUIPE CARRETA PERFURAÇÃO</t>
  </si>
  <si>
    <t>EQUIPE CONJUNTO DE BRITAGEM</t>
  </si>
  <si>
    <t>EQUIPE USINA ASFALTO</t>
  </si>
  <si>
    <t>EQUIPE USINA SOLOS B. GRADUADA</t>
  </si>
  <si>
    <t>EQUIPE USINA SOLOS C/DOSADOR ASFALTO</t>
  </si>
  <si>
    <t>EQUIPE USINA SOLOS C/DOSADOR CIMENTO</t>
  </si>
  <si>
    <t>FEITOR</t>
  </si>
  <si>
    <t>MARROEIRO</t>
  </si>
  <si>
    <t>MARTELETEIRO</t>
  </si>
  <si>
    <t>MOTORISTA TRANSP. ASFALTO</t>
  </si>
  <si>
    <t>MOTORISTA VEÍCULO LEVE</t>
  </si>
  <si>
    <t>MOTORISTA VEÍCULO MÉDIO</t>
  </si>
  <si>
    <t>MOTORISTA VEÍCULO PESADO</t>
  </si>
  <si>
    <t>OPERADOR DA LEVE</t>
  </si>
  <si>
    <t>OPERADOR DE EQUIPAMENTOS MANUAIS</t>
  </si>
  <si>
    <t>PINTOR</t>
  </si>
  <si>
    <t>SOLDADOR</t>
  </si>
  <si>
    <t>TOPÓGRAFO</t>
  </si>
  <si>
    <t xml:space="preserve">DESCRIÇÃO </t>
  </si>
  <si>
    <t>CUSTO</t>
  </si>
  <si>
    <t>ADITIVO CONTROLADOR DE RUPTURA EMULSÃO</t>
  </si>
  <si>
    <t>ADITIVO HIPERPLASTIFICANTE</t>
  </si>
  <si>
    <t>ADITIVO PLASTIFICANTE</t>
  </si>
  <si>
    <t>ADITIVO SÓLIDO COM FIBRAS P/MICROREVESTIMENTO</t>
  </si>
  <si>
    <t>ADITIVO SUPERPLASTIFICANTE</t>
  </si>
  <si>
    <t>ADUBO NPK 4:14:8</t>
  </si>
  <si>
    <t>ADUBO NPK 4:30:10</t>
  </si>
  <si>
    <t>AGENTE DE CURA QUÍMICA P/CONCRETO</t>
  </si>
  <si>
    <t>APOIO ELASTOMÉRICO FRETADO</t>
  </si>
  <si>
    <t>ARAME FARPADO Nº 16</t>
  </si>
  <si>
    <t>ARAME RECOZIDO Nº 18</t>
  </si>
  <si>
    <t>AREIA</t>
  </si>
  <si>
    <t>ASFALTO DILUIDO CM-30</t>
  </si>
  <si>
    <t>ASFALTO MODIFICADO POR BORRACHA</t>
  </si>
  <si>
    <t>BALDE PLÁSTICO TRÂNSLÚCIDO 8/10 LITROS H=27/30CM</t>
  </si>
  <si>
    <t>BALIZADOR DE PLÁSTICO 947X120MM REFLETIVO</t>
  </si>
  <si>
    <t>BARRA CHATA 1" X 3/8" (2,0 KG/M)</t>
  </si>
  <si>
    <t>BARRA CHATA 1.1/4" X 1/8" X 1,00M</t>
  </si>
  <si>
    <t>BARRA CHATA 1.1/4" X 1/8" X 1,35M</t>
  </si>
  <si>
    <t>BARRA CHATA 1.1/4" X 3/16" X 2,00M</t>
  </si>
  <si>
    <t>BARRA CHATA 1.1/4" X 3/16" X 3,00M</t>
  </si>
  <si>
    <t>BARRA DYWIDAG Ø=32MM ST-95/105</t>
  </si>
  <si>
    <t>BARRA ROSCADA ZINCADA 5/8"</t>
  </si>
  <si>
    <t>BASTÃO VERMELHO SINALIZADOR 54CM</t>
  </si>
  <si>
    <t>BITS P/ CARRETA PERFURAÇÃO</t>
  </si>
  <si>
    <t>BLOCO ARTICULADO(BLOKRET) E=6CM (FCK=35 MPA)</t>
  </si>
  <si>
    <t>BLOCO ARTICULADO(BLOKRET) E=8CM (FCK=35 MPA)</t>
  </si>
  <si>
    <t>BLOCO CONCRETO ESTRUTURAL 19X19X19CM</t>
  </si>
  <si>
    <t>BLOCO CONCRETO ESTRUTURAL 19X19X39CM</t>
  </si>
  <si>
    <t>BLOCO INTERTRAVADO(PAVER) E=6CM (FCK=35 MPA)</t>
  </si>
  <si>
    <t>BLOCO INTERTRAVADO(PAVER) E=8CM (FCK=35 MPA)</t>
  </si>
  <si>
    <t>BONECO SINALIZADOR</t>
  </si>
  <si>
    <t>BRITA GRADUADA (USINADA) (COMERCIAL)</t>
  </si>
  <si>
    <t>BROCA 10,0MM X 8" ENCAIXE SDS PLUS</t>
  </si>
  <si>
    <t>BROCA 12,7MM X 21" ENCAIXE SDS PLUS</t>
  </si>
  <si>
    <t>BROCA 16,0MM X 21" ENCAIXE SDS PLUS</t>
  </si>
  <si>
    <t>BROCA 20,0MM X 21" ENCAIXE SDS MAX</t>
  </si>
  <si>
    <t>BROCA 25,4MM X 21" ENCAIXE SDS MAX</t>
  </si>
  <si>
    <t>BROCA 40,0MM X 21" ENCAIXE SDS MAX</t>
  </si>
  <si>
    <t>CABO DE AÇO 1/2" ALMA FIBRA 6X25</t>
  </si>
  <si>
    <t>CABO ELÉTRICO PP 1000V 3X1,5MM²</t>
  </si>
  <si>
    <t>CABO ELÉTRICO 1,5MM2</t>
  </si>
  <si>
    <t>CABO ELÉTRICO 2X1,5MM²</t>
  </si>
  <si>
    <t>CABO ELÉTRICO 2X2,5MM²</t>
  </si>
  <si>
    <t>CAL HIDRATADA CH-I</t>
  </si>
  <si>
    <t>CAL VIRGEM EM PÓ</t>
  </si>
  <si>
    <t>CANTONEIRA 6,35 X 6,35 X 1 CM</t>
  </si>
  <si>
    <t>CHAPA LIGAÇÃO 280X80X10MM</t>
  </si>
  <si>
    <t>CHAPA Nº 18 GALVANIZADA (10 KG/M2) PRÉ-PINTADA</t>
  </si>
  <si>
    <t>CHAPA PRETA (12,204 KG/M2)</t>
  </si>
  <si>
    <t>CHAPA ZINCADA 0,40MM P/REVEST. FORMAS</t>
  </si>
  <si>
    <t>CHUMBADOR 1" FERRO GALVANIZADO P/PÓRTICO SINALIZ</t>
  </si>
  <si>
    <t>CILINDRO DELIMITADOR ALTA PERFORMANCE  (ABNT 16658)</t>
  </si>
  <si>
    <t>CIMENTO ASFÁLTICO CAP-30/45</t>
  </si>
  <si>
    <t>CIMENTO ASFÁLTICO CAP-50/70</t>
  </si>
  <si>
    <t>CIMENTO ASFÁLTICO MODIF. POR POLÍMERO SBS(55/75)</t>
  </si>
  <si>
    <t>CIMENTO ASFÁLTICO MODIF. POR POLÍMERO SBS(60/85)</t>
  </si>
  <si>
    <t>CIMENTO ASFÁLTICO MODIF. POR POLÍMERO SBS(65/90)</t>
  </si>
  <si>
    <t>CIMENTO PORTLAND A GRANEL</t>
  </si>
  <si>
    <t>CIMENTO PORTLAND (SACO DE 50KG)</t>
  </si>
  <si>
    <t>COLA PARA TACHAS</t>
  </si>
  <si>
    <t>COLA PARA TUBO DE PVC</t>
  </si>
  <si>
    <t>COMPENSADO 14 MM PLASTIFICADO</t>
  </si>
  <si>
    <t>COMPENSADO 14 MM RESINADO</t>
  </si>
  <si>
    <t>COMPENSADO 17 MM PLASTIFICADO</t>
  </si>
  <si>
    <t>COMPENSADO 17 MM RESINADO</t>
  </si>
  <si>
    <t>CONCRETO MAGRO USINADO</t>
  </si>
  <si>
    <t>CONCRETO USINADO FCK = 22 MPA</t>
  </si>
  <si>
    <t>CONCRETO USINADO FCK = 30 MPA</t>
  </si>
  <si>
    <t>CONE PVC FLEXÍVEL REFLETIVO H=75CM NBR 15071</t>
  </si>
  <si>
    <t>CONE PVC SEMIFLEXÍVEL H=75CM</t>
  </si>
  <si>
    <t>CONE PVC SIMPLES FLEXÍVEL REFLETIVO H=75CM</t>
  </si>
  <si>
    <t>CONE SINALIZADOR TIPO CONÃO/BOLO DE NOIVA H=1,10M, BASE 50X50CM</t>
  </si>
  <si>
    <t>CONEXÃO P/TUBO POLIETILENO (PEAD) P/DRENO 0,10 M</t>
  </si>
  <si>
    <t>CONEXÃO P/TUBO POLIETILENO (PEAD) P/DRENO 0,23 M</t>
  </si>
  <si>
    <t>CONTRAPORCA SEXTAVADA</t>
  </si>
  <si>
    <t>CORDA DE SISAL 6MM</t>
  </si>
  <si>
    <t>CORDA DE SISAL 8MM</t>
  </si>
  <si>
    <t>CORDÃO DE POLIPROPILENO 6MM</t>
  </si>
  <si>
    <t>CORDÃO DE POLIPROPILENO 8MM</t>
  </si>
  <si>
    <t>CORDEL DETONANTE</t>
  </si>
  <si>
    <t>CORDOALHA NUA CP 190 RB 12,7MM</t>
  </si>
  <si>
    <t>CORDOALHA NUA CP 190 RB 15,2MM</t>
  </si>
  <si>
    <t>DEFENSA SIMPLES COMPLETA</t>
  </si>
  <si>
    <t>DEFENSA SIMPLES SEM POSTE</t>
  </si>
  <si>
    <t>DELINEADOR REFLETIVO PARA BARREIRA NEW JERSEY</t>
  </si>
  <si>
    <t>DELINEADOR REFLETIVO PARA DEFENSA METÁLICA</t>
  </si>
  <si>
    <t>DENTE CORTE P/FRESADORA/VALETADEIRA WS-24 E S-650</t>
  </si>
  <si>
    <t>DENTE DE CORTE P/ FRESADORA PM-102</t>
  </si>
  <si>
    <t>DENTE DE CORTE P/ FRESADORA W-100</t>
  </si>
  <si>
    <t>DENTE DE CORTE P/ FRESADORA W-200F</t>
  </si>
  <si>
    <t>DENTE DE CORTE P/ RECICLADORA RM-300/500</t>
  </si>
  <si>
    <t>DENTE DE CORTE P/ RECICLADORA WR-240</t>
  </si>
  <si>
    <t>DETERGENTE</t>
  </si>
  <si>
    <t>DINAMITE EMULSÃO 2"</t>
  </si>
  <si>
    <t>DISCO DIAMANTADO 110 MM E= 1,50/2,00MM</t>
  </si>
  <si>
    <t>DISCO DIAMANTADO 350 MM E= 3MM</t>
  </si>
  <si>
    <t>DISCO DIAMANTADO 350 MM E= 6MM</t>
  </si>
  <si>
    <t>DOPE</t>
  </si>
  <si>
    <t>ELETRODO P/ SOLDA 3,25 MM</t>
  </si>
  <si>
    <t>EMULSÃO ASFÁLTICA P/IMPRIMAÇÃO EAI</t>
  </si>
  <si>
    <t>EMULSÃO ASFÁLTICA RC-1C-E C/POLÍMERO</t>
  </si>
  <si>
    <t>EMULSÃO ASFÁLTICA RL-1C</t>
  </si>
  <si>
    <t>EMULSÃO ASFÁLTICA RM-1C</t>
  </si>
  <si>
    <t>EMULSÃO ASFÁLTICA RM-1C-E C/POLÍMERO</t>
  </si>
  <si>
    <t>EMULSÃO ASFÁLTICA RM-2C</t>
  </si>
  <si>
    <t>EMULSÃO ASFÁLTICA RM-2C-E C/POLÍMERO</t>
  </si>
  <si>
    <t>EMULSÃO ASFÁLTICA RR-1C</t>
  </si>
  <si>
    <t>EMULSÃO ASFÁLTICA RR-1C-E C/POLÍMERO</t>
  </si>
  <si>
    <t>EMULSÃO ASFÁLTICA RR-2C</t>
  </si>
  <si>
    <t>EMULSÃO ASFÁLTICA RR-2C-E C/POLÍMERO</t>
  </si>
  <si>
    <t>ERVA CIDREIRA</t>
  </si>
  <si>
    <t>ESPOLETA SIMPLES</t>
  </si>
  <si>
    <t>ESTOPIM PRETO</t>
  </si>
  <si>
    <t>FERRO REDONDO CA 25 20MM</t>
  </si>
  <si>
    <t>FERRO REDONDO CA 50 8MM</t>
  </si>
  <si>
    <t>FERRO REDONDO CA-25 12,5MM</t>
  </si>
  <si>
    <t>FERRO REDONDO CA25 25MM</t>
  </si>
  <si>
    <t>FERRO REDONDO CA25 32MM</t>
  </si>
  <si>
    <t>FERRO REDONDO CA-50  6,3MM</t>
  </si>
  <si>
    <t>FERRO REDONDO CA-50 10,0MM</t>
  </si>
  <si>
    <t>FERRO REDONDO CA-50 12,5MM</t>
  </si>
  <si>
    <t>FERRO REDONDO CA-60 4,2 MM</t>
  </si>
  <si>
    <t>FIBRA POLIPROPILENO MULTIFILAMENTOS</t>
  </si>
  <si>
    <t>FIO DE NYLON 0,50 MM</t>
  </si>
  <si>
    <t>FIXADOR PARA CAL</t>
  </si>
  <si>
    <t>FORMA METÁLICA P/FABRICAÇÃO BARREIRA</t>
  </si>
  <si>
    <t>FORMA METÁLICA 3/16" P/PLACA DE CONCRETO</t>
  </si>
  <si>
    <t>GABIÃO CAIXA # 8 X 10 ZN/AL + PVC H=0,50M (NBR 8964/2013)</t>
  </si>
  <si>
    <t>GABIÃO CAIXA # 8 X 10 ZN/AL + PVC H=1,00M (NBR 8964/2013)</t>
  </si>
  <si>
    <t>GABIÃO CAIXA # 8 X 10 ZN/AL H=0,50M (NBR 8964/2013)</t>
  </si>
  <si>
    <t>GABIÃO CAIXA # 8 X 10 ZN/AL H=1,00M (NBR 8964/2013)</t>
  </si>
  <si>
    <t>GABIÃO COLCHÃO ZN/AL + PVC E=0,17M</t>
  </si>
  <si>
    <t>GABIÃO COLCHÃO ZN/AL + PVC E=0,23M</t>
  </si>
  <si>
    <t>GABIÃO COLCHÃO ZN/AL + PVC E=0,30M</t>
  </si>
  <si>
    <t>GEOCOMPOSTO DRENANTE MACDRAIN TD C/BOLSA P/TUBO</t>
  </si>
  <si>
    <t>GEOCOMPOSTO DRENANTE MACDRAIN 2L SEM BOLSA</t>
  </si>
  <si>
    <t>GEOTEXTIL N/TECIDO RESIST. TRAÇÃO  8KN/M</t>
  </si>
  <si>
    <t>GEOTEXTIL N/TECIDO RESIST. TRAÇÃO 10KN/M</t>
  </si>
  <si>
    <t>GEOTEXTIL TECIDO (ATERROS)</t>
  </si>
  <si>
    <t>GEOTEXTIL TECIDO (DRENOS)</t>
  </si>
  <si>
    <t>GEOTEXTIL TECIDO (REFORÇO) RESIST. TRAÇÃO 37 KN/M</t>
  </si>
  <si>
    <t>GRAMPOS P/ CABO DE AÇO 1/2"</t>
  </si>
  <si>
    <t>GRAMPOS P/ CERCA</t>
  </si>
  <si>
    <t>GRAXA COMUM</t>
  </si>
  <si>
    <t>GROUT/ENCEKRET 40</t>
  </si>
  <si>
    <t>HASTE P/ CARRETA PERFURAÇÃO</t>
  </si>
  <si>
    <t>IMPERMEABILIZANTE FLEXÍVEL IGOLFLEX PRETO</t>
  </si>
  <si>
    <t>ISOPOR E=1CM</t>
  </si>
  <si>
    <t>ISOPOR E=3CM</t>
  </si>
  <si>
    <t>JOGO DE BROCAS S-12</t>
  </si>
  <si>
    <t>JUNTA DILATAÇÃO O- 12 MM</t>
  </si>
  <si>
    <t>JUNTA DILATAÇÃO O- 22 MM</t>
  </si>
  <si>
    <t>LAJOTA CONCRETO 45 X 45 X 5 CM</t>
  </si>
  <si>
    <t>LÂMPADA DE LED 11W</t>
  </si>
  <si>
    <t>LÂMPADA DE LED 15W</t>
  </si>
  <si>
    <t>LEIVAS</t>
  </si>
  <si>
    <t>LONA PLÁSTICA PRETA</t>
  </si>
  <si>
    <t>LUVA DE EMENDA DW32 (63X180MM)</t>
  </si>
  <si>
    <t>LUVA P/ CARRETA PERFURAÇÃO</t>
  </si>
  <si>
    <t>MADEIRA DE LEI  3 X 16 CM</t>
  </si>
  <si>
    <t>MADEIRA DE LEI  6 X 16 CM</t>
  </si>
  <si>
    <t>MADEIRA DE LEI 20 X 20 CM</t>
  </si>
  <si>
    <t>MADEIRA DE LEI 20 X 25 CM</t>
  </si>
  <si>
    <t>MADEIRA DE LEI 20 X 30 CM</t>
  </si>
  <si>
    <t>MADEIRA PEROBA 1" X 12"</t>
  </si>
  <si>
    <t>MADEIRA PEROBA 1" X 2"</t>
  </si>
  <si>
    <t>MADEIRA PEROBA 1" X 3"</t>
  </si>
  <si>
    <t>MADEIRA PEROBA 2" X 12"</t>
  </si>
  <si>
    <t>MADEIRA PEROBA 3" X  3"</t>
  </si>
  <si>
    <t>MADEIRA PEROBA 4" X 12"</t>
  </si>
  <si>
    <t>MADEIRA PEROBA 8" X  3"</t>
  </si>
  <si>
    <t>MADEIRA PINHO  1" X  2"</t>
  </si>
  <si>
    <t>MADEIRA PINHO  1" X  3"</t>
  </si>
  <si>
    <t>MADEIRA PINHO  1" X  4"</t>
  </si>
  <si>
    <t>MADEIRA PINHO  1" X  6"</t>
  </si>
  <si>
    <t>MADEIRA PINHO  1" X 12"</t>
  </si>
  <si>
    <t>MADEIRA PINHO  2,5 X 4 CM</t>
  </si>
  <si>
    <t>MADEIRA PINHO  2,5 X 6 CM</t>
  </si>
  <si>
    <t>MADEIRA PINHO  2,5 X 8 CM</t>
  </si>
  <si>
    <t>MADEIRA PINHO  3" X  3"</t>
  </si>
  <si>
    <t>MADEIRA PINHO  6 X 12 CM</t>
  </si>
  <si>
    <t>MADEIRA ROLIÇA D=10/15 CM</t>
  </si>
  <si>
    <t>MADEIRA ROLIÇA D=25 CM</t>
  </si>
  <si>
    <t>MANGUEIRA CRISTAL</t>
  </si>
  <si>
    <t>MANTA GEOTEXTIL DE CURA</t>
  </si>
  <si>
    <t>MATERIAL P/ HIDROSSEMEADURA</t>
  </si>
  <si>
    <t>MATERIAL TERMOPLÁSTICO P/ASPERSÃO</t>
  </si>
  <si>
    <t>MATERIAL TERMOPLÁSTICO P/EXTRUSÃO</t>
  </si>
  <si>
    <t>MEIA CANA CONCRETO 0,20 M</t>
  </si>
  <si>
    <t>MEIA CANA CONCRETO 0,30 M</t>
  </si>
  <si>
    <t>MEIA CANA CONCRETO 0,40 M</t>
  </si>
  <si>
    <t>MICRO-ESFERAS DROP-ON</t>
  </si>
  <si>
    <t>MICRO-ESFERAS PREMIX</t>
  </si>
  <si>
    <t>MICROSÍLICA</t>
  </si>
  <si>
    <t>MOURÃO ESTICADOR DE EUCALIPTO TRATADO H=2,80M</t>
  </si>
  <si>
    <t>MOURÃO SUPORTE DE EUCALIPTO TRATADO H=2,20M</t>
  </si>
  <si>
    <t>MUDA DE ÁRVORE (H=1,00M)</t>
  </si>
  <si>
    <t>ÓLEO COMBUSTÍVEL OTE</t>
  </si>
  <si>
    <t>PARAFUSO FRANCÊS G.F. C/PORCA 5/16" X 1"</t>
  </si>
  <si>
    <t>PARAFUSO FRANCÊS G.F. C/PORCA 5/16" X 3.1/2"</t>
  </si>
  <si>
    <t>PARAFUSO FRANCÊS G.F. C/PORCA 5/8" X  2"</t>
  </si>
  <si>
    <t>PARAFUSO FRANCÊS G.F. C/PORCA 5/8" X 10"</t>
  </si>
  <si>
    <t>PARAFUSO FRANCÊS G.F. C/PORCA 5/8" X 3.1/2"</t>
  </si>
  <si>
    <t>PARALELEPÍPEDO</t>
  </si>
  <si>
    <t>PEDRA BRITADA (COMERCIAL)</t>
  </si>
  <si>
    <t>PEDRA DE MÃO (COMERCIAL)</t>
  </si>
  <si>
    <t>PELÍCULA NÃO REFLETIVA PRETO OPACO - TIPO IV</t>
  </si>
  <si>
    <t>PELÍCULA REFLETIVA - TIPO IA (PRISMÁTICA)</t>
  </si>
  <si>
    <t>PELÍCULA REFLETIVA - TIPO III (AI PRISMÁTICA)</t>
  </si>
  <si>
    <t>PELÍCULA REFLETIVA - TIPO X (GRAU DIAMANTE)</t>
  </si>
  <si>
    <t>PERFURAÇÃO P/ DRENO SUB-HORIZONTAL</t>
  </si>
  <si>
    <t>PERFURATRIZ P/ CARRETA  6 M</t>
  </si>
  <si>
    <t>PERFURATRIZ P/ CARRETA 12 M</t>
  </si>
  <si>
    <t>PEROBA SERRADA</t>
  </si>
  <si>
    <t>PINHO SERRADO (3A.)</t>
  </si>
  <si>
    <t>PISO TÁTIL ALERTA/DIRECIONAL 20X20CM INCOLOR</t>
  </si>
  <si>
    <t>PISO TÁTIL ALERTA/DIRECIONAL 20X20CM VERMELHO</t>
  </si>
  <si>
    <t>PISO TÁTIL ALERTA/DIRECIONAL 40X40CM INCOLOR</t>
  </si>
  <si>
    <t>PISO TÁTIL ALERTA/DIRECIONAL 40X40CM VERMELHO</t>
  </si>
  <si>
    <t>PÓ DE PEDRA (COMERCIAL)</t>
  </si>
  <si>
    <t>PORCA 5/8" ZINCADA P/CHAPA LIGAÇÃO</t>
  </si>
  <si>
    <t>PORTA-DENTES P/ FRESADORA PM-102</t>
  </si>
  <si>
    <t>PORTA-DENTES P/ FRESADORA W-1000L</t>
  </si>
  <si>
    <t>PORTA-DENTES P/ FRESADORA W-200</t>
  </si>
  <si>
    <t>PORTA-DENTES P/ RECICLADORA RM-300/500</t>
  </si>
  <si>
    <t>PORTA-DENTES P/ RECICLADORA WR-240</t>
  </si>
  <si>
    <t>PÓRTICO SIMPLES VÃO 11,00 A 15,00M(PLACA ATÉ 24M2)</t>
  </si>
  <si>
    <t>PÓRTICO SIMPLES VÃO 16,00M(PLACA ATÉ 24M2)</t>
  </si>
  <si>
    <t>PÓRTICO SIMPLES VÃO 17,00M(PLACA ATÉ 24M2)</t>
  </si>
  <si>
    <t>PÓRTICO SIMPLES VÃO 18,10M(PLACA ATÉ 24M2)</t>
  </si>
  <si>
    <t>PREGOS 17 X 27 / 18 X 27</t>
  </si>
  <si>
    <t>PUNHO P/ CARRETA PERFURAÇÃO</t>
  </si>
  <si>
    <t>RACHÃO BRITADO (COMERCIAL)</t>
  </si>
  <si>
    <t>RACHÃO SEM BRITAGEM (COMERCIAL)</t>
  </si>
  <si>
    <t>ROYALTY JAZIDA</t>
  </si>
  <si>
    <t>ROYALTY PEDREIRA</t>
  </si>
  <si>
    <t>SELANTE A BASE DE SILICONE DOWSIL OU EQUIVALENTE</t>
  </si>
  <si>
    <t>SEMI-PÓRTICO DUPLO 2X4,90M(PLACA ATÉ 24M2)</t>
  </si>
  <si>
    <t>SEMI-PÓRTICO DUPLO 2X6,00M(PLACA ATÉ 24M2)</t>
  </si>
  <si>
    <t>SEMI-PÓRTICO DUPLO 2X7,20M(PLACA ATÉ 24M2)</t>
  </si>
  <si>
    <t>SEMI-PÓRTICO DUPLO 2X8,30M(PLACA ATÉ 24M2)</t>
  </si>
  <si>
    <t>SEMI-PÓRTICO SIMPLES 4,90M(PLACA ATÉ 12M2)</t>
  </si>
  <si>
    <t>SEMI-PÓRTICO SIMPLES 6,00M(PLACA ATÉ 12M2)</t>
  </si>
  <si>
    <t>SEMI-PÓRTICO SIMPLES 7,20M(PLACA ATÉ 12M2)</t>
  </si>
  <si>
    <t>SEMI-PÓRTICO SIMPLES 8,30M(PLACA ATÉ 12M2)</t>
  </si>
  <si>
    <t>SIKADUR 31</t>
  </si>
  <si>
    <t>SIKADUR 32</t>
  </si>
  <si>
    <t>SIKADUR 52</t>
  </si>
  <si>
    <t>SIKAFLEX T-68</t>
  </si>
  <si>
    <t>SINALIZADOR LED AMARELO</t>
  </si>
  <si>
    <t>SINALIZADOR NOTURNO EM LED (LUZ INTERMITENTE)</t>
  </si>
  <si>
    <t>SOLVENTE TOLUENO</t>
  </si>
  <si>
    <t>SOQUETE P/LÂMPADA FLUORESCENTE</t>
  </si>
  <si>
    <t>SUPORTE MADEIRA LEI 3"X3" PLACA SINALIZAÇÃO(3M)</t>
  </si>
  <si>
    <t>SUPORTE METÁLICO PERFIL C- 38 GALV. P/PLACA SINAL. INCLUSIVE ACESSÓRIOS</t>
  </si>
  <si>
    <t>SUPORTE METÁLICO PERFIL C-110 GALV. P/PLACA SINAL. INCLUSIVE ACESSÓRIOS</t>
  </si>
  <si>
    <t>SUPORTE METÁLICO 2 1/2"X2,65MMX3,00M</t>
  </si>
  <si>
    <t>SUPORTE METÁLICO 2 1/2"X2,65MMX3,50M</t>
  </si>
  <si>
    <t>SUPORTE METÁLICO 2 1/2"X2,65MMX4,00M</t>
  </si>
  <si>
    <t>TAMPÃO FERRO FUNDIDO Ø=600MM ARTICULADO CLASSE 125</t>
  </si>
  <si>
    <t>TAMPÃO FERRO FUNDIDO Ø=600MM ARTICULADO CLASSE 400</t>
  </si>
  <si>
    <t>TAMPÃO FERRO FUNDIDO Ø=600MM C/ARO CLASSE  50</t>
  </si>
  <si>
    <t>TAMPÃO FERRO FUNDIDO Ø=600MM C/ARO CLASSE 125</t>
  </si>
  <si>
    <t>TAMPÃO FERRO FUNDIDO Ø=600MM C/ARO CLASSE 400</t>
  </si>
  <si>
    <t>TAMPÃO FERRO FUNDIDO Ø=700MM R-3 ARTICULADO CLASSE 400</t>
  </si>
  <si>
    <t>TAMPÃO FERRO FUNDIDO Ø=730MM R-3 C/ARO CLASSE 400</t>
  </si>
  <si>
    <t>TAMPÃO FERRO FUNDIDO Ø=800MM ARTICULADO CLASSE 400</t>
  </si>
  <si>
    <t>TELA METÁLICA TELCON Q- 92</t>
  </si>
  <si>
    <t>TELA METÁLICA TELCON Q-113</t>
  </si>
  <si>
    <t>TELA METÁLICA TELCON Q-138</t>
  </si>
  <si>
    <t>TELA METÁLICA TELCON Q-283</t>
  </si>
  <si>
    <t>TENSOR PARA FORMAS</t>
  </si>
  <si>
    <t>TERMINAL ABSORVEDOR DE ENERGIA PARA VELOCIDADE ATÉ 100KM/H + CONJUNTO DE ANCORAGEM</t>
  </si>
  <si>
    <t>TERMINAL ABSORVEDOR DE ENERGIA PARA VELOCIDADE DE 80KM/H + CONJUNTO DE ANCORAGEM</t>
  </si>
  <si>
    <t>TERMINAL AMORTECEDOR DE IMPACTO PARA VELOCIDADE ATÉ 100 KM/H + CONJUNTO DE ANCORAGEM</t>
  </si>
  <si>
    <t>TERMINAL AMORTECEDORR DE IMPACTO PARA VELOCIDADE DE 80KM/H + CONJUNTO DE ANCORAGEM</t>
  </si>
  <si>
    <t>TERMINAL ANCORAGEM METÁLICA TIPO "A" E "D"</t>
  </si>
  <si>
    <t>TERMINAL P/TUBO POLIETILENO (PEAD) P/DRENO 0,10M</t>
  </si>
  <si>
    <t>TERMINAL P/TUBO POLIETILENO (PEAD) P/DRENO 0,23M</t>
  </si>
  <si>
    <t>TERMINAL/PONTEIRA TIPO "C" P/DEFENSA SIMPLES</t>
  </si>
  <si>
    <t>TIJOLO MACIÇO</t>
  </si>
  <si>
    <t>TIJOLO 6 FUROS</t>
  </si>
  <si>
    <t>TINTA BASE RESINA ACRÍLICA EMULS. ÁGUA-2 ANOS</t>
  </si>
  <si>
    <t>TINTA BASE RESINA ACRÍLICA EMULS. SOLVENTE-2 ANOS</t>
  </si>
  <si>
    <t>TINTA EPÓXI FOSCO PRETO</t>
  </si>
  <si>
    <t>TINTA LATEX BRANCA</t>
  </si>
  <si>
    <t>TINTA LATEX VERDE</t>
  </si>
  <si>
    <t>TINTA MINERAL TIPO CIMENTOL CINZA</t>
  </si>
  <si>
    <t>TINTA ÓLEO (FUNDO)</t>
  </si>
  <si>
    <t>TINTA SINALIZAÇÃO PROVISÓRIA -1 ANO</t>
  </si>
  <si>
    <t>TRILHO TR-37</t>
  </si>
  <si>
    <t>TUBO AÇO CORRUGADO MP-100 E=1,60MM C/EPOXY</t>
  </si>
  <si>
    <t>TUBO AÇO CORRUGADO MP-100 E=2,00MM C/EPOXY</t>
  </si>
  <si>
    <t>TUBO AÇO CORRUGADO MP-100 E=2,70MM C/EPOXY</t>
  </si>
  <si>
    <t>TUBO AÇO CORRUGADO MP-100 E=3,40MM C/EPOXY</t>
  </si>
  <si>
    <t>TUBO AÇO CORRUGADO MP-152 E=2,70MM C/EPOXY</t>
  </si>
  <si>
    <t>TUBO AÇO CORRUGADO MP-152 E=3,40MM C/EPOXY</t>
  </si>
  <si>
    <t>TUBO AÇO CORRUGADO MP-152 E=3,90MM C/EPOXY</t>
  </si>
  <si>
    <t>TUBO AÇO CORRUGADO MP-152 E=4,70MM C/EPOXY</t>
  </si>
  <si>
    <t>TUBO AÇO CORRUGADO MP-152 E=6,30MM C/EPOXY</t>
  </si>
  <si>
    <t>TUBO AÇO CORRUGADO TUNNEL LINER E=2,20MM C/EPOXY</t>
  </si>
  <si>
    <t>TUBO AÇO CORRUGADO TUNNEL LINER E=2,70MM C/EPOXY</t>
  </si>
  <si>
    <t>TUBO AÇO CORRUGADO TUNNEL LINER E=3,40MM C/EPOXY</t>
  </si>
  <si>
    <t>TUBO AÇO CORRUGADO TUNNEL LINER E=3,90MM C/EPOXY</t>
  </si>
  <si>
    <t>TUBO AÇO CORRUGADO TUNNEL LINER E=4,70MM C/EPOXY</t>
  </si>
  <si>
    <t>TUBO AÇO CORRUGADO TUNNEL LINER E=6,30MM C/EPOXY</t>
  </si>
  <si>
    <t>TUBO CONCRETO D=0,20M MF PS-1</t>
  </si>
  <si>
    <t>TUBO CONCRETO D=0,30M MF PS-1</t>
  </si>
  <si>
    <t>TUBO CONCRETO D=0,40M MF PA-1</t>
  </si>
  <si>
    <t>TUBO CONCRETO D=0,40M MF PA-2</t>
  </si>
  <si>
    <t>TUBO CONCRETO D=0,40M MF PS-1</t>
  </si>
  <si>
    <t>TUBO CONCRETO D=0,60M MF PA-1</t>
  </si>
  <si>
    <t>TUBO CONCRETO D=0,60M MF PA-2</t>
  </si>
  <si>
    <t>TUBO CONCRETO D=0,60M MF PA-3</t>
  </si>
  <si>
    <t>TUBO CONCRETO D=0,60M MF PS-1</t>
  </si>
  <si>
    <t>TUBO CONCRETO D=0,80M MF PA-1</t>
  </si>
  <si>
    <t>TUBO CONCRETO D=0,80M MF PA-2</t>
  </si>
  <si>
    <t>TUBO CONCRETO D=0,80M MF PA-3</t>
  </si>
  <si>
    <t>TUBO CONCRETO D=0,80M MF PS-1</t>
  </si>
  <si>
    <t>TUBO CONCRETO D=1,00M MF PA-1</t>
  </si>
  <si>
    <t>TUBO CONCRETO D=1,00M MF PA-2</t>
  </si>
  <si>
    <t>TUBO CONCRETO D=1,00M MF PA-3</t>
  </si>
  <si>
    <t>TUBO CONCRETO D=1,20M MF PA-1</t>
  </si>
  <si>
    <t>TUBO CONCRETO D=1,20M MF PA-2</t>
  </si>
  <si>
    <t>TUBO CONCRETO D=1,20M MF PA-3</t>
  </si>
  <si>
    <t>TUBO CONCRETO D=1,50M MF PA-1</t>
  </si>
  <si>
    <t>TUBO CONCRETO D=1,50M MF PA-2</t>
  </si>
  <si>
    <t>TUBO CONCRETO D=1,50M MF PA-3</t>
  </si>
  <si>
    <t>TUBO CONCRETO D=2,00M MF PA-1</t>
  </si>
  <si>
    <t>TUBO CONCRETO D=2,00M MF PA-2</t>
  </si>
  <si>
    <t>TUBO CONCRETO D=2,00M MF PA-3</t>
  </si>
  <si>
    <t>TUBO FERRO GALVANIZADO 1"</t>
  </si>
  <si>
    <t>TUBO FERRO GALVANIZADO 2"</t>
  </si>
  <si>
    <t>TUBO FERRO GALVANIZADO 2,5" E=3,35MM</t>
  </si>
  <si>
    <t>TUBO FERRO GALVANIZADO 3"</t>
  </si>
  <si>
    <t>TUBO FERRO GALVANIZADO 4"</t>
  </si>
  <si>
    <t>TUBO POLIETILENO (PEAD) P/DRENO 0,10M</t>
  </si>
  <si>
    <t>TUBO POLIETILENO (PEAD) P/DRENO 0,23M</t>
  </si>
  <si>
    <t>TUBO PVC 1" - 32MM</t>
  </si>
  <si>
    <t>TUBO PVC 2" - 50MM</t>
  </si>
  <si>
    <t>TUBO PVC 2" - 50MM (ESGOTO)</t>
  </si>
  <si>
    <t>TUBO PVC 4" - 100MM (ESGOTO)</t>
  </si>
  <si>
    <t>ZARCÃO</t>
  </si>
  <si>
    <t>G</t>
  </si>
  <si>
    <t>JG</t>
  </si>
  <si>
    <t>MIL</t>
  </si>
  <si>
    <t>COMERCIAL - CAMINHÃO BASCULANTE</t>
  </si>
  <si>
    <t>COMERCIAL - CAMINHÃO CARROCERIA</t>
  </si>
  <si>
    <t>LOCAL - CAMINHÃO BASCULANTE</t>
  </si>
  <si>
    <t>LOCAL - CAMINHÃO CARROCERIA</t>
  </si>
  <si>
    <t>LOCAL - MASSA A FRIO - CAMINHÃO BASCULANTE</t>
  </si>
  <si>
    <t>LOCAL - MASSA A QUENTE - CAMINHÃO BASCULANTE</t>
  </si>
  <si>
    <t>MATERIAL ASFÁLTICO A FRIO</t>
  </si>
  <si>
    <t>MATERIAL ASFÁLTICO A QUENTE</t>
  </si>
  <si>
    <t>FÓRMULA DE TRANSPORTE (R$/T)</t>
  </si>
  <si>
    <t xml:space="preserve">X = DMT EM KM                  </t>
  </si>
  <si>
    <t>X1 = DMT EM KM (RODOVIA PAVIMENTADA)</t>
  </si>
  <si>
    <t>X2 = DMT EM KM (RODOVIA NÃO PAVIMENTADA)</t>
  </si>
  <si>
    <t>DESCRICAO DA COMPOSICAO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</si>
  <si>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</si>
  <si>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</si>
  <si>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</si>
  <si>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</si>
  <si>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</si>
  <si>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</si>
  <si>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</si>
  <si>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</si>
  <si>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</si>
  <si>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</si>
  <si>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</si>
  <si>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</si>
  <si>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</si>
  <si>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</si>
  <si>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</si>
  <si>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</si>
  <si>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</si>
  <si>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</si>
  <si>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</si>
  <si>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</si>
  <si>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</si>
  <si>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</si>
  <si>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</si>
  <si>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</si>
  <si>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</si>
  <si>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</si>
  <si>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</si>
  <si>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</si>
  <si>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</si>
  <si>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</si>
  <si>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</si>
  <si>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</si>
  <si>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</si>
  <si>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</si>
  <si>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</si>
  <si>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</si>
  <si>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</si>
  <si>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</si>
  <si>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</si>
  <si>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</si>
  <si>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</si>
  <si>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</si>
  <si>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</si>
  <si>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</si>
  <si>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</si>
  <si>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</si>
  <si>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</si>
  <si>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</si>
  <si>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</si>
  <si>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</si>
  <si>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</si>
  <si>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</si>
  <si>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</si>
  <si>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</si>
  <si>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</si>
  <si>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</si>
  <si>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</si>
  <si>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</si>
  <si>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</si>
  <si>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</si>
  <si>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</si>
  <si>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</si>
  <si>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</si>
  <si>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</si>
  <si>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</si>
  <si>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</si>
  <si>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</si>
  <si>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</si>
  <si>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</si>
  <si>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</si>
  <si>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</si>
  <si>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</si>
  <si>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</si>
  <si>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</si>
  <si>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</si>
  <si>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</si>
  <si>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</si>
  <si>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</si>
  <si>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</si>
  <si>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</si>
  <si>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</si>
  <si>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</si>
  <si>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</si>
  <si>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</si>
  <si>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</si>
  <si>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</si>
  <si>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</si>
  <si>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</si>
  <si>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</si>
  <si>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</si>
  <si>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</si>
  <si>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</si>
  <si>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</si>
  <si>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</si>
  <si>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</si>
  <si>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</si>
  <si>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</si>
  <si>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</si>
  <si>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</si>
  <si>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</si>
  <si>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</si>
  <si>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</si>
  <si>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</si>
  <si>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</si>
  <si>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</si>
  <si>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</si>
  <si>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</si>
  <si>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</si>
  <si>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</si>
  <si>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</si>
  <si>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</si>
  <si>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</si>
  <si>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</si>
  <si>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</si>
  <si>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</si>
  <si>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</si>
  <si>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</si>
  <si>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</si>
  <si>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</si>
  <si>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</si>
  <si>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</si>
  <si>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</si>
  <si>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</si>
  <si>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</si>
  <si>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</si>
  <si>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</si>
  <si>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</si>
  <si>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</si>
  <si>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</si>
  <si>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</si>
  <si>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</si>
  <si>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</si>
  <si>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</si>
  <si>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</si>
  <si>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</si>
  <si>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</si>
  <si>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</si>
  <si>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</si>
  <si>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</si>
  <si>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</si>
  <si>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</si>
  <si>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</si>
  <si>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</si>
  <si>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</si>
  <si>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</si>
  <si>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</si>
  <si>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</si>
  <si>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</si>
  <si>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</si>
  <si>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</si>
  <si>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</si>
  <si>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</si>
  <si>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</si>
  <si>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</si>
  <si>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</si>
  <si>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</si>
  <si>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</si>
  <si>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</si>
  <si>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</si>
  <si>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</si>
  <si>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</si>
  <si>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</si>
  <si>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</si>
  <si>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</si>
  <si>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</si>
  <si>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</si>
  <si>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</si>
  <si>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</si>
  <si>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</si>
  <si>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</si>
  <si>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</si>
  <si>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</si>
  <si>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</si>
  <si>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</si>
  <si>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</si>
  <si>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</si>
  <si>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</si>
  <si>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</si>
  <si>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</si>
  <si>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</si>
  <si>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</si>
  <si>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</si>
  <si>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</si>
  <si>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</si>
  <si>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</si>
  <si>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</si>
  <si>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</si>
  <si>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</si>
  <si>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</si>
  <si>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</si>
  <si>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</si>
  <si>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</si>
  <si>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</si>
  <si>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</si>
  <si>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</si>
  <si>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</si>
  <si>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</si>
  <si>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</si>
  <si>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</si>
  <si>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</si>
  <si>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</si>
  <si>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</si>
  <si>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</si>
  <si>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</si>
  <si>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</si>
  <si>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</si>
  <si>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</si>
  <si>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</si>
  <si>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</si>
  <si>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</si>
  <si>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</si>
  <si>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</si>
  <si>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</si>
  <si>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</si>
  <si>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</si>
  <si>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</si>
  <si>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</si>
  <si>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</si>
  <si>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</si>
  <si>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</si>
  <si>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</si>
  <si>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</si>
  <si>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</si>
  <si>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</si>
  <si>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</si>
  <si>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</si>
  <si>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</si>
  <si>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</si>
  <si>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</si>
  <si>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</si>
  <si>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</si>
  <si>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</si>
  <si>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</si>
  <si>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</si>
  <si>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</si>
  <si>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</si>
  <si>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</si>
  <si>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</si>
  <si>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</si>
  <si>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</si>
  <si>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</si>
  <si>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</si>
  <si>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</si>
  <si>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</si>
  <si>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</si>
  <si>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</si>
  <si>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</si>
  <si>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</si>
  <si>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</si>
  <si>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</si>
  <si>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</si>
  <si>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</si>
  <si>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</si>
  <si>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</si>
  <si>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</si>
  <si>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</si>
  <si>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</si>
  <si>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</si>
  <si>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</si>
  <si>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</si>
  <si>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</si>
  <si>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</si>
  <si>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</si>
  <si>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</si>
  <si>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</si>
  <si>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</si>
  <si>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</si>
  <si>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</si>
  <si>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</si>
  <si>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</si>
  <si>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</si>
  <si>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</si>
  <si>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</si>
  <si>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</si>
  <si>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</si>
  <si>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</si>
  <si>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</si>
  <si>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</si>
  <si>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</si>
  <si>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</si>
  <si>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</si>
  <si>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</si>
  <si>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</si>
  <si>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</si>
  <si>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</si>
  <si>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</si>
  <si>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</si>
  <si>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</si>
  <si>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</si>
  <si>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</si>
  <si>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</si>
  <si>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</si>
  <si>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</si>
  <si>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</si>
  <si>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</si>
  <si>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</si>
  <si>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</si>
  <si>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</si>
  <si>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</si>
  <si>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</si>
  <si>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</si>
  <si>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</si>
  <si>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</si>
  <si>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</si>
  <si>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</si>
  <si>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</si>
  <si>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</si>
  <si>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</si>
  <si>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</si>
  <si>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</si>
  <si>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</si>
  <si>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</si>
  <si>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</si>
  <si>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</si>
  <si>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</si>
  <si>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</si>
  <si>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</si>
  <si>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</si>
  <si>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</si>
  <si>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</si>
  <si>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</si>
  <si>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</si>
  <si>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</si>
  <si>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</si>
  <si>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</si>
  <si>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</si>
  <si>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</si>
  <si>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</si>
  <si>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</si>
  <si>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</si>
  <si>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</si>
  <si>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</si>
  <si>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</si>
  <si>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</si>
  <si>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</si>
  <si>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</si>
  <si>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</si>
  <si>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</si>
  <si>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</si>
  <si>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AF_02/2016_PA</t>
  </si>
  <si>
    <t>EXECUÇÃO DE RESERVATÓRIO ELEVADO DE ÁGUA (2000 LITROS) EM CANTEIRO DE OBRA, APOIADO EM ESTRUTURA DE MADEIRA. AF_02/2016_PA</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</si>
  <si>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</si>
  <si>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</si>
  <si>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</si>
  <si>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</si>
  <si>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</si>
  <si>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</si>
  <si>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</si>
  <si>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</si>
  <si>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</si>
  <si>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</si>
  <si>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</si>
  <si>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</si>
  <si>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</si>
  <si>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</si>
  <si>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</si>
  <si>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</si>
  <si>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</si>
  <si>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</si>
  <si>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</si>
  <si>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</si>
  <si>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</si>
  <si>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</si>
  <si>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</si>
  <si>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AF_05/2018_PS</t>
  </si>
  <si>
    <t>ESTRUTURA DE MADEIRA PROVISÓRIA PARA SUPORTE DE CAIXA D ÁGUA ELEVADA DE 3000 LITROS. AF_05/2018_PS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</si>
  <si>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</si>
  <si>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</si>
  <si>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</si>
  <si>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</si>
  <si>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</si>
  <si>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</si>
  <si>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</si>
  <si>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</si>
  <si>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</si>
  <si>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</si>
  <si>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</si>
  <si>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</si>
  <si>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</si>
  <si>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</si>
  <si>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</si>
  <si>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</si>
  <si>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</si>
  <si>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</si>
  <si>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</si>
  <si>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</si>
  <si>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</si>
  <si>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</si>
  <si>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</si>
  <si>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</si>
  <si>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</si>
  <si>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</si>
  <si>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</si>
  <si>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</si>
  <si>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</si>
  <si>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</si>
  <si>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</si>
  <si>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</si>
  <si>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</si>
  <si>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</si>
  <si>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</si>
  <si>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</si>
  <si>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</si>
  <si>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</si>
  <si>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</si>
  <si>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</si>
  <si>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</si>
  <si>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</si>
  <si>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</si>
  <si>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</si>
  <si>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</si>
  <si>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</si>
  <si>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</si>
  <si>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</si>
  <si>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</si>
  <si>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</si>
  <si>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</si>
  <si>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</si>
  <si>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</si>
  <si>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</si>
  <si>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</si>
  <si>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</si>
  <si>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</si>
  <si>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</si>
  <si>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</si>
  <si>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</si>
  <si>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</si>
  <si>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</si>
  <si>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</si>
  <si>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</si>
  <si>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</si>
  <si>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</si>
  <si>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</si>
  <si>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</si>
  <si>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</si>
  <si>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</si>
  <si>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</si>
  <si>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</si>
  <si>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</si>
  <si>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</si>
  <si>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</si>
  <si>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</si>
  <si>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</si>
  <si>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</si>
  <si>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</si>
  <si>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</si>
  <si>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</si>
  <si>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</si>
  <si>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</si>
  <si>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</si>
  <si>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</si>
  <si>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</si>
  <si>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</si>
  <si>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</si>
  <si>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</si>
  <si>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</si>
  <si>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</si>
  <si>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</si>
  <si>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</si>
  <si>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</si>
  <si>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</si>
  <si>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</si>
  <si>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</si>
  <si>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</si>
  <si>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</si>
  <si>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</si>
  <si>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</si>
  <si>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</si>
  <si>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</si>
  <si>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</si>
  <si>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</si>
  <si>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</si>
  <si>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</si>
  <si>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</si>
  <si>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</si>
  <si>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</si>
  <si>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</si>
  <si>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</si>
  <si>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</si>
  <si>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</si>
  <si>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</si>
  <si>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</si>
  <si>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</si>
  <si>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</si>
  <si>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</si>
  <si>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</si>
  <si>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</si>
  <si>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</si>
  <si>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</si>
  <si>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78 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</si>
  <si>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</si>
  <si>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</si>
  <si>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</si>
  <si>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</si>
  <si>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</si>
  <si>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</si>
  <si>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</si>
  <si>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</si>
  <si>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</si>
  <si>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</si>
  <si>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</si>
  <si>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</si>
  <si>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</si>
  <si>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</si>
  <si>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</si>
  <si>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</si>
  <si>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</si>
  <si>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</si>
  <si>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</si>
  <si>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</si>
  <si>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</si>
  <si>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</si>
  <si>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</si>
  <si>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</si>
  <si>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</si>
  <si>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</si>
  <si>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</si>
  <si>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</si>
  <si>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</si>
  <si>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</si>
  <si>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</si>
  <si>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</si>
  <si>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</si>
  <si>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</si>
  <si>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</si>
  <si>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</si>
  <si>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</si>
  <si>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</si>
  <si>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</si>
  <si>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</si>
  <si>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</si>
  <si>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</si>
  <si>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</si>
  <si>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</si>
  <si>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</si>
  <si>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</si>
  <si>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</si>
  <si>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</si>
  <si>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</si>
  <si>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</si>
  <si>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</si>
  <si>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</si>
  <si>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</si>
  <si>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</si>
  <si>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</si>
  <si>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</si>
  <si>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</si>
  <si>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</si>
  <si>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</si>
  <si>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</si>
  <si>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</si>
  <si>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</si>
  <si>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</si>
  <si>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</si>
  <si>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</si>
  <si>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</si>
  <si>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</si>
  <si>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</si>
  <si>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</si>
  <si>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</si>
  <si>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</si>
  <si>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</si>
  <si>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</si>
  <si>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</si>
  <si>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</si>
  <si>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</si>
  <si>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</si>
  <si>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</si>
  <si>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</si>
  <si>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</si>
  <si>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</si>
  <si>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</si>
  <si>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</si>
  <si>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</si>
  <si>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</si>
  <si>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</si>
  <si>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</si>
  <si>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</si>
  <si>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</si>
  <si>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</si>
  <si>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</si>
  <si>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</si>
  <si>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</si>
  <si>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</si>
  <si>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</si>
  <si>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</si>
  <si>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</si>
  <si>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</si>
  <si>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</si>
  <si>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</si>
  <si>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</si>
  <si>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</si>
  <si>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</si>
  <si>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</si>
  <si>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</si>
  <si>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</si>
  <si>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</si>
  <si>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</si>
  <si>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</si>
  <si>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</si>
  <si>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</si>
  <si>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</si>
  <si>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</si>
  <si>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</si>
  <si>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</si>
  <si>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</si>
  <si>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</si>
  <si>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</si>
  <si>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</si>
  <si>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</si>
  <si>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</si>
  <si>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</si>
  <si>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</si>
  <si>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</si>
  <si>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</si>
  <si>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</si>
  <si>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</si>
  <si>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</si>
  <si>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</si>
  <si>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</si>
  <si>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</si>
  <si>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</si>
  <si>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</si>
  <si>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</si>
  <si>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</si>
  <si>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</si>
  <si>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</si>
  <si>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</si>
  <si>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</si>
  <si>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</si>
  <si>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</si>
  <si>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</si>
  <si>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</si>
  <si>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</si>
  <si>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78 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</si>
  <si>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</si>
  <si>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</si>
  <si>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</si>
  <si>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</si>
  <si>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</si>
  <si>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</si>
  <si>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</si>
  <si>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</si>
  <si>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</si>
  <si>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</si>
  <si>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</si>
  <si>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</si>
  <si>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</si>
  <si>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</si>
  <si>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</si>
  <si>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</si>
  <si>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</si>
  <si>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</si>
  <si>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</si>
  <si>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</si>
  <si>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</si>
  <si>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</si>
  <si>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</si>
  <si>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</si>
  <si>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</si>
  <si>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</si>
  <si>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</si>
  <si>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</si>
  <si>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</si>
  <si>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</si>
  <si>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</si>
  <si>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</si>
  <si>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</si>
  <si>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</si>
  <si>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</si>
  <si>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</si>
  <si>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</si>
  <si>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</si>
  <si>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</si>
  <si>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</si>
  <si>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</si>
  <si>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</si>
  <si>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</si>
  <si>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</si>
  <si>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</si>
  <si>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</si>
  <si>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</si>
  <si>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</si>
  <si>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</si>
  <si>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</si>
  <si>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</si>
  <si>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</si>
  <si>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</si>
  <si>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</si>
  <si>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</si>
  <si>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</si>
  <si>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</si>
  <si>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</si>
  <si>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</si>
  <si>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</si>
  <si>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</si>
  <si>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</si>
  <si>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</si>
  <si>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</si>
  <si>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</si>
  <si>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</si>
  <si>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</si>
  <si>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</si>
  <si>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</si>
  <si>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</si>
  <si>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</si>
  <si>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</si>
  <si>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</si>
  <si>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</si>
  <si>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</si>
  <si>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</si>
  <si>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</si>
  <si>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</si>
  <si>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</si>
  <si>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</si>
  <si>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</si>
  <si>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</si>
  <si>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</si>
  <si>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</si>
  <si>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</si>
  <si>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</si>
  <si>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</si>
  <si>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</si>
  <si>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</si>
  <si>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</si>
  <si>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</si>
  <si>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</si>
  <si>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</si>
  <si>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</si>
  <si>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</si>
  <si>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</si>
  <si>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</si>
  <si>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</si>
  <si>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</si>
  <si>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</si>
  <si>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</si>
  <si>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</si>
  <si>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</si>
  <si>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</si>
  <si>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</si>
  <si>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</si>
  <si>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</si>
  <si>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</si>
  <si>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</si>
  <si>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</si>
  <si>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</si>
  <si>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</si>
  <si>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</si>
  <si>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</si>
  <si>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</si>
  <si>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</si>
  <si>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</si>
  <si>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</si>
  <si>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</si>
  <si>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</si>
  <si>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</si>
  <si>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</si>
  <si>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</si>
  <si>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</si>
  <si>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</si>
  <si>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</si>
  <si>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</si>
  <si>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</si>
  <si>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</si>
  <si>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</si>
  <si>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</si>
  <si>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</si>
  <si>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</si>
  <si>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</si>
  <si>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</si>
  <si>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</si>
  <si>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</si>
  <si>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</si>
  <si>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</si>
  <si>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</si>
  <si>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</si>
  <si>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</si>
  <si>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</si>
  <si>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</si>
  <si>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</si>
  <si>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</si>
  <si>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</si>
  <si>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</si>
  <si>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</si>
  <si>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</si>
  <si>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</si>
  <si>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</si>
  <si>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</si>
  <si>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</si>
  <si>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</si>
  <si>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</si>
  <si>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</si>
  <si>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</si>
  <si>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</si>
  <si>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</si>
  <si>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</si>
  <si>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</si>
  <si>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</si>
  <si>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</si>
  <si>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</si>
  <si>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</si>
  <si>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</si>
  <si>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</si>
  <si>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</si>
  <si>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</si>
  <si>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</si>
  <si>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</si>
  <si>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</si>
  <si>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</si>
  <si>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</si>
  <si>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</si>
  <si>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</si>
  <si>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</si>
  <si>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</si>
  <si>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</si>
  <si>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</si>
  <si>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</si>
  <si>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</si>
  <si>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</si>
  <si>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</si>
  <si>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</si>
  <si>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</si>
  <si>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</si>
  <si>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</si>
  <si>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</si>
  <si>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</si>
  <si>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</si>
  <si>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</si>
  <si>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</si>
  <si>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</si>
  <si>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</si>
  <si>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</si>
  <si>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</si>
  <si>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</si>
  <si>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</si>
  <si>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</si>
  <si>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</si>
  <si>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</si>
  <si>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</si>
  <si>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</si>
  <si>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</si>
  <si>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</si>
  <si>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</si>
  <si>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</si>
  <si>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</si>
  <si>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</si>
  <si>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</si>
  <si>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</si>
  <si>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</si>
  <si>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</si>
  <si>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</si>
  <si>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</si>
  <si>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</si>
  <si>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</si>
  <si>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</si>
  <si>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</si>
  <si>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</si>
  <si>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</si>
  <si>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</si>
  <si>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</si>
  <si>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</si>
  <si>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</si>
  <si>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</si>
  <si>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</si>
  <si>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</si>
  <si>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</si>
  <si>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</si>
  <si>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</si>
  <si>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</si>
  <si>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</si>
  <si>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</si>
  <si>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</si>
  <si>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</si>
  <si>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</si>
  <si>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</si>
  <si>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</si>
  <si>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</si>
  <si>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</si>
  <si>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</si>
  <si>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</si>
  <si>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</si>
  <si>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</si>
  <si>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</si>
  <si>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</si>
  <si>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</si>
  <si>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</si>
  <si>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</si>
  <si>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</si>
  <si>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</si>
  <si>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</si>
  <si>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</si>
  <si>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</si>
  <si>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</si>
  <si>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</si>
  <si>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</si>
  <si>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</si>
  <si>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</si>
  <si>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</si>
  <si>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</si>
  <si>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</si>
  <si>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</si>
  <si>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</si>
  <si>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</si>
  <si>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</si>
  <si>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</si>
  <si>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</si>
  <si>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</si>
  <si>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</si>
  <si>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</si>
  <si>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</si>
  <si>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</si>
  <si>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</si>
  <si>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</si>
  <si>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</si>
  <si>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</si>
  <si>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</si>
  <si>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</si>
  <si>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</si>
  <si>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</si>
  <si>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</si>
  <si>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</si>
  <si>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</si>
  <si>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</si>
  <si>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</si>
  <si>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</si>
  <si>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</si>
  <si>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</si>
  <si>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</si>
  <si>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</si>
  <si>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</si>
  <si>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</si>
  <si>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</si>
  <si>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</si>
  <si>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</si>
  <si>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</si>
  <si>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</si>
  <si>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</si>
  <si>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</si>
  <si>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</si>
  <si>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</si>
  <si>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</si>
  <si>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</si>
  <si>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</si>
  <si>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</si>
  <si>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</si>
  <si>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</si>
  <si>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</si>
  <si>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</si>
  <si>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</si>
  <si>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</si>
  <si>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</si>
  <si>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</si>
  <si>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</si>
  <si>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</si>
  <si>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</si>
  <si>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</si>
  <si>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</si>
  <si>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</si>
  <si>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</si>
  <si>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</si>
  <si>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</si>
  <si>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</si>
  <si>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</si>
  <si>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</si>
  <si>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</si>
  <si>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</si>
  <si>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</si>
  <si>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</si>
  <si>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</si>
  <si>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</si>
  <si>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</si>
  <si>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</si>
  <si>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</si>
  <si>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</si>
  <si>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</si>
  <si>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</si>
  <si>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</si>
  <si>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</si>
  <si>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</si>
  <si>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</si>
  <si>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</si>
  <si>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</si>
  <si>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</si>
  <si>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</si>
  <si>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</si>
  <si>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</si>
  <si>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</si>
  <si>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</si>
  <si>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</si>
  <si>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</si>
  <si>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</si>
  <si>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</si>
  <si>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</si>
  <si>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</si>
  <si>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</si>
  <si>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</si>
  <si>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</si>
  <si>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</si>
  <si>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</si>
  <si>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</si>
  <si>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</si>
  <si>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</si>
  <si>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</si>
  <si>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</si>
  <si>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</si>
  <si>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</si>
  <si>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</si>
  <si>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</si>
  <si>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</si>
  <si>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</si>
  <si>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</si>
  <si>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</si>
  <si>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</si>
  <si>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</si>
  <si>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</si>
  <si>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</si>
  <si>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</si>
  <si>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</si>
  <si>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</si>
  <si>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</si>
  <si>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</si>
  <si>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</si>
  <si>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</si>
  <si>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</si>
  <si>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</si>
  <si>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</si>
  <si>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</si>
  <si>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</si>
  <si>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</si>
  <si>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</si>
  <si>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</si>
  <si>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</si>
  <si>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</si>
  <si>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</si>
  <si>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</si>
  <si>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</si>
  <si>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</si>
  <si>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</si>
  <si>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</si>
  <si>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</si>
  <si>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</si>
  <si>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</si>
  <si>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</si>
  <si>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</si>
  <si>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</si>
  <si>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</si>
  <si>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</si>
  <si>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</si>
  <si>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</si>
  <si>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</si>
  <si>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</si>
  <si>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</si>
  <si>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</si>
  <si>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</si>
  <si>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</si>
  <si>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</si>
  <si>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</si>
  <si>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</si>
  <si>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</si>
  <si>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</si>
  <si>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</si>
  <si>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</si>
  <si>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</si>
  <si>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</si>
  <si>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</si>
  <si>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</si>
  <si>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</si>
  <si>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</si>
  <si>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</si>
  <si>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</si>
  <si>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</si>
  <si>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</si>
  <si>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</si>
  <si>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</si>
  <si>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</si>
  <si>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</si>
  <si>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</si>
  <si>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</si>
  <si>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</si>
  <si>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</si>
  <si>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</si>
  <si>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</si>
  <si>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</si>
  <si>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</si>
  <si>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</si>
  <si>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</si>
  <si>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</si>
  <si>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</si>
  <si>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</si>
  <si>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</si>
  <si>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</si>
  <si>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</si>
  <si>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</si>
  <si>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</si>
  <si>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</si>
  <si>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</si>
  <si>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</si>
  <si>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</si>
  <si>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</si>
  <si>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</si>
  <si>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</si>
  <si>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</si>
  <si>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</si>
  <si>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</si>
  <si>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</si>
  <si>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</si>
  <si>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</si>
  <si>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</si>
  <si>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</si>
  <si>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</si>
  <si>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</si>
  <si>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</si>
  <si>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</si>
  <si>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</si>
  <si>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</si>
  <si>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</si>
  <si>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</si>
  <si>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</si>
  <si>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</si>
  <si>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</si>
  <si>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</si>
  <si>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</si>
  <si>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</si>
  <si>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</si>
  <si>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</si>
  <si>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</si>
  <si>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</si>
  <si>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</si>
  <si>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</si>
  <si>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</si>
  <si>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</si>
  <si>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</si>
  <si>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</si>
  <si>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</si>
  <si>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</si>
  <si>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</si>
  <si>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</si>
  <si>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</si>
  <si>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</si>
  <si>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</si>
  <si>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</si>
  <si>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</si>
  <si>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</si>
  <si>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</si>
  <si>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</si>
  <si>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</si>
  <si>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</si>
  <si>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</si>
  <si>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</si>
  <si>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</si>
  <si>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</si>
  <si>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</si>
  <si>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</si>
  <si>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</si>
  <si>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</si>
  <si>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</si>
  <si>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</si>
  <si>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</si>
  <si>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</si>
  <si>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</si>
  <si>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</si>
  <si>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78 KG, 4 PÁS, MOTOR A GASOLINA, POTÊNCIA 5,5 HP - DEPRECIAÇÃO. AF_09/2016</t>
  </si>
  <si>
    <t>DESEMPENADEIRA DE CONCRETO, PESO DE 78 KG, 4 PÁS, MOTOR A GASOLINA, POTÊNCIA 5,5 HP - JUROS. AF_09/2016</t>
  </si>
  <si>
    <t>DESEMPENADEIRA DE CONCRETO, PESO DE 78 KG, 4 PÁS, MOTOR A GASOLINA, POTÊNCIA 5,5 HP - MANUTENÇÃO. AF_09/2016</t>
  </si>
  <si>
    <t>DESEMPENADEIRA DE CONCRETO, PESO DE 78 KG, 4 PÁS, MOTOR A GASOLINA, POTÊNCIA 5,5 HP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</si>
  <si>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</si>
  <si>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</si>
  <si>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</si>
  <si>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</si>
  <si>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</si>
  <si>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</si>
  <si>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</si>
  <si>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</si>
  <si>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</si>
  <si>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</si>
  <si>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</si>
  <si>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</si>
  <si>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</si>
  <si>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</si>
  <si>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</si>
  <si>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</si>
  <si>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</si>
  <si>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</si>
  <si>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</si>
  <si>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</si>
  <si>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</si>
  <si>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</si>
  <si>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</si>
  <si>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</si>
  <si>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</si>
  <si>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</si>
  <si>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</si>
  <si>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</si>
  <si>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</si>
  <si>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</si>
  <si>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</si>
  <si>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</si>
  <si>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</si>
  <si>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</si>
  <si>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</si>
  <si>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</si>
  <si>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</si>
  <si>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</si>
  <si>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</si>
  <si>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</si>
  <si>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</si>
  <si>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</si>
  <si>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</si>
  <si>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</si>
  <si>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</si>
  <si>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</si>
  <si>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</si>
  <si>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</si>
  <si>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</si>
  <si>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</si>
  <si>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</si>
  <si>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</si>
  <si>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</si>
  <si>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</si>
  <si>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</si>
  <si>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</si>
  <si>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</si>
  <si>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</si>
  <si>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</si>
  <si>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</si>
  <si>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</si>
  <si>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</si>
  <si>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</si>
  <si>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</si>
  <si>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</si>
  <si>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</si>
  <si>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</si>
  <si>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</si>
  <si>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</si>
  <si>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</si>
  <si>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</si>
  <si>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</si>
  <si>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</si>
  <si>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</si>
  <si>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</si>
  <si>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</si>
  <si>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</si>
  <si>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</si>
  <si>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</si>
  <si>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</si>
  <si>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</si>
  <si>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</si>
  <si>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</si>
  <si>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</si>
  <si>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</si>
  <si>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</si>
  <si>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</si>
  <si>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</si>
  <si>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</si>
  <si>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</si>
  <si>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</si>
  <si>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</si>
  <si>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</si>
  <si>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</si>
  <si>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</si>
  <si>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</si>
  <si>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</si>
  <si>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</si>
  <si>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</si>
  <si>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</si>
  <si>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</si>
  <si>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</si>
  <si>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</si>
  <si>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</si>
  <si>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</si>
  <si>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</si>
  <si>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</si>
  <si>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</si>
  <si>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</si>
  <si>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</si>
  <si>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</si>
  <si>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</si>
  <si>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</si>
  <si>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</si>
  <si>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</si>
  <si>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</si>
  <si>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</si>
  <si>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INCLUSIVE CAMINHÃO TOCO PBT 9.700 KG, POTÊNCIA DE 160 CV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</si>
  <si>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</si>
  <si>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</si>
  <si>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</si>
  <si>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</si>
  <si>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</si>
  <si>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</si>
  <si>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</si>
  <si>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</si>
  <si>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</si>
  <si>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</si>
  <si>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</si>
  <si>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</si>
  <si>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</si>
  <si>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</si>
  <si>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</si>
  <si>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</si>
  <si>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</si>
  <si>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</si>
  <si>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</si>
  <si>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</si>
  <si>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</si>
  <si>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</si>
  <si>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</si>
  <si>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</si>
  <si>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</si>
  <si>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</si>
  <si>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</si>
  <si>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</si>
  <si>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</si>
  <si>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</si>
  <si>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</si>
  <si>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</si>
  <si>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</si>
  <si>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</si>
  <si>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</si>
  <si>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</si>
  <si>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</si>
  <si>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</si>
  <si>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</si>
  <si>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</si>
  <si>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</si>
  <si>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</si>
  <si>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</si>
  <si>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</si>
  <si>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</si>
  <si>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</si>
  <si>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</si>
  <si>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</si>
  <si>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</si>
  <si>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</si>
  <si>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</si>
  <si>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</si>
  <si>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</si>
  <si>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</si>
  <si>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</si>
  <si>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</si>
  <si>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</si>
  <si>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</si>
  <si>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</si>
  <si>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</si>
  <si>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</si>
  <si>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</si>
  <si>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</si>
  <si>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</si>
  <si>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</si>
  <si>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</si>
  <si>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</si>
  <si>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</si>
  <si>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</si>
  <si>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</si>
  <si>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</si>
  <si>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</si>
  <si>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</si>
  <si>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</si>
  <si>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</si>
  <si>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</si>
  <si>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</si>
  <si>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</si>
  <si>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</si>
  <si>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</si>
  <si>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</si>
  <si>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</si>
  <si>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</si>
  <si>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</si>
  <si>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</si>
  <si>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</si>
  <si>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</si>
  <si>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</si>
  <si>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</si>
  <si>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</si>
  <si>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</si>
  <si>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</si>
  <si>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</si>
  <si>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</si>
  <si>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</si>
  <si>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</si>
  <si>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</si>
  <si>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</si>
  <si>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</si>
  <si>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</si>
  <si>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</si>
  <si>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</si>
  <si>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</si>
  <si>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</si>
  <si>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</si>
  <si>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</si>
  <si>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</si>
  <si>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</si>
  <si>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</si>
  <si>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</si>
  <si>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</si>
  <si>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</si>
  <si>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</si>
  <si>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</si>
  <si>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</si>
  <si>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</si>
  <si>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</si>
  <si>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</si>
  <si>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</si>
  <si>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</si>
  <si>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</si>
  <si>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</si>
  <si>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</si>
  <si>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</si>
  <si>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</si>
  <si>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</si>
  <si>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</si>
  <si>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</si>
  <si>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</si>
  <si>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</si>
  <si>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</si>
  <si>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</si>
  <si>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</si>
  <si>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</si>
  <si>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</si>
  <si>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</si>
  <si>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</si>
  <si>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</si>
  <si>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</si>
  <si>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</si>
  <si>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</si>
  <si>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</si>
  <si>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</si>
  <si>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</si>
  <si>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</si>
  <si>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</si>
  <si>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</si>
  <si>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</si>
  <si>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</si>
  <si>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</si>
  <si>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</si>
  <si>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</si>
  <si>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</si>
  <si>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</si>
  <si>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</si>
  <si>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</si>
  <si>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</si>
  <si>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</si>
  <si>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</si>
  <si>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</si>
  <si>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</si>
  <si>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</si>
  <si>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</si>
  <si>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</si>
  <si>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</si>
  <si>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ENCAIXE, TIPO FRANCESA DE VIDRO, COM ATÉ 2 ÁGUAS, INCLUSO TRANSPORTE VERTICAL.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</si>
  <si>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</si>
  <si>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</si>
  <si>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</si>
  <si>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</si>
  <si>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</si>
  <si>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</si>
  <si>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</si>
  <si>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</si>
  <si>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</si>
  <si>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</si>
  <si>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</si>
  <si>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</si>
  <si>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</si>
  <si>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</si>
  <si>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</si>
  <si>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</si>
  <si>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</si>
  <si>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</si>
  <si>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</si>
  <si>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</si>
  <si>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</si>
  <si>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</si>
  <si>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</si>
  <si>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</si>
  <si>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</si>
  <si>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</si>
  <si>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</si>
  <si>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</si>
  <si>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</si>
  <si>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</si>
  <si>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</si>
  <si>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</si>
  <si>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</si>
  <si>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</si>
  <si>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</si>
  <si>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</si>
  <si>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</si>
  <si>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</si>
  <si>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</si>
  <si>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</si>
  <si>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</si>
  <si>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</si>
  <si>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</si>
  <si>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</si>
  <si>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</si>
  <si>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</si>
  <si>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</si>
  <si>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</si>
  <si>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</si>
  <si>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</si>
  <si>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</si>
  <si>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</si>
  <si>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</si>
  <si>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</si>
  <si>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</si>
  <si>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</si>
  <si>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</si>
  <si>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</si>
  <si>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</si>
  <si>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</si>
  <si>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</si>
  <si>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</si>
  <si>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</si>
  <si>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</si>
  <si>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</si>
  <si>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</si>
  <si>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</si>
  <si>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</si>
  <si>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</si>
  <si>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</si>
  <si>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</si>
  <si>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</si>
  <si>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</si>
  <si>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</si>
  <si>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</si>
  <si>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</si>
  <si>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</si>
  <si>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</si>
  <si>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</si>
  <si>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</si>
  <si>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</si>
  <si>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</si>
  <si>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</si>
  <si>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</si>
  <si>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</si>
  <si>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</si>
  <si>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</si>
  <si>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</si>
  <si>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</si>
  <si>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</si>
  <si>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</si>
  <si>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</si>
  <si>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</si>
  <si>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</si>
  <si>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</si>
  <si>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</si>
  <si>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</si>
  <si>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</si>
  <si>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</si>
  <si>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</si>
  <si>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</si>
  <si>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</si>
  <si>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</si>
  <si>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</si>
  <si>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</si>
  <si>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</si>
  <si>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</si>
  <si>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</si>
  <si>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</si>
  <si>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</si>
  <si>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</si>
  <si>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</si>
  <si>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</si>
  <si>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</si>
  <si>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</si>
  <si>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</si>
  <si>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</si>
  <si>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</si>
  <si>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</si>
  <si>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</si>
  <si>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</si>
  <si>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</si>
  <si>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</si>
  <si>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</si>
  <si>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</si>
  <si>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</si>
  <si>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</si>
  <si>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</si>
  <si>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</si>
  <si>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</si>
  <si>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</si>
  <si>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</si>
  <si>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</si>
  <si>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</si>
  <si>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</si>
  <si>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</si>
  <si>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</si>
  <si>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</si>
  <si>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</si>
  <si>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</si>
  <si>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</si>
  <si>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</si>
  <si>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</si>
  <si>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</si>
  <si>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</si>
  <si>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</si>
  <si>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</si>
  <si>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</si>
  <si>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</si>
  <si>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</si>
  <si>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</si>
  <si>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</si>
  <si>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</si>
  <si>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</si>
  <si>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</si>
  <si>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</si>
  <si>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</si>
  <si>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</si>
  <si>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</si>
  <si>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</si>
  <si>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</si>
  <si>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</si>
  <si>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</si>
  <si>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</si>
  <si>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</si>
  <si>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</si>
  <si>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</si>
  <si>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</si>
  <si>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</si>
  <si>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</si>
  <si>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</si>
  <si>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</si>
  <si>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</si>
  <si>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</si>
  <si>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</si>
  <si>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</si>
  <si>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</si>
  <si>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</si>
  <si>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</si>
  <si>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</si>
  <si>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</si>
  <si>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</si>
  <si>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</si>
  <si>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</si>
  <si>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</si>
  <si>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</si>
  <si>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</si>
  <si>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</si>
  <si>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</si>
  <si>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</si>
  <si>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</si>
  <si>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</si>
  <si>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</si>
  <si>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</si>
  <si>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</si>
  <si>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</si>
  <si>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</si>
  <si>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</si>
  <si>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</si>
  <si>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</si>
  <si>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</si>
  <si>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</si>
  <si>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</si>
  <si>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</si>
  <si>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</si>
  <si>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</si>
  <si>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</si>
  <si>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</si>
  <si>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</si>
  <si>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</si>
  <si>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</si>
  <si>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</si>
  <si>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</si>
  <si>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</si>
  <si>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</si>
  <si>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</si>
  <si>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</si>
  <si>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</si>
  <si>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</si>
  <si>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</si>
  <si>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</si>
  <si>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</si>
  <si>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</si>
  <si>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</si>
  <si>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</si>
  <si>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</si>
  <si>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</si>
  <si>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</si>
  <si>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</si>
  <si>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</si>
  <si>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</si>
  <si>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</si>
  <si>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</si>
  <si>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</si>
  <si>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</si>
  <si>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</si>
  <si>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</si>
  <si>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</si>
  <si>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</si>
  <si>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</si>
  <si>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</si>
  <si>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</si>
  <si>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</si>
  <si>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</si>
  <si>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</si>
  <si>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</si>
  <si>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</si>
  <si>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</si>
  <si>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</si>
  <si>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</si>
  <si>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</si>
  <si>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</si>
  <si>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</si>
  <si>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</si>
  <si>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</si>
  <si>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</si>
  <si>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</si>
  <si>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</si>
  <si>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</si>
  <si>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</si>
  <si>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</si>
  <si>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</si>
  <si>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</si>
  <si>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</si>
  <si>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</si>
  <si>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</si>
  <si>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</si>
  <si>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</si>
  <si>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</si>
  <si>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</si>
  <si>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</si>
  <si>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</si>
  <si>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</si>
  <si>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</si>
  <si>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</si>
  <si>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</si>
  <si>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</si>
  <si>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</si>
  <si>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</si>
  <si>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</si>
  <si>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</si>
  <si>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</si>
  <si>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</si>
  <si>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</si>
  <si>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</si>
  <si>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</si>
  <si>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</si>
  <si>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</si>
  <si>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</si>
  <si>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</si>
  <si>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</si>
  <si>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</si>
  <si>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</si>
  <si>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</si>
  <si>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</si>
  <si>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</si>
  <si>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</si>
  <si>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</si>
  <si>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</si>
  <si>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</si>
  <si>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</si>
  <si>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</si>
  <si>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</si>
  <si>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</si>
  <si>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</si>
  <si>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</si>
  <si>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</si>
  <si>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</si>
  <si>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</si>
  <si>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</si>
  <si>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</si>
  <si>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</si>
  <si>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</si>
  <si>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</si>
  <si>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</si>
  <si>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</si>
  <si>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</si>
  <si>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</si>
  <si>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</si>
  <si>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</si>
  <si>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</si>
  <si>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</si>
  <si>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</si>
  <si>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</si>
  <si>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</si>
  <si>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</si>
  <si>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</si>
  <si>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</si>
  <si>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</si>
  <si>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</si>
  <si>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</si>
  <si>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</si>
  <si>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</si>
  <si>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</si>
  <si>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</si>
  <si>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</si>
  <si>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</si>
  <si>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</si>
  <si>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</si>
  <si>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</si>
  <si>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30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</si>
  <si>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</si>
  <si>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</si>
  <si>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</si>
  <si>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</si>
  <si>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</si>
  <si>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</si>
  <si>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</si>
  <si>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</si>
  <si>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</si>
  <si>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</si>
  <si>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</si>
  <si>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</si>
  <si>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</si>
  <si>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</si>
  <si>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</si>
  <si>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</si>
  <si>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</si>
  <si>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</si>
  <si>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</si>
  <si>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</si>
  <si>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</si>
  <si>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</si>
  <si>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</si>
  <si>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</si>
  <si>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</si>
  <si>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</si>
  <si>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</si>
  <si>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</si>
  <si>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</si>
  <si>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</si>
  <si>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</si>
  <si>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</si>
  <si>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</si>
  <si>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</si>
  <si>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</si>
  <si>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</si>
  <si>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</si>
  <si>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</si>
  <si>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</si>
  <si>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</si>
  <si>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</si>
  <si>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</si>
  <si>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</si>
  <si>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</si>
  <si>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</si>
  <si>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</si>
  <si>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</si>
  <si>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</si>
  <si>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</si>
  <si>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</si>
  <si>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</si>
  <si>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</si>
  <si>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</si>
  <si>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</si>
  <si>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</si>
  <si>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</si>
  <si>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</si>
  <si>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</si>
  <si>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</si>
  <si>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</si>
  <si>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</si>
  <si>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</si>
  <si>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</si>
  <si>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</si>
  <si>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</si>
  <si>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</si>
  <si>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</si>
  <si>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</si>
  <si>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</si>
  <si>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</si>
  <si>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</si>
  <si>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</si>
  <si>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</si>
  <si>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</si>
  <si>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</si>
  <si>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</si>
  <si>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</si>
  <si>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</si>
  <si>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</si>
  <si>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</si>
  <si>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</si>
  <si>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</si>
  <si>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</si>
  <si>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</si>
  <si>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</si>
  <si>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</si>
  <si>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</si>
  <si>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</si>
  <si>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</si>
  <si>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</si>
  <si>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</si>
  <si>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</si>
  <si>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</si>
  <si>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</si>
  <si>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</si>
  <si>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</si>
  <si>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</si>
  <si>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</si>
  <si>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</si>
  <si>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</si>
  <si>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</si>
  <si>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</si>
  <si>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</si>
  <si>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</si>
  <si>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</si>
  <si>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</si>
  <si>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</si>
  <si>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</si>
  <si>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</si>
  <si>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</si>
  <si>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</si>
  <si>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</si>
  <si>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</si>
  <si>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</si>
  <si>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</si>
  <si>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</si>
  <si>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</si>
  <si>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</si>
  <si>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</si>
  <si>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</si>
  <si>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</si>
  <si>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</si>
  <si>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</si>
  <si>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</si>
  <si>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</si>
  <si>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</si>
  <si>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</si>
  <si>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</si>
  <si>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</si>
  <si>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</si>
  <si>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</si>
  <si>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</si>
  <si>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</si>
  <si>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</si>
  <si>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</si>
  <si>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</si>
  <si>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</si>
  <si>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</si>
  <si>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</si>
  <si>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</si>
  <si>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</si>
  <si>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</si>
  <si>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</si>
  <si>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</si>
  <si>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</si>
  <si>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</si>
  <si>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</si>
  <si>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</si>
  <si>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</si>
  <si>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</si>
  <si>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</si>
  <si>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</si>
  <si>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</si>
  <si>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</si>
  <si>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</si>
  <si>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</si>
  <si>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</si>
  <si>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</si>
  <si>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</si>
  <si>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</si>
  <si>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</si>
  <si>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</si>
  <si>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</si>
  <si>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</si>
  <si>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</si>
  <si>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</si>
  <si>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</si>
  <si>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</si>
  <si>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</si>
  <si>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</si>
  <si>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</si>
  <si>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</si>
  <si>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</si>
  <si>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</si>
  <si>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</si>
  <si>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</si>
  <si>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</si>
  <si>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</si>
  <si>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</si>
  <si>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</si>
  <si>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</si>
  <si>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</si>
  <si>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</si>
  <si>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</si>
  <si>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</si>
  <si>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</si>
  <si>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</si>
  <si>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</si>
  <si>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</si>
  <si>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</si>
  <si>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</si>
  <si>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</si>
  <si>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</si>
  <si>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</si>
  <si>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</si>
  <si>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</si>
  <si>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</si>
  <si>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</si>
  <si>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</si>
  <si>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</si>
  <si>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</si>
  <si>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</si>
  <si>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</si>
  <si>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</si>
  <si>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</si>
  <si>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</si>
  <si>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</si>
  <si>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</si>
  <si>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</si>
  <si>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</si>
  <si>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</si>
  <si>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</si>
  <si>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</si>
  <si>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</si>
  <si>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</si>
  <si>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</si>
  <si>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</si>
  <si>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</si>
  <si>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</si>
  <si>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</si>
  <si>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</si>
  <si>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</si>
  <si>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</si>
  <si>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</si>
  <si>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</si>
  <si>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</si>
  <si>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</si>
  <si>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</si>
  <si>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</si>
  <si>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</si>
  <si>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</si>
  <si>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</si>
  <si>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</si>
  <si>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</si>
  <si>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</si>
  <si>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</si>
  <si>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</si>
  <si>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</si>
  <si>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</si>
  <si>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</si>
  <si>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</si>
  <si>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</si>
  <si>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</si>
  <si>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</si>
  <si>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</si>
  <si>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</si>
  <si>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</si>
  <si>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</si>
  <si>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</si>
  <si>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</si>
  <si>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</si>
  <si>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</si>
  <si>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</si>
  <si>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</si>
  <si>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</si>
  <si>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</si>
  <si>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</si>
  <si>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</si>
  <si>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</si>
  <si>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</si>
  <si>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</si>
  <si>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</si>
  <si>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</si>
  <si>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</si>
  <si>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</si>
  <si>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</si>
  <si>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</si>
  <si>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</si>
  <si>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</si>
  <si>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</si>
  <si>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</si>
  <si>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</si>
  <si>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</si>
  <si>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</si>
  <si>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</si>
  <si>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</si>
  <si>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</si>
  <si>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</si>
  <si>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</si>
  <si>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</si>
  <si>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</si>
  <si>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</si>
  <si>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</si>
  <si>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</si>
  <si>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</si>
  <si>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</si>
  <si>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</si>
  <si>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</si>
  <si>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</si>
  <si>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</si>
  <si>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</si>
  <si>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</si>
  <si>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</si>
  <si>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</si>
  <si>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</si>
  <si>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</si>
  <si>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</si>
  <si>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</si>
  <si>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</si>
  <si>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</si>
  <si>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</si>
  <si>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</si>
  <si>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</si>
  <si>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</si>
  <si>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</si>
  <si>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</si>
  <si>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</si>
  <si>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</si>
  <si>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</si>
  <si>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</si>
  <si>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</si>
  <si>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</si>
  <si>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</si>
  <si>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</si>
  <si>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</si>
  <si>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</si>
  <si>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</si>
  <si>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</si>
  <si>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</si>
  <si>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</si>
  <si>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</si>
  <si>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</si>
  <si>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</si>
  <si>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</si>
  <si>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</si>
  <si>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</si>
  <si>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</si>
  <si>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</si>
  <si>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</si>
  <si>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</si>
  <si>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</si>
  <si>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</si>
  <si>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</si>
  <si>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</si>
  <si>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</si>
  <si>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</si>
  <si>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</si>
  <si>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</si>
  <si>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</si>
  <si>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</si>
  <si>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</si>
  <si>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</si>
  <si>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</si>
  <si>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</si>
  <si>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</si>
  <si>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</si>
  <si>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</si>
  <si>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</si>
  <si>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</si>
  <si>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</si>
  <si>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</si>
  <si>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</si>
  <si>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</si>
  <si>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</si>
  <si>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</si>
  <si>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</si>
  <si>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</si>
  <si>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</si>
  <si>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</si>
  <si>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</si>
  <si>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</si>
  <si>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</si>
  <si>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</si>
  <si>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</si>
  <si>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</si>
  <si>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</si>
  <si>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</si>
  <si>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</si>
  <si>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</si>
  <si>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</si>
  <si>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</si>
  <si>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</si>
  <si>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</si>
  <si>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</si>
  <si>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</si>
  <si>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</si>
  <si>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</si>
  <si>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</si>
  <si>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</si>
  <si>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</si>
  <si>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</si>
  <si>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</si>
  <si>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</si>
  <si>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</si>
  <si>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</si>
  <si>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</si>
  <si>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</si>
  <si>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</si>
  <si>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</si>
  <si>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</si>
  <si>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</si>
  <si>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</si>
  <si>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</si>
  <si>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</si>
  <si>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</si>
  <si>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</si>
  <si>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</si>
  <si>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</si>
  <si>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</si>
  <si>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</si>
  <si>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</si>
  <si>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</si>
  <si>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</si>
  <si>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</si>
  <si>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</si>
  <si>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</si>
  <si>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</si>
  <si>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</si>
  <si>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</si>
  <si>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</si>
  <si>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</si>
  <si>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</si>
  <si>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</si>
  <si>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</si>
  <si>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</si>
  <si>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</si>
  <si>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</si>
  <si>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</si>
  <si>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</si>
  <si>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</si>
  <si>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</si>
  <si>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</si>
  <si>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</si>
  <si>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</si>
  <si>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</si>
  <si>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</si>
  <si>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</si>
  <si>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</si>
  <si>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</si>
  <si>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</si>
  <si>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</si>
  <si>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</si>
  <si>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</si>
  <si>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</si>
  <si>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</si>
  <si>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</si>
  <si>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</si>
  <si>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</si>
  <si>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</si>
  <si>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</si>
  <si>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</si>
  <si>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</si>
  <si>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</si>
  <si>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</si>
  <si>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</si>
  <si>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</si>
  <si>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</si>
  <si>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</si>
  <si>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</si>
  <si>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</si>
  <si>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</si>
  <si>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</si>
  <si>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</si>
  <si>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</si>
  <si>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</si>
  <si>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</si>
  <si>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</si>
  <si>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</si>
  <si>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</si>
  <si>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</si>
  <si>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</si>
  <si>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</si>
  <si>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</si>
  <si>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</si>
  <si>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</si>
  <si>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</si>
  <si>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</si>
  <si>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</si>
  <si>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</si>
  <si>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</si>
  <si>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</si>
  <si>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</si>
  <si>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</si>
  <si>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</si>
  <si>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</si>
  <si>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</si>
  <si>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</si>
  <si>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</si>
  <si>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</si>
  <si>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</si>
  <si>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</si>
  <si>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</si>
  <si>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</si>
  <si>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</si>
  <si>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</si>
  <si>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</si>
  <si>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</si>
  <si>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</si>
  <si>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</si>
  <si>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</si>
  <si>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</si>
  <si>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</si>
  <si>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</si>
  <si>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</si>
  <si>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</si>
  <si>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</si>
  <si>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</si>
  <si>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</si>
  <si>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</si>
  <si>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</si>
  <si>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</si>
  <si>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</si>
  <si>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</si>
  <si>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</si>
  <si>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</si>
  <si>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</si>
  <si>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</si>
  <si>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</si>
  <si>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</si>
  <si>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</si>
  <si>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</si>
  <si>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</si>
  <si>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</si>
  <si>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</si>
  <si>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</si>
  <si>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</si>
  <si>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</si>
  <si>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</si>
  <si>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</si>
  <si>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</si>
  <si>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</si>
  <si>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</si>
  <si>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</si>
  <si>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</si>
  <si>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</si>
  <si>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</si>
  <si>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</si>
  <si>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</si>
  <si>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</si>
  <si>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</si>
  <si>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</si>
  <si>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</si>
  <si>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</si>
  <si>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</si>
  <si>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</si>
  <si>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</si>
  <si>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</si>
  <si>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</si>
  <si>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</si>
  <si>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</si>
  <si>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</si>
  <si>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</si>
  <si>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</si>
  <si>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</si>
  <si>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</si>
  <si>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</si>
  <si>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</si>
  <si>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</si>
  <si>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</si>
  <si>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</si>
  <si>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</si>
  <si>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</si>
  <si>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</si>
  <si>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</si>
  <si>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</si>
  <si>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</si>
  <si>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</si>
  <si>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</si>
  <si>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</si>
  <si>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</si>
  <si>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</si>
  <si>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</si>
  <si>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</si>
  <si>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</si>
  <si>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</si>
  <si>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</si>
  <si>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</si>
  <si>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</si>
  <si>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</si>
  <si>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</si>
  <si>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</si>
  <si>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</si>
  <si>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</si>
  <si>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</si>
  <si>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</si>
  <si>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</si>
  <si>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</si>
  <si>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</si>
  <si>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</si>
  <si>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</si>
  <si>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</si>
  <si>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</si>
  <si>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</si>
  <si>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</si>
  <si>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</si>
  <si>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</si>
  <si>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</si>
  <si>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</si>
  <si>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</si>
  <si>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</si>
  <si>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</si>
  <si>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</si>
  <si>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</si>
  <si>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</si>
  <si>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</si>
  <si>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</si>
  <si>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</si>
  <si>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</si>
  <si>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</si>
  <si>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</si>
  <si>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</si>
  <si>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</si>
  <si>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</si>
  <si>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</si>
  <si>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</si>
  <si>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</si>
  <si>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</si>
  <si>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</si>
  <si>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</si>
  <si>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</si>
  <si>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</si>
  <si>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</si>
  <si>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</si>
  <si>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</si>
  <si>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</si>
  <si>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</si>
  <si>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</si>
  <si>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</si>
  <si>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</si>
  <si>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</si>
  <si>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</si>
  <si>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</si>
  <si>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</si>
  <si>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</si>
  <si>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</si>
  <si>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</si>
  <si>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</si>
  <si>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</si>
  <si>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</si>
  <si>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</si>
  <si>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</si>
  <si>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</si>
  <si>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</si>
  <si>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</si>
  <si>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</si>
  <si>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</si>
  <si>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</si>
  <si>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</si>
  <si>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</si>
  <si>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</si>
  <si>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</si>
  <si>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</si>
  <si>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</si>
  <si>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</si>
  <si>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</si>
  <si>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</si>
  <si>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</si>
  <si>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</si>
  <si>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</si>
  <si>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</si>
  <si>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</si>
  <si>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</si>
  <si>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</si>
  <si>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</si>
  <si>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</si>
  <si>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</si>
  <si>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</si>
  <si>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</si>
  <si>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</si>
  <si>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</si>
  <si>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</si>
  <si>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</si>
  <si>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</si>
  <si>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</si>
  <si>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</si>
  <si>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</si>
  <si>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</si>
  <si>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</si>
  <si>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</si>
  <si>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</si>
  <si>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</si>
  <si>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</si>
  <si>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</si>
  <si>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</si>
  <si>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</si>
  <si>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</si>
  <si>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</si>
  <si>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</si>
  <si>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</si>
  <si>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</si>
  <si>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</si>
  <si>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</si>
  <si>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</si>
  <si>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</si>
  <si>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</si>
  <si>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</si>
  <si>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</si>
  <si>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</si>
  <si>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AF_09/2021_PE</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</si>
  <si>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</si>
  <si>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</si>
  <si>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</si>
  <si>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</si>
  <si>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</si>
  <si>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</si>
  <si>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</si>
  <si>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</si>
  <si>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</si>
  <si>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</si>
  <si>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</si>
  <si>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</si>
  <si>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</si>
  <si>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</si>
  <si>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</si>
  <si>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</si>
  <si>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</si>
  <si>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</si>
  <si>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</si>
  <si>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</si>
  <si>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</si>
  <si>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</si>
  <si>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</si>
  <si>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</si>
  <si>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</si>
  <si>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</si>
  <si>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</si>
  <si>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</si>
  <si>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</si>
  <si>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</si>
  <si>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</si>
  <si>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</si>
  <si>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</si>
  <si>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</si>
  <si>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</si>
  <si>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</si>
  <si>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</si>
  <si>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</si>
  <si>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</si>
  <si>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</si>
  <si>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</si>
  <si>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</si>
  <si>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</si>
  <si>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</si>
  <si>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</si>
  <si>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</si>
  <si>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</si>
  <si>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</si>
  <si>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</si>
  <si>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</si>
  <si>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</si>
  <si>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</si>
  <si>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</si>
  <si>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</si>
  <si>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</si>
  <si>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</si>
  <si>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</si>
  <si>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</si>
  <si>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</si>
  <si>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</si>
  <si>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</si>
  <si>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</si>
  <si>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</si>
  <si>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</si>
  <si>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</si>
  <si>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</si>
  <si>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</si>
  <si>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</si>
  <si>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</si>
  <si>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</si>
  <si>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</si>
  <si>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</si>
  <si>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</si>
  <si>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</si>
  <si>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</si>
  <si>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</si>
  <si>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</si>
  <si>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</si>
  <si>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</si>
  <si>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</si>
  <si>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</si>
  <si>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</si>
  <si>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</si>
  <si>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</si>
  <si>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</si>
  <si>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</si>
  <si>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</si>
  <si>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</si>
  <si>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</si>
  <si>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</si>
  <si>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</si>
  <si>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</si>
  <si>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</si>
  <si>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</si>
  <si>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</si>
  <si>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</si>
  <si>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</si>
  <si>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</si>
  <si>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</si>
  <si>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</si>
  <si>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</si>
  <si>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</si>
  <si>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</si>
  <si>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</si>
  <si>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</si>
  <si>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</si>
  <si>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</si>
  <si>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</si>
  <si>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</si>
  <si>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</si>
  <si>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</si>
  <si>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</si>
  <si>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</si>
  <si>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</si>
  <si>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</si>
  <si>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</si>
  <si>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</si>
  <si>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</si>
  <si>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</si>
  <si>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</si>
  <si>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</si>
  <si>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</si>
  <si>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</si>
  <si>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</si>
  <si>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</si>
  <si>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</si>
  <si>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</si>
  <si>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</si>
  <si>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</si>
  <si>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</si>
  <si>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</si>
  <si>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</si>
  <si>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</si>
  <si>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</si>
  <si>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</si>
  <si>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</si>
  <si>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</si>
  <si>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</si>
  <si>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</si>
  <si>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</si>
  <si>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</si>
  <si>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</si>
  <si>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</si>
  <si>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</si>
  <si>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</si>
  <si>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</si>
  <si>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AF_01/2018_PS</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</si>
  <si>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</si>
  <si>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</si>
  <si>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</si>
  <si>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</si>
  <si>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</si>
  <si>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</si>
  <si>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</si>
  <si>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</si>
  <si>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</si>
  <si>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</si>
  <si>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</si>
  <si>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</si>
  <si>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</si>
  <si>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</si>
  <si>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</si>
  <si>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</si>
  <si>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</si>
  <si>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</si>
  <si>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</si>
  <si>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</si>
  <si>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</si>
  <si>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</si>
  <si>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</si>
  <si>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</si>
  <si>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</si>
  <si>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</si>
  <si>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</si>
  <si>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</si>
  <si>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</si>
  <si>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</si>
  <si>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</si>
  <si>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</si>
  <si>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</si>
  <si>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</si>
  <si>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</si>
  <si>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</si>
  <si>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</si>
  <si>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</si>
  <si>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</si>
  <si>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</si>
  <si>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</si>
  <si>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</si>
  <si>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</si>
  <si>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</si>
  <si>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</si>
  <si>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</si>
  <si>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</si>
  <si>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</si>
  <si>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</si>
  <si>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</si>
  <si>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</si>
  <si>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</si>
  <si>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</si>
  <si>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</si>
  <si>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</si>
  <si>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</si>
  <si>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</si>
  <si>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</si>
  <si>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</si>
  <si>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</si>
  <si>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</si>
  <si>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</si>
  <si>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</si>
  <si>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</si>
  <si>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</si>
  <si>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</si>
  <si>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</si>
  <si>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</si>
  <si>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</si>
  <si>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</si>
  <si>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</si>
  <si>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</si>
  <si>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</si>
  <si>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</si>
  <si>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</si>
  <si>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</si>
  <si>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</si>
  <si>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</si>
  <si>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</si>
  <si>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</si>
  <si>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</si>
  <si>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</si>
  <si>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</si>
  <si>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</si>
  <si>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</si>
  <si>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</si>
  <si>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</si>
  <si>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</si>
  <si>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</si>
  <si>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</si>
  <si>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</si>
  <si>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</si>
  <si>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</si>
  <si>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</si>
  <si>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</si>
  <si>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</si>
  <si>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</si>
  <si>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</si>
  <si>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</si>
  <si>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</si>
  <si>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</si>
  <si>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</si>
  <si>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</si>
  <si>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</si>
  <si>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</si>
  <si>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</si>
  <si>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</si>
  <si>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</si>
  <si>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</si>
  <si>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</si>
  <si>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</si>
  <si>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</si>
  <si>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</si>
  <si>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</si>
  <si>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</si>
  <si>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</si>
  <si>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</si>
  <si>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</si>
  <si>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</si>
  <si>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</si>
  <si>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</si>
  <si>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</si>
  <si>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</si>
  <si>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</si>
  <si>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</si>
  <si>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</si>
  <si>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</si>
  <si>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</si>
  <si>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</si>
  <si>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</si>
  <si>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</si>
  <si>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</si>
  <si>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</si>
  <si>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</si>
  <si>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</si>
  <si>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</si>
  <si>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</si>
  <si>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</si>
  <si>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</si>
  <si>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</si>
  <si>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</si>
  <si>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</si>
  <si>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</si>
  <si>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</si>
  <si>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</si>
  <si>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</si>
  <si>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</si>
  <si>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</si>
  <si>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</si>
  <si>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</si>
  <si>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</si>
  <si>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</si>
  <si>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</si>
  <si>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</si>
  <si>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</si>
  <si>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</si>
  <si>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</si>
  <si>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</si>
  <si>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</si>
  <si>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</si>
  <si>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</si>
  <si>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</si>
  <si>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</si>
  <si>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</si>
  <si>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</si>
  <si>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</si>
  <si>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</si>
  <si>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</si>
  <si>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</si>
  <si>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</si>
  <si>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</si>
  <si>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</si>
  <si>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</si>
  <si>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</si>
  <si>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</si>
  <si>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</si>
  <si>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</si>
  <si>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</si>
  <si>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</si>
  <si>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</si>
  <si>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</si>
  <si>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</si>
  <si>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</si>
  <si>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</si>
  <si>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</si>
  <si>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</si>
  <si>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</si>
  <si>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</si>
  <si>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</si>
  <si>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</si>
  <si>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</si>
  <si>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</si>
  <si>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</si>
  <si>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</si>
  <si>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CONDULETE DE PVC, TIPO E, PARA ELETRODUTO DE PVC SOLDÁVEL DN 20 MM (1/2''), APARENTE - FORNECIMENTO E INSTALAÇÃO. AF_10/2022</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</si>
  <si>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</si>
  <si>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</si>
  <si>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</si>
  <si>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</si>
  <si>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</si>
  <si>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</si>
  <si>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</si>
  <si>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</si>
  <si>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</si>
  <si>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</si>
  <si>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</si>
  <si>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</si>
  <si>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</si>
  <si>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</si>
  <si>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</si>
  <si>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</si>
  <si>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</si>
  <si>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</si>
  <si>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</si>
  <si>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</si>
  <si>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</si>
  <si>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</si>
  <si>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</si>
  <si>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</si>
  <si>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</si>
  <si>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</si>
  <si>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</si>
  <si>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</si>
  <si>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</si>
  <si>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</si>
  <si>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</si>
  <si>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</si>
  <si>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</si>
  <si>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</si>
  <si>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</si>
  <si>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</si>
  <si>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</si>
  <si>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</si>
  <si>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</si>
  <si>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</si>
  <si>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</si>
  <si>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</si>
  <si>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</si>
  <si>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</si>
  <si>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</si>
  <si>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</si>
  <si>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</si>
  <si>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</si>
  <si>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</si>
  <si>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</si>
  <si>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</si>
  <si>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</si>
  <si>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</si>
  <si>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</si>
  <si>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</si>
  <si>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</si>
  <si>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</si>
  <si>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</si>
  <si>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</si>
  <si>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</si>
  <si>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</si>
  <si>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</si>
  <si>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</si>
  <si>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</si>
  <si>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</si>
  <si>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</si>
  <si>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</si>
  <si>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</si>
  <si>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</si>
  <si>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</si>
  <si>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</si>
  <si>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</si>
  <si>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</si>
  <si>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</si>
  <si>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</si>
  <si>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</si>
  <si>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</si>
  <si>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</si>
  <si>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</si>
  <si>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</si>
  <si>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</si>
  <si>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</si>
  <si>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</si>
  <si>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</si>
  <si>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</si>
  <si>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</si>
  <si>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</si>
  <si>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</si>
  <si>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</si>
  <si>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</si>
  <si>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</si>
  <si>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</si>
  <si>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</si>
  <si>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</si>
  <si>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</si>
  <si>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</si>
  <si>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</si>
  <si>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</si>
  <si>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</si>
  <si>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</si>
  <si>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</si>
  <si>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</si>
  <si>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</si>
  <si>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</si>
  <si>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</si>
  <si>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</si>
  <si>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</si>
  <si>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</si>
  <si>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</si>
  <si>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</si>
  <si>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</si>
  <si>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</si>
  <si>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</si>
  <si>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</si>
  <si>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</si>
  <si>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</si>
  <si>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</si>
  <si>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</si>
  <si>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</si>
  <si>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</si>
  <si>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</si>
  <si>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</si>
  <si>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</si>
  <si>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</si>
  <si>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</si>
  <si>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</si>
  <si>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</si>
  <si>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</si>
  <si>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</si>
  <si>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</si>
  <si>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</si>
  <si>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</si>
  <si>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</si>
  <si>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</si>
  <si>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</si>
  <si>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</si>
  <si>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</si>
  <si>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</si>
  <si>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</si>
  <si>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</si>
  <si>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</si>
  <si>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</si>
  <si>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</si>
  <si>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</si>
  <si>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</si>
  <si>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</si>
  <si>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</si>
  <si>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</si>
  <si>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</si>
  <si>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</si>
  <si>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</si>
  <si>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</si>
  <si>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</si>
  <si>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</si>
  <si>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</si>
  <si>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</si>
  <si>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</si>
  <si>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</si>
  <si>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</si>
  <si>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</si>
  <si>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</si>
  <si>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</si>
  <si>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</si>
  <si>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</si>
  <si>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</si>
  <si>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</si>
  <si>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</si>
  <si>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</si>
  <si>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</si>
  <si>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</si>
  <si>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</si>
  <si>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</si>
  <si>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</si>
  <si>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</si>
  <si>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</si>
  <si>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</si>
  <si>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</si>
  <si>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</si>
  <si>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</si>
  <si>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</si>
  <si>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</si>
  <si>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</si>
  <si>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</si>
  <si>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</si>
  <si>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</si>
  <si>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</si>
  <si>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</si>
  <si>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</si>
  <si>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</si>
  <si>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</si>
  <si>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</si>
  <si>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</si>
  <si>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</si>
  <si>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</si>
  <si>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</si>
  <si>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</si>
  <si>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</si>
  <si>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</si>
  <si>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</si>
  <si>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</si>
  <si>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</si>
  <si>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</si>
  <si>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</si>
  <si>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</si>
  <si>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</si>
  <si>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</si>
  <si>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</si>
  <si>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</si>
  <si>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</si>
  <si>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</si>
  <si>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</si>
  <si>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</si>
  <si>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</si>
  <si>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</si>
  <si>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</si>
  <si>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</si>
  <si>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</si>
  <si>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</si>
  <si>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</si>
  <si>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</si>
  <si>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</si>
  <si>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</si>
  <si>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</si>
  <si>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</si>
  <si>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</si>
  <si>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</si>
  <si>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</si>
  <si>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</si>
  <si>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</si>
  <si>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</si>
  <si>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</si>
  <si>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</si>
  <si>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</si>
  <si>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</si>
  <si>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</si>
  <si>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</si>
  <si>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</si>
  <si>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</si>
  <si>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</si>
  <si>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</si>
  <si>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</si>
  <si>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</si>
  <si>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</si>
  <si>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</si>
  <si>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</si>
  <si>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</si>
  <si>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</si>
  <si>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</si>
  <si>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</si>
  <si>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</si>
  <si>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</si>
  <si>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</si>
  <si>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</si>
  <si>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</si>
  <si>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</si>
  <si>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</si>
  <si>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</si>
  <si>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</si>
  <si>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</si>
  <si>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</si>
  <si>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</si>
  <si>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</si>
  <si>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</si>
  <si>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</si>
  <si>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</si>
  <si>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</si>
  <si>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</si>
  <si>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</si>
  <si>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</si>
  <si>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</si>
  <si>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</si>
  <si>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</si>
  <si>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</si>
  <si>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</si>
  <si>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</si>
  <si>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</si>
  <si>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</si>
  <si>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</si>
  <si>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</si>
  <si>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</si>
  <si>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</si>
  <si>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</si>
  <si>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</si>
  <si>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</si>
  <si>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</si>
  <si>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</si>
  <si>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</si>
  <si>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</si>
  <si>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</si>
  <si>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</si>
  <si>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</si>
  <si>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</si>
  <si>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</si>
  <si>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</si>
  <si>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</si>
  <si>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</si>
  <si>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</si>
  <si>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</si>
  <si>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</si>
  <si>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</si>
  <si>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</si>
  <si>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</si>
  <si>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</si>
  <si>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</si>
  <si>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</si>
  <si>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</si>
  <si>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</si>
  <si>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</si>
  <si>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</si>
  <si>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</si>
  <si>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</si>
  <si>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</si>
  <si>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</si>
  <si>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</si>
  <si>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</si>
  <si>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</si>
  <si>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</si>
  <si>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</si>
  <si>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</si>
  <si>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</si>
  <si>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</si>
  <si>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</si>
  <si>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</si>
  <si>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</si>
  <si>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</si>
  <si>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</si>
  <si>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</si>
  <si>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</si>
  <si>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</si>
  <si>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</si>
  <si>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</si>
  <si>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</si>
  <si>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</si>
  <si>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</si>
  <si>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</si>
  <si>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</si>
  <si>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</si>
  <si>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</si>
  <si>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</si>
  <si>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</si>
  <si>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</si>
  <si>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</si>
  <si>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</si>
  <si>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</si>
  <si>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</si>
  <si>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</si>
  <si>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</si>
  <si>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</si>
  <si>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</si>
  <si>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</si>
  <si>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</si>
  <si>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</si>
  <si>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</si>
  <si>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</si>
  <si>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</si>
  <si>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</si>
  <si>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</si>
  <si>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</si>
  <si>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</si>
  <si>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</si>
  <si>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</si>
  <si>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</si>
  <si>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</si>
  <si>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</si>
  <si>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</si>
  <si>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</si>
  <si>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</si>
  <si>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</si>
  <si>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</si>
  <si>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</si>
  <si>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</si>
  <si>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</si>
  <si>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</si>
  <si>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</si>
  <si>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</si>
  <si>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</si>
  <si>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</si>
  <si>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</si>
  <si>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</si>
  <si>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</si>
  <si>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</si>
  <si>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</si>
  <si>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</si>
  <si>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</si>
  <si>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</si>
  <si>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</si>
  <si>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</si>
  <si>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</si>
  <si>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</si>
  <si>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</si>
  <si>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</si>
  <si>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</si>
  <si>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</si>
  <si>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</si>
  <si>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</si>
  <si>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</si>
  <si>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</si>
  <si>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</si>
  <si>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</si>
  <si>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</si>
  <si>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</si>
  <si>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</si>
  <si>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</si>
  <si>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</si>
  <si>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</si>
  <si>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</si>
  <si>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</si>
  <si>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</si>
  <si>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</si>
  <si>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</si>
  <si>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</si>
  <si>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</si>
  <si>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</si>
  <si>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</si>
  <si>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</si>
  <si>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</si>
  <si>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</si>
  <si>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</si>
  <si>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</si>
  <si>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</si>
  <si>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</si>
  <si>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</si>
  <si>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</si>
  <si>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</si>
  <si>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</si>
  <si>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</si>
  <si>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</si>
  <si>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</si>
  <si>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</si>
  <si>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</si>
  <si>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</si>
  <si>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</si>
  <si>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</si>
  <si>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</si>
  <si>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</si>
  <si>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</si>
  <si>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</si>
  <si>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</si>
  <si>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</si>
  <si>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</si>
  <si>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</si>
  <si>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</si>
  <si>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</si>
  <si>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</si>
  <si>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</si>
  <si>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</si>
  <si>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</si>
  <si>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</si>
  <si>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</si>
  <si>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</si>
  <si>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</si>
  <si>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</si>
  <si>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</si>
  <si>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</si>
  <si>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</si>
  <si>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</si>
  <si>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</si>
  <si>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</si>
  <si>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</si>
  <si>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</si>
  <si>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</si>
  <si>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</si>
  <si>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</si>
  <si>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</si>
  <si>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</si>
  <si>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</si>
  <si>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</si>
  <si>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</si>
  <si>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</si>
  <si>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</si>
  <si>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</si>
  <si>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</si>
  <si>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</si>
  <si>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</si>
  <si>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</si>
  <si>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</si>
  <si>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</si>
  <si>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</si>
  <si>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</si>
  <si>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</si>
  <si>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</si>
  <si>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</si>
  <si>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</si>
  <si>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</si>
  <si>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</si>
  <si>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</si>
  <si>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</si>
  <si>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</si>
  <si>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</si>
  <si>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</si>
  <si>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</si>
  <si>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</si>
  <si>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</si>
  <si>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</si>
  <si>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</si>
  <si>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</si>
  <si>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</si>
  <si>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</si>
  <si>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</si>
  <si>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</si>
  <si>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</si>
  <si>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</si>
  <si>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</si>
  <si>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</si>
  <si>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</si>
  <si>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</si>
  <si>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</si>
  <si>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</si>
  <si>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</si>
  <si>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</si>
  <si>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</si>
  <si>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</si>
  <si>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</si>
  <si>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</si>
  <si>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</si>
  <si>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</si>
  <si>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</si>
  <si>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</si>
  <si>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</si>
  <si>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</si>
  <si>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</si>
  <si>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</si>
  <si>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</si>
  <si>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</si>
  <si>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</si>
  <si>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</si>
  <si>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</si>
  <si>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</si>
  <si>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</si>
  <si>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</si>
  <si>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</si>
  <si>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</si>
  <si>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</si>
  <si>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</si>
  <si>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</si>
  <si>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</si>
  <si>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</si>
  <si>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</si>
  <si>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</si>
  <si>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</si>
  <si>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</si>
  <si>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</si>
  <si>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</si>
  <si>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</si>
  <si>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</si>
  <si>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</si>
  <si>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</si>
  <si>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</si>
  <si>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</si>
  <si>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</si>
  <si>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</si>
  <si>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</si>
  <si>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</si>
  <si>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</si>
  <si>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</si>
  <si>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</si>
  <si>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</si>
  <si>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</si>
  <si>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</si>
  <si>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</si>
  <si>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</si>
  <si>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</si>
  <si>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</si>
  <si>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</si>
  <si>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</si>
  <si>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</si>
  <si>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</si>
  <si>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</si>
  <si>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</si>
  <si>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</si>
  <si>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</si>
  <si>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</si>
  <si>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</si>
  <si>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</si>
  <si>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</si>
  <si>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</si>
  <si>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</si>
  <si>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</si>
  <si>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</si>
  <si>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</si>
  <si>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</si>
  <si>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</si>
  <si>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</si>
  <si>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</si>
  <si>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</si>
  <si>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</si>
  <si>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</si>
  <si>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</si>
  <si>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</si>
  <si>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</si>
  <si>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</si>
  <si>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</si>
  <si>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</si>
  <si>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</si>
  <si>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</si>
  <si>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</si>
  <si>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</si>
  <si>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</si>
  <si>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</si>
  <si>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</si>
  <si>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</si>
  <si>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</si>
  <si>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</si>
  <si>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</si>
  <si>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</si>
  <si>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</si>
  <si>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</si>
  <si>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</si>
  <si>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</si>
  <si>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</si>
  <si>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</si>
  <si>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</si>
  <si>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</si>
  <si>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</si>
  <si>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</si>
  <si>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</si>
  <si>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</si>
  <si>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</si>
  <si>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</si>
  <si>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</si>
  <si>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</si>
  <si>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</si>
  <si>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</si>
  <si>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</si>
  <si>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</si>
  <si>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</si>
  <si>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</si>
  <si>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</si>
  <si>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</si>
  <si>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</si>
  <si>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</si>
  <si>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</si>
  <si>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</si>
  <si>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</si>
  <si>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</si>
  <si>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</si>
  <si>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</si>
  <si>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</si>
  <si>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</si>
  <si>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</si>
  <si>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</si>
  <si>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</si>
  <si>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</si>
  <si>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</si>
  <si>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</si>
  <si>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</si>
  <si>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</si>
  <si>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</si>
  <si>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</si>
  <si>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</si>
  <si>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</si>
  <si>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</si>
  <si>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</si>
  <si>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</si>
  <si>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</si>
  <si>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</si>
  <si>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</si>
  <si>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</si>
  <si>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</si>
  <si>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</si>
  <si>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</si>
  <si>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</si>
  <si>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</si>
  <si>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</si>
  <si>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</si>
  <si>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</si>
  <si>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</si>
  <si>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</si>
  <si>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</si>
  <si>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</si>
  <si>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</si>
  <si>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</si>
  <si>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</si>
  <si>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</si>
  <si>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</si>
  <si>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</si>
  <si>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</si>
  <si>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</si>
  <si>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</si>
  <si>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</si>
  <si>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</si>
  <si>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</si>
  <si>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</si>
  <si>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</si>
  <si>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</si>
  <si>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</si>
  <si>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</si>
  <si>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</si>
  <si>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</si>
  <si>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</si>
  <si>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</si>
  <si>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</si>
  <si>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</si>
  <si>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</si>
  <si>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</si>
  <si>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</si>
  <si>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</si>
  <si>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</si>
  <si>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</si>
  <si>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</si>
  <si>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</si>
  <si>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</si>
  <si>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</si>
  <si>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</si>
  <si>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</si>
  <si>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</si>
  <si>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</si>
  <si>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</si>
  <si>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</si>
  <si>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</si>
  <si>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</si>
  <si>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</si>
  <si>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</si>
  <si>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</si>
  <si>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</si>
  <si>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</si>
  <si>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</si>
  <si>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</si>
  <si>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</si>
  <si>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</si>
  <si>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</si>
  <si>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</si>
  <si>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</si>
  <si>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</si>
  <si>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</si>
  <si>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</si>
  <si>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</si>
  <si>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</si>
  <si>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</si>
  <si>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</si>
  <si>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</si>
  <si>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</si>
  <si>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</si>
  <si>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CPVC, SOLDÁVEL, DN 114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</si>
  <si>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</si>
  <si>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</si>
  <si>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</si>
  <si>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</si>
  <si>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</si>
  <si>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</si>
  <si>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</si>
  <si>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</si>
  <si>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</si>
  <si>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</si>
  <si>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</si>
  <si>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</si>
  <si>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</si>
  <si>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</si>
  <si>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</si>
  <si>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</si>
  <si>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</si>
  <si>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</si>
  <si>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</si>
  <si>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</si>
  <si>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</si>
  <si>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</si>
  <si>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</si>
  <si>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</si>
  <si>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</si>
  <si>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</si>
  <si>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</si>
  <si>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</si>
  <si>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</si>
  <si>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</si>
  <si>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</si>
  <si>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</si>
  <si>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</si>
  <si>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</si>
  <si>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</si>
  <si>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</si>
  <si>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</si>
  <si>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</si>
  <si>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</si>
  <si>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</si>
  <si>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</si>
  <si>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</si>
  <si>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</si>
  <si>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</si>
  <si>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</si>
  <si>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</si>
  <si>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</si>
  <si>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</si>
  <si>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</si>
  <si>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</si>
  <si>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</si>
  <si>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</si>
  <si>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</si>
  <si>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</si>
  <si>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</si>
  <si>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</si>
  <si>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</si>
  <si>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</si>
  <si>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</si>
  <si>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</si>
  <si>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</si>
  <si>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</si>
  <si>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</si>
  <si>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</si>
  <si>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</si>
  <si>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</si>
  <si>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</si>
  <si>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</si>
  <si>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</si>
  <si>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</si>
  <si>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</si>
  <si>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</si>
  <si>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</si>
  <si>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</si>
  <si>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</si>
  <si>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</si>
  <si>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</si>
  <si>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</si>
  <si>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</si>
  <si>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</si>
  <si>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</si>
  <si>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</si>
  <si>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</si>
  <si>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</si>
  <si>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</si>
  <si>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</si>
  <si>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</si>
  <si>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</si>
  <si>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</si>
  <si>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</si>
  <si>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</si>
  <si>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</si>
  <si>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</si>
  <si>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</si>
  <si>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</si>
  <si>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</si>
  <si>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</si>
  <si>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</si>
  <si>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</si>
  <si>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</si>
  <si>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</si>
  <si>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</si>
  <si>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</si>
  <si>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</si>
  <si>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</si>
  <si>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</si>
  <si>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</si>
  <si>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</si>
  <si>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</si>
  <si>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</si>
  <si>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</si>
  <si>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</si>
  <si>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</si>
  <si>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</si>
  <si>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</si>
  <si>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</si>
  <si>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</si>
  <si>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</si>
  <si>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</si>
  <si>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</si>
  <si>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</si>
  <si>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</si>
  <si>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</si>
  <si>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</si>
  <si>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</si>
  <si>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</si>
  <si>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</si>
  <si>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</si>
  <si>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</si>
  <si>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</si>
  <si>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</si>
  <si>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</si>
  <si>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</si>
  <si>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</si>
  <si>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</si>
  <si>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</si>
  <si>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</si>
  <si>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</si>
  <si>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</si>
  <si>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</si>
  <si>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</si>
  <si>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</si>
  <si>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</si>
  <si>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</si>
  <si>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</si>
  <si>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</si>
  <si>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</si>
  <si>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</si>
  <si>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</si>
  <si>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</si>
  <si>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</si>
  <si>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</si>
  <si>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</si>
  <si>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</si>
  <si>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</si>
  <si>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</si>
  <si>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</si>
  <si>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</si>
  <si>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</si>
  <si>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</si>
  <si>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</si>
  <si>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</si>
  <si>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</si>
  <si>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</si>
  <si>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</si>
  <si>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</si>
  <si>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</si>
  <si>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</si>
  <si>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</si>
  <si>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</si>
  <si>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</si>
  <si>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</si>
  <si>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</si>
  <si>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</si>
  <si>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</si>
  <si>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</si>
  <si>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</si>
  <si>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</si>
  <si>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</si>
  <si>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</si>
  <si>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</si>
  <si>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</si>
  <si>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</si>
  <si>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</si>
  <si>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</si>
  <si>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</si>
  <si>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</si>
  <si>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</si>
  <si>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</si>
  <si>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</si>
  <si>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</si>
  <si>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</si>
  <si>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</si>
  <si>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</si>
  <si>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</si>
  <si>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</si>
  <si>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</si>
  <si>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</si>
  <si>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</si>
  <si>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</si>
  <si>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</si>
  <si>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</si>
  <si>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</si>
  <si>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</si>
  <si>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</si>
  <si>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</si>
  <si>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</si>
  <si>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</si>
  <si>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</si>
  <si>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</si>
  <si>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</si>
  <si>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</si>
  <si>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</si>
  <si>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</si>
  <si>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</si>
  <si>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</si>
  <si>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</si>
  <si>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</si>
  <si>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</si>
  <si>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</si>
  <si>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</si>
  <si>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</si>
  <si>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</si>
  <si>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</si>
  <si>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</si>
  <si>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</si>
  <si>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</si>
  <si>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</si>
  <si>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</si>
  <si>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</si>
  <si>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</si>
  <si>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</si>
  <si>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</si>
  <si>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</si>
  <si>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</si>
  <si>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</si>
  <si>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</si>
  <si>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</si>
  <si>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</si>
  <si>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</si>
  <si>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</si>
  <si>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</si>
  <si>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</si>
  <si>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</si>
  <si>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</si>
  <si>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</si>
  <si>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</si>
  <si>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</si>
  <si>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</si>
  <si>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</si>
  <si>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</si>
  <si>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</si>
  <si>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</si>
  <si>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</si>
  <si>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</si>
  <si>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</si>
  <si>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</si>
  <si>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</si>
  <si>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</si>
  <si>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</si>
  <si>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</si>
  <si>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</si>
  <si>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</si>
  <si>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</si>
  <si>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</si>
  <si>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</si>
  <si>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</si>
  <si>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</si>
  <si>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</si>
  <si>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</si>
  <si>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</si>
  <si>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</si>
  <si>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</si>
  <si>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</si>
  <si>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</si>
  <si>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</si>
  <si>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</si>
  <si>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</si>
  <si>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</si>
  <si>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</si>
  <si>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</si>
  <si>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</si>
  <si>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</si>
  <si>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</si>
  <si>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</si>
  <si>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</si>
  <si>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</si>
  <si>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</si>
  <si>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</si>
  <si>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</si>
  <si>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</si>
  <si>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</si>
  <si>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</si>
  <si>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</si>
  <si>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</si>
  <si>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</si>
  <si>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</si>
  <si>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</si>
  <si>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</si>
  <si>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</si>
  <si>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</si>
  <si>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</si>
  <si>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</si>
  <si>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</si>
  <si>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</si>
  <si>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</si>
  <si>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</si>
  <si>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</si>
  <si>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</si>
  <si>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</si>
  <si>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</si>
  <si>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</si>
  <si>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</si>
  <si>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</si>
  <si>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</si>
  <si>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</si>
  <si>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</si>
  <si>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</si>
  <si>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</si>
  <si>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</si>
  <si>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</si>
  <si>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</si>
  <si>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</si>
  <si>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</si>
  <si>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</si>
  <si>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</si>
  <si>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</si>
  <si>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</si>
  <si>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</si>
  <si>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</si>
  <si>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</si>
  <si>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</si>
  <si>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</si>
  <si>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</si>
  <si>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</si>
  <si>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</si>
  <si>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</si>
  <si>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</si>
  <si>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</si>
  <si>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</si>
  <si>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</si>
  <si>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</si>
  <si>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</si>
  <si>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</si>
  <si>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</si>
  <si>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</si>
  <si>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</si>
  <si>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</si>
  <si>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</si>
  <si>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</si>
  <si>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</si>
  <si>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</si>
  <si>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</si>
  <si>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</si>
  <si>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</si>
  <si>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</si>
  <si>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</si>
  <si>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</si>
  <si>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</si>
  <si>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</si>
  <si>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</si>
  <si>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</si>
  <si>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</si>
  <si>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</si>
  <si>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</si>
  <si>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</si>
  <si>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</si>
  <si>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</si>
  <si>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</si>
  <si>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</si>
  <si>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</si>
  <si>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</si>
  <si>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</si>
  <si>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</si>
  <si>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</si>
  <si>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</si>
  <si>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</si>
  <si>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</si>
  <si>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</si>
  <si>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</si>
  <si>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</si>
  <si>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</si>
  <si>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</si>
  <si>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</si>
  <si>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</si>
  <si>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</si>
  <si>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</si>
  <si>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</si>
  <si>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</si>
  <si>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</si>
  <si>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</si>
  <si>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</si>
  <si>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</si>
  <si>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</si>
  <si>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</si>
  <si>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</si>
  <si>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</si>
  <si>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</si>
  <si>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</si>
  <si>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</si>
  <si>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</si>
  <si>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</si>
  <si>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</si>
  <si>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</si>
  <si>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</si>
  <si>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</si>
  <si>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</si>
  <si>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</si>
  <si>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</si>
  <si>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</si>
  <si>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</si>
  <si>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</si>
  <si>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</si>
  <si>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</si>
  <si>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</si>
  <si>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</si>
  <si>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</si>
  <si>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</si>
  <si>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</si>
  <si>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</si>
  <si>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</si>
  <si>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</si>
  <si>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</si>
  <si>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</si>
  <si>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</si>
  <si>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</si>
  <si>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</si>
  <si>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</si>
  <si>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</si>
  <si>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</si>
  <si>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</si>
  <si>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</si>
  <si>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</si>
  <si>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</si>
  <si>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</si>
  <si>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</si>
  <si>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</si>
  <si>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</si>
  <si>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</si>
  <si>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</si>
  <si>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</si>
  <si>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</si>
  <si>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</si>
  <si>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</si>
  <si>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</si>
  <si>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</si>
  <si>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</si>
  <si>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</si>
  <si>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</si>
  <si>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</si>
  <si>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</si>
  <si>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</si>
  <si>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</si>
  <si>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</si>
  <si>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</si>
  <si>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</si>
  <si>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</si>
  <si>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</si>
  <si>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</si>
  <si>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</si>
  <si>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</si>
  <si>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</si>
  <si>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</si>
  <si>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</si>
  <si>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</si>
  <si>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</si>
  <si>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</si>
  <si>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</si>
  <si>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</si>
  <si>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</si>
  <si>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</si>
  <si>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</si>
  <si>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</si>
  <si>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</si>
  <si>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</si>
  <si>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</si>
  <si>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</si>
  <si>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</si>
  <si>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</si>
  <si>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</si>
  <si>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</si>
  <si>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</si>
  <si>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</si>
  <si>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</si>
  <si>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</si>
  <si>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</si>
  <si>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</si>
  <si>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</si>
  <si>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</si>
  <si>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</si>
  <si>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</si>
  <si>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</si>
  <si>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</si>
  <si>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</si>
  <si>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</si>
  <si>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</si>
  <si>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</si>
  <si>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</si>
  <si>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</si>
  <si>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</si>
  <si>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</si>
  <si>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</si>
  <si>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</si>
  <si>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</si>
  <si>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</si>
  <si>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</si>
  <si>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</si>
  <si>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</si>
  <si>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</si>
  <si>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</si>
  <si>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</si>
  <si>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</si>
  <si>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</si>
  <si>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</si>
  <si>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</si>
  <si>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</si>
  <si>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</si>
  <si>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</si>
  <si>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</si>
  <si>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</si>
  <si>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</si>
  <si>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</si>
  <si>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</si>
  <si>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</si>
  <si>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</si>
  <si>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</si>
  <si>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</si>
  <si>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</si>
  <si>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</si>
  <si>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</si>
  <si>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</si>
  <si>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</si>
  <si>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</si>
  <si>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</si>
  <si>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</si>
  <si>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</si>
  <si>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</si>
  <si>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</si>
  <si>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</si>
  <si>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</si>
  <si>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</si>
  <si>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</si>
  <si>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</si>
  <si>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</si>
  <si>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</si>
  <si>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</si>
  <si>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</si>
  <si>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</si>
  <si>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</si>
  <si>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</si>
  <si>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</si>
  <si>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</si>
  <si>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</si>
  <si>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</si>
  <si>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</si>
  <si>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</si>
  <si>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</si>
  <si>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</si>
  <si>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</si>
  <si>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</si>
  <si>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</si>
  <si>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</si>
  <si>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</si>
  <si>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</si>
  <si>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</si>
  <si>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</si>
  <si>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</si>
  <si>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</si>
  <si>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</si>
  <si>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</si>
  <si>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</si>
  <si>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</si>
  <si>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</si>
  <si>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</si>
  <si>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</si>
  <si>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</si>
  <si>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</si>
  <si>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</si>
  <si>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</si>
  <si>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</si>
  <si>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</si>
  <si>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</si>
  <si>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</si>
  <si>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</si>
  <si>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</si>
  <si>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</si>
  <si>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</si>
  <si>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</si>
  <si>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</si>
  <si>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</si>
  <si>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</si>
  <si>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</si>
  <si>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</si>
  <si>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</si>
  <si>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</si>
  <si>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</si>
  <si>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</si>
  <si>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</si>
  <si>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</si>
  <si>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</si>
  <si>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</si>
  <si>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</si>
  <si>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</si>
  <si>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</si>
  <si>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</si>
  <si>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</si>
  <si>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</si>
  <si>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</si>
  <si>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</si>
  <si>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</si>
  <si>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</si>
  <si>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</si>
  <si>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</si>
  <si>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</si>
  <si>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</si>
  <si>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</si>
  <si>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</si>
  <si>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</si>
  <si>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</si>
  <si>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</si>
  <si>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</si>
  <si>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</si>
  <si>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</si>
  <si>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</si>
  <si>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</si>
  <si>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</si>
  <si>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</si>
  <si>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</si>
  <si>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</si>
  <si>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</si>
  <si>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</si>
  <si>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</si>
  <si>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</si>
  <si>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</si>
  <si>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</si>
  <si>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</si>
  <si>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</si>
  <si>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</si>
  <si>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</si>
  <si>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</si>
  <si>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</si>
  <si>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</si>
  <si>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</si>
  <si>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</si>
  <si>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</si>
  <si>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</si>
  <si>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</si>
  <si>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</si>
  <si>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</si>
  <si>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</si>
  <si>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</si>
  <si>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</si>
  <si>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</si>
  <si>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</si>
  <si>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</si>
  <si>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</si>
  <si>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</si>
  <si>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</si>
  <si>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</si>
  <si>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</si>
  <si>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</si>
  <si>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</si>
  <si>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</si>
  <si>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</si>
  <si>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</si>
  <si>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</si>
  <si>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</si>
  <si>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</si>
  <si>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</si>
  <si>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</si>
  <si>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</si>
  <si>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</si>
  <si>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</si>
  <si>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</si>
  <si>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</si>
  <si>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</si>
  <si>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</si>
  <si>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</si>
  <si>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</si>
  <si>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</si>
  <si>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</si>
  <si>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</si>
  <si>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</si>
  <si>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</si>
  <si>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</si>
  <si>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</si>
  <si>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</si>
  <si>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</si>
  <si>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</si>
  <si>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</si>
  <si>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</si>
  <si>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</si>
  <si>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</si>
  <si>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</si>
  <si>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</si>
  <si>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</si>
  <si>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</si>
  <si>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</si>
  <si>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</si>
  <si>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</si>
  <si>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</si>
  <si>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</si>
  <si>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</si>
  <si>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</si>
  <si>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</si>
  <si>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</si>
  <si>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</si>
  <si>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</si>
  <si>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</si>
  <si>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</si>
  <si>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</si>
  <si>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</si>
  <si>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</si>
  <si>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</si>
  <si>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</si>
  <si>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</si>
  <si>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</si>
  <si>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</si>
  <si>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</si>
  <si>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</si>
  <si>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</si>
  <si>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</si>
  <si>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</si>
  <si>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</si>
  <si>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</si>
  <si>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</si>
  <si>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</si>
  <si>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</si>
  <si>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</si>
  <si>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</si>
  <si>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</si>
  <si>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</si>
  <si>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</si>
  <si>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</si>
  <si>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</si>
  <si>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</si>
  <si>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</si>
  <si>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</si>
  <si>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</si>
  <si>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</si>
  <si>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</si>
  <si>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</si>
  <si>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</si>
  <si>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</si>
  <si>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</si>
  <si>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</si>
  <si>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</si>
  <si>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</si>
  <si>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</si>
  <si>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</si>
  <si>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</si>
  <si>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</si>
  <si>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</si>
  <si>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</si>
  <si>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</si>
  <si>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</si>
  <si>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</si>
  <si>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</si>
  <si>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</si>
  <si>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</si>
  <si>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</si>
  <si>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</si>
  <si>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</si>
  <si>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</si>
  <si>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</si>
  <si>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</si>
  <si>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</si>
  <si>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</si>
  <si>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</si>
  <si>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</si>
  <si>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</si>
  <si>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</si>
  <si>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</si>
  <si>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</si>
  <si>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</si>
  <si>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</si>
  <si>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</si>
  <si>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</si>
  <si>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</si>
  <si>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</si>
  <si>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</si>
  <si>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</si>
  <si>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</si>
  <si>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</si>
  <si>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</si>
  <si>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</si>
  <si>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</si>
  <si>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</si>
  <si>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</si>
  <si>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</si>
  <si>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</si>
  <si>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</si>
  <si>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</si>
  <si>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</si>
  <si>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</si>
  <si>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</si>
  <si>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</si>
  <si>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</si>
  <si>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</si>
  <si>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</si>
  <si>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</si>
  <si>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</si>
  <si>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</si>
  <si>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</si>
  <si>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</si>
  <si>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</si>
  <si>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</si>
  <si>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</si>
  <si>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</si>
  <si>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</si>
  <si>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</si>
  <si>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</si>
  <si>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</si>
  <si>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</si>
  <si>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</si>
  <si>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</si>
  <si>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</si>
  <si>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</si>
  <si>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</si>
  <si>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</si>
  <si>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</si>
  <si>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</si>
  <si>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</si>
  <si>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</si>
  <si>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</si>
  <si>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</si>
  <si>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</si>
  <si>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</si>
  <si>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</si>
  <si>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</si>
  <si>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</si>
  <si>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</si>
  <si>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</si>
  <si>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</si>
  <si>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</si>
  <si>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</si>
  <si>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</si>
  <si>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</si>
  <si>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</si>
  <si>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</si>
  <si>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</si>
  <si>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</si>
  <si>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</si>
  <si>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</si>
  <si>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</si>
  <si>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</si>
  <si>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</si>
  <si>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</si>
  <si>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</si>
  <si>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</si>
  <si>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</si>
  <si>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</si>
  <si>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</si>
  <si>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</si>
  <si>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</si>
  <si>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</si>
  <si>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</si>
  <si>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</si>
  <si>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</si>
  <si>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</si>
  <si>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</si>
  <si>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</si>
  <si>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</si>
  <si>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</si>
  <si>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</si>
  <si>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</si>
  <si>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</si>
  <si>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</si>
  <si>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</si>
  <si>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</si>
  <si>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</si>
  <si>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</si>
  <si>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</si>
  <si>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</si>
  <si>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</si>
  <si>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</si>
  <si>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</si>
  <si>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</si>
  <si>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</si>
  <si>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</si>
  <si>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</si>
  <si>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CONECTOR, CPVC, SOLDÁVEL, DN 54 MM X 2",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</si>
  <si>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</si>
  <si>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</si>
  <si>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</si>
  <si>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</si>
  <si>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</si>
  <si>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</si>
  <si>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</si>
  <si>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</si>
  <si>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</si>
  <si>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</si>
  <si>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</si>
  <si>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</si>
  <si>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</si>
  <si>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</si>
  <si>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</si>
  <si>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</si>
  <si>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</si>
  <si>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</si>
  <si>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</si>
  <si>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</si>
  <si>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</si>
  <si>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</si>
  <si>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</si>
  <si>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</si>
  <si>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</si>
  <si>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</si>
  <si>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</si>
  <si>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</si>
  <si>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</si>
  <si>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</si>
  <si>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</si>
  <si>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</si>
  <si>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</si>
  <si>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</si>
  <si>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</si>
  <si>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</si>
  <si>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</si>
  <si>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</si>
  <si>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</si>
  <si>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</si>
  <si>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</si>
  <si>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</si>
  <si>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</si>
  <si>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</si>
  <si>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</si>
  <si>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</si>
  <si>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</si>
  <si>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</si>
  <si>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</si>
  <si>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</si>
  <si>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</si>
  <si>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</si>
  <si>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</si>
  <si>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</si>
  <si>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</si>
  <si>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</si>
  <si>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</si>
  <si>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</si>
  <si>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</si>
  <si>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</si>
  <si>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</si>
  <si>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</si>
  <si>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</si>
  <si>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</si>
  <si>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</si>
  <si>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</si>
  <si>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</si>
  <si>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</si>
  <si>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</si>
  <si>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</si>
  <si>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</si>
  <si>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</si>
  <si>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</si>
  <si>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</si>
  <si>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</si>
  <si>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</si>
  <si>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</si>
  <si>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</si>
  <si>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</si>
  <si>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</si>
  <si>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</si>
  <si>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</si>
  <si>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</si>
  <si>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</si>
  <si>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</si>
  <si>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</si>
  <si>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</si>
  <si>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</si>
  <si>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</si>
  <si>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</si>
  <si>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</si>
  <si>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</si>
  <si>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</si>
  <si>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</si>
  <si>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</si>
  <si>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</si>
  <si>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</si>
  <si>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</si>
  <si>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</si>
  <si>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</si>
  <si>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</si>
  <si>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</si>
  <si>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</si>
  <si>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</si>
  <si>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</si>
  <si>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</si>
  <si>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</si>
  <si>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</si>
  <si>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</si>
  <si>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</si>
  <si>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</si>
  <si>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</si>
  <si>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</si>
  <si>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</si>
  <si>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</si>
  <si>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</si>
  <si>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</si>
  <si>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</si>
  <si>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</si>
  <si>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</si>
  <si>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</si>
  <si>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</si>
  <si>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</si>
  <si>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</si>
  <si>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</si>
  <si>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</si>
  <si>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</si>
  <si>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</si>
  <si>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</si>
  <si>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</si>
  <si>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</si>
  <si>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</si>
  <si>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</si>
  <si>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</si>
  <si>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</si>
  <si>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</si>
  <si>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</si>
  <si>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</si>
  <si>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</si>
  <si>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</si>
  <si>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</si>
  <si>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</si>
  <si>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</si>
  <si>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</si>
  <si>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</si>
  <si>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</si>
  <si>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</si>
  <si>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</si>
  <si>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</si>
  <si>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</si>
  <si>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</si>
  <si>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</si>
  <si>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</si>
  <si>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</si>
  <si>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</si>
  <si>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</si>
  <si>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</si>
  <si>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</si>
  <si>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</si>
  <si>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</si>
  <si>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</si>
  <si>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</si>
  <si>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</si>
  <si>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</si>
  <si>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</si>
  <si>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</si>
  <si>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</si>
  <si>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</si>
  <si>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</si>
  <si>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</si>
  <si>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</si>
  <si>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</si>
  <si>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</si>
  <si>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</si>
  <si>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</si>
  <si>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</si>
  <si>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</si>
  <si>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</si>
  <si>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</si>
  <si>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</si>
  <si>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</si>
  <si>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</si>
  <si>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</si>
  <si>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</si>
  <si>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</si>
  <si>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</si>
  <si>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</si>
  <si>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</si>
  <si>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</si>
  <si>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</si>
  <si>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</si>
  <si>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</si>
  <si>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</si>
  <si>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</si>
  <si>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</si>
  <si>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</si>
  <si>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</si>
  <si>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</si>
  <si>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</si>
  <si>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</si>
  <si>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</si>
  <si>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</si>
  <si>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</si>
  <si>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</si>
  <si>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</si>
  <si>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</si>
  <si>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</si>
  <si>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</si>
  <si>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</si>
  <si>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</si>
  <si>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</si>
  <si>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</si>
  <si>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</si>
  <si>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</si>
  <si>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</si>
  <si>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</si>
  <si>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</si>
  <si>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</si>
  <si>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</si>
  <si>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</si>
  <si>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</si>
  <si>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</si>
  <si>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</si>
  <si>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</si>
  <si>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</si>
  <si>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</si>
  <si>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</si>
  <si>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</si>
  <si>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</si>
  <si>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</si>
  <si>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</si>
  <si>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</si>
  <si>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</si>
  <si>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</si>
  <si>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</si>
  <si>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</si>
  <si>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</si>
  <si>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</si>
  <si>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</si>
  <si>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</si>
  <si>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</si>
  <si>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</si>
  <si>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</si>
  <si>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</si>
  <si>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</si>
  <si>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</si>
  <si>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</si>
  <si>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</si>
  <si>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</si>
  <si>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</si>
  <si>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</si>
  <si>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</si>
  <si>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</si>
  <si>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</si>
  <si>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</si>
  <si>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</si>
  <si>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</si>
  <si>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</si>
  <si>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</si>
  <si>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</si>
  <si>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</si>
  <si>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</si>
  <si>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</si>
  <si>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</si>
  <si>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</si>
  <si>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</si>
  <si>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</si>
  <si>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</si>
  <si>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</si>
  <si>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</si>
  <si>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</si>
  <si>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</si>
  <si>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</si>
  <si>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</si>
  <si>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</si>
  <si>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</si>
  <si>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</si>
  <si>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</si>
  <si>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</si>
  <si>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</si>
  <si>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</si>
  <si>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</si>
  <si>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</si>
  <si>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</si>
  <si>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</si>
  <si>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</si>
  <si>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</si>
  <si>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</si>
  <si>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</si>
  <si>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</si>
  <si>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</si>
  <si>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</si>
  <si>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</si>
  <si>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</si>
  <si>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</si>
  <si>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</si>
  <si>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</si>
  <si>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</si>
  <si>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</si>
  <si>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</si>
  <si>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</si>
  <si>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</si>
  <si>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</si>
  <si>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</si>
  <si>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</si>
  <si>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</si>
  <si>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</si>
  <si>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</si>
  <si>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</si>
  <si>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</si>
  <si>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</si>
  <si>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</si>
  <si>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</si>
  <si>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</si>
  <si>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</si>
  <si>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</si>
  <si>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</si>
  <si>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</si>
  <si>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</si>
  <si>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</si>
  <si>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</si>
  <si>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</si>
  <si>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</si>
  <si>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</si>
  <si>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</si>
  <si>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</si>
  <si>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</si>
  <si>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</si>
  <si>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</si>
  <si>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</si>
  <si>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</si>
  <si>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</si>
  <si>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</si>
  <si>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</si>
  <si>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</si>
  <si>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</si>
  <si>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</si>
  <si>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</si>
  <si>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</si>
  <si>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</si>
  <si>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</si>
  <si>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</si>
  <si>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</si>
  <si>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</si>
  <si>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</si>
  <si>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</si>
  <si>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</si>
  <si>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</si>
  <si>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</si>
  <si>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</si>
  <si>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</si>
  <si>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</si>
  <si>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</si>
  <si>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</si>
  <si>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</si>
  <si>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</si>
  <si>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</si>
  <si>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</si>
  <si>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</si>
  <si>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</si>
  <si>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</si>
  <si>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</si>
  <si>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</si>
  <si>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</si>
  <si>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</si>
  <si>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</si>
  <si>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</si>
  <si>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</si>
  <si>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</si>
  <si>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</si>
  <si>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</si>
  <si>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</si>
  <si>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</si>
  <si>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</si>
  <si>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</si>
  <si>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</si>
  <si>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</si>
  <si>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</si>
  <si>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</si>
  <si>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</si>
  <si>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</si>
  <si>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</si>
  <si>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</si>
  <si>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</si>
  <si>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</si>
  <si>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</si>
  <si>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</si>
  <si>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</si>
  <si>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</si>
  <si>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</si>
  <si>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</si>
  <si>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</si>
  <si>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</si>
  <si>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</si>
  <si>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</si>
  <si>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</si>
  <si>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</si>
  <si>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</si>
  <si>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</si>
  <si>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</si>
  <si>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</si>
  <si>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</si>
  <si>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</si>
  <si>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</si>
  <si>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</si>
  <si>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</si>
  <si>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</si>
  <si>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</si>
  <si>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</si>
  <si>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</si>
  <si>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</si>
  <si>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</si>
  <si>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</si>
  <si>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</si>
  <si>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</si>
  <si>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</si>
  <si>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</si>
  <si>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</si>
  <si>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</si>
  <si>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</si>
  <si>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</si>
  <si>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</si>
  <si>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</si>
  <si>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</si>
  <si>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</si>
  <si>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</si>
  <si>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</si>
  <si>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</si>
  <si>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</si>
  <si>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</si>
  <si>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</si>
  <si>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</si>
  <si>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</si>
  <si>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</si>
  <si>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</si>
  <si>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</si>
  <si>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</si>
  <si>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</si>
  <si>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</si>
  <si>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</si>
  <si>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</si>
  <si>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</si>
  <si>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</si>
  <si>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</si>
  <si>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</si>
  <si>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</si>
  <si>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</si>
  <si>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</si>
  <si>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</si>
  <si>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</si>
  <si>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</si>
  <si>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</si>
  <si>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</si>
  <si>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</si>
  <si>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</si>
  <si>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</si>
  <si>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</si>
  <si>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</si>
  <si>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</si>
  <si>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</si>
  <si>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</si>
  <si>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</si>
  <si>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</si>
  <si>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</si>
  <si>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</si>
  <si>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</si>
  <si>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</si>
  <si>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</si>
  <si>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</si>
  <si>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</si>
  <si>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</si>
  <si>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</si>
  <si>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</si>
  <si>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</si>
  <si>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</si>
  <si>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</si>
  <si>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</si>
  <si>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</si>
  <si>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</si>
  <si>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</si>
  <si>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</si>
  <si>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</si>
  <si>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</si>
  <si>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</si>
  <si>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</si>
  <si>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</si>
  <si>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</si>
  <si>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</si>
  <si>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</si>
  <si>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</si>
  <si>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</si>
  <si>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</si>
  <si>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</si>
  <si>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</si>
  <si>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</si>
  <si>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</si>
  <si>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</si>
  <si>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</si>
  <si>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</si>
  <si>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</si>
  <si>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</si>
  <si>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</si>
  <si>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</si>
  <si>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</si>
  <si>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</si>
  <si>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</si>
  <si>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</si>
  <si>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</si>
  <si>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</si>
  <si>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</si>
  <si>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</si>
  <si>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</si>
  <si>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</si>
  <si>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</si>
  <si>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</si>
  <si>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</si>
  <si>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</si>
  <si>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</si>
  <si>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</si>
  <si>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</si>
  <si>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</si>
  <si>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</si>
  <si>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</si>
  <si>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</si>
  <si>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</si>
  <si>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</si>
  <si>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</si>
  <si>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</si>
  <si>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</si>
  <si>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</si>
  <si>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</si>
  <si>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</si>
  <si>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</si>
  <si>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</si>
  <si>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</si>
  <si>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</si>
  <si>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</si>
  <si>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</si>
  <si>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</si>
  <si>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</si>
  <si>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</si>
  <si>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</si>
  <si>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</si>
  <si>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</si>
  <si>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</si>
  <si>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</si>
  <si>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</si>
  <si>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</si>
  <si>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</si>
  <si>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</si>
  <si>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</si>
  <si>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</si>
  <si>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</si>
  <si>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</si>
  <si>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</si>
  <si>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</si>
  <si>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</si>
  <si>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</si>
  <si>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</si>
  <si>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</si>
  <si>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</si>
  <si>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</si>
  <si>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</si>
  <si>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</si>
  <si>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</si>
  <si>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</si>
  <si>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</si>
  <si>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</si>
  <si>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</si>
  <si>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</si>
  <si>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</si>
  <si>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</si>
  <si>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</si>
  <si>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</si>
  <si>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</si>
  <si>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</si>
  <si>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</si>
  <si>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</si>
  <si>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</si>
  <si>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</si>
  <si>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</si>
  <si>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</si>
  <si>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</si>
  <si>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</si>
  <si>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</si>
  <si>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</si>
  <si>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</si>
  <si>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</si>
  <si>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</si>
  <si>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</si>
  <si>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</si>
  <si>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</si>
  <si>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</si>
  <si>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</si>
  <si>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</si>
  <si>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</si>
  <si>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</si>
  <si>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</si>
  <si>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</si>
  <si>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</si>
  <si>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</si>
  <si>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</si>
  <si>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</si>
  <si>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</si>
  <si>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</si>
  <si>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</si>
  <si>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</si>
  <si>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</si>
  <si>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</si>
  <si>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</si>
  <si>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</si>
  <si>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</si>
  <si>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</si>
  <si>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</si>
  <si>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</si>
  <si>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</si>
  <si>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</si>
  <si>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</si>
  <si>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</si>
  <si>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</si>
  <si>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</si>
  <si>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</si>
  <si>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</si>
  <si>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</si>
  <si>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</si>
  <si>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</si>
  <si>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</si>
  <si>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</si>
  <si>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</si>
  <si>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</si>
  <si>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</si>
  <si>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</si>
  <si>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</si>
  <si>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</si>
  <si>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</si>
  <si>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</si>
  <si>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</si>
  <si>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</si>
  <si>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</si>
  <si>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</si>
  <si>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</si>
  <si>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</si>
  <si>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</si>
  <si>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</si>
  <si>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</si>
  <si>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</si>
  <si>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</si>
  <si>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</si>
  <si>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</si>
  <si>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</si>
  <si>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</si>
  <si>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</si>
  <si>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</si>
  <si>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</si>
  <si>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</si>
  <si>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</si>
  <si>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</si>
  <si>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</si>
  <si>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</si>
  <si>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</si>
  <si>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</si>
  <si>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</si>
  <si>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</si>
  <si>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</si>
  <si>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</si>
  <si>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</si>
  <si>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</si>
  <si>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</si>
  <si>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</si>
  <si>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</si>
  <si>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</si>
  <si>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</si>
  <si>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</si>
  <si>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</si>
  <si>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</si>
  <si>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</si>
  <si>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</si>
  <si>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</si>
  <si>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</si>
  <si>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</si>
  <si>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</si>
  <si>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</si>
  <si>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</si>
  <si>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</si>
  <si>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</si>
  <si>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</si>
  <si>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</si>
  <si>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</si>
  <si>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</si>
  <si>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</si>
  <si>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</si>
  <si>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</si>
  <si>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</si>
  <si>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</si>
  <si>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</si>
  <si>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</si>
  <si>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</si>
  <si>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</si>
  <si>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</si>
  <si>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</si>
  <si>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</si>
  <si>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</si>
  <si>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</si>
  <si>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</si>
  <si>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</si>
  <si>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</si>
  <si>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</si>
  <si>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</si>
  <si>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</si>
  <si>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</si>
  <si>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</si>
  <si>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</si>
  <si>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</si>
  <si>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</si>
  <si>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</si>
  <si>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</si>
  <si>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</si>
  <si>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</si>
  <si>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</si>
  <si>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</si>
  <si>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</si>
  <si>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</si>
  <si>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</si>
  <si>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</si>
  <si>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</si>
  <si>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</si>
  <si>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</si>
  <si>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</si>
  <si>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</si>
  <si>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</si>
  <si>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</si>
  <si>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</si>
  <si>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</si>
  <si>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</si>
  <si>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</si>
  <si>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</si>
  <si>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</si>
  <si>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</si>
  <si>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</si>
  <si>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</si>
  <si>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</si>
  <si>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</si>
  <si>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</si>
  <si>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</si>
  <si>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</si>
  <si>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</si>
  <si>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</si>
  <si>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</si>
  <si>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</si>
  <si>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</si>
  <si>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</si>
  <si>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</si>
  <si>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</si>
  <si>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</si>
  <si>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</si>
  <si>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</si>
  <si>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</si>
  <si>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</si>
  <si>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</si>
  <si>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</si>
  <si>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</si>
  <si>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</si>
  <si>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</si>
  <si>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</si>
  <si>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</si>
  <si>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</si>
  <si>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</si>
  <si>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</si>
  <si>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</si>
  <si>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</si>
  <si>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</si>
  <si>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</si>
  <si>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</si>
  <si>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</si>
  <si>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</si>
  <si>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</si>
  <si>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</si>
  <si>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</si>
  <si>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</si>
  <si>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</si>
  <si>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</si>
  <si>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</si>
  <si>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</si>
  <si>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</si>
  <si>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</si>
  <si>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</si>
  <si>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</si>
  <si>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</si>
  <si>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</si>
  <si>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</si>
  <si>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</si>
  <si>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</si>
  <si>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</si>
  <si>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</si>
  <si>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</si>
  <si>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</si>
  <si>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</si>
  <si>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</si>
  <si>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</si>
  <si>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</si>
  <si>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</si>
  <si>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</si>
  <si>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</si>
  <si>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</si>
  <si>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</si>
  <si>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</si>
  <si>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</si>
  <si>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</si>
  <si>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</si>
  <si>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</si>
  <si>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</si>
  <si>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</si>
  <si>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</si>
  <si>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</si>
  <si>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</si>
  <si>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</si>
  <si>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</si>
  <si>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</si>
  <si>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</si>
  <si>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</si>
  <si>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</si>
  <si>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</si>
  <si>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</si>
  <si>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</si>
  <si>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</si>
  <si>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</si>
  <si>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</si>
  <si>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</si>
  <si>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</si>
  <si>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</si>
  <si>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</si>
  <si>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</si>
  <si>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</si>
  <si>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</si>
  <si>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</si>
  <si>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</si>
  <si>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</si>
  <si>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</si>
  <si>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</si>
  <si>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</si>
  <si>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</si>
  <si>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</si>
  <si>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</si>
  <si>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</si>
  <si>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</si>
  <si>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</si>
  <si>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</si>
  <si>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</si>
  <si>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</si>
  <si>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</si>
  <si>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</si>
  <si>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</si>
  <si>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</si>
  <si>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</si>
  <si>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</si>
  <si>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</si>
  <si>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</si>
  <si>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</si>
  <si>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</si>
  <si>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</si>
  <si>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</si>
  <si>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</si>
  <si>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</si>
  <si>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</si>
  <si>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</si>
  <si>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</si>
  <si>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</si>
  <si>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</si>
  <si>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</si>
  <si>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</si>
  <si>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</si>
  <si>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</si>
  <si>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</si>
  <si>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</si>
  <si>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</si>
  <si>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</si>
  <si>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</si>
  <si>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</si>
  <si>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</si>
  <si>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</si>
  <si>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</si>
  <si>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</si>
  <si>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</si>
  <si>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</si>
  <si>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</si>
  <si>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</si>
  <si>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</si>
  <si>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</si>
  <si>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</si>
  <si>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</si>
  <si>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</si>
  <si>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</si>
  <si>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</si>
  <si>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</si>
  <si>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</si>
  <si>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</si>
  <si>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</si>
  <si>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</si>
  <si>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</si>
  <si>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</si>
  <si>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</si>
  <si>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</si>
  <si>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</si>
  <si>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</si>
  <si>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</si>
  <si>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</si>
  <si>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</si>
  <si>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</si>
  <si>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</si>
  <si>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</si>
  <si>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</si>
  <si>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</si>
  <si>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</si>
  <si>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</si>
  <si>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</si>
  <si>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</si>
  <si>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</si>
  <si>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</si>
  <si>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</si>
  <si>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</si>
  <si>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</si>
  <si>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</si>
  <si>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</si>
  <si>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</si>
  <si>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</si>
  <si>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</si>
  <si>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</si>
  <si>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</si>
  <si>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</si>
  <si>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</si>
  <si>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</si>
  <si>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</si>
  <si>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</si>
  <si>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</si>
  <si>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</si>
  <si>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</si>
  <si>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</si>
  <si>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</si>
  <si>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</si>
  <si>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</si>
  <si>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</si>
  <si>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</si>
  <si>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</si>
  <si>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</si>
  <si>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</si>
  <si>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</si>
  <si>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</si>
  <si>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</si>
  <si>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</si>
  <si>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</si>
  <si>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</si>
  <si>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</si>
  <si>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</si>
  <si>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</si>
  <si>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</si>
  <si>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</si>
  <si>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</si>
  <si>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</si>
  <si>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</si>
  <si>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</si>
  <si>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</si>
  <si>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</si>
  <si>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</si>
  <si>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</si>
  <si>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</si>
  <si>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</si>
  <si>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</si>
  <si>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</si>
  <si>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</si>
  <si>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</si>
  <si>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</si>
  <si>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</si>
  <si>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</si>
  <si>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</si>
  <si>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</si>
  <si>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</si>
  <si>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</si>
  <si>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</si>
  <si>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</si>
  <si>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</si>
  <si>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</si>
  <si>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</si>
  <si>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</si>
  <si>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</si>
  <si>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</si>
  <si>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</si>
  <si>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</si>
  <si>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</si>
  <si>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</si>
  <si>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</si>
  <si>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</si>
  <si>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</si>
  <si>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</si>
  <si>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</si>
  <si>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</si>
  <si>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</si>
  <si>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</si>
  <si>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</si>
  <si>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</si>
  <si>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</si>
  <si>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</si>
  <si>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</si>
  <si>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</si>
  <si>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</si>
  <si>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</si>
  <si>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</si>
  <si>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</si>
  <si>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</si>
  <si>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</si>
  <si>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</si>
  <si>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</si>
  <si>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</si>
  <si>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</si>
  <si>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</si>
  <si>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</si>
  <si>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</si>
  <si>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</si>
  <si>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</si>
  <si>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</si>
  <si>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</si>
  <si>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</si>
  <si>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</si>
  <si>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</si>
  <si>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</si>
  <si>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</si>
  <si>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</si>
  <si>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</si>
  <si>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</si>
  <si>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</si>
  <si>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</si>
  <si>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</si>
  <si>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</si>
  <si>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</si>
  <si>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</si>
  <si>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</si>
  <si>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</si>
  <si>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</si>
  <si>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</si>
  <si>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</si>
  <si>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</si>
  <si>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</si>
  <si>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</si>
  <si>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</si>
  <si>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</si>
  <si>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</si>
  <si>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</si>
  <si>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</si>
  <si>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</si>
  <si>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</si>
  <si>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</si>
  <si>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</si>
  <si>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</si>
  <si>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</si>
  <si>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</si>
  <si>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</si>
  <si>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</si>
  <si>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</si>
  <si>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</si>
  <si>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</si>
  <si>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</si>
  <si>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</si>
  <si>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</si>
  <si>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</si>
  <si>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</si>
  <si>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</si>
  <si>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</si>
  <si>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</si>
  <si>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</si>
  <si>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</si>
  <si>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</si>
  <si>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</si>
  <si>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</si>
  <si>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</si>
  <si>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</si>
  <si>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</si>
  <si>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</si>
  <si>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</si>
  <si>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</si>
  <si>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</si>
  <si>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</si>
  <si>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</si>
  <si>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</si>
  <si>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</si>
  <si>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</si>
  <si>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</si>
  <si>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</si>
  <si>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</si>
  <si>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</si>
  <si>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</si>
  <si>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</si>
  <si>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</si>
  <si>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</si>
  <si>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</si>
  <si>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</si>
  <si>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</si>
  <si>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</si>
  <si>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</si>
  <si>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</si>
  <si>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</si>
  <si>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</si>
  <si>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</si>
  <si>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</si>
  <si>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</si>
  <si>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</si>
  <si>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</si>
  <si>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</si>
  <si>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</si>
  <si>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</si>
  <si>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</si>
  <si>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</si>
  <si>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</si>
  <si>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</si>
  <si>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</si>
  <si>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</si>
  <si>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</si>
  <si>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</si>
  <si>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</si>
  <si>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</si>
  <si>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</si>
  <si>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</si>
  <si>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</si>
  <si>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</si>
  <si>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</si>
  <si>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</si>
  <si>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</si>
  <si>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</si>
  <si>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</si>
  <si>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</si>
  <si>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</si>
  <si>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</si>
  <si>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</si>
  <si>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</si>
  <si>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</si>
  <si>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</si>
  <si>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</si>
  <si>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</si>
  <si>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</si>
  <si>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</si>
  <si>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</si>
  <si>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</si>
  <si>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</si>
  <si>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</si>
  <si>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</si>
  <si>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</si>
  <si>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</si>
  <si>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</si>
  <si>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</si>
  <si>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</si>
  <si>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</si>
  <si>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</si>
  <si>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</si>
  <si>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</si>
  <si>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</si>
  <si>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</si>
  <si>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</si>
  <si>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</si>
  <si>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</si>
  <si>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</si>
  <si>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</si>
  <si>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</si>
  <si>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</si>
  <si>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</si>
  <si>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</si>
  <si>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</si>
  <si>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</si>
  <si>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</si>
  <si>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</si>
  <si>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</si>
  <si>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</si>
  <si>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</si>
  <si>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</si>
  <si>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</si>
  <si>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</si>
  <si>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</si>
  <si>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</si>
  <si>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</si>
  <si>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</si>
  <si>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</si>
  <si>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</si>
  <si>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</si>
  <si>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</si>
  <si>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</si>
  <si>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</si>
  <si>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</si>
  <si>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</si>
  <si>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</si>
  <si>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</si>
  <si>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</si>
  <si>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</si>
  <si>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</si>
  <si>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</si>
  <si>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</si>
  <si>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</si>
  <si>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</si>
  <si>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</si>
  <si>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</si>
  <si>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</si>
  <si>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</si>
  <si>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</si>
  <si>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</si>
  <si>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</si>
  <si>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</si>
  <si>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</si>
  <si>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</si>
  <si>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</si>
  <si>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</si>
  <si>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</si>
  <si>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</si>
  <si>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</si>
  <si>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</si>
  <si>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</si>
  <si>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</si>
  <si>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</si>
  <si>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</si>
  <si>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</si>
  <si>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</si>
  <si>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</si>
  <si>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</si>
  <si>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</si>
  <si>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</si>
  <si>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</si>
  <si>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</si>
  <si>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</si>
  <si>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</si>
  <si>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</si>
  <si>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</si>
  <si>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</si>
  <si>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</si>
  <si>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</si>
  <si>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</si>
  <si>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</si>
  <si>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</si>
  <si>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</si>
  <si>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</si>
  <si>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</si>
  <si>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</si>
  <si>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</si>
  <si>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</si>
  <si>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</si>
  <si>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</si>
  <si>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</si>
  <si>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</si>
  <si>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</si>
  <si>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</si>
  <si>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</si>
  <si>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</si>
  <si>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</si>
  <si>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</si>
  <si>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</si>
  <si>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</si>
  <si>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</si>
  <si>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</si>
  <si>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</si>
  <si>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</si>
  <si>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</si>
  <si>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</si>
  <si>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</si>
  <si>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</si>
  <si>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</si>
  <si>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</si>
  <si>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</si>
  <si>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</si>
  <si>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</si>
  <si>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</si>
  <si>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</si>
  <si>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</si>
  <si>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</si>
  <si>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</si>
  <si>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</si>
  <si>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</si>
  <si>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</si>
  <si>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</si>
  <si>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</si>
  <si>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</si>
  <si>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</si>
  <si>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</si>
  <si>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</si>
  <si>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</si>
  <si>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</si>
  <si>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</si>
  <si>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</si>
  <si>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</si>
  <si>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</si>
  <si>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</si>
  <si>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</si>
  <si>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</si>
  <si>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</si>
  <si>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</si>
  <si>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</si>
  <si>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</si>
  <si>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</si>
  <si>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</si>
  <si>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</si>
  <si>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</si>
  <si>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</si>
  <si>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</si>
  <si>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</si>
  <si>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</si>
  <si>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</si>
  <si>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</si>
  <si>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</si>
  <si>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</si>
  <si>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</si>
  <si>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</si>
  <si>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</si>
  <si>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</si>
  <si>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</si>
  <si>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</si>
  <si>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</si>
  <si>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</si>
  <si>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</si>
  <si>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</si>
  <si>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</si>
  <si>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</si>
  <si>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</si>
  <si>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</si>
  <si>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</si>
  <si>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</si>
  <si>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</si>
  <si>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</si>
  <si>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</si>
  <si>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</si>
  <si>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</si>
  <si>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</si>
  <si>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</si>
  <si>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</si>
  <si>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</si>
  <si>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</si>
  <si>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</si>
  <si>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</si>
  <si>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</si>
  <si>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</si>
  <si>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</si>
  <si>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</si>
  <si>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</si>
  <si>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</si>
  <si>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</si>
  <si>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</si>
  <si>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</si>
  <si>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</si>
  <si>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</si>
  <si>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</si>
  <si>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</si>
  <si>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</si>
  <si>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</si>
  <si>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</si>
  <si>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</si>
  <si>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</si>
  <si>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</si>
  <si>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</si>
  <si>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</si>
  <si>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</si>
  <si>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</si>
  <si>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</si>
  <si>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</si>
  <si>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</si>
  <si>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</si>
  <si>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</si>
  <si>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</si>
  <si>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</si>
  <si>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</si>
  <si>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</si>
  <si>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</si>
  <si>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</si>
  <si>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AF_06/2017_PS</t>
  </si>
  <si>
    <t>PAREDE COM PLACAS DE GESSO ACARTONADO (DRYWALL), PARA USO INTERNO, COM DUAS FACES SIMPLES E ESTRUTURA METÁLICA COM GUIAS SIMPLES, COM VÃOS AF_06/2017_PS</t>
  </si>
  <si>
    <t>PAREDE COM PLACAS DE GESSO ACARTONADO (DRYWALL), PARA USO INTERNO, COM DUAS FACES SIMPLES E ESTRUTURA METÁLICA COM GUIAS DUPLAS, SEM VÃOS. AF_06/2017_PS</t>
  </si>
  <si>
    <t>PAREDE COM PLACAS DE GESSO ACARTONADO (DRYWALL), PARA USO INTERNO, COM DUAS FACES SIMPLES E ESTRUTURA METÁLICA COM GUIAS DUPLAS, COM VÃOS. AF_06/2017_PS</t>
  </si>
  <si>
    <t>PAREDE COM PLACAS DE GESSO ACARTONADO (DRYWALL), PARA USO INTERNO, COM UMA FACE SIMPLES E OUTRA FACE DUPLA E ESTRUTURA METÁLICA COM GUIAS SIMPLES, SEM VÃOS. AF_06/2017_PS</t>
  </si>
  <si>
    <t>PAREDE COM PLACAS DE GESSO ACARTONADO (DRYWALL), PARA USO INTERNO, COM UMA FACE SIMPLES E OUTRA FACE DUPLA E ESTRUTURA METÁLICA COM GUIAS SIMPLES, COM VÃOS. AF_06/2017_PS</t>
  </si>
  <si>
    <t>PAREDE COM PLACAS DE GESSO ACARTONADO (DRYWALL), PARA USO INTERNO COM UMA FACE SIMPLES E OUTRA FACE DUPLA E ESTRUTURA METÁLICA COM GUIAS DUPLAS, SEM VÃOS. AF_06/2017_PS</t>
  </si>
  <si>
    <t>PAREDE COM PLACAS DE GESSO ACARTONADO (DRYWALL), PARA USO INTERNO, COM UMA FACE SIMPLES E OUTRA FACE DUPLA E   ESTRUTURA METÁLICA COM GUIAS DUPLAS, COM VÃOS. AF_06/2017_PS</t>
  </si>
  <si>
    <t>PAREDE COM PLACAS DE GESSO ACARTONADO (DRYWALL), PARA USO INTERNO, COM DUAS FACES DUPLAS E ESTRUTURA METÁLICA COM GUIAS SIMPLES, SEM VÃOS. AF_06/2017_PS</t>
  </si>
  <si>
    <t>PAREDE COM PLACAS DE GESSO ACARTONADO (DRYWALL), PARA USO INTERNO, COM DUAS FACES DUPLAS E ESTRUTURA METÁLICA COM GUIAS SIMPLES, COM VÃOS. AF_06/2017_PS</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</si>
  <si>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</si>
  <si>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AF_06/2017_PS</t>
  </si>
  <si>
    <t>PAREDE COM PLACAS DE GESSO ACARTONADO (DRYWALL), PARA USO INTERNO, COM UMA FACE SIMPLES E ESTRUTURA METÁLICA COM GUIAS SIMPLES, SEM VÃOS. AF_06/2017_PS</t>
  </si>
  <si>
    <t>PAREDE COM PLACAS DE GESSO ACARTONADO (DRYWALL), PARA USO INTERNO, COM UMA FACE SIMPLES E ESTRUTURA METÁLICA COM GUIAS SIMPLES, COM VÃOS. AF_06/2017_PS</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</si>
  <si>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</si>
  <si>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</si>
  <si>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</si>
  <si>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</si>
  <si>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</si>
  <si>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</si>
  <si>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</si>
  <si>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</si>
  <si>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</si>
  <si>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</si>
  <si>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</si>
  <si>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</si>
  <si>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</si>
  <si>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</si>
  <si>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</si>
  <si>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</si>
  <si>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</si>
  <si>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</si>
  <si>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</si>
  <si>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</si>
  <si>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</si>
  <si>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</si>
  <si>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</si>
  <si>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</si>
  <si>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</si>
  <si>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</si>
  <si>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</si>
  <si>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</si>
  <si>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</si>
  <si>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</si>
  <si>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</si>
  <si>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</si>
  <si>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</si>
  <si>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</si>
  <si>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</si>
  <si>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</si>
  <si>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</si>
  <si>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</si>
  <si>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</si>
  <si>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</si>
  <si>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</si>
  <si>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</si>
  <si>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</si>
  <si>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</si>
  <si>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</si>
  <si>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</si>
  <si>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</si>
  <si>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</si>
  <si>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</si>
  <si>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</si>
  <si>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</si>
  <si>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</si>
  <si>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</si>
  <si>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</si>
  <si>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</si>
  <si>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</si>
  <si>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</si>
  <si>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</si>
  <si>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</si>
  <si>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</si>
  <si>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</si>
  <si>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</si>
  <si>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</si>
  <si>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</si>
  <si>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</si>
  <si>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</si>
  <si>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</si>
  <si>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</si>
  <si>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</si>
  <si>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</si>
  <si>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</si>
  <si>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</si>
  <si>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</si>
  <si>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</si>
  <si>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</si>
  <si>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</si>
  <si>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</si>
  <si>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</si>
  <si>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</si>
  <si>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</si>
  <si>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</si>
  <si>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</si>
  <si>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</si>
  <si>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</si>
  <si>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</si>
  <si>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</si>
  <si>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</si>
  <si>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</si>
  <si>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</si>
  <si>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</si>
  <si>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</si>
  <si>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</si>
  <si>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</si>
  <si>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</si>
  <si>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</si>
  <si>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</si>
  <si>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</si>
  <si>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</si>
  <si>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</si>
  <si>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</si>
  <si>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</si>
  <si>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</si>
  <si>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</si>
  <si>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</si>
  <si>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</si>
  <si>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</si>
  <si>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</si>
  <si>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</si>
  <si>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</si>
  <si>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</si>
  <si>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</si>
  <si>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</si>
  <si>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</si>
  <si>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</si>
  <si>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</si>
  <si>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</si>
  <si>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</si>
  <si>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</si>
  <si>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</si>
  <si>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</si>
  <si>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</si>
  <si>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</si>
  <si>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</si>
  <si>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</si>
  <si>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</si>
  <si>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</si>
  <si>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</si>
  <si>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</si>
  <si>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</si>
  <si>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</si>
  <si>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</si>
  <si>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</si>
  <si>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</si>
  <si>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</si>
  <si>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</si>
  <si>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</si>
  <si>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</si>
  <si>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</si>
  <si>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</si>
  <si>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</si>
  <si>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</si>
  <si>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</si>
  <si>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</si>
  <si>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</si>
  <si>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</si>
  <si>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</si>
  <si>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</si>
  <si>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</si>
  <si>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</si>
  <si>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</si>
  <si>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</si>
  <si>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</si>
  <si>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</si>
  <si>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</si>
  <si>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</si>
  <si>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</si>
  <si>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</si>
  <si>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</si>
  <si>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</si>
  <si>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</si>
  <si>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</si>
  <si>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</si>
  <si>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</si>
  <si>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</si>
  <si>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</si>
  <si>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</si>
  <si>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</si>
  <si>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</si>
  <si>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</si>
  <si>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</si>
  <si>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</si>
  <si>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</si>
  <si>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</si>
  <si>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</si>
  <si>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</si>
  <si>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</si>
  <si>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</si>
  <si>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</si>
  <si>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</si>
  <si>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</si>
  <si>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</si>
  <si>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</si>
  <si>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</si>
  <si>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</si>
  <si>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</si>
  <si>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</si>
  <si>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</si>
  <si>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</si>
  <si>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</si>
  <si>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</si>
  <si>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</si>
  <si>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</si>
  <si>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</si>
  <si>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</si>
  <si>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</si>
  <si>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</si>
  <si>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</si>
  <si>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</si>
  <si>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</si>
  <si>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</si>
  <si>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</si>
  <si>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</si>
  <si>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</si>
  <si>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</si>
  <si>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</si>
  <si>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</si>
  <si>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</si>
  <si>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</si>
  <si>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</si>
  <si>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</si>
  <si>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</si>
  <si>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</si>
  <si>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</si>
  <si>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</si>
  <si>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</si>
  <si>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</si>
  <si>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</si>
  <si>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</si>
  <si>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</si>
  <si>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</si>
  <si>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</si>
  <si>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</si>
  <si>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</si>
  <si>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</si>
  <si>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</si>
  <si>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</si>
  <si>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</si>
  <si>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</si>
  <si>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</si>
  <si>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</si>
  <si>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</si>
  <si>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</si>
  <si>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</si>
  <si>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</si>
  <si>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</si>
  <si>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</si>
  <si>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</si>
  <si>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</si>
  <si>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</si>
  <si>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</si>
  <si>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</si>
  <si>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</si>
  <si>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</si>
  <si>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</si>
  <si>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</si>
  <si>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</si>
  <si>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</si>
  <si>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</si>
  <si>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</si>
  <si>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</si>
  <si>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</si>
  <si>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</si>
  <si>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</si>
  <si>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</si>
  <si>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</si>
  <si>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</si>
  <si>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</si>
  <si>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</si>
  <si>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</si>
  <si>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</si>
  <si>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</si>
  <si>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</si>
  <si>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</si>
  <si>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</si>
  <si>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</si>
  <si>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</si>
  <si>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</si>
  <si>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</si>
  <si>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</si>
  <si>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</si>
  <si>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</si>
  <si>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</si>
  <si>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</si>
  <si>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</si>
  <si>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</si>
  <si>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</si>
  <si>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</si>
  <si>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</si>
  <si>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</si>
  <si>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</si>
  <si>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</si>
  <si>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</si>
  <si>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</si>
  <si>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</si>
  <si>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</si>
  <si>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</si>
  <si>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</si>
  <si>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</si>
  <si>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</si>
  <si>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</si>
  <si>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</si>
  <si>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</si>
  <si>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</si>
  <si>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</si>
  <si>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</si>
  <si>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</si>
  <si>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</si>
  <si>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</si>
  <si>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</si>
  <si>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</si>
  <si>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</si>
  <si>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</si>
  <si>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</si>
  <si>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</si>
  <si>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</si>
  <si>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</si>
  <si>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</si>
  <si>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</si>
  <si>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</si>
  <si>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</si>
  <si>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</si>
  <si>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</si>
  <si>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</si>
  <si>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</si>
  <si>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</si>
  <si>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</si>
  <si>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</si>
  <si>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</si>
  <si>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</si>
  <si>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</si>
  <si>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</si>
  <si>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</si>
  <si>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</si>
  <si>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</si>
  <si>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</si>
  <si>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</si>
  <si>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</si>
  <si>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</si>
  <si>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</si>
  <si>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</si>
  <si>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</si>
  <si>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</si>
  <si>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</si>
  <si>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</si>
  <si>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</si>
  <si>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</si>
  <si>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</si>
  <si>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</si>
  <si>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</si>
  <si>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</si>
  <si>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</si>
  <si>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</si>
  <si>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</si>
  <si>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</si>
  <si>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</si>
  <si>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</si>
  <si>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</si>
  <si>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</si>
  <si>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</si>
  <si>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</si>
  <si>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</si>
  <si>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</si>
  <si>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</si>
  <si>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GRANILITE, MARMORITE OU GRANITINA EM AMBIENTES INTERNOS, COM ESPESSURA DE 8 MM, INCLUSO MISTURA EM BETONEIRA, COLOCAÇÃO DAS JUNTAS, APLICAÇÃO DO PISO, 4 POLIMENTOS COM POLITRIZ, ESTUCAMENTO, SELADOR E CERA. AF_06/2022</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</si>
  <si>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</si>
  <si>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</si>
  <si>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</si>
  <si>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</si>
  <si>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</si>
  <si>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</si>
  <si>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</si>
  <si>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</si>
  <si>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</si>
  <si>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</si>
  <si>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RODAPÉ EM ARDÓSIA ALTURA 10CM. AF_09/2020</t>
  </si>
  <si>
    <t>RODAPÉ EM MARMORITE, ALTURA 10CM. AF_09/2020</t>
  </si>
  <si>
    <t>EXECUÇÃO DE PASSEIO (CALÇADA) OU PISO DE CONCRETO COM CONCRETO MOLDADO IN LOCO, FEITO EM OBRA, ACABAMENTO CONVENCIONAL, NÃO ARMADO. AF_08/2022</t>
  </si>
  <si>
    <t>EXECUÇÃO DE PASSEIO (CALÇADA) OU PISO DE CONCRETO COM CONCRETO MOLDADO IN LOCO, USINADO,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</si>
  <si>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</si>
  <si>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</si>
  <si>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</si>
  <si>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</si>
  <si>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</si>
  <si>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</si>
  <si>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</si>
  <si>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</si>
  <si>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</si>
  <si>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</si>
  <si>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</si>
  <si>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</si>
  <si>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</si>
  <si>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</si>
  <si>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</si>
  <si>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</si>
  <si>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</si>
  <si>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</si>
  <si>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</si>
  <si>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</si>
  <si>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</si>
  <si>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</si>
  <si>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</si>
  <si>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</si>
  <si>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</si>
  <si>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</si>
  <si>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</si>
  <si>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</si>
  <si>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</si>
  <si>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</si>
  <si>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</si>
  <si>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</si>
  <si>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</si>
  <si>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</si>
  <si>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</si>
  <si>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</si>
  <si>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</si>
  <si>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</si>
  <si>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</si>
  <si>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</si>
  <si>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</si>
  <si>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</si>
  <si>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</si>
  <si>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</si>
  <si>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</si>
  <si>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</si>
  <si>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</si>
  <si>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</si>
  <si>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</si>
  <si>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</si>
  <si>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</si>
  <si>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</si>
  <si>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</si>
  <si>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</si>
  <si>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</si>
  <si>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</si>
  <si>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</si>
  <si>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</si>
  <si>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</si>
  <si>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</si>
  <si>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</si>
  <si>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</si>
  <si>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</si>
  <si>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</si>
  <si>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</si>
  <si>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</si>
  <si>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</si>
  <si>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</si>
  <si>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</si>
  <si>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</si>
  <si>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</si>
  <si>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</si>
  <si>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</si>
  <si>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</si>
  <si>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</si>
  <si>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</si>
  <si>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</si>
  <si>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</si>
  <si>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</si>
  <si>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</si>
  <si>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</si>
  <si>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</si>
  <si>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</si>
  <si>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</si>
  <si>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</si>
  <si>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</si>
  <si>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</si>
  <si>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</si>
  <si>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</si>
  <si>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</si>
  <si>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</si>
  <si>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</si>
  <si>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</si>
  <si>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</si>
  <si>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</si>
  <si>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</si>
  <si>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</si>
  <si>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</si>
  <si>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</si>
  <si>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</si>
  <si>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</si>
  <si>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</si>
  <si>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</si>
  <si>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</si>
  <si>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</si>
  <si>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</si>
  <si>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</si>
  <si>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</si>
  <si>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</si>
  <si>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</si>
  <si>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</si>
  <si>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</si>
  <si>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</si>
  <si>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</si>
  <si>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</si>
  <si>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</si>
  <si>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</si>
  <si>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</si>
  <si>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</si>
  <si>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</si>
  <si>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</si>
  <si>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</si>
  <si>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</si>
  <si>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</si>
  <si>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</si>
  <si>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</si>
  <si>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</si>
  <si>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</si>
  <si>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</si>
  <si>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</si>
  <si>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</si>
  <si>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</si>
  <si>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</si>
  <si>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</si>
  <si>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</si>
  <si>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</si>
  <si>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</si>
  <si>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</si>
  <si>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</si>
  <si>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</si>
  <si>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</si>
  <si>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</si>
  <si>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</si>
  <si>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</si>
  <si>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</si>
  <si>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</si>
  <si>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</si>
  <si>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</si>
  <si>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</si>
  <si>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</si>
  <si>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</si>
  <si>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</si>
  <si>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</si>
  <si>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</si>
  <si>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</si>
  <si>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</si>
  <si>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</si>
  <si>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</si>
  <si>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</si>
  <si>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</si>
  <si>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</si>
  <si>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</si>
  <si>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</si>
  <si>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</si>
  <si>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</si>
  <si>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</si>
  <si>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</si>
  <si>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</si>
  <si>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</si>
  <si>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</si>
  <si>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</si>
  <si>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</si>
  <si>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</si>
  <si>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</si>
  <si>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</si>
  <si>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</si>
  <si>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</si>
  <si>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</si>
  <si>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</si>
  <si>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</si>
  <si>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</si>
  <si>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</si>
  <si>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</si>
  <si>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</si>
  <si>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</si>
  <si>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</si>
  <si>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AF_068/2022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</si>
  <si>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</si>
  <si>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</si>
  <si>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</si>
  <si>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</si>
  <si>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</si>
  <si>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</si>
  <si>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</si>
  <si>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</si>
  <si>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</si>
  <si>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</si>
  <si>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</si>
  <si>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</si>
  <si>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</si>
  <si>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</si>
  <si>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</si>
  <si>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</si>
  <si>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</si>
  <si>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</si>
  <si>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</si>
  <si>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</si>
  <si>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</si>
  <si>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</si>
  <si>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</si>
  <si>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</si>
  <si>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</si>
  <si>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</si>
  <si>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</si>
  <si>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</si>
  <si>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</si>
  <si>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</si>
  <si>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</si>
  <si>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</si>
  <si>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</si>
  <si>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</si>
  <si>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</si>
  <si>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</si>
  <si>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</si>
  <si>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</si>
  <si>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</si>
  <si>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</si>
  <si>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</si>
  <si>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</si>
  <si>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</si>
  <si>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</si>
  <si>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</si>
  <si>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</si>
  <si>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</si>
  <si>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</si>
  <si>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</si>
  <si>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</si>
  <si>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</si>
  <si>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</si>
  <si>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</si>
  <si>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</si>
  <si>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</si>
  <si>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</si>
  <si>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</si>
  <si>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</si>
  <si>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</si>
  <si>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</si>
  <si>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</si>
  <si>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</si>
  <si>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</si>
  <si>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</si>
  <si>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</si>
  <si>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</si>
  <si>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</si>
  <si>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</si>
  <si>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</si>
  <si>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</si>
  <si>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</si>
  <si>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</si>
  <si>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</si>
  <si>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</si>
  <si>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</si>
  <si>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</si>
  <si>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</si>
  <si>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</si>
  <si>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</si>
  <si>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</si>
  <si>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</si>
  <si>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</si>
  <si>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</si>
  <si>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</si>
  <si>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</si>
  <si>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</si>
  <si>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</si>
  <si>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</si>
  <si>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</si>
  <si>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</si>
  <si>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</si>
  <si>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</si>
  <si>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</si>
  <si>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</si>
  <si>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</si>
  <si>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</si>
  <si>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</si>
  <si>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</si>
  <si>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</si>
  <si>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</si>
  <si>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</si>
  <si>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</si>
  <si>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</si>
  <si>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</si>
  <si>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</si>
  <si>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</si>
  <si>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</si>
  <si>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</si>
  <si>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</si>
  <si>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</si>
  <si>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</si>
  <si>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</si>
  <si>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</si>
  <si>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</si>
  <si>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</si>
  <si>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</si>
  <si>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</si>
  <si>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</si>
  <si>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</si>
  <si>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</si>
  <si>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</si>
  <si>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</si>
  <si>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</si>
  <si>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</si>
  <si>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</si>
  <si>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</si>
  <si>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</si>
  <si>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</si>
  <si>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</si>
  <si>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</si>
  <si>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</si>
  <si>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</si>
  <si>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</si>
  <si>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AF_05/2017_PS</t>
  </si>
  <si>
    <t>FORRO EM DRYWALL, PARA AMBIENTES RESIDENCIAIS, INCLUSIVE ESTRUTURA DE FIXAÇÃO. AF_05/2017_PS</t>
  </si>
  <si>
    <t>FORRO EM PLACAS DE GESSO, PARA AMBIENTES COMERCIAIS. AF_05/2017_PS</t>
  </si>
  <si>
    <t>FORRO EM DRYWALL, PARA AMBIENTES COMERCIAIS, INCLUSIVE ESTRUTURA DE FIXAÇÃO. AF_05/2017_PS</t>
  </si>
  <si>
    <t>ACABAMENTOS PARA FORRO (MOLDURA DE GESSO). AF_05/2017</t>
  </si>
  <si>
    <t>ACABAMENTOS PARA FORRO (MOLDURA EM DRYWALL, COM LARGURA DE 15 CM). AF_05/2017_PS</t>
  </si>
  <si>
    <t>ACABAMENTOS PARA FORRO (SANCA DE GESSO MONTADA NA OBRA). AF_05/2017_PS</t>
  </si>
  <si>
    <t>FORRO EM RÉGUAS DE PVC, FRISADO, PARA AMBIENTES RESIDENCIAIS, INCLUSIVE ESTRUTURA DE FIXAÇÃO. AF_05/2017_PS</t>
  </si>
  <si>
    <t>FORRO EM RÉGUAS DE PVC, FRISADO, PARA AMBIENTES COMERCIAIS, INCLUSIVE ESTRUTURA DE FIXAÇÃO. AF_05/2017_PS</t>
  </si>
  <si>
    <t>ACABAMENTOS PARA FORRO (RODA-FORRO EM PERFIL METÁLICO E PLÁSTICO). AF_05/2017</t>
  </si>
  <si>
    <t>FORRO EM RÉGUAS DE PVC, LISO, PARA AMBIENTES RESIDENCIAIS, INCLUSIVE ESTRUTURA DE FIXAÇÃO. AF_05/2017_PS</t>
  </si>
  <si>
    <t>FORRO DE PVC, LISO, PARA AMBIENTES COMERCIAIS, INCLUSIVE ESTRUTURA DE FIXAÇÃO. AF_05/2017_PS</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</si>
  <si>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</si>
  <si>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</si>
  <si>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</si>
  <si>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</si>
  <si>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</si>
  <si>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</si>
  <si>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</si>
  <si>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</si>
  <si>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</si>
  <si>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</si>
  <si>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</si>
  <si>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</si>
  <si>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</si>
  <si>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</si>
  <si>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</si>
  <si>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</si>
  <si>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</si>
  <si>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</si>
  <si>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</si>
  <si>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</si>
  <si>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</si>
  <si>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</si>
  <si>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</si>
  <si>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</si>
  <si>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</si>
  <si>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</si>
  <si>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</si>
  <si>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</si>
  <si>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</si>
  <si>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</si>
  <si>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</si>
  <si>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</si>
  <si>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</si>
  <si>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</si>
  <si>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</si>
  <si>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</si>
  <si>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</si>
  <si>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</si>
  <si>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</si>
  <si>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</si>
  <si>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</si>
  <si>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</si>
  <si>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</si>
  <si>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</si>
  <si>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</si>
  <si>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</si>
  <si>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</si>
  <si>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</si>
  <si>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</si>
  <si>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</si>
  <si>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</si>
  <si>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</si>
  <si>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</si>
  <si>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</si>
  <si>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</si>
  <si>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</si>
  <si>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</si>
  <si>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</si>
  <si>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</si>
  <si>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</si>
  <si>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</si>
  <si>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</si>
  <si>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</si>
  <si>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</si>
  <si>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</si>
  <si>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</si>
  <si>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</si>
  <si>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</si>
  <si>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</si>
  <si>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</si>
  <si>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</si>
  <si>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</si>
  <si>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</si>
  <si>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</si>
  <si>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</si>
  <si>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</si>
  <si>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</si>
  <si>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</si>
  <si>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</si>
  <si>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</si>
  <si>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</si>
  <si>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</si>
  <si>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</si>
  <si>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</si>
  <si>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</si>
  <si>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</si>
  <si>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</si>
  <si>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</si>
  <si>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</si>
  <si>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</si>
  <si>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</si>
  <si>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</si>
  <si>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</si>
  <si>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</si>
  <si>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</si>
  <si>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</si>
  <si>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</si>
  <si>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</si>
  <si>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</si>
  <si>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</si>
  <si>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</si>
  <si>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</si>
  <si>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</si>
  <si>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</si>
  <si>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</si>
  <si>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</si>
  <si>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</si>
  <si>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</si>
  <si>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</si>
  <si>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</si>
  <si>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</si>
  <si>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</si>
  <si>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</si>
  <si>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</si>
  <si>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</si>
  <si>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</si>
  <si>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</si>
  <si>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</si>
  <si>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</si>
  <si>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</si>
  <si>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</si>
  <si>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</si>
  <si>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</si>
  <si>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</si>
  <si>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</si>
  <si>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</si>
  <si>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</si>
  <si>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</si>
  <si>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</si>
  <si>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</si>
  <si>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</si>
  <si>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</si>
  <si>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</si>
  <si>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</si>
  <si>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</si>
  <si>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</si>
  <si>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</si>
  <si>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</si>
  <si>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</si>
  <si>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</si>
  <si>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</si>
  <si>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</si>
  <si>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</si>
  <si>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</si>
  <si>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</si>
  <si>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</si>
  <si>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</si>
  <si>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</si>
  <si>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</si>
  <si>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</si>
  <si>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</si>
  <si>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</si>
  <si>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</si>
  <si>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</si>
  <si>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</si>
  <si>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</si>
  <si>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</si>
  <si>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</si>
  <si>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</si>
  <si>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</si>
  <si>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</si>
  <si>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</si>
  <si>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</si>
  <si>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</si>
  <si>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</si>
  <si>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</si>
  <si>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</si>
  <si>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</si>
  <si>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</si>
  <si>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</si>
  <si>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</si>
  <si>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</si>
  <si>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</si>
  <si>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</si>
  <si>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</si>
  <si>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</si>
  <si>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</si>
  <si>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</si>
  <si>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</si>
  <si>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</si>
  <si>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</si>
  <si>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</si>
  <si>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</si>
  <si>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</si>
  <si>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</si>
  <si>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</si>
  <si>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</si>
  <si>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</si>
  <si>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</si>
  <si>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</si>
  <si>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</si>
  <si>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</si>
  <si>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</si>
  <si>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</si>
  <si>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</si>
  <si>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</si>
  <si>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</si>
  <si>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</si>
  <si>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</si>
  <si>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</si>
  <si>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</si>
  <si>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</si>
  <si>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</si>
  <si>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</si>
  <si>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</si>
  <si>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</si>
  <si>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</si>
  <si>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</si>
  <si>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</si>
  <si>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</si>
  <si>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</si>
  <si>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</si>
  <si>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</si>
  <si>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</si>
  <si>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</si>
  <si>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</si>
  <si>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</si>
  <si>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</si>
  <si>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</si>
  <si>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</si>
  <si>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</si>
  <si>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</si>
  <si>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</si>
  <si>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</si>
  <si>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</si>
  <si>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</si>
  <si>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</si>
  <si>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</si>
  <si>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</si>
  <si>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</si>
  <si>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</si>
  <si>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</si>
  <si>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</si>
  <si>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</si>
  <si>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</si>
  <si>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</si>
  <si>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</si>
  <si>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</si>
  <si>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</si>
  <si>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</si>
  <si>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</si>
  <si>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</si>
  <si>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</si>
  <si>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</si>
  <si>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</si>
  <si>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</si>
  <si>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</si>
  <si>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</si>
  <si>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</si>
  <si>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</si>
  <si>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</si>
  <si>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</si>
  <si>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</si>
  <si>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</si>
  <si>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</si>
  <si>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</si>
  <si>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</si>
  <si>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</si>
  <si>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</si>
  <si>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</si>
  <si>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</si>
  <si>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</si>
  <si>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</si>
  <si>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</si>
  <si>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</si>
  <si>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</si>
  <si>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</si>
  <si>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</si>
  <si>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</si>
  <si>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</si>
  <si>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</si>
  <si>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</si>
  <si>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</si>
  <si>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</si>
  <si>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</si>
  <si>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</si>
  <si>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</si>
  <si>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</si>
  <si>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</si>
  <si>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</si>
  <si>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</si>
  <si>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</si>
  <si>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</si>
  <si>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</si>
  <si>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</si>
  <si>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</si>
  <si>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</si>
  <si>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</si>
  <si>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</si>
  <si>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</si>
  <si>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</si>
  <si>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</si>
  <si>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</si>
  <si>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</si>
  <si>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</si>
  <si>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</si>
  <si>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</si>
  <si>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</si>
  <si>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</si>
  <si>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</si>
  <si>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</si>
  <si>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</si>
  <si>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</si>
  <si>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</si>
  <si>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</si>
  <si>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</si>
  <si>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</si>
  <si>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</si>
  <si>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</si>
  <si>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</si>
  <si>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</si>
  <si>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</si>
  <si>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</si>
  <si>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</si>
  <si>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</si>
  <si>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</si>
  <si>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</si>
  <si>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</si>
  <si>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</si>
  <si>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</si>
  <si>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</si>
  <si>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</si>
  <si>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</si>
  <si>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</si>
  <si>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</si>
  <si>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</si>
  <si>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</si>
  <si>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</si>
  <si>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</si>
  <si>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</si>
  <si>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</si>
  <si>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</si>
  <si>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</si>
  <si>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</si>
  <si>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</si>
  <si>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</si>
  <si>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</si>
  <si>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</si>
  <si>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</si>
  <si>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</si>
  <si>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</si>
  <si>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</si>
  <si>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</si>
  <si>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</si>
  <si>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</si>
  <si>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</si>
  <si>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</si>
  <si>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</si>
  <si>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</si>
  <si>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</si>
  <si>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</si>
  <si>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</si>
  <si>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</si>
  <si>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</si>
  <si>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</si>
  <si>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</si>
  <si>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</si>
  <si>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</si>
  <si>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</si>
  <si>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</si>
  <si>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</si>
  <si>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</si>
  <si>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</si>
  <si>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</si>
  <si>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</si>
  <si>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</si>
  <si>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</si>
  <si>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</si>
  <si>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</si>
  <si>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</si>
  <si>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</si>
  <si>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</si>
  <si>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</si>
  <si>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</si>
  <si>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</si>
  <si>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</si>
  <si>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</si>
  <si>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</si>
  <si>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</si>
  <si>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</si>
  <si>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</si>
  <si>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</si>
  <si>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</si>
  <si>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</si>
  <si>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</si>
  <si>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</si>
  <si>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</si>
  <si>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</si>
  <si>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</si>
  <si>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</si>
  <si>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</si>
  <si>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</si>
  <si>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</si>
  <si>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</si>
  <si>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</si>
  <si>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</si>
  <si>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</si>
  <si>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</si>
  <si>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</si>
  <si>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</si>
  <si>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</si>
  <si>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</si>
  <si>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</si>
  <si>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</si>
  <si>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</si>
  <si>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</si>
  <si>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</si>
  <si>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</si>
  <si>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</si>
  <si>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</si>
  <si>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</si>
  <si>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</si>
  <si>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</si>
  <si>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</si>
  <si>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</si>
  <si>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</si>
  <si>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</si>
  <si>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</si>
  <si>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</si>
  <si>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</si>
  <si>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</si>
  <si>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</si>
  <si>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</si>
  <si>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</si>
  <si>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</si>
  <si>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</si>
  <si>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</si>
  <si>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</si>
  <si>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</si>
  <si>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</si>
  <si>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</si>
  <si>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</si>
  <si>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</si>
  <si>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</si>
  <si>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</si>
  <si>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</si>
  <si>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</si>
  <si>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</si>
  <si>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</si>
  <si>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</si>
  <si>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</si>
  <si>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</si>
  <si>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</si>
  <si>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</si>
  <si>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</si>
  <si>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</si>
  <si>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</si>
  <si>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</si>
  <si>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</si>
  <si>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</si>
  <si>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</si>
  <si>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</si>
  <si>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</si>
  <si>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</si>
  <si>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</si>
  <si>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</si>
  <si>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</si>
  <si>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</si>
  <si>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</si>
  <si>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</si>
  <si>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</si>
  <si>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</si>
  <si>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</si>
  <si>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</si>
  <si>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</si>
  <si>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</si>
  <si>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</si>
  <si>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</si>
  <si>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</si>
  <si>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</si>
  <si>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</si>
  <si>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</si>
  <si>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</si>
  <si>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</si>
  <si>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</si>
  <si>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</si>
  <si>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</si>
  <si>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</si>
  <si>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</si>
  <si>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</si>
  <si>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</si>
  <si>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</si>
  <si>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</si>
  <si>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</si>
  <si>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</si>
  <si>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</si>
  <si>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</si>
  <si>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</si>
  <si>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</si>
  <si>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</si>
  <si>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</si>
  <si>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</si>
  <si>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</si>
  <si>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</si>
  <si>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</si>
  <si>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</si>
  <si>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</si>
  <si>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</si>
  <si>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</si>
  <si>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</si>
  <si>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</si>
  <si>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</si>
  <si>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</si>
  <si>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</si>
  <si>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</si>
  <si>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</si>
  <si>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</si>
  <si>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</si>
  <si>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</si>
  <si>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</si>
  <si>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</si>
  <si>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</si>
  <si>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</si>
  <si>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</si>
  <si>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</si>
  <si>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</si>
  <si>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</si>
  <si>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</si>
  <si>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</si>
  <si>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</si>
  <si>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</si>
  <si>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</si>
  <si>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</si>
  <si>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</si>
  <si>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</si>
  <si>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</si>
  <si>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</si>
  <si>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</si>
  <si>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</si>
  <si>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</si>
  <si>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</si>
  <si>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</si>
  <si>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</si>
  <si>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BATATAIS EM PLACAS. AF_05/2018</t>
  </si>
  <si>
    <t>PLANTIO DE FORRAÇÃO. AF_05/2018</t>
  </si>
  <si>
    <t>PLANTIO DE GRAMA ESMERALDA OU SÃO CARLOS OU CURITIBANA, EM PLACAS. AF_05/2022</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</si>
  <si>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</si>
  <si>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</si>
  <si>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</si>
  <si>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</si>
  <si>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</si>
  <si>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</si>
  <si>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</si>
  <si>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</si>
  <si>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</si>
  <si>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</si>
  <si>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</si>
  <si>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</si>
  <si>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</si>
  <si>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</si>
  <si>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</si>
  <si>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</si>
  <si>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</si>
  <si>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</si>
  <si>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</si>
  <si>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</si>
  <si>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</si>
  <si>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</si>
  <si>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</si>
  <si>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</si>
  <si>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</si>
  <si>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</si>
  <si>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</si>
  <si>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</si>
  <si>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</si>
  <si>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</si>
  <si>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</si>
  <si>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</si>
  <si>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</si>
  <si>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</si>
  <si>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</si>
  <si>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</si>
  <si>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</si>
  <si>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</si>
  <si>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</si>
  <si>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</si>
  <si>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</si>
  <si>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</si>
  <si>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</si>
  <si>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</si>
  <si>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</si>
  <si>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</si>
  <si>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</si>
  <si>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</si>
  <si>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</si>
  <si>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</si>
  <si>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</si>
  <si>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</si>
  <si>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</si>
  <si>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</si>
  <si>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</si>
  <si>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</si>
  <si>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</si>
  <si>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</si>
  <si>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</si>
  <si>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</si>
  <si>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</si>
  <si>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</si>
  <si>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</si>
  <si>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</si>
  <si>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</si>
  <si>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</si>
  <si>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</si>
  <si>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</si>
  <si>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</si>
  <si>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</si>
  <si>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</si>
  <si>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</si>
  <si>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</si>
  <si>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</si>
  <si>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</si>
  <si>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</si>
  <si>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</si>
  <si>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</si>
  <si>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</si>
  <si>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</si>
  <si>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</si>
  <si>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</si>
  <si>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</si>
  <si>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</si>
  <si>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</si>
  <si>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</si>
  <si>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</si>
  <si>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</si>
  <si>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</si>
  <si>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</si>
  <si>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</si>
  <si>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</si>
  <si>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</si>
  <si>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</si>
  <si>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</si>
  <si>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</si>
  <si>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</si>
  <si>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</si>
  <si>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</si>
  <si>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</si>
  <si>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</si>
  <si>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</si>
  <si>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</si>
  <si>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</si>
  <si>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</si>
  <si>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</si>
  <si>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</si>
  <si>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</si>
  <si>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</si>
  <si>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</si>
  <si>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</si>
  <si>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</si>
  <si>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</si>
  <si>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</si>
  <si>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</si>
  <si>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</si>
  <si>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</si>
  <si>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</si>
  <si>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</si>
  <si>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</si>
  <si>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</si>
  <si>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</si>
  <si>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</si>
  <si>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</si>
  <si>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</si>
  <si>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</si>
  <si>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</si>
  <si>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</si>
  <si>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</si>
  <si>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</si>
  <si>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</si>
  <si>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</si>
  <si>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</si>
  <si>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</si>
  <si>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</si>
  <si>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</si>
  <si>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</si>
  <si>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</si>
  <si>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</si>
  <si>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</si>
  <si>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</si>
  <si>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</si>
  <si>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</si>
  <si>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</si>
  <si>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</si>
  <si>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</si>
  <si>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</si>
  <si>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</si>
  <si>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</si>
  <si>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</si>
  <si>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</si>
  <si>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</si>
  <si>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</si>
  <si>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</si>
  <si>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</si>
  <si>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</si>
  <si>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</si>
  <si>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</si>
  <si>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</si>
  <si>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</si>
  <si>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</si>
  <si>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</si>
  <si>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</si>
  <si>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</si>
  <si>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</si>
  <si>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</si>
  <si>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</si>
  <si>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</si>
  <si>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</si>
  <si>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</si>
  <si>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</si>
  <si>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</si>
  <si>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</si>
  <si>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</si>
  <si>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</si>
  <si>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</si>
  <si>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</si>
  <si>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</si>
  <si>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</si>
  <si>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</si>
  <si>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</si>
  <si>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</si>
  <si>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</si>
  <si>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</si>
  <si>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</si>
  <si>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</si>
  <si>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</si>
  <si>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</si>
  <si>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</si>
  <si>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</si>
  <si>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</si>
  <si>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</si>
  <si>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</si>
  <si>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</si>
  <si>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</si>
  <si>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</si>
  <si>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</si>
  <si>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</si>
  <si>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</si>
  <si>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</si>
  <si>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</si>
  <si>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</si>
  <si>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</si>
  <si>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</si>
  <si>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</si>
  <si>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</si>
  <si>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</si>
  <si>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</si>
  <si>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</si>
  <si>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</si>
  <si>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</si>
  <si>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</si>
  <si>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</si>
  <si>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</si>
  <si>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</si>
  <si>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</si>
  <si>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</si>
  <si>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</si>
  <si>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</si>
  <si>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</si>
  <si>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</si>
  <si>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</si>
  <si>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</si>
  <si>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</si>
  <si>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</si>
  <si>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</si>
  <si>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</si>
  <si>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</si>
  <si>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</si>
  <si>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</si>
  <si>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</si>
  <si>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</si>
  <si>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</si>
  <si>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</si>
  <si>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</si>
  <si>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</si>
  <si>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</si>
  <si>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</si>
  <si>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</si>
  <si>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</si>
  <si>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</si>
  <si>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</si>
  <si>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</si>
  <si>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</si>
  <si>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</si>
  <si>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</si>
  <si>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</si>
  <si>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</si>
  <si>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</si>
  <si>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</si>
  <si>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</si>
  <si>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</si>
  <si>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</si>
  <si>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</si>
  <si>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</si>
  <si>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</si>
  <si>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</si>
  <si>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</si>
  <si>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</si>
  <si>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</si>
  <si>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</si>
  <si>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</si>
  <si>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</si>
  <si>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</si>
  <si>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</si>
  <si>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</si>
  <si>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</si>
  <si>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</si>
  <si>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</si>
  <si>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</si>
  <si>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</si>
  <si>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</si>
  <si>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</si>
  <si>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</si>
  <si>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</si>
  <si>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</si>
  <si>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</si>
  <si>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</si>
  <si>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</si>
  <si>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</si>
  <si>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</si>
  <si>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</si>
  <si>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</si>
  <si>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</si>
  <si>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</si>
  <si>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</si>
  <si>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</si>
  <si>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</si>
  <si>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</si>
  <si>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</si>
  <si>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</si>
  <si>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</si>
  <si>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</si>
  <si>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</si>
  <si>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</si>
  <si>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</si>
  <si>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</si>
  <si>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</si>
  <si>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</si>
  <si>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</si>
  <si>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</si>
  <si>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</si>
  <si>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</si>
  <si>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</si>
  <si>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</si>
  <si>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</si>
  <si>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</si>
  <si>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</si>
  <si>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</si>
  <si>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</si>
  <si>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</si>
  <si>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</si>
  <si>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</si>
  <si>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</si>
  <si>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</si>
  <si>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</si>
  <si>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</si>
  <si>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</si>
  <si>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</si>
  <si>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</si>
  <si>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</si>
  <si>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</si>
  <si>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</si>
  <si>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</si>
  <si>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</si>
  <si>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</si>
  <si>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</si>
  <si>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</si>
  <si>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</si>
  <si>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</si>
  <si>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</si>
  <si>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</si>
  <si>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</si>
  <si>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</si>
  <si>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</si>
  <si>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</si>
  <si>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</si>
  <si>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</si>
  <si>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</si>
  <si>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</si>
  <si>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</si>
  <si>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</si>
  <si>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</si>
  <si>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</si>
  <si>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</si>
  <si>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</si>
  <si>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</si>
  <si>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</si>
  <si>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</si>
  <si>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</si>
  <si>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</si>
  <si>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</si>
  <si>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</si>
  <si>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</si>
  <si>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</si>
  <si>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</si>
  <si>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</si>
  <si>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</si>
  <si>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</si>
  <si>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</si>
  <si>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</si>
  <si>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</si>
  <si>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</si>
  <si>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</si>
  <si>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</si>
  <si>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</si>
  <si>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</si>
  <si>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</si>
  <si>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</si>
  <si>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</si>
  <si>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</si>
  <si>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</si>
  <si>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</si>
  <si>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</si>
  <si>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</si>
  <si>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</si>
  <si>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</si>
  <si>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</si>
  <si>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</si>
  <si>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</si>
  <si>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</si>
  <si>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</si>
  <si>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</si>
  <si>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</si>
  <si>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</si>
  <si>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</si>
  <si>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</si>
  <si>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</si>
  <si>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</si>
  <si>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</si>
  <si>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</si>
  <si>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</si>
  <si>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</si>
  <si>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</si>
  <si>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</si>
  <si>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</si>
  <si>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</si>
  <si>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</si>
  <si>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</si>
  <si>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</si>
  <si>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</si>
  <si>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</si>
  <si>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</si>
  <si>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</si>
  <si>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</si>
  <si>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</si>
  <si>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</si>
  <si>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</si>
  <si>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SERVIÇO</t>
  </si>
  <si>
    <t>SINAPI</t>
  </si>
  <si>
    <t>ENGENHEIRO AMBIENTAL DE OBRA PLENO COM ENCARGOS COMPLEMENTARES</t>
  </si>
  <si>
    <t>EQUIPE TÉCNICA GERENCIAL</t>
  </si>
  <si>
    <t>EQUIPE TÉCNICA OPERACIONAL</t>
  </si>
  <si>
    <t>EQUIPE DE SEGURANÇA PATRIMONIAL</t>
  </si>
  <si>
    <t>DER</t>
  </si>
  <si>
    <t>EQUIPAMENTO</t>
  </si>
  <si>
    <t xml:space="preserve">DESPESAS COM TRANSPORTE </t>
  </si>
  <si>
    <t xml:space="preserve">DER </t>
  </si>
  <si>
    <t>ENGENHEIRO CIVIL DE PLANEJAMENTO DE OBRA PLENO COM ENCARGOS COMPLEMENTARES</t>
  </si>
  <si>
    <t>EQUIPE DE TOPOGRAFIA</t>
  </si>
  <si>
    <t>SINALIZAÇÃO DE OBRA</t>
  </si>
  <si>
    <t>DMT (KM)</t>
  </si>
  <si>
    <t>COMPOSIÇÃO DE CUSTO UNITÁRIO - MOBILIZAÇÃO DE EQUIPAMENTOS</t>
  </si>
  <si>
    <t>DMT (KM) - CAPITAL MAIS PRÓXIMA ATÉ O CANTEIRO (CURITIBA/PR)</t>
  </si>
  <si>
    <t>VELOCIDADE MÉDIA DE TRANSPORTE (KM/H) - PAVIMENTADO</t>
  </si>
  <si>
    <t>COMPOSIÇÃO DE CUSTO UNITÁRIO - TRANSPORTE</t>
  </si>
  <si>
    <t>FÓRMULA</t>
  </si>
  <si>
    <t>CONSUMO</t>
  </si>
  <si>
    <t>CRONOGRAMA FÍSICO FINANCEIRO</t>
  </si>
  <si>
    <t>R$</t>
  </si>
  <si>
    <t>1ª MEDIÇÃO</t>
  </si>
  <si>
    <t>2ª MEDIÇÃO</t>
  </si>
  <si>
    <t>3ª MEDIÇÃO</t>
  </si>
  <si>
    <t>4ª MEDIÇÃO</t>
  </si>
  <si>
    <t>5ª MEDIÇÃO</t>
  </si>
  <si>
    <t>6ª MEDIÇÃO</t>
  </si>
  <si>
    <t>7ª MEDIÇÃO</t>
  </si>
  <si>
    <t>8ª MEDIÇÃO</t>
  </si>
  <si>
    <t>9ª MEDIÇÃO</t>
  </si>
  <si>
    <t>10ª MEDIÇÃO</t>
  </si>
  <si>
    <t>11ª MEDIÇÃO</t>
  </si>
  <si>
    <t>12ª MEDIÇÃO</t>
  </si>
  <si>
    <t>13ª MEDIÇÃO</t>
  </si>
  <si>
    <t>14ª MEDIÇÃO</t>
  </si>
  <si>
    <t>15ª MEDIÇÃO</t>
  </si>
  <si>
    <t>16ª MEDIÇÃO</t>
  </si>
  <si>
    <t>17ª MEDIÇÃO</t>
  </si>
  <si>
    <t>18ª MEDIÇÃO</t>
  </si>
  <si>
    <t>19ª MEDIÇÃO</t>
  </si>
  <si>
    <t>20ª MEDIÇÃO</t>
  </si>
  <si>
    <t>21ª MEDIÇÃO</t>
  </si>
  <si>
    <t xml:space="preserve">CÁLCULO DAS DISTÂNCIAS </t>
  </si>
  <si>
    <t>DESTINO</t>
  </si>
  <si>
    <t>ORIGEM</t>
  </si>
  <si>
    <t xml:space="preserve">PAV. </t>
  </si>
  <si>
    <t>NÃO PAV.</t>
  </si>
  <si>
    <t>BOTA FORA</t>
  </si>
  <si>
    <t>TRECHO</t>
  </si>
  <si>
    <t>USINA DE ASFALTO</t>
  </si>
  <si>
    <t>USINA DE SOLOS</t>
  </si>
  <si>
    <t>MATERIAL DE LIMPEZA</t>
  </si>
  <si>
    <t>MATERIAL DE PAVIMENTO DEMOLIDO</t>
  </si>
  <si>
    <t>ÁRVORES/MADEIRA</t>
  </si>
  <si>
    <t>MATERIAL DE BOTA FORA</t>
  </si>
  <si>
    <t>ENTULHOS</t>
  </si>
  <si>
    <t>AREIA (TRECHO)</t>
  </si>
  <si>
    <t>PEDRA BRITADA (TRECHO)</t>
  </si>
  <si>
    <t>PEDRA DE MÃO SELECIONADA</t>
  </si>
  <si>
    <t>CIMENTO (TRECHO)</t>
  </si>
  <si>
    <t>CAL HIDRATADA/VIRGEM</t>
  </si>
  <si>
    <t>BLOCO DE CONCRETO P/ PAVIMENTO</t>
  </si>
  <si>
    <t>TUBO DE CONCRETO</t>
  </si>
  <si>
    <t>ABRIGO PARADA ÔNIBUS</t>
  </si>
  <si>
    <t>GABIÃO GALVANIZADO</t>
  </si>
  <si>
    <t>PÓ DE PEDRA BRITADA</t>
  </si>
  <si>
    <t>PEDRA BRITADA (OAE)</t>
  </si>
  <si>
    <t>PEDRA BRITADA 4" (RACHÃO)</t>
  </si>
  <si>
    <t>MASSA (BRITA GRADUADA)</t>
  </si>
  <si>
    <t>EMULSÃO ASFÁLTICA PARA IMPRIMAÇÃO EAI</t>
  </si>
  <si>
    <t>PRODUTO ASFÁLTICO A FRIO (EMULSÃO) - RR-1C</t>
  </si>
  <si>
    <t>MASSA (CBUQ-POLÍMERO)</t>
  </si>
  <si>
    <t>PEDRA BRITADA (USINA ASFALTO)</t>
  </si>
  <si>
    <t>AREIA (USINA)</t>
  </si>
  <si>
    <t>CAL HIDRATADA CH-I (USINA)</t>
  </si>
  <si>
    <t>CIMENTO ASFÁLTICO CAP-50/70 C/ POLÍMERO</t>
  </si>
  <si>
    <t>MATERIAL JAZIDA 1A.CAT.</t>
  </si>
  <si>
    <t>PEDRA BRITADA (USINA DE SOLOS)</t>
  </si>
  <si>
    <t>SÃO JOSÉ DOS PINHAIS, PR</t>
  </si>
  <si>
    <t>CAMPO LARGO, PR</t>
  </si>
  <si>
    <t>RIO BRANCO DO SUL, PR</t>
  </si>
  <si>
    <t>PONTA GROSSA, PR</t>
  </si>
  <si>
    <t>JUNDIAÍ, SP</t>
  </si>
  <si>
    <t>ARAUCÁRIA, PR</t>
  </si>
  <si>
    <t>MANDIRITUBA, PR</t>
  </si>
  <si>
    <t>PLANILHA DE INSTRUÇÕES</t>
  </si>
  <si>
    <t>2. QUANTO AS BASES DE REFERÊNCIAS DE CUSTOS UTILIZADAS</t>
  </si>
  <si>
    <t>3. QUANTO AO REGIME DA FOLHA DE PAGAMENTO DESTA VERSÃO</t>
  </si>
  <si>
    <t>INSTRUÇÕES ÀS LICITANTES</t>
  </si>
  <si>
    <t>1. QUANTO AS CORES UTILIZADAS NAS ABAS DESTE ARQUIVO</t>
  </si>
  <si>
    <t>AC - ADMINISTRAÇÃO CENTRAL</t>
  </si>
  <si>
    <t>SG - SEGUROS + GARANTIA</t>
  </si>
  <si>
    <t>R - RISCOS</t>
  </si>
  <si>
    <t>DF - DESPESAS FINANCEIRAS</t>
  </si>
  <si>
    <t>L - LUCRO BRUTO</t>
  </si>
  <si>
    <t>I - IMPOSTOS</t>
  </si>
  <si>
    <t>6.1</t>
  </si>
  <si>
    <t>6.2</t>
  </si>
  <si>
    <t>6.3</t>
  </si>
  <si>
    <t>6.4</t>
  </si>
  <si>
    <t>CONTRIB.PREV. SOBRE REC. BRUTA - CPRB</t>
  </si>
  <si>
    <t>Equação Acordão TCU 2.622/2013 - Plenário</t>
  </si>
  <si>
    <t>AC: taxa de administração central;</t>
  </si>
  <si>
    <t>S: taxa de seguros;</t>
  </si>
  <si>
    <t>G: taxa de garantias;</t>
  </si>
  <si>
    <t>R: taxa de riscos;</t>
  </si>
  <si>
    <t>DF: taxa de despesas financeiras;</t>
  </si>
  <si>
    <t>L: taxa de lucro/remuneração;</t>
  </si>
  <si>
    <t>I: taxa de incidência de impostos (PIS, COFINS, ISS, CPRB).</t>
  </si>
  <si>
    <t>Com CPRB</t>
  </si>
  <si>
    <t>Sem CPRB</t>
  </si>
  <si>
    <t>Parâmetros do Acórdão 2.622/2013 - Plenário</t>
  </si>
  <si>
    <t>ISS (CONFORME LEGISLAÇÃO MUNICIPAL)</t>
  </si>
  <si>
    <t>SITUAÇÃO DO INTERVALO ADMISSIVEL</t>
  </si>
  <si>
    <t>TAXA (%)</t>
  </si>
  <si>
    <t>2º Quartil</t>
  </si>
  <si>
    <t>1º Quartil</t>
  </si>
  <si>
    <t>3º Quartil</t>
  </si>
  <si>
    <t>ELABORADA EM CONFORMIDADE COM O ACÓRDÃO 2622/2013 DO TRIBUNAL DE CONTAS DA UNIÃO PARA A TIPOLOGIA DE OBRA DE CONSTRUÇÃO DE RODOVIAS E FERROVIAS</t>
  </si>
  <si>
    <t>PARCELAS DO BDI PARA RODOVIAS (%)</t>
  </si>
  <si>
    <t>Parâmetros da fórmula utilizada:</t>
  </si>
  <si>
    <t>COMPOSIÇÃO DA TAXA DE BENEFÍCIOS E DESPESAS INDIRETAS - BDI - ACÓRDÃO 2.622/2013 - TCU - PLENÁRIO</t>
  </si>
  <si>
    <t>4. QUANTO A COMPOSIÇÃO DA TAXA DE BENEFÍCIOS E DESPESAS INDIRETAS - BDI</t>
  </si>
  <si>
    <t>5. QUANTO A FORMA DE APLICAÇÃO DO DESCONTO</t>
  </si>
  <si>
    <t>LINEAR</t>
  </si>
  <si>
    <t>COMPOSIÇÃO DE CUSTO UNITÁRIO - SINALIZAÇÃO DE OBRA</t>
  </si>
  <si>
    <t>Descrição</t>
  </si>
  <si>
    <t>M0003</t>
  </si>
  <si>
    <t>M0004</t>
  </si>
  <si>
    <t>M0005</t>
  </si>
  <si>
    <t>M0006</t>
  </si>
  <si>
    <t>M0007</t>
  </si>
  <si>
    <t>M0008</t>
  </si>
  <si>
    <t>M0009</t>
  </si>
  <si>
    <t>M0010</t>
  </si>
  <si>
    <t>M0011</t>
  </si>
  <si>
    <t>M0012</t>
  </si>
  <si>
    <t>M0013</t>
  </si>
  <si>
    <t>M0014</t>
  </si>
  <si>
    <t>M0015</t>
  </si>
  <si>
    <t>M0016</t>
  </si>
  <si>
    <t>M0017</t>
  </si>
  <si>
    <t>M0018</t>
  </si>
  <si>
    <t>M0019</t>
  </si>
  <si>
    <t>M0020</t>
  </si>
  <si>
    <t>M0021</t>
  </si>
  <si>
    <t>M0025</t>
  </si>
  <si>
    <t>M0026</t>
  </si>
  <si>
    <t>M0028</t>
  </si>
  <si>
    <t>M0029</t>
  </si>
  <si>
    <t>M0030</t>
  </si>
  <si>
    <t>M0032</t>
  </si>
  <si>
    <t>M0035</t>
  </si>
  <si>
    <t>M0039</t>
  </si>
  <si>
    <t>M0041</t>
  </si>
  <si>
    <t>M0042</t>
  </si>
  <si>
    <t>M0043</t>
  </si>
  <si>
    <t>M0044</t>
  </si>
  <si>
    <t>M0045</t>
  </si>
  <si>
    <t>M0046</t>
  </si>
  <si>
    <t>M0048</t>
  </si>
  <si>
    <t>M0049</t>
  </si>
  <si>
    <t>M0050</t>
  </si>
  <si>
    <t>M0052</t>
  </si>
  <si>
    <t>M0053</t>
  </si>
  <si>
    <t>M0054</t>
  </si>
  <si>
    <t>M0055</t>
  </si>
  <si>
    <t>M0056</t>
  </si>
  <si>
    <t>M0057</t>
  </si>
  <si>
    <t>M0058</t>
  </si>
  <si>
    <t>M0059</t>
  </si>
  <si>
    <t>M0060</t>
  </si>
  <si>
    <t>M0065</t>
  </si>
  <si>
    <t>M0066</t>
  </si>
  <si>
    <t>M0067</t>
  </si>
  <si>
    <t>M0068</t>
  </si>
  <si>
    <t>M0069</t>
  </si>
  <si>
    <t>M0071</t>
  </si>
  <si>
    <t>M0072</t>
  </si>
  <si>
    <t>M0073</t>
  </si>
  <si>
    <t>M0074</t>
  </si>
  <si>
    <t>M0075</t>
  </si>
  <si>
    <t>M0076</t>
  </si>
  <si>
    <t>M0080</t>
  </si>
  <si>
    <t>M0081</t>
  </si>
  <si>
    <t>M0082</t>
  </si>
  <si>
    <t>M0083</t>
  </si>
  <si>
    <t>M0084</t>
  </si>
  <si>
    <t>M0085</t>
  </si>
  <si>
    <t>M0086</t>
  </si>
  <si>
    <t>M0087</t>
  </si>
  <si>
    <t>M0088</t>
  </si>
  <si>
    <t>M0089</t>
  </si>
  <si>
    <t>M0091</t>
  </si>
  <si>
    <t>M0092</t>
  </si>
  <si>
    <t>M0093</t>
  </si>
  <si>
    <t>M0094</t>
  </si>
  <si>
    <t>M0098</t>
  </si>
  <si>
    <t>M0099</t>
  </si>
  <si>
    <t>ISF</t>
  </si>
  <si>
    <t>M0100</t>
  </si>
  <si>
    <t>M0101</t>
  </si>
  <si>
    <t>M0102</t>
  </si>
  <si>
    <t>M0103</t>
  </si>
  <si>
    <t>M0104</t>
  </si>
  <si>
    <t>M0105</t>
  </si>
  <si>
    <t>M0106</t>
  </si>
  <si>
    <t>M0107</t>
  </si>
  <si>
    <t>M0108</t>
  </si>
  <si>
    <t>M0109</t>
  </si>
  <si>
    <t>M0110</t>
  </si>
  <si>
    <t>M0111</t>
  </si>
  <si>
    <t>M0112</t>
  </si>
  <si>
    <t>M0113</t>
  </si>
  <si>
    <t>M0114</t>
  </si>
  <si>
    <t>M0115</t>
  </si>
  <si>
    <t>M0116</t>
  </si>
  <si>
    <t>M0117</t>
  </si>
  <si>
    <t>M0118</t>
  </si>
  <si>
    <t>M0119</t>
  </si>
  <si>
    <t>M0120</t>
  </si>
  <si>
    <t>M0121</t>
  </si>
  <si>
    <t>M0122</t>
  </si>
  <si>
    <t>M0123</t>
  </si>
  <si>
    <t>M0124</t>
  </si>
  <si>
    <t>M0125</t>
  </si>
  <si>
    <t>M0126</t>
  </si>
  <si>
    <t>M0127</t>
  </si>
  <si>
    <t>M0128</t>
  </si>
  <si>
    <t>M0129</t>
  </si>
  <si>
    <t>M0130</t>
  </si>
  <si>
    <t>M0131</t>
  </si>
  <si>
    <t>M0132</t>
  </si>
  <si>
    <t>M0133</t>
  </si>
  <si>
    <t>M0134</t>
  </si>
  <si>
    <t>M0135</t>
  </si>
  <si>
    <t>M0136</t>
  </si>
  <si>
    <t>M0137</t>
  </si>
  <si>
    <t>M0138</t>
  </si>
  <si>
    <t>M0139</t>
  </si>
  <si>
    <t>M0140</t>
  </si>
  <si>
    <t>M0141</t>
  </si>
  <si>
    <t>M0142</t>
  </si>
  <si>
    <t>M0143</t>
  </si>
  <si>
    <t>M0144</t>
  </si>
  <si>
    <t>M0145</t>
  </si>
  <si>
    <t>M0146</t>
  </si>
  <si>
    <t>M0147</t>
  </si>
  <si>
    <t>M0148</t>
  </si>
  <si>
    <t>M0149</t>
  </si>
  <si>
    <t>M0150</t>
  </si>
  <si>
    <t>M0151</t>
  </si>
  <si>
    <t>M0152</t>
  </si>
  <si>
    <t>M0153</t>
  </si>
  <si>
    <t>M0156</t>
  </si>
  <si>
    <t>M0158</t>
  </si>
  <si>
    <t>M0160</t>
  </si>
  <si>
    <t>M0161</t>
  </si>
  <si>
    <t>M0162</t>
  </si>
  <si>
    <t>M0163</t>
  </si>
  <si>
    <t>M0164</t>
  </si>
  <si>
    <t>M0166</t>
  </si>
  <si>
    <t>M0167</t>
  </si>
  <si>
    <t>M0168</t>
  </si>
  <si>
    <t>M0169</t>
  </si>
  <si>
    <t>M0173</t>
  </si>
  <si>
    <t>M0178</t>
  </si>
  <si>
    <t>M0181</t>
  </si>
  <si>
    <t>M0184</t>
  </si>
  <si>
    <t>M0191</t>
  </si>
  <si>
    <t>M0192</t>
  </si>
  <si>
    <t>M0193</t>
  </si>
  <si>
    <t>M0194</t>
  </si>
  <si>
    <t>M0198</t>
  </si>
  <si>
    <t>M0199</t>
  </si>
  <si>
    <t>M0201</t>
  </si>
  <si>
    <t>M0202</t>
  </si>
  <si>
    <t>M0204</t>
  </si>
  <si>
    <t>CMCC</t>
  </si>
  <si>
    <t>M0217</t>
  </si>
  <si>
    <t>M0220</t>
  </si>
  <si>
    <t>M0222</t>
  </si>
  <si>
    <t>M0223</t>
  </si>
  <si>
    <t>M0224</t>
  </si>
  <si>
    <t>M0225</t>
  </si>
  <si>
    <t>M0229</t>
  </si>
  <si>
    <t>M0230</t>
  </si>
  <si>
    <t>M0231</t>
  </si>
  <si>
    <t>M0232</t>
  </si>
  <si>
    <t>M0233</t>
  </si>
  <si>
    <t>M0234</t>
  </si>
  <si>
    <t>M0235</t>
  </si>
  <si>
    <t>M0236</t>
  </si>
  <si>
    <t>M0237</t>
  </si>
  <si>
    <t>M0253</t>
  </si>
  <si>
    <t>M0254</t>
  </si>
  <si>
    <t>M0256</t>
  </si>
  <si>
    <t>M0257</t>
  </si>
  <si>
    <t>M0260</t>
  </si>
  <si>
    <t>M0264</t>
  </si>
  <si>
    <t>M0265</t>
  </si>
  <si>
    <t>M0266</t>
  </si>
  <si>
    <t>M0267</t>
  </si>
  <si>
    <t>M0268</t>
  </si>
  <si>
    <t>M0269</t>
  </si>
  <si>
    <t>M0284</t>
  </si>
  <si>
    <t>M0285</t>
  </si>
  <si>
    <t>M0286</t>
  </si>
  <si>
    <t>M0289</t>
  </si>
  <si>
    <t>M0290</t>
  </si>
  <si>
    <t>M0301</t>
  </si>
  <si>
    <t>M0310</t>
  </si>
  <si>
    <t>M0311</t>
  </si>
  <si>
    <t>M0312</t>
  </si>
  <si>
    <t>M0344</t>
  </si>
  <si>
    <t>M0345</t>
  </si>
  <si>
    <t>M0346</t>
  </si>
  <si>
    <t>M0347</t>
  </si>
  <si>
    <t>M0348</t>
  </si>
  <si>
    <t>M0349</t>
  </si>
  <si>
    <t>M0350</t>
  </si>
  <si>
    <t>M0351</t>
  </si>
  <si>
    <t>M0365</t>
  </si>
  <si>
    <t>M0366</t>
  </si>
  <si>
    <t>M0395</t>
  </si>
  <si>
    <t>M0408</t>
  </si>
  <si>
    <t>M0409</t>
  </si>
  <si>
    <t>M0410</t>
  </si>
  <si>
    <t>M0411</t>
  </si>
  <si>
    <t>M0412</t>
  </si>
  <si>
    <t>M0413</t>
  </si>
  <si>
    <t>M0421</t>
  </si>
  <si>
    <t>M0424</t>
  </si>
  <si>
    <t>M0427</t>
  </si>
  <si>
    <t>M0428</t>
  </si>
  <si>
    <t>M0429</t>
  </si>
  <si>
    <t>M0434</t>
  </si>
  <si>
    <t>M0442</t>
  </si>
  <si>
    <t>M0443</t>
  </si>
  <si>
    <t>M0444</t>
  </si>
  <si>
    <t>M0445</t>
  </si>
  <si>
    <t>M0446</t>
  </si>
  <si>
    <t>M0447</t>
  </si>
  <si>
    <t>M0448</t>
  </si>
  <si>
    <t>M0450</t>
  </si>
  <si>
    <t>M0451</t>
  </si>
  <si>
    <t>M0452</t>
  </si>
  <si>
    <t>M0453</t>
  </si>
  <si>
    <t>M0454</t>
  </si>
  <si>
    <t>M0459</t>
  </si>
  <si>
    <t>M0467</t>
  </si>
  <si>
    <t>M0468</t>
  </si>
  <si>
    <t>M0469</t>
  </si>
  <si>
    <t>M0470</t>
  </si>
  <si>
    <t>M0471</t>
  </si>
  <si>
    <t>M0472</t>
  </si>
  <si>
    <t>M0481</t>
  </si>
  <si>
    <t>M0502</t>
  </si>
  <si>
    <t>M0505</t>
  </si>
  <si>
    <t>M0506</t>
  </si>
  <si>
    <t>M0511</t>
  </si>
  <si>
    <t>M0512</t>
  </si>
  <si>
    <t>M0521</t>
  </si>
  <si>
    <t>M0532</t>
  </si>
  <si>
    <t>M0533</t>
  </si>
  <si>
    <t>M0534</t>
  </si>
  <si>
    <t>M0536</t>
  </si>
  <si>
    <t>M0537</t>
  </si>
  <si>
    <t>M0538</t>
  </si>
  <si>
    <t>M0539</t>
  </si>
  <si>
    <t>M0540</t>
  </si>
  <si>
    <t>M0541</t>
  </si>
  <si>
    <t>M0542</t>
  </si>
  <si>
    <t>M0543</t>
  </si>
  <si>
    <t>M0544</t>
  </si>
  <si>
    <t>M0545</t>
  </si>
  <si>
    <t>M0546</t>
  </si>
  <si>
    <t>M0547</t>
  </si>
  <si>
    <t>M0548</t>
  </si>
  <si>
    <t>M0549</t>
  </si>
  <si>
    <t>M0550</t>
  </si>
  <si>
    <t>M0560</t>
  </si>
  <si>
    <t>M0562</t>
  </si>
  <si>
    <t>M0563</t>
  </si>
  <si>
    <t>M0564</t>
  </si>
  <si>
    <t>M0565</t>
  </si>
  <si>
    <t>M0566</t>
  </si>
  <si>
    <t>M0567</t>
  </si>
  <si>
    <t>M0568</t>
  </si>
  <si>
    <t>M0569</t>
  </si>
  <si>
    <t>M0570</t>
  </si>
  <si>
    <t>M0571</t>
  </si>
  <si>
    <t>M0572</t>
  </si>
  <si>
    <t>M0573</t>
  </si>
  <si>
    <t>M0574</t>
  </si>
  <si>
    <t>M0575</t>
  </si>
  <si>
    <t>M0576</t>
  </si>
  <si>
    <t>M0601</t>
  </si>
  <si>
    <t>M0602</t>
  </si>
  <si>
    <t>M0603</t>
  </si>
  <si>
    <t>M0614</t>
  </si>
  <si>
    <t>M0615</t>
  </si>
  <si>
    <t>M0639</t>
  </si>
  <si>
    <t>M0640</t>
  </si>
  <si>
    <t>M0641</t>
  </si>
  <si>
    <t>M0642</t>
  </si>
  <si>
    <t>M0643</t>
  </si>
  <si>
    <t>M0644</t>
  </si>
  <si>
    <t>M0645</t>
  </si>
  <si>
    <t>M0646</t>
  </si>
  <si>
    <t>M0647</t>
  </si>
  <si>
    <t>M0648</t>
  </si>
  <si>
    <t>M0649</t>
  </si>
  <si>
    <t>M0650</t>
  </si>
  <si>
    <t>M0666</t>
  </si>
  <si>
    <t>M0667</t>
  </si>
  <si>
    <t>M0668</t>
  </si>
  <si>
    <t>M0669</t>
  </si>
  <si>
    <t>M0673</t>
  </si>
  <si>
    <t>M0677</t>
  </si>
  <si>
    <t>M0682</t>
  </si>
  <si>
    <t>M0686</t>
  </si>
  <si>
    <t>M0717</t>
  </si>
  <si>
    <t>M0718</t>
  </si>
  <si>
    <t>M0719</t>
  </si>
  <si>
    <t>M0721</t>
  </si>
  <si>
    <t>M0722</t>
  </si>
  <si>
    <t>M0729</t>
  </si>
  <si>
    <t>M0734</t>
  </si>
  <si>
    <t>M0741</t>
  </si>
  <si>
    <t>M0745</t>
  </si>
  <si>
    <t>M0755</t>
  </si>
  <si>
    <t>M0756</t>
  </si>
  <si>
    <t>M0769</t>
  </si>
  <si>
    <t>M0771</t>
  </si>
  <si>
    <t>M0773</t>
  </si>
  <si>
    <t>M0783</t>
  </si>
  <si>
    <t>M0784</t>
  </si>
  <si>
    <t>M0786</t>
  </si>
  <si>
    <t>M0787</t>
  </si>
  <si>
    <t>M0789</t>
  </si>
  <si>
    <t>M0796</t>
  </si>
  <si>
    <t>M0798</t>
  </si>
  <si>
    <t>dm³</t>
  </si>
  <si>
    <t>M0804</t>
  </si>
  <si>
    <t>M0805</t>
  </si>
  <si>
    <t>M0808</t>
  </si>
  <si>
    <t>M0809</t>
  </si>
  <si>
    <t>M0810</t>
  </si>
  <si>
    <t>M0812</t>
  </si>
  <si>
    <t>M0818</t>
  </si>
  <si>
    <t>M0824</t>
  </si>
  <si>
    <t>M0831</t>
  </si>
  <si>
    <t>M0848</t>
  </si>
  <si>
    <t>M0849</t>
  </si>
  <si>
    <t>M0851</t>
  </si>
  <si>
    <t>M0852</t>
  </si>
  <si>
    <t>M0858</t>
  </si>
  <si>
    <t>M0865</t>
  </si>
  <si>
    <t>M0868</t>
  </si>
  <si>
    <t>M0875</t>
  </si>
  <si>
    <t>M0876</t>
  </si>
  <si>
    <t>M0879</t>
  </si>
  <si>
    <t>M0942</t>
  </si>
  <si>
    <t>M0945</t>
  </si>
  <si>
    <t>M0946</t>
  </si>
  <si>
    <t>M0947</t>
  </si>
  <si>
    <t>M0948</t>
  </si>
  <si>
    <t>M0949</t>
  </si>
  <si>
    <t>M0950</t>
  </si>
  <si>
    <t>M0951</t>
  </si>
  <si>
    <t>M0952</t>
  </si>
  <si>
    <t>M0953</t>
  </si>
  <si>
    <t>M0954</t>
  </si>
  <si>
    <t>M0955</t>
  </si>
  <si>
    <t>M0956</t>
  </si>
  <si>
    <t>M0957</t>
  </si>
  <si>
    <t>M0958</t>
  </si>
  <si>
    <t>M0959</t>
  </si>
  <si>
    <t>M0960</t>
  </si>
  <si>
    <t>M0961</t>
  </si>
  <si>
    <t>M0962</t>
  </si>
  <si>
    <t>M0963</t>
  </si>
  <si>
    <t>M0964</t>
  </si>
  <si>
    <t>M0965</t>
  </si>
  <si>
    <t>M0966</t>
  </si>
  <si>
    <t>M0967</t>
  </si>
  <si>
    <t>M0968</t>
  </si>
  <si>
    <t>M0969</t>
  </si>
  <si>
    <t>M0970</t>
  </si>
  <si>
    <t>M0971</t>
  </si>
  <si>
    <t>M0972</t>
  </si>
  <si>
    <t>M0998</t>
  </si>
  <si>
    <t>M0999</t>
  </si>
  <si>
    <t>M1000</t>
  </si>
  <si>
    <t>M1001</t>
  </si>
  <si>
    <t>M1010</t>
  </si>
  <si>
    <t>M1011</t>
  </si>
  <si>
    <t>M1022</t>
  </si>
  <si>
    <t>M1066</t>
  </si>
  <si>
    <t>M1078</t>
  </si>
  <si>
    <t>M1079</t>
  </si>
  <si>
    <t>M1097</t>
  </si>
  <si>
    <t>M1103</t>
  </si>
  <si>
    <t>M1118</t>
  </si>
  <si>
    <t>M1129</t>
  </si>
  <si>
    <t>Junta de dilatação em perfil extrudado de borracha vulcanizada</t>
  </si>
  <si>
    <t>M1130</t>
  </si>
  <si>
    <t>M1131</t>
  </si>
  <si>
    <t>M1132</t>
  </si>
  <si>
    <t>M1134</t>
  </si>
  <si>
    <t>M1135</t>
  </si>
  <si>
    <t>M1136</t>
  </si>
  <si>
    <t>M1142</t>
  </si>
  <si>
    <t>M1150</t>
  </si>
  <si>
    <t>M1151</t>
  </si>
  <si>
    <t>M1152</t>
  </si>
  <si>
    <t>M1176</t>
  </si>
  <si>
    <t>M1205</t>
  </si>
  <si>
    <t>M1210</t>
  </si>
  <si>
    <t>M1218</t>
  </si>
  <si>
    <t>M1242</t>
  </si>
  <si>
    <t>M1243</t>
  </si>
  <si>
    <t>M1244</t>
  </si>
  <si>
    <t>M1245</t>
  </si>
  <si>
    <t>M1300</t>
  </si>
  <si>
    <t>M1301</t>
  </si>
  <si>
    <t>M1302</t>
  </si>
  <si>
    <t>M1303</t>
  </si>
  <si>
    <t>M1304</t>
  </si>
  <si>
    <t>M1305</t>
  </si>
  <si>
    <t>M1306</t>
  </si>
  <si>
    <t>M1307</t>
  </si>
  <si>
    <t>M1308</t>
  </si>
  <si>
    <t>M1309</t>
  </si>
  <si>
    <t>M1310</t>
  </si>
  <si>
    <t>M1311</t>
  </si>
  <si>
    <t>M1312</t>
  </si>
  <si>
    <t>M1313</t>
  </si>
  <si>
    <t>M1314</t>
  </si>
  <si>
    <t>M1315</t>
  </si>
  <si>
    <t>M1316</t>
  </si>
  <si>
    <t>M1317</t>
  </si>
  <si>
    <t>M1318</t>
  </si>
  <si>
    <t>M1319</t>
  </si>
  <si>
    <t>M1320</t>
  </si>
  <si>
    <t>M1321</t>
  </si>
  <si>
    <t>M1322</t>
  </si>
  <si>
    <t>M1323</t>
  </si>
  <si>
    <t>M1324</t>
  </si>
  <si>
    <t>M1325</t>
  </si>
  <si>
    <t>M1328</t>
  </si>
  <si>
    <t>M1337</t>
  </si>
  <si>
    <t>M1341</t>
  </si>
  <si>
    <t>M1350</t>
  </si>
  <si>
    <t>M1351</t>
  </si>
  <si>
    <t>M1356</t>
  </si>
  <si>
    <t>M1358</t>
  </si>
  <si>
    <t>M1359</t>
  </si>
  <si>
    <t>M1360</t>
  </si>
  <si>
    <t>M1361</t>
  </si>
  <si>
    <t>M1362</t>
  </si>
  <si>
    <t>M1364</t>
  </si>
  <si>
    <t>M1366</t>
  </si>
  <si>
    <t>M1367</t>
  </si>
  <si>
    <t>M1368</t>
  </si>
  <si>
    <t>M1369</t>
  </si>
  <si>
    <t>M1370</t>
  </si>
  <si>
    <t>M1376</t>
  </si>
  <si>
    <t>M1377</t>
  </si>
  <si>
    <t>M1378</t>
  </si>
  <si>
    <t>M1379</t>
  </si>
  <si>
    <t>M1382</t>
  </si>
  <si>
    <t>M1383</t>
  </si>
  <si>
    <t>M1384</t>
  </si>
  <si>
    <t>M1385</t>
  </si>
  <si>
    <t>M1387</t>
  </si>
  <si>
    <t>M1388</t>
  </si>
  <si>
    <t>M1390</t>
  </si>
  <si>
    <t>M1391</t>
  </si>
  <si>
    <t>M1397</t>
  </si>
  <si>
    <t>M1398</t>
  </si>
  <si>
    <t>M1399</t>
  </si>
  <si>
    <t>M1400</t>
  </si>
  <si>
    <t>M1401</t>
  </si>
  <si>
    <t>M1402</t>
  </si>
  <si>
    <t>M1404</t>
  </si>
  <si>
    <t>M1405</t>
  </si>
  <si>
    <t>M1406</t>
  </si>
  <si>
    <t>M1408</t>
  </si>
  <si>
    <t>M1409</t>
  </si>
  <si>
    <t>M1429</t>
  </si>
  <si>
    <t>M1432</t>
  </si>
  <si>
    <t>M1433</t>
  </si>
  <si>
    <t>M1434</t>
  </si>
  <si>
    <t>M1446</t>
  </si>
  <si>
    <t>M1447</t>
  </si>
  <si>
    <t>M1448</t>
  </si>
  <si>
    <t>M1449</t>
  </si>
  <si>
    <t>M1450</t>
  </si>
  <si>
    <t>M1451</t>
  </si>
  <si>
    <t>M1452</t>
  </si>
  <si>
    <t>M1453</t>
  </si>
  <si>
    <t>M1454</t>
  </si>
  <si>
    <t>M1455</t>
  </si>
  <si>
    <t>M1456</t>
  </si>
  <si>
    <t>M1457</t>
  </si>
  <si>
    <t>M1458</t>
  </si>
  <si>
    <t>M1459</t>
  </si>
  <si>
    <t>M1460</t>
  </si>
  <si>
    <t>M1461</t>
  </si>
  <si>
    <t>M1462</t>
  </si>
  <si>
    <t>M1463</t>
  </si>
  <si>
    <t>M1464</t>
  </si>
  <si>
    <t>M1465</t>
  </si>
  <si>
    <t>M1472</t>
  </si>
  <si>
    <t>M1481</t>
  </si>
  <si>
    <t>M1496</t>
  </si>
  <si>
    <t>M1498</t>
  </si>
  <si>
    <t>M1518</t>
  </si>
  <si>
    <t>M1519</t>
  </si>
  <si>
    <t>M1520</t>
  </si>
  <si>
    <t>M1526</t>
  </si>
  <si>
    <t>M1527</t>
  </si>
  <si>
    <t>M1528</t>
  </si>
  <si>
    <t>M1546</t>
  </si>
  <si>
    <t>M1553</t>
  </si>
  <si>
    <t>M1556</t>
  </si>
  <si>
    <t>M1575</t>
  </si>
  <si>
    <t>M1577</t>
  </si>
  <si>
    <t>M1585</t>
  </si>
  <si>
    <t>M1591</t>
  </si>
  <si>
    <t>M1600</t>
  </si>
  <si>
    <t>M1602</t>
  </si>
  <si>
    <t>M1603</t>
  </si>
  <si>
    <t>M1605</t>
  </si>
  <si>
    <t>M1606</t>
  </si>
  <si>
    <t>M1614</t>
  </si>
  <si>
    <t>M1616</t>
  </si>
  <si>
    <t>M1617</t>
  </si>
  <si>
    <t>M1618</t>
  </si>
  <si>
    <t>M1624</t>
  </si>
  <si>
    <t>M1636</t>
  </si>
  <si>
    <t>M1638</t>
  </si>
  <si>
    <t>M1639</t>
  </si>
  <si>
    <t>M1640</t>
  </si>
  <si>
    <t>M1642</t>
  </si>
  <si>
    <t>M1643</t>
  </si>
  <si>
    <t>M1644</t>
  </si>
  <si>
    <t>M1645</t>
  </si>
  <si>
    <t>M1646</t>
  </si>
  <si>
    <t>M1648</t>
  </si>
  <si>
    <t>M1649</t>
  </si>
  <si>
    <t>M1650</t>
  </si>
  <si>
    <t>M1651</t>
  </si>
  <si>
    <t>M1653</t>
  </si>
  <si>
    <t>M1655</t>
  </si>
  <si>
    <t>M1656</t>
  </si>
  <si>
    <t>M1657</t>
  </si>
  <si>
    <t>M1658</t>
  </si>
  <si>
    <t>M1662</t>
  </si>
  <si>
    <t>M1665</t>
  </si>
  <si>
    <t>M1673</t>
  </si>
  <si>
    <t>M1675</t>
  </si>
  <si>
    <t>M1702</t>
  </si>
  <si>
    <t>M1719</t>
  </si>
  <si>
    <t>M1720</t>
  </si>
  <si>
    <t>M1731</t>
  </si>
  <si>
    <t>M1732</t>
  </si>
  <si>
    <t>M1733</t>
  </si>
  <si>
    <t>M1735</t>
  </si>
  <si>
    <t>M1736</t>
  </si>
  <si>
    <t>M1737</t>
  </si>
  <si>
    <t>M1739</t>
  </si>
  <si>
    <t>M1740</t>
  </si>
  <si>
    <t>M1741</t>
  </si>
  <si>
    <t>M1742</t>
  </si>
  <si>
    <t>M1747</t>
  </si>
  <si>
    <t>M1748</t>
  </si>
  <si>
    <t>M1749</t>
  </si>
  <si>
    <t>M1750</t>
  </si>
  <si>
    <t>M1751</t>
  </si>
  <si>
    <t>M1752</t>
  </si>
  <si>
    <t>M1753</t>
  </si>
  <si>
    <t>M1754</t>
  </si>
  <si>
    <t>M1755</t>
  </si>
  <si>
    <t>M1756</t>
  </si>
  <si>
    <t>M1765</t>
  </si>
  <si>
    <t>M1773</t>
  </si>
  <si>
    <t>M1774</t>
  </si>
  <si>
    <t>M1775</t>
  </si>
  <si>
    <t>M1776</t>
  </si>
  <si>
    <t>M1777</t>
  </si>
  <si>
    <t>M1778</t>
  </si>
  <si>
    <t>M1779</t>
  </si>
  <si>
    <t>M1780</t>
  </si>
  <si>
    <t>M1781</t>
  </si>
  <si>
    <t>M1782</t>
  </si>
  <si>
    <t>M1783</t>
  </si>
  <si>
    <t>M1784</t>
  </si>
  <si>
    <t>M1785</t>
  </si>
  <si>
    <t>M1786</t>
  </si>
  <si>
    <t>M1787</t>
  </si>
  <si>
    <t>M1789</t>
  </si>
  <si>
    <t>M1790</t>
  </si>
  <si>
    <t>M1795</t>
  </si>
  <si>
    <t>M1796</t>
  </si>
  <si>
    <t>M1797</t>
  </si>
  <si>
    <t>M1800</t>
  </si>
  <si>
    <t>M1811</t>
  </si>
  <si>
    <t>M1812</t>
  </si>
  <si>
    <t>M1814</t>
  </si>
  <si>
    <t>M1815</t>
  </si>
  <si>
    <t>M1819</t>
  </si>
  <si>
    <t>M1820</t>
  </si>
  <si>
    <t>M1844</t>
  </si>
  <si>
    <t>M1845</t>
  </si>
  <si>
    <t>M1868</t>
  </si>
  <si>
    <t>M1869</t>
  </si>
  <si>
    <t>M1870</t>
  </si>
  <si>
    <t>M1874</t>
  </si>
  <si>
    <t>M1875</t>
  </si>
  <si>
    <t>M1876</t>
  </si>
  <si>
    <t>M1877</t>
  </si>
  <si>
    <t>M1879</t>
  </si>
  <si>
    <t>M1880</t>
  </si>
  <si>
    <t>M1907</t>
  </si>
  <si>
    <t>M1909</t>
  </si>
  <si>
    <t>M1911</t>
  </si>
  <si>
    <t>M1912</t>
  </si>
  <si>
    <t>M1913</t>
  </si>
  <si>
    <t>M1919</t>
  </si>
  <si>
    <t>M1922</t>
  </si>
  <si>
    <t>M1924</t>
  </si>
  <si>
    <t>M1926</t>
  </si>
  <si>
    <t>M1927</t>
  </si>
  <si>
    <t>M1928</t>
  </si>
  <si>
    <t>M1931</t>
  </si>
  <si>
    <t>M1935</t>
  </si>
  <si>
    <t>M1936</t>
  </si>
  <si>
    <t>M1937</t>
  </si>
  <si>
    <t>M1941</t>
  </si>
  <si>
    <t>M1942</t>
  </si>
  <si>
    <t>M1943</t>
  </si>
  <si>
    <t>M1944</t>
  </si>
  <si>
    <t>M1945</t>
  </si>
  <si>
    <t>M1946</t>
  </si>
  <si>
    <t>M1947</t>
  </si>
  <si>
    <t>M1948</t>
  </si>
  <si>
    <t>M1949</t>
  </si>
  <si>
    <t>M1950</t>
  </si>
  <si>
    <t>M1952</t>
  </si>
  <si>
    <t>M1953</t>
  </si>
  <si>
    <t>M1954</t>
  </si>
  <si>
    <t>M1955</t>
  </si>
  <si>
    <t>M1956</t>
  </si>
  <si>
    <t>M1958</t>
  </si>
  <si>
    <t>M1959</t>
  </si>
  <si>
    <t>M1960</t>
  </si>
  <si>
    <t>M1961</t>
  </si>
  <si>
    <t>M1962</t>
  </si>
  <si>
    <t>M1965</t>
  </si>
  <si>
    <t>M1966</t>
  </si>
  <si>
    <t>M1967</t>
  </si>
  <si>
    <t>M1968</t>
  </si>
  <si>
    <t>M1969</t>
  </si>
  <si>
    <t>M1970</t>
  </si>
  <si>
    <t>M1971</t>
  </si>
  <si>
    <t>M1974</t>
  </si>
  <si>
    <t>M1976</t>
  </si>
  <si>
    <t>M1977</t>
  </si>
  <si>
    <t>M1979</t>
  </si>
  <si>
    <t>M1980</t>
  </si>
  <si>
    <t>M1981</t>
  </si>
  <si>
    <t>M1982</t>
  </si>
  <si>
    <t>M1983</t>
  </si>
  <si>
    <t>M1984</t>
  </si>
  <si>
    <t>M1985</t>
  </si>
  <si>
    <t>M1986</t>
  </si>
  <si>
    <t>M1987</t>
  </si>
  <si>
    <t>M1988</t>
  </si>
  <si>
    <t>M1990</t>
  </si>
  <si>
    <t>M1991</t>
  </si>
  <si>
    <t>M1994</t>
  </si>
  <si>
    <t>M1996</t>
  </si>
  <si>
    <t>M1997</t>
  </si>
  <si>
    <t>M1998</t>
  </si>
  <si>
    <t>M1999</t>
  </si>
  <si>
    <t>M2000</t>
  </si>
  <si>
    <t>M2001</t>
  </si>
  <si>
    <t>M2002</t>
  </si>
  <si>
    <t>M2003</t>
  </si>
  <si>
    <t>M2004</t>
  </si>
  <si>
    <t>M2005</t>
  </si>
  <si>
    <t>M2006</t>
  </si>
  <si>
    <t>M2007</t>
  </si>
  <si>
    <t>M2008</t>
  </si>
  <si>
    <t>M2009</t>
  </si>
  <si>
    <t>M2010</t>
  </si>
  <si>
    <t>M2011</t>
  </si>
  <si>
    <t>M2012</t>
  </si>
  <si>
    <t>M2014</t>
  </si>
  <si>
    <t>M2016</t>
  </si>
  <si>
    <t>M2017</t>
  </si>
  <si>
    <t>M2018</t>
  </si>
  <si>
    <t>M2019</t>
  </si>
  <si>
    <t>M2020</t>
  </si>
  <si>
    <t>M2021</t>
  </si>
  <si>
    <t>M2024</t>
  </si>
  <si>
    <t>M2025</t>
  </si>
  <si>
    <t>M2026</t>
  </si>
  <si>
    <t>M2027</t>
  </si>
  <si>
    <t>M2028</t>
  </si>
  <si>
    <t>M2029</t>
  </si>
  <si>
    <t>M2030</t>
  </si>
  <si>
    <t>M2031</t>
  </si>
  <si>
    <t>M2032</t>
  </si>
  <si>
    <t>M2033</t>
  </si>
  <si>
    <t>M2034</t>
  </si>
  <si>
    <t>M2035</t>
  </si>
  <si>
    <t>M2036</t>
  </si>
  <si>
    <t>M2037</t>
  </si>
  <si>
    <t>M2038</t>
  </si>
  <si>
    <t>M2040</t>
  </si>
  <si>
    <t>M2041</t>
  </si>
  <si>
    <t>M2042</t>
  </si>
  <si>
    <t>M2044</t>
  </si>
  <si>
    <t>M2045</t>
  </si>
  <si>
    <t>M2046</t>
  </si>
  <si>
    <t>M2047</t>
  </si>
  <si>
    <t>M2048</t>
  </si>
  <si>
    <t>M2049</t>
  </si>
  <si>
    <t>M2050</t>
  </si>
  <si>
    <t>M2051</t>
  </si>
  <si>
    <t>M2052</t>
  </si>
  <si>
    <t>M2053</t>
  </si>
  <si>
    <t>M2054</t>
  </si>
  <si>
    <t>M2055</t>
  </si>
  <si>
    <t>M2056</t>
  </si>
  <si>
    <t>M2057</t>
  </si>
  <si>
    <t>M2058</t>
  </si>
  <si>
    <t>M2059</t>
  </si>
  <si>
    <t>M2060</t>
  </si>
  <si>
    <t>M2061</t>
  </si>
  <si>
    <t>M2062</t>
  </si>
  <si>
    <t>M2063</t>
  </si>
  <si>
    <t>M2064</t>
  </si>
  <si>
    <t>M2065</t>
  </si>
  <si>
    <t>M2066</t>
  </si>
  <si>
    <t>M2067</t>
  </si>
  <si>
    <t>M2069</t>
  </si>
  <si>
    <t>M2070</t>
  </si>
  <si>
    <t>M2071</t>
  </si>
  <si>
    <t>M2072</t>
  </si>
  <si>
    <t>M2073</t>
  </si>
  <si>
    <t>M2074</t>
  </si>
  <si>
    <t>M2075</t>
  </si>
  <si>
    <t>M2079</t>
  </si>
  <si>
    <t>M2087</t>
  </si>
  <si>
    <t>M2088</t>
  </si>
  <si>
    <t>M2089</t>
  </si>
  <si>
    <t>M2090</t>
  </si>
  <si>
    <t>M2091</t>
  </si>
  <si>
    <t>M2092</t>
  </si>
  <si>
    <t>M2093</t>
  </si>
  <si>
    <t>M2094</t>
  </si>
  <si>
    <t>M2095</t>
  </si>
  <si>
    <t>M2096</t>
  </si>
  <si>
    <t>M2097</t>
  </si>
  <si>
    <t>M2100</t>
  </si>
  <si>
    <t>M2101</t>
  </si>
  <si>
    <t>M2102</t>
  </si>
  <si>
    <t>M2103</t>
  </si>
  <si>
    <t>M2104</t>
  </si>
  <si>
    <t>M2105</t>
  </si>
  <si>
    <t>M2106</t>
  </si>
  <si>
    <t>M2107</t>
  </si>
  <si>
    <t>M2110</t>
  </si>
  <si>
    <t>M2111</t>
  </si>
  <si>
    <t>M2112</t>
  </si>
  <si>
    <t>M2113</t>
  </si>
  <si>
    <t>M2114</t>
  </si>
  <si>
    <t>M2115</t>
  </si>
  <si>
    <t>M2117</t>
  </si>
  <si>
    <t>M2118</t>
  </si>
  <si>
    <t>M2119</t>
  </si>
  <si>
    <t>M2128</t>
  </si>
  <si>
    <t>M2130</t>
  </si>
  <si>
    <t>M2135</t>
  </si>
  <si>
    <t>M2137</t>
  </si>
  <si>
    <t>M2138</t>
  </si>
  <si>
    <t>M2140</t>
  </si>
  <si>
    <t>M2141</t>
  </si>
  <si>
    <t>M2142</t>
  </si>
  <si>
    <t>M2143</t>
  </si>
  <si>
    <t>M2144</t>
  </si>
  <si>
    <t>M2145</t>
  </si>
  <si>
    <t>M2146</t>
  </si>
  <si>
    <t>M2147</t>
  </si>
  <si>
    <t>M2148</t>
  </si>
  <si>
    <t>M2150</t>
  </si>
  <si>
    <t>M2152</t>
  </si>
  <si>
    <t>M2153</t>
  </si>
  <si>
    <t>M2156</t>
  </si>
  <si>
    <t>M2158</t>
  </si>
  <si>
    <t>M2160</t>
  </si>
  <si>
    <t>M2162</t>
  </si>
  <si>
    <t>M2163</t>
  </si>
  <si>
    <t>M2164</t>
  </si>
  <si>
    <t>M2165</t>
  </si>
  <si>
    <t>M2166</t>
  </si>
  <si>
    <t>M2167</t>
  </si>
  <si>
    <t>M2168</t>
  </si>
  <si>
    <t>M2169</t>
  </si>
  <si>
    <t>M2170</t>
  </si>
  <si>
    <t>M2171</t>
  </si>
  <si>
    <t>M2172</t>
  </si>
  <si>
    <t>M2173</t>
  </si>
  <si>
    <t>M2174</t>
  </si>
  <si>
    <t>M2175</t>
  </si>
  <si>
    <t>M2176</t>
  </si>
  <si>
    <t>M2177</t>
  </si>
  <si>
    <t>M2178</t>
  </si>
  <si>
    <t>M2179</t>
  </si>
  <si>
    <t>M2180</t>
  </si>
  <si>
    <t>M2181</t>
  </si>
  <si>
    <t>M2182</t>
  </si>
  <si>
    <t>M2183</t>
  </si>
  <si>
    <t>M2184</t>
  </si>
  <si>
    <t>M2185</t>
  </si>
  <si>
    <t>M2186</t>
  </si>
  <si>
    <t>M2187</t>
  </si>
  <si>
    <t>M2188</t>
  </si>
  <si>
    <t>M2189</t>
  </si>
  <si>
    <t>M2190</t>
  </si>
  <si>
    <t>M2192</t>
  </si>
  <si>
    <t>M2193</t>
  </si>
  <si>
    <t>M2197</t>
  </si>
  <si>
    <t>M2198</t>
  </si>
  <si>
    <t>M2200</t>
  </si>
  <si>
    <t>M2202</t>
  </si>
  <si>
    <t>M2204</t>
  </si>
  <si>
    <t>M2206</t>
  </si>
  <si>
    <t>Lubrificador de trilhos e de flanges de rodas</t>
  </si>
  <si>
    <t>M2207</t>
  </si>
  <si>
    <t>M2208</t>
  </si>
  <si>
    <t>M2209</t>
  </si>
  <si>
    <t>M2210</t>
  </si>
  <si>
    <t>M2211</t>
  </si>
  <si>
    <t>M2213</t>
  </si>
  <si>
    <t>M2214</t>
  </si>
  <si>
    <t>M2215</t>
  </si>
  <si>
    <t>M2216</t>
  </si>
  <si>
    <t>M2217</t>
  </si>
  <si>
    <t>M2218</t>
  </si>
  <si>
    <t>M2219</t>
  </si>
  <si>
    <t>M2220</t>
  </si>
  <si>
    <t>M2221</t>
  </si>
  <si>
    <t>M2222</t>
  </si>
  <si>
    <t>M2225</t>
  </si>
  <si>
    <t>M2227</t>
  </si>
  <si>
    <t>M2229</t>
  </si>
  <si>
    <t>M2233</t>
  </si>
  <si>
    <t>M2234</t>
  </si>
  <si>
    <t>M2236</t>
  </si>
  <si>
    <t>M2237</t>
  </si>
  <si>
    <t>M2238</t>
  </si>
  <si>
    <t>M2239</t>
  </si>
  <si>
    <t>M2240</t>
  </si>
  <si>
    <t>M2241</t>
  </si>
  <si>
    <t>M2242</t>
  </si>
  <si>
    <t>M2243</t>
  </si>
  <si>
    <t>M2244</t>
  </si>
  <si>
    <t>M2245</t>
  </si>
  <si>
    <t>M2246</t>
  </si>
  <si>
    <t>M2247</t>
  </si>
  <si>
    <t>M2248</t>
  </si>
  <si>
    <t>M2249</t>
  </si>
  <si>
    <t>M2250</t>
  </si>
  <si>
    <t>M2251</t>
  </si>
  <si>
    <t>M2252</t>
  </si>
  <si>
    <t>M2253</t>
  </si>
  <si>
    <t>M2254</t>
  </si>
  <si>
    <t>M2255</t>
  </si>
  <si>
    <t>M2256</t>
  </si>
  <si>
    <t>M2257</t>
  </si>
  <si>
    <t>M2258</t>
  </si>
  <si>
    <t>M2259</t>
  </si>
  <si>
    <t>M2260</t>
  </si>
  <si>
    <t>M2261</t>
  </si>
  <si>
    <t>M2262</t>
  </si>
  <si>
    <t>M2263</t>
  </si>
  <si>
    <t>M2264</t>
  </si>
  <si>
    <t>M2265</t>
  </si>
  <si>
    <t>M2266</t>
  </si>
  <si>
    <t>M2267</t>
  </si>
  <si>
    <t>M2268</t>
  </si>
  <si>
    <t>M2269</t>
  </si>
  <si>
    <t>M2270</t>
  </si>
  <si>
    <t>M2271</t>
  </si>
  <si>
    <t>M2272</t>
  </si>
  <si>
    <t>M2273</t>
  </si>
  <si>
    <t>M2274</t>
  </si>
  <si>
    <t>M2275</t>
  </si>
  <si>
    <t>M2276</t>
  </si>
  <si>
    <t>M2277</t>
  </si>
  <si>
    <t>M2281</t>
  </si>
  <si>
    <t>M2282</t>
  </si>
  <si>
    <t>M2284</t>
  </si>
  <si>
    <t>M2285</t>
  </si>
  <si>
    <t>M2292</t>
  </si>
  <si>
    <t>M2293</t>
  </si>
  <si>
    <t>M2294</t>
  </si>
  <si>
    <t>M2298</t>
  </si>
  <si>
    <t>M2299</t>
  </si>
  <si>
    <t>M2300</t>
  </si>
  <si>
    <t>M2301</t>
  </si>
  <si>
    <t>M2303</t>
  </si>
  <si>
    <t>M2304</t>
  </si>
  <si>
    <t>M2308</t>
  </si>
  <si>
    <t>M2313</t>
  </si>
  <si>
    <t>M2314</t>
  </si>
  <si>
    <t>M2316</t>
  </si>
  <si>
    <t>M2317</t>
  </si>
  <si>
    <t>M2318</t>
  </si>
  <si>
    <t>M2319</t>
  </si>
  <si>
    <t>M2320</t>
  </si>
  <si>
    <t>M2321</t>
  </si>
  <si>
    <t>M2322</t>
  </si>
  <si>
    <t>M2325</t>
  </si>
  <si>
    <t>M2326</t>
  </si>
  <si>
    <t>M2327</t>
  </si>
  <si>
    <t>M2328</t>
  </si>
  <si>
    <t>M2329</t>
  </si>
  <si>
    <t>M2330</t>
  </si>
  <si>
    <t>M2331</t>
  </si>
  <si>
    <t>M2332</t>
  </si>
  <si>
    <t>M2333</t>
  </si>
  <si>
    <t>M2334</t>
  </si>
  <si>
    <t>M2352</t>
  </si>
  <si>
    <t>M2353</t>
  </si>
  <si>
    <t>M2354</t>
  </si>
  <si>
    <t>M2355</t>
  </si>
  <si>
    <t>M2356</t>
  </si>
  <si>
    <t>M2358</t>
  </si>
  <si>
    <t>M2364</t>
  </si>
  <si>
    <t>M2365</t>
  </si>
  <si>
    <t>M2370</t>
  </si>
  <si>
    <t>M2379</t>
  </si>
  <si>
    <t>M2383</t>
  </si>
  <si>
    <t>M2386</t>
  </si>
  <si>
    <t>M2388</t>
  </si>
  <si>
    <t>M2389</t>
  </si>
  <si>
    <t>M2419</t>
  </si>
  <si>
    <t>M2420</t>
  </si>
  <si>
    <t>M2421</t>
  </si>
  <si>
    <t>M2423</t>
  </si>
  <si>
    <t>M2424</t>
  </si>
  <si>
    <t>M2425</t>
  </si>
  <si>
    <t>M2426</t>
  </si>
  <si>
    <t>M2427</t>
  </si>
  <si>
    <t>M2428</t>
  </si>
  <si>
    <t>M2429</t>
  </si>
  <si>
    <t>M2430</t>
  </si>
  <si>
    <t>M2431</t>
  </si>
  <si>
    <t>M2432</t>
  </si>
  <si>
    <t>M2433</t>
  </si>
  <si>
    <t>M2434</t>
  </si>
  <si>
    <t>M2435</t>
  </si>
  <si>
    <t>M2436</t>
  </si>
  <si>
    <t>M2437</t>
  </si>
  <si>
    <t>M2438</t>
  </si>
  <si>
    <t>M2439</t>
  </si>
  <si>
    <t>M2440</t>
  </si>
  <si>
    <t>M2441</t>
  </si>
  <si>
    <t>M2442</t>
  </si>
  <si>
    <t>M2443</t>
  </si>
  <si>
    <t>M2444</t>
  </si>
  <si>
    <t>M2445</t>
  </si>
  <si>
    <t>M2446</t>
  </si>
  <si>
    <t>M2447</t>
  </si>
  <si>
    <t>M2448</t>
  </si>
  <si>
    <t>M2449</t>
  </si>
  <si>
    <t>M2450</t>
  </si>
  <si>
    <t>M2451</t>
  </si>
  <si>
    <t>M2452</t>
  </si>
  <si>
    <t>M2453</t>
  </si>
  <si>
    <t>M2454</t>
  </si>
  <si>
    <t>M2455</t>
  </si>
  <si>
    <t>M2456</t>
  </si>
  <si>
    <t>M2457</t>
  </si>
  <si>
    <t>M2458</t>
  </si>
  <si>
    <t>M2459</t>
  </si>
  <si>
    <t>M2460</t>
  </si>
  <si>
    <t>M2461</t>
  </si>
  <si>
    <t>M2462</t>
  </si>
  <si>
    <t>M2465</t>
  </si>
  <si>
    <t>M2466</t>
  </si>
  <si>
    <t>M2467</t>
  </si>
  <si>
    <t>M2468</t>
  </si>
  <si>
    <t>M2469</t>
  </si>
  <si>
    <t>M2470</t>
  </si>
  <si>
    <t>M2471</t>
  </si>
  <si>
    <t>M2472</t>
  </si>
  <si>
    <t>M2473</t>
  </si>
  <si>
    <t>M2474</t>
  </si>
  <si>
    <t>M2475</t>
  </si>
  <si>
    <t>M2476</t>
  </si>
  <si>
    <t>M2477</t>
  </si>
  <si>
    <t>M2478</t>
  </si>
  <si>
    <t>M2479</t>
  </si>
  <si>
    <t>M2480</t>
  </si>
  <si>
    <t>M2481</t>
  </si>
  <si>
    <t>M2482</t>
  </si>
  <si>
    <t>M2483</t>
  </si>
  <si>
    <t>M2484</t>
  </si>
  <si>
    <t>M2485</t>
  </si>
  <si>
    <t>M2486</t>
  </si>
  <si>
    <t>M2487</t>
  </si>
  <si>
    <t>M2488</t>
  </si>
  <si>
    <t>M2489</t>
  </si>
  <si>
    <t>M2500</t>
  </si>
  <si>
    <t>M2501</t>
  </si>
  <si>
    <t>M2502</t>
  </si>
  <si>
    <t>M2503</t>
  </si>
  <si>
    <t>M2504</t>
  </si>
  <si>
    <t>M2505</t>
  </si>
  <si>
    <t>M2506</t>
  </si>
  <si>
    <t>M2507</t>
  </si>
  <si>
    <t>M2508</t>
  </si>
  <si>
    <t>M2509</t>
  </si>
  <si>
    <t>M2510</t>
  </si>
  <si>
    <t>M2511</t>
  </si>
  <si>
    <t>M2512</t>
  </si>
  <si>
    <t>M2513</t>
  </si>
  <si>
    <t>M2514</t>
  </si>
  <si>
    <t>M2515</t>
  </si>
  <si>
    <t>M2516</t>
  </si>
  <si>
    <t>M2517</t>
  </si>
  <si>
    <t>M2518</t>
  </si>
  <si>
    <t>M2519</t>
  </si>
  <si>
    <t>M2520</t>
  </si>
  <si>
    <t>M2521</t>
  </si>
  <si>
    <t>M2522</t>
  </si>
  <si>
    <t>M2523</t>
  </si>
  <si>
    <t>M2524</t>
  </si>
  <si>
    <t>M2525</t>
  </si>
  <si>
    <t>M2526</t>
  </si>
  <si>
    <t>M2527</t>
  </si>
  <si>
    <t>M2528</t>
  </si>
  <si>
    <t>M2529</t>
  </si>
  <si>
    <t>M2530</t>
  </si>
  <si>
    <t>M2531</t>
  </si>
  <si>
    <t>M2532</t>
  </si>
  <si>
    <t>M2533</t>
  </si>
  <si>
    <t>M2534</t>
  </si>
  <si>
    <t>M2535</t>
  </si>
  <si>
    <t>M2536</t>
  </si>
  <si>
    <t>M2537</t>
  </si>
  <si>
    <t>M2538</t>
  </si>
  <si>
    <t>M2539</t>
  </si>
  <si>
    <t>M2540</t>
  </si>
  <si>
    <t>M2541</t>
  </si>
  <si>
    <t>M2542</t>
  </si>
  <si>
    <t>M2543</t>
  </si>
  <si>
    <t>M2544</t>
  </si>
  <si>
    <t>M2545</t>
  </si>
  <si>
    <t>M2546</t>
  </si>
  <si>
    <t>M2547</t>
  </si>
  <si>
    <t>M2548</t>
  </si>
  <si>
    <t>M2549</t>
  </si>
  <si>
    <t>M2550</t>
  </si>
  <si>
    <t>M2551</t>
  </si>
  <si>
    <t>M2552</t>
  </si>
  <si>
    <t>M2553</t>
  </si>
  <si>
    <t>M2554</t>
  </si>
  <si>
    <t>M2555</t>
  </si>
  <si>
    <t>M2556</t>
  </si>
  <si>
    <t>M2557</t>
  </si>
  <si>
    <t>M2558</t>
  </si>
  <si>
    <t>M2559</t>
  </si>
  <si>
    <t>M2560</t>
  </si>
  <si>
    <t>M2561</t>
  </si>
  <si>
    <t>M2562</t>
  </si>
  <si>
    <t>M2563</t>
  </si>
  <si>
    <t>M2564</t>
  </si>
  <si>
    <t>M2565</t>
  </si>
  <si>
    <t>M2566</t>
  </si>
  <si>
    <t>M2567</t>
  </si>
  <si>
    <t>M2568</t>
  </si>
  <si>
    <t>M2569</t>
  </si>
  <si>
    <t>M2570</t>
  </si>
  <si>
    <t>M2571</t>
  </si>
  <si>
    <t>M2572</t>
  </si>
  <si>
    <t>M2573</t>
  </si>
  <si>
    <t>M2574</t>
  </si>
  <si>
    <t>M2580</t>
  </si>
  <si>
    <t>M2597</t>
  </si>
  <si>
    <t>M2598</t>
  </si>
  <si>
    <t>M2599</t>
  </si>
  <si>
    <t>M2601</t>
  </si>
  <si>
    <t>M2602</t>
  </si>
  <si>
    <t>M2603</t>
  </si>
  <si>
    <t>M2604</t>
  </si>
  <si>
    <t>M2605</t>
  </si>
  <si>
    <t>M2606</t>
  </si>
  <si>
    <t>M2607</t>
  </si>
  <si>
    <t>M2608</t>
  </si>
  <si>
    <t>M2609</t>
  </si>
  <si>
    <t>M2610</t>
  </si>
  <si>
    <t>M2611</t>
  </si>
  <si>
    <t>M2612</t>
  </si>
  <si>
    <t>M2613</t>
  </si>
  <si>
    <t>M2614</t>
  </si>
  <si>
    <t>M2615</t>
  </si>
  <si>
    <t>M2616</t>
  </si>
  <si>
    <t>M2617</t>
  </si>
  <si>
    <t>M2618</t>
  </si>
  <si>
    <t>M2619</t>
  </si>
  <si>
    <t>M2620</t>
  </si>
  <si>
    <t>M2621</t>
  </si>
  <si>
    <t>M2622</t>
  </si>
  <si>
    <t>M2623</t>
  </si>
  <si>
    <t>M2624</t>
  </si>
  <si>
    <t>M2625</t>
  </si>
  <si>
    <t>M2626</t>
  </si>
  <si>
    <t>M2627</t>
  </si>
  <si>
    <t>M2628</t>
  </si>
  <si>
    <t>M2629</t>
  </si>
  <si>
    <t>M2631</t>
  </si>
  <si>
    <t>M2632</t>
  </si>
  <si>
    <t>M2633</t>
  </si>
  <si>
    <t>M2634</t>
  </si>
  <si>
    <t>M2635</t>
  </si>
  <si>
    <t>M2636</t>
  </si>
  <si>
    <t>M2637</t>
  </si>
  <si>
    <t>M2638</t>
  </si>
  <si>
    <t>M2639</t>
  </si>
  <si>
    <t>M2640</t>
  </si>
  <si>
    <t>M2641</t>
  </si>
  <si>
    <t>M2642</t>
  </si>
  <si>
    <t>M2643</t>
  </si>
  <si>
    <t>M2644</t>
  </si>
  <si>
    <t>M2645</t>
  </si>
  <si>
    <t>M2646</t>
  </si>
  <si>
    <t>M2647</t>
  </si>
  <si>
    <t>M2648</t>
  </si>
  <si>
    <t>M2649</t>
  </si>
  <si>
    <t>M2650</t>
  </si>
  <si>
    <t>M2651</t>
  </si>
  <si>
    <t>M2652</t>
  </si>
  <si>
    <t>M2653</t>
  </si>
  <si>
    <t>M2654</t>
  </si>
  <si>
    <t>M2655</t>
  </si>
  <si>
    <t>M2656</t>
  </si>
  <si>
    <t>M2657</t>
  </si>
  <si>
    <t>M2658</t>
  </si>
  <si>
    <t>M2659</t>
  </si>
  <si>
    <t>M2660</t>
  </si>
  <si>
    <t>M2661</t>
  </si>
  <si>
    <t>M2662</t>
  </si>
  <si>
    <t>M2663</t>
  </si>
  <si>
    <t>M2664</t>
  </si>
  <si>
    <t>M2665</t>
  </si>
  <si>
    <t>M2666</t>
  </si>
  <si>
    <t>M2667</t>
  </si>
  <si>
    <t>M2668</t>
  </si>
  <si>
    <t>M2669</t>
  </si>
  <si>
    <t>M2670</t>
  </si>
  <si>
    <t>M2671</t>
  </si>
  <si>
    <t>M2672</t>
  </si>
  <si>
    <t>M2673</t>
  </si>
  <si>
    <t>M2674</t>
  </si>
  <si>
    <t>M2675</t>
  </si>
  <si>
    <t>M2676</t>
  </si>
  <si>
    <t>M2677</t>
  </si>
  <si>
    <t>M2678</t>
  </si>
  <si>
    <t>M2679</t>
  </si>
  <si>
    <t>M2680</t>
  </si>
  <si>
    <t>M2681</t>
  </si>
  <si>
    <t>M2682</t>
  </si>
  <si>
    <t>M2683</t>
  </si>
  <si>
    <t>M2684</t>
  </si>
  <si>
    <t>M2685</t>
  </si>
  <si>
    <t>M2686</t>
  </si>
  <si>
    <t>M2687</t>
  </si>
  <si>
    <t>M2688</t>
  </si>
  <si>
    <t>M2689</t>
  </si>
  <si>
    <t>M2690</t>
  </si>
  <si>
    <t>M2691</t>
  </si>
  <si>
    <t>M2692</t>
  </si>
  <si>
    <t>M2693</t>
  </si>
  <si>
    <t>M2694</t>
  </si>
  <si>
    <t>M2695</t>
  </si>
  <si>
    <t>M2696</t>
  </si>
  <si>
    <t>M2697</t>
  </si>
  <si>
    <t>M2698</t>
  </si>
  <si>
    <t>M2701</t>
  </si>
  <si>
    <t>M2702</t>
  </si>
  <si>
    <t>M2703</t>
  </si>
  <si>
    <t>M2704</t>
  </si>
  <si>
    <t>M2705</t>
  </si>
  <si>
    <t>M2706</t>
  </si>
  <si>
    <t>M2707</t>
  </si>
  <si>
    <t>M2708</t>
  </si>
  <si>
    <t>M2709</t>
  </si>
  <si>
    <t>M2710</t>
  </si>
  <si>
    <t>M2712</t>
  </si>
  <si>
    <t>M2713</t>
  </si>
  <si>
    <t>M2715</t>
  </si>
  <si>
    <t>M2716</t>
  </si>
  <si>
    <t>M2717</t>
  </si>
  <si>
    <t>M2718</t>
  </si>
  <si>
    <t>M2719</t>
  </si>
  <si>
    <t>M2720</t>
  </si>
  <si>
    <t>M2721</t>
  </si>
  <si>
    <t>M2722</t>
  </si>
  <si>
    <t>M2723</t>
  </si>
  <si>
    <t>M2724</t>
  </si>
  <si>
    <t>M2725</t>
  </si>
  <si>
    <t>M2726</t>
  </si>
  <si>
    <t>M2727</t>
  </si>
  <si>
    <t>M2728</t>
  </si>
  <si>
    <t>M2729</t>
  </si>
  <si>
    <t>M2730</t>
  </si>
  <si>
    <t>M2731</t>
  </si>
  <si>
    <t>M2732</t>
  </si>
  <si>
    <t>M2733</t>
  </si>
  <si>
    <t>M2734</t>
  </si>
  <si>
    <t>M2735</t>
  </si>
  <si>
    <t>M2736</t>
  </si>
  <si>
    <t>M2737</t>
  </si>
  <si>
    <t>M2738</t>
  </si>
  <si>
    <t>M2739</t>
  </si>
  <si>
    <t>M2740</t>
  </si>
  <si>
    <t>M2741</t>
  </si>
  <si>
    <t>M2742</t>
  </si>
  <si>
    <t>M2743</t>
  </si>
  <si>
    <t>M2744</t>
  </si>
  <si>
    <t>M2745</t>
  </si>
  <si>
    <t>M2746</t>
  </si>
  <si>
    <t>M2747</t>
  </si>
  <si>
    <t>M2748</t>
  </si>
  <si>
    <t>M2749</t>
  </si>
  <si>
    <t>M2750</t>
  </si>
  <si>
    <t>M2751</t>
  </si>
  <si>
    <t>M2752</t>
  </si>
  <si>
    <t>M2753</t>
  </si>
  <si>
    <t>M2754</t>
  </si>
  <si>
    <t>M2755</t>
  </si>
  <si>
    <t>M2756</t>
  </si>
  <si>
    <t>M2757</t>
  </si>
  <si>
    <t>M2758</t>
  </si>
  <si>
    <t>M2759</t>
  </si>
  <si>
    <t>M2760</t>
  </si>
  <si>
    <t>M2761</t>
  </si>
  <si>
    <t>M2762</t>
  </si>
  <si>
    <t>M2763</t>
  </si>
  <si>
    <t>M2764</t>
  </si>
  <si>
    <t>M2765</t>
  </si>
  <si>
    <t>M2766</t>
  </si>
  <si>
    <t>M2767</t>
  </si>
  <si>
    <t>M2768</t>
  </si>
  <si>
    <t>M2769</t>
  </si>
  <si>
    <t>M2770</t>
  </si>
  <si>
    <t>M2771</t>
  </si>
  <si>
    <t>M2772</t>
  </si>
  <si>
    <t>M2773</t>
  </si>
  <si>
    <t>M2774</t>
  </si>
  <si>
    <t>M2775</t>
  </si>
  <si>
    <t>M2776</t>
  </si>
  <si>
    <t>M2777</t>
  </si>
  <si>
    <t>M2780</t>
  </si>
  <si>
    <t>M2781</t>
  </si>
  <si>
    <t>M2782</t>
  </si>
  <si>
    <t>M2783</t>
  </si>
  <si>
    <t>M2784</t>
  </si>
  <si>
    <t>M2785</t>
  </si>
  <si>
    <t>M2786</t>
  </si>
  <si>
    <t>M2787</t>
  </si>
  <si>
    <t>M2788</t>
  </si>
  <si>
    <t>M2789</t>
  </si>
  <si>
    <t>M2790</t>
  </si>
  <si>
    <t>M2791</t>
  </si>
  <si>
    <t>M2792</t>
  </si>
  <si>
    <t>M2793</t>
  </si>
  <si>
    <t>M2794</t>
  </si>
  <si>
    <t>M2795</t>
  </si>
  <si>
    <t>M2796</t>
  </si>
  <si>
    <t>M2797</t>
  </si>
  <si>
    <t>M2798</t>
  </si>
  <si>
    <t>M2799</t>
  </si>
  <si>
    <t>M2800</t>
  </si>
  <si>
    <t>M2801</t>
  </si>
  <si>
    <t>M2802</t>
  </si>
  <si>
    <t>M2803</t>
  </si>
  <si>
    <t>M2804</t>
  </si>
  <si>
    <t>M2805</t>
  </si>
  <si>
    <t>M2806</t>
  </si>
  <si>
    <t>M2807</t>
  </si>
  <si>
    <t>M2808</t>
  </si>
  <si>
    <t>M2809</t>
  </si>
  <si>
    <t>M2810</t>
  </si>
  <si>
    <t>M2811</t>
  </si>
  <si>
    <t>M2812</t>
  </si>
  <si>
    <t>M2813</t>
  </si>
  <si>
    <t>M2814</t>
  </si>
  <si>
    <t>M2815</t>
  </si>
  <si>
    <t>M2816</t>
  </si>
  <si>
    <t>M2817</t>
  </si>
  <si>
    <t>M2818</t>
  </si>
  <si>
    <t>M2819</t>
  </si>
  <si>
    <t>M2820</t>
  </si>
  <si>
    <t>M2821</t>
  </si>
  <si>
    <t>M2822</t>
  </si>
  <si>
    <t>M2823</t>
  </si>
  <si>
    <t>M2824</t>
  </si>
  <si>
    <t>M2825</t>
  </si>
  <si>
    <t>M2826</t>
  </si>
  <si>
    <t>M2827</t>
  </si>
  <si>
    <t>M2828</t>
  </si>
  <si>
    <t>M2829</t>
  </si>
  <si>
    <t>M2830</t>
  </si>
  <si>
    <t>M2831</t>
  </si>
  <si>
    <t>M2832</t>
  </si>
  <si>
    <t>M2833</t>
  </si>
  <si>
    <t>M2834</t>
  </si>
  <si>
    <t>M2835</t>
  </si>
  <si>
    <t>M2836</t>
  </si>
  <si>
    <t>M2837</t>
  </si>
  <si>
    <t>M2838</t>
  </si>
  <si>
    <t>M2839</t>
  </si>
  <si>
    <t>M2840</t>
  </si>
  <si>
    <t>M2841</t>
  </si>
  <si>
    <t>M2842</t>
  </si>
  <si>
    <t>M2843</t>
  </si>
  <si>
    <t>M2844</t>
  </si>
  <si>
    <t>M2845</t>
  </si>
  <si>
    <t>M2846</t>
  </si>
  <si>
    <t>M2847</t>
  </si>
  <si>
    <t>M2848</t>
  </si>
  <si>
    <t>M2849</t>
  </si>
  <si>
    <t>M2850</t>
  </si>
  <si>
    <t>M2851</t>
  </si>
  <si>
    <t>M2852</t>
  </si>
  <si>
    <t>M2853</t>
  </si>
  <si>
    <t>M2854</t>
  </si>
  <si>
    <t>M2855</t>
  </si>
  <si>
    <t>M2856</t>
  </si>
  <si>
    <t>M2857</t>
  </si>
  <si>
    <t>M2858</t>
  </si>
  <si>
    <t>M2859</t>
  </si>
  <si>
    <t>M2860</t>
  </si>
  <si>
    <t>M2861</t>
  </si>
  <si>
    <t>M2862</t>
  </si>
  <si>
    <t>M2863</t>
  </si>
  <si>
    <t>M2864</t>
  </si>
  <si>
    <t>M2865</t>
  </si>
  <si>
    <t>M2866</t>
  </si>
  <si>
    <t>M2867</t>
  </si>
  <si>
    <t>M2868</t>
  </si>
  <si>
    <t>M2869</t>
  </si>
  <si>
    <t>M2870</t>
  </si>
  <si>
    <t>M2871</t>
  </si>
  <si>
    <t>M2872</t>
  </si>
  <si>
    <t>M2873</t>
  </si>
  <si>
    <t>M2874</t>
  </si>
  <si>
    <t>M2875</t>
  </si>
  <si>
    <t>M2876</t>
  </si>
  <si>
    <t>M2877</t>
  </si>
  <si>
    <t>M2878</t>
  </si>
  <si>
    <t>M2879</t>
  </si>
  <si>
    <t>M2880</t>
  </si>
  <si>
    <t>M2881</t>
  </si>
  <si>
    <t>M2882</t>
  </si>
  <si>
    <t>M2883</t>
  </si>
  <si>
    <t>M2884</t>
  </si>
  <si>
    <t>M2885</t>
  </si>
  <si>
    <t>M2886</t>
  </si>
  <si>
    <t>M2887</t>
  </si>
  <si>
    <t>M2888</t>
  </si>
  <si>
    <t>M2889</t>
  </si>
  <si>
    <t>M2890</t>
  </si>
  <si>
    <t>M2891</t>
  </si>
  <si>
    <t>M2892</t>
  </si>
  <si>
    <t>M2893</t>
  </si>
  <si>
    <t>M2894</t>
  </si>
  <si>
    <t>M2895</t>
  </si>
  <si>
    <t>M2896</t>
  </si>
  <si>
    <t>M2897</t>
  </si>
  <si>
    <t>M2898</t>
  </si>
  <si>
    <t>M2899</t>
  </si>
  <si>
    <t>M2900</t>
  </si>
  <si>
    <t>M2901</t>
  </si>
  <si>
    <t>M2902</t>
  </si>
  <si>
    <t>M2908</t>
  </si>
  <si>
    <t>M2909</t>
  </si>
  <si>
    <t>M2979</t>
  </si>
  <si>
    <t>M3089</t>
  </si>
  <si>
    <t>M3091</t>
  </si>
  <si>
    <t>M3093</t>
  </si>
  <si>
    <t>M3094</t>
  </si>
  <si>
    <t>M3095</t>
  </si>
  <si>
    <t>M3126</t>
  </si>
  <si>
    <t>M3127</t>
  </si>
  <si>
    <t>M3128</t>
  </si>
  <si>
    <t>M3129</t>
  </si>
  <si>
    <t>M3130</t>
  </si>
  <si>
    <t>M3131</t>
  </si>
  <si>
    <t>M3132</t>
  </si>
  <si>
    <t>M3133</t>
  </si>
  <si>
    <t>M3134</t>
  </si>
  <si>
    <t>M3135</t>
  </si>
  <si>
    <t>M3136</t>
  </si>
  <si>
    <t>M3137</t>
  </si>
  <si>
    <t>M3138</t>
  </si>
  <si>
    <t>M3139</t>
  </si>
  <si>
    <t>M3140</t>
  </si>
  <si>
    <t>M3141</t>
  </si>
  <si>
    <t>M3142</t>
  </si>
  <si>
    <t>M3143</t>
  </si>
  <si>
    <t>M3144</t>
  </si>
  <si>
    <t>M3145</t>
  </si>
  <si>
    <t>M3146</t>
  </si>
  <si>
    <t>M3147</t>
  </si>
  <si>
    <t>M3148</t>
  </si>
  <si>
    <t>M3149</t>
  </si>
  <si>
    <t>M3150</t>
  </si>
  <si>
    <t>M3153</t>
  </si>
  <si>
    <t>M3170</t>
  </si>
  <si>
    <t>M3171</t>
  </si>
  <si>
    <t>M3172</t>
  </si>
  <si>
    <t>M3173</t>
  </si>
  <si>
    <t>M3174</t>
  </si>
  <si>
    <t>M3177</t>
  </si>
  <si>
    <t>M3178</t>
  </si>
  <si>
    <t>M3179</t>
  </si>
  <si>
    <t>M3180</t>
  </si>
  <si>
    <t>M3181</t>
  </si>
  <si>
    <t>M3182</t>
  </si>
  <si>
    <t>M3183</t>
  </si>
  <si>
    <t>M3184</t>
  </si>
  <si>
    <t>M3185</t>
  </si>
  <si>
    <t>M3186</t>
  </si>
  <si>
    <t>M3187</t>
  </si>
  <si>
    <t>M3188</t>
  </si>
  <si>
    <t>M3189</t>
  </si>
  <si>
    <t>M3190</t>
  </si>
  <si>
    <t>M3191</t>
  </si>
  <si>
    <t>M3192</t>
  </si>
  <si>
    <t>M3193</t>
  </si>
  <si>
    <t>M3194</t>
  </si>
  <si>
    <t>M3195</t>
  </si>
  <si>
    <t>M3196</t>
  </si>
  <si>
    <t>M3197</t>
  </si>
  <si>
    <t>M3198</t>
  </si>
  <si>
    <t>M3199</t>
  </si>
  <si>
    <t>M3200</t>
  </si>
  <si>
    <t>M3201</t>
  </si>
  <si>
    <t>M3202</t>
  </si>
  <si>
    <t>M3203</t>
  </si>
  <si>
    <t>M3204</t>
  </si>
  <si>
    <t>M3205</t>
  </si>
  <si>
    <t>M3206</t>
  </si>
  <si>
    <t>M3207</t>
  </si>
  <si>
    <t>M3208</t>
  </si>
  <si>
    <t>M3209</t>
  </si>
  <si>
    <t>M3210</t>
  </si>
  <si>
    <t>M3211</t>
  </si>
  <si>
    <t>M3212</t>
  </si>
  <si>
    <t>M3213</t>
  </si>
  <si>
    <t>M3214</t>
  </si>
  <si>
    <t>M3215</t>
  </si>
  <si>
    <t>M3216</t>
  </si>
  <si>
    <t>M3217</t>
  </si>
  <si>
    <t>M3218</t>
  </si>
  <si>
    <t>M3219</t>
  </si>
  <si>
    <t>M3220</t>
  </si>
  <si>
    <t>M3225</t>
  </si>
  <si>
    <t>M3227</t>
  </si>
  <si>
    <t>M3228</t>
  </si>
  <si>
    <t>M3229</t>
  </si>
  <si>
    <t>M3230</t>
  </si>
  <si>
    <t>M3231</t>
  </si>
  <si>
    <t>M3232</t>
  </si>
  <si>
    <t>M3233</t>
  </si>
  <si>
    <t>M3235</t>
  </si>
  <si>
    <t>M3236</t>
  </si>
  <si>
    <t>M3237</t>
  </si>
  <si>
    <t>M3238</t>
  </si>
  <si>
    <t>M3239</t>
  </si>
  <si>
    <t>M3240</t>
  </si>
  <si>
    <t>M3241</t>
  </si>
  <si>
    <t>M3242</t>
  </si>
  <si>
    <t>M3245</t>
  </si>
  <si>
    <t>M3270</t>
  </si>
  <si>
    <t>M3271</t>
  </si>
  <si>
    <t>M3272</t>
  </si>
  <si>
    <t>M3273</t>
  </si>
  <si>
    <t>M3274</t>
  </si>
  <si>
    <t>M3275</t>
  </si>
  <si>
    <t>M3276</t>
  </si>
  <si>
    <t>M3277</t>
  </si>
  <si>
    <t>M3278</t>
  </si>
  <si>
    <t>M3279</t>
  </si>
  <si>
    <t>M3280</t>
  </si>
  <si>
    <t>M3353</t>
  </si>
  <si>
    <t>M3360</t>
  </si>
  <si>
    <t>M3361</t>
  </si>
  <si>
    <t>M3362</t>
  </si>
  <si>
    <t>M3363</t>
  </si>
  <si>
    <t>M3364</t>
  </si>
  <si>
    <t>M3365</t>
  </si>
  <si>
    <t>M3366</t>
  </si>
  <si>
    <t>M3367</t>
  </si>
  <si>
    <t>M3368</t>
  </si>
  <si>
    <t>M3369</t>
  </si>
  <si>
    <t>M3370</t>
  </si>
  <si>
    <t>M3371</t>
  </si>
  <si>
    <t>M3372</t>
  </si>
  <si>
    <t>M3501</t>
  </si>
  <si>
    <t>M3502</t>
  </si>
  <si>
    <t>Mistura betuminosa</t>
  </si>
  <si>
    <t>M3503</t>
  </si>
  <si>
    <t>Material de base</t>
  </si>
  <si>
    <t>M3504</t>
  </si>
  <si>
    <t>Concreto</t>
  </si>
  <si>
    <t>M3505</t>
  </si>
  <si>
    <t>M3506</t>
  </si>
  <si>
    <t>M3507</t>
  </si>
  <si>
    <t>M3508</t>
  </si>
  <si>
    <t>M3509</t>
  </si>
  <si>
    <t>M3510</t>
  </si>
  <si>
    <t>M3511</t>
  </si>
  <si>
    <t>M3512</t>
  </si>
  <si>
    <t>M3513</t>
  </si>
  <si>
    <t>M3514</t>
  </si>
  <si>
    <t>M3515</t>
  </si>
  <si>
    <t>M3516</t>
  </si>
  <si>
    <t>M3518</t>
  </si>
  <si>
    <t>M3519</t>
  </si>
  <si>
    <t>M3520</t>
  </si>
  <si>
    <t>M3521</t>
  </si>
  <si>
    <t>M3522</t>
  </si>
  <si>
    <t>M3523</t>
  </si>
  <si>
    <t>M3524</t>
  </si>
  <si>
    <t>M3525</t>
  </si>
  <si>
    <t>M3526</t>
  </si>
  <si>
    <t>M3527</t>
  </si>
  <si>
    <t>M3528</t>
  </si>
  <si>
    <t>M3529</t>
  </si>
  <si>
    <t>M3530</t>
  </si>
  <si>
    <t>M3718</t>
  </si>
  <si>
    <t>M3719</t>
  </si>
  <si>
    <t>M3720</t>
  </si>
  <si>
    <t>M3721</t>
  </si>
  <si>
    <t>M3722</t>
  </si>
  <si>
    <t>M3723</t>
  </si>
  <si>
    <t>M3727</t>
  </si>
  <si>
    <t>M3728</t>
  </si>
  <si>
    <t>M3729</t>
  </si>
  <si>
    <t>M3730</t>
  </si>
  <si>
    <t>M3772</t>
  </si>
  <si>
    <t>M3773</t>
  </si>
  <si>
    <t>M3774</t>
  </si>
  <si>
    <t>M3775</t>
  </si>
  <si>
    <t>M3776</t>
  </si>
  <si>
    <t>M3777</t>
  </si>
  <si>
    <t>M3778</t>
  </si>
  <si>
    <t>M3779</t>
  </si>
  <si>
    <t>M3780</t>
  </si>
  <si>
    <t>M3781</t>
  </si>
  <si>
    <t>M3782</t>
  </si>
  <si>
    <t>M3783</t>
  </si>
  <si>
    <t>M3784</t>
  </si>
  <si>
    <t>M3785</t>
  </si>
  <si>
    <t>M3786</t>
  </si>
  <si>
    <t>M3787</t>
  </si>
  <si>
    <t>M3788</t>
  </si>
  <si>
    <t>M3789</t>
  </si>
  <si>
    <t>M3790</t>
  </si>
  <si>
    <t>M3791</t>
  </si>
  <si>
    <t>M3792</t>
  </si>
  <si>
    <t>M3793</t>
  </si>
  <si>
    <t>M3795</t>
  </si>
  <si>
    <t>M3801</t>
  </si>
  <si>
    <t>M3802</t>
  </si>
  <si>
    <t>M3803</t>
  </si>
  <si>
    <t>M3804</t>
  </si>
  <si>
    <t>M3805</t>
  </si>
  <si>
    <t>M3806</t>
  </si>
  <si>
    <t>M3807</t>
  </si>
  <si>
    <t>M3808</t>
  </si>
  <si>
    <t>M3809</t>
  </si>
  <si>
    <t>M3810</t>
  </si>
  <si>
    <t>M3811</t>
  </si>
  <si>
    <t>M3813</t>
  </si>
  <si>
    <t>M3821</t>
  </si>
  <si>
    <t>M3822</t>
  </si>
  <si>
    <t>M3823</t>
  </si>
  <si>
    <t>M3824</t>
  </si>
  <si>
    <t>M3825</t>
  </si>
  <si>
    <t>M3826</t>
  </si>
  <si>
    <t>M3827</t>
  </si>
  <si>
    <t>M3828</t>
  </si>
  <si>
    <t>M3829</t>
  </si>
  <si>
    <t>M3830</t>
  </si>
  <si>
    <t>M3831</t>
  </si>
  <si>
    <t>M3832</t>
  </si>
  <si>
    <t>M3833</t>
  </si>
  <si>
    <t>M3834</t>
  </si>
  <si>
    <t>M3835</t>
  </si>
  <si>
    <t>M3836</t>
  </si>
  <si>
    <t>M3837</t>
  </si>
  <si>
    <t>M3838</t>
  </si>
  <si>
    <t>M3839</t>
  </si>
  <si>
    <t>M3840</t>
  </si>
  <si>
    <t>M3841</t>
  </si>
  <si>
    <t>M3842</t>
  </si>
  <si>
    <t>M3843</t>
  </si>
  <si>
    <t>M3844</t>
  </si>
  <si>
    <t>M3845</t>
  </si>
  <si>
    <t>M3846</t>
  </si>
  <si>
    <t>M3847</t>
  </si>
  <si>
    <t>M3848</t>
  </si>
  <si>
    <t>M3851</t>
  </si>
  <si>
    <t>M3852</t>
  </si>
  <si>
    <t>M3853</t>
  </si>
  <si>
    <t>M3854</t>
  </si>
  <si>
    <t>M3855</t>
  </si>
  <si>
    <t>M3856</t>
  </si>
  <si>
    <t>M3857</t>
  </si>
  <si>
    <t>M3858</t>
  </si>
  <si>
    <t>M3859</t>
  </si>
  <si>
    <t>M3860</t>
  </si>
  <si>
    <t>M3861</t>
  </si>
  <si>
    <t>M3862</t>
  </si>
  <si>
    <t>M3863</t>
  </si>
  <si>
    <t>M3864</t>
  </si>
  <si>
    <t>M3865</t>
  </si>
  <si>
    <t>M3866</t>
  </si>
  <si>
    <t>M3867</t>
  </si>
  <si>
    <t>M3868</t>
  </si>
  <si>
    <t>M3869</t>
  </si>
  <si>
    <t>M3870</t>
  </si>
  <si>
    <t>M3900</t>
  </si>
  <si>
    <t>M3901</t>
  </si>
  <si>
    <t>M3902</t>
  </si>
  <si>
    <t>M3903</t>
  </si>
  <si>
    <t>M3904</t>
  </si>
  <si>
    <t>M3905</t>
  </si>
  <si>
    <t>M3906</t>
  </si>
  <si>
    <t>M3907</t>
  </si>
  <si>
    <t>M3908</t>
  </si>
  <si>
    <t>M3909</t>
  </si>
  <si>
    <t>M3910</t>
  </si>
  <si>
    <t>M3911</t>
  </si>
  <si>
    <t>M3912</t>
  </si>
  <si>
    <t>M3913</t>
  </si>
  <si>
    <t>M3914</t>
  </si>
  <si>
    <t>M3915</t>
  </si>
  <si>
    <t>M3916</t>
  </si>
  <si>
    <t>M3917</t>
  </si>
  <si>
    <t>M3918</t>
  </si>
  <si>
    <t>M3919</t>
  </si>
  <si>
    <t>M3920</t>
  </si>
  <si>
    <t>M3921</t>
  </si>
  <si>
    <t>M3922</t>
  </si>
  <si>
    <t>M3923</t>
  </si>
  <si>
    <t>M3924</t>
  </si>
  <si>
    <t>M3925</t>
  </si>
  <si>
    <t>M3926</t>
  </si>
  <si>
    <t>M3927</t>
  </si>
  <si>
    <t>M3928</t>
  </si>
  <si>
    <t>M3929</t>
  </si>
  <si>
    <t>M3931</t>
  </si>
  <si>
    <t>M3932</t>
  </si>
  <si>
    <t>M3933</t>
  </si>
  <si>
    <t>M3934</t>
  </si>
  <si>
    <t>M3935</t>
  </si>
  <si>
    <t>M3936</t>
  </si>
  <si>
    <t>M3939</t>
  </si>
  <si>
    <t>M3947</t>
  </si>
  <si>
    <t>M3949</t>
  </si>
  <si>
    <t>M4413</t>
  </si>
  <si>
    <t>Valor de Aquisição (R$)</t>
  </si>
  <si>
    <t>Depreciação (R$/h)</t>
  </si>
  <si>
    <t>Oportunidade de Capital (R$/h)</t>
  </si>
  <si>
    <t>Seguros e Impostos (R$/h)</t>
  </si>
  <si>
    <t>Manutenção (R$/h)</t>
  </si>
  <si>
    <t>Operação (R$/h)</t>
  </si>
  <si>
    <t>Mão de Obra de Operação (R$/h)</t>
  </si>
  <si>
    <t>Custo Produtivo (R$/h)</t>
  </si>
  <si>
    <t>Custo Improdutivo (R$/h)</t>
  </si>
  <si>
    <t>E9001</t>
  </si>
  <si>
    <t>E9002</t>
  </si>
  <si>
    <t>E9003</t>
  </si>
  <si>
    <t>E9004</t>
  </si>
  <si>
    <t>E9005</t>
  </si>
  <si>
    <t>E9006</t>
  </si>
  <si>
    <t>E9007</t>
  </si>
  <si>
    <t>E9008</t>
  </si>
  <si>
    <t>E9009</t>
  </si>
  <si>
    <t>E9010</t>
  </si>
  <si>
    <t>E9011</t>
  </si>
  <si>
    <t>E9014</t>
  </si>
  <si>
    <t>E9015</t>
  </si>
  <si>
    <t>E9016</t>
  </si>
  <si>
    <t>E9017</t>
  </si>
  <si>
    <t>E9020</t>
  </si>
  <si>
    <t>E9021</t>
  </si>
  <si>
    <t>E9022</t>
  </si>
  <si>
    <t>E9023</t>
  </si>
  <si>
    <t>E9024</t>
  </si>
  <si>
    <t>E9025</t>
  </si>
  <si>
    <t>E9026</t>
  </si>
  <si>
    <t>E9028</t>
  </si>
  <si>
    <t>E9029</t>
  </si>
  <si>
    <t>E9030</t>
  </si>
  <si>
    <t>E9031</t>
  </si>
  <si>
    <t>E9032</t>
  </si>
  <si>
    <t>E9033</t>
  </si>
  <si>
    <t>E9034</t>
  </si>
  <si>
    <t>E9035</t>
  </si>
  <si>
    <t>E9036</t>
  </si>
  <si>
    <t>E9038</t>
  </si>
  <si>
    <t>E9039</t>
  </si>
  <si>
    <t>E9040</t>
  </si>
  <si>
    <t>E9042</t>
  </si>
  <si>
    <t>E9043</t>
  </si>
  <si>
    <t>E9044</t>
  </si>
  <si>
    <t>E9045</t>
  </si>
  <si>
    <t>E9046</t>
  </si>
  <si>
    <t>E9047</t>
  </si>
  <si>
    <t>E9048</t>
  </si>
  <si>
    <t>E9049</t>
  </si>
  <si>
    <t>E9050</t>
  </si>
  <si>
    <t>E9051</t>
  </si>
  <si>
    <t>E9052</t>
  </si>
  <si>
    <t>E9053</t>
  </si>
  <si>
    <t>E9054</t>
  </si>
  <si>
    <t>E9055</t>
  </si>
  <si>
    <t>E9056</t>
  </si>
  <si>
    <t>E9057</t>
  </si>
  <si>
    <t>E9058</t>
  </si>
  <si>
    <t>E9059</t>
  </si>
  <si>
    <t>E9060</t>
  </si>
  <si>
    <t>E9061</t>
  </si>
  <si>
    <t>E9062</t>
  </si>
  <si>
    <t>E9063</t>
  </si>
  <si>
    <t>E9064</t>
  </si>
  <si>
    <t>E9065</t>
  </si>
  <si>
    <t>E9066</t>
  </si>
  <si>
    <t>E9067</t>
  </si>
  <si>
    <t>E9068</t>
  </si>
  <si>
    <t>E9069</t>
  </si>
  <si>
    <t>E9070</t>
  </si>
  <si>
    <t>E9071</t>
  </si>
  <si>
    <t>E9072</t>
  </si>
  <si>
    <t>E9073</t>
  </si>
  <si>
    <t>E9074</t>
  </si>
  <si>
    <t>E9075</t>
  </si>
  <si>
    <t>E9076</t>
  </si>
  <si>
    <t>E9077</t>
  </si>
  <si>
    <t>E9078</t>
  </si>
  <si>
    <t>E9079</t>
  </si>
  <si>
    <t>E9080</t>
  </si>
  <si>
    <t>E9081</t>
  </si>
  <si>
    <t>E9083</t>
  </si>
  <si>
    <t>E9084</t>
  </si>
  <si>
    <t>E9085</t>
  </si>
  <si>
    <t>E9086</t>
  </si>
  <si>
    <t>E9089</t>
  </si>
  <si>
    <t>E9091</t>
  </si>
  <si>
    <t>E9094</t>
  </si>
  <si>
    <t>E9095</t>
  </si>
  <si>
    <t>E9096</t>
  </si>
  <si>
    <t>E9101</t>
  </si>
  <si>
    <t>E9102</t>
  </si>
  <si>
    <t>E9103</t>
  </si>
  <si>
    <t>E9105</t>
  </si>
  <si>
    <t>E9106</t>
  </si>
  <si>
    <t>E9107</t>
  </si>
  <si>
    <t>E9108</t>
  </si>
  <si>
    <t>E9110</t>
  </si>
  <si>
    <t>E9111</t>
  </si>
  <si>
    <t>E9112</t>
  </si>
  <si>
    <t>E9113</t>
  </si>
  <si>
    <t>E9116</t>
  </si>
  <si>
    <t>E9117</t>
  </si>
  <si>
    <t>E9118</t>
  </si>
  <si>
    <t>E9119</t>
  </si>
  <si>
    <t>E9120</t>
  </si>
  <si>
    <t>E9121</t>
  </si>
  <si>
    <t>E9122</t>
  </si>
  <si>
    <t>E9126</t>
  </si>
  <si>
    <t>E9127</t>
  </si>
  <si>
    <t>E9134</t>
  </si>
  <si>
    <t>E9141</t>
  </si>
  <si>
    <t>E9144</t>
  </si>
  <si>
    <t>E9148</t>
  </si>
  <si>
    <t>E9149</t>
  </si>
  <si>
    <t>E9151</t>
  </si>
  <si>
    <t>E9152</t>
  </si>
  <si>
    <t>E9153</t>
  </si>
  <si>
    <t>E9154</t>
  </si>
  <si>
    <t>E9155</t>
  </si>
  <si>
    <t>E9156</t>
  </si>
  <si>
    <t>E9157</t>
  </si>
  <si>
    <t>E9158</t>
  </si>
  <si>
    <t>E9159</t>
  </si>
  <si>
    <t>E9160</t>
  </si>
  <si>
    <t>E9161</t>
  </si>
  <si>
    <t>E9162</t>
  </si>
  <si>
    <t>E9163</t>
  </si>
  <si>
    <t>E9164</t>
  </si>
  <si>
    <t>E9167</t>
  </si>
  <si>
    <t>E9168</t>
  </si>
  <si>
    <t>E9200</t>
  </si>
  <si>
    <t>E9203</t>
  </si>
  <si>
    <t>E9204</t>
  </si>
  <si>
    <t>E9205</t>
  </si>
  <si>
    <t>E9206</t>
  </si>
  <si>
    <t>E9207</t>
  </si>
  <si>
    <t>E9209</t>
  </si>
  <si>
    <t>E9213</t>
  </si>
  <si>
    <t>E9242</t>
  </si>
  <si>
    <t>E9243</t>
  </si>
  <si>
    <t>E9244</t>
  </si>
  <si>
    <t>E9245</t>
  </si>
  <si>
    <t>E9246</t>
  </si>
  <si>
    <t>E9247</t>
  </si>
  <si>
    <t>E9248</t>
  </si>
  <si>
    <t>E9249</t>
  </si>
  <si>
    <t>E9251</t>
  </si>
  <si>
    <t>E9252</t>
  </si>
  <si>
    <t>E9253</t>
  </si>
  <si>
    <t>E9254</t>
  </si>
  <si>
    <t>E9255</t>
  </si>
  <si>
    <t>E9256</t>
  </si>
  <si>
    <t>E9501</t>
  </si>
  <si>
    <t>E9502</t>
  </si>
  <si>
    <t>E9503</t>
  </si>
  <si>
    <t>E9505</t>
  </si>
  <si>
    <t>E9507</t>
  </si>
  <si>
    <t>E9510</t>
  </si>
  <si>
    <t>E9511</t>
  </si>
  <si>
    <t>E9512</t>
  </si>
  <si>
    <t>E9513</t>
  </si>
  <si>
    <t>E9514</t>
  </si>
  <si>
    <t>E9515</t>
  </si>
  <si>
    <t>E9516</t>
  </si>
  <si>
    <t>E9518</t>
  </si>
  <si>
    <t>E9519</t>
  </si>
  <si>
    <t>E9521</t>
  </si>
  <si>
    <t>E9522</t>
  </si>
  <si>
    <t>E9523</t>
  </si>
  <si>
    <t>E9524</t>
  </si>
  <si>
    <t>E9525</t>
  </si>
  <si>
    <t>E9526</t>
  </si>
  <si>
    <t>E9527</t>
  </si>
  <si>
    <t>E9528</t>
  </si>
  <si>
    <t>E9529</t>
  </si>
  <si>
    <t>E9530</t>
  </si>
  <si>
    <t>E9532</t>
  </si>
  <si>
    <t>E9535</t>
  </si>
  <si>
    <t>E9536</t>
  </si>
  <si>
    <t>E9538</t>
  </si>
  <si>
    <t>E9539</t>
  </si>
  <si>
    <t>E9540</t>
  </si>
  <si>
    <t>E9541</t>
  </si>
  <si>
    <t>E9543</t>
  </si>
  <si>
    <t>E9544</t>
  </si>
  <si>
    <t>E9545</t>
  </si>
  <si>
    <t>E9547</t>
  </si>
  <si>
    <t>E9548</t>
  </si>
  <si>
    <t>E9551</t>
  </si>
  <si>
    <t>E9552</t>
  </si>
  <si>
    <t>E9553</t>
  </si>
  <si>
    <t>E9556</t>
  </si>
  <si>
    <t>E9558</t>
  </si>
  <si>
    <t>E9559</t>
  </si>
  <si>
    <t>E9560</t>
  </si>
  <si>
    <t>E9561</t>
  </si>
  <si>
    <t>E9562</t>
  </si>
  <si>
    <t>E9563</t>
  </si>
  <si>
    <t>E9565</t>
  </si>
  <si>
    <t>E9566</t>
  </si>
  <si>
    <t>E9567</t>
  </si>
  <si>
    <t>E9568</t>
  </si>
  <si>
    <t>E9569</t>
  </si>
  <si>
    <t>E9570</t>
  </si>
  <si>
    <t>E9574</t>
  </si>
  <si>
    <t>E9576</t>
  </si>
  <si>
    <t>E9577</t>
  </si>
  <si>
    <t>E9578</t>
  </si>
  <si>
    <t>E9580</t>
  </si>
  <si>
    <t>E9581</t>
  </si>
  <si>
    <t>E9583</t>
  </si>
  <si>
    <t>E9584</t>
  </si>
  <si>
    <t>E9585</t>
  </si>
  <si>
    <t>E9586</t>
  </si>
  <si>
    <t>E9587</t>
  </si>
  <si>
    <t>E9588</t>
  </si>
  <si>
    <t>E9589</t>
  </si>
  <si>
    <t>E9590</t>
  </si>
  <si>
    <t>E9591</t>
  </si>
  <si>
    <t>E9593</t>
  </si>
  <si>
    <t>E9594</t>
  </si>
  <si>
    <t>E9595</t>
  </si>
  <si>
    <t>E9596</t>
  </si>
  <si>
    <t>E9597</t>
  </si>
  <si>
    <t>E9598</t>
  </si>
  <si>
    <t>E9599</t>
  </si>
  <si>
    <t>E9601</t>
  </si>
  <si>
    <t>E9603</t>
  </si>
  <si>
    <t>E9606</t>
  </si>
  <si>
    <t>E9607</t>
  </si>
  <si>
    <t>E9609</t>
  </si>
  <si>
    <t>E9610</t>
  </si>
  <si>
    <t>E9611</t>
  </si>
  <si>
    <t>E9612</t>
  </si>
  <si>
    <t>E9613</t>
  </si>
  <si>
    <t>E9614</t>
  </si>
  <si>
    <t>E9615</t>
  </si>
  <si>
    <t>E9617</t>
  </si>
  <si>
    <t>E9618</t>
  </si>
  <si>
    <t>E9619</t>
  </si>
  <si>
    <t>E9620</t>
  </si>
  <si>
    <t>E9621</t>
  </si>
  <si>
    <t>E9622</t>
  </si>
  <si>
    <t>E9623</t>
  </si>
  <si>
    <t>E9624</t>
  </si>
  <si>
    <t>E9625</t>
  </si>
  <si>
    <t>E9626</t>
  </si>
  <si>
    <t>E9627</t>
  </si>
  <si>
    <t>E9628</t>
  </si>
  <si>
    <t>E9629</t>
  </si>
  <si>
    <t>E9630</t>
  </si>
  <si>
    <t>E9631</t>
  </si>
  <si>
    <t>E9632</t>
  </si>
  <si>
    <t>E9633</t>
  </si>
  <si>
    <t>E9634</t>
  </si>
  <si>
    <t>E9635</t>
  </si>
  <si>
    <t>E9636</t>
  </si>
  <si>
    <t>E9637</t>
  </si>
  <si>
    <t>E9638</t>
  </si>
  <si>
    <t>E9639</t>
  </si>
  <si>
    <t>E9640</t>
  </si>
  <si>
    <t>E9641</t>
  </si>
  <si>
    <t>E9642</t>
  </si>
  <si>
    <t>E9643</t>
  </si>
  <si>
    <t>E9646</t>
  </si>
  <si>
    <t>E9647</t>
  </si>
  <si>
    <t>E9648</t>
  </si>
  <si>
    <t>E9649</t>
  </si>
  <si>
    <t>E9651</t>
  </si>
  <si>
    <t>E9652</t>
  </si>
  <si>
    <t>E9653</t>
  </si>
  <si>
    <t>E9654</t>
  </si>
  <si>
    <t>E9656</t>
  </si>
  <si>
    <t>E9657</t>
  </si>
  <si>
    <t>E9660</t>
  </si>
  <si>
    <t>E9661</t>
  </si>
  <si>
    <t>E9662</t>
  </si>
  <si>
    <t>E9664</t>
  </si>
  <si>
    <t>E9668</t>
  </si>
  <si>
    <t>E9671</t>
  </si>
  <si>
    <t>E9673</t>
  </si>
  <si>
    <t>E9674</t>
  </si>
  <si>
    <t>E9675</t>
  </si>
  <si>
    <t>E9676</t>
  </si>
  <si>
    <t>E9677</t>
  </si>
  <si>
    <t>E9678</t>
  </si>
  <si>
    <t>E9681</t>
  </si>
  <si>
    <t>E9682</t>
  </si>
  <si>
    <t>E9683</t>
  </si>
  <si>
    <t>E9684</t>
  </si>
  <si>
    <t>E9685</t>
  </si>
  <si>
    <t>E9689</t>
  </si>
  <si>
    <t>E9691</t>
  </si>
  <si>
    <t>E9692</t>
  </si>
  <si>
    <t>E9694</t>
  </si>
  <si>
    <t>E9697</t>
  </si>
  <si>
    <t>E9699</t>
  </si>
  <si>
    <t>E9700</t>
  </si>
  <si>
    <t>E9701</t>
  </si>
  <si>
    <t>E9703</t>
  </si>
  <si>
    <t>E9704</t>
  </si>
  <si>
    <t>E9705</t>
  </si>
  <si>
    <t>E9706</t>
  </si>
  <si>
    <t>E9707</t>
  </si>
  <si>
    <t>E9708</t>
  </si>
  <si>
    <t>E9710</t>
  </si>
  <si>
    <t>E9712</t>
  </si>
  <si>
    <t>E9714</t>
  </si>
  <si>
    <t>E9716</t>
  </si>
  <si>
    <t>E9717</t>
  </si>
  <si>
    <t>E9718</t>
  </si>
  <si>
    <t>E9719</t>
  </si>
  <si>
    <t>E9720</t>
  </si>
  <si>
    <t>E9721</t>
  </si>
  <si>
    <t>E9722</t>
  </si>
  <si>
    <t>E9723</t>
  </si>
  <si>
    <t>E9724</t>
  </si>
  <si>
    <t>E9725</t>
  </si>
  <si>
    <t>E9726</t>
  </si>
  <si>
    <t>E9727</t>
  </si>
  <si>
    <t>E9728</t>
  </si>
  <si>
    <t>E9729</t>
  </si>
  <si>
    <t>E9730</t>
  </si>
  <si>
    <t>E9731</t>
  </si>
  <si>
    <t>E9732</t>
  </si>
  <si>
    <t>E9733</t>
  </si>
  <si>
    <t>E9734</t>
  </si>
  <si>
    <t>E9735</t>
  </si>
  <si>
    <t>E9736</t>
  </si>
  <si>
    <t>E9737</t>
  </si>
  <si>
    <t>E9738</t>
  </si>
  <si>
    <t>E9740</t>
  </si>
  <si>
    <t>E9742</t>
  </si>
  <si>
    <t>E9745</t>
  </si>
  <si>
    <t>E9746</t>
  </si>
  <si>
    <t>E9747</t>
  </si>
  <si>
    <t>E9748</t>
  </si>
  <si>
    <t>E9749</t>
  </si>
  <si>
    <t>E9750</t>
  </si>
  <si>
    <t>E9753</t>
  </si>
  <si>
    <t>E9754</t>
  </si>
  <si>
    <t>E9755</t>
  </si>
  <si>
    <t>E9756</t>
  </si>
  <si>
    <t>E9758</t>
  </si>
  <si>
    <t>E9760</t>
  </si>
  <si>
    <t>E9761</t>
  </si>
  <si>
    <t>E9762</t>
  </si>
  <si>
    <t>E9763</t>
  </si>
  <si>
    <t>E9764</t>
  </si>
  <si>
    <t>E9765</t>
  </si>
  <si>
    <t>E9766</t>
  </si>
  <si>
    <t>E9767</t>
  </si>
  <si>
    <t>E9768</t>
  </si>
  <si>
    <t>E9769</t>
  </si>
  <si>
    <t>E9770</t>
  </si>
  <si>
    <t>E9771</t>
  </si>
  <si>
    <t>E9772</t>
  </si>
  <si>
    <t>E9773</t>
  </si>
  <si>
    <t>E9774</t>
  </si>
  <si>
    <t>E9775</t>
  </si>
  <si>
    <t>E9776</t>
  </si>
  <si>
    <t>E9777</t>
  </si>
  <si>
    <t>E9778</t>
  </si>
  <si>
    <t>E9779</t>
  </si>
  <si>
    <t>E9780</t>
  </si>
  <si>
    <t>E9781</t>
  </si>
  <si>
    <t>E9782</t>
  </si>
  <si>
    <t>E9784</t>
  </si>
  <si>
    <t>E9788</t>
  </si>
  <si>
    <t>E9789</t>
  </si>
  <si>
    <t>E9790</t>
  </si>
  <si>
    <t>E9791</t>
  </si>
  <si>
    <t>E9793</t>
  </si>
  <si>
    <t>E9795</t>
  </si>
  <si>
    <t>E9797</t>
  </si>
  <si>
    <t>E9798</t>
  </si>
  <si>
    <t>E9013</t>
  </si>
  <si>
    <t>A9335</t>
  </si>
  <si>
    <t>A9364</t>
  </si>
  <si>
    <t>E9018</t>
  </si>
  <si>
    <t>A9324</t>
  </si>
  <si>
    <t>A9355</t>
  </si>
  <si>
    <t>A9382</t>
  </si>
  <si>
    <t>E9027</t>
  </si>
  <si>
    <t>A9333</t>
  </si>
  <si>
    <t>A9365</t>
  </si>
  <si>
    <t>E9037</t>
  </si>
  <si>
    <t>A9334</t>
  </si>
  <si>
    <t>A9378</t>
  </si>
  <si>
    <t>E9041</t>
  </si>
  <si>
    <t>A9313</t>
  </si>
  <si>
    <t>A9351</t>
  </si>
  <si>
    <t>A9373</t>
  </si>
  <si>
    <t>E9082</t>
  </si>
  <si>
    <t>A9323</t>
  </si>
  <si>
    <t>A9347</t>
  </si>
  <si>
    <t>A9372</t>
  </si>
  <si>
    <t>A9379</t>
  </si>
  <si>
    <t>E9097</t>
  </si>
  <si>
    <t>A9326</t>
  </si>
  <si>
    <t>A9374</t>
  </si>
  <si>
    <t>E9098</t>
  </si>
  <si>
    <t>A9306</t>
  </si>
  <si>
    <t>A9375</t>
  </si>
  <si>
    <t>E9099</t>
  </si>
  <si>
    <t>A9320</t>
  </si>
  <si>
    <t>A9376</t>
  </si>
  <si>
    <t>E9100</t>
  </si>
  <si>
    <t>A9310</t>
  </si>
  <si>
    <t>E9114</t>
  </si>
  <si>
    <t>A9380</t>
  </si>
  <si>
    <t>E9115</t>
  </si>
  <si>
    <t>A9381</t>
  </si>
  <si>
    <t>E9145</t>
  </si>
  <si>
    <t>A9316</t>
  </si>
  <si>
    <t>A9340</t>
  </si>
  <si>
    <t>E9146</t>
  </si>
  <si>
    <t>A9357</t>
  </si>
  <si>
    <t>E9169</t>
  </si>
  <si>
    <t>A9385</t>
  </si>
  <si>
    <t>A9389</t>
  </si>
  <si>
    <t>E9170</t>
  </si>
  <si>
    <t>A9386</t>
  </si>
  <si>
    <t>A9387</t>
  </si>
  <si>
    <t>E9171</t>
  </si>
  <si>
    <t>A9325</t>
  </si>
  <si>
    <t>A9388</t>
  </si>
  <si>
    <t>E9199</t>
  </si>
  <si>
    <t>A9299</t>
  </si>
  <si>
    <t>E9201</t>
  </si>
  <si>
    <t>A9327</t>
  </si>
  <si>
    <t>A9343</t>
  </si>
  <si>
    <t>E9202</t>
  </si>
  <si>
    <t>A9300</t>
  </si>
  <si>
    <t>A9383</t>
  </si>
  <si>
    <t>E9506</t>
  </si>
  <si>
    <t>A9307</t>
  </si>
  <si>
    <t>A9338</t>
  </si>
  <si>
    <t>E9508</t>
  </si>
  <si>
    <t>A9309</t>
  </si>
  <si>
    <t>A9350</t>
  </si>
  <si>
    <t>E9509</t>
  </si>
  <si>
    <t>A9363</t>
  </si>
  <si>
    <t>E9520</t>
  </si>
  <si>
    <t>A9311</t>
  </si>
  <si>
    <t>A9339</t>
  </si>
  <si>
    <t>E9571</t>
  </si>
  <si>
    <t>A9332</t>
  </si>
  <si>
    <t>A9360</t>
  </si>
  <si>
    <t>E9575</t>
  </si>
  <si>
    <t>A9317</t>
  </si>
  <si>
    <t>A9345</t>
  </si>
  <si>
    <t>E9579</t>
  </si>
  <si>
    <t>A9342</t>
  </si>
  <si>
    <t>E9592</t>
  </si>
  <si>
    <t>A9314</t>
  </si>
  <si>
    <t>A9352</t>
  </si>
  <si>
    <t>E9600</t>
  </si>
  <si>
    <t>A9346</t>
  </si>
  <si>
    <t>E9604</t>
  </si>
  <si>
    <t>A9315</t>
  </si>
  <si>
    <t>A9341</t>
  </si>
  <si>
    <t>E9605</t>
  </si>
  <si>
    <t>A9358</t>
  </si>
  <si>
    <t>E9644</t>
  </si>
  <si>
    <t>A9302</t>
  </si>
  <si>
    <t>A9368</t>
  </si>
  <si>
    <t>E9645</t>
  </si>
  <si>
    <t>A9305</t>
  </si>
  <si>
    <t>A9328</t>
  </si>
  <si>
    <t>A9369</t>
  </si>
  <si>
    <t>E9663</t>
  </si>
  <si>
    <t>A9304</t>
  </si>
  <si>
    <t>A9336</t>
  </si>
  <si>
    <t>A9318</t>
  </si>
  <si>
    <t>A9353</t>
  </si>
  <si>
    <t>E9666</t>
  </si>
  <si>
    <t>A9321</t>
  </si>
  <si>
    <t>A9354</t>
  </si>
  <si>
    <t>E9667</t>
  </si>
  <si>
    <t>A9344</t>
  </si>
  <si>
    <t>E9669</t>
  </si>
  <si>
    <t>A9331</t>
  </si>
  <si>
    <t>A9359</t>
  </si>
  <si>
    <t>E9670</t>
  </si>
  <si>
    <t>A9319</t>
  </si>
  <si>
    <t>A9367</t>
  </si>
  <si>
    <t>E9672</t>
  </si>
  <si>
    <t>E9679</t>
  </si>
  <si>
    <t>A9384</t>
  </si>
  <si>
    <t>A9390</t>
  </si>
  <si>
    <t>E9680</t>
  </si>
  <si>
    <t>A9361</t>
  </si>
  <si>
    <t>E9686</t>
  </si>
  <si>
    <t>A9308</t>
  </si>
  <si>
    <t>A9349</t>
  </si>
  <si>
    <t>E9687</t>
  </si>
  <si>
    <t>A9303</t>
  </si>
  <si>
    <t>A9348</t>
  </si>
  <si>
    <t>E9690</t>
  </si>
  <si>
    <t>A9329</t>
  </si>
  <si>
    <t>A9330</t>
  </si>
  <si>
    <t>E9693</t>
  </si>
  <si>
    <t>A9322</t>
  </si>
  <si>
    <t>A9370</t>
  </si>
  <si>
    <t>E9783</t>
  </si>
  <si>
    <t>A9301</t>
  </si>
  <si>
    <t>A9377</t>
  </si>
  <si>
    <t>E9787</t>
  </si>
  <si>
    <t>A9371</t>
  </si>
  <si>
    <t>E9792</t>
  </si>
  <si>
    <t>A9362</t>
  </si>
  <si>
    <t>Base</t>
  </si>
  <si>
    <t>Aparelho de apoio de neoprene fretado para estruturas moldadas no local - fornecimento e instalação</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</si>
  <si>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</si>
  <si>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</si>
  <si>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</si>
  <si>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</si>
  <si>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</si>
  <si>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</si>
  <si>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</si>
  <si>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</si>
  <si>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</si>
  <si>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</si>
  <si>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</si>
  <si>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</si>
  <si>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</si>
  <si>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</si>
  <si>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</si>
  <si>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</si>
  <si>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</si>
  <si>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</si>
  <si>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</si>
  <si>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</si>
  <si>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</si>
  <si>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</si>
  <si>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</si>
  <si>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</si>
  <si>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</si>
  <si>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</si>
  <si>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</si>
  <si>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</si>
  <si>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</si>
  <si>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</si>
  <si>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</si>
  <si>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</si>
  <si>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</si>
  <si>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</si>
  <si>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</si>
  <si>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</si>
  <si>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</si>
  <si>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</si>
  <si>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</si>
  <si>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</si>
  <si>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</si>
  <si>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</si>
  <si>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</si>
  <si>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</si>
  <si>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</si>
  <si>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</si>
  <si>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</si>
  <si>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</si>
  <si>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</si>
  <si>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</si>
  <si>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</si>
  <si>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</si>
  <si>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</si>
  <si>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</si>
  <si>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</si>
  <si>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</si>
  <si>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</si>
  <si>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</si>
  <si>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</si>
  <si>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</si>
  <si>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</si>
  <si>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</si>
  <si>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</si>
  <si>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</si>
  <si>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</si>
  <si>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</si>
  <si>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</si>
  <si>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</si>
  <si>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</si>
  <si>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</si>
  <si>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</si>
  <si>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</si>
  <si>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</si>
  <si>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</si>
  <si>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</si>
  <si>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</si>
  <si>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</si>
  <si>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</si>
  <si>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</si>
  <si>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</si>
  <si>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</si>
  <si>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</si>
  <si>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</si>
  <si>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</si>
  <si>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</si>
  <si>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</si>
  <si>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</si>
  <si>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</si>
  <si>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</si>
  <si>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</si>
  <si>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</si>
  <si>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</si>
  <si>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</si>
  <si>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</si>
  <si>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</si>
  <si>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</si>
  <si>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</si>
  <si>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</si>
  <si>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</si>
  <si>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</si>
  <si>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</si>
  <si>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</si>
  <si>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</si>
  <si>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</si>
  <si>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</si>
  <si>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</si>
  <si>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</si>
  <si>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</si>
  <si>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</si>
  <si>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</si>
  <si>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</si>
  <si>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</si>
  <si>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</si>
  <si>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</si>
  <si>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</si>
  <si>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</si>
  <si>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</si>
  <si>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</si>
  <si>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</si>
  <si>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</si>
  <si>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</si>
  <si>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</si>
  <si>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</si>
  <si>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</si>
  <si>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</si>
  <si>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</si>
  <si>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</si>
  <si>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</si>
  <si>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</si>
  <si>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</si>
  <si>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</si>
  <si>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</si>
  <si>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</si>
  <si>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</si>
  <si>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</si>
  <si>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</si>
  <si>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</si>
  <si>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</si>
  <si>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</si>
  <si>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</si>
  <si>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</si>
  <si>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</si>
  <si>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</si>
  <si>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</si>
  <si>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</si>
  <si>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</si>
  <si>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</si>
  <si>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</si>
  <si>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</si>
  <si>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</si>
  <si>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</si>
  <si>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</si>
  <si>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</si>
  <si>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</si>
  <si>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</si>
  <si>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</si>
  <si>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</si>
  <si>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</si>
  <si>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</si>
  <si>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</si>
  <si>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</si>
  <si>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</si>
  <si>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</si>
  <si>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</si>
  <si>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</si>
  <si>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</si>
  <si>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</si>
  <si>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</si>
  <si>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</si>
  <si>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</si>
  <si>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</si>
  <si>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</si>
  <si>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</si>
  <si>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ovoide - vão = 7,21 m e altura = 7,82 m - aterro rodoviário mínimo = 0,75 m e máximo = 6,70 m - areia e brita comerciais</t>
  </si>
  <si>
    <t>Arco metálico galvanizado tipo MP 152S - ovoide - vão = 7,21 m e altura = 7,82 m - aterro rodoviário mínimo = 0,75 m e máximo = 6,70 m - areia extraída e brita produzida</t>
  </si>
  <si>
    <t>Arco metálico galvanizado tipo MP 152S - ovoide - vão = 7,31 m e altura = 7,87 m - aterro rodoviário mínimo = 0,90 m e máximo = 6,80 m - areia e brita comerciais</t>
  </si>
  <si>
    <t>Arco metálico galvanizado tipo MP 152S - ovoide - vão = 7,31 m e altura = 7,87 m - aterro rodoviário mínimo = 0,90 m e máximo = 6,80 m - areia extraída e brita produzida</t>
  </si>
  <si>
    <t>Arco metálico galvanizado tipo MP 152S - ovoide - vão = 7,57 m e altura = 8,44 m - aterro rodoviário mínimo = 0,90 m e máximo = 5,60 m - areia e brita comerciais</t>
  </si>
  <si>
    <t>Arco metálico galvanizado tipo MP 152S - ovoide - vão = 7,57 m e altura = 8,44 m - aterro rodoviário mínimo = 0,90 m e máximo = 5,60 m - areia extraída e brita produzida</t>
  </si>
  <si>
    <t>Arco metálico galvanizado tipo MP 152S - ovoide - vão = 7,77 m e altura = 7,90 m - aterro rodoviário mínimo = 0,90 m e máximo = 6,80 m - areia e brita comerciais</t>
  </si>
  <si>
    <t>Arco metálico galvanizado tipo MP 152S - ovoide - vão = 7,77 m e altura = 7,90 m - aterro rodoviário mínimo = 0,90 m e máximo = 6,80 m - areia extraída e brita produzida</t>
  </si>
  <si>
    <t>Arco metálico galvanizado tipo MP 152S - ovoide - vão = 8,13 m e altura = 8,01 m - aterro rodoviário mínimo = 0,90 m e máximo = 3,50 m - areia e brita comerciais</t>
  </si>
  <si>
    <t>Arco metálico galvanizado tipo MP 152S - ovoide - vão = 8,13 m e altura = 8,01 m - aterro rodoviário mínimo = 0,90 m e máximo = 3,50 m - areia extraída e brita produzida</t>
  </si>
  <si>
    <t>Arco metálico galvanizado tipo MP 152S - ovoide - vão = 8,36 m e altura = 8,23 m - aterro rodoviário mínimo = 0,90 m e máximo = 4,30 m - areia e brita comerciais</t>
  </si>
  <si>
    <t>Arco metálico galvanizado tipo MP 152S - ovoide - vão = 8,36 m e altura = 8,23 m - aterro rodoviário mínimo = 0,90 m e máximo = 4,30 m - areia extraída e brita produzida</t>
  </si>
  <si>
    <t>Arco metálico galvanizado tipo MP 152S - ovoide - vão = 8,56 m e altura = 8,48 m - aterro rodoviário mínimo = 0,90 m e máximo = 5,30 m - areia e brita comerciais</t>
  </si>
  <si>
    <t>Arco metálico galvanizado tipo MP 152S - ovoide - vão = 8,56 m e altura = 8,48 m - aterro rodoviário mínimo = 0,90 m e máximo = 5,30 m - areia extraída e brita produzida</t>
  </si>
  <si>
    <t>Arco metálico galvanizado tipo MP 152S - ovoide - vão = 8,71 m e altura = 9,32 m - aterro rodoviário mínimo = 0,90 m e máximo = 6,00 m - areia e brita comerciais</t>
  </si>
  <si>
    <t>Arco metálico galvanizado tipo MP 152S - ovoide - vão = 8,71 m e altura = 9,32 m - aterro rodoviário mínimo = 0,90 m e máximo = 6,00 m - areia extraída e brita produzida</t>
  </si>
  <si>
    <t>Arco metálico galvanizado tipo MP 152S - ovoide - vão = 9,15 m e altura = 9,04 m - aterro rodoviário mínimo = 0,90 m e máximo = 4,70 m - areia e brita comerciais</t>
  </si>
  <si>
    <t>Arco metálico galvanizado tipo MP 152S - ovoide - vão = 9,15 m e altura = 9,04 m - aterro rodoviário mínimo = 0,90 m e máximo = 4,70 m - areia extraída e brita produzida</t>
  </si>
  <si>
    <t>Arco metálico galvanizado tipo MP 152S - ovoide - vão = 9,15 m e altura = 9,50 m - aterro rodoviário mínimo = 0,90 m e máximo = 5,70 m - areia e brita comerciais</t>
  </si>
  <si>
    <t>Arco metálico galvanizado tipo MP 152S - ovoide - vão = 9,15 m e altura = 9,50 m - aterro rodoviário mínimo = 0,90 m e máximo = 5,70 m - areia extraída e brita produzida</t>
  </si>
  <si>
    <t>Argamassa de solo-cimento com 10% de cimento e material de jazida - preparo e injeção em tunnel liner</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</si>
  <si>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</si>
  <si>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</si>
  <si>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</si>
  <si>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</si>
  <si>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</si>
  <si>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</si>
  <si>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</si>
  <si>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</si>
  <si>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</si>
  <si>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</si>
  <si>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</si>
  <si>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</si>
  <si>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</si>
  <si>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</si>
  <si>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</si>
  <si>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</si>
  <si>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</si>
  <si>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</si>
  <si>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</si>
  <si>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</si>
  <si>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</si>
  <si>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</si>
  <si>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</si>
  <si>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</si>
  <si>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</si>
  <si>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</si>
  <si>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</si>
  <si>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</si>
  <si>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</si>
  <si>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</si>
  <si>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</si>
  <si>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</si>
  <si>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</si>
  <si>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</si>
  <si>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</si>
  <si>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</si>
  <si>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</si>
  <si>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</si>
  <si>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</si>
  <si>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</si>
  <si>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</si>
  <si>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</si>
  <si>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</si>
  <si>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</si>
  <si>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</si>
  <si>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</si>
  <si>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</si>
  <si>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</si>
  <si>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</si>
  <si>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</si>
  <si>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</si>
  <si>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</si>
  <si>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</si>
  <si>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</si>
  <si>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</si>
  <si>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</si>
  <si>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</si>
  <si>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</si>
  <si>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</si>
  <si>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</si>
  <si>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</si>
  <si>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</si>
  <si>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</si>
  <si>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</si>
  <si>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</si>
  <si>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</si>
  <si>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</si>
  <si>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</si>
  <si>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</si>
  <si>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</si>
  <si>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</si>
  <si>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</si>
  <si>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</si>
  <si>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</si>
  <si>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</si>
  <si>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</si>
  <si>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</si>
  <si>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</si>
  <si>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</si>
  <si>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</si>
  <si>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</si>
  <si>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</si>
  <si>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</si>
  <si>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</si>
  <si>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</si>
  <si>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</si>
  <si>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</si>
  <si>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</si>
  <si>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</si>
  <si>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</si>
  <si>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</si>
  <si>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</si>
  <si>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</si>
  <si>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</si>
  <si>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</si>
  <si>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</si>
  <si>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</si>
  <si>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</si>
  <si>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</si>
  <si>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</si>
  <si>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</si>
  <si>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</si>
  <si>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</si>
  <si>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</si>
  <si>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</si>
  <si>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</si>
  <si>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</si>
  <si>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</si>
  <si>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</si>
  <si>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</si>
  <si>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</si>
  <si>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</si>
  <si>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</si>
  <si>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</si>
  <si>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</si>
  <si>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</si>
  <si>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</si>
  <si>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</si>
  <si>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</si>
  <si>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</si>
  <si>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</si>
  <si>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</si>
  <si>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</si>
  <si>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</si>
  <si>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</si>
  <si>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</si>
  <si>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</si>
  <si>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</si>
  <si>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</si>
  <si>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</si>
  <si>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</si>
  <si>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</si>
  <si>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</si>
  <si>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</si>
  <si>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</si>
  <si>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</si>
  <si>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</si>
  <si>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</si>
  <si>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</si>
  <si>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</si>
  <si>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</si>
  <si>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</si>
  <si>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</si>
  <si>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</si>
  <si>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</si>
  <si>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</si>
  <si>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</si>
  <si>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</si>
  <si>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</si>
  <si>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</si>
  <si>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</si>
  <si>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</si>
  <si>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</si>
  <si>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</si>
  <si>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</si>
  <si>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</si>
  <si>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</si>
  <si>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</si>
  <si>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</si>
  <si>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</si>
  <si>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</si>
  <si>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</si>
  <si>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</si>
  <si>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</si>
  <si>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</si>
  <si>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</si>
  <si>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</si>
  <si>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</si>
  <si>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</si>
  <si>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</si>
  <si>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</si>
  <si>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</si>
  <si>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</si>
  <si>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</si>
  <si>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</si>
  <si>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</si>
  <si>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</si>
  <si>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</si>
  <si>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</si>
  <si>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</si>
  <si>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</si>
  <si>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</si>
  <si>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</si>
  <si>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</si>
  <si>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</si>
  <si>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</si>
  <si>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</si>
  <si>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</si>
  <si>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</si>
  <si>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</si>
  <si>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</si>
  <si>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</si>
  <si>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</si>
  <si>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</si>
  <si>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</si>
  <si>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</si>
  <si>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</si>
  <si>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</si>
  <si>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</si>
  <si>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</si>
  <si>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</si>
  <si>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</si>
  <si>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</si>
  <si>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</si>
  <si>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</si>
  <si>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</si>
  <si>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</si>
  <si>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</si>
  <si>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</si>
  <si>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</si>
  <si>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</si>
  <si>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</si>
  <si>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</si>
  <si>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</si>
  <si>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</si>
  <si>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</si>
  <si>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</si>
  <si>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</si>
  <si>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</si>
  <si>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</si>
  <si>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</si>
  <si>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</si>
  <si>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</si>
  <si>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</si>
  <si>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</si>
  <si>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</si>
  <si>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</si>
  <si>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</si>
  <si>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</si>
  <si>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</si>
  <si>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</si>
  <si>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</si>
  <si>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</si>
  <si>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</si>
  <si>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</si>
  <si>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</si>
  <si>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</si>
  <si>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</si>
  <si>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</si>
  <si>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</si>
  <si>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</si>
  <si>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</si>
  <si>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</si>
  <si>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</si>
  <si>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</si>
  <si>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</si>
  <si>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</si>
  <si>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</si>
  <si>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</si>
  <si>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</si>
  <si>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</si>
  <si>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</si>
  <si>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</si>
  <si>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</si>
  <si>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</si>
  <si>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</si>
  <si>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</si>
  <si>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</si>
  <si>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</si>
  <si>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</si>
  <si>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</si>
  <si>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</si>
  <si>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</si>
  <si>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</si>
  <si>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</si>
  <si>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</si>
  <si>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</si>
  <si>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</si>
  <si>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</si>
  <si>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</si>
  <si>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</si>
  <si>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</si>
  <si>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</si>
  <si>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</si>
  <si>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</si>
  <si>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</si>
  <si>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</si>
  <si>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</si>
  <si>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</si>
  <si>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</si>
  <si>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</si>
  <si>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</si>
  <si>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</si>
  <si>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</si>
  <si>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</si>
  <si>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</si>
  <si>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</si>
  <si>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</si>
  <si>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</si>
  <si>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</si>
  <si>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</si>
  <si>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</si>
  <si>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</si>
  <si>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</si>
  <si>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</si>
  <si>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</si>
  <si>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</si>
  <si>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</si>
  <si>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</si>
  <si>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</si>
  <si>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</si>
  <si>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</si>
  <si>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</si>
  <si>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</si>
  <si>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</si>
  <si>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</si>
  <si>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</si>
  <si>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</si>
  <si>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</si>
  <si>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</si>
  <si>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</si>
  <si>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</si>
  <si>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</si>
  <si>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</si>
  <si>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</si>
  <si>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</si>
  <si>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</si>
  <si>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</si>
  <si>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</si>
  <si>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</si>
  <si>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</si>
  <si>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</si>
  <si>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</si>
  <si>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</si>
  <si>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</si>
  <si>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</si>
  <si>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</si>
  <si>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</si>
  <si>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</si>
  <si>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</si>
  <si>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</si>
  <si>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</si>
  <si>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</si>
  <si>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</si>
  <si>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</si>
  <si>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</si>
  <si>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</si>
  <si>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</si>
  <si>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</si>
  <si>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</si>
  <si>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</si>
  <si>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</si>
  <si>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</si>
  <si>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</si>
  <si>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</si>
  <si>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</si>
  <si>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</si>
  <si>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</si>
  <si>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</si>
  <si>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</si>
  <si>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</si>
  <si>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</si>
  <si>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</si>
  <si>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</si>
  <si>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</si>
  <si>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</si>
  <si>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</si>
  <si>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</si>
  <si>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</si>
  <si>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</si>
  <si>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</si>
  <si>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</si>
  <si>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</si>
  <si>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</si>
  <si>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</si>
  <si>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</si>
  <si>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</si>
  <si>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</si>
  <si>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</si>
  <si>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</si>
  <si>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</si>
  <si>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</si>
  <si>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</si>
  <si>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</si>
  <si>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</si>
  <si>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</si>
  <si>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</si>
  <si>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</si>
  <si>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</si>
  <si>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</si>
  <si>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</si>
  <si>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</si>
  <si>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</si>
  <si>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</si>
  <si>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</si>
  <si>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</si>
  <si>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</si>
  <si>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</si>
  <si>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</si>
  <si>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</si>
  <si>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</si>
  <si>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</si>
  <si>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</si>
  <si>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</si>
  <si>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</si>
  <si>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</si>
  <si>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</si>
  <si>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</si>
  <si>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</si>
  <si>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</si>
  <si>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</si>
  <si>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</si>
  <si>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</si>
  <si>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</si>
  <si>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</si>
  <si>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</si>
  <si>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</si>
  <si>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</si>
  <si>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</si>
  <si>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</si>
  <si>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</si>
  <si>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</si>
  <si>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</si>
  <si>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</si>
  <si>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</si>
  <si>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</si>
  <si>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</si>
  <si>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</si>
  <si>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</si>
  <si>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</si>
  <si>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</si>
  <si>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</si>
  <si>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</si>
  <si>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</si>
  <si>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</si>
  <si>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</si>
  <si>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</si>
  <si>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</si>
  <si>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</si>
  <si>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</si>
  <si>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</si>
  <si>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</si>
  <si>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</si>
  <si>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</si>
  <si>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</si>
  <si>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</si>
  <si>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</si>
  <si>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</si>
  <si>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</si>
  <si>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</si>
  <si>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</si>
  <si>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</si>
  <si>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</si>
  <si>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</si>
  <si>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</si>
  <si>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</si>
  <si>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</si>
  <si>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</si>
  <si>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</si>
  <si>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</si>
  <si>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</si>
  <si>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</si>
  <si>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</si>
  <si>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</si>
  <si>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</si>
  <si>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</si>
  <si>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</si>
  <si>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</si>
  <si>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</si>
  <si>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</si>
  <si>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</si>
  <si>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</si>
  <si>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</si>
  <si>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</si>
  <si>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</si>
  <si>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</si>
  <si>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</si>
  <si>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</si>
  <si>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</si>
  <si>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</si>
  <si>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</si>
  <si>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</si>
  <si>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</si>
  <si>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</si>
  <si>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</si>
  <si>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</si>
  <si>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</si>
  <si>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</si>
  <si>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</si>
  <si>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</si>
  <si>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</si>
  <si>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</si>
  <si>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</si>
  <si>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</si>
  <si>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</si>
  <si>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</si>
  <si>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</si>
  <si>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</si>
  <si>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</si>
  <si>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</si>
  <si>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</si>
  <si>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</si>
  <si>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</si>
  <si>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</si>
  <si>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</si>
  <si>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</si>
  <si>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</si>
  <si>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</si>
  <si>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</si>
  <si>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</si>
  <si>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</si>
  <si>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</si>
  <si>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</si>
  <si>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</si>
  <si>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</si>
  <si>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</si>
  <si>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</si>
  <si>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</si>
  <si>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</si>
  <si>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</si>
  <si>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</si>
  <si>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</si>
  <si>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</si>
  <si>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</si>
  <si>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</si>
  <si>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</si>
  <si>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</si>
  <si>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</si>
  <si>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</si>
  <si>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</si>
  <si>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</si>
  <si>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</si>
  <si>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</si>
  <si>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</si>
  <si>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</si>
  <si>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</si>
  <si>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</si>
  <si>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</si>
  <si>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</si>
  <si>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</si>
  <si>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</si>
  <si>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</si>
  <si>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</si>
  <si>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</si>
  <si>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</si>
  <si>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</si>
  <si>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</si>
  <si>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</si>
  <si>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</si>
  <si>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</si>
  <si>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</si>
  <si>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</si>
  <si>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</si>
  <si>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</si>
  <si>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</si>
  <si>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</si>
  <si>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</si>
  <si>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</si>
  <si>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</si>
  <si>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</si>
  <si>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</si>
  <si>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</si>
  <si>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</si>
  <si>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</si>
  <si>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</si>
  <si>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</si>
  <si>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</si>
  <si>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</si>
  <si>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</si>
  <si>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</si>
  <si>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</si>
  <si>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</si>
  <si>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</si>
  <si>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</si>
  <si>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</si>
  <si>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</si>
  <si>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</si>
  <si>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</si>
  <si>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</si>
  <si>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</si>
  <si>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</si>
  <si>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</si>
  <si>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</si>
  <si>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</si>
  <si>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</si>
  <si>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</si>
  <si>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</si>
  <si>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</si>
  <si>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</si>
  <si>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</si>
  <si>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</si>
  <si>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</si>
  <si>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</si>
  <si>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</si>
  <si>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</si>
  <si>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</si>
  <si>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</si>
  <si>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</si>
  <si>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</si>
  <si>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</si>
  <si>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</si>
  <si>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</si>
  <si>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</si>
  <si>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</si>
  <si>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</si>
  <si>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</si>
  <si>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</si>
  <si>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</si>
  <si>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</si>
  <si>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</si>
  <si>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</si>
  <si>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</si>
  <si>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</si>
  <si>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</si>
  <si>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</si>
  <si>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</si>
  <si>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</si>
  <si>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</si>
  <si>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</si>
  <si>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</si>
  <si>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</si>
  <si>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</si>
  <si>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</si>
  <si>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</si>
  <si>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</si>
  <si>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</si>
  <si>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</si>
  <si>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</si>
  <si>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</si>
  <si>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</si>
  <si>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</si>
  <si>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</si>
  <si>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</si>
  <si>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</si>
  <si>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</si>
  <si>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</si>
  <si>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</si>
  <si>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</si>
  <si>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</si>
  <si>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</si>
  <si>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</si>
  <si>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</si>
  <si>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</si>
  <si>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</si>
  <si>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</si>
  <si>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</si>
  <si>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</si>
  <si>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</si>
  <si>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</si>
  <si>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</si>
  <si>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</si>
  <si>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</si>
  <si>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</si>
  <si>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</si>
  <si>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</si>
  <si>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</si>
  <si>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</si>
  <si>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</si>
  <si>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</si>
  <si>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</si>
  <si>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</si>
  <si>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</si>
  <si>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</si>
  <si>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</si>
  <si>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</si>
  <si>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</si>
  <si>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</si>
  <si>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</si>
  <si>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</si>
  <si>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</si>
  <si>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</si>
  <si>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</si>
  <si>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</si>
  <si>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</si>
  <si>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</si>
  <si>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</si>
  <si>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</si>
  <si>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</si>
  <si>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</si>
  <si>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</si>
  <si>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</si>
  <si>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</si>
  <si>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</si>
  <si>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</si>
  <si>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</si>
  <si>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</si>
  <si>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</si>
  <si>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</si>
  <si>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</si>
  <si>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</si>
  <si>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</si>
  <si>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</si>
  <si>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</si>
  <si>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</si>
  <si>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</si>
  <si>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</si>
  <si>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</si>
  <si>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</si>
  <si>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</si>
  <si>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</si>
  <si>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</si>
  <si>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</si>
  <si>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</si>
  <si>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</si>
  <si>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</si>
  <si>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</si>
  <si>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</si>
  <si>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</si>
  <si>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</si>
  <si>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</si>
  <si>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</si>
  <si>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</si>
  <si>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</si>
  <si>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</si>
  <si>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</si>
  <si>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</si>
  <si>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</si>
  <si>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</si>
  <si>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 a 2,50 mm - areia e brita comerciais</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</si>
  <si>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</si>
  <si>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</si>
  <si>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</si>
  <si>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</si>
  <si>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</si>
  <si>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</si>
  <si>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</si>
  <si>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</si>
  <si>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</si>
  <si>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</si>
  <si>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</si>
  <si>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</si>
  <si>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</si>
  <si>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</si>
  <si>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</si>
  <si>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</si>
  <si>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</si>
  <si>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</si>
  <si>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</si>
  <si>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</si>
  <si>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</si>
  <si>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</si>
  <si>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</si>
  <si>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</si>
  <si>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</si>
  <si>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</si>
  <si>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</si>
  <si>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</si>
  <si>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</si>
  <si>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</si>
  <si>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</si>
  <si>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</si>
  <si>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</si>
  <si>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</si>
  <si>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</si>
  <si>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</si>
  <si>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</si>
  <si>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</si>
  <si>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</si>
  <si>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</si>
  <si>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</si>
  <si>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</si>
  <si>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</si>
  <si>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</si>
  <si>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</si>
  <si>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</si>
  <si>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</si>
  <si>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</si>
  <si>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</si>
  <si>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</si>
  <si>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</si>
  <si>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</si>
  <si>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</si>
  <si>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</si>
  <si>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</si>
  <si>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</si>
  <si>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</si>
  <si>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</si>
  <si>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</si>
  <si>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</si>
  <si>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</si>
  <si>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</si>
  <si>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</si>
  <si>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</si>
  <si>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</si>
  <si>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</si>
  <si>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</si>
  <si>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</si>
  <si>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</si>
  <si>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</si>
  <si>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</si>
  <si>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</si>
  <si>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</si>
  <si>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</si>
  <si>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</si>
  <si>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</si>
  <si>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</si>
  <si>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</si>
  <si>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</si>
  <si>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</si>
  <si>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</si>
  <si>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</si>
  <si>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</si>
  <si>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</si>
  <si>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</si>
  <si>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</si>
  <si>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</si>
  <si>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</si>
  <si>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</si>
  <si>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</si>
  <si>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</si>
  <si>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</si>
  <si>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</si>
  <si>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</si>
  <si>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</si>
  <si>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</si>
  <si>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</si>
  <si>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</si>
  <si>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</si>
  <si>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</si>
  <si>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</si>
  <si>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</si>
  <si>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</si>
  <si>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</si>
  <si>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</si>
  <si>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</si>
  <si>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</si>
  <si>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</si>
  <si>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</si>
  <si>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</si>
  <si>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</si>
  <si>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</si>
  <si>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</si>
  <si>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</si>
  <si>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</si>
  <si>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</si>
  <si>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</si>
  <si>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</si>
  <si>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</si>
  <si>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</si>
  <si>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</si>
  <si>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</si>
  <si>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</si>
  <si>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</si>
  <si>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</si>
  <si>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</si>
  <si>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</si>
  <si>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</si>
  <si>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</si>
  <si>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</si>
  <si>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</si>
  <si>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</si>
  <si>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</si>
  <si>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</si>
  <si>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</si>
  <si>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</si>
  <si>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</si>
  <si>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</si>
  <si>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</si>
  <si>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</si>
  <si>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</si>
  <si>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</si>
  <si>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</si>
  <si>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</si>
  <si>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</si>
  <si>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</si>
  <si>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</si>
  <si>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</si>
  <si>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</si>
  <si>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</si>
  <si>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</si>
  <si>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</si>
  <si>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</si>
  <si>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</si>
  <si>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</si>
  <si>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</si>
  <si>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</si>
  <si>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</si>
  <si>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</si>
  <si>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</si>
  <si>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</si>
  <si>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</si>
  <si>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</si>
  <si>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</si>
  <si>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</si>
  <si>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</si>
  <si>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</si>
  <si>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</si>
  <si>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</si>
  <si>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</si>
  <si>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</si>
  <si>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</si>
  <si>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</si>
  <si>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</si>
  <si>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</si>
  <si>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</si>
  <si>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</si>
  <si>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</si>
  <si>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</si>
  <si>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</si>
  <si>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</si>
  <si>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</si>
  <si>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</si>
  <si>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</si>
  <si>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</si>
  <si>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</si>
  <si>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</si>
  <si>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</si>
  <si>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</si>
  <si>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</si>
  <si>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</si>
  <si>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</si>
  <si>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</si>
  <si>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</si>
  <si>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</si>
  <si>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</si>
  <si>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</si>
  <si>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</si>
  <si>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</si>
  <si>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</si>
  <si>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</si>
  <si>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</si>
  <si>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</si>
  <si>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</si>
  <si>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</si>
  <si>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</si>
  <si>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</si>
  <si>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</si>
  <si>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</si>
  <si>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</si>
  <si>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</si>
  <si>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</si>
  <si>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</si>
  <si>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</si>
  <si>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</si>
  <si>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</si>
  <si>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</si>
  <si>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</si>
  <si>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</si>
  <si>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</si>
  <si>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</si>
  <si>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</si>
  <si>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</si>
  <si>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</si>
  <si>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</si>
  <si>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</si>
  <si>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</si>
  <si>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</si>
  <si>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</si>
  <si>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</si>
  <si>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</si>
  <si>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</si>
  <si>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</si>
  <si>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</si>
  <si>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</si>
  <si>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</si>
  <si>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</si>
  <si>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</si>
  <si>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</si>
  <si>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</si>
  <si>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</si>
  <si>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</si>
  <si>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</si>
  <si>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</si>
  <si>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</si>
  <si>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</si>
  <si>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</si>
  <si>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</si>
  <si>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</si>
  <si>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</si>
  <si>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</si>
  <si>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</si>
  <si>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</si>
  <si>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</si>
  <si>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</si>
  <si>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</si>
  <si>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</si>
  <si>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</si>
  <si>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</si>
  <si>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</si>
  <si>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</si>
  <si>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</si>
  <si>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</si>
  <si>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</si>
  <si>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</si>
  <si>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</si>
  <si>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</si>
  <si>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</si>
  <si>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</si>
  <si>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</si>
  <si>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</si>
  <si>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</si>
  <si>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</si>
  <si>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</si>
  <si>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</si>
  <si>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</si>
  <si>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</si>
  <si>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</si>
  <si>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</si>
  <si>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</si>
  <si>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</si>
  <si>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</si>
  <si>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</si>
  <si>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</si>
  <si>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</si>
  <si>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</si>
  <si>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</si>
  <si>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</si>
  <si>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</si>
  <si>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</si>
  <si>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</si>
  <si>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</si>
  <si>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</si>
  <si>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</si>
  <si>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</si>
  <si>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</si>
  <si>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</si>
  <si>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</si>
  <si>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</si>
  <si>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</si>
  <si>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</si>
  <si>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</si>
  <si>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</si>
  <si>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</si>
  <si>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</si>
  <si>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</si>
  <si>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</si>
  <si>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</si>
  <si>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</si>
  <si>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</si>
  <si>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</si>
  <si>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</si>
  <si>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</si>
  <si>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</si>
  <si>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</si>
  <si>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</si>
  <si>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</si>
  <si>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</si>
  <si>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</si>
  <si>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</si>
  <si>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</si>
  <si>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</si>
  <si>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</si>
  <si>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</si>
  <si>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</si>
  <si>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</si>
  <si>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</si>
  <si>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</si>
  <si>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</si>
  <si>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</si>
  <si>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</si>
  <si>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</si>
  <si>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</si>
  <si>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</si>
  <si>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</si>
  <si>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</si>
  <si>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</si>
  <si>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</si>
  <si>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</si>
  <si>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</si>
  <si>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</si>
  <si>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</si>
  <si>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</si>
  <si>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</si>
  <si>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</si>
  <si>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</si>
  <si>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</si>
  <si>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</si>
  <si>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</si>
  <si>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</si>
  <si>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</si>
  <si>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</si>
  <si>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</si>
  <si>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</si>
  <si>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</si>
  <si>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</si>
  <si>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</si>
  <si>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</si>
  <si>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</si>
  <si>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</si>
  <si>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</si>
  <si>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</si>
  <si>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</si>
  <si>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</si>
  <si>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</si>
  <si>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</si>
  <si>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</si>
  <si>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</si>
  <si>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</si>
  <si>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</si>
  <si>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</si>
  <si>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</si>
  <si>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</si>
  <si>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</si>
  <si>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</si>
  <si>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</si>
  <si>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</si>
  <si>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</si>
  <si>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</si>
  <si>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</si>
  <si>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</si>
  <si>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</si>
  <si>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</si>
  <si>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</si>
  <si>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</si>
  <si>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</si>
  <si>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</si>
  <si>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</si>
  <si>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</si>
  <si>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</si>
  <si>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</si>
  <si>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</si>
  <si>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</si>
  <si>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</si>
  <si>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</si>
  <si>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</si>
  <si>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</si>
  <si>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</si>
  <si>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</si>
  <si>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</si>
  <si>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</si>
  <si>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</si>
  <si>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</si>
  <si>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</si>
  <si>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</si>
  <si>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</si>
  <si>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</si>
  <si>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</si>
  <si>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</si>
  <si>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</si>
  <si>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</si>
  <si>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</si>
  <si>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</si>
  <si>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</si>
  <si>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</si>
  <si>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</si>
  <si>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</si>
  <si>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</si>
  <si>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</si>
  <si>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</si>
  <si>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</si>
  <si>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</si>
  <si>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</si>
  <si>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</si>
  <si>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</si>
  <si>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</si>
  <si>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</si>
  <si>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</si>
  <si>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</si>
  <si>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</si>
  <si>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</si>
  <si>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</si>
  <si>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</si>
  <si>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</si>
  <si>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</si>
  <si>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</si>
  <si>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</si>
  <si>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</si>
  <si>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</si>
  <si>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</si>
  <si>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</si>
  <si>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</si>
  <si>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</si>
  <si>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</si>
  <si>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</si>
  <si>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</si>
  <si>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</si>
  <si>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</si>
  <si>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</si>
  <si>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</si>
  <si>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</si>
  <si>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</si>
  <si>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</si>
  <si>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</si>
  <si>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</si>
  <si>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</si>
  <si>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</si>
  <si>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</si>
  <si>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</si>
  <si>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</si>
  <si>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</si>
  <si>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</si>
  <si>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</si>
  <si>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</si>
  <si>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</si>
  <si>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</si>
  <si>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</si>
  <si>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</si>
  <si>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</si>
  <si>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</si>
  <si>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</si>
  <si>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</si>
  <si>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</si>
  <si>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</si>
  <si>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</si>
  <si>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</si>
  <si>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</si>
  <si>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</si>
  <si>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</si>
  <si>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</si>
  <si>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</si>
  <si>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</si>
  <si>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</si>
  <si>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</si>
  <si>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</si>
  <si>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</si>
  <si>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</si>
  <si>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</si>
  <si>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</si>
  <si>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</si>
  <si>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</si>
  <si>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</si>
  <si>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</si>
  <si>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</si>
  <si>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</si>
  <si>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</si>
  <si>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</si>
  <si>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</si>
  <si>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</si>
  <si>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</si>
  <si>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</si>
  <si>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</si>
  <si>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</si>
  <si>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</si>
  <si>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</si>
  <si>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</si>
  <si>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</si>
  <si>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</si>
  <si>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</si>
  <si>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</si>
  <si>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</si>
  <si>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</si>
  <si>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</si>
  <si>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</si>
  <si>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</si>
  <si>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</si>
  <si>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</si>
  <si>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</si>
  <si>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</si>
  <si>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</si>
  <si>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</si>
  <si>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</si>
  <si>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</si>
  <si>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</si>
  <si>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</si>
  <si>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</si>
  <si>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</si>
  <si>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</si>
  <si>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</si>
  <si>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</si>
  <si>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Aplicação de fundo selador acrílico em paredes, uma demão</t>
  </si>
  <si>
    <t>Aplicação manual de tinta látex em paredes, duas demãos</t>
  </si>
  <si>
    <t>Bacia de contenção para tanque de emulsão de 30.000 l, sem cobertura, inclusive demolições</t>
  </si>
  <si>
    <t>Canaleta perfil cartola 50 x 50 x 3 mm - aba 25 mm</t>
  </si>
  <si>
    <t>Chapisco aplicado em alvenarias e estruturas de concreto, com colher de pedreiro</t>
  </si>
  <si>
    <t>Cobertura em chapas zincadas com espessura de 0,43 mm - utilização 2 vezes</t>
  </si>
  <si>
    <t>Depósito de óleo enterrado para oficina, inclusive demolição</t>
  </si>
  <si>
    <t>Dique de contenção para usina de asfalto a quente - inclusive demolição</t>
  </si>
  <si>
    <t>Fornecimento e instalação de extintor de espuma 10 l</t>
  </si>
  <si>
    <t>Instalação da central de britagem com capacidade de 80 m³/h</t>
  </si>
  <si>
    <t>Instalação da central de concreto com capacidade de 150 m³/h</t>
  </si>
  <si>
    <t>Instalação da central de concreto com capacidade de 30 m³/h</t>
  </si>
  <si>
    <t>Instalação da central de concreto com capacidade de 40 m³/h</t>
  </si>
  <si>
    <t>Instalação da usina de asfalto a quente capacidade de 120 t/h</t>
  </si>
  <si>
    <t>Instalação da usina de pré-misturado a frio com capacidade de 60 t/h</t>
  </si>
  <si>
    <t>Instalação da usina misturadora de solos com capacidade de 300 t/h</t>
  </si>
  <si>
    <t>Lastro de brita comercial - espalhamento mecânico</t>
  </si>
  <si>
    <t>Massa única, para recebimento de pintura, em argamassa traço 1:2:8, espessura de 20 mm</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</si>
  <si>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</si>
  <si>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</si>
  <si>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</si>
  <si>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</si>
  <si>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</si>
  <si>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</si>
  <si>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</si>
  <si>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 = 1,0 m</t>
  </si>
  <si>
    <t>Posto de combustível - com reaproveitamento de 2 vezes do tanque/bomba/cobertura - inclusive demolição</t>
  </si>
  <si>
    <t>Rampa de lavagem - inclusive demolição</t>
  </si>
  <si>
    <t>Rampa para acesso do misturador de agregados para centrais de 30 m³ e 40 m³ - inclusive demolição</t>
  </si>
  <si>
    <t>Rampa para acesso do misturador de agregados para central de 150 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</si>
  <si>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</si>
  <si>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</si>
  <si>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</si>
  <si>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</si>
  <si>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</si>
  <si>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</si>
  <si>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</si>
  <si>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</si>
  <si>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</si>
  <si>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</si>
  <si>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</si>
  <si>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</si>
  <si>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</si>
  <si>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</si>
  <si>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</si>
  <si>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</si>
  <si>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</si>
  <si>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</si>
  <si>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</si>
  <si>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</si>
  <si>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</si>
  <si>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</si>
  <si>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</si>
  <si>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</si>
  <si>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</si>
  <si>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</si>
  <si>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</si>
  <si>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</si>
  <si>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</si>
  <si>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</si>
  <si>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</si>
  <si>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</si>
  <si>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</si>
  <si>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</si>
  <si>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</si>
  <si>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</si>
  <si>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</si>
  <si>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</si>
  <si>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</si>
  <si>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</si>
  <si>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</si>
  <si>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</si>
  <si>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</si>
  <si>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</si>
  <si>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</si>
  <si>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</si>
  <si>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</si>
  <si>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</si>
  <si>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</si>
  <si>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</si>
  <si>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</si>
  <si>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</si>
  <si>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</si>
  <si>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</si>
  <si>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</si>
  <si>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</si>
  <si>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</si>
  <si>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</si>
  <si>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</si>
  <si>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</si>
  <si>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</si>
  <si>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</si>
  <si>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</si>
  <si>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</si>
  <si>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</si>
  <si>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</si>
  <si>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</si>
  <si>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</si>
  <si>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</si>
  <si>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</si>
  <si>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</si>
  <si>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</si>
  <si>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</si>
  <si>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</si>
  <si>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</si>
  <si>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</si>
  <si>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</si>
  <si>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</si>
  <si>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</si>
  <si>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</si>
  <si>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</si>
  <si>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</si>
  <si>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</si>
  <si>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</si>
  <si>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</si>
  <si>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</si>
  <si>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</si>
  <si>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</si>
  <si>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</si>
  <si>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</si>
  <si>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</si>
  <si>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</si>
  <si>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</si>
  <si>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</si>
  <si>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</si>
  <si>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</si>
  <si>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</si>
  <si>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</si>
  <si>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</si>
  <si>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</si>
  <si>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</si>
  <si>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</si>
  <si>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</si>
  <si>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</si>
  <si>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</si>
  <si>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</si>
  <si>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</si>
  <si>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</si>
  <si>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</si>
  <si>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</si>
  <si>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</si>
  <si>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</si>
  <si>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</si>
  <si>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</si>
  <si>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</si>
  <si>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</si>
  <si>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</si>
  <si>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</si>
  <si>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</si>
  <si>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</si>
  <si>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</si>
  <si>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</si>
  <si>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</si>
  <si>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</si>
  <si>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</si>
  <si>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</si>
  <si>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</si>
  <si>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</si>
  <si>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</si>
  <si>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</si>
  <si>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</si>
  <si>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</si>
  <si>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</si>
  <si>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</si>
  <si>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</si>
  <si>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</si>
  <si>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</si>
  <si>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</si>
  <si>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</si>
  <si>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</si>
  <si>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</si>
  <si>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</si>
  <si>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</si>
  <si>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</si>
  <si>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</si>
  <si>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</si>
  <si>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</si>
  <si>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</si>
  <si>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</si>
  <si>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</si>
  <si>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</si>
  <si>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</si>
  <si>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</si>
  <si>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</si>
  <si>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</si>
  <si>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</si>
  <si>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</si>
  <si>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</si>
  <si>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</si>
  <si>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</si>
  <si>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</si>
  <si>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</si>
  <si>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</si>
  <si>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</si>
  <si>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</si>
  <si>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</si>
  <si>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</si>
  <si>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</si>
  <si>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</si>
  <si>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</si>
  <si>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</si>
  <si>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</si>
  <si>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</si>
  <si>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</si>
  <si>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</si>
  <si>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</si>
  <si>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</si>
  <si>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</si>
  <si>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</si>
  <si>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</si>
  <si>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</si>
  <si>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</si>
  <si>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</si>
  <si>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</si>
  <si>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</si>
  <si>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</si>
  <si>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</si>
  <si>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</si>
  <si>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</si>
  <si>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</si>
  <si>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</si>
  <si>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</si>
  <si>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</si>
  <si>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</si>
  <si>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</si>
  <si>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</si>
  <si>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</si>
  <si>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</si>
  <si>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</si>
  <si>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</si>
  <si>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</si>
  <si>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</si>
  <si>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</si>
  <si>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</si>
  <si>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</si>
  <si>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</si>
  <si>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</si>
  <si>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</si>
  <si>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</si>
  <si>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</si>
  <si>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</si>
  <si>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</si>
  <si>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</si>
  <si>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</si>
  <si>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</si>
  <si>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</si>
  <si>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</si>
  <si>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</si>
  <si>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</si>
  <si>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</si>
  <si>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</si>
  <si>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</si>
  <si>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</si>
  <si>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</si>
  <si>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</si>
  <si>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</si>
  <si>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</si>
  <si>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</si>
  <si>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</si>
  <si>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</si>
  <si>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</si>
  <si>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</si>
  <si>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</si>
  <si>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</si>
  <si>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</si>
  <si>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</si>
  <si>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</si>
  <si>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</si>
  <si>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</si>
  <si>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</si>
  <si>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</si>
  <si>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</si>
  <si>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</si>
  <si>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</si>
  <si>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</si>
  <si>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</si>
  <si>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</si>
  <si>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de face em tela metálica dobrada em L para solo reforçado - C = 2,0 m, L = 0,4 m e H = 0,4 m - fornecimento e instalação</t>
  </si>
  <si>
    <t>Muro de face em tela metálica dobrada em L para solo reforçado - C = 2,0 m, L = 0,5 m e H = 0,5 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</si>
  <si>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</si>
  <si>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</si>
  <si>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</si>
  <si>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</si>
  <si>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</si>
  <si>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</si>
  <si>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</si>
  <si>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</si>
  <si>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15 x 15 mm para fixação de barras de aço de 12,5 mm</t>
  </si>
  <si>
    <t>Abertura de rasgos em superfície de concreto medindo 8 x 8 mm para fixação de barras de aço de 6,3 mm</t>
  </si>
  <si>
    <t>Abertura em muro de alvenaria de pedra argamassada com martelete</t>
  </si>
  <si>
    <t>Apicoamento manual de concreto</t>
  </si>
  <si>
    <t>Demolição de concreto armado</t>
  </si>
  <si>
    <t>Demolição de concreto armado com martelete e corte oxiacetileno</t>
  </si>
  <si>
    <t>Demolição de concreto simples</t>
  </si>
  <si>
    <t>Demolição de concreto simples com martelete</t>
  </si>
  <si>
    <t>Demolição manual de construções provisórias de madeira - sem reaproveitamento</t>
  </si>
  <si>
    <t>Demolição manual de construções provisórias de madeira, sem fechamento lateral e sem pavimentação</t>
  </si>
  <si>
    <t>Demolição mecânica de alvenaria, com carregadeira de pneus - sem reaproveitamento</t>
  </si>
  <si>
    <t>Demolição mecânica de concreto armado, com escavadeira hidráulica com martelo hidráulico - sem reaproveitamento</t>
  </si>
  <si>
    <t>Demolição mecânica de construções provisórias em alvenaria com escavadeira hidráulica - sem reaproveitamento</t>
  </si>
  <si>
    <t>Fresagem de piso de concreto</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</si>
  <si>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</si>
  <si>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</si>
  <si>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</si>
  <si>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</si>
  <si>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</si>
  <si>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</si>
  <si>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</si>
  <si>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</si>
  <si>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</si>
  <si>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</si>
  <si>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</si>
  <si>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</si>
  <si>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</si>
  <si>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Preparo e regularização de terreno em desnível</t>
  </si>
  <si>
    <t>Raspagem e limpeza de terreno plano</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</si>
  <si>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</si>
  <si>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</si>
  <si>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</si>
  <si>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</si>
  <si>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</si>
  <si>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</si>
  <si>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</si>
  <si>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</si>
  <si>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</si>
  <si>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</si>
  <si>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</si>
  <si>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</si>
  <si>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</si>
  <si>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</si>
  <si>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</si>
  <si>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</si>
  <si>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</si>
  <si>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</si>
  <si>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</si>
  <si>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</si>
  <si>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</si>
  <si>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</si>
  <si>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</si>
  <si>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</si>
  <si>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</si>
  <si>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</si>
  <si>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</si>
  <si>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</si>
  <si>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</si>
  <si>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</si>
  <si>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</si>
  <si>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</si>
  <si>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</si>
  <si>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</si>
  <si>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</si>
  <si>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</si>
  <si>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</si>
  <si>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</si>
  <si>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</si>
  <si>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</si>
  <si>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</si>
  <si>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</si>
  <si>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</si>
  <si>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</si>
  <si>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</si>
  <si>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</si>
  <si>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</si>
  <si>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autoelevatória com três torres de perfuração</t>
  </si>
  <si>
    <t>Derrocagem subaquática de material de 3ª categoria - malha de 1,5 m² - perfuração e detonação - plataforma autoelevatória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</si>
  <si>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</si>
  <si>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</si>
  <si>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</si>
  <si>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</si>
  <si>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</si>
  <si>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</si>
  <si>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</si>
  <si>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</si>
  <si>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</si>
  <si>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</si>
  <si>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</si>
  <si>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</si>
  <si>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</si>
  <si>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</si>
  <si>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</si>
  <si>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</si>
  <si>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</si>
  <si>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</si>
  <si>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</si>
  <si>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</si>
  <si>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</si>
  <si>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</si>
  <si>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</si>
  <si>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</si>
  <si>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</si>
  <si>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</si>
  <si>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</si>
  <si>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</si>
  <si>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</si>
  <si>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</si>
  <si>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</si>
  <si>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</si>
  <si>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</si>
  <si>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</si>
  <si>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</si>
  <si>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</si>
  <si>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</si>
  <si>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</si>
  <si>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</si>
  <si>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</si>
  <si>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</si>
  <si>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</si>
  <si>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</si>
  <si>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</si>
  <si>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</si>
  <si>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</si>
  <si>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</si>
  <si>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</si>
  <si>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</si>
  <si>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</si>
  <si>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</si>
  <si>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</si>
  <si>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</si>
  <si>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</si>
  <si>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</si>
  <si>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</si>
  <si>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</si>
  <si>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</si>
  <si>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</si>
  <si>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</si>
  <si>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</si>
  <si>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</si>
  <si>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</si>
  <si>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</si>
  <si>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</si>
  <si>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</si>
  <si>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</si>
  <si>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</si>
  <si>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</si>
  <si>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</si>
  <si>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</si>
  <si>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</si>
  <si>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</si>
  <si>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</si>
  <si>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</si>
  <si>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</si>
  <si>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</si>
  <si>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</si>
  <si>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</si>
  <si>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</si>
  <si>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</si>
  <si>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</si>
  <si>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</si>
  <si>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</si>
  <si>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</si>
  <si>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</si>
  <si>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</si>
  <si>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</si>
  <si>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</si>
  <si>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</si>
  <si>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</si>
  <si>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</si>
  <si>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</si>
  <si>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</si>
  <si>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</si>
  <si>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</si>
  <si>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</si>
  <si>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</si>
  <si>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</si>
  <si>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</si>
  <si>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</si>
  <si>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</si>
  <si>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</si>
  <si>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</si>
  <si>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</si>
  <si>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</si>
  <si>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</si>
  <si>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</si>
  <si>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</si>
  <si>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</si>
  <si>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</si>
  <si>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</si>
  <si>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</si>
  <si>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</si>
  <si>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</si>
  <si>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</si>
  <si>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</si>
  <si>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</si>
  <si>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</si>
  <si>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</si>
  <si>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</si>
  <si>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</si>
  <si>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</si>
  <si>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</si>
  <si>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</si>
  <si>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</si>
  <si>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</si>
  <si>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</si>
  <si>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</si>
  <si>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</si>
  <si>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</si>
  <si>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</si>
  <si>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</si>
  <si>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</si>
  <si>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</si>
  <si>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</si>
  <si>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</si>
  <si>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</si>
  <si>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</si>
  <si>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</si>
  <si>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</si>
  <si>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</si>
  <si>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</si>
  <si>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</si>
  <si>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</si>
  <si>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</si>
  <si>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</si>
  <si>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</si>
  <si>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</si>
  <si>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</si>
  <si>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</si>
  <si>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</si>
  <si>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</si>
  <si>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</si>
  <si>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</si>
  <si>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</si>
  <si>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</si>
  <si>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</si>
  <si>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</si>
  <si>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</si>
  <si>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</si>
  <si>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</si>
  <si>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</si>
  <si>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</si>
  <si>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</si>
  <si>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</si>
  <si>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</si>
  <si>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</si>
  <si>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</si>
  <si>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</si>
  <si>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</si>
  <si>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</si>
  <si>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</si>
  <si>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</si>
  <si>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</si>
  <si>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</si>
  <si>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</si>
  <si>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</si>
  <si>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</si>
  <si>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</si>
  <si>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</si>
  <si>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</si>
  <si>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</si>
  <si>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</si>
  <si>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</si>
  <si>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</si>
  <si>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</si>
  <si>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</si>
  <si>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</si>
  <si>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</si>
  <si>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</si>
  <si>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</si>
  <si>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</si>
  <si>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</si>
  <si>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</si>
  <si>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</si>
  <si>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</si>
  <si>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</si>
  <si>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</si>
  <si>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</si>
  <si>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</si>
  <si>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</si>
  <si>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</si>
  <si>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</si>
  <si>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</si>
  <si>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</si>
  <si>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</si>
  <si>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</si>
  <si>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</si>
  <si>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</si>
  <si>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</si>
  <si>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</si>
  <si>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</si>
  <si>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</si>
  <si>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</si>
  <si>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</si>
  <si>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</si>
  <si>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</si>
  <si>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</si>
  <si>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</si>
  <si>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</si>
  <si>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</si>
  <si>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</si>
  <si>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</si>
  <si>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</si>
  <si>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</si>
  <si>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</si>
  <si>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</si>
  <si>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</si>
  <si>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</si>
  <si>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</si>
  <si>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</si>
  <si>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</si>
  <si>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</si>
  <si>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</si>
  <si>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</si>
  <si>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</si>
  <si>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</si>
  <si>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</si>
  <si>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</si>
  <si>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</si>
  <si>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</si>
  <si>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</si>
  <si>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</si>
  <si>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</si>
  <si>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</si>
  <si>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</si>
  <si>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</si>
  <si>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</si>
  <si>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</si>
  <si>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</si>
  <si>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</si>
  <si>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</si>
  <si>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</si>
  <si>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</si>
  <si>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</si>
  <si>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</si>
  <si>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</si>
  <si>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</si>
  <si>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</si>
  <si>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</si>
  <si>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</si>
  <si>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</si>
  <si>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</si>
  <si>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</si>
  <si>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</si>
  <si>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</si>
  <si>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</si>
  <si>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</si>
  <si>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</si>
  <si>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</si>
  <si>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</si>
  <si>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</si>
  <si>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</si>
  <si>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</si>
  <si>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</si>
  <si>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</si>
  <si>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</si>
  <si>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</si>
  <si>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</si>
  <si>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</si>
  <si>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</si>
  <si>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</si>
  <si>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</si>
  <si>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</si>
  <si>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</si>
  <si>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</si>
  <si>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</si>
  <si>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</si>
  <si>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</si>
  <si>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</si>
  <si>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</si>
  <si>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</si>
  <si>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</si>
  <si>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</si>
  <si>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</si>
  <si>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</si>
  <si>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</si>
  <si>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</si>
  <si>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</si>
  <si>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</si>
  <si>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</si>
  <si>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</si>
  <si>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</si>
  <si>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</si>
  <si>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</si>
  <si>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</si>
  <si>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</si>
  <si>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</si>
  <si>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</si>
  <si>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</si>
  <si>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</si>
  <si>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</si>
  <si>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</si>
  <si>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</si>
  <si>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</si>
  <si>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</si>
  <si>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</si>
  <si>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</si>
  <si>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</si>
  <si>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</si>
  <si>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</si>
  <si>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</si>
  <si>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</si>
  <si>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</si>
  <si>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</si>
  <si>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</si>
  <si>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</si>
  <si>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</si>
  <si>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</si>
  <si>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</si>
  <si>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</si>
  <si>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</si>
  <si>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</si>
  <si>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</si>
  <si>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</si>
  <si>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</si>
  <si>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</si>
  <si>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</si>
  <si>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</si>
  <si>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</si>
  <si>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</si>
  <si>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</si>
  <si>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</si>
  <si>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</si>
  <si>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</si>
  <si>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</si>
  <si>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</si>
  <si>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</si>
  <si>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</si>
  <si>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</si>
  <si>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</si>
  <si>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</si>
  <si>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</si>
  <si>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</si>
  <si>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</si>
  <si>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</si>
  <si>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</si>
  <si>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</si>
  <si>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</si>
  <si>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</si>
  <si>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</si>
  <si>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</si>
  <si>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</si>
  <si>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</si>
  <si>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</si>
  <si>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</si>
  <si>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</si>
  <si>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</si>
  <si>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</si>
  <si>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</si>
  <si>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</si>
  <si>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</si>
  <si>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</si>
  <si>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</si>
  <si>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</si>
  <si>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</si>
  <si>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</si>
  <si>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</si>
  <si>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</si>
  <si>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</si>
  <si>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</si>
  <si>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</si>
  <si>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</si>
  <si>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</si>
  <si>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</si>
  <si>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</si>
  <si>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</si>
  <si>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</si>
  <si>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</si>
  <si>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</si>
  <si>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</si>
  <si>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</si>
  <si>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</si>
  <si>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</si>
  <si>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</si>
  <si>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</si>
  <si>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</si>
  <si>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</si>
  <si>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</si>
  <si>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</si>
  <si>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</si>
  <si>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</si>
  <si>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</si>
  <si>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</si>
  <si>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</si>
  <si>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</si>
  <si>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</si>
  <si>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</si>
  <si>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</si>
  <si>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</si>
  <si>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</si>
  <si>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</si>
  <si>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</si>
  <si>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</si>
  <si>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</si>
  <si>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</si>
  <si>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</si>
  <si>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</si>
  <si>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</si>
  <si>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</si>
  <si>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</si>
  <si>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</si>
  <si>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</si>
  <si>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</si>
  <si>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</si>
  <si>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</si>
  <si>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</si>
  <si>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</si>
  <si>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</si>
  <si>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</si>
  <si>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</si>
  <si>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</si>
  <si>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</si>
  <si>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</si>
  <si>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</si>
  <si>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</si>
  <si>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</si>
  <si>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</si>
  <si>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</si>
  <si>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</si>
  <si>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</si>
  <si>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</si>
  <si>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</si>
  <si>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</si>
  <si>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</si>
  <si>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</si>
  <si>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</si>
  <si>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</si>
  <si>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</si>
  <si>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</si>
  <si>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</si>
  <si>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</si>
  <si>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</si>
  <si>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</si>
  <si>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</si>
  <si>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</si>
  <si>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</si>
  <si>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</si>
  <si>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</si>
  <si>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</si>
  <si>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</si>
  <si>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</si>
  <si>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</si>
  <si>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</si>
  <si>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</si>
  <si>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</si>
  <si>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</si>
  <si>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</si>
  <si>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</si>
  <si>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</si>
  <si>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</si>
  <si>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</si>
  <si>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</si>
  <si>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</si>
  <si>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</si>
  <si>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</si>
  <si>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</si>
  <si>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</si>
  <si>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</si>
  <si>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</si>
  <si>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</si>
  <si>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</si>
  <si>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</si>
  <si>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</si>
  <si>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</si>
  <si>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</si>
  <si>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</si>
  <si>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</si>
  <si>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</si>
  <si>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</si>
  <si>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</si>
  <si>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</si>
  <si>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</si>
  <si>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</si>
  <si>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</si>
  <si>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</si>
  <si>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</si>
  <si>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</si>
  <si>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</si>
  <si>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</si>
  <si>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</si>
  <si>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</si>
  <si>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</si>
  <si>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</si>
  <si>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</si>
  <si>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</si>
  <si>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</si>
  <si>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</si>
  <si>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</si>
  <si>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</si>
  <si>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</si>
  <si>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</si>
  <si>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</si>
  <si>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</si>
  <si>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</si>
  <si>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</si>
  <si>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</si>
  <si>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</si>
  <si>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</si>
  <si>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</si>
  <si>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</si>
  <si>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</si>
  <si>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</si>
  <si>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</si>
  <si>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</si>
  <si>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</si>
  <si>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</si>
  <si>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</si>
  <si>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</si>
  <si>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</si>
  <si>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</si>
  <si>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</si>
  <si>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</si>
  <si>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</si>
  <si>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</si>
  <si>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</si>
  <si>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</si>
  <si>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</si>
  <si>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</si>
  <si>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</si>
  <si>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</si>
  <si>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</si>
  <si>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</si>
  <si>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</si>
  <si>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</si>
  <si>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</si>
  <si>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</si>
  <si>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</si>
  <si>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</si>
  <si>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</si>
  <si>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</si>
  <si>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</si>
  <si>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</si>
  <si>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</si>
  <si>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</si>
  <si>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</si>
  <si>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</si>
  <si>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</si>
  <si>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</si>
  <si>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</si>
  <si>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</si>
  <si>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</si>
  <si>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</si>
  <si>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</si>
  <si>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</si>
  <si>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</si>
  <si>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</si>
  <si>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</si>
  <si>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</si>
  <si>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</si>
  <si>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</si>
  <si>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</si>
  <si>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</si>
  <si>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</si>
  <si>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</si>
  <si>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</si>
  <si>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</si>
  <si>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</si>
  <si>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</si>
  <si>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</si>
  <si>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</si>
  <si>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</si>
  <si>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</si>
  <si>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</si>
  <si>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</si>
  <si>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</si>
  <si>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</si>
  <si>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</si>
  <si>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</si>
  <si>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</si>
  <si>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</si>
  <si>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</si>
  <si>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</si>
  <si>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</si>
  <si>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</si>
  <si>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</si>
  <si>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</si>
  <si>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</si>
  <si>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</si>
  <si>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</si>
  <si>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</si>
  <si>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</si>
  <si>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</si>
  <si>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</si>
  <si>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</si>
  <si>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</si>
  <si>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</si>
  <si>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</si>
  <si>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</si>
  <si>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</si>
  <si>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</si>
  <si>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</si>
  <si>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</si>
  <si>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</si>
  <si>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</si>
  <si>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</si>
  <si>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</si>
  <si>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</si>
  <si>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</si>
  <si>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</si>
  <si>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</si>
  <si>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</si>
  <si>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</si>
  <si>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</si>
  <si>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</si>
  <si>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</si>
  <si>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</si>
  <si>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</si>
  <si>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</si>
  <si>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</si>
  <si>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</si>
  <si>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</si>
  <si>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</si>
  <si>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</si>
  <si>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</si>
  <si>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</si>
  <si>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</si>
  <si>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</si>
  <si>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</si>
  <si>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</si>
  <si>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</si>
  <si>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</si>
  <si>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</si>
  <si>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</si>
  <si>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</si>
  <si>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</si>
  <si>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</si>
  <si>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</si>
  <si>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</si>
  <si>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</si>
  <si>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</si>
  <si>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</si>
  <si>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</si>
  <si>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</si>
  <si>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</si>
  <si>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</si>
  <si>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</si>
  <si>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</si>
  <si>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</si>
  <si>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</si>
  <si>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</si>
  <si>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</si>
  <si>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</si>
  <si>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</si>
  <si>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</si>
  <si>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</si>
  <si>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</si>
  <si>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</si>
  <si>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</si>
  <si>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</si>
  <si>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</si>
  <si>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</si>
  <si>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</si>
  <si>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</si>
  <si>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</si>
  <si>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</si>
  <si>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</si>
  <si>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</si>
  <si>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</si>
  <si>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</si>
  <si>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</si>
  <si>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</si>
  <si>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</si>
  <si>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</si>
  <si>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</si>
  <si>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</si>
  <si>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</si>
  <si>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</si>
  <si>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</si>
  <si>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</si>
  <si>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</si>
  <si>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</si>
  <si>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</si>
  <si>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</si>
  <si>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</si>
  <si>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</si>
  <si>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</si>
  <si>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</si>
  <si>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</si>
  <si>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</si>
  <si>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</si>
  <si>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</si>
  <si>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</si>
  <si>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</si>
  <si>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</si>
  <si>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</si>
  <si>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</si>
  <si>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</si>
  <si>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</si>
  <si>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</si>
  <si>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</si>
  <si>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</si>
  <si>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</si>
  <si>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</si>
  <si>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</si>
  <si>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</si>
  <si>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</si>
  <si>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</si>
  <si>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</si>
  <si>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</si>
  <si>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</si>
  <si>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</si>
  <si>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</si>
  <si>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</si>
  <si>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</si>
  <si>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</si>
  <si>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</si>
  <si>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</si>
  <si>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</si>
  <si>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</si>
  <si>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</si>
  <si>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</si>
  <si>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</si>
  <si>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</si>
  <si>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</si>
  <si>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</si>
  <si>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</si>
  <si>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</si>
  <si>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</si>
  <si>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</si>
  <si>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</si>
  <si>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</si>
  <si>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</si>
  <si>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</si>
  <si>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</si>
  <si>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</si>
  <si>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</si>
  <si>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</si>
  <si>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</si>
  <si>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</si>
  <si>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</si>
  <si>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</si>
  <si>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</si>
  <si>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</si>
  <si>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</si>
  <si>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</si>
  <si>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</si>
  <si>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</si>
  <si>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</si>
  <si>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</si>
  <si>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</si>
  <si>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</si>
  <si>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</si>
  <si>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</si>
  <si>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</si>
  <si>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</si>
  <si>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</si>
  <si>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</si>
  <si>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</si>
  <si>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</si>
  <si>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</si>
  <si>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</si>
  <si>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</si>
  <si>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</si>
  <si>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</si>
  <si>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</si>
  <si>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</si>
  <si>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</si>
  <si>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</si>
  <si>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</si>
  <si>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</si>
  <si>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</si>
  <si>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</si>
  <si>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</si>
  <si>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</si>
  <si>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</si>
  <si>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</si>
  <si>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</si>
  <si>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</si>
  <si>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</si>
  <si>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</si>
  <si>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</si>
  <si>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</si>
  <si>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</si>
  <si>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</si>
  <si>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</si>
  <si>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</si>
  <si>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</si>
  <si>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</si>
  <si>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</si>
  <si>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</si>
  <si>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</si>
  <si>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</si>
  <si>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</si>
  <si>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</si>
  <si>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</si>
  <si>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</si>
  <si>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</si>
  <si>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</si>
  <si>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</si>
  <si>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</si>
  <si>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</si>
  <si>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</si>
  <si>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</si>
  <si>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</si>
  <si>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</si>
  <si>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</si>
  <si>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</si>
  <si>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</si>
  <si>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</si>
  <si>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</si>
  <si>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</si>
  <si>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</si>
  <si>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</si>
  <si>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</si>
  <si>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</si>
  <si>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</si>
  <si>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</si>
  <si>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</si>
  <si>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</si>
  <si>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</si>
  <si>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</si>
  <si>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</si>
  <si>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</si>
  <si>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</si>
  <si>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</si>
  <si>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</si>
  <si>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</si>
  <si>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</si>
  <si>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</si>
  <si>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</si>
  <si>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</si>
  <si>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</si>
  <si>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</si>
  <si>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</si>
  <si>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</si>
  <si>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</si>
  <si>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</si>
  <si>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</si>
  <si>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</si>
  <si>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</si>
  <si>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</si>
  <si>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</si>
  <si>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</si>
  <si>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</si>
  <si>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</si>
  <si>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</si>
  <si>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</si>
  <si>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</si>
  <si>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</si>
  <si>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</si>
  <si>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</si>
  <si>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</si>
  <si>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</si>
  <si>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</si>
  <si>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</si>
  <si>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</si>
  <si>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</si>
  <si>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</si>
  <si>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</si>
  <si>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</si>
  <si>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</si>
  <si>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</si>
  <si>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</si>
  <si>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</si>
  <si>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</si>
  <si>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</si>
  <si>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</si>
  <si>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</si>
  <si>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</si>
  <si>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</si>
  <si>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</si>
  <si>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</si>
  <si>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</si>
  <si>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</si>
  <si>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</si>
  <si>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</si>
  <si>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</si>
  <si>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</si>
  <si>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</si>
  <si>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</si>
  <si>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</si>
  <si>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</si>
  <si>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</si>
  <si>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</si>
  <si>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</si>
  <si>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</si>
  <si>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</si>
  <si>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</si>
  <si>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</si>
  <si>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</si>
  <si>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</si>
  <si>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</si>
  <si>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</si>
  <si>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</si>
  <si>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</si>
  <si>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</si>
  <si>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</si>
  <si>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</si>
  <si>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</si>
  <si>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</si>
  <si>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</si>
  <si>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</si>
  <si>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</si>
  <si>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</si>
  <si>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</si>
  <si>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</si>
  <si>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</si>
  <si>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</si>
  <si>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</si>
  <si>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</si>
  <si>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</si>
  <si>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</si>
  <si>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</si>
  <si>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</si>
  <si>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</si>
  <si>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</si>
  <si>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</si>
  <si>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</si>
  <si>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</si>
  <si>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</si>
  <si>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</si>
  <si>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</si>
  <si>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</si>
  <si>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</si>
  <si>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</si>
  <si>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</si>
  <si>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</si>
  <si>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</si>
  <si>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</si>
  <si>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</si>
  <si>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</si>
  <si>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</si>
  <si>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</si>
  <si>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</si>
  <si>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</si>
  <si>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</si>
  <si>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</si>
  <si>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</si>
  <si>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</si>
  <si>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</si>
  <si>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</si>
  <si>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</si>
  <si>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</si>
  <si>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</si>
  <si>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</si>
  <si>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</si>
  <si>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</si>
  <si>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</si>
  <si>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</si>
  <si>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</si>
  <si>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</si>
  <si>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</si>
  <si>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</si>
  <si>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</si>
  <si>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</si>
  <si>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</si>
  <si>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</si>
  <si>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</si>
  <si>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</si>
  <si>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</si>
  <si>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</si>
  <si>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</si>
  <si>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</si>
  <si>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</si>
  <si>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</si>
  <si>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</si>
  <si>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</si>
  <si>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</si>
  <si>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</si>
  <si>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</si>
  <si>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</si>
  <si>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</si>
  <si>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</si>
  <si>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</si>
  <si>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</si>
  <si>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</si>
  <si>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</si>
  <si>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</si>
  <si>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</si>
  <si>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</si>
  <si>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</si>
  <si>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</si>
  <si>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</si>
  <si>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</si>
  <si>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</si>
  <si>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</si>
  <si>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</si>
  <si>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</si>
  <si>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</si>
  <si>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</si>
  <si>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</si>
  <si>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</si>
  <si>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</si>
  <si>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</si>
  <si>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</si>
  <si>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</si>
  <si>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</si>
  <si>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</si>
  <si>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</si>
  <si>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</si>
  <si>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</si>
  <si>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</si>
  <si>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</si>
  <si>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</si>
  <si>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</si>
  <si>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</si>
  <si>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</si>
  <si>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</si>
  <si>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</si>
  <si>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</si>
  <si>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</si>
  <si>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</si>
  <si>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</si>
  <si>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</si>
  <si>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</si>
  <si>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</si>
  <si>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</si>
  <si>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</si>
  <si>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</si>
  <si>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</si>
  <si>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</si>
  <si>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</si>
  <si>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</si>
  <si>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</si>
  <si>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</si>
  <si>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</si>
  <si>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</si>
  <si>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</si>
  <si>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</si>
  <si>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</si>
  <si>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</si>
  <si>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</si>
  <si>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</si>
  <si>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</si>
  <si>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</si>
  <si>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</si>
  <si>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</si>
  <si>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</si>
  <si>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</si>
  <si>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</si>
  <si>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</si>
  <si>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</si>
  <si>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</si>
  <si>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</si>
  <si>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</si>
  <si>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</si>
  <si>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</si>
  <si>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</si>
  <si>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</si>
  <si>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</si>
  <si>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</si>
  <si>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</si>
  <si>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</si>
  <si>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</si>
  <si>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</si>
  <si>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</si>
  <si>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</si>
  <si>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</si>
  <si>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</si>
  <si>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</si>
  <si>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</si>
  <si>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</si>
  <si>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</si>
  <si>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</si>
  <si>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</si>
  <si>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</si>
  <si>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</si>
  <si>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</si>
  <si>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</si>
  <si>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</si>
  <si>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</si>
  <si>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</si>
  <si>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</si>
  <si>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</si>
  <si>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</si>
  <si>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</si>
  <si>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</si>
  <si>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</si>
  <si>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</si>
  <si>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</si>
  <si>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</si>
  <si>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</si>
  <si>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</si>
  <si>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</si>
  <si>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</si>
  <si>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</si>
  <si>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</si>
  <si>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</si>
  <si>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</si>
  <si>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</si>
  <si>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</si>
  <si>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</si>
  <si>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</si>
  <si>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</si>
  <si>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</si>
  <si>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</si>
  <si>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</si>
  <si>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</si>
  <si>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</si>
  <si>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</si>
  <si>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</si>
  <si>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</si>
  <si>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</si>
  <si>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</si>
  <si>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</si>
  <si>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</si>
  <si>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</si>
  <si>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</si>
  <si>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</si>
  <si>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</si>
  <si>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</si>
  <si>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</si>
  <si>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</si>
  <si>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</si>
  <si>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</si>
  <si>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</si>
  <si>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</si>
  <si>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</si>
  <si>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</si>
  <si>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</si>
  <si>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</si>
  <si>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</si>
  <si>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</si>
  <si>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</si>
  <si>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</si>
  <si>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</si>
  <si>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</si>
  <si>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</si>
  <si>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</si>
  <si>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</si>
  <si>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</si>
  <si>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</si>
  <si>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</si>
  <si>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</si>
  <si>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</si>
  <si>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</si>
  <si>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</si>
  <si>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</si>
  <si>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</si>
  <si>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</si>
  <si>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</si>
  <si>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</si>
  <si>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</si>
  <si>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</si>
  <si>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</si>
  <si>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</si>
  <si>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</si>
  <si>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</si>
  <si>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</si>
  <si>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</si>
  <si>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</si>
  <si>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</si>
  <si>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</si>
  <si>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</si>
  <si>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</si>
  <si>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</si>
  <si>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</si>
  <si>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</si>
  <si>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</si>
  <si>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</si>
  <si>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</si>
  <si>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</si>
  <si>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</si>
  <si>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</si>
  <si>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</si>
  <si>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</si>
  <si>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</si>
  <si>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</si>
  <si>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</si>
  <si>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</si>
  <si>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</si>
  <si>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</si>
  <si>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</si>
  <si>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</si>
  <si>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</si>
  <si>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</si>
  <si>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</si>
  <si>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</si>
  <si>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</si>
  <si>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</si>
  <si>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</si>
  <si>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</si>
  <si>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</si>
  <si>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</si>
  <si>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</si>
  <si>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</si>
  <si>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</si>
  <si>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</si>
  <si>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</si>
  <si>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</si>
  <si>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</si>
  <si>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</si>
  <si>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</si>
  <si>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</si>
  <si>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</si>
  <si>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</si>
  <si>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</si>
  <si>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</si>
  <si>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</si>
  <si>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</si>
  <si>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</si>
  <si>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</si>
  <si>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</si>
  <si>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</si>
  <si>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</si>
  <si>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</si>
  <si>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</si>
  <si>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</si>
  <si>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</si>
  <si>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</si>
  <si>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</si>
  <si>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</si>
  <si>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</si>
  <si>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</si>
  <si>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</si>
  <si>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</si>
  <si>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</si>
  <si>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</si>
  <si>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</si>
  <si>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</si>
  <si>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</si>
  <si>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</si>
  <si>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</si>
  <si>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</si>
  <si>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</si>
  <si>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</si>
  <si>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</si>
  <si>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</si>
  <si>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</si>
  <si>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</si>
  <si>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</si>
  <si>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</si>
  <si>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</si>
  <si>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</si>
  <si>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</si>
  <si>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</si>
  <si>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</si>
  <si>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</si>
  <si>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</si>
  <si>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</si>
  <si>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</si>
  <si>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</si>
  <si>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</si>
  <si>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</si>
  <si>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</si>
  <si>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</si>
  <si>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</si>
  <si>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</si>
  <si>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</si>
  <si>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</si>
  <si>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</si>
  <si>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</si>
  <si>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</si>
  <si>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</si>
  <si>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</si>
  <si>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</si>
  <si>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</si>
  <si>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</si>
  <si>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</si>
  <si>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</si>
  <si>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</si>
  <si>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</si>
  <si>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</si>
  <si>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</si>
  <si>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</si>
  <si>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</si>
  <si>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</si>
  <si>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</si>
  <si>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</si>
  <si>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</si>
  <si>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</si>
  <si>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</si>
  <si>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</si>
  <si>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</si>
  <si>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</si>
  <si>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</si>
  <si>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</si>
  <si>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</si>
  <si>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</si>
  <si>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</si>
  <si>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</si>
  <si>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</si>
  <si>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</si>
  <si>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</si>
  <si>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</si>
  <si>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</si>
  <si>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</si>
  <si>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</si>
  <si>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</si>
  <si>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</si>
  <si>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</si>
  <si>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Esgotamento de água com bomba submersa</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</si>
  <si>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</si>
  <si>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</si>
  <si>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</si>
  <si>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</si>
  <si>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</si>
  <si>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</si>
  <si>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</si>
  <si>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</si>
  <si>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</si>
  <si>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</si>
  <si>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</si>
  <si>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</si>
  <si>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</si>
  <si>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</si>
  <si>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</si>
  <si>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</si>
  <si>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</si>
  <si>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</si>
  <si>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</si>
  <si>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</si>
  <si>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</si>
  <si>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</si>
  <si>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</si>
  <si>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</si>
  <si>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</si>
  <si>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</si>
  <si>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</si>
  <si>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</si>
  <si>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</si>
  <si>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</si>
  <si>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</si>
  <si>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</si>
  <si>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</si>
  <si>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</si>
  <si>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</si>
  <si>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</si>
  <si>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</si>
  <si>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</si>
  <si>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</si>
  <si>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</si>
  <si>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</si>
  <si>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</si>
  <si>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</si>
  <si>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</si>
  <si>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</si>
  <si>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</si>
  <si>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</si>
  <si>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</si>
  <si>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</si>
  <si>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</si>
  <si>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</si>
  <si>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</si>
  <si>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</si>
  <si>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</si>
  <si>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</si>
  <si>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</si>
  <si>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</si>
  <si>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</si>
  <si>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</si>
  <si>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</si>
  <si>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</si>
  <si>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</si>
  <si>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</si>
  <si>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</si>
  <si>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</si>
  <si>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</si>
  <si>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</si>
  <si>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</si>
  <si>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</si>
  <si>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</si>
  <si>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</si>
  <si>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</si>
  <si>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</si>
  <si>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</si>
  <si>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</si>
  <si>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</si>
  <si>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</si>
  <si>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</si>
  <si>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</si>
  <si>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</si>
  <si>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</si>
  <si>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</si>
  <si>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</si>
  <si>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</si>
  <si>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trapezoidal de canteiro central de concreto - SZCC 100-25 - areia e brita comerciais</t>
  </si>
  <si>
    <t>Sarjeta trapezoidal de canteiro central de concreto - SZCC 100-25 - areia extraída e brita produzida</t>
  </si>
  <si>
    <t>Sarjeta trapezoidal de canteiro central de concreto - SZCC 100-25 moldada no local com extrusora e concreto usinado - areia e brita comerciais</t>
  </si>
  <si>
    <t>Sarjeta trapezoidal de canteiro central de concreto - SZCC 100-25 moldada no local com extrusora e concreto usinado - areia extraída e brita produzida</t>
  </si>
  <si>
    <t>Sarjeta trapezoidal de canteiro central de concreto - SZCC 140-35 - areia e brita comerciais</t>
  </si>
  <si>
    <t>Sarjeta trapezoidal de canteiro central de concreto - SZCC 140-35 - areia extraída e brita produzida</t>
  </si>
  <si>
    <t>Sarjeta trapezoidal de canteiro central de concreto - SZCC 140-35 moldada no local com extrusora e concreto usinado - areia e brita comerciais</t>
  </si>
  <si>
    <t>Sarjeta trapezoidal de canteiro central de concreto - SZCC 140-35 moldada no local com extrusora e concreto usinado - areia extraída e brita produzida</t>
  </si>
  <si>
    <t>Sarjeta trapezoidal de concreto - SZC 60-20 - escavação mecânica - areia e brita comerciais</t>
  </si>
  <si>
    <t>Sarjeta trapezoidal de concreto - SZC 60-20 - escavação mecânica - areia extraída e brita produzida</t>
  </si>
  <si>
    <t>Sarjeta trapezoidal de concreto - SZC 60-20 moldada no local com extrusora e concreto usinado - escavação mecânica - areia e brita comerciais</t>
  </si>
  <si>
    <t>Sarjeta trapezoidal de concreto - SZC 60-20 moldada no local com extrusora e concreto usinado - escavação mecânica - areia extraída e brita produzida</t>
  </si>
  <si>
    <t>Sarjeta trapezoidal de concreto - SZC 90-30 - escavação mecânica - areia e brita comerciais</t>
  </si>
  <si>
    <t>Sarjeta trapezoidal de concreto - SZC 90-30 - escavação mecânica - areia extraída e brita produzida</t>
  </si>
  <si>
    <t>Sarjeta trapezoidal de concreto - SZC 90-30 moldada no local com extrusora e concreto usinado - escavação mecânica - areia e brita comerciais</t>
  </si>
  <si>
    <t>Sarjeta trapezoidal de concreto - SZC 90-30 moldada no local com extrusora e concreto usinado - escavação mecânica - areia extraída e brita produzida</t>
  </si>
  <si>
    <t>Sarjeta trapezoidal de grama - SZG 60-20 - escavação mecânica</t>
  </si>
  <si>
    <t>Sarjeta trapezoidal de grama - SZG 90-30 - escavação mecânica</t>
  </si>
  <si>
    <t>Sarjeta trapezoidal sem revestimento - SZT 60-20 - escavação mecânica</t>
  </si>
  <si>
    <t>Sarjeta trapezoidal sem revestimento - SZT 90-30 - escavação mecânica</t>
  </si>
  <si>
    <t>Sarjeta triangular de canteiro central de concreto - STCC 100-25 - areia e brita comerciais</t>
  </si>
  <si>
    <t>Sarjeta triangular de canteiro central de concreto - STCC 100-25 - areia extraída e brita produzida</t>
  </si>
  <si>
    <t>Sarjeta triangular de canteiro central de concreto - STCC 100-25 moldada no local com extrusora e concreto usinado - areia e brita comerciais</t>
  </si>
  <si>
    <t>Sarjeta triangular de canteiro central de concreto - STCC 100-25 moldada no local com extrusora e concreto usinado - areia extraída e brita produzida</t>
  </si>
  <si>
    <t>Sarjeta triangular de canteiro central de concreto - STCC 140-35 - areia e brita comerciais</t>
  </si>
  <si>
    <t>Sarjeta triangular de canteiro central de concreto - STCC 140-35 - areia extraída e brita produzida</t>
  </si>
  <si>
    <t>Sarjeta triangular de canteiro central de concreto - STCC 140-35 moldada no local com extrusora e concreto usinado - areia e brita comerciais</t>
  </si>
  <si>
    <t>Sarjeta triangular de canteiro central de concreto - STCC 140-35 moldada no local com extrusora e concreto usinado - areia extraída e brita produzida</t>
  </si>
  <si>
    <t>Sarjeta triangular de canteiro central de grama - STCG 100-25 - escavação mecânica</t>
  </si>
  <si>
    <t>Sarjeta triangular de canteiro central de grama - STCG 140-35 - escavação mecânica</t>
  </si>
  <si>
    <t>Sarjeta triangular de canteiro central de grama - STCG 200-25 - escavação mecânica</t>
  </si>
  <si>
    <t>Sarjeta triangular de canteiro central de grama - STCG 300-37,5 - escavação mecânica</t>
  </si>
  <si>
    <t>Sarjeta triangular de concreto - STC 100-20 - escavação mecânica - areia e brita comerciais</t>
  </si>
  <si>
    <t>Sarjeta triangular de concreto - STC 100-20 - escavação mecânica - areia extraída e brita produzida</t>
  </si>
  <si>
    <t>Sarjeta triangular de concreto - STC 100-20 moldada no local com extrusora e concreto usinado - escavação mecânica - areia e brita comerciais</t>
  </si>
  <si>
    <t>Sarjeta triangular de concreto - STC 100-20 moldada no local com extrusora e concreto usinado - escavação mecânica - areia extraída e brita produzida</t>
  </si>
  <si>
    <t>Sarjeta triangular de concreto - STC 100-21 - escavação mecânica - areia e brita comerciais</t>
  </si>
  <si>
    <t>Sarjeta triangular de concreto - STC 100-21 - escavação mecânica - areia extraída e brita produzida</t>
  </si>
  <si>
    <t>Sarjeta triangular de concreto - STC 100-21 moldada no local com extrusora e concreto usinado - escavação mecânica - areia e brita comerciais</t>
  </si>
  <si>
    <t>Sarjeta triangular de concreto - STC 100-21 moldada no local com extrusora e concreto usinado - escavação mecânica - areia extraída e brita produzida</t>
  </si>
  <si>
    <t>Sarjeta triangular de concreto - STC 108-25 - escavação mecânica - areia e brita comerciais</t>
  </si>
  <si>
    <t>Sarjeta triangular de concreto - STC 108-25 - escavação mecânica - areia extraída e brita produzida</t>
  </si>
  <si>
    <t>Sarjeta triangular de concreto - STC 108-25 moldada no local com extrusora e concreto usinado - escavação mecânica - areia e brita comerciais</t>
  </si>
  <si>
    <t>Sarjeta triangular de concreto - STC 108-25 moldada no local com extrusora e concreto usinado - escavação mecânica - areia extraída e brita produzida</t>
  </si>
  <si>
    <t>Sarjeta triangular de concreto - STC 125-25 - escavação mecânica - areia e brita comerciais</t>
  </si>
  <si>
    <t>Sarjeta triangular de concreto - STC 125-25 - escavação mecânica - areia extraída e brita produzida</t>
  </si>
  <si>
    <t>Sarjeta triangular de concreto - STC 125-25 moldada no local com extrusora e concreto usinado - escavação mecânica - areia e brita comerciais</t>
  </si>
  <si>
    <t>Sarjeta triangular de concreto - STC 125-25 moldada no local com extrusora e concreto usinado - escavação mecânica - areia extraída e brita produzida</t>
  </si>
  <si>
    <t>Sarjeta triangular de concreto - STC 125-27 - escavação mecânica - areia e brita comerciais</t>
  </si>
  <si>
    <t>Sarjeta triangular de concreto - STC 125-27 - escavação mecânica - areia extraída e brita produzida</t>
  </si>
  <si>
    <t>Sarjeta triangular de concreto - STC 125-27 moldada no local com extrusora e concreto usinado - escavação mecânica - areia e brita comerciais</t>
  </si>
  <si>
    <t>Sarjeta triangular de concreto - STC 125-27 moldada no local com extrusora e concreto usinado - escavação mecânica - areia extraída e brita produzida</t>
  </si>
  <si>
    <t>Sarjeta triangular de concreto - STC 150-30 - escavação mecânica - areia e brita comerciais</t>
  </si>
  <si>
    <t>Sarjeta triangular de concreto - STC 150-30 - escavação mecânica - areia extraída e brita produzida</t>
  </si>
  <si>
    <t>Sarjeta triangular de concreto - STC 150-30 moldada no local com extrusora e concreto usinado - escavação mecânica - areia e brita comerciais</t>
  </si>
  <si>
    <t>Sarjeta triangular de concreto - STC 150-30 moldada no local com extrusora e concreto usinado - escavação mecânica - areia extraída e brita produzida</t>
  </si>
  <si>
    <t>Sarjeta triangular de concreto - STC 150-32 - escavação mecânica - areia e brita comerciais</t>
  </si>
  <si>
    <t>Sarjeta triangular de concreto - STC 150-32 - escavação mecânica - areia extraída e brita produzida</t>
  </si>
  <si>
    <t>Sarjeta triangular de concreto - STC 150-32 moldada no local com extrusora e concreto usinado - escavação mecânica - areia e brita comerciais</t>
  </si>
  <si>
    <t>Sarjeta triangular de concreto - STC 150-32 moldada no local com extrusora e concreto usinado - escavação mecânica - areia extraída e brita produzida</t>
  </si>
  <si>
    <t>Sarjeta triangular de concreto - STC 73-15 - escavação mecânica - areia e brita comerciais</t>
  </si>
  <si>
    <t>Sarjeta triangular de concreto - STC 73-15 - escavação mecânica - areia extraída e brita produzida</t>
  </si>
  <si>
    <t>Sarjeta triangular de concreto - STC 73-15 moldada no local com extrusora e concreto usinado - escavação mecânica - areia e brita comerciais</t>
  </si>
  <si>
    <t>Sarjeta triangular de concreto - STC 73-15 moldada no local com extrusora e concreto usinado - escavação mecânica - areia extraída e brita produzida</t>
  </si>
  <si>
    <t>Sarjeta triangular de concreto - STC 80-15 - escavação mecânica - areia e brita comerciais</t>
  </si>
  <si>
    <t>Sarjeta triangular de concreto - STC 80-15 - escavação mecânica - areia extraída e brita produzida</t>
  </si>
  <si>
    <t>Sarjeta triangular de concreto - STC 80-15 moldada no local com extrusora e concreto usinado - escavação mecânica - areia e brita comerciais</t>
  </si>
  <si>
    <t>Sarjeta triangular de concreto - STC 80-15 moldada no local com extrusora e concreto usinado - escavação mecânica - areia extraída e brita produzida</t>
  </si>
  <si>
    <t>Sarjeta triangular de concreto - STC 80-17 - escavação mecânica - areia e brita comerciais</t>
  </si>
  <si>
    <t>Sarjeta triangular de concreto - STC 80-17 - escavação mecânica - areia extraída e brita produzida</t>
  </si>
  <si>
    <t>Sarjeta triangular de concreto - STC 80-17 moldada no local com extrusora e concreto usinado - escavação mecânica - areia e brita comerciais</t>
  </si>
  <si>
    <t>Sarjeta triangular de concreto - STC 80-17 moldada no local com extrusora e concreto usinado - escavação mecânica - areia extraída e brita produzida</t>
  </si>
  <si>
    <t>Sarjeta triangular de concreto - STC 88-20 - escavação mecânica - areia e brita comerciais</t>
  </si>
  <si>
    <t>Sarjeta triangular de concreto - STC 88-20 - escavação mecânica - areia extraída e brita produzida</t>
  </si>
  <si>
    <t>Sarjeta triangular de concreto - STC 88-20 moldada no local com extrusora e concreto usinado - escavação mecânica - areia e brita comerciais</t>
  </si>
  <si>
    <t>Sarjeta triangular de concreto - STC 88-20 moldada no local com extrusora e concreto usinado - escavação mecânica - areia extraída e brita produzida</t>
  </si>
  <si>
    <t>Sarjeta triangular de grama - STG 100-20 - escavação mecânica</t>
  </si>
  <si>
    <t>Sarjeta triangular de grama - STG 125-25 - escavação mecânica</t>
  </si>
  <si>
    <t>Sarjeta triangular de grama - STG 80-15 - escavação mecânica</t>
  </si>
  <si>
    <t>Sarjeta triangular sem revestimento - STT 100-20 - escavação mecânica</t>
  </si>
  <si>
    <t>Sarjeta triangular sem revestimento - STT 125-25 - escavação mecânica</t>
  </si>
  <si>
    <t>Sarjeta triangular sem revestimento - STT 80-15 - escavação mecânica</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</si>
  <si>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</si>
  <si>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</si>
  <si>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</si>
  <si>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</si>
  <si>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</si>
  <si>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</si>
  <si>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</si>
  <si>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</si>
  <si>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</si>
  <si>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</si>
  <si>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</si>
  <si>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</si>
  <si>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</si>
  <si>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</si>
  <si>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</si>
  <si>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</si>
  <si>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</si>
  <si>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</si>
  <si>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</si>
  <si>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</si>
  <si>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</si>
  <si>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</si>
  <si>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</si>
  <si>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</si>
  <si>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</si>
  <si>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</si>
  <si>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</si>
  <si>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</si>
  <si>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</si>
  <si>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</si>
  <si>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</si>
  <si>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</si>
  <si>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</si>
  <si>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</si>
  <si>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</si>
  <si>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</si>
  <si>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</si>
  <si>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</si>
  <si>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</si>
  <si>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</si>
  <si>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</si>
  <si>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</si>
  <si>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</si>
  <si>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</si>
  <si>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</si>
  <si>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</si>
  <si>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</si>
  <si>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</si>
  <si>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</si>
  <si>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</si>
  <si>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</si>
  <si>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</si>
  <si>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</si>
  <si>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</si>
  <si>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</si>
  <si>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</si>
  <si>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</si>
  <si>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</si>
  <si>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</si>
  <si>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</si>
  <si>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</si>
  <si>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</si>
  <si>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</si>
  <si>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</si>
  <si>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</si>
  <si>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</si>
  <si>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</si>
  <si>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</si>
  <si>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</si>
  <si>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</si>
  <si>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</si>
  <si>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</si>
  <si>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</si>
  <si>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</si>
  <si>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</si>
  <si>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</si>
  <si>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</si>
  <si>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</si>
  <si>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</si>
  <si>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</si>
  <si>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</si>
  <si>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</si>
  <si>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</si>
  <si>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</si>
  <si>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</si>
  <si>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</si>
  <si>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</si>
  <si>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</si>
  <si>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</si>
  <si>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</si>
  <si>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</si>
  <si>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</si>
  <si>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</si>
  <si>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</si>
  <si>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</si>
  <si>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 sem revestimento - VPAT 120-30 - escavação mecânica</t>
  </si>
  <si>
    <t>Valeta de proteção de aterro sem revestimento - VPAT 160-30 - escavação mecânica</t>
  </si>
  <si>
    <t>Valeta de proteção de aterros com revestimento de concreto - VPAC 120-30 - escavação mecânica - areia e brita comerciais</t>
  </si>
  <si>
    <t>Valeta de proteção de aterros com revestimento de concreto - VPAC 120-30 - escavação mecânica - areia extraída e brita produzida</t>
  </si>
  <si>
    <t>Valeta de proteção de aterros com revestimento de concreto - VPAC 160-30 - escavação mecânica - areia e brita comerciais</t>
  </si>
  <si>
    <t>Valeta de proteção de aterros com revestimento de concreto - VPAC 160-30 - escavação mecânica - areia extraída e brita produzida</t>
  </si>
  <si>
    <t>Valeta de proteção de aterros com revestimento vegetal - VPAG 120-30 - escavação mecânica</t>
  </si>
  <si>
    <t>Valeta de proteção de aterros com revestimento vegetal - VPAG 160-30 - escavação mecânica</t>
  </si>
  <si>
    <t>Valeta de proteção de corte sem revestimento - VPCT 120-30 - escavação mecânica</t>
  </si>
  <si>
    <t>Valeta de proteção de corte sem revestimento - VPCT 160-30 - escavação mecânica</t>
  </si>
  <si>
    <t>Valeta de proteção de cortes com revestimento de concreto - VPCC 120-30 - escavação mecânica - areia e brita comerciais</t>
  </si>
  <si>
    <t>Valeta de proteção de cortes com revestimento de concreto - VPCC 120-30 - escavação mecânica - areia extraída e brita produzida</t>
  </si>
  <si>
    <t>Valeta de proteção de cortes com revestimento de concreto - VPCC 160-30 - escavação mecânica - areia e brita comerciais</t>
  </si>
  <si>
    <t>Valeta de proteção de cortes com revestimento de concreto - VPCC 160-30 - escavação mecânica - areia extraída e brita produzida</t>
  </si>
  <si>
    <t>Valeta de proteção de cortes com revestimento vegetal - VPCG 120-30 - escavação mecânica</t>
  </si>
  <si>
    <t>Valeta de proteção de cortes com revestimento vegetal - VPCG 160-30 - escavação mecânica</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</si>
  <si>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</si>
  <si>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</si>
  <si>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</si>
  <si>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</si>
  <si>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</si>
  <si>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</si>
  <si>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</si>
  <si>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</si>
  <si>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</si>
  <si>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</si>
  <si>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</si>
  <si>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</si>
  <si>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</si>
  <si>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</si>
  <si>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1,25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</si>
  <si>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</si>
  <si>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</si>
  <si>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</si>
  <si>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</si>
  <si>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</si>
  <si>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</si>
  <si>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</si>
  <si>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</si>
  <si>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</si>
  <si>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</si>
  <si>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</si>
  <si>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</si>
  <si>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</si>
  <si>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</si>
  <si>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</si>
  <si>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</si>
  <si>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</si>
  <si>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</si>
  <si>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</si>
  <si>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</si>
  <si>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</si>
  <si>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</si>
  <si>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</si>
  <si>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</si>
  <si>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</si>
  <si>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</si>
  <si>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</si>
  <si>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</si>
  <si>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</si>
  <si>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</si>
  <si>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</si>
  <si>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</si>
  <si>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</si>
  <si>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</si>
  <si>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</si>
  <si>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</si>
  <si>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</si>
  <si>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</si>
  <si>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</si>
  <si>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</si>
  <si>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</si>
  <si>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</si>
  <si>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</si>
  <si>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</si>
  <si>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</si>
  <si>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</si>
  <si>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</si>
  <si>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</si>
  <si>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</si>
  <si>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</si>
  <si>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</si>
  <si>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</si>
  <si>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</si>
  <si>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</si>
  <si>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</si>
  <si>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</si>
  <si>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</si>
  <si>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</si>
  <si>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</si>
  <si>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</si>
  <si>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</si>
  <si>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</si>
  <si>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</si>
  <si>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</si>
  <si>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</si>
  <si>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</si>
  <si>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</si>
  <si>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</si>
  <si>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</si>
  <si>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</si>
  <si>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</si>
  <si>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</si>
  <si>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</si>
  <si>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</si>
  <si>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</si>
  <si>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</si>
  <si>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</si>
  <si>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</si>
  <si>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</si>
  <si>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</si>
  <si>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</si>
  <si>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</si>
  <si>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</si>
  <si>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</si>
  <si>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</si>
  <si>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</si>
  <si>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</si>
  <si>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</si>
  <si>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</si>
  <si>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</si>
  <si>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</si>
  <si>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</si>
  <si>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</si>
  <si>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</si>
  <si>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</si>
  <si>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</si>
  <si>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</si>
  <si>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</si>
  <si>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</si>
  <si>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</si>
  <si>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</si>
  <si>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</si>
  <si>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</si>
  <si>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</si>
  <si>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</si>
  <si>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</si>
  <si>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</si>
  <si>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</si>
  <si>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</si>
  <si>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</si>
  <si>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</si>
  <si>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</si>
  <si>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</si>
  <si>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</si>
  <si>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</si>
  <si>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</si>
  <si>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</si>
  <si>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</si>
  <si>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</si>
  <si>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</si>
  <si>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</si>
  <si>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</si>
  <si>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</si>
  <si>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</si>
  <si>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</si>
  <si>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</si>
  <si>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</si>
  <si>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</si>
  <si>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</si>
  <si>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</si>
  <si>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</si>
  <si>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</si>
  <si>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</si>
  <si>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</si>
  <si>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</si>
  <si>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</si>
  <si>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</si>
  <si>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</si>
  <si>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</si>
  <si>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</si>
  <si>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</si>
  <si>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</si>
  <si>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</si>
  <si>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</si>
  <si>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</si>
  <si>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</si>
  <si>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</si>
  <si>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</si>
  <si>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</si>
  <si>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</si>
  <si>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</si>
  <si>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</si>
  <si>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</si>
  <si>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</si>
  <si>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</si>
  <si>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</si>
  <si>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</si>
  <si>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</si>
  <si>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</si>
  <si>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</si>
  <si>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</si>
  <si>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</si>
  <si>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</si>
  <si>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</si>
  <si>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</si>
  <si>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</si>
  <si>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</si>
  <si>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</si>
  <si>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</si>
  <si>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</si>
  <si>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</si>
  <si>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</si>
  <si>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</si>
  <si>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</si>
  <si>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</si>
  <si>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</si>
  <si>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</si>
  <si>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</si>
  <si>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</si>
  <si>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</si>
  <si>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</si>
  <si>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</si>
  <si>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</si>
  <si>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</si>
  <si>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</si>
  <si>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</si>
  <si>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</si>
  <si>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</si>
  <si>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</si>
  <si>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</si>
  <si>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</si>
  <si>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</si>
  <si>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</si>
  <si>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</si>
  <si>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</si>
  <si>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</si>
  <si>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</si>
  <si>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</si>
  <si>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</si>
  <si>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</si>
  <si>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</si>
  <si>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</si>
  <si>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</si>
  <si>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</si>
  <si>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</si>
  <si>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</si>
  <si>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</si>
  <si>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</si>
  <si>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</si>
  <si>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</si>
  <si>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</si>
  <si>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</si>
  <si>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</si>
  <si>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</si>
  <si>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</si>
  <si>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</si>
  <si>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</si>
  <si>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</si>
  <si>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</si>
  <si>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</si>
  <si>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</si>
  <si>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</si>
  <si>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</si>
  <si>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</si>
  <si>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</si>
  <si>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</si>
  <si>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</si>
  <si>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</si>
  <si>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</si>
  <si>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</si>
  <si>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</si>
  <si>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</si>
  <si>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</si>
  <si>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</si>
  <si>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</si>
  <si>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</si>
  <si>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</si>
  <si>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</si>
  <si>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</si>
  <si>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</si>
  <si>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</si>
  <si>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</si>
  <si>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</si>
  <si>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</si>
  <si>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</si>
  <si>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</si>
  <si>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</si>
  <si>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</si>
  <si>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</si>
  <si>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</si>
  <si>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</si>
  <si>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</si>
  <si>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</si>
  <si>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</si>
  <si>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</si>
  <si>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</si>
  <si>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</si>
  <si>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</si>
  <si>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</si>
  <si>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</si>
  <si>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</si>
  <si>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</si>
  <si>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</si>
  <si>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</si>
  <si>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</si>
  <si>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</si>
  <si>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</si>
  <si>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</si>
  <si>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</si>
  <si>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</si>
  <si>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</si>
  <si>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</si>
  <si>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</si>
  <si>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</si>
  <si>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</si>
  <si>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</si>
  <si>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</si>
  <si>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</si>
  <si>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</si>
  <si>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</si>
  <si>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</si>
  <si>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</si>
  <si>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</si>
  <si>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</si>
  <si>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</si>
  <si>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</si>
  <si>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</si>
  <si>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</si>
  <si>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</si>
  <si>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</si>
  <si>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</si>
  <si>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</si>
  <si>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</si>
  <si>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</si>
  <si>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</si>
  <si>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</si>
  <si>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</si>
  <si>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</si>
  <si>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</si>
  <si>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</si>
  <si>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</si>
  <si>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</si>
  <si>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</si>
  <si>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</si>
  <si>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</si>
  <si>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</si>
  <si>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</si>
  <si>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</si>
  <si>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</si>
  <si>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</si>
  <si>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</si>
  <si>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</si>
  <si>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</si>
  <si>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</si>
  <si>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</si>
  <si>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</si>
  <si>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</si>
  <si>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</si>
  <si>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</si>
  <si>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</si>
  <si>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</si>
  <si>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</si>
  <si>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</si>
  <si>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</si>
  <si>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</si>
  <si>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</si>
  <si>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</si>
  <si>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</si>
  <si>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</si>
  <si>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</si>
  <si>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</si>
  <si>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</si>
  <si>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</si>
  <si>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</si>
  <si>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</si>
  <si>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</si>
  <si>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</si>
  <si>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</si>
  <si>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</si>
  <si>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</si>
  <si>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</si>
  <si>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</si>
  <si>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</si>
  <si>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</si>
  <si>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</si>
  <si>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</si>
  <si>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</si>
  <si>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</si>
  <si>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</si>
  <si>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</si>
  <si>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</si>
  <si>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</si>
  <si>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</si>
  <si>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</si>
  <si>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</si>
  <si>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</si>
  <si>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</si>
  <si>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</si>
  <si>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</si>
  <si>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</si>
  <si>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</si>
  <si>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</si>
  <si>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</si>
  <si>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</si>
  <si>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</si>
  <si>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</si>
  <si>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</si>
  <si>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</si>
  <si>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</si>
  <si>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</si>
  <si>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</si>
  <si>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</si>
  <si>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</si>
  <si>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</si>
  <si>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</si>
  <si>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</si>
  <si>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</si>
  <si>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</si>
  <si>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</si>
  <si>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</si>
  <si>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</si>
  <si>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</si>
  <si>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</si>
  <si>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</si>
  <si>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</si>
  <si>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</si>
  <si>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</si>
  <si>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</si>
  <si>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</si>
  <si>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</si>
  <si>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</si>
  <si>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</si>
  <si>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</si>
  <si>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</si>
  <si>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</si>
  <si>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</si>
  <si>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</si>
  <si>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</si>
  <si>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</si>
  <si>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</si>
  <si>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</si>
  <si>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</si>
  <si>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</si>
  <si>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</si>
  <si>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</si>
  <si>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</si>
  <si>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</si>
  <si>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</si>
  <si>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</si>
  <si>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</si>
  <si>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</si>
  <si>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</si>
  <si>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</si>
  <si>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</si>
  <si>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</si>
  <si>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</si>
  <si>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</si>
  <si>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</si>
  <si>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</si>
  <si>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</si>
  <si>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</si>
  <si>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</si>
  <si>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</si>
  <si>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</si>
  <si>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</si>
  <si>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</si>
  <si>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</si>
  <si>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</si>
  <si>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</si>
  <si>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</si>
  <si>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</si>
  <si>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</si>
  <si>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</si>
  <si>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</si>
  <si>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</si>
  <si>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</si>
  <si>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</si>
  <si>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</si>
  <si>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</si>
  <si>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</si>
  <si>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</si>
  <si>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</si>
  <si>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</si>
  <si>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</si>
  <si>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</si>
  <si>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</si>
  <si>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</si>
  <si>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</si>
  <si>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</si>
  <si>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</si>
  <si>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</si>
  <si>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</si>
  <si>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</si>
  <si>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</si>
  <si>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</si>
  <si>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</si>
  <si>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</si>
  <si>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</si>
  <si>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</si>
  <si>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</si>
  <si>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</si>
  <si>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</si>
  <si>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</si>
  <si>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</si>
  <si>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</si>
  <si>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</si>
  <si>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</si>
  <si>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</si>
  <si>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</si>
  <si>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</si>
  <si>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</si>
  <si>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</si>
  <si>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</si>
  <si>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</si>
  <si>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</si>
  <si>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</si>
  <si>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</si>
  <si>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</si>
  <si>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</si>
  <si>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</si>
  <si>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</si>
  <si>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</si>
  <si>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</si>
  <si>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</si>
  <si>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</si>
  <si>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</si>
  <si>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</si>
  <si>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</si>
  <si>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</si>
  <si>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</si>
  <si>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</si>
  <si>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</si>
  <si>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</si>
  <si>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</si>
  <si>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</si>
  <si>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</si>
  <si>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</si>
  <si>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</si>
  <si>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</si>
  <si>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</si>
  <si>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</si>
  <si>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</si>
  <si>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</si>
  <si>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</si>
  <si>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</si>
  <si>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</si>
  <si>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</si>
  <si>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</si>
  <si>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</si>
  <si>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</si>
  <si>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</si>
  <si>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</si>
  <si>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</si>
  <si>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</si>
  <si>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</si>
  <si>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</si>
  <si>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</si>
  <si>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</si>
  <si>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</si>
  <si>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</si>
  <si>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</si>
  <si>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</si>
  <si>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</si>
  <si>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</si>
  <si>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</si>
  <si>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</si>
  <si>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</si>
  <si>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</si>
  <si>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</si>
  <si>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</si>
  <si>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</si>
  <si>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</si>
  <si>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</si>
  <si>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</si>
  <si>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</si>
  <si>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</si>
  <si>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</si>
  <si>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</si>
  <si>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</si>
  <si>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</si>
  <si>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</si>
  <si>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</si>
  <si>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</si>
  <si>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</si>
  <si>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</si>
  <si>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</si>
  <si>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</si>
  <si>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</si>
  <si>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</si>
  <si>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</si>
  <si>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</si>
  <si>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</si>
  <si>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</si>
  <si>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</si>
  <si>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</si>
  <si>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</si>
  <si>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</si>
  <si>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</si>
  <si>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</si>
  <si>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</si>
  <si>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</si>
  <si>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</si>
  <si>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</si>
  <si>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</si>
  <si>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</si>
  <si>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</si>
  <si>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</si>
  <si>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</si>
  <si>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</si>
  <si>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</si>
  <si>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</si>
  <si>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</si>
  <si>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</si>
  <si>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</si>
  <si>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</si>
  <si>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</si>
  <si>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</si>
  <si>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</si>
  <si>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</si>
  <si>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</si>
  <si>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</si>
  <si>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</si>
  <si>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</si>
  <si>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</si>
  <si>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</si>
  <si>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</si>
  <si>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</si>
  <si>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</si>
  <si>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</si>
  <si>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</si>
  <si>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</si>
  <si>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</si>
  <si>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</si>
  <si>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</si>
  <si>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</si>
  <si>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</si>
  <si>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</si>
  <si>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</si>
  <si>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</si>
  <si>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</si>
  <si>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</si>
  <si>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</si>
  <si>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</si>
  <si>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</si>
  <si>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</si>
  <si>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</si>
  <si>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</si>
  <si>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</si>
  <si>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</si>
  <si>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</si>
  <si>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</si>
  <si>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</si>
  <si>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</si>
  <si>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</si>
  <si>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</si>
  <si>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</si>
  <si>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</si>
  <si>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</si>
  <si>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</si>
  <si>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</si>
  <si>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</si>
  <si>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</si>
  <si>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</si>
  <si>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</si>
  <si>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</si>
  <si>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</si>
  <si>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</si>
  <si>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</si>
  <si>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</si>
  <si>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</si>
  <si>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</si>
  <si>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</si>
  <si>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</si>
  <si>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confecção, instalação e retirada</t>
  </si>
  <si>
    <t>Fôrma metálica em chapa 1/8" reforçada com nervuras de 40 mm x 1/8" dispostas em grelhas de 40 x 60 cm - utilização de 100 vezes - confecção, instalação e retirada</t>
  </si>
  <si>
    <t>Fôrma metálica em chapa 3/16" para poita trapezoidal - utilização de 50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</si>
  <si>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</si>
  <si>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</si>
  <si>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</si>
  <si>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</si>
  <si>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</si>
  <si>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</si>
  <si>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</si>
  <si>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</si>
  <si>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</si>
  <si>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</si>
  <si>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</si>
  <si>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</si>
  <si>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</si>
  <si>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</si>
  <si>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</si>
  <si>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</si>
  <si>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</si>
  <si>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</si>
  <si>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</si>
  <si>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</si>
  <si>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</si>
  <si>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</si>
  <si>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</si>
  <si>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</si>
  <si>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</si>
  <si>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</si>
  <si>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</si>
  <si>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</si>
  <si>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</si>
  <si>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</si>
  <si>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</si>
  <si>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</si>
  <si>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</si>
  <si>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</si>
  <si>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</si>
  <si>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</si>
  <si>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</si>
  <si>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</si>
  <si>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</si>
  <si>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</si>
  <si>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</si>
  <si>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</si>
  <si>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</si>
  <si>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</si>
  <si>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</si>
  <si>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</si>
  <si>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</si>
  <si>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</si>
  <si>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</si>
  <si>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</si>
  <si>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</si>
  <si>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</si>
  <si>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</si>
  <si>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</si>
  <si>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</si>
  <si>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</si>
  <si>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</si>
  <si>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</si>
  <si>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</si>
  <si>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</si>
  <si>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</si>
  <si>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</si>
  <si>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</si>
  <si>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</si>
  <si>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</si>
  <si>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</si>
  <si>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</si>
  <si>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</si>
  <si>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</si>
  <si>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</si>
  <si>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</si>
  <si>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</si>
  <si>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</si>
  <si>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</si>
  <si>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</si>
  <si>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</si>
  <si>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</si>
  <si>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</si>
  <si>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</si>
  <si>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</si>
  <si>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</si>
  <si>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</si>
  <si>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</si>
  <si>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</si>
  <si>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</si>
  <si>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</si>
  <si>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</si>
  <si>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</si>
  <si>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</si>
  <si>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</si>
  <si>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</si>
  <si>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</si>
  <si>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</si>
  <si>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</si>
  <si>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</si>
  <si>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</si>
  <si>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</si>
  <si>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</si>
  <si>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</si>
  <si>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</si>
  <si>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</si>
  <si>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</si>
  <si>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</si>
  <si>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</si>
  <si>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</si>
  <si>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</si>
  <si>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</si>
  <si>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</si>
  <si>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</si>
  <si>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</si>
  <si>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Espalhamento de material pétreo para núcleo</t>
  </si>
  <si>
    <t>Espalhamento de material pétreo para subcarapaça</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</si>
  <si>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</si>
  <si>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</si>
  <si>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</si>
  <si>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</si>
  <si>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</si>
  <si>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</si>
  <si>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</si>
  <si>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</si>
  <si>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</si>
  <si>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</si>
  <si>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</si>
  <si>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</si>
  <si>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</si>
  <si>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</si>
  <si>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</si>
  <si>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</si>
  <si>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</si>
  <si>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</si>
  <si>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</si>
  <si>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</si>
  <si>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</si>
  <si>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</si>
  <si>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</si>
  <si>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</si>
  <si>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</si>
  <si>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</si>
  <si>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</si>
  <si>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</si>
  <si>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</si>
  <si>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</si>
  <si>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</si>
  <si>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</si>
  <si>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</si>
  <si>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</si>
  <si>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</si>
  <si>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</si>
  <si>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</si>
  <si>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</si>
  <si>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</si>
  <si>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</si>
  <si>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</si>
  <si>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</si>
  <si>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</si>
  <si>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</si>
  <si>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</si>
  <si>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</si>
  <si>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</si>
  <si>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</si>
  <si>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</si>
  <si>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</si>
  <si>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</si>
  <si>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</si>
  <si>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</si>
  <si>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</si>
  <si>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</si>
  <si>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</si>
  <si>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</si>
  <si>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</si>
  <si>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</si>
  <si>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</si>
  <si>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</si>
  <si>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</si>
  <si>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</si>
  <si>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</si>
  <si>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</si>
  <si>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</si>
  <si>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</si>
  <si>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</si>
  <si>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</si>
  <si>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</si>
  <si>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</si>
  <si>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</si>
  <si>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</si>
  <si>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</si>
  <si>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</si>
  <si>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</si>
  <si>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</si>
  <si>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</si>
  <si>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</si>
  <si>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</si>
  <si>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</si>
  <si>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</si>
  <si>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</si>
  <si>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</si>
  <si>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</si>
  <si>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</si>
  <si>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</si>
  <si>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</si>
  <si>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</si>
  <si>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</si>
  <si>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</si>
  <si>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</si>
  <si>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</si>
  <si>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</si>
  <si>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</si>
  <si>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</si>
  <si>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</si>
  <si>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</si>
  <si>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</si>
  <si>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</si>
  <si>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</si>
  <si>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</si>
  <si>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</si>
  <si>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</si>
  <si>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</si>
  <si>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Guarda-corpo de concreto - fabricação - areia e brita comerciais</t>
  </si>
  <si>
    <t>Guarda-corpo de concreto - fabricação - areia extraída e brita produzida</t>
  </si>
  <si>
    <t>Guarda-corpo e corrimão metálico para passarelas para pedestres - fornecimento e instalação</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</si>
  <si>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</si>
  <si>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</si>
  <si>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</si>
  <si>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</si>
  <si>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</si>
  <si>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</si>
  <si>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</si>
  <si>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</si>
  <si>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</si>
  <si>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 - exclusa a plataforma</t>
  </si>
  <si>
    <t>Limpeza de material retido em fundações submersas de obras de arte especiais</t>
  </si>
  <si>
    <t>Limpeza em junta de dilatação</t>
  </si>
  <si>
    <t>Limpeza em superfície de concreto com jateamento abrasivo com uso de granalhas de aço</t>
  </si>
  <si>
    <t>Limpeza em superfície de concreto com jateamento d'água sob pressão</t>
  </si>
  <si>
    <t>Pingadeira de elastômero perfil 40 x 40 mm com aba inclinada e fixada com adesivo estrutural e pinos - fornecimento e instalação - exclusa a plataforma</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</si>
  <si>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</si>
  <si>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</si>
  <si>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</si>
  <si>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</si>
  <si>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</si>
  <si>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</si>
  <si>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</si>
  <si>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</si>
  <si>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</si>
  <si>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</si>
  <si>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</si>
  <si>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</si>
  <si>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</si>
  <si>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</si>
  <si>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</si>
  <si>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</si>
  <si>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</si>
  <si>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</si>
  <si>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</si>
  <si>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</si>
  <si>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</si>
  <si>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</si>
  <si>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</si>
  <si>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</si>
  <si>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</si>
  <si>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</si>
  <si>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</si>
  <si>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</si>
  <si>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</si>
  <si>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</si>
  <si>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</si>
  <si>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</si>
  <si>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</si>
  <si>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</si>
  <si>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</si>
  <si>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</si>
  <si>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</si>
  <si>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</si>
  <si>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</si>
  <si>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</si>
  <si>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</si>
  <si>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</si>
  <si>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</si>
  <si>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</si>
  <si>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</si>
  <si>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</si>
  <si>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</si>
  <si>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</si>
  <si>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</si>
  <si>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</si>
  <si>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</si>
  <si>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</si>
  <si>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</si>
  <si>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</si>
  <si>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</si>
  <si>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</si>
  <si>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</si>
  <si>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</si>
  <si>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</si>
  <si>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e brita produzida</t>
  </si>
  <si>
    <t>Concreto asfáltico - faixa A - massa comercial</t>
  </si>
  <si>
    <t>Concreto asfáltico - faixa B - areia e brita comerciais</t>
  </si>
  <si>
    <t>Concreto asfáltico - faixa B - areia extraída e brita produzida</t>
  </si>
  <si>
    <t>Concreto asfáltico - faixa C - areia e brita comerciais</t>
  </si>
  <si>
    <t>Concreto asfáltico - faixa C - areia extraída e brita produzida</t>
  </si>
  <si>
    <t>Concreto asfáltico - faixa C - massa comercial</t>
  </si>
  <si>
    <t>Concreto asfáltico com asfalto polímero - faixa A - areia e brita comerciais</t>
  </si>
  <si>
    <t>Concreto asfáltico com asfalto polímero - faixa A - areia extraída e brita produzida</t>
  </si>
  <si>
    <t>Concreto asfáltico com asfalto polímero - faixa B - areia e brita comerciais</t>
  </si>
  <si>
    <t>Concreto asfáltico com asfalto polímero - faixa B - areia extraída e brita produzida</t>
  </si>
  <si>
    <t>Concreto asfáltico com asfalto polímero - faixa C - areia e brita comerciais</t>
  </si>
  <si>
    <t>Concreto asfáltico com asfalto polímero - faixa C - areia extraída e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</si>
  <si>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</si>
  <si>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</si>
  <si>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</si>
  <si>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</si>
  <si>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</si>
  <si>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</si>
  <si>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</si>
  <si>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</si>
  <si>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</si>
  <si>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</si>
  <si>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</si>
  <si>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</si>
  <si>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</si>
  <si>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</si>
  <si>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</si>
  <si>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Fresagem contínua de revestimento asfáltico</t>
  </si>
  <si>
    <t>Fresagem descontínua de revestimento asfáltico</t>
  </si>
  <si>
    <t>Geogrelha bidirecional com resistência à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</si>
  <si>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</si>
  <si>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</si>
  <si>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</si>
  <si>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</si>
  <si>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</si>
  <si>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</si>
  <si>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</si>
  <si>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</si>
  <si>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</si>
  <si>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</si>
  <si>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</si>
  <si>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</si>
  <si>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</si>
  <si>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</si>
  <si>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</si>
  <si>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</si>
  <si>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</si>
  <si>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</si>
  <si>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geotêxtil RT - 09 - fornecimento e aplicação</t>
  </si>
  <si>
    <t>Membrana plástica isolante e impermeabilizante com espessura de 0,2 mm - fornecimento e instalação</t>
  </si>
  <si>
    <t>Micro pré-misturado a quente com asfalto polímero - brita comercial</t>
  </si>
  <si>
    <t>Micro pré-misturado a quente com asfalto polímero - brita produzida</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</si>
  <si>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</si>
  <si>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</si>
  <si>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</si>
  <si>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</si>
  <si>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</si>
  <si>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</si>
  <si>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</si>
  <si>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</si>
  <si>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</si>
  <si>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</si>
  <si>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</si>
  <si>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</si>
  <si>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</si>
  <si>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</si>
  <si>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</si>
  <si>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</si>
  <si>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</si>
  <si>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e brita produzida</t>
  </si>
  <si>
    <t>Pré-misturado a frio - faixa B - areia e brita comerciais</t>
  </si>
  <si>
    <t>Pré-misturado a frio - faixa B - areia extraída e brita produzida</t>
  </si>
  <si>
    <t>Pré-misturado a frio - faixa C - areia e brita comerciais</t>
  </si>
  <si>
    <t>Pré-misturado a frio - faixa C - areia extraída e brita produzida</t>
  </si>
  <si>
    <t>Pré-misturado a frio - faixa D - areia e brita comerciais</t>
  </si>
  <si>
    <t>Pré-misturado a frio - faixa D - areia extraída e brita produzida</t>
  </si>
  <si>
    <t>Pré-misturado a frio com emulsão asfáltica com polímero - faixa A - areia e brita comerciais</t>
  </si>
  <si>
    <t>Pré-misturado a frio com emulsão asfáltica com polímero - faixa A - areia extraída e brita produzida</t>
  </si>
  <si>
    <t>Pré-misturado a frio com emulsão asfáltica com polímero - faixa B - areia e brita comerciais</t>
  </si>
  <si>
    <t>Pré-misturado a frio com emulsão asfáltica com polímero - faixa B - areia extraída e brita produzida</t>
  </si>
  <si>
    <t>Pré-misturado a frio com emulsão asfáltica com polímero - faixa C - areia e brita comerciais</t>
  </si>
  <si>
    <t>Pré-misturado a frio com emulsão asfáltica com polímero - faixa C - areia extraída e brita produzida</t>
  </si>
  <si>
    <t>Pré-misturado a frio com emulsão asfáltica com polímero - faixa D - areia e brita comerciais</t>
  </si>
  <si>
    <t>Pré-misturado a frio com emulsão asfáltica com polímero - faixa D - areia extraída e brita produzida</t>
  </si>
  <si>
    <t>Pré-misturado a quente com asfalto polímero - faixa I - camada porosa de atrito - areia e brita comerciais</t>
  </si>
  <si>
    <t>Pré-misturado a quente com asfalto polímero - faixa I - camada porosa de atrito - areia extraída e brita produzida</t>
  </si>
  <si>
    <t>Pré-misturado a quente com asfalto polímero - faixa II - camada porosa de atrito - areia e brita comerciais</t>
  </si>
  <si>
    <t>Pré-misturado a quente com asfalto polímero - faixa II - camada porosa de atrito - areia extraída e brita produzida</t>
  </si>
  <si>
    <t>Pré-misturado a quente com asfalto polímero - faixa III - camada porosa de atrito - areia e brita comerciais</t>
  </si>
  <si>
    <t>Pré-misturado a quente com asfalto polímero - faixa III - camada porosa de atrito - areia extraída e brita produzida</t>
  </si>
  <si>
    <t>Pré-misturado a quente com asfalto polímero - faixa IV - camada porosa de atrito - areia e brita comerciais</t>
  </si>
  <si>
    <t>Pré-misturado a quente com asfalto polímero - faixa IV - camada porosa de atrito - areia extraída e brita produzida</t>
  </si>
  <si>
    <t>Pré-misturado a quente com asfalto polímero - faixa V - camada porosa de atrito - areia e brita comerciais</t>
  </si>
  <si>
    <t>Pré-misturado a quente com asfalto polímero - faixa V - camada porosa de atrito - areia extraída e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</si>
  <si>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</si>
  <si>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</si>
  <si>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</si>
  <si>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</si>
  <si>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</si>
  <si>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</si>
  <si>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</si>
  <si>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</si>
  <si>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</si>
  <si>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</si>
  <si>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</si>
  <si>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</si>
  <si>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</si>
  <si>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</si>
  <si>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</si>
  <si>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</si>
  <si>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</si>
  <si>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</si>
  <si>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</si>
  <si>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</si>
  <si>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</si>
  <si>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</si>
  <si>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</si>
  <si>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</si>
  <si>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</si>
  <si>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</si>
  <si>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</si>
  <si>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</si>
  <si>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</si>
  <si>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</si>
  <si>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</si>
  <si>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</si>
  <si>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</si>
  <si>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</si>
  <si>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</si>
  <si>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</si>
  <si>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</si>
  <si>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</si>
  <si>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</si>
  <si>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</si>
  <si>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</si>
  <si>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</si>
  <si>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</si>
  <si>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</si>
  <si>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</si>
  <si>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</si>
  <si>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</si>
  <si>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</si>
  <si>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</si>
  <si>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</si>
  <si>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</si>
  <si>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</si>
  <si>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</si>
  <si>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</si>
  <si>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</si>
  <si>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</si>
  <si>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</si>
  <si>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</si>
  <si>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</si>
  <si>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</si>
  <si>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</si>
  <si>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</si>
  <si>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</si>
  <si>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</si>
  <si>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</si>
  <si>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</si>
  <si>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</si>
  <si>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</si>
  <si>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</si>
  <si>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</si>
  <si>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</si>
  <si>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</si>
  <si>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</si>
  <si>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</si>
  <si>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</si>
  <si>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</si>
  <si>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</si>
  <si>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</si>
  <si>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</si>
  <si>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</si>
  <si>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</si>
  <si>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</si>
  <si>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</si>
  <si>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</si>
  <si>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</si>
  <si>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</si>
  <si>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</si>
  <si>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</si>
  <si>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</si>
  <si>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</si>
  <si>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</si>
  <si>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</si>
  <si>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</si>
  <si>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</si>
  <si>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</si>
  <si>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</si>
  <si>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</si>
  <si>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</si>
  <si>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</si>
  <si>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</si>
  <si>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</si>
  <si>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</si>
  <si>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</si>
  <si>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</si>
  <si>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</si>
  <si>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</si>
  <si>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</si>
  <si>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</si>
  <si>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</si>
  <si>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</si>
  <si>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</si>
  <si>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</si>
  <si>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</si>
  <si>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</si>
  <si>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</si>
  <si>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</si>
  <si>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</si>
  <si>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</si>
  <si>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</si>
  <si>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</si>
  <si>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</si>
  <si>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</si>
  <si>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</si>
  <si>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</si>
  <si>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</si>
  <si>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</si>
  <si>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</si>
  <si>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</si>
  <si>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</si>
  <si>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</si>
  <si>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</si>
  <si>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</si>
  <si>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</si>
  <si>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</si>
  <si>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</si>
  <si>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</si>
  <si>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</si>
  <si>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</si>
  <si>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</si>
  <si>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</si>
  <si>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</si>
  <si>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</si>
  <si>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</si>
  <si>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</si>
  <si>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</si>
  <si>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</si>
  <si>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</si>
  <si>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</si>
  <si>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</si>
  <si>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</si>
  <si>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</si>
  <si>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</si>
  <si>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</si>
  <si>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</si>
  <si>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</si>
  <si>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</si>
  <si>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</si>
  <si>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</si>
  <si>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</si>
  <si>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</si>
  <si>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</si>
  <si>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</si>
  <si>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</si>
  <si>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</si>
  <si>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</si>
  <si>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</si>
  <si>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</si>
  <si>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</si>
  <si>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</si>
  <si>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ensacadas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</si>
  <si>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</si>
  <si>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</si>
  <si>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</si>
  <si>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</si>
  <si>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</si>
  <si>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</si>
  <si>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</si>
  <si>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</si>
  <si>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</si>
  <si>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</si>
  <si>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</si>
  <si>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</si>
  <si>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</si>
  <si>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</si>
  <si>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</si>
  <si>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</si>
  <si>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</si>
  <si>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</si>
  <si>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</si>
  <si>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</si>
  <si>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</si>
  <si>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</si>
  <si>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</si>
  <si>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</si>
  <si>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</si>
  <si>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</si>
  <si>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</si>
  <si>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</si>
  <si>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</si>
  <si>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</si>
  <si>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</si>
  <si>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</si>
  <si>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</si>
  <si>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</si>
  <si>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</si>
  <si>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</si>
  <si>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</si>
  <si>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</si>
  <si>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</si>
  <si>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</si>
  <si>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</si>
  <si>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</si>
  <si>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</si>
  <si>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</si>
  <si>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</si>
  <si>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</si>
  <si>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</si>
  <si>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</si>
  <si>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</si>
  <si>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</si>
  <si>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</si>
  <si>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</si>
  <si>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</si>
  <si>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</si>
  <si>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</si>
  <si>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</si>
  <si>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</si>
  <si>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</si>
  <si>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</si>
  <si>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</si>
  <si>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</si>
  <si>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</si>
  <si>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</si>
  <si>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</si>
  <si>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</si>
  <si>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</si>
  <si>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</si>
  <si>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</si>
  <si>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</si>
  <si>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</si>
  <si>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</si>
  <si>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</si>
  <si>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</si>
  <si>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</si>
  <si>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</si>
  <si>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</si>
  <si>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</si>
  <si>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</si>
  <si>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</si>
  <si>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</si>
  <si>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</si>
  <si>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</si>
  <si>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</si>
  <si>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</si>
  <si>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</si>
  <si>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</si>
  <si>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</si>
  <si>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</si>
  <si>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</si>
  <si>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</si>
  <si>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</si>
  <si>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</si>
  <si>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</si>
  <si>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</si>
  <si>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</si>
  <si>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</si>
  <si>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</si>
  <si>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</si>
  <si>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</si>
  <si>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</si>
  <si>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</si>
  <si>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</si>
  <si>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</si>
  <si>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</si>
  <si>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</si>
  <si>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</si>
  <si>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</si>
  <si>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</si>
  <si>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</si>
  <si>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</si>
  <si>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</si>
  <si>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</si>
  <si>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</si>
  <si>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</si>
  <si>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</si>
  <si>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</si>
  <si>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</si>
  <si>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</si>
  <si>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</si>
  <si>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</si>
  <si>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</si>
  <si>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</si>
  <si>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</si>
  <si>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</si>
  <si>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</si>
  <si>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</si>
  <si>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</si>
  <si>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</si>
  <si>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</si>
  <si>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</si>
  <si>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</si>
  <si>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</si>
  <si>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</si>
  <si>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</si>
  <si>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</si>
  <si>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</si>
  <si>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</si>
  <si>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</si>
  <si>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</si>
  <si>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 de superfície com espessura de 15 cm</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</si>
  <si>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</si>
  <si>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</si>
  <si>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</si>
  <si>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</si>
  <si>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</si>
  <si>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</si>
  <si>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</si>
  <si>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</si>
  <si>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</si>
  <si>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</si>
  <si>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</si>
  <si>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</si>
  <si>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</si>
  <si>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</si>
  <si>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</si>
  <si>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</si>
  <si>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</si>
  <si>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</si>
  <si>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</si>
  <si>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</si>
  <si>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</si>
  <si>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</si>
  <si>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</si>
  <si>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</si>
  <si>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</si>
  <si>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</si>
  <si>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</si>
  <si>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</si>
  <si>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</si>
  <si>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</si>
  <si>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</si>
  <si>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</si>
  <si>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</si>
  <si>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</si>
  <si>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</si>
  <si>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</si>
  <si>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</si>
  <si>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</si>
  <si>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</si>
  <si>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</si>
  <si>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</si>
  <si>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</si>
  <si>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</si>
  <si>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</si>
  <si>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</si>
  <si>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</si>
  <si>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</si>
  <si>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</si>
  <si>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</si>
  <si>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</si>
  <si>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Operação de mergulho autônomo em profundidade de até 20 m</t>
  </si>
  <si>
    <t>Operação de mergulho dependente em profundidade de 30 a 50 m - inclusive descompressão</t>
  </si>
  <si>
    <t>Operação de mergulho dependente em profundidade de até 30 m - inclusive descompressão</t>
  </si>
  <si>
    <t>Pedra de mão produzida manualmente</t>
  </si>
  <si>
    <t>Rachão ou pedra de mão produzida</t>
  </si>
  <si>
    <t>Reaterro e compactação com soquete vibratório</t>
  </si>
  <si>
    <t>Rebordeamento de chapa metálica com espessura de 5 mm</t>
  </si>
  <si>
    <t>Recarga de cilindro com ar respirável para atividades de mergulho</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</si>
  <si>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</si>
  <si>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</si>
  <si>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</si>
  <si>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</si>
  <si>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</si>
  <si>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</si>
  <si>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</si>
  <si>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</si>
  <si>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</si>
  <si>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</si>
  <si>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</si>
  <si>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</si>
  <si>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</si>
  <si>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</si>
  <si>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</si>
  <si>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</si>
  <si>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</si>
  <si>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</si>
  <si>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</si>
  <si>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</si>
  <si>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</si>
  <si>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</si>
  <si>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</si>
  <si>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</si>
  <si>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</si>
  <si>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</si>
  <si>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cimento asfáltico derramado na pista de rodovia pavimentada por meio de fresagem</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</si>
  <si>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</si>
  <si>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</si>
  <si>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</si>
  <si>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</si>
  <si>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</si>
  <si>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</si>
  <si>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</si>
  <si>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</si>
  <si>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</si>
  <si>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</si>
  <si>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</si>
  <si>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</si>
  <si>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</si>
  <si>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</si>
  <si>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</si>
  <si>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</si>
  <si>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</si>
  <si>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</si>
  <si>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0,4 mm e 1,0 mm e profundidade de 25 mm em pavimento de concreto com CAP</t>
  </si>
  <si>
    <t>Limpeza, serragem e enchimento de fissuras niveladas com abertura entre 0,4 mm e 1,0 mm e profundidade de 25 mm em pavimento de concreto com CAP com polímero</t>
  </si>
  <si>
    <t>Limpeza, serragem e enchimento de fissuras niveladas com abertura entre 0,4 mm e 1,0 mm e profundidade de 25 mm em pavimento de concreto com selante elástico a frio</t>
  </si>
  <si>
    <t>Lixamento mecanizado em superfície de concreto</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</si>
  <si>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</si>
  <si>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</si>
  <si>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</si>
  <si>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</si>
  <si>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</si>
  <si>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</si>
  <si>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</si>
  <si>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</si>
  <si>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</si>
  <si>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</si>
  <si>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</si>
  <si>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</si>
  <si>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</si>
  <si>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</si>
  <si>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</si>
  <si>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</si>
  <si>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</si>
  <si>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</si>
  <si>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</si>
  <si>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</si>
  <si>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</si>
  <si>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</si>
  <si>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</si>
  <si>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</si>
  <si>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</si>
  <si>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</si>
  <si>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</si>
  <si>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</si>
  <si>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</si>
  <si>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</si>
  <si>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</si>
  <si>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</si>
  <si>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</si>
  <si>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</si>
  <si>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</si>
  <si>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</si>
  <si>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</si>
  <si>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</si>
  <si>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</si>
  <si>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</si>
  <si>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</si>
  <si>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</si>
  <si>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</si>
  <si>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</si>
  <si>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</si>
  <si>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</si>
  <si>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</si>
  <si>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</si>
  <si>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</si>
  <si>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</si>
  <si>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</si>
  <si>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</si>
  <si>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</si>
  <si>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</si>
  <si>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</si>
  <si>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</si>
  <si>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</si>
  <si>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</si>
  <si>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</si>
  <si>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</si>
  <si>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ha</t>
  </si>
  <si>
    <t>Roçada manual</t>
  </si>
  <si>
    <t>Roçada manual de capim colonião</t>
  </si>
  <si>
    <t>Roçada mecanizada com roçadeira articulada</t>
  </si>
  <si>
    <t>Roçada mecanizada com roçadeira de arraste</t>
  </si>
  <si>
    <t>Selagem de trincas mecanizada em pavimento flexível com emulsão - areia comercial</t>
  </si>
  <si>
    <t>Selagem superficial de fissuras com adesivo estrutural à base de resina epóxi de alta viscosidade, inclusive limpeza superficial - fornecimento e aplicação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</si>
  <si>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</si>
  <si>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</si>
  <si>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</si>
  <si>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</si>
  <si>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</si>
  <si>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</si>
  <si>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</si>
  <si>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</si>
  <si>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</si>
  <si>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</si>
  <si>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</si>
  <si>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</si>
  <si>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</si>
  <si>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</si>
  <si>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</si>
  <si>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</si>
  <si>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</si>
  <si>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</si>
  <si>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</si>
  <si>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</si>
  <si>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</si>
  <si>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</si>
  <si>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</si>
  <si>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</si>
  <si>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</si>
  <si>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</si>
  <si>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</si>
  <si>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</si>
  <si>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</si>
  <si>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</si>
  <si>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</si>
  <si>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</si>
  <si>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</si>
  <si>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</si>
  <si>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</si>
  <si>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</si>
  <si>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</si>
  <si>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</si>
  <si>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</si>
  <si>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</si>
  <si>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</si>
  <si>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</si>
  <si>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</si>
  <si>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</si>
  <si>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</si>
  <si>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</si>
  <si>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</si>
  <si>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</si>
  <si>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</si>
  <si>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</si>
  <si>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</si>
  <si>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</si>
  <si>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</si>
  <si>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</si>
  <si>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</si>
  <si>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</si>
  <si>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</si>
  <si>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</si>
  <si>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</si>
  <si>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</si>
  <si>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</si>
  <si>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</si>
  <si>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</si>
  <si>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</si>
  <si>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</si>
  <si>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</si>
  <si>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</si>
  <si>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</si>
  <si>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</si>
  <si>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</si>
  <si>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</si>
  <si>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</si>
  <si>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</si>
  <si>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</si>
  <si>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</si>
  <si>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</si>
  <si>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</si>
  <si>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</si>
  <si>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</si>
  <si>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</si>
  <si>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</si>
  <si>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</si>
  <si>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</si>
  <si>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</si>
  <si>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</si>
  <si>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</si>
  <si>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</si>
  <si>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</si>
  <si>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</si>
  <si>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</si>
  <si>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</si>
  <si>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</si>
  <si>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</si>
  <si>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</si>
  <si>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</si>
  <si>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</si>
  <si>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</si>
  <si>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</si>
  <si>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</si>
  <si>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</si>
  <si>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</si>
  <si>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</si>
  <si>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</si>
  <si>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</si>
  <si>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</si>
  <si>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</si>
  <si>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</si>
  <si>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</si>
  <si>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</si>
  <si>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</si>
  <si>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</si>
  <si>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</si>
  <si>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</si>
  <si>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</si>
  <si>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</si>
  <si>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</si>
  <si>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</si>
  <si>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</si>
  <si>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</si>
  <si>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</si>
  <si>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</si>
  <si>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</si>
  <si>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</si>
  <si>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</si>
  <si>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</si>
  <si>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</si>
  <si>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</si>
  <si>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</si>
  <si>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</si>
  <si>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</si>
  <si>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</si>
  <si>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</si>
  <si>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</si>
  <si>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</si>
  <si>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</si>
  <si>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</si>
  <si>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</si>
  <si>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</si>
  <si>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</si>
  <si>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</si>
  <si>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</si>
  <si>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</si>
  <si>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</si>
  <si>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</si>
  <si>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</si>
  <si>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</si>
  <si>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</si>
  <si>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</si>
  <si>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</si>
  <si>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</si>
  <si>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</si>
  <si>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</si>
  <si>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</si>
  <si>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</si>
  <si>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</si>
  <si>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</si>
  <si>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</si>
  <si>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</si>
  <si>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</si>
  <si>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</si>
  <si>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</si>
  <si>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</si>
  <si>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</si>
  <si>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</si>
  <si>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</si>
  <si>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</si>
  <si>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</si>
  <si>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</si>
  <si>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</si>
  <si>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</si>
  <si>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</si>
  <si>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</si>
  <si>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</si>
  <si>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</si>
  <si>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</si>
  <si>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</si>
  <si>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</si>
  <si>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</si>
  <si>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</si>
  <si>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</si>
  <si>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</si>
  <si>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</si>
  <si>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</si>
  <si>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</si>
  <si>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</si>
  <si>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</si>
  <si>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</si>
  <si>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</si>
  <si>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de 3 mm, modulada, aérea, com película retrorrefletiva tipo X + SI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</si>
  <si>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</si>
  <si>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</si>
  <si>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</si>
  <si>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composto, espessura de 3,0 mm, modulada, aérea - película retrorrefletiva tipo X + SI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</si>
  <si>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</si>
  <si>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</si>
  <si>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</si>
  <si>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</si>
  <si>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</si>
  <si>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</si>
  <si>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</si>
  <si>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</si>
  <si>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</si>
  <si>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</si>
  <si>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</si>
  <si>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</si>
  <si>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</si>
  <si>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</si>
  <si>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</si>
  <si>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</si>
  <si>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</si>
  <si>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</si>
  <si>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</si>
  <si>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</si>
  <si>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</si>
  <si>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</si>
  <si>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</si>
  <si>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</si>
  <si>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</si>
  <si>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</si>
  <si>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</si>
  <si>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</si>
  <si>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</si>
  <si>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</si>
  <si>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</si>
  <si>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</si>
  <si>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</si>
  <si>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</si>
  <si>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</si>
  <si>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</si>
  <si>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</si>
  <si>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</si>
  <si>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</si>
  <si>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</si>
  <si>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</si>
  <si>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</si>
  <si>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</si>
  <si>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</si>
  <si>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</si>
  <si>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</si>
  <si>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</si>
  <si>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</si>
  <si>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</si>
  <si>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</si>
  <si>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</si>
  <si>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</si>
  <si>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</si>
  <si>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</si>
  <si>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</si>
  <si>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</si>
  <si>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</si>
  <si>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</si>
  <si>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</si>
  <si>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</si>
  <si>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</si>
  <si>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</si>
  <si>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</si>
  <si>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</si>
  <si>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</si>
  <si>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</si>
  <si>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</si>
  <si>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</si>
  <si>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</si>
  <si>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</si>
  <si>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</si>
  <si>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</si>
  <si>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</si>
  <si>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</si>
  <si>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</si>
  <si>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</si>
  <si>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</si>
  <si>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</si>
  <si>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</si>
  <si>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</si>
  <si>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</si>
  <si>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</si>
  <si>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</si>
  <si>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</si>
  <si>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</si>
  <si>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</si>
  <si>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</si>
  <si>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</si>
  <si>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</si>
  <si>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</si>
  <si>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</si>
  <si>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</si>
  <si>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</si>
  <si>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</si>
  <si>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</si>
  <si>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</si>
  <si>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</si>
  <si>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</si>
  <si>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</si>
  <si>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</si>
  <si>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</si>
  <si>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</si>
  <si>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</si>
  <si>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</si>
  <si>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</si>
  <si>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</si>
  <si>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</si>
  <si>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</si>
  <si>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</si>
  <si>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</si>
  <si>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</si>
  <si>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</si>
  <si>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</si>
  <si>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</si>
  <si>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</si>
  <si>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</si>
  <si>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</si>
  <si>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</si>
  <si>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</si>
  <si>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</si>
  <si>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</si>
  <si>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</si>
  <si>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</si>
  <si>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</si>
  <si>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</si>
  <si>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</si>
  <si>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</si>
  <si>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</si>
  <si>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</si>
  <si>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</si>
  <si>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</si>
  <si>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</si>
  <si>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</si>
  <si>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</si>
  <si>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</si>
  <si>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</si>
  <si>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</si>
  <si>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</si>
  <si>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</si>
  <si>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</si>
  <si>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</si>
  <si>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</si>
  <si>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</si>
  <si>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</si>
  <si>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</si>
  <si>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</si>
  <si>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</si>
  <si>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</si>
  <si>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</si>
  <si>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</si>
  <si>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</si>
  <si>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</si>
  <si>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</si>
  <si>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</si>
  <si>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</si>
  <si>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</si>
  <si>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</si>
  <si>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</si>
  <si>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</si>
  <si>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</si>
  <si>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</si>
  <si>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</si>
  <si>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</si>
  <si>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</si>
  <si>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</si>
  <si>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</si>
  <si>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</si>
  <si>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</si>
  <si>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</si>
  <si>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</si>
  <si>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</si>
  <si>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</si>
  <si>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</si>
  <si>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</si>
  <si>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</si>
  <si>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</si>
  <si>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</si>
  <si>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</si>
  <si>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</si>
  <si>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</si>
  <si>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</si>
  <si>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</si>
  <si>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</si>
  <si>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</si>
  <si>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</si>
  <si>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</si>
  <si>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</si>
  <si>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</si>
  <si>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</si>
  <si>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</si>
  <si>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</si>
  <si>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</si>
  <si>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</si>
  <si>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</si>
  <si>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</si>
  <si>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</si>
  <si>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</si>
  <si>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</si>
  <si>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</si>
  <si>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</si>
  <si>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</si>
  <si>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</si>
  <si>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</si>
  <si>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</si>
  <si>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</si>
  <si>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</si>
  <si>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</si>
  <si>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</si>
  <si>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</si>
  <si>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</si>
  <si>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</si>
  <si>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</si>
  <si>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</si>
  <si>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</si>
  <si>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</si>
  <si>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</si>
  <si>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</si>
  <si>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</si>
  <si>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</si>
  <si>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</si>
  <si>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Pintura com fundo fosfatizante,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</si>
  <si>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</si>
  <si>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</si>
  <si>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</si>
  <si>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</si>
  <si>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</si>
  <si>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</si>
  <si>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</si>
  <si>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</si>
  <si>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</si>
  <si>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</si>
  <si>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</si>
  <si>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</si>
  <si>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</si>
  <si>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</si>
  <si>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</si>
  <si>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</si>
  <si>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</si>
  <si>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</si>
  <si>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</si>
  <si>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</si>
  <si>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</si>
  <si>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</si>
  <si>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</si>
  <si>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</si>
  <si>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</si>
  <si>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</si>
  <si>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</si>
  <si>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</si>
  <si>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</si>
  <si>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</si>
  <si>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</si>
  <si>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</si>
  <si>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</si>
  <si>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</si>
  <si>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</si>
  <si>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</si>
  <si>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</si>
  <si>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</si>
  <si>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</si>
  <si>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</si>
  <si>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</si>
  <si>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</si>
  <si>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</si>
  <si>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</si>
  <si>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</si>
  <si>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</si>
  <si>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</si>
  <si>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</si>
  <si>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</si>
  <si>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</si>
  <si>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</si>
  <si>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</si>
  <si>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</si>
  <si>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</si>
  <si>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</si>
  <si>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</si>
  <si>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</si>
  <si>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</si>
  <si>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</si>
  <si>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</si>
  <si>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</si>
  <si>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</si>
  <si>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</si>
  <si>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</si>
  <si>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limpeza de área e estocagem do material de limpeza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</si>
  <si>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</si>
  <si>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</si>
  <si>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</si>
  <si>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</si>
  <si>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</si>
  <si>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à compressão acima de 110 MPa - com escavadeira e rompedor hidráulico 1.700 kg</t>
  </si>
  <si>
    <t>Escavação de vala em material de 3ª categoria - resistência à compressão até 50 MPa - com escavadeira e rompedor hidráulico 1.700 kg</t>
  </si>
  <si>
    <t>Escavação de vala em material de 3ª categoria - resistência à compressão de 50 a 70 MPa - com escavadeira e rompedor hidráulico 1.700 kg</t>
  </si>
  <si>
    <t>Escavação de vala em material de 3ª categoria - resistência à compressão de 70 a 90 MPa - com escavadeira e rompedor hidráulico 1.700 kg</t>
  </si>
  <si>
    <t>Escavação de vala em material de 3ª categoria - resistência à compressão de 90 a 110 MPa - com escavadeira e rompedor hidráulico 1.700 kg</t>
  </si>
  <si>
    <t>Escavação e transporte de material de 3ª categoria - DMT de 0 a 50 m</t>
  </si>
  <si>
    <t>Escavação em material de 3ª categoria</t>
  </si>
  <si>
    <t>Escavação em material de 3ª categoria - resistência à compressão acima de 110 MPa - com escavadeira e rompedor hidráulico 1.700 kg</t>
  </si>
  <si>
    <t>Escavação em material de 3ª categoria - resistência à compressão até 50 MPa - com escavadeira e rompedor hidráulico 1.700 kg</t>
  </si>
  <si>
    <t>Escavação em material de 3ª categoria - resistência à compressão de 50 a 70 MPa - com escavadeira e rompedor hidráulico 1.700 kg</t>
  </si>
  <si>
    <t>Escavação em material de 3ª categoria - resistência à compressão de 70 a 90 MPa - com escavadeira e rompedor hidráulico 1.700 kg</t>
  </si>
  <si>
    <t>Escavação em material de 3ª categoria - resistência à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</si>
  <si>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</si>
  <si>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</si>
  <si>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</si>
  <si>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</si>
  <si>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</si>
  <si>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</si>
  <si>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</si>
  <si>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</si>
  <si>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</si>
  <si>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</si>
  <si>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</si>
  <si>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</si>
  <si>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</si>
  <si>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</si>
  <si>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</si>
  <si>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</si>
  <si>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</si>
  <si>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</si>
  <si>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</si>
  <si>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</si>
  <si>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</si>
  <si>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</si>
  <si>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</si>
  <si>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</si>
  <si>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</si>
  <si>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</si>
  <si>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</si>
  <si>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</si>
  <si>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</si>
  <si>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</si>
  <si>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</si>
  <si>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</si>
  <si>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</si>
  <si>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</si>
  <si>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</si>
  <si>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</si>
  <si>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</si>
  <si>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</si>
  <si>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</si>
  <si>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</si>
  <si>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</si>
  <si>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</si>
  <si>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</si>
  <si>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</si>
  <si>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</si>
  <si>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</si>
  <si>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</si>
  <si>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</si>
  <si>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</si>
  <si>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</si>
  <si>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</si>
  <si>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</si>
  <si>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</si>
  <si>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</si>
  <si>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</si>
  <si>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</si>
  <si>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</si>
  <si>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</si>
  <si>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</si>
  <si>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</si>
  <si>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</si>
  <si>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</si>
  <si>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</si>
  <si>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</si>
  <si>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</si>
  <si>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</si>
  <si>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</si>
  <si>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</si>
  <si>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</si>
  <si>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</si>
  <si>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</si>
  <si>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</si>
  <si>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</si>
  <si>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</si>
  <si>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</si>
  <si>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</si>
  <si>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</si>
  <si>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</si>
  <si>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</si>
  <si>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</si>
  <si>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</si>
  <si>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</si>
  <si>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</si>
  <si>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</si>
  <si>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</si>
  <si>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</si>
  <si>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</si>
  <si>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</si>
  <si>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</si>
  <si>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</si>
  <si>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</si>
  <si>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</si>
  <si>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</si>
  <si>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</si>
  <si>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</si>
  <si>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</si>
  <si>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</si>
  <si>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</si>
  <si>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</si>
  <si>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</si>
  <si>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</si>
  <si>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</si>
  <si>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</si>
  <si>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</si>
  <si>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</si>
  <si>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</si>
  <si>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</si>
  <si>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</si>
  <si>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</si>
  <si>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</si>
  <si>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</si>
  <si>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</si>
  <si>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</si>
  <si>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</si>
  <si>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</si>
  <si>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</si>
  <si>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</si>
  <si>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</si>
  <si>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</si>
  <si>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</si>
  <si>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</si>
  <si>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</si>
  <si>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</si>
  <si>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</si>
  <si>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</si>
  <si>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</si>
  <si>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</si>
  <si>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</si>
  <si>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</si>
  <si>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</si>
  <si>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</si>
  <si>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</si>
  <si>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</si>
  <si>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</si>
  <si>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</si>
  <si>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</si>
  <si>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</si>
  <si>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</si>
  <si>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</si>
  <si>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</si>
  <si>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</si>
  <si>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</si>
  <si>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</si>
  <si>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</si>
  <si>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</si>
  <si>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</si>
  <si>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</si>
  <si>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</si>
  <si>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</si>
  <si>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</si>
  <si>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</si>
  <si>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</si>
  <si>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</si>
  <si>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</si>
  <si>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</si>
  <si>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</si>
  <si>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</si>
  <si>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</si>
  <si>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</si>
  <si>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</si>
  <si>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</si>
  <si>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</si>
  <si>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</si>
  <si>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</si>
  <si>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</si>
  <si>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</si>
  <si>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</si>
  <si>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</si>
  <si>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</si>
  <si>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</si>
  <si>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</si>
  <si>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</si>
  <si>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</si>
  <si>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</si>
  <si>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</si>
  <si>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</si>
  <si>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</si>
  <si>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</si>
  <si>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</si>
  <si>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</si>
  <si>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</si>
  <si>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</si>
  <si>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</si>
  <si>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</si>
  <si>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</si>
  <si>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</si>
  <si>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</si>
  <si>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</si>
  <si>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</si>
  <si>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</si>
  <si>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</si>
  <si>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</si>
  <si>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</si>
  <si>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</si>
  <si>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</si>
  <si>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</si>
  <si>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</si>
  <si>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</si>
  <si>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</si>
  <si>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</si>
  <si>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</si>
  <si>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</si>
  <si>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</si>
  <si>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</si>
  <si>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</si>
  <si>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</si>
  <si>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</si>
  <si>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</si>
  <si>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</si>
  <si>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</si>
  <si>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</si>
  <si>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</si>
  <si>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</si>
  <si>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</si>
  <si>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</si>
  <si>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</si>
  <si>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</si>
  <si>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</si>
  <si>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</si>
  <si>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</si>
  <si>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</si>
  <si>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</si>
  <si>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</si>
  <si>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</si>
  <si>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</si>
  <si>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</si>
  <si>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</si>
  <si>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</si>
  <si>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</si>
  <si>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</si>
  <si>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</si>
  <si>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</si>
  <si>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</si>
  <si>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</si>
  <si>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</si>
  <si>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</si>
  <si>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</si>
  <si>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</si>
  <si>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</si>
  <si>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</si>
  <si>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</si>
  <si>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</si>
  <si>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</si>
  <si>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</si>
  <si>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</si>
  <si>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</si>
  <si>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</si>
  <si>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</si>
  <si>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</si>
  <si>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</si>
  <si>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</si>
  <si>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</si>
  <si>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</si>
  <si>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</si>
  <si>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</si>
  <si>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</si>
  <si>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</si>
  <si>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</si>
  <si>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</si>
  <si>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</si>
  <si>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</si>
  <si>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</si>
  <si>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</si>
  <si>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</si>
  <si>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grauteamento da cabeça</t>
  </si>
  <si>
    <t>Protensão de tirante com 12 cordoalhas D = 12,7 mm aço CP 190 RB, com capacidade de 1.040 kN - inclusive ancoragem e grauteamento da cabeça</t>
  </si>
  <si>
    <t>Protensão de tirante com 6 cordoalhas D = 12,7 mm aço CP 190 RB, com capacidade de 520 kN - inclusive ancoragem e grauteamento da cabeça</t>
  </si>
  <si>
    <t>Protensão de tirante com 8 cordoalhas D = 12,7 mm aço CP 190 RB, com capacidade de 690 kN - inclusive ancoragem e grauteamento da cabeça</t>
  </si>
  <si>
    <t>Protensão de tirante permanente autoinjetável de aço D = 40 mm, seção de 684 mm², tensão de escoamento = 440 MPa e tensão de ruptura = 580 MPa - inclusive ancoragem e grauteamento da cabeça</t>
  </si>
  <si>
    <t>Protensão de tirante permanente autoinjetável de aço D = 40 mm, seção de 822 mm², tensão de escoamento = 470 MPa e tensão de ruptura = 600 MPa - inclusive ancoragem e grauteamento da cabeça</t>
  </si>
  <si>
    <t>Protensão de tirante permanente autoinjetável de aço D = 40 mm, seção de 936 mm², tensão de escoamento = 700 MPa e tensão de ruptura = 830 MPa - inclusive ancoragem e grauteamento da cabeça</t>
  </si>
  <si>
    <t>Protensão de tirante permanente autoinjetável de aço D = 50 mm, seção de 1.330 mm², tensão de escoamento = 630 MPa e tensão de ruptura = 740 MPa - inclusive ancoragem e grauteamento da cabeça</t>
  </si>
  <si>
    <t>Protensão de tirante permanente autoinjetável de aço D = 50 mm, seção de 1.569 mm², tensão de escoamento = 630 MPa e tensão de ruptura = 740 MP - inclusive ancoragem e grauteamento da cabeça</t>
  </si>
  <si>
    <t>Protensão de tirante permanente protendido de aço D = 30 mm, tensão de escoamento = 600 MPa e tensão de ruptura = 720 MPa - inclusive ancoragem e grauteamento da cabeça</t>
  </si>
  <si>
    <t>Protensão de tirante permanente protendido de aço D = 32 mm, tensão de escoamento = 500 MPa e tensão de ruptura = 550 MPa - inclusive ancoragem e grauteamento da cabeça</t>
  </si>
  <si>
    <t>Protensão de tirante permanente protendido de aço D = 32 mm, tensão de escoamento = 950 MPa e tensão de ruptura = 1.050 MPa - inclusive ancoragem e grauteamento da cabeça</t>
  </si>
  <si>
    <t>Protensão de tirante permanente protendido de aço D = 40 mm, tensão de escoamento = 600 MPa e tensão de ruptura = 720 MPa - inclusive ancoragem e grauteamento da cabeça</t>
  </si>
  <si>
    <t>Protensão de tirante permanente protendido de aço D = 44 mm, tensão de escoamento = 680 MPa e tensão de ruptura = 870 MPa - inclusive ancoragem e grauteamento da cabeça</t>
  </si>
  <si>
    <t>Protensão de tirante permanente protendido de aço D = 50 mm, tensão de escoamento = 600 MPa e tensão de ruptura = 720 MPa - inclusive ancoragem e grauteamento da cabeça</t>
  </si>
  <si>
    <t>Protensão de tirante permanente protendido de aço D = 53 mm, tensão de escoamento = 600 MPa e tensão de ruptura = 720 MPa - inclusive ancoragem e grauteamento da cabeça</t>
  </si>
  <si>
    <t>Protensão de tirante permanente protendido de aço D = 57 mm, tensão de escoamento = 600 MPa e tensão de ruptura = 720 MPa - inclusive ancoragem e grauteamento da cabeça</t>
  </si>
  <si>
    <t>Protensão de tirante permanente protendido de aço D = 63 mm, tensão de escoamento = 600 MPa e tensão de ruptura = 720 MPa - inclusive ancoragem e grauteamento da cabeça</t>
  </si>
  <si>
    <t>Protensão de tirante permanente protendido de aço D = 69 mm, tensão de escoamento = 600 MPa e tensão de ruptura = 720 MPa - inclusive ancoragem e grauteamento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</si>
  <si>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</si>
  <si>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</si>
  <si>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</si>
  <si>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</si>
  <si>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</si>
  <si>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</si>
  <si>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</si>
  <si>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</si>
  <si>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</si>
  <si>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</si>
  <si>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</si>
  <si>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</si>
  <si>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</si>
  <si>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</si>
  <si>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</si>
  <si>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</si>
  <si>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</si>
  <si>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</si>
  <si>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</si>
  <si>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</si>
  <si>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</si>
  <si>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</si>
  <si>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</si>
  <si>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</si>
  <si>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</si>
  <si>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</si>
  <si>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</si>
  <si>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</si>
  <si>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</si>
  <si>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</si>
  <si>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</si>
  <si>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</si>
  <si>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</si>
  <si>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</si>
  <si>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</si>
  <si>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</si>
  <si>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</si>
  <si>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</si>
  <si>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</si>
  <si>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</si>
  <si>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</si>
  <si>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</si>
  <si>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</si>
  <si>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</si>
  <si>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</si>
  <si>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</si>
  <si>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</si>
  <si>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</si>
  <si>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</si>
  <si>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</si>
  <si>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</si>
  <si>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</si>
  <si>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</si>
  <si>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</si>
  <si>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</si>
  <si>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</si>
  <si>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</si>
  <si>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</si>
  <si>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</si>
  <si>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</si>
  <si>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</si>
  <si>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</si>
  <si>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</si>
  <si>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ou cal hidratada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</si>
  <si>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</si>
  <si>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</si>
  <si>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</si>
  <si>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</si>
  <si>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</si>
  <si>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</si>
  <si>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</si>
  <si>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</si>
  <si>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</si>
  <si>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</si>
  <si>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</si>
  <si>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</si>
  <si>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fresagem contínua solta em caminhão basculante de 10 m³ - carga com fresadora e descarga livre</t>
  </si>
  <si>
    <t>Carga, manobra e descarga de fresagem descontínua solta em caminhão basculante de 10 m³ - carga com fresadora e descarga livre</t>
  </si>
  <si>
    <t>Carga, manobra e descarga de fresagem descontínua solta em caminhão basculante de 6 m³ - carga com fresadora e descarga livre</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</si>
  <si>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</si>
  <si>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</si>
  <si>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</si>
  <si>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</si>
  <si>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</si>
  <si>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</si>
  <si>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</si>
  <si>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</si>
  <si>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</si>
  <si>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</si>
  <si>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</si>
  <si>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</si>
  <si>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</si>
  <si>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</si>
  <si>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</si>
  <si>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</si>
  <si>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</si>
  <si>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</si>
  <si>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</si>
  <si>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</si>
  <si>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</si>
  <si>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</si>
  <si>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</si>
  <si>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</si>
  <si>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</si>
  <si>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</si>
  <si>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</si>
  <si>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</si>
  <si>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</si>
  <si>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</si>
  <si>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</si>
  <si>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</si>
  <si>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</si>
  <si>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</si>
  <si>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</si>
  <si>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</si>
  <si>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</si>
  <si>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</si>
  <si>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</si>
  <si>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</si>
  <si>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</si>
  <si>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</si>
  <si>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</si>
  <si>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</si>
  <si>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</si>
  <si>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</si>
  <si>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</si>
  <si>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</si>
  <si>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</si>
  <si>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</si>
  <si>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</si>
  <si>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</si>
  <si>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</si>
  <si>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</si>
  <si>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</si>
  <si>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</si>
  <si>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</si>
  <si>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</si>
  <si>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</si>
  <si>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</si>
  <si>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</si>
  <si>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</si>
  <si>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</si>
  <si>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</si>
  <si>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</si>
  <si>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</si>
  <si>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</si>
  <si>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</si>
  <si>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</si>
  <si>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</si>
  <si>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</si>
  <si>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</si>
  <si>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</si>
  <si>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</si>
  <si>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</si>
  <si>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</si>
  <si>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</si>
  <si>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</si>
  <si>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</si>
  <si>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</si>
  <si>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</si>
  <si>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</si>
  <si>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</si>
  <si>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</si>
  <si>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</si>
  <si>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</si>
  <si>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</si>
  <si>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</si>
  <si>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</si>
  <si>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</si>
  <si>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</si>
  <si>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</si>
  <si>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</si>
  <si>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</si>
  <si>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</si>
  <si>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</si>
  <si>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</si>
  <si>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</si>
  <si>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</si>
  <si>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</si>
  <si>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</si>
  <si>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</si>
  <si>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</si>
  <si>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</si>
  <si>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</si>
  <si>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</si>
  <si>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</si>
  <si>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</si>
  <si>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</si>
  <si>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</si>
  <si>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</si>
  <si>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</si>
  <si>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</si>
  <si>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</si>
  <si>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</si>
  <si>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</si>
  <si>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</si>
  <si>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</si>
  <si>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</si>
  <si>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</si>
  <si>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</si>
  <si>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</si>
  <si>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</si>
  <si>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</si>
  <si>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</si>
  <si>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</si>
  <si>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</si>
  <si>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</si>
  <si>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</si>
  <si>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</si>
  <si>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</si>
  <si>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</si>
  <si>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</si>
  <si>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</si>
  <si>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</si>
  <si>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</si>
  <si>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</si>
  <si>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</si>
  <si>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</si>
  <si>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</si>
  <si>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</si>
  <si>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</si>
  <si>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</si>
  <si>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</si>
  <si>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</si>
  <si>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</si>
  <si>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</si>
  <si>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</si>
  <si>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</si>
  <si>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</si>
  <si>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</si>
  <si>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</si>
  <si>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</si>
  <si>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cimento ou cal hidratada a granel com caminhão silo de 30 m³ - rodovia em leito natural</t>
  </si>
  <si>
    <t>Transporte de cimento ou cal hidratada a granel com caminhão silo de 30 m³ - rodovia em revestimento primário</t>
  </si>
  <si>
    <t>Transporte de cimento ou cal hidratada a granel com caminhão silo de 30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</si>
  <si>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</si>
  <si>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</si>
  <si>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</si>
  <si>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</si>
  <si>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</si>
  <si>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</si>
  <si>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</si>
  <si>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</si>
  <si>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</si>
  <si>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</si>
  <si>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</si>
  <si>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</si>
  <si>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</si>
  <si>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</si>
  <si>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</si>
  <si>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</si>
  <si>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</si>
  <si>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</si>
  <si>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</si>
  <si>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</si>
  <si>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</si>
  <si>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</si>
  <si>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</si>
  <si>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</si>
  <si>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</si>
  <si>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</si>
  <si>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</si>
  <si>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</si>
  <si>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</si>
  <si>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</si>
  <si>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</si>
  <si>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</si>
  <si>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</si>
  <si>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</si>
  <si>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</si>
  <si>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</si>
  <si>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</si>
  <si>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</si>
  <si>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</si>
  <si>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</si>
  <si>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</si>
  <si>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</si>
  <si>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</si>
  <si>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</si>
  <si>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</si>
  <si>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</si>
  <si>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</si>
  <si>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</si>
  <si>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</si>
  <si>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</si>
  <si>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</si>
  <si>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</si>
  <si>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</si>
  <si>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</si>
  <si>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</si>
  <si>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</si>
  <si>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</si>
  <si>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</si>
  <si>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</si>
  <si>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</si>
  <si>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</si>
  <si>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</si>
  <si>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</si>
  <si>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</si>
  <si>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</si>
  <si>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</si>
  <si>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</si>
  <si>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</si>
  <si>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</si>
  <si>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</si>
  <si>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</si>
  <si>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</si>
  <si>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</si>
  <si>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</si>
  <si>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</si>
  <si>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</si>
  <si>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</si>
  <si>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</si>
  <si>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</si>
  <si>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</si>
  <si>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</si>
  <si>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</si>
  <si>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</si>
  <si>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</si>
  <si>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</si>
  <si>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</si>
  <si>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</si>
  <si>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</si>
  <si>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</si>
  <si>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</si>
  <si>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</si>
  <si>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</si>
  <si>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</si>
  <si>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</si>
  <si>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</si>
  <si>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</si>
  <si>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</si>
  <si>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</si>
  <si>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</si>
  <si>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</si>
  <si>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</si>
  <si>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</si>
  <si>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</si>
  <si>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</si>
  <si>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</si>
  <si>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</si>
  <si>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</si>
  <si>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</si>
  <si>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</si>
  <si>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</si>
  <si>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</si>
  <si>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</si>
  <si>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</si>
  <si>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</si>
  <si>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</si>
  <si>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</si>
  <si>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</si>
  <si>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</si>
  <si>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</si>
  <si>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</si>
  <si>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</si>
  <si>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</si>
  <si>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</si>
  <si>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</si>
  <si>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</si>
  <si>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</si>
  <si>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</si>
  <si>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</si>
  <si>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</si>
  <si>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</si>
  <si>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</si>
  <si>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</si>
  <si>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</si>
  <si>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</si>
  <si>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</si>
  <si>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</si>
  <si>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</si>
  <si>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</si>
  <si>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</si>
  <si>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</si>
  <si>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</si>
  <si>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</si>
  <si>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</si>
  <si>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</si>
  <si>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</si>
  <si>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</si>
  <si>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</si>
  <si>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</si>
  <si>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</si>
  <si>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</si>
  <si>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</si>
  <si>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</si>
  <si>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</si>
  <si>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</si>
  <si>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</si>
  <si>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</si>
  <si>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com espessura de 0,8 cm até 1,5 cm - brita comercial</t>
  </si>
  <si>
    <t>Usinagem de agregados para microrrevestimento a frio com espessura de 0,8 cm até 1,5 cm - brita produzida</t>
  </si>
  <si>
    <t>Usinagem de agregados para microrrevestimento a frio com espessura de 2,0 cm - brita comercial</t>
  </si>
  <si>
    <t>Usinagem de agregados para microrrevestimento a frio com espessura de 2,0 cm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</si>
  <si>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</si>
  <si>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</si>
  <si>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</si>
  <si>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</si>
  <si>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</si>
  <si>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</si>
  <si>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</si>
  <si>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</si>
  <si>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</si>
  <si>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</si>
  <si>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</si>
  <si>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</si>
  <si>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</si>
  <si>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</si>
  <si>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</si>
  <si>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</si>
  <si>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</si>
  <si>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</si>
  <si>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</si>
  <si>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</si>
  <si>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</si>
  <si>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</si>
  <si>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</si>
  <si>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</si>
  <si>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</si>
  <si>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</si>
  <si>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</si>
  <si>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</si>
  <si>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</si>
  <si>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</si>
  <si>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</si>
  <si>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</si>
  <si>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</si>
  <si>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</si>
  <si>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</si>
  <si>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</si>
  <si>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</si>
  <si>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</si>
  <si>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</si>
  <si>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</si>
  <si>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</si>
  <si>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</si>
  <si>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</si>
  <si>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</si>
  <si>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</si>
  <si>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</si>
  <si>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</si>
  <si>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</si>
  <si>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</si>
  <si>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</si>
  <si>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</si>
  <si>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</si>
  <si>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</si>
  <si>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</si>
  <si>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</si>
  <si>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</si>
  <si>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</si>
  <si>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</si>
  <si>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</si>
  <si>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</si>
  <si>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</si>
  <si>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</si>
  <si>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</si>
  <si>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</si>
  <si>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</si>
  <si>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</si>
  <si>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</si>
  <si>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</si>
  <si>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</si>
  <si>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</si>
  <si>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</si>
  <si>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</si>
  <si>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</si>
  <si>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</si>
  <si>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</si>
  <si>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</si>
  <si>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</si>
  <si>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</si>
  <si>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</si>
  <si>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</si>
  <si>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</si>
  <si>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</si>
  <si>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</si>
  <si>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</si>
  <si>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</si>
  <si>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</si>
  <si>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</si>
  <si>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</si>
  <si>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</si>
  <si>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</si>
  <si>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</si>
  <si>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</si>
  <si>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</si>
  <si>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</si>
  <si>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</si>
  <si>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</si>
  <si>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</si>
  <si>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</si>
  <si>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</si>
  <si>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</si>
  <si>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</si>
  <si>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</si>
  <si>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</si>
  <si>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</si>
  <si>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</si>
  <si>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</si>
  <si>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</si>
  <si>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</si>
  <si>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</si>
  <si>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</si>
  <si>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</si>
  <si>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</si>
  <si>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</si>
  <si>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</si>
  <si>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</si>
  <si>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</si>
  <si>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</si>
  <si>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</si>
  <si>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</si>
  <si>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</si>
  <si>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</si>
  <si>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</si>
  <si>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</si>
  <si>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</si>
  <si>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</si>
  <si>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</si>
  <si>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</si>
  <si>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</si>
  <si>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</si>
  <si>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</si>
  <si>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</si>
  <si>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</si>
  <si>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</si>
  <si>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</si>
  <si>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</si>
  <si>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</si>
  <si>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</si>
  <si>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</si>
  <si>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</si>
  <si>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</si>
  <si>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</si>
  <si>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</si>
  <si>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</si>
  <si>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</si>
  <si>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</si>
  <si>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</si>
  <si>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</si>
  <si>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</si>
  <si>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</si>
  <si>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</si>
  <si>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</si>
  <si>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</si>
  <si>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</si>
  <si>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</si>
  <si>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</si>
  <si>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</si>
  <si>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</si>
  <si>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</si>
  <si>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</si>
  <si>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</si>
  <si>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</si>
  <si>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</si>
  <si>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</si>
  <si>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</si>
  <si>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</si>
  <si>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</si>
  <si>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</si>
  <si>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</si>
  <si>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</si>
  <si>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</si>
  <si>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</si>
  <si>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</si>
  <si>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</si>
  <si>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</si>
  <si>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</si>
  <si>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</si>
  <si>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</si>
  <si>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</si>
  <si>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</si>
  <si>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</si>
  <si>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</si>
  <si>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</si>
  <si>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</si>
  <si>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</si>
  <si>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</si>
  <si>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</si>
  <si>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</si>
  <si>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</si>
  <si>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</si>
  <si>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</si>
  <si>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</si>
  <si>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</si>
  <si>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</si>
  <si>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</si>
  <si>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</si>
  <si>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</si>
  <si>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</si>
  <si>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</si>
  <si>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</si>
  <si>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</si>
  <si>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</si>
  <si>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</si>
  <si>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</si>
  <si>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</si>
  <si>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</si>
  <si>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</si>
  <si>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</si>
  <si>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</si>
  <si>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</si>
  <si>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</si>
  <si>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</si>
  <si>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</si>
  <si>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</si>
  <si>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</si>
  <si>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</si>
  <si>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</si>
  <si>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</si>
  <si>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</si>
  <si>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</si>
  <si>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</si>
  <si>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</si>
  <si>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</si>
  <si>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</si>
  <si>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</si>
  <si>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</si>
  <si>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</si>
  <si>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</si>
  <si>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</si>
  <si>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</si>
  <si>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</si>
  <si>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</si>
  <si>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</si>
  <si>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</si>
  <si>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</si>
  <si>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</si>
  <si>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 - excluso o aço naval</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</si>
  <si>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</si>
  <si>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</si>
  <si>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</si>
  <si>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</si>
  <si>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</si>
  <si>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</si>
  <si>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</si>
  <si>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</si>
  <si>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</si>
  <si>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</si>
  <si>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</si>
  <si>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</si>
  <si>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</si>
  <si>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</si>
  <si>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</si>
  <si>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</si>
  <si>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</si>
  <si>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</si>
  <si>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</si>
  <si>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</si>
  <si>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</si>
  <si>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</si>
  <si>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</si>
  <si>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</si>
  <si>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</si>
  <si>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</si>
  <si>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</si>
  <si>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</si>
  <si>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</si>
  <si>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</si>
  <si>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</si>
  <si>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</si>
  <si>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</si>
  <si>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</si>
  <si>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</si>
  <si>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</si>
  <si>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</si>
  <si>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</si>
  <si>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</si>
  <si>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Serviço</t>
  </si>
  <si>
    <t>Tipo</t>
  </si>
  <si>
    <t>Mão de obra</t>
  </si>
  <si>
    <t xml:space="preserve">AMEP </t>
  </si>
  <si>
    <t>SINALIZAÇÃO DE OBRA - TIPO 1</t>
  </si>
  <si>
    <t>CUSTO TOTAL:</t>
  </si>
  <si>
    <t>CCU-014</t>
  </si>
  <si>
    <t>CCU-015</t>
  </si>
  <si>
    <t>CCU-016</t>
  </si>
  <si>
    <t>SINALIZAÇÃO DE OBRA - TIPO 2</t>
  </si>
  <si>
    <t>UNIDADE:</t>
  </si>
  <si>
    <t>COMPOSIÇÃO DE CUSTO UNITÁRIO - PLACA DE OBRA</t>
  </si>
  <si>
    <t>PLACA DE OBRA</t>
  </si>
  <si>
    <t>CCU-017</t>
  </si>
  <si>
    <t>Serviços</t>
  </si>
  <si>
    <t>ABERTURA PARA ENCAIXE DE CUBA OU LAVATORIO EM BANCADA DE MARMORE/ GRANITO OU OUTRO TIPO DE PEDRA NATURAL</t>
  </si>
  <si>
    <t xml:space="preserve">UN    </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</si>
  <si>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</si>
  <si>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</si>
  <si>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</si>
  <si>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</si>
  <si>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</si>
  <si>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</si>
  <si>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</si>
  <si>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</si>
  <si>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</si>
  <si>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</si>
  <si>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</si>
  <si>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</si>
  <si>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</si>
  <si>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</si>
  <si>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</si>
  <si>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</si>
  <si>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</si>
  <si>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</si>
  <si>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</si>
  <si>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</si>
  <si>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</si>
  <si>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</si>
  <si>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</si>
  <si>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</si>
  <si>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</si>
  <si>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</si>
  <si>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</si>
  <si>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</si>
  <si>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</si>
  <si>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</si>
  <si>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</si>
  <si>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</si>
  <si>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</si>
  <si>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</si>
  <si>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</si>
  <si>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</si>
  <si>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</si>
  <si>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</si>
  <si>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</si>
  <si>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</si>
  <si>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</si>
  <si>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</si>
  <si>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</si>
  <si>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 xml:space="preserve">M     </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</si>
  <si>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</si>
  <si>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</si>
  <si>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</si>
  <si>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 xml:space="preserve">KG    </t>
  </si>
  <si>
    <t>ACIDO CLORIDRICO / ACIDO MURIATICO, DILUICAO 10% A 12% PARA USO EM LIMPEZA</t>
  </si>
  <si>
    <t xml:space="preserve">L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</si>
  <si>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</si>
  <si>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</si>
  <si>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</si>
  <si>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</si>
  <si>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</si>
  <si>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</si>
  <si>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</si>
  <si>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</si>
  <si>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</si>
  <si>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</si>
  <si>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</si>
  <si>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</si>
  <si>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</si>
  <si>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</si>
  <si>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</si>
  <si>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</si>
  <si>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</si>
  <si>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</si>
  <si>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</si>
  <si>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</si>
  <si>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</si>
  <si>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</si>
  <si>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</si>
  <si>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</si>
  <si>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</si>
  <si>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</si>
  <si>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</si>
  <si>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</si>
  <si>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</si>
  <si>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</si>
  <si>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</si>
  <si>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</si>
  <si>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</si>
  <si>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</si>
  <si>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</si>
  <si>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</si>
  <si>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</si>
  <si>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</si>
  <si>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</si>
  <si>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</si>
  <si>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</si>
  <si>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</si>
  <si>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</si>
  <si>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</si>
  <si>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</si>
  <si>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</si>
  <si>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</si>
  <si>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</si>
  <si>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</si>
  <si>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</si>
  <si>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</si>
  <si>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</si>
  <si>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</si>
  <si>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</si>
  <si>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</si>
  <si>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</si>
  <si>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</si>
  <si>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1/2", PARA CAIXA D' AGUA</t>
  </si>
  <si>
    <t>ADAPTADOR PVC, ROSCAVEL, COM FLANGES E ANEL DE VEDACAO, 1", PARA CAIXA D' AGUA</t>
  </si>
  <si>
    <t>ADAPTADOR PVC, ROSCAVEL, COM FLANGES E ANEL DE VEDACAO, 3/4", PARA CAIXA D' AGUA</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</si>
  <si>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</si>
  <si>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</si>
  <si>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</si>
  <si>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</si>
  <si>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</si>
  <si>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</si>
  <si>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</si>
  <si>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</si>
  <si>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</si>
  <si>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</si>
  <si>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</si>
  <si>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</si>
  <si>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</si>
  <si>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</si>
  <si>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</si>
  <si>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</si>
  <si>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</si>
  <si>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</si>
  <si>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</si>
  <si>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</si>
  <si>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</si>
  <si>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</si>
  <si>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</si>
  <si>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</si>
  <si>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</si>
  <si>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</si>
  <si>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</si>
  <si>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</si>
  <si>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</si>
  <si>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</si>
  <si>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</si>
  <si>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</si>
  <si>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</si>
  <si>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</si>
  <si>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</si>
  <si>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</si>
  <si>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AJUDANTE DE ARMADOR (HORISTA)</t>
  </si>
  <si>
    <t xml:space="preserve">H     </t>
  </si>
  <si>
    <t>AJUDANTE DE ARMADOR (MENSALISTA)</t>
  </si>
  <si>
    <t xml:space="preserve">MES   </t>
  </si>
  <si>
    <t>AJUDANTE DE ELETRICISTA (HORISTA)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</si>
  <si>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</si>
  <si>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</si>
  <si>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</si>
  <si>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</si>
  <si>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</si>
  <si>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</si>
  <si>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</si>
  <si>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</si>
  <si>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</si>
  <si>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</si>
  <si>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</si>
  <si>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</si>
  <si>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</si>
  <si>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</si>
  <si>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</si>
  <si>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</si>
  <si>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</si>
  <si>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</si>
  <si>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</si>
  <si>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</si>
  <si>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</si>
  <si>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</si>
  <si>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</si>
  <si>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</si>
  <si>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</si>
  <si>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</si>
  <si>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</si>
  <si>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</si>
  <si>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</si>
  <si>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</si>
  <si>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</si>
  <si>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</si>
  <si>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</si>
  <si>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</si>
  <si>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</si>
  <si>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</si>
  <si>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</si>
  <si>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</si>
  <si>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</si>
  <si>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</si>
  <si>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</si>
  <si>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</si>
  <si>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</si>
  <si>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</si>
  <si>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</si>
  <si>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</si>
  <si>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</si>
  <si>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</si>
  <si>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</si>
  <si>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</si>
  <si>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</si>
  <si>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</si>
  <si>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</si>
  <si>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</si>
  <si>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</si>
  <si>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</si>
  <si>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</si>
  <si>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</si>
  <si>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</si>
  <si>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</si>
  <si>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</si>
  <si>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</si>
  <si>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</si>
  <si>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</si>
  <si>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</si>
  <si>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</si>
  <si>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</si>
  <si>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</si>
  <si>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</si>
  <si>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</si>
  <si>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</si>
  <si>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</si>
  <si>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</si>
  <si>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</si>
  <si>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</si>
  <si>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</si>
  <si>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</si>
  <si>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</si>
  <si>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</si>
  <si>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</si>
  <si>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</si>
  <si>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</si>
  <si>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</si>
  <si>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</si>
  <si>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</si>
  <si>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</si>
  <si>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</si>
  <si>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</si>
  <si>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</si>
  <si>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</si>
  <si>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</si>
  <si>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</si>
  <si>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</si>
  <si>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</si>
  <si>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</si>
  <si>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</si>
  <si>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</si>
  <si>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</si>
  <si>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</si>
  <si>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</si>
  <si>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</si>
  <si>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</si>
  <si>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</si>
  <si>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</si>
  <si>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</si>
  <si>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</si>
  <si>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</si>
  <si>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</si>
  <si>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</si>
  <si>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</si>
  <si>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</si>
  <si>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</si>
  <si>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</si>
  <si>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</si>
  <si>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</si>
  <si>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</si>
  <si>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</si>
  <si>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</si>
  <si>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</si>
  <si>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</si>
  <si>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</si>
  <si>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</si>
  <si>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</si>
  <si>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</si>
  <si>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</si>
  <si>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</si>
  <si>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</si>
  <si>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</si>
  <si>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</si>
  <si>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</si>
  <si>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</si>
  <si>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</si>
  <si>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</si>
  <si>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</si>
  <si>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</si>
  <si>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</si>
  <si>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</si>
  <si>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</si>
  <si>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</si>
  <si>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</si>
  <si>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</si>
  <si>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</si>
  <si>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</si>
  <si>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</si>
  <si>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</si>
  <si>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</si>
  <si>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</si>
  <si>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</si>
  <si>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</si>
  <si>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</si>
  <si>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</si>
  <si>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</si>
  <si>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</si>
  <si>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</si>
  <si>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</si>
  <si>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</si>
  <si>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</si>
  <si>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</si>
  <si>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</si>
  <si>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</si>
  <si>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</si>
  <si>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</si>
  <si>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</si>
  <si>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</si>
  <si>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</si>
  <si>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</si>
  <si>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</si>
  <si>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</si>
  <si>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</si>
  <si>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</si>
  <si>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</si>
  <si>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</si>
  <si>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</si>
  <si>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</si>
  <si>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</si>
  <si>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</si>
  <si>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</si>
  <si>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</si>
  <si>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</si>
  <si>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</si>
  <si>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</si>
  <si>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</si>
  <si>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</si>
  <si>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</si>
  <si>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</si>
  <si>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</si>
  <si>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</si>
  <si>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</si>
  <si>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</si>
  <si>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</si>
  <si>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</si>
  <si>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</si>
  <si>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</si>
  <si>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</si>
  <si>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</si>
  <si>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</si>
  <si>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</si>
  <si>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</si>
  <si>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</si>
  <si>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</si>
  <si>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</si>
  <si>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</si>
  <si>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</si>
  <si>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</si>
  <si>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</si>
  <si>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</si>
  <si>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</si>
  <si>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</si>
  <si>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</si>
  <si>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</si>
  <si>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</si>
  <si>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</si>
  <si>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</si>
  <si>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</si>
  <si>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</si>
  <si>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</si>
  <si>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</si>
  <si>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</si>
  <si>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</si>
  <si>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</si>
  <si>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</si>
  <si>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</si>
  <si>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</si>
  <si>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</si>
  <si>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</si>
  <si>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</si>
  <si>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</si>
  <si>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</si>
  <si>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</si>
  <si>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</si>
  <si>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</si>
  <si>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</si>
  <si>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</si>
  <si>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</si>
  <si>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</si>
  <si>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</si>
  <si>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(HORISTA)</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</si>
  <si>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</si>
  <si>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</si>
  <si>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</si>
  <si>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</si>
  <si>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</si>
  <si>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</si>
  <si>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</si>
  <si>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</si>
  <si>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</si>
  <si>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</si>
  <si>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</si>
  <si>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</si>
  <si>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</si>
  <si>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</si>
  <si>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</si>
  <si>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</si>
  <si>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</si>
  <si>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</si>
  <si>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</si>
  <si>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</si>
  <si>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 xml:space="preserve">M2    </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</si>
  <si>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</si>
  <si>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</si>
  <si>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</si>
  <si>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</si>
  <si>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</si>
  <si>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</si>
  <si>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</si>
  <si>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</si>
  <si>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</si>
  <si>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</si>
  <si>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</si>
  <si>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</si>
  <si>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</si>
  <si>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</si>
  <si>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</si>
  <si>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</si>
  <si>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</si>
  <si>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</si>
  <si>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</si>
  <si>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</si>
  <si>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</si>
  <si>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</si>
  <si>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</si>
  <si>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</si>
  <si>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</si>
  <si>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</si>
  <si>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</si>
  <si>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</si>
  <si>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</si>
  <si>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</si>
  <si>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</si>
  <si>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</si>
  <si>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</si>
  <si>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</si>
  <si>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</si>
  <si>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</si>
  <si>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</si>
  <si>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</si>
  <si>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</si>
  <si>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</si>
  <si>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</si>
  <si>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</si>
  <si>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</si>
  <si>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</si>
  <si>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</si>
  <si>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</si>
  <si>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</si>
  <si>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</si>
  <si>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</si>
  <si>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</si>
  <si>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</si>
  <si>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</si>
  <si>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</si>
  <si>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</si>
  <si>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</si>
  <si>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</si>
  <si>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</si>
  <si>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</si>
  <si>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</si>
  <si>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</si>
  <si>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</si>
  <si>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</si>
  <si>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</si>
  <si>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</si>
  <si>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</si>
  <si>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</si>
  <si>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</si>
  <si>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</si>
  <si>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</si>
  <si>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</si>
  <si>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</si>
  <si>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</si>
  <si>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</si>
  <si>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</si>
  <si>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</si>
  <si>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</si>
  <si>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</si>
  <si>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</si>
  <si>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</si>
  <si>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</si>
  <si>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</si>
  <si>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</si>
  <si>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</si>
  <si>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</si>
  <si>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</si>
  <si>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</si>
  <si>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</si>
  <si>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</si>
  <si>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</si>
  <si>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</si>
  <si>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</si>
  <si>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</si>
  <si>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</si>
  <si>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</si>
  <si>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</si>
  <si>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</si>
  <si>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</si>
  <si>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</si>
  <si>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</si>
  <si>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</si>
  <si>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</si>
  <si>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</si>
  <si>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</si>
  <si>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</si>
  <si>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</si>
  <si>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</si>
  <si>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</si>
  <si>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</si>
  <si>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</si>
  <si>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</si>
  <si>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</si>
  <si>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</si>
  <si>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</si>
  <si>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</si>
  <si>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</si>
  <si>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</si>
  <si>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</si>
  <si>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</si>
  <si>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</si>
  <si>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</si>
  <si>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</si>
  <si>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</si>
  <si>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</si>
  <si>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</si>
  <si>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</si>
  <si>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</si>
  <si>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</si>
  <si>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</si>
  <si>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</si>
  <si>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</si>
  <si>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</si>
  <si>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*75 E 120* MM, PARA DRENAGEM PLUVIAL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</si>
  <si>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</si>
  <si>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</si>
  <si>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</si>
  <si>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</si>
  <si>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</si>
  <si>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</si>
  <si>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</si>
  <si>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</si>
  <si>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</si>
  <si>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</si>
  <si>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</si>
  <si>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</si>
  <si>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</si>
  <si>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</si>
  <si>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</si>
  <si>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</si>
  <si>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</si>
  <si>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</si>
  <si>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</si>
  <si>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</si>
  <si>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</si>
  <si>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</si>
  <si>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</si>
  <si>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</si>
  <si>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</si>
  <si>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</si>
  <si>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</si>
  <si>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</si>
  <si>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</si>
  <si>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</si>
  <si>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</si>
  <si>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</si>
  <si>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</si>
  <si>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</si>
  <si>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</si>
  <si>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</si>
  <si>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</si>
  <si>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</si>
  <si>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</si>
  <si>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</si>
  <si>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</si>
  <si>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</si>
  <si>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</si>
  <si>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</si>
  <si>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</si>
  <si>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</si>
  <si>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</si>
  <si>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</si>
  <si>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</si>
  <si>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</si>
  <si>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</si>
  <si>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</si>
  <si>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</si>
  <si>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</si>
  <si>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</si>
  <si>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</si>
  <si>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</si>
  <si>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</si>
  <si>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</si>
  <si>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</si>
  <si>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</si>
  <si>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</si>
  <si>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</si>
  <si>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</si>
  <si>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</si>
  <si>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</si>
  <si>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</si>
  <si>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</si>
  <si>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</si>
  <si>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</si>
  <si>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</si>
  <si>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</si>
  <si>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</si>
  <si>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</si>
  <si>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</si>
  <si>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</si>
  <si>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</si>
  <si>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</si>
  <si>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</si>
  <si>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</si>
  <si>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</si>
  <si>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</si>
  <si>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</si>
  <si>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</si>
  <si>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</si>
  <si>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</si>
  <si>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</si>
  <si>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</si>
  <si>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</si>
  <si>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</si>
  <si>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</si>
  <si>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</si>
  <si>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</si>
  <si>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</si>
  <si>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</si>
  <si>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</si>
  <si>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</si>
  <si>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</si>
  <si>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</si>
  <si>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</si>
  <si>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</si>
  <si>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</si>
  <si>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</si>
  <si>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</si>
  <si>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</si>
  <si>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</si>
  <si>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</si>
  <si>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</si>
  <si>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</si>
  <si>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</si>
  <si>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</si>
  <si>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</si>
  <si>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</si>
  <si>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</si>
  <si>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</si>
  <si>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</si>
  <si>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</si>
  <si>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</si>
  <si>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</si>
  <si>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</si>
  <si>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</si>
  <si>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</si>
  <si>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</si>
  <si>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</si>
  <si>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</si>
  <si>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</si>
  <si>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</si>
  <si>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</si>
  <si>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</si>
  <si>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</si>
  <si>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</si>
  <si>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</si>
  <si>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</si>
  <si>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</si>
  <si>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</si>
  <si>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</si>
  <si>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</si>
  <si>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</si>
  <si>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</si>
  <si>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</si>
  <si>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</si>
  <si>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</si>
  <si>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</si>
  <si>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</si>
  <si>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</si>
  <si>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</si>
  <si>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</si>
  <si>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</si>
  <si>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</si>
  <si>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</si>
  <si>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</si>
  <si>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</si>
  <si>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</si>
  <si>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</si>
  <si>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</si>
  <si>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</si>
  <si>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</si>
  <si>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</si>
  <si>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</si>
  <si>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</si>
  <si>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</si>
  <si>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</si>
  <si>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</si>
  <si>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</si>
  <si>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</si>
  <si>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</si>
  <si>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</si>
  <si>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</si>
  <si>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</si>
  <si>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</si>
  <si>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</si>
  <si>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</si>
  <si>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</si>
  <si>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</si>
  <si>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</si>
  <si>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</si>
  <si>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</si>
  <si>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</si>
  <si>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</si>
  <si>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</si>
  <si>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</si>
  <si>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</si>
  <si>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</si>
  <si>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</si>
  <si>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</si>
  <si>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</si>
  <si>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</si>
  <si>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</si>
  <si>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</si>
  <si>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</si>
  <si>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</si>
  <si>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</si>
  <si>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</si>
  <si>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</si>
  <si>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</si>
  <si>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</si>
  <si>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</si>
  <si>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</si>
  <si>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</si>
  <si>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</si>
  <si>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</si>
  <si>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</si>
  <si>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</si>
  <si>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</si>
  <si>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</si>
  <si>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</si>
  <si>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</si>
  <si>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</si>
  <si>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</si>
  <si>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</si>
  <si>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</si>
  <si>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</si>
  <si>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</si>
  <si>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</si>
  <si>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</si>
  <si>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</si>
  <si>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</si>
  <si>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</si>
  <si>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</si>
  <si>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</si>
  <si>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</si>
  <si>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</si>
  <si>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</si>
  <si>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</si>
  <si>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</si>
  <si>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</si>
  <si>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</si>
  <si>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</si>
  <si>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</si>
  <si>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</si>
  <si>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</si>
  <si>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</si>
  <si>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</si>
  <si>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</si>
  <si>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</si>
  <si>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</si>
  <si>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</si>
  <si>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</si>
  <si>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</si>
  <si>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</si>
  <si>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</si>
  <si>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</si>
  <si>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</si>
  <si>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</si>
  <si>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</si>
  <si>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</si>
  <si>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</si>
  <si>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</si>
  <si>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</si>
  <si>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</si>
  <si>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</si>
  <si>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</si>
  <si>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</si>
  <si>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</si>
  <si>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</si>
  <si>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</si>
  <si>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</si>
  <si>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</si>
  <si>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</si>
  <si>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</si>
  <si>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</si>
  <si>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</si>
  <si>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</si>
  <si>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</si>
  <si>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</si>
  <si>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</si>
  <si>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</si>
  <si>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</si>
  <si>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</si>
  <si>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</si>
  <si>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</si>
  <si>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</si>
  <si>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</si>
  <si>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</si>
  <si>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</si>
  <si>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</si>
  <si>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</si>
  <si>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</si>
  <si>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</si>
  <si>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</si>
  <si>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</si>
  <si>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</si>
  <si>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</si>
  <si>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</si>
  <si>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</si>
  <si>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</si>
  <si>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</si>
  <si>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</si>
  <si>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</si>
  <si>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</si>
  <si>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*5 X 6* CM, EM MACARANDUBA, ANGELIM OU EQUIVALENTE DA REGIAO -  BRUTA</t>
  </si>
  <si>
    <t>CAIBRO NAO APARELHADO *6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</si>
  <si>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</si>
  <si>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</si>
  <si>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</si>
  <si>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</si>
  <si>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</si>
  <si>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</si>
  <si>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</si>
  <si>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</si>
  <si>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</si>
  <si>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</si>
  <si>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</si>
  <si>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</si>
  <si>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</si>
  <si>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</si>
  <si>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</si>
  <si>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</si>
  <si>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</si>
  <si>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</si>
  <si>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</si>
  <si>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</si>
  <si>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</si>
  <si>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</si>
  <si>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</si>
  <si>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</si>
  <si>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</si>
  <si>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</si>
  <si>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</si>
  <si>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</si>
  <si>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</si>
  <si>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</si>
  <si>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</si>
  <si>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</si>
  <si>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</si>
  <si>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</si>
  <si>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</si>
  <si>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</si>
  <si>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</si>
  <si>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</si>
  <si>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</si>
  <si>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</si>
  <si>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</si>
  <si>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</si>
  <si>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</si>
  <si>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</si>
  <si>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</si>
  <si>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</si>
  <si>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</si>
  <si>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</si>
  <si>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</si>
  <si>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</si>
  <si>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</si>
  <si>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</si>
  <si>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</si>
  <si>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</si>
  <si>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</si>
  <si>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</si>
  <si>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</si>
  <si>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</si>
  <si>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</si>
  <si>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</si>
  <si>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</si>
  <si>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</si>
  <si>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</si>
  <si>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</si>
  <si>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</si>
  <si>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</si>
  <si>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</si>
  <si>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</si>
  <si>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</si>
  <si>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</si>
  <si>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</si>
  <si>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</si>
  <si>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</si>
  <si>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</si>
  <si>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</si>
  <si>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</si>
  <si>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</si>
  <si>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</si>
  <si>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</si>
  <si>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</si>
  <si>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</si>
  <si>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</si>
  <si>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</si>
  <si>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</si>
  <si>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</si>
  <si>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</si>
  <si>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</si>
  <si>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</si>
  <si>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</si>
  <si>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</si>
  <si>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</si>
  <si>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</si>
  <si>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</si>
  <si>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</si>
  <si>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</si>
  <si>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</si>
  <si>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</si>
  <si>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</si>
  <si>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</si>
  <si>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</si>
  <si>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</si>
  <si>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</si>
  <si>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</si>
  <si>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</si>
  <si>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</si>
  <si>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</si>
  <si>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</si>
  <si>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</si>
  <si>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</si>
  <si>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</si>
  <si>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</si>
  <si>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</si>
  <si>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</si>
  <si>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</si>
  <si>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</si>
  <si>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</si>
  <si>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</si>
  <si>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</si>
  <si>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</si>
  <si>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</si>
  <si>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</si>
  <si>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</si>
  <si>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</si>
  <si>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</si>
  <si>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</si>
  <si>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</si>
  <si>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</si>
  <si>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</si>
  <si>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</si>
  <si>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</si>
  <si>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</si>
  <si>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</si>
  <si>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</si>
  <si>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</si>
  <si>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</si>
  <si>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</si>
  <si>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</si>
  <si>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</si>
  <si>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</si>
  <si>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</si>
  <si>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</si>
  <si>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</si>
  <si>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</si>
  <si>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</si>
  <si>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</si>
  <si>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</si>
  <si>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</si>
  <si>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</si>
  <si>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</si>
  <si>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</si>
  <si>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</si>
  <si>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</si>
  <si>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</si>
  <si>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</si>
  <si>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</si>
  <si>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</si>
  <si>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</si>
  <si>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</si>
  <si>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</si>
  <si>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</si>
  <si>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</si>
  <si>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</si>
  <si>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</si>
  <si>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</si>
  <si>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</si>
  <si>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</si>
  <si>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</si>
  <si>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</si>
  <si>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</si>
  <si>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</si>
  <si>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</si>
  <si>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</si>
  <si>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</si>
  <si>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</si>
  <si>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</si>
  <si>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</si>
  <si>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</si>
  <si>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</si>
  <si>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</si>
  <si>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</si>
  <si>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</si>
  <si>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</si>
  <si>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</si>
  <si>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</si>
  <si>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</si>
  <si>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</si>
  <si>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</si>
  <si>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</si>
  <si>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</si>
  <si>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</si>
  <si>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</si>
  <si>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</si>
  <si>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</si>
  <si>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</si>
  <si>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</si>
  <si>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</si>
  <si>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</si>
  <si>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</si>
  <si>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</si>
  <si>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</si>
  <si>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</si>
  <si>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</si>
  <si>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</si>
  <si>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</si>
  <si>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</si>
  <si>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</si>
  <si>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</si>
  <si>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</si>
  <si>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</si>
  <si>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</si>
  <si>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</si>
  <si>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</si>
  <si>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</si>
  <si>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</si>
  <si>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</si>
  <si>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</si>
  <si>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</si>
  <si>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</si>
  <si>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</si>
  <si>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</si>
  <si>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</si>
  <si>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</si>
  <si>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</si>
  <si>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</si>
  <si>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</si>
  <si>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</si>
  <si>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</si>
  <si>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</si>
  <si>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</si>
  <si>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</si>
  <si>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</si>
  <si>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</si>
  <si>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</si>
  <si>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</si>
  <si>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</si>
  <si>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</si>
  <si>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</si>
  <si>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</si>
  <si>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</si>
  <si>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</si>
  <si>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</si>
  <si>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</si>
  <si>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</si>
  <si>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</si>
  <si>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</si>
  <si>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</si>
  <si>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</si>
  <si>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</si>
  <si>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</si>
  <si>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</si>
  <si>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</si>
  <si>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</si>
  <si>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</si>
  <si>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</si>
  <si>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</si>
  <si>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</si>
  <si>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</si>
  <si>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</si>
  <si>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</si>
  <si>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</si>
  <si>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</si>
  <si>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</si>
  <si>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</si>
  <si>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</si>
  <si>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</si>
  <si>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</si>
  <si>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</si>
  <si>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</si>
  <si>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</si>
  <si>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</si>
  <si>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</si>
  <si>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</si>
  <si>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</si>
  <si>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</si>
  <si>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</si>
  <si>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</si>
  <si>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</si>
  <si>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</si>
  <si>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</si>
  <si>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</si>
  <si>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</si>
  <si>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</si>
  <si>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</si>
  <si>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</si>
  <si>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</si>
  <si>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</si>
  <si>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</si>
  <si>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</si>
  <si>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</si>
  <si>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</si>
  <si>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</si>
  <si>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</si>
  <si>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</si>
  <si>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</si>
  <si>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</si>
  <si>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</si>
  <si>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</si>
  <si>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</si>
  <si>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</si>
  <si>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</si>
  <si>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</si>
  <si>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</si>
  <si>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</si>
  <si>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</si>
  <si>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</si>
  <si>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</si>
  <si>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</si>
  <si>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</si>
  <si>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</si>
  <si>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</si>
  <si>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</si>
  <si>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</si>
  <si>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</si>
  <si>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</si>
  <si>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</si>
  <si>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</si>
  <si>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</si>
  <si>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BRANCO NAO ESTRUTURAL (CPB NAO ESTRUTURAL)</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</si>
  <si>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</si>
  <si>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</si>
  <si>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</si>
  <si>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</si>
  <si>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</si>
  <si>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</si>
  <si>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</si>
  <si>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</si>
  <si>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</si>
  <si>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</si>
  <si>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</si>
  <si>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</si>
  <si>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</si>
  <si>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</si>
  <si>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</si>
  <si>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</si>
  <si>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</si>
  <si>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</si>
  <si>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</si>
  <si>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</si>
  <si>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</si>
  <si>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</si>
  <si>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</si>
  <si>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</si>
  <si>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</si>
  <si>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</si>
  <si>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</si>
  <si>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</si>
  <si>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</si>
  <si>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</si>
  <si>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</si>
  <si>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</si>
  <si>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</si>
  <si>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</si>
  <si>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</si>
  <si>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</si>
  <si>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</si>
  <si>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</si>
  <si>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</si>
  <si>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</si>
  <si>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</si>
  <si>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</si>
  <si>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</si>
  <si>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</si>
  <si>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</si>
  <si>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</si>
  <si>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</si>
  <si>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</si>
  <si>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</si>
  <si>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</si>
  <si>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</si>
  <si>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</si>
  <si>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</si>
  <si>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</si>
  <si>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</si>
  <si>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</si>
  <si>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</si>
  <si>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</si>
  <si>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</si>
  <si>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</si>
  <si>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</si>
  <si>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</si>
  <si>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</si>
  <si>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</si>
  <si>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</si>
  <si>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</si>
  <si>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</si>
  <si>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</si>
  <si>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</si>
  <si>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</si>
  <si>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</si>
  <si>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</si>
  <si>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</si>
  <si>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</si>
  <si>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</si>
  <si>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</si>
  <si>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</si>
  <si>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</si>
  <si>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</si>
  <si>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</si>
  <si>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</si>
  <si>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</si>
  <si>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</si>
  <si>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</si>
  <si>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</si>
  <si>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</si>
  <si>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</si>
  <si>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</si>
  <si>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</si>
  <si>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</si>
  <si>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</si>
  <si>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</si>
  <si>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</si>
  <si>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</si>
  <si>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</si>
  <si>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</si>
  <si>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</si>
  <si>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</si>
  <si>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</si>
  <si>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</si>
  <si>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</si>
  <si>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</si>
  <si>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</si>
  <si>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</si>
  <si>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</si>
  <si>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</si>
  <si>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</si>
  <si>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</si>
  <si>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</si>
  <si>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</si>
  <si>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</si>
  <si>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</si>
  <si>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</si>
  <si>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</si>
  <si>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</si>
  <si>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</si>
  <si>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</si>
  <si>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</si>
  <si>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</si>
  <si>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</si>
  <si>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</si>
  <si>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</si>
  <si>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</si>
  <si>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</si>
  <si>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</si>
  <si>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</si>
  <si>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</si>
  <si>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</si>
  <si>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</si>
  <si>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</si>
  <si>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</si>
  <si>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</si>
  <si>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</si>
  <si>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</si>
  <si>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</si>
  <si>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</si>
  <si>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</si>
  <si>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</si>
  <si>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</si>
  <si>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</si>
  <si>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</si>
  <si>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</si>
  <si>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</si>
  <si>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</si>
  <si>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</si>
  <si>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</si>
  <si>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</si>
  <si>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</si>
  <si>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</si>
  <si>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</si>
  <si>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</si>
  <si>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</si>
  <si>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</si>
  <si>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</si>
  <si>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</si>
  <si>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</si>
  <si>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</si>
  <si>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</si>
  <si>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</si>
  <si>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</si>
  <si>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</si>
  <si>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</si>
  <si>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</si>
  <si>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</si>
  <si>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</si>
  <si>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</si>
  <si>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</si>
  <si>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</si>
  <si>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</si>
  <si>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</si>
  <si>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</si>
  <si>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</si>
  <si>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</si>
  <si>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</si>
  <si>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</si>
  <si>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</si>
  <si>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</si>
  <si>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</si>
  <si>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</si>
  <si>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</si>
  <si>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</si>
  <si>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</si>
  <si>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</si>
  <si>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</si>
  <si>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</si>
  <si>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</si>
  <si>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</si>
  <si>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</si>
  <si>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</si>
  <si>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</si>
  <si>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</si>
  <si>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</si>
  <si>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</si>
  <si>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</si>
  <si>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</si>
  <si>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</si>
  <si>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</si>
  <si>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</si>
  <si>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</si>
  <si>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</si>
  <si>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</si>
  <si>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</si>
  <si>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</si>
  <si>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</si>
  <si>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</si>
  <si>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</si>
  <si>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4"â,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</si>
  <si>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</si>
  <si>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</si>
  <si>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</si>
  <si>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</si>
  <si>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</si>
  <si>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</si>
  <si>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2"â, PARA AGUA QUENTE</t>
  </si>
  <si>
    <t>CONECTOR, CPVC, SOLDAVEL, 73 MM X 2 1/2"â, PARA AGUA QUENTE</t>
  </si>
  <si>
    <t>CONECTOR, CPVC, SOLDAVEL, 89 MM X 3"â, PARA AGUA QUENTE</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</si>
  <si>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</si>
  <si>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</si>
  <si>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</si>
  <si>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</si>
  <si>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</si>
  <si>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</si>
  <si>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</si>
  <si>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</si>
  <si>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</si>
  <si>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</si>
  <si>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</si>
  <si>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</si>
  <si>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</si>
  <si>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</si>
  <si>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</si>
  <si>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</si>
  <si>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</si>
  <si>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</si>
  <si>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</si>
  <si>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</si>
  <si>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</si>
  <si>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</si>
  <si>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</si>
  <si>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</si>
  <si>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</si>
  <si>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</si>
  <si>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</si>
  <si>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</si>
  <si>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</si>
  <si>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</si>
  <si>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</si>
  <si>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</si>
  <si>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</si>
  <si>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</si>
  <si>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</si>
  <si>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</si>
  <si>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</si>
  <si>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</si>
  <si>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</si>
  <si>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</si>
  <si>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</si>
  <si>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</si>
  <si>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</si>
  <si>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</si>
  <si>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</si>
  <si>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</si>
  <si>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</si>
  <si>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</si>
  <si>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</si>
  <si>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</si>
  <si>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</si>
  <si>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</si>
  <si>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</si>
  <si>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</si>
  <si>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</si>
  <si>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</si>
  <si>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</si>
  <si>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</si>
  <si>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</si>
  <si>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</si>
  <si>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</si>
  <si>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</si>
  <si>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</si>
  <si>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</si>
  <si>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</si>
  <si>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</si>
  <si>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</si>
  <si>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</si>
  <si>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</si>
  <si>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</si>
  <si>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</si>
  <si>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</si>
  <si>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</si>
  <si>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</si>
  <si>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</si>
  <si>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</si>
  <si>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</si>
  <si>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</si>
  <si>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</si>
  <si>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</si>
  <si>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</si>
  <si>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</si>
  <si>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</si>
  <si>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</si>
  <si>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</si>
  <si>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</si>
  <si>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</si>
  <si>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</si>
  <si>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</si>
  <si>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</si>
  <si>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</si>
  <si>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</si>
  <si>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</si>
  <si>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</si>
  <si>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</si>
  <si>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</si>
  <si>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</si>
  <si>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</si>
  <si>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</si>
  <si>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</si>
  <si>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</si>
  <si>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</si>
  <si>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</si>
  <si>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</si>
  <si>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</si>
  <si>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</si>
  <si>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</si>
  <si>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</si>
  <si>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</si>
  <si>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</si>
  <si>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</si>
  <si>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</si>
  <si>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</si>
  <si>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</si>
  <si>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</si>
  <si>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</si>
  <si>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</si>
  <si>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</si>
  <si>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</si>
  <si>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</si>
  <si>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</si>
  <si>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</si>
  <si>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</si>
  <si>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</si>
  <si>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</si>
  <si>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</si>
  <si>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</si>
  <si>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</si>
  <si>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</si>
  <si>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</si>
  <si>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</si>
  <si>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</si>
  <si>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</si>
  <si>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</si>
  <si>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</si>
  <si>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</si>
  <si>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</si>
  <si>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</si>
  <si>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</si>
  <si>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</si>
  <si>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</si>
  <si>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</si>
  <si>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</si>
  <si>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</si>
  <si>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</si>
  <si>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</si>
  <si>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</si>
  <si>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</si>
  <si>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</si>
  <si>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</si>
  <si>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</si>
  <si>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</si>
  <si>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</si>
  <si>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</si>
  <si>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</si>
  <si>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</si>
  <si>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</si>
  <si>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</si>
  <si>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</si>
  <si>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</si>
  <si>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</si>
  <si>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</si>
  <si>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</si>
  <si>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</si>
  <si>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</si>
  <si>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</si>
  <si>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</si>
  <si>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</si>
  <si>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</si>
  <si>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</si>
  <si>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</si>
  <si>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</si>
  <si>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</si>
  <si>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</si>
  <si>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</si>
  <si>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</si>
  <si>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</si>
  <si>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</si>
  <si>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</si>
  <si>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</si>
  <si>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</si>
  <si>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</si>
  <si>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</si>
  <si>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</si>
  <si>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</si>
  <si>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</si>
  <si>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</si>
  <si>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</si>
  <si>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</si>
  <si>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</si>
  <si>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</si>
  <si>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</si>
  <si>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</si>
  <si>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</si>
  <si>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</si>
  <si>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</si>
  <si>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</si>
  <si>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</si>
  <si>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</si>
  <si>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</si>
  <si>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</si>
  <si>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</si>
  <si>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</si>
  <si>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</si>
  <si>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</si>
  <si>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</si>
  <si>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</si>
  <si>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</si>
  <si>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</si>
  <si>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</si>
  <si>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</si>
  <si>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</si>
  <si>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</si>
  <si>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</si>
  <si>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</si>
  <si>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</si>
  <si>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</si>
  <si>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</si>
  <si>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</si>
  <si>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</si>
  <si>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</si>
  <si>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</si>
  <si>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</si>
  <si>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</si>
  <si>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</si>
  <si>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</si>
  <si>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</si>
  <si>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</si>
  <si>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</si>
  <si>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</si>
  <si>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</si>
  <si>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</si>
  <si>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</si>
  <si>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</si>
  <si>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</si>
  <si>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</si>
  <si>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</si>
  <si>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</si>
  <si>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</si>
  <si>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</si>
  <si>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</si>
  <si>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</si>
  <si>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</si>
  <si>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</si>
  <si>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</si>
  <si>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</si>
  <si>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</si>
  <si>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</si>
  <si>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</si>
  <si>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</si>
  <si>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</si>
  <si>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</si>
  <si>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</si>
  <si>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</si>
  <si>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</si>
  <si>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</si>
  <si>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</si>
  <si>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</si>
  <si>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</si>
  <si>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</si>
  <si>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</si>
  <si>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</si>
  <si>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</si>
  <si>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</si>
  <si>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</si>
  <si>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</si>
  <si>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</si>
  <si>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</si>
  <si>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</si>
  <si>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</si>
  <si>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</si>
  <si>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</si>
  <si>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</si>
  <si>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</si>
  <si>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</si>
  <si>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</si>
  <si>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</si>
  <si>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</si>
  <si>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</si>
  <si>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</si>
  <si>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</si>
  <si>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</si>
  <si>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</si>
  <si>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</si>
  <si>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</si>
  <si>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</si>
  <si>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</si>
  <si>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</si>
  <si>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</si>
  <si>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</si>
  <si>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</si>
  <si>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</si>
  <si>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</si>
  <si>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</si>
  <si>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</si>
  <si>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</si>
  <si>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</si>
  <si>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</si>
  <si>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</si>
  <si>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</si>
  <si>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</si>
  <si>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</si>
  <si>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</si>
  <si>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</si>
  <si>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</si>
  <si>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</si>
  <si>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</si>
  <si>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</si>
  <si>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</si>
  <si>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</si>
  <si>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</si>
  <si>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</si>
  <si>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</si>
  <si>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</si>
  <si>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</si>
  <si>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</si>
  <si>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</si>
  <si>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</si>
  <si>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</si>
  <si>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</si>
  <si>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</si>
  <si>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</si>
  <si>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</si>
  <si>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</si>
  <si>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</si>
  <si>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</si>
  <si>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</si>
  <si>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</si>
  <si>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</si>
  <si>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</si>
  <si>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</si>
  <si>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</si>
  <si>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</si>
  <si>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</si>
  <si>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</si>
  <si>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</si>
  <si>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</si>
  <si>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</si>
  <si>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</si>
  <si>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</si>
  <si>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</si>
  <si>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</si>
  <si>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</si>
  <si>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</si>
  <si>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</si>
  <si>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</si>
  <si>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</si>
  <si>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</si>
  <si>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</si>
  <si>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</si>
  <si>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</si>
  <si>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</si>
  <si>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</si>
  <si>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</si>
  <si>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</si>
  <si>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</si>
  <si>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</si>
  <si>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</si>
  <si>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</si>
  <si>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</si>
  <si>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</si>
  <si>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</si>
  <si>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</si>
  <si>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</si>
  <si>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</si>
  <si>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</si>
  <si>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</si>
  <si>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</si>
  <si>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</si>
  <si>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</si>
  <si>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</si>
  <si>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</si>
  <si>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</si>
  <si>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</si>
  <si>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</si>
  <si>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</si>
  <si>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</si>
  <si>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</si>
  <si>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</si>
  <si>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</si>
  <si>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</si>
  <si>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</si>
  <si>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</si>
  <si>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</si>
  <si>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</si>
  <si>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</si>
  <si>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</si>
  <si>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</si>
  <si>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</si>
  <si>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</si>
  <si>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</si>
  <si>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</si>
  <si>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</si>
  <si>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</si>
  <si>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</si>
  <si>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</si>
  <si>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</si>
  <si>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</si>
  <si>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</si>
  <si>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</si>
  <si>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</si>
  <si>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</si>
  <si>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</si>
  <si>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</si>
  <si>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</si>
  <si>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</si>
  <si>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</si>
  <si>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</si>
  <si>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</si>
  <si>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</si>
  <si>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</si>
  <si>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</si>
  <si>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</si>
  <si>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</si>
  <si>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</si>
  <si>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</si>
  <si>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</si>
  <si>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</si>
  <si>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</si>
  <si>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</si>
  <si>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</si>
  <si>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</si>
  <si>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</si>
  <si>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</si>
  <si>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</si>
  <si>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</si>
  <si>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</si>
  <si>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</si>
  <si>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</si>
  <si>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</si>
  <si>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</si>
  <si>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</si>
  <si>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</si>
  <si>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</si>
  <si>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</si>
  <si>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</si>
  <si>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</si>
  <si>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</si>
  <si>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</si>
  <si>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</si>
  <si>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</si>
  <si>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</si>
  <si>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</si>
  <si>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</si>
  <si>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</si>
  <si>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</si>
  <si>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</si>
  <si>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</si>
  <si>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</si>
  <si>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</si>
  <si>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</si>
  <si>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</si>
  <si>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</si>
  <si>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</si>
  <si>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</si>
  <si>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</si>
  <si>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</si>
  <si>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</si>
  <si>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</si>
  <si>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</si>
  <si>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</si>
  <si>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</si>
  <si>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</si>
  <si>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</si>
  <si>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</si>
  <si>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</si>
  <si>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</si>
  <si>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</si>
  <si>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</si>
  <si>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</si>
  <si>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</si>
  <si>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</si>
  <si>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</si>
  <si>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</si>
  <si>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</si>
  <si>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</si>
  <si>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</si>
  <si>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</si>
  <si>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</si>
  <si>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</si>
  <si>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</si>
  <si>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</si>
  <si>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</si>
  <si>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</si>
  <si>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</si>
  <si>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</si>
  <si>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</si>
  <si>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</si>
  <si>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</si>
  <si>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</si>
  <si>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</si>
  <si>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</si>
  <si>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</si>
  <si>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</si>
  <si>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</si>
  <si>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</si>
  <si>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</si>
  <si>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</si>
  <si>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</si>
  <si>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</si>
  <si>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</si>
  <si>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</si>
  <si>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</si>
  <si>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</si>
  <si>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</si>
  <si>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</si>
  <si>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</si>
  <si>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</si>
  <si>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</si>
  <si>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</si>
  <si>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</si>
  <si>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</si>
  <si>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</si>
  <si>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</si>
  <si>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</si>
  <si>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</si>
  <si>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</si>
  <si>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</si>
  <si>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</si>
  <si>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</si>
  <si>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</si>
  <si>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</si>
  <si>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</si>
  <si>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</si>
  <si>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</si>
  <si>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</si>
  <si>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</si>
  <si>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</si>
  <si>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</si>
  <si>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</si>
  <si>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</si>
  <si>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</si>
  <si>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</si>
  <si>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</si>
  <si>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</si>
  <si>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</si>
  <si>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</si>
  <si>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</si>
  <si>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</si>
  <si>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</si>
  <si>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</si>
  <si>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</si>
  <si>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</si>
  <si>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</si>
  <si>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</si>
  <si>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</si>
  <si>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</si>
  <si>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</si>
  <si>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</si>
  <si>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</si>
  <si>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</si>
  <si>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</si>
  <si>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</si>
  <si>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</si>
  <si>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</si>
  <si>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</si>
  <si>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</si>
  <si>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</si>
  <si>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</si>
  <si>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</si>
  <si>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</si>
  <si>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</si>
  <si>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</si>
  <si>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</si>
  <si>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</si>
  <si>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</si>
  <si>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</si>
  <si>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</si>
  <si>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</si>
  <si>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</si>
  <si>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</si>
  <si>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</si>
  <si>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</si>
  <si>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</si>
  <si>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</si>
  <si>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</si>
  <si>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</si>
  <si>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</si>
  <si>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</si>
  <si>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</si>
  <si>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</si>
  <si>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</si>
  <si>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</si>
  <si>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</si>
  <si>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</si>
  <si>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</si>
  <si>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</si>
  <si>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</si>
  <si>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</si>
  <si>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</si>
  <si>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</si>
  <si>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</si>
  <si>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</si>
  <si>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</si>
  <si>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</si>
  <si>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</si>
  <si>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</si>
  <si>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</si>
  <si>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</si>
  <si>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</si>
  <si>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</si>
  <si>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</si>
  <si>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</si>
  <si>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</si>
  <si>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</si>
  <si>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</si>
  <si>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</si>
  <si>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</si>
  <si>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</si>
  <si>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</si>
  <si>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</si>
  <si>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</si>
  <si>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</si>
  <si>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</si>
  <si>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</si>
  <si>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</si>
  <si>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</si>
  <si>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</si>
  <si>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</si>
  <si>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</si>
  <si>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</si>
  <si>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</si>
  <si>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</si>
  <si>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</si>
  <si>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</si>
  <si>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</si>
  <si>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</si>
  <si>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</si>
  <si>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</si>
  <si>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</si>
  <si>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</si>
  <si>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</si>
  <si>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</si>
  <si>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</si>
  <si>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</si>
  <si>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</si>
  <si>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</si>
  <si>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</si>
  <si>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</si>
  <si>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</si>
  <si>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</si>
  <si>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</si>
  <si>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</si>
  <si>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</si>
  <si>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</si>
  <si>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</si>
  <si>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</si>
  <si>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</si>
  <si>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</si>
  <si>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</si>
  <si>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</si>
  <si>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</si>
  <si>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</si>
  <si>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</si>
  <si>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</si>
  <si>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</si>
  <si>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</si>
  <si>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</si>
  <si>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</si>
  <si>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</si>
  <si>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</si>
  <si>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</si>
  <si>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</si>
  <si>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</si>
  <si>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</si>
  <si>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</si>
  <si>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</si>
  <si>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</si>
  <si>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</si>
  <si>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</si>
  <si>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</si>
  <si>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</si>
  <si>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</si>
  <si>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</si>
  <si>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</si>
  <si>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</si>
  <si>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</si>
  <si>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</si>
  <si>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</si>
  <si>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</si>
  <si>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</si>
  <si>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</si>
  <si>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</si>
  <si>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</si>
  <si>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</si>
  <si>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</si>
  <si>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</si>
  <si>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</si>
  <si>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</si>
  <si>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</si>
  <si>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</si>
  <si>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</si>
  <si>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</si>
  <si>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</si>
  <si>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</si>
  <si>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</si>
  <si>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</si>
  <si>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</si>
  <si>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</si>
  <si>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</si>
  <si>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</si>
  <si>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</si>
  <si>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</si>
  <si>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</si>
  <si>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</si>
  <si>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</si>
  <si>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</si>
  <si>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</si>
  <si>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</si>
  <si>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</si>
  <si>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</si>
  <si>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</si>
  <si>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</si>
  <si>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</si>
  <si>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 xml:space="preserve">CENTO </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</si>
  <si>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</si>
  <si>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</si>
  <si>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</si>
  <si>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</si>
  <si>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</si>
  <si>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</si>
  <si>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</si>
  <si>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</si>
  <si>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</si>
  <si>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</si>
  <si>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</si>
  <si>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</si>
  <si>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</si>
  <si>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</si>
  <si>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</si>
  <si>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</si>
  <si>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</si>
  <si>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</si>
  <si>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</si>
  <si>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</si>
  <si>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</si>
  <si>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</si>
  <si>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</si>
  <si>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</si>
  <si>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</si>
  <si>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</si>
  <si>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</si>
  <si>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</si>
  <si>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</si>
  <si>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</si>
  <si>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</si>
  <si>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</si>
  <si>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</si>
  <si>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</si>
  <si>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</si>
  <si>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</si>
  <si>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</si>
  <si>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</si>
  <si>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</si>
  <si>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</si>
  <si>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</si>
  <si>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</si>
  <si>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</si>
  <si>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</si>
  <si>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</si>
  <si>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</si>
  <si>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</si>
  <si>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</si>
  <si>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</si>
  <si>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</si>
  <si>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</si>
  <si>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</si>
  <si>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</si>
  <si>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</si>
  <si>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</si>
  <si>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</si>
  <si>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</si>
  <si>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</si>
  <si>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</si>
  <si>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</si>
  <si>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</si>
  <si>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</si>
  <si>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</si>
  <si>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</si>
  <si>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</si>
  <si>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</si>
  <si>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</si>
  <si>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</si>
  <si>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</si>
  <si>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</si>
  <si>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</si>
  <si>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</si>
  <si>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</si>
  <si>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</si>
  <si>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</si>
  <si>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</si>
  <si>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</si>
  <si>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</si>
  <si>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</si>
  <si>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</si>
  <si>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</si>
  <si>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</si>
  <si>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</si>
  <si>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</si>
  <si>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</si>
  <si>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</si>
  <si>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</si>
  <si>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</si>
  <si>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</si>
  <si>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</si>
  <si>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</si>
  <si>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</si>
  <si>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</si>
  <si>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</si>
  <si>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</si>
  <si>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</si>
  <si>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</si>
  <si>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</si>
  <si>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</si>
  <si>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</si>
  <si>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</si>
  <si>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</si>
  <si>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</si>
  <si>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</si>
  <si>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</si>
  <si>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</si>
  <si>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</si>
  <si>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</si>
  <si>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</si>
  <si>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</si>
  <si>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</si>
  <si>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</si>
  <si>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</si>
  <si>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</si>
  <si>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</si>
  <si>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</si>
  <si>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</si>
  <si>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</si>
  <si>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</si>
  <si>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</si>
  <si>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</si>
  <si>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</si>
  <si>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</si>
  <si>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</si>
  <si>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</si>
  <si>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</si>
  <si>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</si>
  <si>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</si>
  <si>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</si>
  <si>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</si>
  <si>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</si>
  <si>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</si>
  <si>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</si>
  <si>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</si>
  <si>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</si>
  <si>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</si>
  <si>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</si>
  <si>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</si>
  <si>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</si>
  <si>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</si>
  <si>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</si>
  <si>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</si>
  <si>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</si>
  <si>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</si>
  <si>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</si>
  <si>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</si>
  <si>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</si>
  <si>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</si>
  <si>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</si>
  <si>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</si>
  <si>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</si>
  <si>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</si>
  <si>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</si>
  <si>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</si>
  <si>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</si>
  <si>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</si>
  <si>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</si>
  <si>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</si>
  <si>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</si>
  <si>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</si>
  <si>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</si>
  <si>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</si>
  <si>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</si>
  <si>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</si>
  <si>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</si>
  <si>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</si>
  <si>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</si>
  <si>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</si>
  <si>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</si>
  <si>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</si>
  <si>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</si>
  <si>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</si>
  <si>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</si>
  <si>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</si>
  <si>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</si>
  <si>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</si>
  <si>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</si>
  <si>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</si>
  <si>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</si>
  <si>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</si>
  <si>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</si>
  <si>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</si>
  <si>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</si>
  <si>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</si>
  <si>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</si>
  <si>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</si>
  <si>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</si>
  <si>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</si>
  <si>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</si>
  <si>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</si>
  <si>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</si>
  <si>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</si>
  <si>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</si>
  <si>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</si>
  <si>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</si>
  <si>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</si>
  <si>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</si>
  <si>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</si>
  <si>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</si>
  <si>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</si>
  <si>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</si>
  <si>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</si>
  <si>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</si>
  <si>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</si>
  <si>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</si>
  <si>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</si>
  <si>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</si>
  <si>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</si>
  <si>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</si>
  <si>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</si>
  <si>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</si>
  <si>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</si>
  <si>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</si>
  <si>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</si>
  <si>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</si>
  <si>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</si>
  <si>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</si>
  <si>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</si>
  <si>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</si>
  <si>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</si>
  <si>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</si>
  <si>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</si>
  <si>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</si>
  <si>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</si>
  <si>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</si>
  <si>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</si>
  <si>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</si>
  <si>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</si>
  <si>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</si>
  <si>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</si>
  <si>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</si>
  <si>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</si>
  <si>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</si>
  <si>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</si>
  <si>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</si>
  <si>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</si>
  <si>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</si>
  <si>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</si>
  <si>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</si>
  <si>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</si>
  <si>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</si>
  <si>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</si>
  <si>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</si>
  <si>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</si>
  <si>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</si>
  <si>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</si>
  <si>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</si>
  <si>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</si>
  <si>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</si>
  <si>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</si>
  <si>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</si>
  <si>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</si>
  <si>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4 MM, SEM GUARNICAO/ALIZAR</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</si>
  <si>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</si>
  <si>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</si>
  <si>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</si>
  <si>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</si>
  <si>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</si>
  <si>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</si>
  <si>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</si>
  <si>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</si>
  <si>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</si>
  <si>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4 MM,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</si>
  <si>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</si>
  <si>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4 MM,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</si>
  <si>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</si>
  <si>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</si>
  <si>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</si>
  <si>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</si>
  <si>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</si>
  <si>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</si>
  <si>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</si>
  <si>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</si>
  <si>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</si>
  <si>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</si>
  <si>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</si>
  <si>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</si>
  <si>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</si>
  <si>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</si>
  <si>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</si>
  <si>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</si>
  <si>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</si>
  <si>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</si>
  <si>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</si>
  <si>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</si>
  <si>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</si>
  <si>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</si>
  <si>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</si>
  <si>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</si>
  <si>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</si>
  <si>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</si>
  <si>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</si>
  <si>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</si>
  <si>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</si>
  <si>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</si>
  <si>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</si>
  <si>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</si>
  <si>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</si>
  <si>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</si>
  <si>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</si>
  <si>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</si>
  <si>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</si>
  <si>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</si>
  <si>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</si>
  <si>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</si>
  <si>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</si>
  <si>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</si>
  <si>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</si>
  <si>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</si>
  <si>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</si>
  <si>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</si>
  <si>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</si>
  <si>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COM BOLSA E ANEL, 90 GRAUS, DN 40 X *38* MM, SERIE NORMAL, PARA ESGOTO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</si>
  <si>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</si>
  <si>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</si>
  <si>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</si>
  <si>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</si>
  <si>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</si>
  <si>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</si>
  <si>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</si>
  <si>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</si>
  <si>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</si>
  <si>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</si>
  <si>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</si>
  <si>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</si>
  <si>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</si>
  <si>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</si>
  <si>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</si>
  <si>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</si>
  <si>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</si>
  <si>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</si>
  <si>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</si>
  <si>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</si>
  <si>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</si>
  <si>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</si>
  <si>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</si>
  <si>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</si>
  <si>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</si>
  <si>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</si>
  <si>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</si>
  <si>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</si>
  <si>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</si>
  <si>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</si>
  <si>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</si>
  <si>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</si>
  <si>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</si>
  <si>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</si>
  <si>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</si>
  <si>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</si>
  <si>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</si>
  <si>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</si>
  <si>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</si>
  <si>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</si>
  <si>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</si>
  <si>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</si>
  <si>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</si>
  <si>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</si>
  <si>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</si>
  <si>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</si>
  <si>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</si>
  <si>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</si>
  <si>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</si>
  <si>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</si>
  <si>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</si>
  <si>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</si>
  <si>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</si>
  <si>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</si>
  <si>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</si>
  <si>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</si>
  <si>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</si>
  <si>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</si>
  <si>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</si>
  <si>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</si>
  <si>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</si>
  <si>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</si>
  <si>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</si>
  <si>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</si>
  <si>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</si>
  <si>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</si>
  <si>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</si>
  <si>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</si>
  <si>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</si>
  <si>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</si>
  <si>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</si>
  <si>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</si>
  <si>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</si>
  <si>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</si>
  <si>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</si>
  <si>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</si>
  <si>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</si>
  <si>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</si>
  <si>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</si>
  <si>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</si>
  <si>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</si>
  <si>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</si>
  <si>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</si>
  <si>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</si>
  <si>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</si>
  <si>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</si>
  <si>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</si>
  <si>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</si>
  <si>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</si>
  <si>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</si>
  <si>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</si>
  <si>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</si>
  <si>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</si>
  <si>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</si>
  <si>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2 GARRAS PARA FITA PERFURADA</t>
  </si>
  <si>
    <t>JUNCAO, PVC, 45 GRAUS, JE, BBB, DN 150 MM, PARA TUBO CORRUGADO E/OU LISO, REDE COLETORA DE ESGOTO</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</si>
  <si>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</si>
  <si>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</si>
  <si>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</si>
  <si>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</si>
  <si>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</si>
  <si>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</si>
  <si>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</si>
  <si>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</si>
  <si>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</si>
  <si>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</si>
  <si>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</si>
  <si>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</si>
  <si>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</si>
  <si>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</si>
  <si>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</si>
  <si>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</si>
  <si>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</si>
  <si>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</si>
  <si>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</si>
  <si>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</si>
  <si>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</si>
  <si>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</si>
  <si>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</si>
  <si>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</si>
  <si>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</si>
  <si>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</si>
  <si>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</si>
  <si>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</si>
  <si>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</si>
  <si>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</si>
  <si>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</si>
  <si>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</si>
  <si>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</si>
  <si>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</si>
  <si>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</si>
  <si>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</si>
  <si>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</si>
  <si>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</si>
  <si>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</si>
  <si>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</si>
  <si>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</si>
  <si>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</si>
  <si>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</si>
  <si>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</si>
  <si>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</si>
  <si>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</si>
  <si>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</si>
  <si>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</si>
  <si>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</si>
  <si>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</si>
  <si>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</si>
  <si>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</si>
  <si>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</si>
  <si>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</si>
  <si>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</si>
  <si>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</si>
  <si>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</si>
  <si>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</si>
  <si>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</si>
  <si>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</si>
  <si>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</si>
  <si>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</si>
  <si>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</si>
  <si>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</si>
  <si>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</si>
  <si>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</si>
  <si>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</si>
  <si>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</si>
  <si>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</si>
  <si>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</si>
  <si>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</si>
  <si>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</si>
  <si>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</si>
  <si>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</si>
  <si>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</si>
  <si>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</si>
  <si>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</si>
  <si>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</si>
  <si>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</si>
  <si>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</si>
  <si>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</si>
  <si>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</si>
  <si>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</si>
  <si>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</si>
  <si>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</si>
  <si>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</si>
  <si>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</si>
  <si>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</si>
  <si>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</si>
  <si>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</si>
  <si>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</si>
  <si>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</si>
  <si>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</si>
  <si>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</si>
  <si>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</si>
  <si>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</si>
  <si>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</si>
  <si>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</si>
  <si>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</si>
  <si>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</si>
  <si>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</si>
  <si>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</si>
  <si>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</si>
  <si>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</si>
  <si>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</si>
  <si>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</si>
  <si>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</si>
  <si>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</si>
  <si>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</si>
  <si>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</si>
  <si>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</si>
  <si>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</si>
  <si>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</si>
  <si>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</si>
  <si>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</si>
  <si>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</si>
  <si>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</si>
  <si>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X ALTURA DE 2,0 M POR PAINEL, INCLUINDO DIAGONAIS EM X, BARRAS DE LIGACAO, SAPATAS E DEMAIS ITENS NECESSARIOS A MONTAGEM (NAO INCLUI INSTALACAO)</t>
  </si>
  <si>
    <t>M2XMES</t>
  </si>
  <si>
    <t>LOCACAO DE ANDAIME METALICO TUBULAR DE ENCAIXE, TIPO DE TORRE, CADA PAINEL COM LARGURA DE 1 ATE 1,5 M E ALTURA DE *1,00* M, INCLUINDO DIAGONAL, BARRAS DE LIGACAO, SAPATAS OU RODIZIOS E DEMAIS ITENS NECESSARIOS A MONTAGEM (NAO INCLUI INSTALACAO)</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</si>
  <si>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</si>
  <si>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</si>
  <si>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</si>
  <si>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</si>
  <si>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</si>
  <si>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</si>
  <si>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</si>
  <si>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</si>
  <si>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</si>
  <si>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</si>
  <si>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</si>
  <si>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</si>
  <si>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</si>
  <si>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</si>
  <si>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</si>
  <si>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</si>
  <si>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</si>
  <si>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UNXMES</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</si>
  <si>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</si>
  <si>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</si>
  <si>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</si>
  <si>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</si>
  <si>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</si>
  <si>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</si>
  <si>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</si>
  <si>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</si>
  <si>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</si>
  <si>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</si>
  <si>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</si>
  <si>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</si>
  <si>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</si>
  <si>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</si>
  <si>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</si>
  <si>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</si>
  <si>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</si>
  <si>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</si>
  <si>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</si>
  <si>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</si>
  <si>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</si>
  <si>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</si>
  <si>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</si>
  <si>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</si>
  <si>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</si>
  <si>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</si>
  <si>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</si>
  <si>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</si>
  <si>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</si>
  <si>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</si>
  <si>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</si>
  <si>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</si>
  <si>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</si>
  <si>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</si>
  <si>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</si>
  <si>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</si>
  <si>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</si>
  <si>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</si>
  <si>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</si>
  <si>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</si>
  <si>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</si>
  <si>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</si>
  <si>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</si>
  <si>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</si>
  <si>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</si>
  <si>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</si>
  <si>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</si>
  <si>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</si>
  <si>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</si>
  <si>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</si>
  <si>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</si>
  <si>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</si>
  <si>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</si>
  <si>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</si>
  <si>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</si>
  <si>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</si>
  <si>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</si>
  <si>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</si>
  <si>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</si>
  <si>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</si>
  <si>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</si>
  <si>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</si>
  <si>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</si>
  <si>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</si>
  <si>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</si>
  <si>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</si>
  <si>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</si>
  <si>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</si>
  <si>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</si>
  <si>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</si>
  <si>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</si>
  <si>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</si>
  <si>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</si>
  <si>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</si>
  <si>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</si>
  <si>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</si>
  <si>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</si>
  <si>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</si>
  <si>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</si>
  <si>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</si>
  <si>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</si>
  <si>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</si>
  <si>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</si>
  <si>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</si>
  <si>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</si>
  <si>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</si>
  <si>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</si>
  <si>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</si>
  <si>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</si>
  <si>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</si>
  <si>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</si>
  <si>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</si>
  <si>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</si>
  <si>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</si>
  <si>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</si>
  <si>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</si>
  <si>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</si>
  <si>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</si>
  <si>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</si>
  <si>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</si>
  <si>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</si>
  <si>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</si>
  <si>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</si>
  <si>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</si>
  <si>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</si>
  <si>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</si>
  <si>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</si>
  <si>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</si>
  <si>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</si>
  <si>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</si>
  <si>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</si>
  <si>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</si>
  <si>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</si>
  <si>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</si>
  <si>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</si>
  <si>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</si>
  <si>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</si>
  <si>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</si>
  <si>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</si>
  <si>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</si>
  <si>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</si>
  <si>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</si>
  <si>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</si>
  <si>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</si>
  <si>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</si>
  <si>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</si>
  <si>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</si>
  <si>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</si>
  <si>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</si>
  <si>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</si>
  <si>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</si>
  <si>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</si>
  <si>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</si>
  <si>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</si>
  <si>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</si>
  <si>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</si>
  <si>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</si>
  <si>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</si>
  <si>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</si>
  <si>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</si>
  <si>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</si>
  <si>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</si>
  <si>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</si>
  <si>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PLASTICA, PARA CONEXAO COM CRIMPAGEM, DN 20 X 16 MM</t>
  </si>
  <si>
    <t>LUVA DE REDUCAO PARA TUBO PEX, PLASTICA, PARA CONEXAO COM CRIMPAGEM, DN 25 X 16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</si>
  <si>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</si>
  <si>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</si>
  <si>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</si>
  <si>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</si>
  <si>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</si>
  <si>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</si>
  <si>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</si>
  <si>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</si>
  <si>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</si>
  <si>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</si>
  <si>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</si>
  <si>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</si>
  <si>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</si>
  <si>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</si>
  <si>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</si>
  <si>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</si>
  <si>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</si>
  <si>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</si>
  <si>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</si>
  <si>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</si>
  <si>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</si>
  <si>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</si>
  <si>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</si>
  <si>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</si>
  <si>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</si>
  <si>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</si>
  <si>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</si>
  <si>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</si>
  <si>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</si>
  <si>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</si>
  <si>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</si>
  <si>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</si>
  <si>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</si>
  <si>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</si>
  <si>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</si>
  <si>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</si>
  <si>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</si>
  <si>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</si>
  <si>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</si>
  <si>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</si>
  <si>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</si>
  <si>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</si>
  <si>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</si>
  <si>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</si>
  <si>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</si>
  <si>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</si>
  <si>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</si>
  <si>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</si>
  <si>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</si>
  <si>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</si>
  <si>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</si>
  <si>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</si>
  <si>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</si>
  <si>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</si>
  <si>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</si>
  <si>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</si>
  <si>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</si>
  <si>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</si>
  <si>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1/2", AGUA FRIA PREDIAL</t>
  </si>
  <si>
    <t>LUVA PVC, ROSCAVEL, 1",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</si>
  <si>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</si>
  <si>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</si>
  <si>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</si>
  <si>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</si>
  <si>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</si>
  <si>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</si>
  <si>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</si>
  <si>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</si>
  <si>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</si>
  <si>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</si>
  <si>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</si>
  <si>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</si>
  <si>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</si>
  <si>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</si>
  <si>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</si>
  <si>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</si>
  <si>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</si>
  <si>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</si>
  <si>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</si>
  <si>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</si>
  <si>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</si>
  <si>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</si>
  <si>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</si>
  <si>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</si>
  <si>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</si>
  <si>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</si>
  <si>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</si>
  <si>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</si>
  <si>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</si>
  <si>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</si>
  <si>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</si>
  <si>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</si>
  <si>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</si>
  <si>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</si>
  <si>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</si>
  <si>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</si>
  <si>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</si>
  <si>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</si>
  <si>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</si>
  <si>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</si>
  <si>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</si>
  <si>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</si>
  <si>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</si>
  <si>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</si>
  <si>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</si>
  <si>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</si>
  <si>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</si>
  <si>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</si>
  <si>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</si>
  <si>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</si>
  <si>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</si>
  <si>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</si>
  <si>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</si>
  <si>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</si>
  <si>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</si>
  <si>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</si>
  <si>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</si>
  <si>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</si>
  <si>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</si>
  <si>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</si>
  <si>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</si>
  <si>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</si>
  <si>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</si>
  <si>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</si>
  <si>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</si>
  <si>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</si>
  <si>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</si>
  <si>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</si>
  <si>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</si>
  <si>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</si>
  <si>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</si>
  <si>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</si>
  <si>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</si>
  <si>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</si>
  <si>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</si>
  <si>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</si>
  <si>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</si>
  <si>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</si>
  <si>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</si>
  <si>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</si>
  <si>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</si>
  <si>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</si>
  <si>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</si>
  <si>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</si>
  <si>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</si>
  <si>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</si>
  <si>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</si>
  <si>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</si>
  <si>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</si>
  <si>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</si>
  <si>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</si>
  <si>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</si>
  <si>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</si>
  <si>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</si>
  <si>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</si>
  <si>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</si>
  <si>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</si>
  <si>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</si>
  <si>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</si>
  <si>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</si>
  <si>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</si>
  <si>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</si>
  <si>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</si>
  <si>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</si>
  <si>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</si>
  <si>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</si>
  <si>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</si>
  <si>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</si>
  <si>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</si>
  <si>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</si>
  <si>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</si>
  <si>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</si>
  <si>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</si>
  <si>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</si>
  <si>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</si>
  <si>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</si>
  <si>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</si>
  <si>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</si>
  <si>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</si>
  <si>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</si>
  <si>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</si>
  <si>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</si>
  <si>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</si>
  <si>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</si>
  <si>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</si>
  <si>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</si>
  <si>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</si>
  <si>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</si>
  <si>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</si>
  <si>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</si>
  <si>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</si>
  <si>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</si>
  <si>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</si>
  <si>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</si>
  <si>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</si>
  <si>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</si>
  <si>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</si>
  <si>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</si>
  <si>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</si>
  <si>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</si>
  <si>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</si>
  <si>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</si>
  <si>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</si>
  <si>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</si>
  <si>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</si>
  <si>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</si>
  <si>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</si>
  <si>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</si>
  <si>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</si>
  <si>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</si>
  <si>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</si>
  <si>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</si>
  <si>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</si>
  <si>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</si>
  <si>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</si>
  <si>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</si>
  <si>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</si>
  <si>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</si>
  <si>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</si>
  <si>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</si>
  <si>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</si>
  <si>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</si>
  <si>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</si>
  <si>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</si>
  <si>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</si>
  <si>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</si>
  <si>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</si>
  <si>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</si>
  <si>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</si>
  <si>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</si>
  <si>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</si>
  <si>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</si>
  <si>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</si>
  <si>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</si>
  <si>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</si>
  <si>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</si>
  <si>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</si>
  <si>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</si>
  <si>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</si>
  <si>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</si>
  <si>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</si>
  <si>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</si>
  <si>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</si>
  <si>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</si>
  <si>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</si>
  <si>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</si>
  <si>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</si>
  <si>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</si>
  <si>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</si>
  <si>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</si>
  <si>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</si>
  <si>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</si>
  <si>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</si>
  <si>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</si>
  <si>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</si>
  <si>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</si>
  <si>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</si>
  <si>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</si>
  <si>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</si>
  <si>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</si>
  <si>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</si>
  <si>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</si>
  <si>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</si>
  <si>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</si>
  <si>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</si>
  <si>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</si>
  <si>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</si>
  <si>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</si>
  <si>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</si>
  <si>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</si>
  <si>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</si>
  <si>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</si>
  <si>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</si>
  <si>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</si>
  <si>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</si>
  <si>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</si>
  <si>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</si>
  <si>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</si>
  <si>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</si>
  <si>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</si>
  <si>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</si>
  <si>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</si>
  <si>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</si>
  <si>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</si>
  <si>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</si>
  <si>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</si>
  <si>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</si>
  <si>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</si>
  <si>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</si>
  <si>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</si>
  <si>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</si>
  <si>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</si>
  <si>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</si>
  <si>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</si>
  <si>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</si>
  <si>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</si>
  <si>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</si>
  <si>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</si>
  <si>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</si>
  <si>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</si>
  <si>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</si>
  <si>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</si>
  <si>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</si>
  <si>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</si>
  <si>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</si>
  <si>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</si>
  <si>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</si>
  <si>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</si>
  <si>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</si>
  <si>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</si>
  <si>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</si>
  <si>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</si>
  <si>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</si>
  <si>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</si>
  <si>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</si>
  <si>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</si>
  <si>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</si>
  <si>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</si>
  <si>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</si>
  <si>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</si>
  <si>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</si>
  <si>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</si>
  <si>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</si>
  <si>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</si>
  <si>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</si>
  <si>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</si>
  <si>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</si>
  <si>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</si>
  <si>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</si>
  <si>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</si>
  <si>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</si>
  <si>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</si>
  <si>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</si>
  <si>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</si>
  <si>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</si>
  <si>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</si>
  <si>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</si>
  <si>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</si>
  <si>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</si>
  <si>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</si>
  <si>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</si>
  <si>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</si>
  <si>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</si>
  <si>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</si>
  <si>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</si>
  <si>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</si>
  <si>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</si>
  <si>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</si>
  <si>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</si>
  <si>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</si>
  <si>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</si>
  <si>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</si>
  <si>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</si>
  <si>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</si>
  <si>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</si>
  <si>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</si>
  <si>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</si>
  <si>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</si>
  <si>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</si>
  <si>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</si>
  <si>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</si>
  <si>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</si>
  <si>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</si>
  <si>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</si>
  <si>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</si>
  <si>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</si>
  <si>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</si>
  <si>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</si>
  <si>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</si>
  <si>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</si>
  <si>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</si>
  <si>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</si>
  <si>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</si>
  <si>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</si>
  <si>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</si>
  <si>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</si>
  <si>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</si>
  <si>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</si>
  <si>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</si>
  <si>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</si>
  <si>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</si>
  <si>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</si>
  <si>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</si>
  <si>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</si>
  <si>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</si>
  <si>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</si>
  <si>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</si>
  <si>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</si>
  <si>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</si>
  <si>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</si>
  <si>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</si>
  <si>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</si>
  <si>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</si>
  <si>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</si>
  <si>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</si>
  <si>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</si>
  <si>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</si>
  <si>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</si>
  <si>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</si>
  <si>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</si>
  <si>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</si>
  <si>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</si>
  <si>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</si>
  <si>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</si>
  <si>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</si>
  <si>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</si>
  <si>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</si>
  <si>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</si>
  <si>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</si>
  <si>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</si>
  <si>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</si>
  <si>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</si>
  <si>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</si>
  <si>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</si>
  <si>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</si>
  <si>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</si>
  <si>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</si>
  <si>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</si>
  <si>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</si>
  <si>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</si>
  <si>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</si>
  <si>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</si>
  <si>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</si>
  <si>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</si>
  <si>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</si>
  <si>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</si>
  <si>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</si>
  <si>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</si>
  <si>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</si>
  <si>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</si>
  <si>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</si>
  <si>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</si>
  <si>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</si>
  <si>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</si>
  <si>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</si>
  <si>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</si>
  <si>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</si>
  <si>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</si>
  <si>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</si>
  <si>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</si>
  <si>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</si>
  <si>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</si>
  <si>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</si>
  <si>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</si>
  <si>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</si>
  <si>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</si>
  <si>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</si>
  <si>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</si>
  <si>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</si>
  <si>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</si>
  <si>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</si>
  <si>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</si>
  <si>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</si>
  <si>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</si>
  <si>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</si>
  <si>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</si>
  <si>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</si>
  <si>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</si>
  <si>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</si>
  <si>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</si>
  <si>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</si>
  <si>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</si>
  <si>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</si>
  <si>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</si>
  <si>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</si>
  <si>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</si>
  <si>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</si>
  <si>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</si>
  <si>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</si>
  <si>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</si>
  <si>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</si>
  <si>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</si>
  <si>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</si>
  <si>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</si>
  <si>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</si>
  <si>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</si>
  <si>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</si>
  <si>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</si>
  <si>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</si>
  <si>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</si>
  <si>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</si>
  <si>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</si>
  <si>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</si>
  <si>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</si>
  <si>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</si>
  <si>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</si>
  <si>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</si>
  <si>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</si>
  <si>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</si>
  <si>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</si>
  <si>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</si>
  <si>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</si>
  <si>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</si>
  <si>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</si>
  <si>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</si>
  <si>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</si>
  <si>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</si>
  <si>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</si>
  <si>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</si>
  <si>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</si>
  <si>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</si>
  <si>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</si>
  <si>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</si>
  <si>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</si>
  <si>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</si>
  <si>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</si>
  <si>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</si>
  <si>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</si>
  <si>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</si>
  <si>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</si>
  <si>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</si>
  <si>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</si>
  <si>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</si>
  <si>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</si>
  <si>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</si>
  <si>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</si>
  <si>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</si>
  <si>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</si>
  <si>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</si>
  <si>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</si>
  <si>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</si>
  <si>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 xml:space="preserve">MIL   </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</si>
  <si>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</si>
  <si>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</si>
  <si>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</si>
  <si>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</si>
  <si>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</si>
  <si>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</si>
  <si>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</si>
  <si>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</si>
  <si>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</si>
  <si>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</si>
  <si>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</si>
  <si>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</si>
  <si>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</si>
  <si>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</si>
  <si>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</si>
  <si>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</si>
  <si>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</si>
  <si>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</si>
  <si>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</si>
  <si>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</si>
  <si>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</si>
  <si>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</si>
  <si>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</si>
  <si>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</si>
  <si>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</si>
  <si>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</si>
  <si>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</si>
  <si>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</si>
  <si>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</si>
  <si>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</si>
  <si>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</si>
  <si>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</si>
  <si>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</si>
  <si>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</si>
  <si>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</si>
  <si>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</si>
  <si>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</si>
  <si>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</si>
  <si>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</si>
  <si>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</si>
  <si>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</si>
  <si>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</si>
  <si>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</si>
  <si>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</si>
  <si>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</si>
  <si>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</si>
  <si>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</si>
  <si>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</si>
  <si>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</si>
  <si>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</si>
  <si>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</si>
  <si>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</si>
  <si>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</si>
  <si>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</si>
  <si>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</si>
  <si>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</si>
  <si>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</si>
  <si>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</si>
  <si>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</si>
  <si>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</si>
  <si>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</si>
  <si>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</si>
  <si>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</si>
  <si>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</si>
  <si>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</si>
  <si>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</si>
  <si>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</si>
  <si>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</si>
  <si>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</si>
  <si>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</si>
  <si>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</si>
  <si>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</si>
  <si>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</si>
  <si>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</si>
  <si>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</si>
  <si>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</si>
  <si>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</si>
  <si>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</si>
  <si>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</si>
  <si>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</si>
  <si>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</si>
  <si>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</si>
  <si>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</si>
  <si>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</si>
  <si>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</si>
  <si>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</si>
  <si>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</si>
  <si>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</si>
  <si>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</si>
  <si>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</si>
  <si>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</si>
  <si>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</si>
  <si>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</si>
  <si>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</si>
  <si>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</si>
  <si>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</si>
  <si>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</si>
  <si>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</si>
  <si>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</si>
  <si>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</si>
  <si>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</si>
  <si>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</si>
  <si>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</si>
  <si>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</si>
  <si>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</si>
  <si>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</si>
  <si>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</si>
  <si>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</si>
  <si>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</si>
  <si>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</si>
  <si>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</si>
  <si>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</si>
  <si>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</si>
  <si>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</si>
  <si>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</si>
  <si>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</si>
  <si>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</si>
  <si>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</si>
  <si>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</si>
  <si>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</si>
  <si>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</si>
  <si>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</si>
  <si>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</si>
  <si>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</si>
  <si>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</si>
  <si>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</si>
  <si>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</si>
  <si>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</si>
  <si>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</si>
  <si>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</si>
  <si>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</si>
  <si>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</si>
  <si>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</si>
  <si>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</si>
  <si>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</si>
  <si>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</si>
  <si>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</si>
  <si>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</si>
  <si>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</si>
  <si>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</si>
  <si>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</si>
  <si>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</si>
  <si>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</si>
  <si>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</si>
  <si>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</si>
  <si>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</si>
  <si>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</si>
  <si>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</si>
  <si>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</si>
  <si>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</si>
  <si>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</si>
  <si>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</si>
  <si>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</si>
  <si>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</si>
  <si>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</si>
  <si>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</si>
  <si>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</si>
  <si>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</si>
  <si>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</si>
  <si>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</si>
  <si>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</si>
  <si>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</si>
  <si>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</si>
  <si>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</si>
  <si>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</si>
  <si>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</si>
  <si>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</si>
  <si>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</si>
  <si>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</si>
  <si>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</si>
  <si>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</si>
  <si>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</si>
  <si>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</si>
  <si>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</si>
  <si>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</si>
  <si>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</si>
  <si>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</si>
  <si>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</si>
  <si>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</si>
  <si>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</si>
  <si>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</si>
  <si>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</si>
  <si>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</si>
  <si>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</si>
  <si>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</si>
  <si>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</si>
  <si>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</si>
  <si>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</si>
  <si>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</si>
  <si>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</si>
  <si>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</si>
  <si>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</si>
  <si>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</si>
  <si>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JE, DN 100 MM, PARA REDE COLETORA ESGOTO</t>
  </si>
  <si>
    <t>PLUG PVC, JE, DN 150 MM, PARA REDE COLETORA ESGOTO</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</si>
  <si>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</si>
  <si>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</si>
  <si>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</si>
  <si>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</si>
  <si>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</si>
  <si>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</si>
  <si>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</si>
  <si>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</si>
  <si>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</si>
  <si>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</si>
  <si>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</si>
  <si>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</si>
  <si>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</si>
  <si>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</si>
  <si>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</si>
  <si>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</si>
  <si>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</si>
  <si>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</si>
  <si>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</si>
  <si>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</si>
  <si>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</si>
  <si>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</si>
  <si>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</si>
  <si>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</si>
  <si>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</si>
  <si>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</si>
  <si>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</si>
  <si>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</si>
  <si>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</si>
  <si>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</si>
  <si>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</si>
  <si>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</si>
  <si>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</si>
  <si>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</si>
  <si>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</si>
  <si>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</si>
  <si>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</si>
  <si>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</si>
  <si>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</si>
  <si>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</si>
  <si>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</si>
  <si>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</si>
  <si>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</si>
  <si>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</si>
  <si>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</si>
  <si>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</si>
  <si>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</si>
  <si>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</si>
  <si>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</si>
  <si>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</si>
  <si>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</si>
  <si>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</si>
  <si>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</si>
  <si>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</si>
  <si>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</si>
  <si>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</si>
  <si>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</si>
  <si>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</si>
  <si>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</si>
  <si>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</si>
  <si>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</si>
  <si>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</si>
  <si>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</si>
  <si>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</si>
  <si>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</si>
  <si>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</si>
  <si>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</si>
  <si>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</si>
  <si>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</si>
  <si>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</si>
  <si>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</si>
  <si>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</si>
  <si>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</si>
  <si>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</si>
  <si>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</si>
  <si>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</si>
  <si>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</si>
  <si>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</si>
  <si>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</si>
  <si>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</si>
  <si>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</si>
  <si>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</si>
  <si>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</si>
  <si>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</si>
  <si>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</si>
  <si>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</si>
  <si>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</si>
  <si>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</si>
  <si>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</si>
  <si>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</si>
  <si>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</si>
  <si>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</si>
  <si>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</si>
  <si>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</si>
  <si>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</si>
  <si>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</si>
  <si>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</si>
  <si>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</si>
  <si>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</si>
  <si>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</si>
  <si>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</si>
  <si>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</si>
  <si>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</si>
  <si>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</si>
  <si>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</si>
  <si>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</si>
  <si>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</si>
  <si>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</si>
  <si>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</si>
  <si>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</si>
  <si>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</si>
  <si>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</si>
  <si>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</si>
  <si>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</si>
  <si>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</si>
  <si>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</si>
  <si>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</si>
  <si>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</si>
  <si>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</si>
  <si>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</si>
  <si>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</si>
  <si>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</si>
  <si>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</si>
  <si>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</si>
  <si>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</si>
  <si>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</si>
  <si>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</si>
  <si>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</si>
  <si>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</si>
  <si>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</si>
  <si>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</si>
  <si>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</si>
  <si>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</si>
  <si>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</si>
  <si>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</si>
  <si>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</si>
  <si>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</si>
  <si>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</si>
  <si>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</si>
  <si>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</si>
  <si>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</si>
  <si>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</si>
  <si>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</si>
  <si>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</si>
  <si>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</si>
  <si>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</si>
  <si>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</si>
  <si>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</si>
  <si>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</si>
  <si>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</si>
  <si>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</si>
  <si>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</si>
  <si>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</si>
  <si>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</si>
  <si>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</si>
  <si>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</si>
  <si>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</si>
  <si>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</si>
  <si>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</si>
  <si>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</si>
  <si>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</si>
  <si>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</si>
  <si>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</si>
  <si>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</si>
  <si>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</si>
  <si>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</si>
  <si>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</si>
  <si>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</si>
  <si>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</si>
  <si>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</si>
  <si>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</si>
  <si>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</si>
  <si>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</si>
  <si>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</si>
  <si>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</si>
  <si>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</si>
  <si>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</si>
  <si>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</si>
  <si>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</si>
  <si>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</si>
  <si>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</si>
  <si>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</si>
  <si>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</si>
  <si>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</si>
  <si>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</si>
  <si>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</si>
  <si>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</si>
  <si>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</si>
  <si>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</si>
  <si>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</si>
  <si>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</si>
  <si>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</si>
  <si>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</si>
  <si>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</si>
  <si>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</si>
  <si>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</si>
  <si>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</si>
  <si>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</si>
  <si>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</si>
  <si>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</si>
  <si>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</si>
  <si>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</si>
  <si>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</si>
  <si>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</si>
  <si>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</si>
  <si>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</si>
  <si>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</si>
  <si>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</si>
  <si>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</si>
  <si>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</si>
  <si>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</si>
  <si>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</si>
  <si>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</si>
  <si>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</si>
  <si>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</si>
  <si>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</si>
  <si>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</si>
  <si>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</si>
  <si>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</si>
  <si>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</si>
  <si>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</si>
  <si>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</si>
  <si>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</si>
  <si>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</si>
  <si>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</si>
  <si>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</si>
  <si>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</si>
  <si>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</si>
  <si>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</si>
  <si>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</si>
  <si>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</si>
  <si>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</si>
  <si>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</si>
  <si>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</si>
  <si>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</si>
  <si>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</si>
  <si>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</si>
  <si>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</si>
  <si>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</si>
  <si>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</si>
  <si>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</si>
  <si>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</si>
  <si>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</si>
  <si>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</si>
  <si>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</si>
  <si>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</si>
  <si>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</si>
  <si>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</si>
  <si>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</si>
  <si>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</si>
  <si>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</si>
  <si>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</si>
  <si>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</si>
  <si>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</si>
  <si>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</si>
  <si>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</si>
  <si>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</si>
  <si>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</si>
  <si>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</si>
  <si>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</si>
  <si>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</si>
  <si>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</si>
  <si>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</si>
  <si>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</si>
  <si>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</si>
  <si>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</si>
  <si>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</si>
  <si>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</si>
  <si>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</si>
  <si>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</si>
  <si>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</si>
  <si>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</si>
  <si>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</si>
  <si>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</si>
  <si>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</si>
  <si>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</si>
  <si>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</si>
  <si>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</si>
  <si>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</si>
  <si>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</si>
  <si>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</si>
  <si>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</si>
  <si>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</si>
  <si>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</si>
  <si>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</si>
  <si>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</si>
  <si>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</si>
  <si>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</si>
  <si>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</si>
  <si>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</si>
  <si>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</si>
  <si>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</si>
  <si>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</si>
  <si>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</si>
  <si>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</si>
  <si>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</si>
  <si>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</si>
  <si>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</si>
  <si>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</si>
  <si>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</si>
  <si>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</si>
  <si>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</si>
  <si>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</si>
  <si>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</si>
  <si>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</si>
  <si>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</si>
  <si>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</si>
  <si>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</si>
  <si>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</si>
  <si>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</si>
  <si>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</si>
  <si>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</si>
  <si>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</si>
  <si>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</si>
  <si>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</si>
  <si>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</si>
  <si>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</si>
  <si>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</si>
  <si>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</si>
  <si>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</si>
  <si>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</si>
  <si>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</si>
  <si>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</si>
  <si>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</si>
  <si>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</si>
  <si>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</si>
  <si>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</si>
  <si>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</si>
  <si>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</si>
  <si>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</si>
  <si>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</si>
  <si>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</si>
  <si>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</si>
  <si>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</si>
  <si>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</si>
  <si>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</si>
  <si>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</si>
  <si>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</si>
  <si>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</si>
  <si>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</si>
  <si>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</si>
  <si>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</si>
  <si>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</si>
  <si>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</si>
  <si>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</si>
  <si>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</si>
  <si>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</si>
  <si>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</si>
  <si>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</si>
  <si>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</si>
  <si>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</si>
  <si>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</si>
  <si>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</si>
  <si>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</si>
  <si>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</si>
  <si>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</si>
  <si>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</si>
  <si>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</si>
  <si>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</si>
  <si>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</si>
  <si>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</si>
  <si>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</si>
  <si>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</si>
  <si>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</si>
  <si>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</si>
  <si>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</si>
  <si>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</si>
  <si>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</si>
  <si>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</si>
  <si>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</si>
  <si>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</si>
  <si>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</si>
  <si>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</si>
  <si>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</si>
  <si>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</si>
  <si>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</si>
  <si>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</si>
  <si>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</si>
  <si>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</si>
  <si>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</si>
  <si>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</si>
  <si>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</si>
  <si>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</si>
  <si>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</si>
  <si>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</si>
  <si>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</si>
  <si>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</si>
  <si>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</si>
  <si>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</si>
  <si>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</si>
  <si>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</si>
  <si>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</si>
  <si>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</si>
  <si>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</si>
  <si>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</si>
  <si>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</si>
  <si>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</si>
  <si>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</si>
  <si>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</si>
  <si>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</si>
  <si>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</si>
  <si>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</si>
  <si>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</si>
  <si>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</si>
  <si>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</si>
  <si>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</si>
  <si>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</si>
  <si>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</si>
  <si>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</si>
  <si>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</si>
  <si>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</si>
  <si>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</si>
  <si>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</si>
  <si>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</si>
  <si>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 TUBO SINFONADO EXTENSIVEL/SANFONADO, UNIVERSAL/ SIMPLES, ENTRE *50 A 70* CM, DE PLASTICO BRANCO</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</si>
  <si>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</si>
  <si>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</si>
  <si>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</si>
  <si>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</si>
  <si>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</si>
  <si>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</si>
  <si>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</si>
  <si>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</si>
  <si>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</si>
  <si>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</si>
  <si>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</si>
  <si>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</si>
  <si>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</si>
  <si>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</si>
  <si>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</si>
  <si>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</si>
  <si>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</si>
  <si>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</si>
  <si>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</si>
  <si>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</si>
  <si>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</si>
  <si>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</si>
  <si>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</si>
  <si>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</si>
  <si>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</si>
  <si>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</si>
  <si>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</si>
  <si>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</si>
  <si>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</si>
  <si>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</si>
  <si>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</si>
  <si>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</si>
  <si>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</si>
  <si>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</si>
  <si>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</si>
  <si>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</si>
  <si>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</si>
  <si>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</si>
  <si>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</si>
  <si>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</si>
  <si>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</si>
  <si>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</si>
  <si>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</si>
  <si>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</si>
  <si>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</si>
  <si>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</si>
  <si>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</si>
  <si>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</si>
  <si>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</si>
  <si>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</si>
  <si>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</si>
  <si>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</si>
  <si>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</si>
  <si>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</si>
  <si>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</si>
  <si>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</si>
  <si>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</si>
  <si>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</si>
  <si>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</si>
  <si>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</si>
  <si>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</si>
  <si>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</si>
  <si>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</si>
  <si>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</si>
  <si>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</si>
  <si>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</si>
  <si>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</si>
  <si>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</si>
  <si>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</si>
  <si>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</si>
  <si>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</si>
  <si>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</si>
  <si>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</si>
  <si>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</si>
  <si>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</si>
  <si>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</si>
  <si>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</si>
  <si>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</si>
  <si>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</si>
  <si>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</si>
  <si>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</si>
  <si>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</si>
  <si>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</si>
  <si>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</si>
  <si>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</si>
  <si>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</si>
  <si>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</si>
  <si>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</si>
  <si>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</si>
  <si>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</si>
  <si>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</si>
  <si>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MACHO, DN 1", PARA TUBO PEX PARA INST. AGUA QUENTE/FRIA</t>
  </si>
  <si>
    <t>TAMPAO / CAP, ROSCA MACHO, DN 3/4", PARA TUBO PEX PARA INST. AGUA QUENTE/FRIA</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</si>
  <si>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</si>
  <si>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</si>
  <si>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</si>
  <si>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</si>
  <si>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</si>
  <si>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</si>
  <si>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</si>
  <si>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</si>
  <si>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</si>
  <si>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</si>
  <si>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CLASSE A15 CARGA MAX 1,5 T, 300 X 300 MM (COM INSCRICAO EM RELEVO DO TIPO DE REDE)</t>
  </si>
  <si>
    <t>TAMPAO FOFO SIMPLES COM BASE, CLASSE A15 CARGA MAX 1,5 T, 400 X 400 MM (COM INSCRICAO EM RELEVO DO TIPO DE REDE)</t>
  </si>
  <si>
    <t>TAMPAO FOFO SIMPLES COM BASE, CLASSE A15 CARGA MAX 1,5 T, 400 X 600 MM (COM INSCRICAO EM RELEVO DO TIPO DE REDE)</t>
  </si>
  <si>
    <t>TAMPAO FOFO SIMPLES COM BASE, CLASSE B125 CARGA MAX 12,5 T, REDONDO, TAMPA 500 MM (COM INSCRICAO EM RELEVO DO TIPO DE REDE)</t>
  </si>
  <si>
    <t>TAMPAO FOFO SIMPLES COM BASE, CLASSE B125 CARGA MAX 12,5 T, REDONDO, TAMPA 600 MM (COM INSCRICAO EM RELEVO DO TIPO DE REDE)</t>
  </si>
  <si>
    <t>TAMPAO FOFO SIMPLES COM BASE, CLASSE D400 CARGA MAX 40 T, REDONDO, TAMPA 600 MM, REDE PLUVIAL/ESGOTO (COM INSCRICAO EM RELEVO DO TIPO DE REDE)</t>
  </si>
  <si>
    <t>TAMPAO FOFO SIMPLES COM BASE, CLASSE D400 CARGA MAX 40 T, REDONDO, TAMPA 900 MM (COM INSCRICAO EM RELEVO DO TIPO DE REDE)</t>
  </si>
  <si>
    <t>TAMPAO FOFO SIMPLES,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</si>
  <si>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</si>
  <si>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</si>
  <si>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</si>
  <si>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</si>
  <si>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</si>
  <si>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</si>
  <si>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</si>
  <si>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</si>
  <si>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</si>
  <si>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</si>
  <si>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</si>
  <si>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</si>
  <si>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</si>
  <si>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</si>
  <si>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</si>
  <si>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</si>
  <si>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</si>
  <si>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</si>
  <si>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</si>
  <si>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</si>
  <si>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</si>
  <si>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</si>
  <si>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</si>
  <si>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</si>
  <si>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</si>
  <si>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</si>
  <si>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</si>
  <si>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</si>
  <si>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</si>
  <si>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</si>
  <si>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</si>
  <si>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</si>
  <si>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</si>
  <si>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</si>
  <si>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</si>
  <si>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</si>
  <si>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</si>
  <si>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</si>
  <si>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</si>
  <si>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</si>
  <si>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</si>
  <si>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</si>
  <si>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</si>
  <si>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</si>
  <si>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</si>
  <si>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</si>
  <si>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</si>
  <si>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</si>
  <si>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</si>
  <si>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</si>
  <si>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</si>
  <si>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</si>
  <si>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</si>
  <si>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</si>
  <si>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</si>
  <si>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</si>
  <si>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</si>
  <si>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</si>
  <si>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</si>
  <si>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</si>
  <si>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</si>
  <si>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</si>
  <si>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</si>
  <si>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</si>
  <si>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</si>
  <si>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</si>
  <si>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</si>
  <si>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</si>
  <si>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</si>
  <si>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</si>
  <si>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</si>
  <si>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</si>
  <si>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</si>
  <si>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</si>
  <si>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</si>
  <si>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</si>
  <si>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</si>
  <si>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</si>
  <si>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</si>
  <si>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</si>
  <si>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</si>
  <si>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</si>
  <si>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</si>
  <si>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</si>
  <si>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</si>
  <si>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</si>
  <si>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</si>
  <si>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</si>
  <si>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</si>
  <si>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</si>
  <si>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</si>
  <si>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</si>
  <si>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</si>
  <si>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</si>
  <si>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</si>
  <si>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</si>
  <si>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</si>
  <si>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</si>
  <si>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</si>
  <si>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</si>
  <si>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</si>
  <si>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</si>
  <si>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</si>
  <si>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</si>
  <si>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</si>
  <si>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</si>
  <si>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</si>
  <si>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</si>
  <si>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</si>
  <si>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</si>
  <si>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</si>
  <si>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</si>
  <si>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</si>
  <si>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</si>
  <si>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</si>
  <si>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</si>
  <si>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</si>
  <si>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</si>
  <si>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</si>
  <si>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</si>
  <si>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</si>
  <si>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</si>
  <si>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</si>
  <si>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</si>
  <si>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</si>
  <si>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</si>
  <si>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</si>
  <si>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</si>
  <si>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</si>
  <si>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</si>
  <si>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</si>
  <si>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</si>
  <si>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</si>
  <si>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</si>
  <si>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</si>
  <si>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</si>
  <si>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</si>
  <si>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</si>
  <si>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</si>
  <si>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</si>
  <si>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</si>
  <si>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</si>
  <si>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</si>
  <si>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</si>
  <si>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</si>
  <si>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</si>
  <si>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</si>
  <si>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</si>
  <si>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</si>
  <si>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</si>
  <si>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</si>
  <si>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</si>
  <si>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</si>
  <si>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</si>
  <si>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</si>
  <si>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</si>
  <si>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</si>
  <si>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</si>
  <si>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</si>
  <si>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</si>
  <si>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</si>
  <si>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</si>
  <si>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</si>
  <si>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</si>
  <si>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</si>
  <si>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</si>
  <si>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</si>
  <si>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</si>
  <si>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</si>
  <si>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</si>
  <si>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</si>
  <si>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</si>
  <si>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</si>
  <si>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</si>
  <si>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</si>
  <si>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</si>
  <si>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</si>
  <si>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</si>
  <si>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</si>
  <si>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</si>
  <si>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</si>
  <si>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</si>
  <si>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</si>
  <si>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</si>
  <si>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</si>
  <si>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</si>
  <si>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</si>
  <si>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</si>
  <si>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</si>
  <si>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</si>
  <si>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</si>
  <si>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</si>
  <si>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</si>
  <si>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</si>
  <si>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</si>
  <si>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</si>
  <si>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</si>
  <si>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</si>
  <si>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</si>
  <si>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</si>
  <si>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</si>
  <si>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</si>
  <si>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</si>
  <si>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</si>
  <si>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</si>
  <si>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</si>
  <si>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</si>
  <si>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</si>
  <si>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</si>
  <si>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</si>
  <si>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</si>
  <si>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</si>
  <si>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</si>
  <si>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</si>
  <si>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</si>
  <si>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</si>
  <si>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</si>
  <si>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</si>
  <si>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</si>
  <si>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</si>
  <si>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</si>
  <si>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</si>
  <si>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</si>
  <si>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</si>
  <si>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</si>
  <si>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</si>
  <si>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</si>
  <si>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</si>
  <si>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</si>
  <si>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</si>
  <si>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</si>
  <si>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</si>
  <si>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</si>
  <si>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</si>
  <si>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</si>
  <si>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</si>
  <si>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</si>
  <si>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</si>
  <si>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</si>
  <si>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</si>
  <si>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</si>
  <si>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</si>
  <si>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</si>
  <si>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</si>
  <si>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</si>
  <si>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</si>
  <si>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</si>
  <si>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</si>
  <si>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</si>
  <si>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</si>
  <si>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</si>
  <si>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</si>
  <si>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</si>
  <si>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</si>
  <si>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</si>
  <si>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</si>
  <si>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</si>
  <si>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</si>
  <si>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</si>
  <si>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</si>
  <si>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</si>
  <si>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</si>
  <si>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</si>
  <si>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</si>
  <si>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</si>
  <si>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</si>
  <si>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</si>
  <si>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</si>
  <si>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</si>
  <si>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</si>
  <si>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</si>
  <si>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</si>
  <si>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</si>
  <si>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</si>
  <si>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</si>
  <si>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</si>
  <si>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</si>
  <si>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</si>
  <si>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</si>
  <si>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</si>
  <si>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</si>
  <si>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</si>
  <si>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</si>
  <si>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</si>
  <si>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</si>
  <si>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</si>
  <si>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</si>
  <si>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</si>
  <si>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</si>
  <si>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</si>
  <si>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</si>
  <si>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</si>
  <si>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</si>
  <si>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</si>
  <si>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</si>
  <si>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</si>
  <si>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</si>
  <si>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</si>
  <si>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</si>
  <si>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</si>
  <si>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</si>
  <si>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</si>
  <si>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</si>
  <si>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</si>
  <si>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</si>
  <si>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</si>
  <si>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</si>
  <si>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</si>
  <si>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</si>
  <si>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</si>
  <si>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</si>
  <si>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</si>
  <si>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</si>
  <si>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</si>
  <si>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</si>
  <si>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</si>
  <si>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</si>
  <si>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</si>
  <si>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</si>
  <si>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</si>
  <si>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</si>
  <si>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</si>
  <si>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</si>
  <si>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</si>
  <si>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</si>
  <si>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</si>
  <si>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</si>
  <si>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</si>
  <si>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</si>
  <si>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</si>
  <si>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</si>
  <si>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</si>
  <si>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</si>
  <si>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</si>
  <si>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</si>
  <si>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</si>
  <si>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</si>
  <si>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</si>
  <si>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</si>
  <si>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</si>
  <si>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</si>
  <si>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</si>
  <si>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</si>
  <si>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</si>
  <si>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</si>
  <si>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</si>
  <si>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</si>
  <si>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</si>
  <si>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</si>
  <si>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</si>
  <si>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</si>
  <si>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</si>
  <si>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</si>
  <si>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</si>
  <si>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</si>
  <si>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</si>
  <si>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</si>
  <si>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</si>
  <si>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</si>
  <si>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</si>
  <si>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</si>
  <si>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</si>
  <si>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</si>
  <si>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</si>
  <si>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</si>
  <si>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</si>
  <si>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</si>
  <si>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</si>
  <si>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</si>
  <si>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</si>
  <si>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</si>
  <si>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</si>
  <si>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</si>
  <si>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</si>
  <si>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</si>
  <si>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</si>
  <si>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</si>
  <si>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</si>
  <si>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</si>
  <si>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</si>
  <si>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</si>
  <si>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</si>
  <si>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</si>
  <si>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</si>
  <si>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</si>
  <si>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</si>
  <si>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</si>
  <si>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</si>
  <si>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</si>
  <si>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</si>
  <si>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</si>
  <si>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</si>
  <si>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</si>
  <si>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</si>
  <si>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</si>
  <si>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</si>
  <si>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</si>
  <si>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</si>
  <si>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</si>
  <si>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</si>
  <si>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</si>
  <si>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</si>
  <si>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</si>
  <si>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</si>
  <si>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</si>
  <si>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</si>
  <si>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</si>
  <si>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</si>
  <si>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</si>
  <si>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</si>
  <si>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</si>
  <si>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</si>
  <si>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</si>
  <si>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</si>
  <si>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</si>
  <si>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</si>
  <si>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</si>
  <si>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</si>
  <si>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</si>
  <si>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</si>
  <si>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</si>
  <si>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</si>
  <si>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</si>
  <si>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</si>
  <si>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</si>
  <si>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</si>
  <si>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</si>
  <si>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</si>
  <si>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</si>
  <si>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</si>
  <si>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</si>
  <si>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</si>
  <si>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</si>
  <si>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</si>
  <si>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</si>
  <si>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</si>
  <si>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</si>
  <si>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</si>
  <si>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</si>
  <si>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</si>
  <si>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</si>
  <si>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</si>
  <si>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</si>
  <si>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</si>
  <si>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</si>
  <si>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</si>
  <si>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</si>
  <si>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</si>
  <si>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</si>
  <si>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</si>
  <si>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</si>
  <si>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</si>
  <si>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</si>
  <si>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</si>
  <si>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</si>
  <si>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</si>
  <si>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</si>
  <si>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</si>
  <si>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</si>
  <si>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</si>
  <si>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</si>
  <si>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</si>
  <si>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</si>
  <si>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</si>
  <si>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</si>
  <si>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</si>
  <si>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</si>
  <si>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</si>
  <si>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</si>
  <si>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</si>
  <si>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</si>
  <si>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</si>
  <si>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</si>
  <si>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</si>
  <si>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</si>
  <si>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</si>
  <si>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</si>
  <si>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</si>
  <si>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</si>
  <si>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</si>
  <si>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</si>
  <si>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</si>
  <si>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</si>
  <si>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</si>
  <si>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</si>
  <si>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</si>
  <si>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</si>
  <si>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</si>
  <si>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</si>
  <si>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</si>
  <si>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</si>
  <si>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</si>
  <si>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</si>
  <si>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</si>
  <si>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</si>
  <si>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</si>
  <si>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</si>
  <si>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</si>
  <si>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</si>
  <si>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</si>
  <si>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</si>
  <si>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</si>
  <si>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</si>
  <si>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</si>
  <si>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</si>
  <si>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</si>
  <si>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</si>
  <si>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</si>
  <si>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</si>
  <si>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</si>
  <si>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</si>
  <si>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</si>
  <si>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</si>
  <si>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</si>
  <si>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</si>
  <si>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</si>
  <si>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</si>
  <si>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</si>
  <si>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</si>
  <si>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</si>
  <si>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</si>
  <si>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</si>
  <si>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</si>
  <si>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</si>
  <si>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</si>
  <si>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</si>
  <si>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</si>
  <si>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</si>
  <si>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</si>
  <si>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</si>
  <si>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</si>
  <si>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</si>
  <si>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</si>
  <si>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</si>
  <si>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</si>
  <si>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</si>
  <si>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</si>
  <si>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</si>
  <si>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</si>
  <si>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</si>
  <si>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</si>
  <si>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</si>
  <si>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</si>
  <si>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</si>
  <si>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</si>
  <si>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</si>
  <si>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</si>
  <si>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</si>
  <si>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</si>
  <si>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</si>
  <si>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</si>
  <si>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</si>
  <si>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</si>
  <si>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</si>
  <si>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</si>
  <si>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</si>
  <si>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</si>
  <si>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</si>
  <si>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</si>
  <si>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</si>
  <si>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</si>
  <si>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</si>
  <si>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</si>
  <si>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</si>
  <si>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</si>
  <si>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</si>
  <si>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</si>
  <si>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</si>
  <si>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</si>
  <si>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</si>
  <si>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</si>
  <si>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</si>
  <si>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</si>
  <si>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</si>
  <si>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</si>
  <si>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</si>
  <si>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</si>
  <si>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</si>
  <si>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</si>
  <si>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</si>
  <si>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</si>
  <si>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</si>
  <si>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</si>
  <si>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</si>
  <si>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</si>
  <si>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</si>
  <si>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</si>
  <si>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</si>
  <si>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</si>
  <si>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</si>
  <si>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</si>
  <si>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</si>
  <si>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</si>
  <si>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</si>
  <si>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</si>
  <si>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</si>
  <si>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</si>
  <si>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</si>
  <si>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</si>
  <si>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</si>
  <si>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</si>
  <si>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</si>
  <si>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</si>
  <si>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</si>
  <si>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</si>
  <si>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</si>
  <si>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</si>
  <si>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</si>
  <si>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</si>
  <si>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</si>
  <si>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</si>
  <si>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</si>
  <si>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</si>
  <si>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</si>
  <si>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</si>
  <si>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</si>
  <si>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</si>
  <si>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</si>
  <si>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</si>
  <si>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</si>
  <si>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</si>
  <si>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</si>
  <si>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</si>
  <si>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</si>
  <si>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</si>
  <si>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</si>
  <si>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</si>
  <si>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</si>
  <si>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</si>
  <si>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</si>
  <si>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</si>
  <si>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</si>
  <si>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</si>
  <si>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</si>
  <si>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</si>
  <si>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</si>
  <si>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</si>
  <si>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</si>
  <si>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</si>
  <si>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</si>
  <si>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</si>
  <si>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</si>
  <si>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</si>
  <si>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</si>
  <si>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</si>
  <si>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</si>
  <si>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</si>
  <si>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</si>
  <si>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</si>
  <si>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</si>
  <si>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</si>
  <si>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</si>
  <si>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</si>
  <si>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</si>
  <si>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</si>
  <si>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</si>
  <si>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</si>
  <si>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</si>
  <si>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</si>
  <si>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</si>
  <si>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</si>
  <si>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</si>
  <si>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</si>
  <si>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</si>
  <si>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</si>
  <si>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</si>
  <si>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</si>
  <si>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</si>
  <si>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</si>
  <si>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</si>
  <si>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</si>
  <si>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</si>
  <si>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</si>
  <si>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</si>
  <si>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</si>
  <si>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</si>
  <si>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</si>
  <si>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</si>
  <si>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</si>
  <si>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</si>
  <si>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</si>
  <si>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</si>
  <si>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</si>
  <si>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</si>
  <si>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</si>
  <si>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</si>
  <si>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</si>
  <si>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</si>
  <si>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</si>
  <si>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</si>
  <si>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</si>
  <si>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</si>
  <si>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</si>
  <si>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</si>
  <si>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</si>
  <si>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</si>
  <si>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</si>
  <si>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</si>
  <si>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</si>
  <si>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</si>
  <si>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</si>
  <si>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</si>
  <si>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</si>
  <si>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</si>
  <si>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</si>
  <si>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</si>
  <si>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</si>
  <si>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</si>
  <si>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</si>
  <si>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</si>
  <si>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</si>
  <si>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</si>
  <si>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</si>
  <si>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</si>
  <si>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</si>
  <si>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</si>
  <si>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</si>
  <si>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</si>
  <si>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</si>
  <si>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</si>
  <si>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</si>
  <si>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</si>
  <si>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</si>
  <si>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</si>
  <si>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</si>
  <si>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</si>
  <si>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</si>
  <si>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</si>
  <si>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</si>
  <si>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</si>
  <si>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</si>
  <si>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</si>
  <si>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</si>
  <si>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</si>
  <si>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</si>
  <si>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RIGIDO, CORRUGADO, PERFURADO DN 100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</si>
  <si>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</si>
  <si>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</si>
  <si>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</si>
  <si>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</si>
  <si>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</si>
  <si>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</si>
  <si>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</si>
  <si>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</si>
  <si>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</si>
  <si>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</si>
  <si>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</si>
  <si>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</si>
  <si>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</si>
  <si>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</si>
  <si>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</si>
  <si>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</si>
  <si>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</si>
  <si>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</si>
  <si>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</si>
  <si>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</si>
  <si>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</si>
  <si>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</si>
  <si>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</si>
  <si>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</si>
  <si>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</si>
  <si>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</si>
  <si>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</si>
  <si>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</si>
  <si>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</si>
  <si>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</si>
  <si>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</si>
  <si>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</si>
  <si>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</si>
  <si>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</si>
  <si>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</si>
  <si>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</si>
  <si>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</si>
  <si>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</si>
  <si>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</si>
  <si>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</si>
  <si>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</si>
  <si>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</si>
  <si>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</si>
  <si>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</si>
  <si>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</si>
  <si>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</si>
  <si>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</si>
  <si>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</si>
  <si>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</si>
  <si>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</si>
  <si>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</si>
  <si>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</si>
  <si>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</si>
  <si>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</si>
  <si>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</si>
  <si>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</si>
  <si>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</si>
  <si>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</si>
  <si>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</si>
  <si>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</si>
  <si>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</si>
  <si>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</si>
  <si>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</si>
  <si>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</si>
  <si>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</si>
  <si>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</si>
  <si>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</si>
  <si>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</si>
  <si>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</si>
  <si>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</si>
  <si>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</si>
  <si>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</si>
  <si>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</si>
  <si>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</si>
  <si>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</si>
  <si>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</si>
  <si>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</si>
  <si>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</si>
  <si>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</si>
  <si>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</si>
  <si>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</si>
  <si>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</si>
  <si>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</si>
  <si>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</si>
  <si>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</si>
  <si>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</si>
  <si>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</si>
  <si>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</si>
  <si>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</si>
  <si>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</si>
  <si>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</si>
  <si>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</si>
  <si>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</si>
  <si>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</si>
  <si>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</si>
  <si>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</si>
  <si>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</si>
  <si>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</si>
  <si>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</si>
  <si>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</si>
  <si>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</si>
  <si>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</si>
  <si>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</si>
  <si>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</si>
  <si>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</si>
  <si>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</si>
  <si>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</si>
  <si>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</si>
  <si>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</si>
  <si>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</si>
  <si>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</si>
  <si>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</si>
  <si>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</si>
  <si>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</si>
  <si>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</si>
  <si>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</si>
  <si>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</si>
  <si>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</si>
  <si>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</si>
  <si>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</si>
  <si>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</si>
  <si>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</si>
  <si>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</si>
  <si>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</si>
  <si>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</si>
  <si>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</si>
  <si>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</si>
  <si>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</si>
  <si>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</si>
  <si>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</si>
  <si>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</si>
  <si>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</si>
  <si>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</si>
  <si>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</si>
  <si>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</si>
  <si>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</si>
  <si>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</si>
  <si>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</si>
  <si>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</si>
  <si>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</si>
  <si>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</si>
  <si>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</si>
  <si>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</si>
  <si>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</si>
  <si>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</si>
  <si>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</si>
  <si>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</si>
  <si>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</si>
  <si>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</si>
  <si>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</si>
  <si>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</si>
  <si>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</si>
  <si>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</si>
  <si>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</si>
  <si>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</si>
  <si>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</si>
  <si>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</si>
  <si>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</si>
  <si>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</si>
  <si>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</si>
  <si>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</si>
  <si>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</si>
  <si>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</si>
  <si>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</si>
  <si>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</si>
  <si>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</si>
  <si>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</si>
  <si>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</si>
  <si>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</si>
  <si>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</si>
  <si>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</si>
  <si>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</si>
  <si>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</si>
  <si>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</si>
  <si>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</si>
  <si>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</si>
  <si>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</si>
  <si>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</si>
  <si>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</si>
  <si>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</si>
  <si>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</si>
  <si>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</si>
  <si>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</si>
  <si>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</si>
  <si>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</si>
  <si>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</si>
  <si>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</si>
  <si>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</si>
  <si>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</si>
  <si>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</si>
  <si>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</si>
  <si>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</si>
  <si>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</si>
  <si>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</si>
  <si>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</si>
  <si>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</si>
  <si>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</si>
  <si>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</si>
  <si>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</si>
  <si>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</si>
  <si>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</si>
  <si>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</si>
  <si>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TOTAL DE INSUMOS : 4936</t>
  </si>
  <si>
    <t>Equipamento</t>
  </si>
  <si>
    <t>CCU-018</t>
  </si>
  <si>
    <t>CCU-019</t>
  </si>
  <si>
    <t>CCU-020</t>
  </si>
  <si>
    <t>CCU-021</t>
  </si>
  <si>
    <t>CCU-022</t>
  </si>
  <si>
    <t>CCU-023</t>
  </si>
  <si>
    <t>CCUC-001</t>
  </si>
  <si>
    <t>CCU-024</t>
  </si>
  <si>
    <t>CCU-025</t>
  </si>
  <si>
    <t>CCU-026</t>
  </si>
  <si>
    <t>CCU-027</t>
  </si>
  <si>
    <t>CCU-028</t>
  </si>
  <si>
    <t>CCU-029</t>
  </si>
  <si>
    <t>CCU-030</t>
  </si>
  <si>
    <t>Mão de Obra</t>
  </si>
  <si>
    <t>CCU-031</t>
  </si>
  <si>
    <t>CCU-032</t>
  </si>
  <si>
    <t>CCU-033</t>
  </si>
  <si>
    <t>CCU-034</t>
  </si>
  <si>
    <t>CCU-035</t>
  </si>
  <si>
    <t>VALOR TOTAL</t>
  </si>
  <si>
    <t>CCU-036</t>
  </si>
  <si>
    <t>CCU-037</t>
  </si>
  <si>
    <t>CCU-038</t>
  </si>
  <si>
    <t>CCU-039</t>
  </si>
  <si>
    <t>CCU-040</t>
  </si>
  <si>
    <t>CCU-041</t>
  </si>
  <si>
    <t>CCU-042</t>
  </si>
  <si>
    <t>CCU-043</t>
  </si>
  <si>
    <t>CCU-044</t>
  </si>
  <si>
    <t>CCU-045</t>
  </si>
  <si>
    <t>CCU-046</t>
  </si>
  <si>
    <t>CCU-047</t>
  </si>
  <si>
    <t>CCU-048</t>
  </si>
  <si>
    <t>CCU-049</t>
  </si>
  <si>
    <t>CCU-050</t>
  </si>
  <si>
    <t>CCU-051</t>
  </si>
  <si>
    <t>CCU-052</t>
  </si>
  <si>
    <t>CCU-053</t>
  </si>
  <si>
    <t>CCU-054</t>
  </si>
  <si>
    <t>CCU-055</t>
  </si>
  <si>
    <t>CCU-056</t>
  </si>
  <si>
    <t>CCU-057</t>
  </si>
  <si>
    <t>CCU-058</t>
  </si>
  <si>
    <t>CCU-059</t>
  </si>
  <si>
    <t>CCU-060</t>
  </si>
  <si>
    <t>CCU-061</t>
  </si>
  <si>
    <t>CCU-062</t>
  </si>
  <si>
    <t>CCU-063</t>
  </si>
  <si>
    <t>CCU-064</t>
  </si>
  <si>
    <t>CCU-065</t>
  </si>
  <si>
    <t>CARGA, MANOBRA E DESCARGA DE AGREGADOS OU SOLOS EM CAMINHÃO BASCULANTE DE 10 M³ - CARGA COM CARREGADEIRA DE 3,40 M³ (EXCLUSA) E DESCARGA LIVRE</t>
  </si>
  <si>
    <t>EMPRÉSTIMO DE 3A CAT 14000-16000M PARA ENROCAMENTO (INCLUSIVE FORNECIMENTO, AQUISIÇÃO, CARGA, DESCARGA E TRANSPORTE)</t>
  </si>
  <si>
    <t>DRENO SUBSUPERFICIAL DE PAVIMENTO - DSSP</t>
  </si>
  <si>
    <t>DRENO DE REBAIXO - DR</t>
  </si>
  <si>
    <t>SARJETA TRIANGULAR DE CONCRETO - TIPO 1A - STC 01A</t>
  </si>
  <si>
    <t>LASTRO DE RACHÃO COM BRITAGEM PARA FUNDAÇÃO DE GALERIA CELULAR, INCLUSIVE ESPALHAMENTO E COMPACTAÇÃO</t>
  </si>
  <si>
    <t xml:space="preserve">FORNECIMENTO E ASSENTAMENTO DE GALERIA BSCC - SEÇÃO 2,5 X 2,5M FECHADA - PRÉ-MOLDADO </t>
  </si>
  <si>
    <t>FORNECIMENTO, LANÇAMENTO, ADENSAMENTO E ACABAMENTO DE CONCRETO USINADO FCK=30 MPA</t>
  </si>
  <si>
    <t>CORTE/LIMPEZA, CLASSIFICAÇÃO, ENLEIRAMENTO, CARGA E TRANSPORTE DE ÁRVORES (VOLUME ESTÉREO)  COM DISTÂNCIA DE 20KM</t>
  </si>
  <si>
    <t>UNID.</t>
  </si>
  <si>
    <t>CUSTOS DE MATERIAIS - SICRO DNIT/PR - JANEIRO/2023</t>
  </si>
  <si>
    <t xml:space="preserve">CÓDIGO </t>
  </si>
  <si>
    <t xml:space="preserve">CUSTO </t>
  </si>
  <si>
    <t>CUSTOS DE EQUIPAMENTOS - SICRO DNIT/PR - JANEIRO/2023</t>
  </si>
  <si>
    <t>CUSTOS DE SERVIÇOS - SICRO DNIT/PR - JANEIRO/2023</t>
  </si>
  <si>
    <t>EMPRESA</t>
  </si>
  <si>
    <t>DATA DA COTAÇÃO</t>
  </si>
  <si>
    <t>E-MAIL</t>
  </si>
  <si>
    <t>TELEFONE</t>
  </si>
  <si>
    <t>COTAÇÕES DE MERCADO</t>
  </si>
  <si>
    <t>MERCADO</t>
  </si>
  <si>
    <t>DNIT</t>
  </si>
  <si>
    <t>Cotação</t>
  </si>
  <si>
    <t>Composição complementar</t>
  </si>
  <si>
    <t>CCUC-002</t>
  </si>
  <si>
    <t>ALVENARIA DE TIJOLOS CERÂMICOS DE 6 FUROS (14X9X19CM) COM ESP.=14CM</t>
  </si>
  <si>
    <t>COMPOSIÇÃO DE CUSTO UNITÁRIO - ADMINISTRAÇÃO LOCAL</t>
  </si>
  <si>
    <t>CCU-066</t>
  </si>
  <si>
    <t>CCU-067</t>
  </si>
  <si>
    <t>EXECUÇÃO DE RESERVATÓRIO ELEVADO DE ÁGUA DE 5.000 LITROS EM CANTEIRO DE OBRAS, APOIADO SOBRE ESTURUTRA DE MADEIRA</t>
  </si>
  <si>
    <t>CCU-068</t>
  </si>
  <si>
    <t>SINALIZAÇÃO DE OBRA - TIPO 3</t>
  </si>
  <si>
    <t>CCU-069</t>
  </si>
  <si>
    <t>COMPOSIÇÃO DE CUSTO UNITÁRIO - DESMOBILIZAÇÃO DE EQUIPAMENTOS</t>
  </si>
  <si>
    <t>CCUC-003</t>
  </si>
  <si>
    <t>ARGAMASSA TRAÇO 1:2:8 PARA EMBOÇO/REBOCO COM PREPARO MECÂNICO</t>
  </si>
  <si>
    <t>COMPOSIÇÃO DE CUSTOS UNITÁRIO - CCU'S GERAIS - COMPOSIÇÕES PRÓPRIAS</t>
  </si>
  <si>
    <t xml:space="preserve">CODIGO  </t>
  </si>
  <si>
    <t>PLANILHAS ORÇAMENTÁRIAS OFICIAIS PADRÃO AMEP</t>
  </si>
  <si>
    <t>PLANILHAS DE COMPOSIÇÕES DE CUSTOS UNITÁRIOS - CCU</t>
  </si>
  <si>
    <t>PLANILHAS DE CUSTOS DER/PR - DATA BASE DE FEVEREIRO DE 2023</t>
  </si>
  <si>
    <t>PLANILHAS DE CUSTOS DNIT/PR - DATA BASE DE JANEIRO DE 2023</t>
  </si>
  <si>
    <t>PLANILHA DE CUSTOS DE COTAÇÕES DE MERCADO</t>
  </si>
  <si>
    <t>PLANILHA DE CÁLCULO DE DISTÂNCIAS UTILIZADAS NO ORÇAMENTO</t>
  </si>
  <si>
    <t>PLANILHAS DE CUSTOS SINAPI/PR - DATA BASE DE FEVEREIRO DE 2023</t>
  </si>
  <si>
    <t>DER/PR - FEVEREIRO DE 2023</t>
  </si>
  <si>
    <t>SINAPI/PR - FEVEREIRO DE 2023</t>
  </si>
  <si>
    <t>DNIT/PR - JANEIRO DE 2023</t>
  </si>
  <si>
    <t>ORSE/SE - FEVEREIRO DE 2023</t>
  </si>
  <si>
    <t>COMPOSIÇÃO DA TAXA DE BENEFÍCIOS E DESPESAS INDIRETAS DIFERENCIADA - BDI  DIF - ACÓRDÃO 2.622/2013 - TCU - PLENÁRIO</t>
  </si>
  <si>
    <t>BDI DIFERENCIADO (%)</t>
  </si>
  <si>
    <t>CICLOVIA</t>
  </si>
  <si>
    <t>PAVIMENTO INTERTRAVADO DE TRANSIÇÃO</t>
  </si>
  <si>
    <t>CCU-071</t>
  </si>
  <si>
    <t xml:space="preserve">PAVIMENTAÇÃO </t>
  </si>
  <si>
    <t>CCU-072</t>
  </si>
  <si>
    <t>GUIA DE CONTENÇÃO LATERAL</t>
  </si>
  <si>
    <t xml:space="preserve">GUIA DE ALTO ACABAMENTO EM CONCRETO SIMPLES PRÉ FABRICADA FCK=15MPA, NAS DIMENSÕES 0,80X0,25X0,08M. </t>
  </si>
  <si>
    <t>PAVIMENTO INTERTRAVADO DE ACESSO</t>
  </si>
  <si>
    <t>BICA CORRIDA PARA MACADAME SECO</t>
  </si>
  <si>
    <t>SÃO JOSÉ PINHAIS, PR</t>
  </si>
  <si>
    <t>X1 (PAV)</t>
  </si>
  <si>
    <t>X2 (NPAV)</t>
  </si>
  <si>
    <t>ABRIGO</t>
  </si>
  <si>
    <t>CÓDIGO DO MATERIAL</t>
  </si>
  <si>
    <t>ITEM A SER TRANSPORTADO</t>
  </si>
  <si>
    <t>CÓDIGO DE TRANSPORTE</t>
  </si>
  <si>
    <t>T/M3</t>
  </si>
  <si>
    <t>MATERIAL JAZIDA 1ª CAT</t>
  </si>
  <si>
    <t>PEDRA BRITADA 4"</t>
  </si>
  <si>
    <t>ENTULHO</t>
  </si>
  <si>
    <t xml:space="preserve">ÁRVORE / MADEIRA </t>
  </si>
  <si>
    <t>Ocle Engenharia Elétrica Ltda</t>
  </si>
  <si>
    <t>orcamentos@ocle.com.br</t>
  </si>
  <si>
    <t>(41) 998322086</t>
  </si>
  <si>
    <t>Andra Materiais Elétricos</t>
  </si>
  <si>
    <t>CONCRETO USINADO</t>
  </si>
  <si>
    <t>FAZENDA RIO GRANDE, PR</t>
  </si>
  <si>
    <t>Conduscamp Condutores elétricos</t>
  </si>
  <si>
    <t>e-comercial@conduscamp.com.br</t>
  </si>
  <si>
    <t>(19) 97406-4137</t>
  </si>
  <si>
    <t>JAV Automação industrial</t>
  </si>
  <si>
    <t>nicolas.giustina@jav.com.br</t>
  </si>
  <si>
    <t>(47) 3473-6777</t>
  </si>
  <si>
    <t>Gigamax Condutores elétricos</t>
  </si>
  <si>
    <t>gigamax@gigamaxcondutores.com.br</t>
  </si>
  <si>
    <t>(11)96254-4356</t>
  </si>
  <si>
    <t>(11) 9 6924-6966</t>
  </si>
  <si>
    <t>(11) 2626-9632</t>
  </si>
  <si>
    <t>(11) 4680-2994</t>
  </si>
  <si>
    <t>ALUGUEL DE BANHEIRO QUÍMICO, COM 03 LIMPEZAS SEMANAIS</t>
  </si>
  <si>
    <t>MÊS</t>
  </si>
  <si>
    <t>TRECHO 01</t>
  </si>
  <si>
    <t>TRECHO 02</t>
  </si>
  <si>
    <t>TRECHO 03</t>
  </si>
  <si>
    <t>TRECHO 04</t>
  </si>
  <si>
    <t>TRECHO 05</t>
  </si>
  <si>
    <t>CORTE</t>
  </si>
  <si>
    <t>ATERRO</t>
  </si>
  <si>
    <t>LIMPEZA</t>
  </si>
  <si>
    <t>EMPRÉSTIMO</t>
  </si>
  <si>
    <t>BOCA DE SAÍDA DE DRENO (BSD)</t>
  </si>
  <si>
    <t>TRAVESSIA SOBRE SARJETA (TSS)</t>
  </si>
  <si>
    <t>SARJETA TRIANGULAR DE CONCRETO TIPO 01 (STC 01)</t>
  </si>
  <si>
    <t>SARJETA TRIANGULAR DE CONCRETO TIPO 01A (STC 01A)</t>
  </si>
  <si>
    <t>VALETA DE PROTEÇÃO DE ATERRO (VPA)</t>
  </si>
  <si>
    <t>VALETA DE PROTEÇÃO DE CORTE (VPC)</t>
  </si>
  <si>
    <t>DRENO LONGITUDINAL PROFUNDO EM SOLO (DPS)</t>
  </si>
  <si>
    <t>DRENO DE REBAIXO(DR)</t>
  </si>
  <si>
    <t>DRENO SUB SUPERFICIAL DE PAVIMENTO (DSSP)</t>
  </si>
  <si>
    <t>DISSIPADOR DE ENERGIA (DES / DEB) - 2 UNIDADES DEB-10</t>
  </si>
  <si>
    <t>CAIXA COLETORA DE SARJETA (CCS) - 5 UNIDADES CCS-01</t>
  </si>
  <si>
    <t>BOCA DE LOBO PROJETADA(BLC) - 2 UNIDADES BLC-02</t>
  </si>
  <si>
    <t>CAIXA COLETORA DE SARJETA (CCS) - 5 UNIDADES CCS-02</t>
  </si>
  <si>
    <t>CAIXA DE LIGAÇÃO E PASSAGEM- 4 UNIDADES CLP-02</t>
  </si>
  <si>
    <t>TRANSPOSIÇÃO DE SEGMENTO DE SARJETA - TIPO - 2 C/TUBO 0,40M</t>
  </si>
  <si>
    <t>BOCA DE BUEIRO SIMPLES TUBULAR DE CONCRETO - 0,60M</t>
  </si>
  <si>
    <t>BOCA DE BUEIRO SIMPLES TUBULAR DE CONCRETO - 0,80M</t>
  </si>
  <si>
    <t>BOCA DE BUEIRO SIMPLES TUBULAR DE CONCRETO - 1,50M</t>
  </si>
  <si>
    <t>BOCA DE BUEIRO SIMPLES CELULAR DE CONCRETO - 1,50M</t>
  </si>
  <si>
    <t>BOCA DE BUEIRO SIMPLES CELULAR DE CONCRETO - 2,50M</t>
  </si>
  <si>
    <t>BOCA DE BUEIRO DUPLO CELULAR DE CONCRETO - 2,50M</t>
  </si>
  <si>
    <t>VALA PROJETADA - 55 METROS - VALA 01</t>
  </si>
  <si>
    <t>VALA PROJETADA - 20 METROS - VALA 02</t>
  </si>
  <si>
    <t>CAIXA COLETORA DE SARJETA (CCS) - 2 UNIDADES CCS-01</t>
  </si>
  <si>
    <t>CAIXA COLETORA DE SARJETA (CCS) - 2 UNIDADES CCS-02</t>
  </si>
  <si>
    <t>BOCA DE LOBO PROJETADA(BLC) - 2 UNIDADES BLC-03</t>
  </si>
  <si>
    <t>BOCA DE LOBO PROJETADA(BLC) - 5 UNIDADES BLC-02</t>
  </si>
  <si>
    <t>VALA PROJETADA - 53 METROS - VALA 01</t>
  </si>
  <si>
    <t>DISSIPADOR DE ENERGIA (DES / DEB) - 2 UNIDADES DEB-07</t>
  </si>
  <si>
    <t>DISSIPADOR DE ENERGIA (DES / DEB) - 1 UNIDADE DEB-02</t>
  </si>
  <si>
    <t>DISSIPADOR DE ENERGIA (DES / DEB) - 5 UNIDADES DEB-04</t>
  </si>
  <si>
    <t>DISSIPADOR DE ENERGIA (DES / DEB) - 1 UNIDADE DEB-07</t>
  </si>
  <si>
    <t>CAIXA COLETORA DE SARJETA (CCS) - 1 UNIDADE CCS-01</t>
  </si>
  <si>
    <t>CAIXA COLETORA DE SARJETA (CCS) - 21 UNIDADES CCS-02</t>
  </si>
  <si>
    <t>CAIXA COLETORA DE SARJETA (CCS) - 2 UNIDADES CCS-03</t>
  </si>
  <si>
    <t>BOCA DE BUEIRO SIMPLES CELULAR DE CONCRETO - 2,00M</t>
  </si>
  <si>
    <t>VALA PROJETADA - 162 METROS - VALA 01</t>
  </si>
  <si>
    <t>DESCIDA D'ÁGUA EM DEGRAUS (DAD)- DAD-04- 21,00M</t>
  </si>
  <si>
    <t>BOCA DE LOBO PROJETADA(BLC) - 4 UNIDADES BLC-02</t>
  </si>
  <si>
    <t>BOCA DE BUEIRO DUPLA TUBULAR DE CONCRETO - 1,50M</t>
  </si>
  <si>
    <t>BOCA DE BUEIRO TRIPLA TUBULAR DE CONCRETO - 1,50M</t>
  </si>
  <si>
    <t>VALA PROJETADA - 13 METROS - VALA 01</t>
  </si>
  <si>
    <t>DISSIPADOR DE ENERGIA (DES / DEB) - 1 UNIDADE DEB-03</t>
  </si>
  <si>
    <t>DISSIPADOR DE ENERGIA (DES / DEB) - 6 UNIDADES DEB-10</t>
  </si>
  <si>
    <t>DISSIPADOR DE ENERGIA (DES / DEB) - 12 UNIDADES DEB-03</t>
  </si>
  <si>
    <t>DISSIPADOR DE ENERGIA (DES / DEB) - 8 UNIDADES DEB-04</t>
  </si>
  <si>
    <t>CAIXA COLETORA DE SARJETA (CCS) - 19 UNIDADES CCS-02</t>
  </si>
  <si>
    <t>BOCA DE BUEIRO DUPLA CELULAR DE CONCRETO - 2,00M</t>
  </si>
  <si>
    <t>VALA PROJETADA - 130 METROS - VALA 01</t>
  </si>
  <si>
    <t>DESCIDA D'ÁGUA EM DEGRAUS (DAD)- DAD-04- 15,00M</t>
  </si>
  <si>
    <t>DESCIDA D'ÁGUA EM DEGRAUS (DAD)- DAD-02- 3,00M</t>
  </si>
  <si>
    <t>Concreto usinado fck=30 MPa, exclusive bombeamento</t>
  </si>
  <si>
    <t xml:space="preserve">CONCRETO USINADO </t>
  </si>
  <si>
    <t>TRECHO 1</t>
  </si>
  <si>
    <t>TRECHO 2</t>
  </si>
  <si>
    <t>TRECHO 3</t>
  </si>
  <si>
    <t>TRECHO 4</t>
  </si>
  <si>
    <t>TRECHO 5</t>
  </si>
  <si>
    <t>VIGA DE CONCRETO 15X14CM, COM BARRA DE 12,5MM</t>
  </si>
  <si>
    <t>RETIRADA E REASSENTAMENTO DE PARALELEPÍPEDO (COM REAPROVEITAMENTO)</t>
  </si>
  <si>
    <t>DEMOLIÇÃO E RECONSTRUÇÃO DE PAVIMENTO ASFÁLTICO</t>
  </si>
  <si>
    <t>CORPO DE BUEIRO SIMPLES TUBULAR DE CONCRETO</t>
  </si>
  <si>
    <t>CORPO DE BUEIRO DUPLO TUBULAR DE CONCRETO</t>
  </si>
  <si>
    <t>CORPO DE BUEIRO SIMPLES CELULAR DE CONCRETO</t>
  </si>
  <si>
    <t>CORPO DE BUEIRO DUPLO CELULAR DE CONCRETO</t>
  </si>
  <si>
    <t>ASSENTAMENTO DE CORPO DE BUEIRO SIMPLES TUBULAR DE CONCRETO, SEM BERÇO E COM ENVELOPAMENTO - 0,60M - 24,00M</t>
  </si>
  <si>
    <t>ASSENTAMENTO DE CORPO DE BUEIRO SIMPLES TUBULAR DE CONCRETO, SEM BERÇO E SEM ENVELOPAMENTO - 0,60M - 450,00M</t>
  </si>
  <si>
    <t>ASSENTAMENTO DE CORPO DE BUEIRO SIMPLES CELULAR DE CONCRETO, COM LASTRO DE RACHÃO - 1,50X1,50M - 26,00M</t>
  </si>
  <si>
    <t>ASSENTAMENTO DE CORPO DE BUEIRO SIMPLES CELULAR DE CONCRETO, COM LASTRO DE RACHÃO - 2,50X2,50M - 15,00M</t>
  </si>
  <si>
    <t>ASSENTAMENTO DE CORPO DE BUEIRO DUPLO CELULAR DE CONCRETO, COM LASTRO DE RACHÃO - 2,50X2,50M - 15,00M</t>
  </si>
  <si>
    <t>ASSENTAMENTO DE CORPO DE BUEIRO SIMPLES TUBULAR DE CONCRETO, SEM BERÇO E SEM ENVELOPAMENTO - 0,60M - 158,00M</t>
  </si>
  <si>
    <t>ASSENTAMENTO DE CORPO DE BUEIRO SIMPLES TUBULAR DE CONCRETO, SEM BERÇO E SEM ENVELOPAMENTO - 0,60M - 104,00M</t>
  </si>
  <si>
    <t>ASSENTAMENTO DE CORPO DE BUEIRO SIMPLES TUBULAR DE CONCRETO, SEM BERÇO E SEM ENVELOPAMENTO - 0,80M - 438,00M</t>
  </si>
  <si>
    <t>ASSENTAMENTO DE CORPO DE BUEIRO SIMPLES CELULAR DE CONCRETO, COM LASTRO DE RACHÃO - 1,50X1,50M - 61,00M</t>
  </si>
  <si>
    <t>ASSENTAMENTO DE CORPO DE BUEIRO SIMPLES CELULAR DE CONCRETO, COM LASTRO DE RACHÃO - 2,00X2,00M - 33,00M</t>
  </si>
  <si>
    <t>CORPO DE BUEIRO TRIPLO TUBULAR DE CONCRETO</t>
  </si>
  <si>
    <t>ASSENTAMENTO DE CORPO DE BUEIRO SIMPLES TUBULAR DE CONCRETO, SEM BERÇO E SEM ENVELOPAMENTO - 0,80M - 36,00M</t>
  </si>
  <si>
    <t>ASSENTAMENTO DE CORPO DE BUEIRO SIMPLES TUBULAR DE CONCRETO, SEM BERÇO E SEM ENVELOPAMENTO - 0,60M - 26,00M</t>
  </si>
  <si>
    <t>ASSENTAMENTO DE CORPO DE BUEIRO SIMPLES TUBULAR DE CONCRETO, SEM BERÇO E SEM ENVELOPAMENTO - 0,80M - 99,00M</t>
  </si>
  <si>
    <t>ASSENTAMENTO DE CORPO DE BUEIRO SIMPLES CELULAR DE CONCRETO, COM LASTRO DE RACHÃO - 1,50X1,50M - 63,00M</t>
  </si>
  <si>
    <t>ASSENTAMENTO DE CORPO DE BUEIRO DUPLO CELULAR DE CONCRETO, COM LASTRO DE RACHÃO - 2,00X2,00M - 16,00M</t>
  </si>
  <si>
    <t>OBRAS DE ARTES CORRENTES</t>
  </si>
  <si>
    <t xml:space="preserve">DRENAGEM </t>
  </si>
  <si>
    <t>MURO 01 - EXTENSÃO 20,00M</t>
  </si>
  <si>
    <t>MURO 02 - EXTENSÃO 58,00M</t>
  </si>
  <si>
    <t>CONTENÇÕES</t>
  </si>
  <si>
    <t>ILUMINAÇÃO PÚBLICA - POSTES EXISTENTES</t>
  </si>
  <si>
    <t>ILUMINAÇÃO PÚBLICA - POSTES NOVOS</t>
  </si>
  <si>
    <t>ESCAVAÇÕES E REATERROS PARA BUEIROS TUBULARES</t>
  </si>
  <si>
    <t>ESCAVAÇÕES E REATERROS PARA BUEIROS CELULARES</t>
  </si>
  <si>
    <t>1.1</t>
  </si>
  <si>
    <t>1.2</t>
  </si>
  <si>
    <t>1.3</t>
  </si>
  <si>
    <t>1.4</t>
  </si>
  <si>
    <t>1.5</t>
  </si>
  <si>
    <t>1.6</t>
  </si>
  <si>
    <t>1.7</t>
  </si>
  <si>
    <t>1.8</t>
  </si>
  <si>
    <t>1.9</t>
  </si>
  <si>
    <t>2.1</t>
  </si>
  <si>
    <t>3.1</t>
  </si>
  <si>
    <t>3.2</t>
  </si>
  <si>
    <t>5.1</t>
  </si>
  <si>
    <t>5.2</t>
  </si>
  <si>
    <t>5.3</t>
  </si>
  <si>
    <t>8.1</t>
  </si>
  <si>
    <t>8.2</t>
  </si>
  <si>
    <t>8.3</t>
  </si>
  <si>
    <t>8.4</t>
  </si>
  <si>
    <t>8.5</t>
  </si>
  <si>
    <t>9.1</t>
  </si>
  <si>
    <t>9.2</t>
  </si>
  <si>
    <t>9.3</t>
  </si>
  <si>
    <t>9.4</t>
  </si>
  <si>
    <t>9.5</t>
  </si>
  <si>
    <t>10.1</t>
  </si>
  <si>
    <t>10.2</t>
  </si>
  <si>
    <t>10.3</t>
  </si>
  <si>
    <t>10.4</t>
  </si>
  <si>
    <t>11.1</t>
  </si>
  <si>
    <t>ENGENHEIRO CIVIL  PROJETISTA COM ENCARGOS COMPLEMENTARES</t>
  </si>
  <si>
    <t>EQUIPE DE CONTROLE TECNOLÓGICO DE CAMPO</t>
  </si>
  <si>
    <t>EQUIPE DE CONTROLE TECNOLÓGICO DE LABORATÓRIO</t>
  </si>
  <si>
    <t>ESCRITÓRIOS DAS EMPRESAS CONTRATADAS: EXECUTORA E FISCALIZADORA TERC.</t>
  </si>
  <si>
    <t>ESCRITÓRIO DA EQUIPE CONTRATANTE: AMEP</t>
  </si>
  <si>
    <t>ALMOXARIFADO</t>
  </si>
  <si>
    <t>DEPÓSITO</t>
  </si>
  <si>
    <t>REFEITÓRIO</t>
  </si>
  <si>
    <t>VESTIÁRIOS MASCULINO E FEMININO</t>
  </si>
  <si>
    <t>OFICINA</t>
  </si>
  <si>
    <t>EXECUÇÃO DE OFICINA EM CANTEIRO DE OBRA EM CHAPA DE MADEIRA COMPENSADA, NÃO INCLUSO MOBILIÁRIO. AF_04/2016</t>
  </si>
  <si>
    <t>SALA DE TOPOGRAFIA</t>
  </si>
  <si>
    <t>LABORATÓRIO DA CONTRATADA EXECUTORA</t>
  </si>
  <si>
    <t>EXECUÇÃO DE LABORATÓRIO EM CANTEIRO DE OBRA EM CHAPA DE MADEIRA COMPENSADA, NÃO INCLUSO MOBILIÁRIO. AF_04/2016</t>
  </si>
  <si>
    <t xml:space="preserve">LABORATÓRIO DA CONTRATADA FISCALIZADORA </t>
  </si>
  <si>
    <t>SERVIÇOS PRELIMINARES</t>
  </si>
  <si>
    <t>TAPUME</t>
  </si>
  <si>
    <t>4.1</t>
  </si>
  <si>
    <t>4.2</t>
  </si>
  <si>
    <t>4.3</t>
  </si>
  <si>
    <t>4.4</t>
  </si>
  <si>
    <t>COT-09</t>
  </si>
  <si>
    <t>4.5</t>
  </si>
  <si>
    <t>4.6</t>
  </si>
  <si>
    <t>4.7</t>
  </si>
  <si>
    <t>4.8</t>
  </si>
  <si>
    <t>4.9</t>
  </si>
  <si>
    <t>4.10</t>
  </si>
  <si>
    <t>4.11</t>
  </si>
  <si>
    <t>4.12</t>
  </si>
  <si>
    <t>4.13</t>
  </si>
  <si>
    <t>4.14</t>
  </si>
  <si>
    <t>4.1.1</t>
  </si>
  <si>
    <t>4.2.1</t>
  </si>
  <si>
    <t>4.3.1</t>
  </si>
  <si>
    <t>4.3.2</t>
  </si>
  <si>
    <t>4.4.1</t>
  </si>
  <si>
    <t>4.5.1</t>
  </si>
  <si>
    <t>4.6.1</t>
  </si>
  <si>
    <t>4.7.1</t>
  </si>
  <si>
    <t>4.8.1</t>
  </si>
  <si>
    <t>8.1.8</t>
  </si>
  <si>
    <t>4.9.1</t>
  </si>
  <si>
    <t>4.10.1</t>
  </si>
  <si>
    <t>4.11.1</t>
  </si>
  <si>
    <t>4.12.1</t>
  </si>
  <si>
    <t>4.13.1</t>
  </si>
  <si>
    <t>4.14.1</t>
  </si>
  <si>
    <t>Nacional Ambiental</t>
  </si>
  <si>
    <t>propostas@nacionalambiental.com</t>
  </si>
  <si>
    <t>(41) 99927-2444</t>
  </si>
  <si>
    <t>Bioberg Engenharia</t>
  </si>
  <si>
    <t>sailon@bioberg.com.br</t>
  </si>
  <si>
    <t>(41)99899-2310</t>
  </si>
  <si>
    <t>Zugam Assessoria Ambiental Ltda</t>
  </si>
  <si>
    <t>dirlene@zugam.com.br</t>
  </si>
  <si>
    <t>(41) 99679-5863</t>
  </si>
  <si>
    <t>6.1.1</t>
  </si>
  <si>
    <t>6.1.2</t>
  </si>
  <si>
    <t>6.1.3</t>
  </si>
  <si>
    <t>6.1.4</t>
  </si>
  <si>
    <t>6.1.5</t>
  </si>
  <si>
    <t>6.1.6</t>
  </si>
  <si>
    <t>6.1.7</t>
  </si>
  <si>
    <t>6.1.8</t>
  </si>
  <si>
    <t>6.1.9</t>
  </si>
  <si>
    <t>6.1.10</t>
  </si>
  <si>
    <t>6.5</t>
  </si>
  <si>
    <t>7.1</t>
  </si>
  <si>
    <t>7.2</t>
  </si>
  <si>
    <t>7.3</t>
  </si>
  <si>
    <t>7.4</t>
  </si>
  <si>
    <t>7.5</t>
  </si>
  <si>
    <t>12.1</t>
  </si>
  <si>
    <t>12.2</t>
  </si>
  <si>
    <t>12.3</t>
  </si>
  <si>
    <t>12.4</t>
  </si>
  <si>
    <t>12.5</t>
  </si>
  <si>
    <t>13.1</t>
  </si>
  <si>
    <t>13.2</t>
  </si>
  <si>
    <t>13.3</t>
  </si>
  <si>
    <t>13.4</t>
  </si>
  <si>
    <t>13.5</t>
  </si>
  <si>
    <t>14.1</t>
  </si>
  <si>
    <t>14.2</t>
  </si>
  <si>
    <t>14.3</t>
  </si>
  <si>
    <t>14.4</t>
  </si>
  <si>
    <t>14.5</t>
  </si>
  <si>
    <t>15.1</t>
  </si>
  <si>
    <t>16.1</t>
  </si>
  <si>
    <t>16.2</t>
  </si>
  <si>
    <t>6.2.1</t>
  </si>
  <si>
    <t>6.2.2</t>
  </si>
  <si>
    <t>6.2.3</t>
  </si>
  <si>
    <t>6.2.4</t>
  </si>
  <si>
    <t>6.2.5</t>
  </si>
  <si>
    <t>6.2.6</t>
  </si>
  <si>
    <t>6.3.1</t>
  </si>
  <si>
    <t>6.3.2</t>
  </si>
  <si>
    <t>6.3.3</t>
  </si>
  <si>
    <t>6.3.4</t>
  </si>
  <si>
    <t>6.3.5</t>
  </si>
  <si>
    <t>6.3.6</t>
  </si>
  <si>
    <t>6.3.7</t>
  </si>
  <si>
    <t>6.3.8</t>
  </si>
  <si>
    <t>6.3.9</t>
  </si>
  <si>
    <t>6.3.10</t>
  </si>
  <si>
    <t>6.3.11</t>
  </si>
  <si>
    <t>6.3.12</t>
  </si>
  <si>
    <t>6.4.1</t>
  </si>
  <si>
    <t>6.4.2</t>
  </si>
  <si>
    <t>6.4.3</t>
  </si>
  <si>
    <t>6.4.4</t>
  </si>
  <si>
    <t>6.4.5</t>
  </si>
  <si>
    <t>6.4.6</t>
  </si>
  <si>
    <t>6.4.7</t>
  </si>
  <si>
    <t>6.4.8</t>
  </si>
  <si>
    <t>6.5.1</t>
  </si>
  <si>
    <t>6.5.2</t>
  </si>
  <si>
    <t>6.5.3</t>
  </si>
  <si>
    <t>6.5.4</t>
  </si>
  <si>
    <t>6.5.5</t>
  </si>
  <si>
    <t>6.5.6</t>
  </si>
  <si>
    <t>6.5.7</t>
  </si>
  <si>
    <t>6.5.8</t>
  </si>
  <si>
    <t>6.5.9</t>
  </si>
  <si>
    <t>6.5.10</t>
  </si>
  <si>
    <t>6.5.11</t>
  </si>
  <si>
    <t>6.5.12</t>
  </si>
  <si>
    <t>7.2.1</t>
  </si>
  <si>
    <t>7.2.2</t>
  </si>
  <si>
    <t>7.2.3</t>
  </si>
  <si>
    <t>7.2.4</t>
  </si>
  <si>
    <t>7.2.5</t>
  </si>
  <si>
    <t>7.2.6</t>
  </si>
  <si>
    <t>7.4.6</t>
  </si>
  <si>
    <t>7.2.7</t>
  </si>
  <si>
    <t>7.2.8</t>
  </si>
  <si>
    <t>7.2.9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</si>
  <si>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</si>
  <si>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</si>
  <si>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</si>
  <si>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</si>
  <si>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</si>
  <si>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</si>
  <si>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</si>
  <si>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</si>
  <si>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</si>
  <si>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</si>
  <si>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</si>
  <si>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</si>
  <si>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</si>
  <si>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</si>
  <si>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</si>
  <si>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</si>
  <si>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</si>
  <si>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</si>
  <si>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</si>
  <si>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</si>
  <si>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</si>
  <si>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</si>
  <si>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7.2.32</t>
  </si>
  <si>
    <t>7.3.1</t>
  </si>
  <si>
    <t>7.3.2</t>
  </si>
  <si>
    <t>7.3.3</t>
  </si>
  <si>
    <t>7.3.4</t>
  </si>
  <si>
    <t>7.3.5</t>
  </si>
  <si>
    <t>7.3.6</t>
  </si>
  <si>
    <t>7.3.7</t>
  </si>
  <si>
    <t>7.3.8</t>
  </si>
  <si>
    <t>7.3.9</t>
  </si>
  <si>
    <t>7.3.10</t>
  </si>
  <si>
    <t>7.3.11</t>
  </si>
  <si>
    <t>7.3.12</t>
  </si>
  <si>
    <t>7.3.13</t>
  </si>
  <si>
    <t>7.3.14</t>
  </si>
  <si>
    <t>7.3.15</t>
  </si>
  <si>
    <t>7.3.16</t>
  </si>
  <si>
    <t>7.3.17</t>
  </si>
  <si>
    <t>7.3.18</t>
  </si>
  <si>
    <t>7.3.19</t>
  </si>
  <si>
    <t>7.3.20</t>
  </si>
  <si>
    <t>7.3.21</t>
  </si>
  <si>
    <t>7.3.22</t>
  </si>
  <si>
    <t>7.3.23</t>
  </si>
  <si>
    <t>7.3.24</t>
  </si>
  <si>
    <t>7.3.25</t>
  </si>
  <si>
    <t>7.5.29</t>
  </si>
  <si>
    <t>7.4.29</t>
  </si>
  <si>
    <t>7.3.26</t>
  </si>
  <si>
    <t>7.3.27</t>
  </si>
  <si>
    <t>7.3.28</t>
  </si>
  <si>
    <t>7.3.29</t>
  </si>
  <si>
    <t>7.3.30</t>
  </si>
  <si>
    <t>7.3.31</t>
  </si>
  <si>
    <t>7.3.32</t>
  </si>
  <si>
    <t>7.3.33</t>
  </si>
  <si>
    <t>7.3.34</t>
  </si>
  <si>
    <t>7.3.35</t>
  </si>
  <si>
    <t>7.3.36</t>
  </si>
  <si>
    <t>7.3.37</t>
  </si>
  <si>
    <t>7.3.38</t>
  </si>
  <si>
    <t>7.3.39</t>
  </si>
  <si>
    <t>7.3.40</t>
  </si>
  <si>
    <t>7.3.41</t>
  </si>
  <si>
    <t>7.3.42</t>
  </si>
  <si>
    <t>7.3.43</t>
  </si>
  <si>
    <t>7.3.44</t>
  </si>
  <si>
    <t>7.3.45</t>
  </si>
  <si>
    <t>9.2.3</t>
  </si>
  <si>
    <t>7.3.46</t>
  </si>
  <si>
    <t>7.3.47</t>
  </si>
  <si>
    <t>7.3.48</t>
  </si>
  <si>
    <t>7.3.49</t>
  </si>
  <si>
    <t>7.3.50</t>
  </si>
  <si>
    <t>7.3.51</t>
  </si>
  <si>
    <t>7.3.52</t>
  </si>
  <si>
    <t>7.3.54</t>
  </si>
  <si>
    <t>7.3.53</t>
  </si>
  <si>
    <t>7.4.1</t>
  </si>
  <si>
    <t>7.5.20</t>
  </si>
  <si>
    <t>7.4.3</t>
  </si>
  <si>
    <t>7.5.50</t>
  </si>
  <si>
    <t>7.4.2</t>
  </si>
  <si>
    <t>7.4.4</t>
  </si>
  <si>
    <t>7.4.5</t>
  </si>
  <si>
    <t>7.4.7</t>
  </si>
  <si>
    <t>7.4.8</t>
  </si>
  <si>
    <t>7.4.9</t>
  </si>
  <si>
    <t>7.4.10</t>
  </si>
  <si>
    <t>7.4.11</t>
  </si>
  <si>
    <t>7.4.12</t>
  </si>
  <si>
    <t>7.4.13</t>
  </si>
  <si>
    <t>7.4.14</t>
  </si>
  <si>
    <t>7.4.15</t>
  </si>
  <si>
    <t>7.4.16</t>
  </si>
  <si>
    <t>7.4.17</t>
  </si>
  <si>
    <t>7.4.18</t>
  </si>
  <si>
    <t>7.4.19</t>
  </si>
  <si>
    <t>7.4.20</t>
  </si>
  <si>
    <t>7.4.21</t>
  </si>
  <si>
    <t>7.4.22</t>
  </si>
  <si>
    <t>7.4.23</t>
  </si>
  <si>
    <t>7.4.24</t>
  </si>
  <si>
    <t>7.4.25</t>
  </si>
  <si>
    <t>7.4.26</t>
  </si>
  <si>
    <t>7.4.27</t>
  </si>
  <si>
    <t>7.4.28</t>
  </si>
  <si>
    <t>7.4.30</t>
  </si>
  <si>
    <t>7.4.31</t>
  </si>
  <si>
    <t>7.4.32</t>
  </si>
  <si>
    <t>7.4.33</t>
  </si>
  <si>
    <t>7.4.34</t>
  </si>
  <si>
    <t>7.4.35</t>
  </si>
  <si>
    <t>7.4.36</t>
  </si>
  <si>
    <t>7.4.37</t>
  </si>
  <si>
    <t>7.5.1</t>
  </si>
  <si>
    <t>7.5.2</t>
  </si>
  <si>
    <t>7.5.3</t>
  </si>
  <si>
    <t>7.5.4</t>
  </si>
  <si>
    <t>9.1.1</t>
  </si>
  <si>
    <t>7.5.5</t>
  </si>
  <si>
    <t>9.2.2</t>
  </si>
  <si>
    <t>8.1.1</t>
  </si>
  <si>
    <t>7.5.6</t>
  </si>
  <si>
    <t>7.5.7</t>
  </si>
  <si>
    <t>7.5.8</t>
  </si>
  <si>
    <t>7.5.9</t>
  </si>
  <si>
    <t>7.5.10</t>
  </si>
  <si>
    <t>7.5.42</t>
  </si>
  <si>
    <t>7.5.15</t>
  </si>
  <si>
    <t>7.5.11</t>
  </si>
  <si>
    <t>7.5.12</t>
  </si>
  <si>
    <t>7.5.13</t>
  </si>
  <si>
    <t>7.5.14</t>
  </si>
  <si>
    <t>7.5.35</t>
  </si>
  <si>
    <t>7.5.16</t>
  </si>
  <si>
    <t>7.5.17</t>
  </si>
  <si>
    <t>7.5.18</t>
  </si>
  <si>
    <t>7.5.19</t>
  </si>
  <si>
    <t>7.5.21</t>
  </si>
  <si>
    <t>7.5.22</t>
  </si>
  <si>
    <t>7.5.23</t>
  </si>
  <si>
    <t>7.5.24</t>
  </si>
  <si>
    <t>7.5.25</t>
  </si>
  <si>
    <t>7.5.26</t>
  </si>
  <si>
    <t>7.5.27</t>
  </si>
  <si>
    <t>7.5.28</t>
  </si>
  <si>
    <t>7.5.30</t>
  </si>
  <si>
    <t>7.5.31</t>
  </si>
  <si>
    <t>7.5.32</t>
  </si>
  <si>
    <t>7.5.33</t>
  </si>
  <si>
    <t>7.5.34</t>
  </si>
  <si>
    <t>7.5.36</t>
  </si>
  <si>
    <t>7.5.37</t>
  </si>
  <si>
    <t>7.5.38</t>
  </si>
  <si>
    <t>7.5.39</t>
  </si>
  <si>
    <t>7.5.40</t>
  </si>
  <si>
    <t>7.5.41</t>
  </si>
  <si>
    <t>7.5.43</t>
  </si>
  <si>
    <t>7.5.44</t>
  </si>
  <si>
    <t>7.5.45</t>
  </si>
  <si>
    <t>7.5.46</t>
  </si>
  <si>
    <t>7.5.47</t>
  </si>
  <si>
    <t>7.5.48</t>
  </si>
  <si>
    <t>7.5.49</t>
  </si>
  <si>
    <t>7.5.51</t>
  </si>
  <si>
    <t>7.5.52</t>
  </si>
  <si>
    <t>7.5.53</t>
  </si>
  <si>
    <t>7.5.54</t>
  </si>
  <si>
    <t>7.5.55</t>
  </si>
  <si>
    <t>7.5.56</t>
  </si>
  <si>
    <t>7.5.57</t>
  </si>
  <si>
    <t>7.5.58</t>
  </si>
  <si>
    <t>7.5.59</t>
  </si>
  <si>
    <t>7.5.60</t>
  </si>
  <si>
    <t>8.1.2</t>
  </si>
  <si>
    <t>8.1.3</t>
  </si>
  <si>
    <t>8.1.4</t>
  </si>
  <si>
    <t>8.1.5</t>
  </si>
  <si>
    <t>8.1.6</t>
  </si>
  <si>
    <t>8.1.7</t>
  </si>
  <si>
    <t>8.1.9</t>
  </si>
  <si>
    <t>8.1.10</t>
  </si>
  <si>
    <t>8.1.11</t>
  </si>
  <si>
    <t>8.1.12</t>
  </si>
  <si>
    <t>8.1.13</t>
  </si>
  <si>
    <t>8.2.1</t>
  </si>
  <si>
    <t>8.2.2</t>
  </si>
  <si>
    <t>8.2.3</t>
  </si>
  <si>
    <t>8.2.4</t>
  </si>
  <si>
    <t>8.3.1</t>
  </si>
  <si>
    <t>8.3.2</t>
  </si>
  <si>
    <t>8.3.3</t>
  </si>
  <si>
    <t>8.3.4</t>
  </si>
  <si>
    <t>8.3.5</t>
  </si>
  <si>
    <t>8.3.6</t>
  </si>
  <si>
    <t>8.3.7</t>
  </si>
  <si>
    <t>8.3.8</t>
  </si>
  <si>
    <t>8.3.9</t>
  </si>
  <si>
    <t>8.3.10</t>
  </si>
  <si>
    <t>8.5.1</t>
  </si>
  <si>
    <t>8.5.2</t>
  </si>
  <si>
    <t>8.5.3</t>
  </si>
  <si>
    <t>8.5.4</t>
  </si>
  <si>
    <t>8.5.5</t>
  </si>
  <si>
    <t>8.5.6</t>
  </si>
  <si>
    <t>8.5.7</t>
  </si>
  <si>
    <t>8.5.8</t>
  </si>
  <si>
    <t>8.5.9</t>
  </si>
  <si>
    <t>8.5.10</t>
  </si>
  <si>
    <t>9.5.5</t>
  </si>
  <si>
    <t>9.4.4</t>
  </si>
  <si>
    <t>9.1.2</t>
  </si>
  <si>
    <t>9.1.3</t>
  </si>
  <si>
    <t>9.1.4</t>
  </si>
  <si>
    <t>9.1.5</t>
  </si>
  <si>
    <t>9.1.6</t>
  </si>
  <si>
    <t>9.1.7</t>
  </si>
  <si>
    <t>9.1.8</t>
  </si>
  <si>
    <t>9.1.9</t>
  </si>
  <si>
    <t>9.1.10</t>
  </si>
  <si>
    <t>9.1.11</t>
  </si>
  <si>
    <t>9.1.12</t>
  </si>
  <si>
    <t>9.1.13</t>
  </si>
  <si>
    <t>9.1.14</t>
  </si>
  <si>
    <t>9.1.15</t>
  </si>
  <si>
    <t>9.1.16</t>
  </si>
  <si>
    <t>9.1.17</t>
  </si>
  <si>
    <t>9.1.18</t>
  </si>
  <si>
    <t>9.1.19</t>
  </si>
  <si>
    <t>9.1.20</t>
  </si>
  <si>
    <t>9.1.21</t>
  </si>
  <si>
    <t>9.1.22</t>
  </si>
  <si>
    <t>9.1.23</t>
  </si>
  <si>
    <t>9.1.24</t>
  </si>
  <si>
    <t>9.1.25</t>
  </si>
  <si>
    <t>9.1.26</t>
  </si>
  <si>
    <t>9.1.27</t>
  </si>
  <si>
    <t>9.1.28</t>
  </si>
  <si>
    <t>9.1.29</t>
  </si>
  <si>
    <t>9.1.30</t>
  </si>
  <si>
    <t>9.1.31</t>
  </si>
  <si>
    <t>9.2.1</t>
  </si>
  <si>
    <t>9.2.4</t>
  </si>
  <si>
    <t>9.2.5</t>
  </si>
  <si>
    <t>9.2.6</t>
  </si>
  <si>
    <t>9.2.7</t>
  </si>
  <si>
    <t>9.2.8</t>
  </si>
  <si>
    <t>9.2.9</t>
  </si>
  <si>
    <t>9.2.10</t>
  </si>
  <si>
    <t>9.2.11</t>
  </si>
  <si>
    <t>9.2.12</t>
  </si>
  <si>
    <t>9.2.13</t>
  </si>
  <si>
    <t>9.3.1</t>
  </si>
  <si>
    <t>9.3.2</t>
  </si>
  <si>
    <t>9.3.3</t>
  </si>
  <si>
    <t>9.3.4</t>
  </si>
  <si>
    <t>9.3.5</t>
  </si>
  <si>
    <t>9.3.6</t>
  </si>
  <si>
    <t>9.3.7</t>
  </si>
  <si>
    <t>9.3.8</t>
  </si>
  <si>
    <t>9.3.9</t>
  </si>
  <si>
    <t>9.3.10</t>
  </si>
  <si>
    <t>9.3.11</t>
  </si>
  <si>
    <t>9.3.12</t>
  </si>
  <si>
    <t>9.3.13</t>
  </si>
  <si>
    <t>9.3.14</t>
  </si>
  <si>
    <t>9.3.15</t>
  </si>
  <si>
    <t>9.3.16</t>
  </si>
  <si>
    <t>9.3.17</t>
  </si>
  <si>
    <t>9.3.18</t>
  </si>
  <si>
    <t>9.3.19</t>
  </si>
  <si>
    <t>9.3.20</t>
  </si>
  <si>
    <t>9.3.21</t>
  </si>
  <si>
    <t>9.3.22</t>
  </si>
  <si>
    <t>9.4.1</t>
  </si>
  <si>
    <t>9.5.1</t>
  </si>
  <si>
    <t>9.4.2</t>
  </si>
  <si>
    <t>9.4.3</t>
  </si>
  <si>
    <t>9.4.5</t>
  </si>
  <si>
    <t>9.4.6</t>
  </si>
  <si>
    <t>9.4.7</t>
  </si>
  <si>
    <t>9.4.8</t>
  </si>
  <si>
    <t>9.4.9</t>
  </si>
  <si>
    <t>9.4.10</t>
  </si>
  <si>
    <t>9.4.11</t>
  </si>
  <si>
    <t>9.4.12</t>
  </si>
  <si>
    <t>9.4.13</t>
  </si>
  <si>
    <t>9.4.15</t>
  </si>
  <si>
    <t>9.4.14</t>
  </si>
  <si>
    <t>9.4.16</t>
  </si>
  <si>
    <t>9.4.17</t>
  </si>
  <si>
    <t>9.4.18</t>
  </si>
  <si>
    <t>9.4.19</t>
  </si>
  <si>
    <t>9.4.20</t>
  </si>
  <si>
    <t>9.4.21</t>
  </si>
  <si>
    <t>9.5.2</t>
  </si>
  <si>
    <t>9.5.3</t>
  </si>
  <si>
    <t>9.5.4</t>
  </si>
  <si>
    <t>9.5.6</t>
  </si>
  <si>
    <t>9.5.7</t>
  </si>
  <si>
    <t>9.5.8</t>
  </si>
  <si>
    <t>9.5.9</t>
  </si>
  <si>
    <t>9.5.10</t>
  </si>
  <si>
    <t>9.5.11</t>
  </si>
  <si>
    <t>9.5.12</t>
  </si>
  <si>
    <t>9.5.13</t>
  </si>
  <si>
    <t>9.5.14</t>
  </si>
  <si>
    <t>9.5.15</t>
  </si>
  <si>
    <t>9.5.16</t>
  </si>
  <si>
    <t>9.5.17</t>
  </si>
  <si>
    <t>9.5.18</t>
  </si>
  <si>
    <t>9.5.19</t>
  </si>
  <si>
    <t>9.5.20</t>
  </si>
  <si>
    <t>9.5.21</t>
  </si>
  <si>
    <t>9.5.22</t>
  </si>
  <si>
    <t>9.5.23</t>
  </si>
  <si>
    <t>10.1.1</t>
  </si>
  <si>
    <t>10.2.1</t>
  </si>
  <si>
    <t>10.3.1</t>
  </si>
  <si>
    <t>10.3.2</t>
  </si>
  <si>
    <t>10.3.3</t>
  </si>
  <si>
    <t>10.4.1</t>
  </si>
  <si>
    <t>11.1.1</t>
  </si>
  <si>
    <t>11.1.2</t>
  </si>
  <si>
    <t>11.1.3</t>
  </si>
  <si>
    <t>11.1.4</t>
  </si>
  <si>
    <t>11.1.5</t>
  </si>
  <si>
    <t>11.1.6</t>
  </si>
  <si>
    <t>11.1.7</t>
  </si>
  <si>
    <t>11.1.8</t>
  </si>
  <si>
    <t>13.1.8</t>
  </si>
  <si>
    <t>11.1.9</t>
  </si>
  <si>
    <t>11.1.10</t>
  </si>
  <si>
    <t>11.1.11</t>
  </si>
  <si>
    <t>11.1.12</t>
  </si>
  <si>
    <t>11.1.13</t>
  </si>
  <si>
    <t>11.1.14</t>
  </si>
  <si>
    <t>12.1.1</t>
  </si>
  <si>
    <t>12.1.2</t>
  </si>
  <si>
    <t>12.1.3</t>
  </si>
  <si>
    <t>12.1.4</t>
  </si>
  <si>
    <t>12.1.5</t>
  </si>
  <si>
    <t>12.1.6</t>
  </si>
  <si>
    <t>12.1.7</t>
  </si>
  <si>
    <t>12.1.8</t>
  </si>
  <si>
    <t>12.1.9</t>
  </si>
  <si>
    <t>12.1.10</t>
  </si>
  <si>
    <t>12.2.1</t>
  </si>
  <si>
    <t>12.2.2</t>
  </si>
  <si>
    <t>12.2.3</t>
  </si>
  <si>
    <t>12.2.4</t>
  </si>
  <si>
    <t>12.2.5</t>
  </si>
  <si>
    <t>12.2.6</t>
  </si>
  <si>
    <t>12.2.7</t>
  </si>
  <si>
    <t>12.2.8</t>
  </si>
  <si>
    <t>12.3.1</t>
  </si>
  <si>
    <t>12.3.2</t>
  </si>
  <si>
    <t>12.3.3</t>
  </si>
  <si>
    <t>12.3.4</t>
  </si>
  <si>
    <t>12.3.5</t>
  </si>
  <si>
    <t>12.3.6</t>
  </si>
  <si>
    <t>12.3.7</t>
  </si>
  <si>
    <t>12.3.8</t>
  </si>
  <si>
    <t>12.3.9</t>
  </si>
  <si>
    <t>12.4.1</t>
  </si>
  <si>
    <t>12.4.2</t>
  </si>
  <si>
    <t>12.4.3</t>
  </si>
  <si>
    <t>12.4.4</t>
  </si>
  <si>
    <t>12.4.5</t>
  </si>
  <si>
    <t>12.4.6</t>
  </si>
  <si>
    <t>12.4.7</t>
  </si>
  <si>
    <t>12.4.8</t>
  </si>
  <si>
    <t>12.4.9</t>
  </si>
  <si>
    <t>12.4.10</t>
  </si>
  <si>
    <t>12.5.1</t>
  </si>
  <si>
    <t>12.5.5</t>
  </si>
  <si>
    <t>12.5.4</t>
  </si>
  <si>
    <t>12.5.3</t>
  </si>
  <si>
    <t>12.5.2</t>
  </si>
  <si>
    <t>12.5.6</t>
  </si>
  <si>
    <t>12.5.7</t>
  </si>
  <si>
    <t>12.5.8</t>
  </si>
  <si>
    <t>12.5.9</t>
  </si>
  <si>
    <t>13.1.1</t>
  </si>
  <si>
    <t>13.1.2</t>
  </si>
  <si>
    <t>13.1.3</t>
  </si>
  <si>
    <t>13.1.4</t>
  </si>
  <si>
    <t>13.1.5</t>
  </si>
  <si>
    <t>13.1.6</t>
  </si>
  <si>
    <t>13.1.7</t>
  </si>
  <si>
    <t>13.1.9</t>
  </si>
  <si>
    <t>13.1.10</t>
  </si>
  <si>
    <t>13.1.11</t>
  </si>
  <si>
    <t>13.1.12</t>
  </si>
  <si>
    <t>13.1.13</t>
  </si>
  <si>
    <t>13.1.14</t>
  </si>
  <si>
    <t>13.1.15</t>
  </si>
  <si>
    <t>13.1.16</t>
  </si>
  <si>
    <t>13.1.17</t>
  </si>
  <si>
    <t>13.1.18</t>
  </si>
  <si>
    <t>13.2.1</t>
  </si>
  <si>
    <t>13.2.2</t>
  </si>
  <si>
    <t>13.2.3</t>
  </si>
  <si>
    <t>13.2.4</t>
  </si>
  <si>
    <t>13.2.5</t>
  </si>
  <si>
    <t>13.2.6</t>
  </si>
  <si>
    <t>13.2.7</t>
  </si>
  <si>
    <t>13.2.8</t>
  </si>
  <si>
    <t>13.2.9</t>
  </si>
  <si>
    <t>13.2.10</t>
  </si>
  <si>
    <t>13.2.11</t>
  </si>
  <si>
    <t>13.2.12</t>
  </si>
  <si>
    <t>13.2.13</t>
  </si>
  <si>
    <t>13.3.1</t>
  </si>
  <si>
    <t>13.3.2</t>
  </si>
  <si>
    <t>13.3.3</t>
  </si>
  <si>
    <t>13.3.4</t>
  </si>
  <si>
    <t>13.3.5</t>
  </si>
  <si>
    <t>13.3.6</t>
  </si>
  <si>
    <t>13.3.7</t>
  </si>
  <si>
    <t>13.3.8</t>
  </si>
  <si>
    <t>13.3.9</t>
  </si>
  <si>
    <t>13.3.10</t>
  </si>
  <si>
    <t>13.3.11</t>
  </si>
  <si>
    <t>13.3.12</t>
  </si>
  <si>
    <t>13.3.13</t>
  </si>
  <si>
    <t>13.3.14</t>
  </si>
  <si>
    <t>13.4.1</t>
  </si>
  <si>
    <t>13.4.2</t>
  </si>
  <si>
    <t>13.4.3</t>
  </si>
  <si>
    <t>13.4.4</t>
  </si>
  <si>
    <t>13.4.5</t>
  </si>
  <si>
    <t>13.4.6</t>
  </si>
  <si>
    <t>13.4.7</t>
  </si>
  <si>
    <t>13.4.8</t>
  </si>
  <si>
    <t>13.4.9</t>
  </si>
  <si>
    <t>13.4.10</t>
  </si>
  <si>
    <t>13.4.11</t>
  </si>
  <si>
    <t>13.4.12</t>
  </si>
  <si>
    <t>13.4.13</t>
  </si>
  <si>
    <t>13.4.14</t>
  </si>
  <si>
    <t>13.5.1</t>
  </si>
  <si>
    <t>13.5.2</t>
  </si>
  <si>
    <t>13.5.3</t>
  </si>
  <si>
    <t>13.5.4</t>
  </si>
  <si>
    <t>13.5.5</t>
  </si>
  <si>
    <t>13.5.6</t>
  </si>
  <si>
    <t>13.5.7</t>
  </si>
  <si>
    <t>13.5.8</t>
  </si>
  <si>
    <t>13.5.9</t>
  </si>
  <si>
    <t>13.5.10</t>
  </si>
  <si>
    <t>13.5.11</t>
  </si>
  <si>
    <t>13.5.12</t>
  </si>
  <si>
    <t>13.5.13</t>
  </si>
  <si>
    <t>13.5.14</t>
  </si>
  <si>
    <t>14.1.1</t>
  </si>
  <si>
    <t>14.2.1</t>
  </si>
  <si>
    <t>14.5.1</t>
  </si>
  <si>
    <t>14.3.1</t>
  </si>
  <si>
    <t>14.4.1</t>
  </si>
  <si>
    <t>14.5.2</t>
  </si>
  <si>
    <t>COT-10</t>
  </si>
  <si>
    <t>(41) 99927-2445</t>
  </si>
  <si>
    <t>(41)99899-2311</t>
  </si>
  <si>
    <t>(41) 99679-5864</t>
  </si>
  <si>
    <t>COT-11</t>
  </si>
  <si>
    <t>(41) 99927-2446</t>
  </si>
  <si>
    <t>(41)99899-2312</t>
  </si>
  <si>
    <t>(41) 99679-5865</t>
  </si>
  <si>
    <t>MACADAME SECO BRITADO PREENCHIDO C/ PÓ DE PEDRA</t>
  </si>
  <si>
    <t>CONCRETO COMPACTADO A ROLO FCK=15MPA</t>
  </si>
  <si>
    <t xml:space="preserve">PEDRA BRITADA (BICA CORRIDA) </t>
  </si>
  <si>
    <t xml:space="preserve">MASSA (CBUQ) </t>
  </si>
  <si>
    <t>REMOÇÕES</t>
  </si>
  <si>
    <t>7.1.1</t>
  </si>
  <si>
    <t>7.1.2</t>
  </si>
  <si>
    <t>7.1.3</t>
  </si>
  <si>
    <t>7.1.4</t>
  </si>
  <si>
    <t>7.1.5</t>
  </si>
  <si>
    <t>7.1.6</t>
  </si>
  <si>
    <t>7.1.7</t>
  </si>
  <si>
    <t>7.1.8</t>
  </si>
  <si>
    <t>7.1.9</t>
  </si>
  <si>
    <t>7.1.10</t>
  </si>
  <si>
    <t>7.1.11</t>
  </si>
  <si>
    <t>7.1.12</t>
  </si>
  <si>
    <t>7.1.13</t>
  </si>
  <si>
    <t>7.1.14</t>
  </si>
  <si>
    <t>7.1.15</t>
  </si>
  <si>
    <t>7.1.16</t>
  </si>
  <si>
    <t>7.1.17</t>
  </si>
  <si>
    <t>7.1.18</t>
  </si>
  <si>
    <t>7.1.19</t>
  </si>
  <si>
    <t>7.1.20</t>
  </si>
  <si>
    <t>7.1.21</t>
  </si>
  <si>
    <t>7.1.22</t>
  </si>
  <si>
    <t>7.1.23</t>
  </si>
  <si>
    <t>7.1.24</t>
  </si>
  <si>
    <t>7.1.25</t>
  </si>
  <si>
    <t>7.1.26</t>
  </si>
  <si>
    <t>7.1.27</t>
  </si>
  <si>
    <t>7.1.28</t>
  </si>
  <si>
    <t>7.1.29</t>
  </si>
  <si>
    <t>7.1.30</t>
  </si>
  <si>
    <t>7.1.31</t>
  </si>
  <si>
    <t>7.1.32</t>
  </si>
  <si>
    <t>7.1.33</t>
  </si>
  <si>
    <t>7.1.34</t>
  </si>
  <si>
    <t>7.1.36</t>
  </si>
  <si>
    <t>7.1.37</t>
  </si>
  <si>
    <t>7.1.38</t>
  </si>
  <si>
    <t>7.1.39</t>
  </si>
  <si>
    <t>7.1.40</t>
  </si>
  <si>
    <t>7.1.41</t>
  </si>
  <si>
    <t>7.1.42</t>
  </si>
  <si>
    <t>7.1.43</t>
  </si>
  <si>
    <t>7.1.44</t>
  </si>
  <si>
    <t>7.1.45</t>
  </si>
  <si>
    <t>7.1.46</t>
  </si>
  <si>
    <t>7.1.47</t>
  </si>
  <si>
    <t>7.1.48</t>
  </si>
  <si>
    <t>7.1.49</t>
  </si>
  <si>
    <t>7.1.50</t>
  </si>
  <si>
    <t>7.1.51</t>
  </si>
  <si>
    <t>7.1.52</t>
  </si>
  <si>
    <t>7.1.53</t>
  </si>
  <si>
    <t>7.1.54</t>
  </si>
  <si>
    <t>7.1.55</t>
  </si>
  <si>
    <t>7.1.56</t>
  </si>
  <si>
    <t>7.1.57</t>
  </si>
  <si>
    <t>7.4.38</t>
  </si>
  <si>
    <t>7.4.39</t>
  </si>
  <si>
    <t>7.4.40</t>
  </si>
  <si>
    <t>7.5.61</t>
  </si>
  <si>
    <t>7.5.62</t>
  </si>
  <si>
    <t>7.5.65</t>
  </si>
  <si>
    <t>7.5.64</t>
  </si>
  <si>
    <t>7.5.63</t>
  </si>
  <si>
    <t>7.5.66</t>
  </si>
  <si>
    <t>DISSIPADOR DE ENERGIA (DES / DEB) - 1 UNIDADE DES-02</t>
  </si>
  <si>
    <t>CAIXA DE LIGAÇÃO E PASSAGEM- 2 UNIDADES CLP-03</t>
  </si>
  <si>
    <t>CAIXA DE LIGAÇÃO E PASSAGEM- 5 UNIDADES CLP-03</t>
  </si>
  <si>
    <t>7.2.33</t>
  </si>
  <si>
    <t>7.2.34</t>
  </si>
  <si>
    <t>7.2.35</t>
  </si>
  <si>
    <t>7.2.36</t>
  </si>
  <si>
    <t>7.3.55</t>
  </si>
  <si>
    <t>7.3.56</t>
  </si>
  <si>
    <t>7.3.57</t>
  </si>
  <si>
    <t>7.3.58</t>
  </si>
  <si>
    <t>7.3.59</t>
  </si>
  <si>
    <t>7.3.60</t>
  </si>
  <si>
    <t>7.3.61</t>
  </si>
  <si>
    <t>7.3.62</t>
  </si>
  <si>
    <t>7.3.63</t>
  </si>
  <si>
    <t>7.3.64</t>
  </si>
  <si>
    <t>7.3.65</t>
  </si>
  <si>
    <t>7.3.66</t>
  </si>
  <si>
    <t>7.3.67</t>
  </si>
  <si>
    <t>7.3.68</t>
  </si>
  <si>
    <t>7.3.69</t>
  </si>
  <si>
    <t>7.3.70</t>
  </si>
  <si>
    <t>2.2</t>
  </si>
  <si>
    <t>2.3</t>
  </si>
  <si>
    <t>2.5</t>
  </si>
  <si>
    <t>2.6</t>
  </si>
  <si>
    <t>PROGRAMAS AMBIENTAIS</t>
  </si>
  <si>
    <t>7.1.58</t>
  </si>
  <si>
    <t>7.3.71</t>
  </si>
  <si>
    <t>7.5.67</t>
  </si>
  <si>
    <t>14.1.2</t>
  </si>
  <si>
    <t>14.1.3</t>
  </si>
  <si>
    <t>14.1.4</t>
  </si>
  <si>
    <t>14.1.5</t>
  </si>
  <si>
    <t>14.1.6</t>
  </si>
  <si>
    <t>14.1.7</t>
  </si>
  <si>
    <t>14.1.8</t>
  </si>
  <si>
    <t>14.2.2</t>
  </si>
  <si>
    <t>14.2.3</t>
  </si>
  <si>
    <t>14.2.4</t>
  </si>
  <si>
    <t>14.2.5</t>
  </si>
  <si>
    <t>14.2.6</t>
  </si>
  <si>
    <t>14.2.7</t>
  </si>
  <si>
    <t>14.2.8</t>
  </si>
  <si>
    <t>14.3.2</t>
  </si>
  <si>
    <t>14.3.3</t>
  </si>
  <si>
    <t>14.3.4</t>
  </si>
  <si>
    <t>14.3.5</t>
  </si>
  <si>
    <t>14.3.6</t>
  </si>
  <si>
    <t>14.3.7</t>
  </si>
  <si>
    <t>14.3.8</t>
  </si>
  <si>
    <t>14.4.2</t>
  </si>
  <si>
    <t>14.4.3</t>
  </si>
  <si>
    <t>14.4.4</t>
  </si>
  <si>
    <t>14.4.5</t>
  </si>
  <si>
    <t>14.4.6</t>
  </si>
  <si>
    <t>14.4.7</t>
  </si>
  <si>
    <t>14.4.8</t>
  </si>
  <si>
    <t>14.5.3</t>
  </si>
  <si>
    <t>14.5.4</t>
  </si>
  <si>
    <t>14.5.5</t>
  </si>
  <si>
    <t>14.5.6</t>
  </si>
  <si>
    <t>14.5.7</t>
  </si>
  <si>
    <t>14.5.8</t>
  </si>
  <si>
    <t>INTERFERÊNCIAS</t>
  </si>
  <si>
    <t xml:space="preserve">ILUMINAÇÃO PÚBLICA </t>
  </si>
  <si>
    <t>SERVIÇOS GERAIS</t>
  </si>
  <si>
    <t>SERVIÇOS NO TRECHO 1</t>
  </si>
  <si>
    <t>SERVIÇOS NO TRECHO 2</t>
  </si>
  <si>
    <t>SERVIÇOS NO TRECHO 3</t>
  </si>
  <si>
    <t>SERVIÇOS NO TRECHO 4</t>
  </si>
  <si>
    <t>SERVIÇOS NO TRECHO 5</t>
  </si>
  <si>
    <t>SUBTOTAL - SERVIÇOS GERAIS</t>
  </si>
  <si>
    <t>SUBTOTAL - SERVIÇOS NO TRECHO 1</t>
  </si>
  <si>
    <t>SUBTOTAL - SERVIÇOS NO TRECHO 2</t>
  </si>
  <si>
    <t>SUBTOTAL - SERVIÇOS NO TRECHO 3</t>
  </si>
  <si>
    <t>SUBTOTAL - SERVIÇOS NO TRECHO 4</t>
  </si>
  <si>
    <t>SUBTOTAL - SERVIÇOS NO TRECHO 5</t>
  </si>
  <si>
    <t>A</t>
  </si>
  <si>
    <t>B</t>
  </si>
  <si>
    <t xml:space="preserve">C </t>
  </si>
  <si>
    <t>D</t>
  </si>
  <si>
    <t>E</t>
  </si>
  <si>
    <t>F</t>
  </si>
  <si>
    <t>C</t>
  </si>
  <si>
    <t xml:space="preserve">TOTAL </t>
  </si>
  <si>
    <t>Ligantes betuminosos</t>
  </si>
  <si>
    <t>Iluminação</t>
  </si>
  <si>
    <t>Interferências</t>
  </si>
  <si>
    <t>BDI DIF.:</t>
  </si>
  <si>
    <t>BANHEIROS QUÍMICOS</t>
  </si>
  <si>
    <t>4.15</t>
  </si>
  <si>
    <t>4.15.1</t>
  </si>
  <si>
    <t>4.16</t>
  </si>
  <si>
    <t>4.16.1</t>
  </si>
  <si>
    <t>4.16.2</t>
  </si>
  <si>
    <t>4.16.3</t>
  </si>
  <si>
    <t>INSTALAÇÕES DE ÁGUA E ESGOTO</t>
  </si>
  <si>
    <t>4.16.4</t>
  </si>
  <si>
    <t>*** serviço acima previsto para execução de sistema de apoio para as barras de transferências***</t>
  </si>
  <si>
    <t>LASTRO DE BRITA PARA ASSENTAMENTO DE BUEIROS COM BERÇO</t>
  </si>
  <si>
    <t>8.1.14</t>
  </si>
  <si>
    <t>8.2.5</t>
  </si>
  <si>
    <t>8.3.11</t>
  </si>
  <si>
    <t>8.4.1</t>
  </si>
  <si>
    <t>8.4.2</t>
  </si>
  <si>
    <t>8.4.3</t>
  </si>
  <si>
    <t>8.4.4</t>
  </si>
  <si>
    <t>8.4.5</t>
  </si>
  <si>
    <t>8.4.6</t>
  </si>
  <si>
    <t>8.4.7</t>
  </si>
  <si>
    <t>8.5.11</t>
  </si>
  <si>
    <t>OBS.: PREZADO LICITANTE, SE ATENTAR QUE ESTA OBRA FOI PLANEJADA PARA EXECUÇÃO EM 3 FRENTES DE TRABALHO SIMULTÂNEAS.</t>
  </si>
  <si>
    <t>TOTAL EXECUÇÃO SEM ADMINISTRAÇÃO LOCAL</t>
  </si>
  <si>
    <t>TIPO</t>
  </si>
  <si>
    <t>QUANTIDADE</t>
  </si>
  <si>
    <t>EQ. SALARIAL</t>
  </si>
  <si>
    <t>ENCARGOS</t>
  </si>
  <si>
    <t>UT. PR.</t>
  </si>
  <si>
    <t>EQUIP.</t>
  </si>
  <si>
    <t>SAL/HORA</t>
  </si>
  <si>
    <t>UT. IMPR.</t>
  </si>
  <si>
    <t>CONSUMO UNT.</t>
  </si>
  <si>
    <t>(G) SERVIÇOS</t>
  </si>
  <si>
    <t>(F) MATERIAIS</t>
  </si>
  <si>
    <t>(C ) ITENS DE COINCIDÊNCIA</t>
  </si>
  <si>
    <t>(A) EQUIPAMENTO</t>
  </si>
  <si>
    <t>VL. HR. PROD.</t>
  </si>
  <si>
    <t>MAT.</t>
  </si>
  <si>
    <t>UTILIZAÇÕES</t>
  </si>
  <si>
    <t>CONCRETO MAGRO, PREPARO EM BETONEIRA E LANÇ</t>
  </si>
  <si>
    <t>CORPO DE BTTC 1,50 COM BERÇO</t>
  </si>
  <si>
    <t>BRITA GRADUADA TRATADA C/ CIMENTO (CP=4%) 100% PI</t>
  </si>
  <si>
    <t>9.1.32</t>
  </si>
  <si>
    <t>9.3.23</t>
  </si>
  <si>
    <t>9.5.24</t>
  </si>
  <si>
    <t>ESTUDOS E PROGRAMAS DA AUTORIZAÇÃO AMBIENTAL DE FAUNA</t>
  </si>
  <si>
    <t>ESTUDOS E PROGRAMAS DA AUTORIZAÇÃO AMBIENTAL DE SUPRESSÃO VEGETAL</t>
  </si>
  <si>
    <t>ESTUDOS E PROGRAMAS DA LICENÇA AMBIENTAL SIMPLIFICADA</t>
  </si>
  <si>
    <t xml:space="preserve">EMULSÃO (TRECHO) </t>
  </si>
  <si>
    <t>CURITIBA, PR</t>
  </si>
  <si>
    <t>CUSTOS DE SERVIÇOS - SINAPI/PR - FEVEREIRO/2023 - SEM DESONERAÇÃO</t>
  </si>
  <si>
    <t>CUSTOS DE MATERIAIS - SINAPI/PR - FEVEREIRO/2023 - SEM DESONERAÇÃO</t>
  </si>
  <si>
    <t>DM³</t>
  </si>
  <si>
    <t>JUNTA DE DILATAÇÃO EM PERFIL EXTRUDADO DE BORRACHA VULCANIZADA</t>
  </si>
  <si>
    <t>CONCRETO</t>
  </si>
  <si>
    <t>LUBRIFICADOR DE TRILHOS E DE FLANGES DE RODAS</t>
  </si>
  <si>
    <t>MATERIAL DE BASE</t>
  </si>
  <si>
    <t>MISTURA BETUMINOSA</t>
  </si>
  <si>
    <t>AÇO CA 25</t>
  </si>
  <si>
    <t>AÇO CA 50</t>
  </si>
  <si>
    <t>BRITA 0</t>
  </si>
  <si>
    <t>FIBRA DE POLIAMIDA PARA CONCRETO</t>
  </si>
  <si>
    <t>FIBRA DE AÇO PARA CONCRETO</t>
  </si>
  <si>
    <t>DETERGENTE LÍQUIDO NEUTRO</t>
  </si>
  <si>
    <t>AÇO CP 175 RB</t>
  </si>
  <si>
    <t>ADITIVO SUPERPLASTIFICANTE PARA CONCRETO E ARGAMASSA</t>
  </si>
  <si>
    <t>ADITIVO MODIFICADOR DE VISCOSIDADE PARA CONCRETO E ARGAMASSA</t>
  </si>
  <si>
    <t>SILICATO DE ALUMÍNIO</t>
  </si>
  <si>
    <t>GRAMPO DE ANCORAGEM EM AÇO CA 50 - D = 12,5 MM</t>
  </si>
  <si>
    <t>AÇO CA 60</t>
  </si>
  <si>
    <t>ESPOLETA ELÉTRICA Nº 8 - D = 6,0 MM</t>
  </si>
  <si>
    <t>GRAMPO SARGENTO EM FERRO FUNDIDO TIPO C COM ABERTURA ÚTIL DE 105 MM (4")</t>
  </si>
  <si>
    <t>SACO DE ANIAGEM OU DE RÁFIA DE 50 KG - C = 95 CM E L = 65 CM</t>
  </si>
  <si>
    <t>GRAMPO PESADO EM AÇO-CARBONO PARA CABO DE AÇO - D = 13 MM (1/2")</t>
  </si>
  <si>
    <t>ESTICADOR EM AÇO TIPO OLHAL X OLHAL PARA CABO DE AÇO - D = 13 MM</t>
  </si>
  <si>
    <t>GRAMPO DE ANCORAGEM EM AÇO CA 50 - D = 6,3 MM</t>
  </si>
  <si>
    <t>HERBICIDA GLIFOSATO PARA ÁREAS CONTÍNUAS</t>
  </si>
  <si>
    <t>ADESIVO PLÁSTICO PARA TUBOS DE PVC</t>
  </si>
  <si>
    <t>ADITIVO AGLUTINANTE PARA ARGAMASSA</t>
  </si>
  <si>
    <t>AREIA MÉDIA</t>
  </si>
  <si>
    <t>SÍLICA ATIVA PARA CONCRETO E ARGAMASSA (MICROSSÍLICA)</t>
  </si>
  <si>
    <t>ADITIVO PLASTIFICANTE E RETARDADOR DE PEGA PARA CONCRETO E ARGAMASSA</t>
  </si>
  <si>
    <t>ADESIVO DE CONTATO PARA LAMINADO ELASTOPLÁSTICO</t>
  </si>
  <si>
    <t>DILUENTE TIPO AGUARRÁS PARA TINTAS E VERNIZES</t>
  </si>
  <si>
    <t>GASOLINA COMUM</t>
  </si>
  <si>
    <t>CONTÊINER COM 2 BANHEIROS - L = 2,44 M E C = 6,09 M (1 TEU)</t>
  </si>
  <si>
    <t>CONTÊINER COM JANELA - L = 2,44 M E C = 6,09 M (1 TEU)</t>
  </si>
  <si>
    <t>ÓLEO DIESEL</t>
  </si>
  <si>
    <t>ABRASIVO DE VIDRO COM GRANULOMETRIA DE 210 A 420 MICRA</t>
  </si>
  <si>
    <t>BARREIRA PLÁSTICA MONOBLOCO PARA CANALIZAÇÃO DE TRÂNSITO - C = 100 CM, L = 50 CM E H = 55 CM</t>
  </si>
  <si>
    <t>BARREIRA PLÁSTICA PARA CANALIZAÇÃO DE TRÂNSITO - C = 60 CM, L = 45 CM E H = 60 CM</t>
  </si>
  <si>
    <t>CONE DE SINALIZAÇÃO EM POLIETILENO - H = 75 CM E BASE QUADRADA DE 40 X 40 CM</t>
  </si>
  <si>
    <t>BALIZADOR CÔNICO REFLETIVO EM POLIETILENO SEMIFLEXÍVEL - H = 114 CM E BASE OCTOGONAL DE D = 40 CM</t>
  </si>
  <si>
    <t>DELIMITADOR DE TRÁFEGO FLEXÍVEL COM CHUMBADOR E DUAS FAIXAS REFLETIVAS - H = 77 CM E D = 21 CM</t>
  </si>
  <si>
    <t>ADITIVO NATURAL TIPO GOMA XANTANA PARA HIDROSSEMEADURA</t>
  </si>
  <si>
    <t>CILINDRO CANALIZADOR DE TRÁFEGO EM POLIETILENO - H = 117 CM E BASE QUADRADA DE 60 X 60 CM</t>
  </si>
  <si>
    <t>FITA ADESIVA DE PVC - L = 50 MM E C = 50 M</t>
  </si>
  <si>
    <t>TELA PLÁSTICA EM POLIPROPILENO NA COR LARANJA PARA TAPUME - L = 1,2 M</t>
  </si>
  <si>
    <t>FITA ZEBRADA DE COR LARANJA E BRANCA - L = 7 A 8 CM</t>
  </si>
  <si>
    <t>BARREIRA PLÁSTICA ARTICULÁVEL MODULAR - C = 240 CM E H = 100 CM</t>
  </si>
  <si>
    <t>FERRAMENTA DE CORTE PARA REMOVEDORA DE FAIXA DE SINALIZAÇÃO (SMITH CUTTER)</t>
  </si>
  <si>
    <t>CONTÊINER COM JANELA - L = 4,88 M E C = 6,09 M (1 TEU DUPLO)</t>
  </si>
  <si>
    <t>CONTÊINER COM JANELA E 2 BANHEIROS - L = 4,88 M E C = 6,09 M (1 TEU DUPLO)</t>
  </si>
  <si>
    <t>CONTÊINER COM REVESTIMENTO TÉRMICO, JANELA E BANHEIRO - L = 2,44 M E C = 6,09 M (1 TEU)</t>
  </si>
  <si>
    <t>CONTÊINER COM JANELA - L = 2,44 M E C = 4,58 M (3/4 TEU)</t>
  </si>
  <si>
    <t>CONTÊINER COM JANELA E BANHEIRO - L = 2,44 M E 4,58 M (3/4 TEU)</t>
  </si>
  <si>
    <t>CONTÊINER COM REVESTIMENTO TÉRMICO, JANELA E BANHEIRO - L = 2,44 M E C = 12,90 M (2 TEU)</t>
  </si>
  <si>
    <t>TUBO PEAD PE 100 PN 10 COM FLANGES - D = 160 MM</t>
  </si>
  <si>
    <t>CAIBRO DE PINHO - L = 7,5 CM E E = 10,0 CM</t>
  </si>
  <si>
    <t>ARAME FARPADO EM AÇO GALVANIZADO - D = 1,60 MM</t>
  </si>
  <si>
    <t>CONTÊINER COM 3 JANELAS PARA GUARITA - L = 2,44 M E C = 3,05 M (1/2 TEU)</t>
  </si>
  <si>
    <t>ARAME LISO EM AÇO GALVANIZADO - D = 2,10 MM (14 BWG)</t>
  </si>
  <si>
    <t>MUDA DE ÁRVORE COM ALTURA DE 0,30 A 0,80 M</t>
  </si>
  <si>
    <t>MUDA DE ARBUSTO COM ALTURA ATÉ 0,50 M</t>
  </si>
  <si>
    <t>ARAME LISO RECOZIDO EM AÇO-CARBONO - D = 1,24 MM (18 BWG)</t>
  </si>
  <si>
    <t>DISCO DE CORTE ABRASIVO PARA POLICORTE - D = 300 MM</t>
  </si>
  <si>
    <t>AREIA FINA</t>
  </si>
  <si>
    <t>AREIA GROSSA</t>
  </si>
  <si>
    <t>AREIA MÉDIA LAVADA</t>
  </si>
  <si>
    <t>ARGAMASSA PRÉ-DOSADA PARA GRAUTEAMENTO</t>
  </si>
  <si>
    <t>ARGAMASSA PRÉ-DOSADA AUTOADENSÁVEL PARA GRAUTEAMENTO</t>
  </si>
  <si>
    <t>ANCORAGEM ATIVA PARA 4 CORDOALHAS - D = 12,7 MM</t>
  </si>
  <si>
    <t>ANCORAGEM ATIVA PARA 6 CORDOALHAS - D = 12,7 MM</t>
  </si>
  <si>
    <t>ANCORAGEM ATIVA PARA 7 CORDOALHAS - D = 12,7 MM</t>
  </si>
  <si>
    <t>ANCORAGEM ATIVA PARA 8 CORDOALHAS - D = 12,7 MM</t>
  </si>
  <si>
    <t>ANCORAGEM ATIVA PARA 9 CORDOALHAS - D = 12,7 MM</t>
  </si>
  <si>
    <t>ANCORAGEM ATIVA PARA 10 CORDOALHAS - D = 12,7 MM</t>
  </si>
  <si>
    <t>ANCORAGEM ATIVA PARA 12 CORDOALHAS - D = 12,7 MM</t>
  </si>
  <si>
    <t>ANCORAGEM ATIVA PARA 15 CORDOALHAS - D = 12,7 MM</t>
  </si>
  <si>
    <t>ANCORAGEM ATIVA PARA 19 CORDOALHAS - D = 12,7 MM</t>
  </si>
  <si>
    <t>BAMBU COM DIÂMETRO MÉDIO DE 10 CM</t>
  </si>
  <si>
    <t>EQUIPAMENTOS PARA A FÁBRICA DE DORMENTES DE CONCRETO PROTENDIDO</t>
  </si>
  <si>
    <t>ANCORAGEM ATIVA PARA 22 CORDOALHAS - D = 12,7 MM</t>
  </si>
  <si>
    <t>ANCORAGEM ATIVA PARA 27 CORDOALHAS - D = 12,7 MM</t>
  </si>
  <si>
    <t>ANCORAGEM ATIVA PARA 31 CORDOALHAS - D = 12,7 MM</t>
  </si>
  <si>
    <t>ADITIVO ACELERADOR DE PEGA PARA CONCRETO E ARGAMASSA PROJETADOS</t>
  </si>
  <si>
    <t>ASFALTO DILUÍDO DE PETRÓLEO - CM-30</t>
  </si>
  <si>
    <t>ANCORAGEM ATIVA PARA 4 CORDOALHAS - D = 15,2 MM</t>
  </si>
  <si>
    <t>ANCORAGEM ATIVA PARA 6 CORDOALHAS - D = 15,2 MM</t>
  </si>
  <si>
    <t>GEOCOMPOSTO PARA DRENAGEM</t>
  </si>
  <si>
    <t>ANCORAGEM ATIVA PARA 7 CORDOALHAS - D = 15,2 MM</t>
  </si>
  <si>
    <t>GEODRENO VERTICAL - L = 10 CM E E = 5 MM</t>
  </si>
  <si>
    <t>ANCORAGEM ATIVA PARA 10 CORDOALHAS - D = 15,2 MM</t>
  </si>
  <si>
    <t>ANCORAGEM ATIVA PARA 9 CORDOALHAS - D = 15,2 MM</t>
  </si>
  <si>
    <t>DISCO DIAMANTADO SEGMENTADO PARA CORTE DE PAVIMENTO - D = 1.000 MM</t>
  </si>
  <si>
    <t>ANCORAGEM ATIVA PARA 12 CORDOALHAS - D = 15,2 MM</t>
  </si>
  <si>
    <t>DISCO DIAMANTADO SEGMENTADO PARA CORTE DE PAVIMENTO - D = 1.500 MM</t>
  </si>
  <si>
    <t>BIOMANTA VEGETAL DE FIBRAS DE COCO ENTRELAÇADAS COM FIOS DE POLIPROPILENO BIODEGRADÁVEIS - DENSIDADE 0,4 KG/M²</t>
  </si>
  <si>
    <t>MANGOTE FLANGEADO DE BORRACHA REFORÇADA COM LONAS SINTÉTICAS - C = 1,80 M E D = 0,30 M</t>
  </si>
  <si>
    <t>MANGOTE FLANGEADO DE BORRACHA REFORÇADA COM LONAS SINTÉTICAS - C = 1,80 M E D = 0,40 M</t>
  </si>
  <si>
    <t>MANGOTE FLANGEADO DE BORRACHA REFORÇADA COM LONAS SINTÉTICAS - C = 1,80 M E D = 0,45 M</t>
  </si>
  <si>
    <t>MANGOTE FLANGEADO DE BORRACHA REFORÇADA COM LONAS SINTÉTICAS - C = 1,80 M E D = 0,50 M</t>
  </si>
  <si>
    <t>TUBO PEAD PE 100 PN 8 COM FLANGES - D = 250 MM</t>
  </si>
  <si>
    <t>TUBO PEAD PE 100 PN 8 COM FLANGES - D = 400 MM</t>
  </si>
  <si>
    <t>TUBO PEAD PE 100 PN 8 COM FLANGES - D = 450 MM</t>
  </si>
  <si>
    <t>TUBO PEAD PE 100 PN 8 COM FLANGES - D = 500 MM</t>
  </si>
  <si>
    <t>FLUTUADOR BIPARTIDO EM POLIETILENO COM NÚCLEO DE ESPUMA EM POLIURETANO PARA TUBOS - D = 0,30 M</t>
  </si>
  <si>
    <t>FLUTUADOR BIPARTIDO EM POLIETILENO COM NÚCLEO DE ESPUMA EM POLIURETANO PARA TUBOS - D = 0,40 M</t>
  </si>
  <si>
    <t>FLUTUADOR BIPARTIDO EM POLIETILENO COM NÚCLEO DE ESPUMA EM POLIURETANO PARA TUBOS - D = 0,45 M</t>
  </si>
  <si>
    <t>FLUTUADOR BIPARTIDO EM POLIETILENO COM NÚCLEO DE ESPUMA EM POLIURETANO PARA TUBOS - D = 0,50 M</t>
  </si>
  <si>
    <t>BIOMANTA VEGETAL DE FIBRAS DE PALHA ENTRELAÇADAS COM FIOS DE POLIPROPILENO BIODEGRADÁVEIS - DENSIDADE 0,6 KG/M²</t>
  </si>
  <si>
    <t>RETENTOR DE SEDIMENTO EM FIBRAS VEGETAIS - D = 20 CM</t>
  </si>
  <si>
    <t>ANCORAGEM ATIVA PARA 15 CORDOALHAS - D = 15,2 MM</t>
  </si>
  <si>
    <t>TUBO PEAD CORRUGADO COM PAREDES ESTRUTURADAS PARA DRENAGEM - D = 400 MM</t>
  </si>
  <si>
    <t>TUBO PEAD CORRUGADO COM PAREDES ESTRUTURADAS PARA DRENAGEM - D = 450 MM</t>
  </si>
  <si>
    <t>TUBO PEAD CORRUGADO COM PAREDES ESTRUTURADAS PARA DRENAGEM - D = 500 MM</t>
  </si>
  <si>
    <t>TUBO PEAD CORRUGADO COM PAREDES ESTRUTURADAS PARA DRENAGEM - D = 600 MM</t>
  </si>
  <si>
    <t>TUBO PEAD CORRUGADO COM PAREDES ESTRUTURADAS PARA DRENAGEM - D = 750 MM</t>
  </si>
  <si>
    <t>TUBO PEAD CORRUGADO COM PAREDES ESTRUTURADAS PARA DRENAGEM - D = 800 MM</t>
  </si>
  <si>
    <t>TUBO PEAD CORRUGADO COM PAREDES ESTRUTURADAS PARA DRENAGEM - D = 900 MM</t>
  </si>
  <si>
    <t>ANCORAGEM ATIVA PARA 19 CORDOALHAS - D = 15,2 MM</t>
  </si>
  <si>
    <t>TUBO PEAD CORRUGADO COM PAREDES ESTRUTURADAS PARA DRENAGEM - D = 1.000 MM</t>
  </si>
  <si>
    <t>BENTONITA</t>
  </si>
  <si>
    <t>TUBO PEAD CORRUGADO COM PAREDES ESTRUTURADAS PARA DRENAGEM - D = 1.050 MM</t>
  </si>
  <si>
    <t>TUBO PEAD CORRUGADO COM PAREDES ESTRUTURADAS PARA DRENAGEM - D = 1.200 MM</t>
  </si>
  <si>
    <t>TUBO PEAD CORRUGADO COM PAREDES ESTRUTURADAS PARA DRENAGEM - D = 1.500 MM</t>
  </si>
  <si>
    <t>TUBO PEAD CORRUGADO COM PAREDES ESTRUTURADAS PARA DRENAGEM - D = 1.800 MM</t>
  </si>
  <si>
    <t>ANCORAGEM ATIVA PARA 22 CORDOALHAS - D = 15,2 MM</t>
  </si>
  <si>
    <t>ANCORAGEM ATIVA PARA 27 CORDOALHAS - D = 15,2 MM</t>
  </si>
  <si>
    <t>TUBO PEAD CORRUGADO COM PAREDES ESTRUTURADAS PARA DRENAGEM - D = 2.000 MM</t>
  </si>
  <si>
    <t>ANCORAGEM ATIVA PARA LAJES PARA 1 CORDOALHA - D = 12,7 MM</t>
  </si>
  <si>
    <t>TUBO PEAD CORRUGADO COM PAREDES ESTRUTURADAS PARA DRENAGEM - D = 2.500 MM</t>
  </si>
  <si>
    <t>TUBO PEAD CORRUGADO COM PAREDES ESTRUTURADAS PARA DRENAGEM - D = 3.000 MM</t>
  </si>
  <si>
    <t>ANCORAGEM ATIVA PARA LAJES PARA 2 CORDOALHAS - D = 12,7 MM</t>
  </si>
  <si>
    <t>ANCORAGEM ATIVA PARA LAJES PARA 3 CORDOALHAS - D = 12,7 MM</t>
  </si>
  <si>
    <t>ANCORAGEM ATIVA PARA LAJES PARA 4 CORDOALHAS - D = 12,7 MM</t>
  </si>
  <si>
    <t>BLOCO DE CONCRETO - L = 19 CM, A = 19 CM E C = 39 CM</t>
  </si>
  <si>
    <t>TELA METÁLICA GALVANIZADA DOBRADA EM L - C = 2,0 M, L = 0,4 M E H = 0,4 M</t>
  </si>
  <si>
    <t>EXTINTOR DE INCÊNDIO TIPO ESPUMA MECÂNICA - V = 10 L</t>
  </si>
  <si>
    <t>BARRA DE FIBRA DE VIDRO (VERGALHÃO) - D = 25,0 MM</t>
  </si>
  <si>
    <t>CORRENTE DE ELO SOLDADO EM AÇO GALVANIZADO COM ACABAMENTO POLIDO - D = 3,18 MM (1/8")</t>
  </si>
  <si>
    <t>GONZO COM ABA EM AÇO GALVANIZADO - D = 12,7 MM (1/2")</t>
  </si>
  <si>
    <t>TUBO EM AÇO GALVANIZADO - E = 1,50 MM E SEÇÃO DE 20 X 20 MM</t>
  </si>
  <si>
    <t>TUBO EM AÇO GALVANIZADO - E = 2,25 MM E D = 20 MM (3/4")</t>
  </si>
  <si>
    <t>TELA DE POLIAMIDA INDUSTRIAL - E = 0,40 MM E MALHA DE 1,6 MM</t>
  </si>
  <si>
    <t>ABRAÇADEIRA DE POLIAMIDA - E = 3,6 MM E C = 200 MM</t>
  </si>
  <si>
    <t>RODA EM AÇO E PNEU COM CÂMARA DE AR 83/203 MM (3,25"/8") PARA CARRINHO DE MÃO</t>
  </si>
  <si>
    <t>ANCORAGEM ATIVA PARA LAJES PARA 1 CORDOALHA - D = 15,2 MM</t>
  </si>
  <si>
    <t>ANCORAGEM ATIVA PARA LAJES PARA 2 CORDOALHAS - D = 15,2 MM</t>
  </si>
  <si>
    <t>ANCORAGEM ATIVA PARA LAJES PARA 3 CORDOALHAS - D = 15,2 MM</t>
  </si>
  <si>
    <t>ANCORAGEM ATIVA PARA LAJES PARA 4 CORDOALHAS - D = 15,2 MM</t>
  </si>
  <si>
    <t>BRITA 1</t>
  </si>
  <si>
    <t>BRITA 2</t>
  </si>
  <si>
    <t>BRITA 3</t>
  </si>
  <si>
    <t>ESCÓRIA DE ACIARIA</t>
  </si>
  <si>
    <t>PARAFUSO DE CABEÇA CHATA EM AÇO - D = 4,5 MM E BUCHA PLÁSTICA - D = 8 MM (S8)</t>
  </si>
  <si>
    <t>COROA DE BOTÕES CRUZADOS LINHA R32 - D = 43 MM (1 11/16’’)</t>
  </si>
  <si>
    <t>COROA DE BOTÕES ESFÉRICOS LINHA T38 - D = 89 MM (3 1/2")</t>
  </si>
  <si>
    <t>COROA DE BOTÕES ESFÉRICOS LINHA T45 - D = 76 MM (3")</t>
  </si>
  <si>
    <t>INSTALAÇÕES FÍSICAS PARA A CENTRAL DE PRÉ-MOLDAGEM DE DORMENTES DE CONCRETO PROTENDIDO</t>
  </si>
  <si>
    <t>ENXOFRE</t>
  </si>
  <si>
    <t>ADUBO À BASE DE NITROGÊNIO, FÓSFORO E POTÁSSIO (NPK)</t>
  </si>
  <si>
    <t>FILER CALCÁRIO</t>
  </si>
  <si>
    <t>SEMENTES PARA HIDROSSEMEADURA</t>
  </si>
  <si>
    <t>GUIA-CHAPÉU PRÉ-MOLDADA - C = 120 CM</t>
  </si>
  <si>
    <t>ADUBO ORGÂNICO COMPOSTO</t>
  </si>
  <si>
    <t>GABIÃO TIPO COLCHÃO EM LIGA DE ZINCO E ALUMÍNIO REVESTIDO COM POLÍMERO DE MALHA HEXAGONAL - E = 0,17 M</t>
  </si>
  <si>
    <t>GABIÃO TIPO CAIXA EM LIGA DE ZINCO E ALUMÍNIO DE MALHA HEXAGONAL - C = 2,00 M, L = 1,00 M E H = 0,50 M</t>
  </si>
  <si>
    <t>GABIÃO TIPO CAIXA EM LIGA DE ZINCO E ALUMÍNIO DE MALHA HEXAGONAL - C = 2,00 M, L = 1,00 M E H = 1,00 M</t>
  </si>
  <si>
    <t>GABIÃO TIPO CAIXA EM LIGA DE ZINCO E ALUMÍNIO REVESTIDO COM POLÍMERO DE MALHA HEXAGONAL - C = 2,00 M, L = 1,00 M E H = 0,50 M</t>
  </si>
  <si>
    <t>GABIÃO TIPO CAIXA EM LIGA DE ZINCO E ALUMÍNIO REVESTIDO COM POLÍMERO DE MALHA HEXAGONAL - C = 2,00 M, L = 1,00 M E H = 1,00 M</t>
  </si>
  <si>
    <t>GABIÃO TIPO SACO EM LIGA DE ZINCO E ALUMÍNIO REVESTIDO COM POLÍMERO DE MALHA HEXAGONAL - D = 0,65 M</t>
  </si>
  <si>
    <t>GABIÃO TIPO COLCHÃO EM LIGA DE ZINCO E ALUMÍNIO REVESTIDO COM POLÍMERO DE MALHA HEXAGONAL - E = 0,23 M</t>
  </si>
  <si>
    <t>GABIÃO TIPO COLCHÃO EM LIGA DE ZINCO E ALUMÍNIO REVESTIDO COM POLÍMERO DE MALHA HEXAGONAL - E = 0,30 M</t>
  </si>
  <si>
    <t>ENERGIA ELÉTRICA</t>
  </si>
  <si>
    <t>KWH</t>
  </si>
  <si>
    <t>CABO DE COBRE FLEXÍVEL ANTICHAMA ISOLADO EM PVC - TENSÃO DE 450/750 V E SEÇÃO DE 16 MM²</t>
  </si>
  <si>
    <t>MISTURA GASOSA DE ARGÔNIO E DIÓXIDO DE CARBONO PARA SOLDA MIG/MAG</t>
  </si>
  <si>
    <t>TINTA À BASE DE ETIL SILICATO DE ZINCO BICOMPONENTE PARA FUNDO PREPARADOR DE PINTURA</t>
  </si>
  <si>
    <t>DILUENTE PARA TINTA À BASE DE ETIL SILICATO DE ZINCO</t>
  </si>
  <si>
    <t>CABO DE COBRE PP FLEXÍVEL ISOLADO EM PVC - TENSÃO DE 300/500 V E SEÇÃO DE 3 X 1,5 MM²</t>
  </si>
  <si>
    <t>BOMBA DE COMBUSTÍVEL INDUSTRIAL ELETRÔNICA SIMPLES</t>
  </si>
  <si>
    <t>TANQUE DE COMBUSTÍVEL AÉREO HORIZONTAL COM ESCADA PARA VISITA - CAPACIDADE DE 5.000 L</t>
  </si>
  <si>
    <t>CABO DE COBRE FLEXÍVEL ANTICHAMA ISOLADO EM PVC - TENSÃO DE 0,6/1,0 KV E SEÇÃO DE 240 MM²</t>
  </si>
  <si>
    <t>MÓDULO DE TORRE DE ELEVADOR DE CREMALHEIRA</t>
  </si>
  <si>
    <t>MÓDULO DE ANCORAGEM DE TORRE DE ELEVADOR DE CREMALHEIRA</t>
  </si>
  <si>
    <t>CABO DE COBRE FLEXÍVEL ANTICHAMA ISOLADO EM PVC - TENSÃO DE 0,6/1,0 KV E SEÇÃO DE 50 MM²</t>
  </si>
  <si>
    <t>CAIBRO DE PINHO - L = 7,5 CM E E = 7,5 CM</t>
  </si>
  <si>
    <t>PONTALETE PARA ESCORAMENTO - D = 15 CM</t>
  </si>
  <si>
    <t>TÁBUA - E = 2,5 CM E L = 30 CM</t>
  </si>
  <si>
    <t>TÁBUA - E = 2,5 CM E L = 15 CM</t>
  </si>
  <si>
    <t>TÁBUA - E = 2,5 CM E L = 10 CM</t>
  </si>
  <si>
    <t>PONTALETE PARA ESCORAMENTO - D = 10 CM</t>
  </si>
  <si>
    <t>PEÇA DE MADEIRA - L = 7,5 CM E E = 2,5 CM</t>
  </si>
  <si>
    <t xml:space="preserve">FILTRO DE ASPIRAÇÃO DE AR EXTERNO COM CAPACIDADE 3,58 L/S PARA COMPRESSOR DE AR RESPIRÁVEL </t>
  </si>
  <si>
    <t xml:space="preserve">FILTRO DE PURIFICAÇÃO DE AR COMPRIMIDO COM CAPACIDADE DE 35 MPA PARA COMPRESSOR DE AR RESPIRÁVEL </t>
  </si>
  <si>
    <t>CAL HIDRATADA - A GRANEL</t>
  </si>
  <si>
    <t>CAL HIDRATADA - SACO</t>
  </si>
  <si>
    <t>DISCO DE AÇO PARA BOMBA DE PROJEÇÃO VIA SECA</t>
  </si>
  <si>
    <t>DISCO DE AÇO PARA BOMBA DE PROJEÇÃO VIA ÚMIDA</t>
  </si>
  <si>
    <t>DISCO DE BORRACHA PARA BOMBA DE PROJEÇÃO VIA SECA</t>
  </si>
  <si>
    <t>DISCO DE BORRACHA PARA BOMBA DE PROJEÇÃO VIA ÚMIDA</t>
  </si>
  <si>
    <t>BICO PARA BOMBA DE PROJEÇÃO</t>
  </si>
  <si>
    <t>MANGOTE PARA BOMBA DE PROJEÇÃO</t>
  </si>
  <si>
    <t>CANTONEIRA EM FERRO DE ABAS IGUAIS - L = 25,4 MM E E = 4,76 MM</t>
  </si>
  <si>
    <t>CANTONEIRA EM AÇO ASTM A36 GALVANIZADO</t>
  </si>
  <si>
    <t>CHAPA DE ALUMÍNIO - E = 1,5 MM</t>
  </si>
  <si>
    <t>CHUMBADOR DE EXPANSÃO CONTROLADA POR TORQUE EM AÇO ZINCADO PARA CONCRETO - D = 12,5 MM</t>
  </si>
  <si>
    <t>CHUMBADOR DE EXPANSÃO CONTROLADA POR TORQUE EM AÇO ZINCADO PARA CONCRETO - D = 6,3 MM</t>
  </si>
  <si>
    <t>CHUMBADOR DE EXPANSÃO CONTROLADA POR TORQUE EM AÇO ZINCADO PARA CONCRETO - D = 20,0 MM</t>
  </si>
  <si>
    <t>CHUMBADOR DE EXPANSÃO CONTROLADA POR TORQUE EM AÇO ZINCADO PARA CONCRETO - D = 10,0 MM</t>
  </si>
  <si>
    <t>CHUMBADOR DE EXPANSÃO CONTROLADA POR TORQUE EM AÇO ZINCADO PARA CONCRETO - D = 16,0 MM</t>
  </si>
  <si>
    <t>CHUMBADOR DE EXPANSÃO CONTROLADA POR TORQUE EM AÇO ZINCADO PARA CONCRETO - D = 25,0 MM</t>
  </si>
  <si>
    <t>ARGAMASSA EXPANSIVA PARA DESMONTE DE ROCHA E DEMOLIÇÃO DE CONCRETO</t>
  </si>
  <si>
    <t>CIMENTO PORTLAND CP II - 32 - SACO</t>
  </si>
  <si>
    <t>CORDOALHA NUA TIPO CP 190 RB - D = 12,7 MM</t>
  </si>
  <si>
    <t>CORDOALHA NUA TIPO CP 190 RB - D = 15,2 MM</t>
  </si>
  <si>
    <t>PERFIL DE ALUMÍNIO TIPO L421 PARA PLACA DE SINALIZAÇÃO - SEÇÃO DE 33 X 40 MM</t>
  </si>
  <si>
    <t>TIRANTE DE BARRA DE AÇO - TENSÃO DE ESCOAMENTO = 950 MPA, TENSÃO DE RUPTURA = 1.050 MPA E D = 32 MM</t>
  </si>
  <si>
    <t>COMPENSADO PLASTIFICADO - E = 10 MM</t>
  </si>
  <si>
    <t>COMPENSADO PLASTIFICADO - E = 12 MM</t>
  </si>
  <si>
    <t>LUVA EM AÇO PARA EMENDA TIPO PRENSADA - D = 12,5 MM</t>
  </si>
  <si>
    <t>LUVA EM AÇO PARA EMENDA TIPO PRENSADA - D = 16,0 MM</t>
  </si>
  <si>
    <t>COMPENSADO RESINADO - E = 10 MM</t>
  </si>
  <si>
    <t>COMPENSADO RESINADO - E = 12 MM</t>
  </si>
  <si>
    <t>COMPENSADO RESINADO - E = 14 MM</t>
  </si>
  <si>
    <t>COMPENSADO DE VIROLA - E = 6 MM</t>
  </si>
  <si>
    <t>CONCRETO USINADO - FCK = 20 MPA (COMERCIAL)</t>
  </si>
  <si>
    <t>CONCRETO USINADO - FCK = 25 MPA (COMERCIAL)</t>
  </si>
  <si>
    <t>CONCRETO USINADO - FCK = 30 MPA (COMERCIAL)</t>
  </si>
  <si>
    <t>CONCRETO USINADO - FCK = 35 MPA (COMERCIAL)</t>
  </si>
  <si>
    <t>COMPENSADO PLASTIFICADO - E = 14 MM</t>
  </si>
  <si>
    <t>LUVA EM AÇO PARA EMENDA TIPO PRENSADA - D = 20,0 MM</t>
  </si>
  <si>
    <t>LUVA EM AÇO PARA EMENDA TIPO PRENSADA - D = 25,0 MM</t>
  </si>
  <si>
    <t>LUVA EM AÇO PARA EMENDA TIPO PRENSADA - D = 32,0 MM</t>
  </si>
  <si>
    <t>LUVA EM AÇO PARA EMENDA COM ROSCA CÔNICA - D = 12,5 MM</t>
  </si>
  <si>
    <t>LUVA EM AÇO PARA EMENDA COM ROSCA CÔNICA - D = 16,0 MM</t>
  </si>
  <si>
    <t>LUVA EM AÇO PARA EMENDA COM ROSCA CÔNICA - D = 20,0 MM</t>
  </si>
  <si>
    <t>LUVA EM AÇO PARA EMENDA COM ROSCA CÔNICA - D = 25,0 MM</t>
  </si>
  <si>
    <t>LUVA EM AÇO PARA EMENDA COM ROSCA CÔNICA - D = 32,0 MM</t>
  </si>
  <si>
    <t>BROCA DE WIDIA - D = 6,5 MM E C = 100 MM</t>
  </si>
  <si>
    <t>BROCA DE WIDIA - D = 8 MM E C = 120 MM</t>
  </si>
  <si>
    <t>ABRASIVO TIPO GRANALHA DE AÇO</t>
  </si>
  <si>
    <t>BICO VENTURI LONGO - D = 7,9 MM (5/16")</t>
  </si>
  <si>
    <t>LAMINADO ELASTOPLÁSTICO - E = 1,5 MM</t>
  </si>
  <si>
    <t>ESCORA TUBULAR GALVANIZADA REGULÁVEL TELESCÓPICA PARA TUNNEL LINER - L = 2,42 A 4,00 M E CAPACIDADE DE 1.750 A 625 KG</t>
  </si>
  <si>
    <t>ESCORA TUBULAR GALVANIZADA REGULÁVEL - L = 3,00 A 4,50 M E CAPACIDADE DE 2.100 A 750 KG</t>
  </si>
  <si>
    <t>ESCORA TUBULAR GALVANIZADA REGULÁVEL - L = 2,00 A 3,10 M E CAPACIDADE DE 3.200 A 1.500 KG</t>
  </si>
  <si>
    <t>QUADRO TUBULAR CONTRAVENTADO COM ACESSÓRIOS - C = 1,00 M, L = 1,00 M E H = 1,25 M</t>
  </si>
  <si>
    <t>SAPATA AJUSTÁVEL PARA ANDAIME - BASE QUADRADA DE 15 X 15 CM</t>
  </si>
  <si>
    <t>ESCADA METÁLICA TIPO MARINHEIRO PARA ANDAIME</t>
  </si>
  <si>
    <t>QUADRO TUBULAR CONTRAVENTADO PARA ANDAIME - H = 100 CM E L = 100 CM</t>
  </si>
  <si>
    <t>QUADRO TUBULAR CONTRAVENTADO PARA ANDAIME - H = 100 CM E L = 150 CM</t>
  </si>
  <si>
    <t>QUADRO TUBULAR CONTRAVENTADO PARA ANDAIME - H = 100 CM E L = 200 CM</t>
  </si>
  <si>
    <t>DIAGONAL TUBULAR PARA ANDAIME - C = 141 CM</t>
  </si>
  <si>
    <t>DIAGONAL TUBULAR PARA ANDAIME - C = 212 CM</t>
  </si>
  <si>
    <t>DIAGONAL TUBULAR PARA ANDAIME - C = 283 CM</t>
  </si>
  <si>
    <t>PLATAFORMA METÁLICA DE PISO PARA ANDAIME - C = 100 E L = 33 CM</t>
  </si>
  <si>
    <t>PLATAFORMA METÁLICA DE PISO PARA ANDAIME - C = 150 E L = 37 CM</t>
  </si>
  <si>
    <t>PLATAFORMA METÁLICA DE PISO PARA ANDAIME - C = 200 E L = 33 CM</t>
  </si>
  <si>
    <t>QUADRO TUBULAR TIPO GUARDA-CORPO PARA ANDAIME - H = 120 CM E L = 100 CM</t>
  </si>
  <si>
    <t>QUADRO TUBULAR TIPO GUARDA-CORPO COM ACESSÓRIOS PARA ANDAIME - H = 120 CM E L = 150 CM</t>
  </si>
  <si>
    <t>QUADRO TUBULAR TIPO GUARDA-CORPO COM ACESSÓRIOS PARA ANDAIME - H = 120 CM E L = 200 CM</t>
  </si>
  <si>
    <t>DESMOLDANTE PARA FÔRMAS DE MADEIRA</t>
  </si>
  <si>
    <t>ABRAÇADEIRA GIRATÓRIA EM AÇO GALVANIZADO PARA ESCADA MULTIDIRECIONAL - D = 48 MM</t>
  </si>
  <si>
    <t>TUBO EM AÇO GALVANIZADO PARA ESCADA MULTIDIRECIONAL - C = 100 CM</t>
  </si>
  <si>
    <t>PEÇA BASE EM AÇO GALVANIZADO PARA ESCADA MULTIDIRECIONAL - C = 33 CM</t>
  </si>
  <si>
    <t>POSTE VERTICAL EM AÇO GALVANIZADO PARA ESCADA MULTIDIRECIONAL - C = 100 CM</t>
  </si>
  <si>
    <t>POSTE VERTICAL EM AÇO GALVANIZADO PARA ESCADA MULTIDIRECIONAL - C = 200 CM</t>
  </si>
  <si>
    <t>TRAVESSA EM AÇO GALVANIZADO PARA ESCADA MULTIDIRECIONAL - C = 75 CM</t>
  </si>
  <si>
    <t>TRAVESSA EM AÇO GALVANIZADO PARA ESCADA MULTIDIRECIONAL - C = 150 CM</t>
  </si>
  <si>
    <t>TRAVESSA EM AÇO GALVANIZADO PARA ESCADA MULTIDIRECIONAL - C = 250 CM</t>
  </si>
  <si>
    <t>DIAGONAL EM AÇO GALVANIZADO PARA ESCADA MULTIDIRECIONAL - C = 150 CM PARA MÓDULOS DE H = 200 CM</t>
  </si>
  <si>
    <t>DIAGONAL EM AÇO GALVANIZADO PARA ESCADA MULTIDIRECIONAL - C = 250 CM PARA MÓDULOS DE H = 200 CM</t>
  </si>
  <si>
    <t>PISO EM AÇO GALVANIZADO PARA ESCADA MULTIDIRECIONAL - L = 32 CM E C = 150 CM</t>
  </si>
  <si>
    <t>ESCADA DE ALUMÍNIO PARA ESCADA MULTIDIRECIONAL - H = 200 CM E C = 250 CM</t>
  </si>
  <si>
    <t>CORRIMÃO EXTERNO EM ALUMÍNIO PARA ESCADA MULTIDIRECIONAL - C = 250 CM</t>
  </si>
  <si>
    <t>CORRIMÃO INTERNO EM ALUMÍNIO PARA ESCADA MULTIDIRECIONAL - C = 250 CM</t>
  </si>
  <si>
    <t>CONEXÃO TUBULAR EM AÇO GALVANIZADO COM SEMIABRAÇADEIRA PARA TRAVESSAS - C = 30 CM E D = 48,3 MM</t>
  </si>
  <si>
    <t>PONTEIRO PARA MARTELETE - D = 32 MM E C = 1,00 M</t>
  </si>
  <si>
    <t>PONTEIRO PARA ROMPEDOR HIDRÁULICO DE 1.700 KG</t>
  </si>
  <si>
    <t>PONTEIRO PARA ROMPEDOR HIDRÁULICO DE 520 KG</t>
  </si>
  <si>
    <t>CONCRETO USINADO - FCTM,K = 4,5 MPA (COMERCIAL)</t>
  </si>
  <si>
    <t>ADITIVO INCORPORADOR DE AR PARA CONCRETO E ARGAMASSA</t>
  </si>
  <si>
    <t>BICO PARA CORTE A PLASMA CNC - 130A</t>
  </si>
  <si>
    <t>BOCAL PARA CORTE A PLASMA CNC - 130A</t>
  </si>
  <si>
    <t>CAPA DO BICO PARA CORTE A PLASMA CNC - 130A</t>
  </si>
  <si>
    <t>CAPA DO BOCAL PARA CORTE A PLASMA CNC - 130A</t>
  </si>
  <si>
    <t>DISTRIBUIDOR DE GÁS PARA CORTE A PLASMA CNC - 130A</t>
  </si>
  <si>
    <t>ELETRODO PARA CORTE A PLASMA CNC - 130A</t>
  </si>
  <si>
    <t>TUBO DE ÁGUA PARA CORTE A PLASMA CNC - 130A</t>
  </si>
  <si>
    <t>ESTACA PRÉ-MOLDADA DE CONCRETO PROTENDIDO COM COMPRESSÃO ADMISSÍVEL DE 100 T</t>
  </si>
  <si>
    <t>ESTACA PRÉ-MOLDADA DE CONCRETO PROTENDIDO COM COMPRESSÃO ADMISSÍVEL DE 25 T</t>
  </si>
  <si>
    <t>ESTACA PRÉ-MOLDADA DE CONCRETO PROTENDIDO COM COMPRESSÃO ADMISSÍVEL DE 35 T</t>
  </si>
  <si>
    <t>ESTACA PRÉ-MOLDADA DE CONCRETO PROTENDIDO COM COMPRESSÃO ADMISSÍVEL DE 60 T</t>
  </si>
  <si>
    <t>ESTACA PRÉ-MOLDADA DE CONCRETO PROTENDIDO COM COMPRESSÃO ADMISSÍVEL DE 75 T</t>
  </si>
  <si>
    <t>MARTELO DE FUNDO DTH - DN = 76 MM (3")</t>
  </si>
  <si>
    <t>MARTELO DE FUNDO DTH - DN = 127 MM (5")</t>
  </si>
  <si>
    <t>MARTELO DE FUNDO DTH - DN = 152 MM (6")</t>
  </si>
  <si>
    <t>MARTELO DE FUNDO DTH - DN = 203 MM (8")</t>
  </si>
  <si>
    <t>ESTACA PRÉ-MOLDADA DE CONCRETO ARMADO CENTRIFUGADO COM COMPRESSÃO ADMISSÍVEL DE 55 T</t>
  </si>
  <si>
    <t>ESTACA PRÉ-MOLDADA DE CONCRETO ARMADO CENTRIFUGADO COM COMPRESSÃO ADMISSÍVEL DE 80 T</t>
  </si>
  <si>
    <t>AÇO EM PERFIS ASTM A36</t>
  </si>
  <si>
    <t>ESTACA PRÉ-MOLDADA DE CONCRETO ARMADO CENTRIFUGADO COM COMPRESSÃO ADMISSÍVEL DE 100 T</t>
  </si>
  <si>
    <t>TINTA À BASE DE RESINA EPÓXI BICOMPONENTE PARA FUNDO PREPARADOR DE PINTURA</t>
  </si>
  <si>
    <t>TINTA ESMALTE À BASE DE RESINA EPÓXI BICOMPONENTE</t>
  </si>
  <si>
    <t>DILUENTE EPÓXI</t>
  </si>
  <si>
    <t>TINTA ANTICORROSIVA ZARCÃO PARA FUNDO PREPARADOR DE PINTURA</t>
  </si>
  <si>
    <t>ESTACA PRÉ-MOLDADA DE CONCRETO ARMADO CENTRIFUGADO COM COMPRESSÃO ADMISSÍVEL DE 125 T</t>
  </si>
  <si>
    <t>FIXADOR DE CAL PARA PINTURA</t>
  </si>
  <si>
    <t>ESTACA PRÉ-MOLDADA DE CONCRETO ARMADO CENTRIFUGADO COM COMPRESSÃO ADMISSÍVEL DE 170 T</t>
  </si>
  <si>
    <t>GRAMA TIPO BATATAIS</t>
  </si>
  <si>
    <t>GRAMPO EM AÇO GALVANIZADO PARA CERCA - C = 25,4 MM E E = 3,76 MM (1" X 9 BWG)</t>
  </si>
  <si>
    <t>ESTACA PRÉ-MOLDADA DE CONCRETO ARMADO CENTRIFUGADO COM COMPRESSÃO ADMISSÍVEL DE 230 T</t>
  </si>
  <si>
    <t>ESTACA PRÉ-MOLDADA DE CONCRETO ARMADO CENTRIFUGADO COM COMPRESSÃO ADMISSÍVEL DE 300 T</t>
  </si>
  <si>
    <t>SINALIZADOR A LED COM BATERIA</t>
  </si>
  <si>
    <t>LONA PLÁSTICA - E = 200 MICRA</t>
  </si>
  <si>
    <t>CAVALETE EM POLIETILENO ZEBRADO COM FAIXA REFLETIVA</t>
  </si>
  <si>
    <t>PERFIL DE ALUMÍNIO TIPO L463 PARA PLACA DE SINALIZAÇÃO - SEÇÃO DE 50 X 50 MM</t>
  </si>
  <si>
    <t>MASSA ASFÁLTICA COMERCIAL - CAPA DE ROLAMENTO</t>
  </si>
  <si>
    <t>MASSA ASFÁLTICA COMERCIAL - BINDER</t>
  </si>
  <si>
    <t>PLACA DE POLIESTIRENO EXPANDIDO (EPS)</t>
  </si>
  <si>
    <t>SUPORTE EM AÇO-CARBONO GALVANIZADO TIPO PERFIL C PARA PLACA DE SINALIZAÇÃO</t>
  </si>
  <si>
    <t>CONJUNTO PARA FIXAÇÃO DE PLACAS EM AÇO GALVANIZADO COMPOSTO POR BARRA CHATA, ABRAÇADEIRA, PARAFUSOS, PORCAS E ARRUELAS</t>
  </si>
  <si>
    <t>SEMIPÓRTICO METÁLICO PARA VÃO DE 8,3 M E VENTO DE 35 M/S</t>
  </si>
  <si>
    <t>APOIO DE NEOPRENE FRETADO</t>
  </si>
  <si>
    <t>CABO DE AÇO - D = 12,70 MM (1/2")</t>
  </si>
  <si>
    <t>SEMIPÓRTICO DUPLO METÁLICO PARA VÃO DE 2 X 8,3 M E VENTO DE 35 M/S</t>
  </si>
  <si>
    <t>BRITA 4</t>
  </si>
  <si>
    <t>CABO DE AÇO - D = 6,35 MM (1/4")</t>
  </si>
  <si>
    <t>CABO DE AÇO - D = 52,00 MM (2")</t>
  </si>
  <si>
    <t>SAPATILHA EM AÇO INOX - D = 6,35 MM (1/4")</t>
  </si>
  <si>
    <t>SEMIPÓRTICO METÁLICO PARA VÃO DE 8,3 M E VENTO DE 40 M/S</t>
  </si>
  <si>
    <t>SEMIPÓRTICO DUPLO METÁLICO PARA VÃO DE 2 X 8,3 M E VENTO DE 40 M/S</t>
  </si>
  <si>
    <t>PÓRTICO METÁLICO PARA VÃO DE 15,9 M E VENTO DE 40 M/S</t>
  </si>
  <si>
    <t>SEMIPÓRTICO METÁLICO PARA VÃO DE 8,3 M E VENTO DE 45 M/S</t>
  </si>
  <si>
    <t>CORDA DE SISAL - D = 12,0 MM</t>
  </si>
  <si>
    <t>GRAMPO LEVE EM AÇO-CARBONO PARA CABO DE AÇO - D = 6,3 MM (1/4")</t>
  </si>
  <si>
    <t>POSTE DE CONCRETO - CARGA NOMINAL DE 800 DAN, H = 15 M E D = 520 MM</t>
  </si>
  <si>
    <t>SEMIPÓRTICO DUPLO METÁLICO PARA VÃO DE 2 X 8,3 M E VENTO DE 45 M/S</t>
  </si>
  <si>
    <t>PÓRTICO METÁLICO PARA VÃO DE 15,9 M E VENTO DE 45 M/S</t>
  </si>
  <si>
    <t>LÂMPADA FLUORESCENTE COMPACTA ELETRÔNICA - POTÊNCIA DE 20 W</t>
  </si>
  <si>
    <t>MANTA ASFÁLTICA NÃO-TECIDO EM POLIÉSTER - E = 3 MM</t>
  </si>
  <si>
    <t>MANTA ASFÁLTICA NÃO-TECIDO EM POLIÉSTER - E = 4 MM</t>
  </si>
  <si>
    <t>LIXA PARA FERRO Nº 150</t>
  </si>
  <si>
    <t>ESTACA PRANCHA METÁLICA</t>
  </si>
  <si>
    <t>PARAFUSO DE CABEÇA SEXTAVADA EM AÇO GALVANIZADO COM PORCA E ARRUELA DE PRESSÃO - D = 6,35 MM (1/4")</t>
  </si>
  <si>
    <t>CJ</t>
  </si>
  <si>
    <t>AÇO EM PERFIS ASTM A572 GRAU 50</t>
  </si>
  <si>
    <t>PARAFUSO DE CABEÇA SEXTAVADA EM AÇO GALVANIZADO COM PORCA E ARRUELA DE PRESSÃO - D = 9,525 MM (3/8")</t>
  </si>
  <si>
    <t>ARRUELA LISA EM AÇO ASTM F436 PARA PARAFUSO - D = 12,7 MM</t>
  </si>
  <si>
    <t>ARRUELA LISA EM AÇO ASTM F436 PARA PARAFUSO - D = 16,0 MM</t>
  </si>
  <si>
    <t>ARRUELA LISA EM AÇO ASTM F436 PARA PARAFUSO - D = 20,0 MM</t>
  </si>
  <si>
    <t>PARAFUSO DE CABEÇA SEXTAVADA EM AÇO ASTM A325 DE ALTA RESISTÊNCIA COM ROSCA PARCIAL - D = 12,7 MM E C = 38,10 MM</t>
  </si>
  <si>
    <t>PARAFUSO DE CABEÇA SEXTAVADA EM AÇO ASTM A325 DE ALTA RESISTÊNCIA COM ROSCA PARCIAL - D = 12,7 MM E C = 44,45 MM</t>
  </si>
  <si>
    <t>PARAFUSO DE CABEÇA SEXTAVADA EM AÇO ASTM A325 DE ALTA RESISTÊNCIA COM ROSCA PARCIAL - D = 12,7 MM E C = 50,80 MM</t>
  </si>
  <si>
    <t>PARAFUSO DE CABEÇA SEXTAVADA EM AÇO ASTM A325 DE ALTA RESISTÊNCIA COM ROSCA PARCIAL - D = 12,7 MM E C = 57,15 MM</t>
  </si>
  <si>
    <t>PARAFUSO DE CABEÇA SEXTAVADA EM AÇO ASTM A325 DE ALTA RESISTÊNCIA COM ROSCA PARCIAL - D = 16 MM E C = 44,45 MM</t>
  </si>
  <si>
    <t>PARAFUSO DE CABEÇA SEXTAVADA EM AÇO ASTM A325 DE ALTA RESISTÊNCIA COM ROSCA PARCIAL - D = 16 MM E C = 50,80 MM</t>
  </si>
  <si>
    <t>PARAFUSO DE CABEÇA SEXTAVADA EM AÇO ASTM A325 DE ALTA RESISTÊNCIA COM ROSCA PARCIAL - D = 16 MM E C = 63,50 MM</t>
  </si>
  <si>
    <t>PARAFUSO DE CABEÇA SEXTAVADA EM AÇO ASTM A325 DE ALTA RESISTÊNCIA COM ROSCA PARCIAL - D = 20 MM E C = 50,80 MM</t>
  </si>
  <si>
    <t>PARAFUSO DE CABEÇA SEXTAVADA EM AÇO ASTM A325 DE ALTA RESISTÊNCIA COM ROSCA PARCIAL - D = 20 MM E C = 57,15 MM</t>
  </si>
  <si>
    <t>PARAFUSO DE CABEÇA SEXTAVADA EM AÇO ASTM A325 DE ALTA RESISTÊNCIA COM ROSCA PARCIAL - D = 20 MM E C = 63,50 MM</t>
  </si>
  <si>
    <t>PARAFUSO DE CABEÇA SEXTAVADA EM AÇO ASTM A325 DE ALTA RESISTÊNCIA COM ROSCA PARCIAL - D = 20 MM E C = 76,20 MM</t>
  </si>
  <si>
    <t>TUBO EM AÇO GALVANIZADO - E = 2,00 MM E D = 50,80 MM (2")</t>
  </si>
  <si>
    <t>TUBO EM AÇO GALVANIZADO - E = 3,00 MM E SEÇÃO DE 80 X 80 MM</t>
  </si>
  <si>
    <t>AÇO EM PERFIS ASTM A572 GRAU 50 PERFURADO</t>
  </si>
  <si>
    <t>PINO CONECTOR DE CISALHAMENTO PARA LAJE STEEL DECK - D = 19 MM E C = 80 MM</t>
  </si>
  <si>
    <t>PORCA SEXTAVADA PESADA EM AÇO ASTM A194 GRAU 2H PARA PARAFUSO - D = 12,7 MM</t>
  </si>
  <si>
    <t>PORCA SEXTAVADA PESADA EM AÇO ASTM A194 GRAU 2H PARA PARAFUSO - D = 16 MM</t>
  </si>
  <si>
    <t>PORCA SEXTAVADA PESADA EM AÇO ASTM A194 GRAU 2H PARA PARAFUSO - D = 20 MM</t>
  </si>
  <si>
    <t>STEEL DECK EM AÇO GALVANIZADO ASTM A653 GRAU 40</t>
  </si>
  <si>
    <t>CHAPA DE AÇO ASTM A572 GRAU 50 CORTADA E PERFURADA</t>
  </si>
  <si>
    <t>SUPORTE EM AÇO-CARBONO PARA CORRIMÃO DE GUARDA-CORPO METÁLICO</t>
  </si>
  <si>
    <t>FLUIDO DE RESFRIAMENTO PARA USINAGEM DE METAIS</t>
  </si>
  <si>
    <t>MADEIRA ESTRUTURAL DE EUCALIPTO</t>
  </si>
  <si>
    <t>TELA EM AÇO CA 60 SOLDADA NERVURADA</t>
  </si>
  <si>
    <t>TELA EM AÇO GALVANIZADO PARA ALAMBRADO - E = 1,64 MM (BWG 16) E MALHA DE 50 MM</t>
  </si>
  <si>
    <t>TELA EM AÇO GALVANIZADO PARA PASSARELAS RODOVIÁRIAS - E = 2,75 MM E MALHA DE 50 MM</t>
  </si>
  <si>
    <t>MANTA DE PVC REFORÇADA COM TELA DE POLIÉSTER - E = 1,2 MM</t>
  </si>
  <si>
    <t>MANTA DE PVC REFORÇADA COM TELA DE POLIÉSTER - E = 1,5 MM</t>
  </si>
  <si>
    <t>CERA DE PROTEÇÃO PARA ANCORAGEM DE ESTAIS</t>
  </si>
  <si>
    <t>PARAFUSO DE CABEÇA SEXTAVADA EM AÇO INOX - D = 12,7 MM (1/2") E C = 127,0 MM (5")</t>
  </si>
  <si>
    <t>PARAFUSO DE CABEÇA SEXTAVADA EM AÇO GALVANIZADO TIPO AUTOATARRACHANTE COM ARRUELA DE VEDAÇÃO - D = 6,3 MM E C = 19 MM</t>
  </si>
  <si>
    <t>PEDRA DE MÃO OU RACHÃO</t>
  </si>
  <si>
    <t>PEDRISCO</t>
  </si>
  <si>
    <t>CRUZETA DE MADEIRA PARA POSTE - H = 240 CM</t>
  </si>
  <si>
    <t>SELANTE ELÁSTICO À BASE DE POLIURETANO</t>
  </si>
  <si>
    <t>CORDÃO DE POLIETILENO EXPANDIDO DE BAIXA DENSIDADE - D = 15,0 MM</t>
  </si>
  <si>
    <t>JUNTA DE DILATAÇÃO EM ELASTÔMERO E PERFIL VV - L = 20 MM E H = 40 MM</t>
  </si>
  <si>
    <t>JUNTA DE DILATAÇÃO EM ELASTÔMERO E PERFIL VV - L = 25 MM E H = 50 MM</t>
  </si>
  <si>
    <t>PÓ DE PEDRA</t>
  </si>
  <si>
    <t>CORDÃO DE POLIETILENO EXPANDIDO DE BAIXA DENSIDADE - D = 10,0 MM</t>
  </si>
  <si>
    <t>JUNTA DE DILATAÇÃO EM ELASTÔMERO E PERFIL VV - L = 35 MM E H = 60 MM</t>
  </si>
  <si>
    <t>ADESIVO ESTRUTURAL À BASE DE RESINA EPÓXI BICOMPONENTE TIPO ADE-52 OU SIMILAR</t>
  </si>
  <si>
    <t>JUNTA DE DILATAÇÃO EM ELASTÔMERO E PERFIL VV - L = 40 MM E H = 70 MM</t>
  </si>
  <si>
    <t>JUNTA DE DILATAÇÃO EM ELASTÔMERO E PERFIL VV - L = 50 MM E H = 80 MM</t>
  </si>
  <si>
    <t>ARAME LISO EM AÇO GALVANIZADO - D = 1,65 MM (16 BWG)</t>
  </si>
  <si>
    <t>PREGO DE FERRO</t>
  </si>
  <si>
    <t>PÓRTICO METÁLICO PARA VÃO DE 15,9 M E VENTO DE 35 M/S</t>
  </si>
  <si>
    <t>PROJETOR EXTERNO EM ALUMÍNIO FUNDIDO PARA LÂMPADA DE ATÉ 2.000 W</t>
  </si>
  <si>
    <t>COROA DIAMANTADA - D = 15,87 MM (5/8")</t>
  </si>
  <si>
    <t>COROA DIAMANTADA - D = 19,50 MM (3/4")</t>
  </si>
  <si>
    <t>COROA DIAMANTADA - D = 25,40 MM (1")</t>
  </si>
  <si>
    <t>BARRA EM AÇO SAE 1010/1020 ROSCADA - D = 9,5 MM (3/8")</t>
  </si>
  <si>
    <t>ROLLER BIT - TOOTH CUTTER - SÉRIE 8 - D = 700 MM</t>
  </si>
  <si>
    <t>ROLLER BIT - TOOTH CUTTER - SÉRIE 8 - D = 800 MM</t>
  </si>
  <si>
    <t>ROLLER BIT - TOOTH CUTTER - SÉRIE 8 - D = 900 MM</t>
  </si>
  <si>
    <t>ROLLER BIT - TOOTH CUTTER - SÉRIE 8 - D = 1.000 MM</t>
  </si>
  <si>
    <t>ROLLER BIT - TOOTH CUTTER - SÉRIE 8 - D = 1.100 MM</t>
  </si>
  <si>
    <t>ROLLER BIT - TOOTH CUTTER - SÉRIE 8 - D = 1.200 MM</t>
  </si>
  <si>
    <t>ROLLER BIT - TOOTH CUTTER - SÉRIE 8 - D = 1.300 MM</t>
  </si>
  <si>
    <t>ROLLER BIT - TOOTH CUTTER - SÉRIE 13 - D = 1.400 MM</t>
  </si>
  <si>
    <t>ROLLER BIT - TOOTH CUTTER - SÉRIE 13 - D = 1.500 MM</t>
  </si>
  <si>
    <t>ROLLER BIT - TOOTH CUTTER - SÉRIE 13 - D = 1.600 MM</t>
  </si>
  <si>
    <t>ROLLER BIT - TOOTH CUTTER - SÉRIE 13 - D = 1.700 MM</t>
  </si>
  <si>
    <t>ROLLER BIT - TOOTH CUTTER - SÉRIE 13 - D = 1.800 MM</t>
  </si>
  <si>
    <t>ROLLER BIT - TOOTH CUTTER - CANTILEVER - D = 600 MM</t>
  </si>
  <si>
    <t>ROLLER BIT - TCI BUTTON CUTTER - CANTILEVER - D = 600 MM</t>
  </si>
  <si>
    <t>ROLLER BIT - TCI BUTTON CUTTER - SÉRIE 8 - D = 700 MM</t>
  </si>
  <si>
    <t>ROLLER BIT - TCI BUTTON CUTTER - SÉRIE 8 - D = 800 MM</t>
  </si>
  <si>
    <t>ROLLER BIT - TCI BUTTON CUTTER - SÉRIE 8 - D = 900 MM</t>
  </si>
  <si>
    <t>ROLLER BIT - TCI BUTTON CUTTER - SÉRIE 8 - D = 1.000 MM</t>
  </si>
  <si>
    <t>ROLLER BIT - TCI BUTTON CUTTER - SÉRIE 8 - D = 1.100 MM</t>
  </si>
  <si>
    <t>ROLLER BIT - TCI BUTTON CUTTER - SÉRIE 8 - D = 1.200 MM</t>
  </si>
  <si>
    <t>ROLLER BIT - TCI BUTTON CUTTER - SÉRIE 8 - D = 1.300 MM</t>
  </si>
  <si>
    <t>ROLLER BIT - TCI BUTTON CUTTER - SÉRIE 13 - D = 1.400 MM</t>
  </si>
  <si>
    <t>ROLLER BIT - TCI BUTTON CUTTER - SÉRIE 13 - D = 1.500 MM</t>
  </si>
  <si>
    <t>ROLLER BIT - TCI BUTTON CUTTER - SÉRIE 13 - D = 1.600 MM</t>
  </si>
  <si>
    <t>ROLLER BIT - TCI BUTTON CUTTER - SÉRIE 13 - D = 1.700 MM</t>
  </si>
  <si>
    <t>ROLLER BIT - TCI BUTTON CUTTER - SÉRIE 13 - D = 1.800 MM</t>
  </si>
  <si>
    <t>RIPA DE MADEIRA - E = 4,0 CM E L = 1,5 CM</t>
  </si>
  <si>
    <t>SÉRIE DE BROCAS INTEGRAIS S11</t>
  </si>
  <si>
    <t>PARAFUSO DE CABEÇA SEXTAVADA EM AÇO GALVANIZADO - D = 15,875 MM (5/8") E C = 101,600 MM (4")</t>
  </si>
  <si>
    <t>MUDA DE ÁRVORE ORNAMENTAL COM ALTURA DE 2,00 A 3,00 M</t>
  </si>
  <si>
    <t>MUDA DE ÁRVORE ORNAMENTAL COM ALTURA DE 1,00 A 2,00 M</t>
  </si>
  <si>
    <t>MUDA DE ÁRVORE ORNAMENTAL COM ALTURA ATÉ 1,00 M</t>
  </si>
  <si>
    <t>SARRAFO EM MADEIRA DE TERCEIRA - E = 2,5 CM E L = 5 CM</t>
  </si>
  <si>
    <t>MUDA DE ÁRVORE FRUTÍFERA COM ALTURA DE 2,00 A 3,00 M</t>
  </si>
  <si>
    <t>MUDA DE ÁRVORE FRUTÍFERA COM ALTURA DE 1,00 A 2,00 M</t>
  </si>
  <si>
    <t>MUDA DE ÁRVORE FRUTÍFERA COM ALTURA ATÉ 1,00 M</t>
  </si>
  <si>
    <t>TAPETE DE FLORÍFERAS COM ALTURA ATÉ 0,50 M</t>
  </si>
  <si>
    <t>HERBICIDA GLIFOSATO PARA APLICAÇÃO LOCALIZADA</t>
  </si>
  <si>
    <t>DESENGRAXANTE LÍQUIDO BIODEGRADÁVEL</t>
  </si>
  <si>
    <t>CHAPA FINA EM AÇO GALVANIZADO</t>
  </si>
  <si>
    <t>PINGADEIRA DE ELASTÔMERO COM ABA INCLINADA - L = 40 MM E H = 40 MM</t>
  </si>
  <si>
    <t>SELADOR ACRÍLICO PARA PINTURA</t>
  </si>
  <si>
    <t>ADITIVO LÁTEX DE POLÍMERO SBR PARA CONCRETO E ARGAMASSA</t>
  </si>
  <si>
    <t>CHAPA FINA EM AÇO ASTM A36</t>
  </si>
  <si>
    <t>TRELIÇA NERVURADA ELETROSSOLDADA EM AÇO CA 60</t>
  </si>
  <si>
    <t>CHAPA GROSSA EM AÇO ASTM A36</t>
  </si>
  <si>
    <t>ARGAMASSA POLIMÉRICA MONOCOMPONENTE PARA REPAROS ESTRUTURAIS</t>
  </si>
  <si>
    <t>AREIA GROSSA LAVADA</t>
  </si>
  <si>
    <t>AREIA FINA LAVADA</t>
  </si>
  <si>
    <t>TUBO EM AÇO-CARBONO COM FUNIL CÔNICO TREMONHA PARA LANÇAMENTO DE CONCRETO</t>
  </si>
  <si>
    <t>DISCO DE CORTE DIAMANTADO PARA CONCRETO E ASFALTO - D = 350 MM</t>
  </si>
  <si>
    <t>ADESIVO ESTRUTURAL À BASE DE RESINA EPÓXI DE MÉDIA VISCOSIDADE</t>
  </si>
  <si>
    <t>CORDOALHA TIPO CP 177 RB PARA ESTAIS - D = 15,7 MM</t>
  </si>
  <si>
    <t>ADESIVO ESTRUTURAL À BASE DE RESINA EPÓXI DE BAIXA VISCOSIDADE</t>
  </si>
  <si>
    <t>PONTEIRO PARA MARTELETE - D = 22 MM E C = 1,00 M</t>
  </si>
  <si>
    <t>ELETRODO REVESTIDO E60XX</t>
  </si>
  <si>
    <t>VARETA EM AÇO-CARBONO PARA SOLDA OXIACETILENO AWS A 5.2 R45</t>
  </si>
  <si>
    <t>BROCA DE WIDIA - D = 14 MM E C = 150 MM</t>
  </si>
  <si>
    <t>ADESIVO ESTRUTURAL À BASE DE RESINA EPÓXI DE ALTA VISCOSIDADE</t>
  </si>
  <si>
    <t>BICO DE ADESÃO PARA INJEÇÃO DE ADESIVO ESTRUTURAL À BASE DE RESINA EPÓXI</t>
  </si>
  <si>
    <t>BICO DE PERFURAÇÃO PARA INJEÇÃO DE ADESIVO ESTRUTURAL À BASE DE RESINA EPÓXI</t>
  </si>
  <si>
    <t>APLICADOR MANUAL DE ADESIVO ESTRUTURAL</t>
  </si>
  <si>
    <t>DISCO DIAMANTADO PARA DESBASTE - D = 180 MM</t>
  </si>
  <si>
    <t>BROCA DE AÇO RÁPIDO - D = 12,5 MM E C = 151 MM</t>
  </si>
  <si>
    <t>GRELHA METÁLICA PARA CANALETAS - C = 1,00 M E L = 0,30 M</t>
  </si>
  <si>
    <t>PORTA-GRELHA METÁLICA - C = 1,00 M E L = 0,30 M</t>
  </si>
  <si>
    <t>TÁBUA DE PINHO DE TERCEIRA - E = 2,5 CM</t>
  </si>
  <si>
    <t>TAMPÃO DE FERRO FUNDIDO ARTICULADO PARA ÁGUAS PLUVIAIS - DN 600 CLASSE 400</t>
  </si>
  <si>
    <t>GRELHA METÁLICA PARA CANALETAS - C = 0,50 M E L = 0,50 M</t>
  </si>
  <si>
    <t>PORTA-GRELHA METÁLICA - C = 0,50 M E L = 0,50 M</t>
  </si>
  <si>
    <t>GEOGRELHA BIDIRECIONAL EM POLIPROPILENO EXTRUDADO - RESISTÊNCIA À TRAÇÃO DE 30 KN/M, DEFORMAÇÃO INFERIOR A 5% E MALHA DE 36 X 34 MM</t>
  </si>
  <si>
    <t>GEOGRELHA UNIDIRECIONAL EM POLIÉSTER - RESISTÊNCIA À TRAÇÃO LONGITUDINAL DE 50 KN/M</t>
  </si>
  <si>
    <t>GEOGRELHA UNIDIRECIONAL EM POLIÉSTER - RESISTÊNCIA À TRAÇÃO LONGITUDINAL DE 90 KN/M</t>
  </si>
  <si>
    <t>GEOGRELHA UNIDIRECIONAL EM POLIÉSTER - RESISTÊNCIA À TRAÇÃO LONGITUDINAL DE 100 KN/M</t>
  </si>
  <si>
    <t>GEOGRELHA UNIDIRECIONAL EM POLIÉSTER - RESISTÊNCIA À TRAÇÃO LONGITUDINAL DE 150 KN/M</t>
  </si>
  <si>
    <t>GEOGRELHA UNIDIRECIONAL EM POLIÉSTER - RESISTÊNCIA À TRAÇÃO LONGITUDINAL DE 200 KN/M</t>
  </si>
  <si>
    <t>GEOGRELHA UNIDIRECIONAL EM POLIÉSTER - RESISTÊNCIA À TRAÇÃO LONGITUDINAL DE 300 KN/M</t>
  </si>
  <si>
    <t>GEOGRELHA UNIDIRECIONAL EM POLIÉSTER - RESISTÊNCIA À TRAÇÃO LONGITUDINAL DE 400 KN/M</t>
  </si>
  <si>
    <t>GEOCÉLULA EM PEAD - H = 75 MM E CÉLULA DE 289 CM²</t>
  </si>
  <si>
    <t>GEOCÉLULA EM PEAD - H = 100 MM E CÉLULA DE 289 CM²</t>
  </si>
  <si>
    <t>GEOCÉLULA EM PEAD - H = 150 MM E CÉLULA DE 289 CM²</t>
  </si>
  <si>
    <t>GEOCÉLULA EM PEAD - H = 200 MM E CÉLULA DE 289 CM²</t>
  </si>
  <si>
    <t>GEOCÉLULA EM PEAD - H = 75 MM E CÉLULA DE 460 CM²</t>
  </si>
  <si>
    <t>GEOCÉLULA EM PEAD - H = 100 MM E CÉLULA DE 460 CM²</t>
  </si>
  <si>
    <t>GEOCÉLULA EM PEAD - H = 150 MM E CÉLULA DE 460 CM²</t>
  </si>
  <si>
    <t>GEOCÉLULA EM PEAD - H = 200 MM E CÉLULA DE 460 CM²</t>
  </si>
  <si>
    <t>GEOCÉLULA EM PEAD - H = 75 MM E CÉLULA DE 1.206 CM²</t>
  </si>
  <si>
    <t>GEOCÉLULA EM PEAD - H = 100 MM E CÉLULA DE 1.206 CM²</t>
  </si>
  <si>
    <t>GEOCÉLULA EM PEAD - H = 150 MM E CÉLULA DE 1.206 CM²</t>
  </si>
  <si>
    <t>GEOCÉLULA EM PEAD - H = 200 MM E CÉLULA DE 1.206 CM²</t>
  </si>
  <si>
    <t>TUBO DE PVC ROSQUEÁVEL PARA ÁGUA FRIA - D = 75 MM (3")</t>
  </si>
  <si>
    <t>COROA DIAMANTADA - D = 31,80 MM (1 1/4")</t>
  </si>
  <si>
    <t>COROA DIAMANTADA - D = 38,10 MM (1 1/2")</t>
  </si>
  <si>
    <t>COROA DIAMANTADA - D = 44,50 MM (1 3/4")</t>
  </si>
  <si>
    <t>COROA DIAMANTADA - D = 50,80 MM (2")</t>
  </si>
  <si>
    <t>COROA DIAMANTADA - D = 63,50 MM (2 1/2")</t>
  </si>
  <si>
    <t>COROA DIAMANTADA - D = 76,20 MM (3")</t>
  </si>
  <si>
    <t>COROA DIAMANTADA - D = 101,60 MM (4")</t>
  </si>
  <si>
    <t>BROCA DE WIDIA - D = 10 MM E C = 150 MM</t>
  </si>
  <si>
    <t>BROCA DE WIDIA - D = 13 MM E C = 150 MM</t>
  </si>
  <si>
    <t>TELHA TRAPEZOIDAL EM AÇO ZINCADO - E = 0,43 MM</t>
  </si>
  <si>
    <t>GEOTÊXTIL NÃO-TECIDO AGULHADO EM POLIÉSTER - RESISTÊNCIA À TRAÇÃO LONGITUDINAL DE 31 KN/M</t>
  </si>
  <si>
    <t>TERRA VEGETAL PRODUZIDA</t>
  </si>
  <si>
    <t>TINTA LÁTEX À BASE DE RESINA ACRÍLICA</t>
  </si>
  <si>
    <t>TINTA PLÁSTICA À BASE DE RESINA METACRÍLICA APLICADA A FRIO POR DISPERSÃO OU EXTRUSÃO</t>
  </si>
  <si>
    <t>MASSA TERMOPLÁSTICA APLICADA POR EXTRUSÃO</t>
  </si>
  <si>
    <t>SUPORTE POLIMÉRICO ECOLÓGICO MACIÇO COLAPSÍVEL PARA PLACA DE SINALIZAÇÃO - D = 6,4 CM</t>
  </si>
  <si>
    <t>TRILHO TR25 EM AÇO-CARBONO USADO</t>
  </si>
  <si>
    <t>TRILHO TR37 EM AÇO-CARBONO USADO</t>
  </si>
  <si>
    <t>TRILHO TR45 EM AÇO-CARBONO USADO</t>
  </si>
  <si>
    <t>TRILHO TR57 EM AÇO-CARBONO USADO</t>
  </si>
  <si>
    <t>TRILHO TR68 EM AÇO-CARBONO USADO</t>
  </si>
  <si>
    <t>TUBO EM AÇO GALVANIZADO COM ROSCA BSP CLASSE LEVE - D = 50 MM (2")</t>
  </si>
  <si>
    <t>TUBO EM AÇO GALVANIZADO COM ROSCA BSP CLASSE LEVE - D = 20 MM (3/4")</t>
  </si>
  <si>
    <t>TUBO EM AÇO GALVANIZADO COM ROSCA BSP CLASSE LEVE - D = 80 MM (3")</t>
  </si>
  <si>
    <t>TUBO EM AÇO GALVANIZADO COM ROSCA BSP CLASSE LEVE - D = 100 MM (4")</t>
  </si>
  <si>
    <t>SUPORTE POLIMÉRICO ECOLÓGICO MACIÇO COLAPSÍVEL PARA PLACA DE SINALIZAÇÃO - SEÇÃO DE 8 X 8 CM</t>
  </si>
  <si>
    <t>SUPORTE POLIMÉRICO ECOLÓGICO MACIÇO COLAPSÍVEL PARA PLACA DE SINALIZAÇÃO - SEÇÃO DE 7 X 15 CM</t>
  </si>
  <si>
    <t>MOURÃO DE MADEIRA - H = 2,10 M E D = 0,10 M</t>
  </si>
  <si>
    <t>MOURÃO DE MADEIRA - H = 2,20 M E D = 0,15 M</t>
  </si>
  <si>
    <t>NONEL INICIADOR - C = 300,0 M</t>
  </si>
  <si>
    <t>COROA DE BOTÕES ESFÉRICOS - D = 130 MM (5 1/8")</t>
  </si>
  <si>
    <t>COROA DE BOTÕES ESFÉRICOS - D = 194 MM (7 5/8")</t>
  </si>
  <si>
    <t>COROA DE BOTÕES ESFÉRICOS - D = 251 MM (9 7/8")</t>
  </si>
  <si>
    <t>COROA DE BOTÕES ESFÉRICOS - D = 305 MM (12")</t>
  </si>
  <si>
    <t>COROA DE BOTÕES ESFÉRICOS - D = 355 MM (14")</t>
  </si>
  <si>
    <t>DENTE DE CORTE PARA TRADO OU CAÇAMBA DE PERFURAÇÃO</t>
  </si>
  <si>
    <t>COROA DE BOTÕES ESFÉRICOS LINHA ST68 - D = 102 MM (4")</t>
  </si>
  <si>
    <t>COROA DE BOTÕES ESFÉRICOS PARA TIRANTE AUTOINJETÁVEL - D = 87 MM (3 7/16")</t>
  </si>
  <si>
    <t>TRICONE PARA TIRANTE AUTOINJETÁVEL - D = 120 MM</t>
  </si>
  <si>
    <t>COROA PILOTO DE BOTÕES ESFÉRICOS PARA SISTEMA AUTOPERFURANTE - D = 76,2 MM (3")</t>
  </si>
  <si>
    <t>TUBO DE PVC PONTA E BOLSA PARA ESGOTO - D = 50 MM (2")</t>
  </si>
  <si>
    <t>TUBO DE PVC PONTA E BOLSA PARA ESGOTO - D = 75 MM (3")</t>
  </si>
  <si>
    <t>TUBO PEAD CORRUGADO PERFURADO PARA DRENAGEM - D = 170 MM</t>
  </si>
  <si>
    <t>TUBO PEAD CORRUGADO PERFURADO PARA DRENAGEM - D = 230 MM</t>
  </si>
  <si>
    <t>SUPORTE EM MADEIRA DE EUCALIPTO TRATADO - SEÇÃO DE 8 X 8 CM</t>
  </si>
  <si>
    <t>TUBO DE PVC ROSQUEÁVEL PARA ÁGUA FRIA - D = 40 MM (1 1/2")</t>
  </si>
  <si>
    <t>TUBO DE PVC ROSQUEÁVEL PARA ÁGUA FRIA - D = 100 MM (4")</t>
  </si>
  <si>
    <t>TUBO DE PVC ROSQUEÁVEL PARA ÁGUA FRIA - D = 150 MM (6")</t>
  </si>
  <si>
    <t>DUTO FLEXÍVEL DE VENTILAÇÃO EM PVC - D = 1,20 M</t>
  </si>
  <si>
    <t>BROCA INTEGRAL SÉRIE H19 - D = 24 MM E C = 0,4 M</t>
  </si>
  <si>
    <t>GEOTÊXTIL NÃO-TECIDO AGULHADO EM POLIÉSTER - RESISTÊNCIA À TRAÇÃO LONGITUDINAL DE 10 KN/M</t>
  </si>
  <si>
    <t>HASTE DE PERFURAÇÃO SIMPLES PARA JET GROUTING - D = 88,9 MM (3 1/2") E C = 3,00 M</t>
  </si>
  <si>
    <t>LUVA EM AÇO GALVANIZADO COM ROSCA BSP CLASSE LEVE - D = 50 MM (2")</t>
  </si>
  <si>
    <t>MANTA DRENANTE EM MALHA DE POLIETILENO E GEOTÊXTIL DE POLIPROPILENO EM UMA DAS FACES</t>
  </si>
  <si>
    <t>PUNHO LINHA ST68 PARA PERFURAÇÃO - D = 80 MM (3 5/32")</t>
  </si>
  <si>
    <t>ADESIVO À BASE DE RESINA POLIÉSTER BICOMPONENTE PARA ANCORAGEM</t>
  </si>
  <si>
    <t>TUBO EM AÇO-CARBONO PARA AR COMPRIMIDO - D = 150 MM (6")</t>
  </si>
  <si>
    <t>HASTE LINHA T45 PARA PERFURATRIZ SOBRE ESTEIRAS - D = 45,0 MM (1 3/4") E C = 3,60 M</t>
  </si>
  <si>
    <t>PUNHO LINHA T45 PARA PERFURATRIZ SOBRE ESTEIRAS - D = 45 MM (1 3/4")</t>
  </si>
  <si>
    <t>LUVA EM AÇO LINHA T45 PARA PERFURATRIZ SOBRE ESTEIRAS - D = 45,0 MM (1 3/4")</t>
  </si>
  <si>
    <t>COROA DE BOTÕES ESFÉRICOS LINHA T45 - D = 89 MM (3 1/2")</t>
  </si>
  <si>
    <t>TUBO EM AÇO-CARBONO PARA SISTEMA AUTOPERFURANTE - D = 76,2 MM</t>
  </si>
  <si>
    <t>TUBO EM AÇO-CARBONO INICIADOR PARA SISTEMA AUTOPERFURANTE COM ANEL DA COROA PILOTO - D = 76,2 MM (3") E C = 3 M</t>
  </si>
  <si>
    <t>HASTE LINHA ST68 PARA PERFURAÇÃO - D = 87,0 MM (3 7/16") E C = 1,83 M</t>
  </si>
  <si>
    <t>HIDROMONITOR COM BICO DE INJEÇÃO PARA JET GROUTING - D = 88,9 MM (3 1/2")</t>
  </si>
  <si>
    <t>VÁLVULA MANCHETE - D = 73 MM</t>
  </si>
  <si>
    <t>BORRACHA PARA OBTURADOR MECÂNICO</t>
  </si>
  <si>
    <t>DISCO DE CORTE DIAMANTADO SEGMENTADO PARA CONCRETO - D = 110 MM</t>
  </si>
  <si>
    <t>CONJUNTO DE LÂMINAS DE CORTE PARA TRITURADORA DE GALHOS E TRONCOS</t>
  </si>
  <si>
    <t>PÓ CALCÁRIO DOLOMÍTICO</t>
  </si>
  <si>
    <t>MATERIAL FORMADOR DE CAMADA PROTETORA PARA HIDROSSEMEADURA</t>
  </si>
  <si>
    <t>TUBO EM AÇO-CARBONO SCHEDULE 40 - D = 65 MM (2 1/2")</t>
  </si>
  <si>
    <t>ANCORAGEM REGULÁVEL PARA ESTAIS DE 19 CORDOALHAS - D = 15,7 MM</t>
  </si>
  <si>
    <t>ANCORAGEM REGULÁVEL PARA ESTAIS DE 31 CORDOALHAS - D = 15,7 MM</t>
  </si>
  <si>
    <t>ANCORAGEM REGULÁVEL PARA ESTAIS DE 37 CORDOALHAS - D = 15,7 MM</t>
  </si>
  <si>
    <t>ANCORAGEM REGULÁVEL PARA ESTAIS DE 55 CORDOALHAS - D = 15,7 MM</t>
  </si>
  <si>
    <t>ANCORAGEM REGULÁVEL PARA ESTAIS DE 61 CORDOALHAS - D = 15,7 MM</t>
  </si>
  <si>
    <t>ANCORAGEM REGULÁVEL PARA ESTAIS DE 73 CORDOALHAS - D = 15,7 MM</t>
  </si>
  <si>
    <t>ANCORAGEM REGULÁVEL PARA ESTAIS DE 91 CORDOALHAS - D = 15,7 MM</t>
  </si>
  <si>
    <t>ANCORAGEM FIXA PARA ESTAIS DE 19 CORDOALHAS - D = 15,7 MM</t>
  </si>
  <si>
    <t>ANCORAGEM FIXA PARA ESTAIS DE 31 CORDOALHAS - D = 15,7 MM</t>
  </si>
  <si>
    <t>ANCORAGEM FIXA PARA ESTAIS DE 37 CORDOALHAS - D = 15,7 MM</t>
  </si>
  <si>
    <t>ANCORAGEM FIXA PARA ESTAIS DE 55 CORDOALHAS - D = 15,7 MM</t>
  </si>
  <si>
    <t>ANCORAGEM FIXA PARA ESTAIS DE 61 CORDOALHAS - D = 15,7 MM</t>
  </si>
  <si>
    <t>ANCORAGEM FIXA PARA ESTAIS DE 73 CORDOALHAS - D = 15,7 MM</t>
  </si>
  <si>
    <t>ANCORAGEM FIXA PARA ESTAIS DE 91 CORDOALHAS - D = 15,7 MM</t>
  </si>
  <si>
    <t>ESTACA DE TUTORAMENTO - D = 5 CM E H = 2 M</t>
  </si>
  <si>
    <t>ANCORAGEM ATIVA PARA 31 CORDOALHAS - D = 15,2 MM</t>
  </si>
  <si>
    <t>GÁS LIQUEFEITO DE PETRÓLEO (GLP)</t>
  </si>
  <si>
    <t>GÁS OXIGÊNIO</t>
  </si>
  <si>
    <t>GÁS ACETILENO</t>
  </si>
  <si>
    <t>FITA DE ESPUMA EPDM PARA VEDAÇÃO COM ADESIVO EM UMA FACE - E = 4 MM E L = 40 MM</t>
  </si>
  <si>
    <t>MANTA ASFÁLTICA NÃO-TECIDO EM POLIÉSTER - ANTIRRAÍZ - E = 3 MM</t>
  </si>
  <si>
    <t>LONGARINA DE MADEIRA DE PRIMEIRA - L = 16 CM E E = 6 CM</t>
  </si>
  <si>
    <t>ESTRONCA DE MADEIRA - D = 20 CM</t>
  </si>
  <si>
    <t>TELA METÁLICA GALVANIZADA DOBRADA EM L - C = 2,0 M, L = 0,5 M E H = 0,5 M</t>
  </si>
  <si>
    <t>TELA METÁLICA DE DUPLA TORÇÃO EM LIGA DE ZINCO E ALUMÍNIO - MALHA DE 8 X 10 CM</t>
  </si>
  <si>
    <t>CARTUCHO DE CIMENTO - D = 25 MM E C = 320 MM</t>
  </si>
  <si>
    <t>CARTUCHO DE RESINA POLIÉSTER - D = 38 MM E C = 500 MM</t>
  </si>
  <si>
    <t>ANCORAGEM ATIVA PARA 8 CORDOALHAS - D = 15,2 MM</t>
  </si>
  <si>
    <t>ANCORAGEM PASSIVA ADERENTE PARA 10 CORDOALHAS - D = 15,2 MM</t>
  </si>
  <si>
    <t>TINTA EM PÓ À BASE DE RESINA EPÓXI</t>
  </si>
  <si>
    <t>COROA DE BOTÕES ESFÉRICOS PARA MARTELO DE FUNDO - D = 120 MM (4 3/4")</t>
  </si>
  <si>
    <t>CUNHA METÁLICA PARA CORDOALHA - D = 12,7 MM</t>
  </si>
  <si>
    <t>MARTELO DE FUNDO DTH - DN = 102 MM (4")</t>
  </si>
  <si>
    <t>HASTE DE PERFURAÇÃO COM ROSCA API 2 3/8" - D = 73 MM (2 7/8")</t>
  </si>
  <si>
    <t>VÁLVULA MANCHETE - D = 32 MM</t>
  </si>
  <si>
    <t>VÁLVULA MANCHETE - D = 40 MM</t>
  </si>
  <si>
    <t>TUBO PEAD PE 80 PN 6 - D = 40 MM</t>
  </si>
  <si>
    <t>TUBO PEAD PE 80 PN 16 - D = 20 MM</t>
  </si>
  <si>
    <t>TUBO PEAD PE 80 PN 8 - D = 32 MM</t>
  </si>
  <si>
    <t>TUBO PEAD PE 80 PN 8 - D = 40 MM</t>
  </si>
  <si>
    <t>TUBO PEAD PE 80 PN 8 - D = 50 MM</t>
  </si>
  <si>
    <t>TUBO PEAD PE 80 PN 8 - D = 63 MM</t>
  </si>
  <si>
    <t>TUBO PEAD PE 80 PN 8 - D = 75 MM</t>
  </si>
  <si>
    <t>TUBO PEAD PE 80 PN 8 - D = 110 MM</t>
  </si>
  <si>
    <t>TUBO DE PVC ESPAGUETE - D = 14 MM</t>
  </si>
  <si>
    <t>TIRANTE DE BARRA DE AÇO - TENSÃO DE ESCOAMENTO = 500 MPA, TENSÃO DE RUPTURA = 750 MPA E D = 25 MM</t>
  </si>
  <si>
    <t>ESPAÇADOR PLÁSTICO TIPO DISCO SEPARADOR PARA TIRANTE COM 6 CORDOALHAS - D = 12,7 MM</t>
  </si>
  <si>
    <t>ESPAÇADOR PLÁSTICO TIPO DISCO SEPARADOR PARA TIRANTE COM 8 CORDOALHAS - D = 12,7 MM</t>
  </si>
  <si>
    <t>ESPAÇADOR PLÁSTICO TIPO DISCO SEPARADOR PARA TIRANTE COM 10 CORDOALHAS - D = 12,7 MM</t>
  </si>
  <si>
    <t>ESPAÇADOR PLÁSTICO TIPO DISCO SEPARADOR PARA TIRANTE COM 12 CORDOALHAS - D = 12,7 MM</t>
  </si>
  <si>
    <t>ESPAÇADOR PLÁSTICO TIPO CENTRALIZADOR CARAMBOLA PARA TIRANTE DE BARRA DE AÇO - D = 32,0 MM</t>
  </si>
  <si>
    <t>ESPAÇADOR PLÁSTICO TIPO CENTRALIZADOR CARAMBOLA PARA TIRANTE DE BARRA DE AÇO - D = 30,0 MM</t>
  </si>
  <si>
    <t>ESPAÇADOR PLÁSTICO TIPO CENTRALIZADOR CARAMBOLA PARA TIRANTE DE BARRA DE AÇO - D = 40,0 MM</t>
  </si>
  <si>
    <t>ÓLEO TIPO A1</t>
  </si>
  <si>
    <t>ESPAÇADOR PLÁSTICO TIPO CENTRALIZADOR CARAMBOLA PARA TIRANTE DE BARRA DE AÇO - D = 47,0 MM</t>
  </si>
  <si>
    <t>CIMENTO ASFÁLTICO DE PETRÓLEO - CAP 50/70</t>
  </si>
  <si>
    <t>CIMENTO ASFÁLTICO DE PETRÓLEO - CAP 150/200</t>
  </si>
  <si>
    <t>CIMENTO ASFÁLTICO DE PETRÓLEO - CAP 85/100</t>
  </si>
  <si>
    <t>EMULSÃO ASFÁLTICA - RR-1C</t>
  </si>
  <si>
    <t>EMULSÃO ASFÁLTICA - RM-1C</t>
  </si>
  <si>
    <t>ESPAÇADOR PLÁSTICO TIPO CENTRALIZADOR CARAMBOLA PARA TIRANTE DE BARRA DE AÇO - D = 50,0 MM</t>
  </si>
  <si>
    <t>EMULSÃO ASFÁLTICA - RL-1C</t>
  </si>
  <si>
    <t>EMULSÃO ASFÁLTICA COM POLÍMERO - RC-1C-E</t>
  </si>
  <si>
    <t>CIMENTO ASFÁLTICO DE PETRÓLEO COM POLÍMERO - CAP 150/200-E</t>
  </si>
  <si>
    <t>ADITIVO ASFÁLTICO DE RECICLAGEM PARA MISTURAS A QUENTE</t>
  </si>
  <si>
    <t>CIMENTO PORTLAND CP II - 32 - A GRANEL</t>
  </si>
  <si>
    <t>CIMENTO ASFÁLTICO DE PETRÓLEO COM POLÍMERO - CAP 55/75-E</t>
  </si>
  <si>
    <t>EMULSÃO ASFÁLTICA COM POLÍMERO - RR-2C-E</t>
  </si>
  <si>
    <t>EMULSÃO ASFÁLTICA COM POLÍMERO - RM-1C-E</t>
  </si>
  <si>
    <t>ESPAÇADOR PLÁSTICO TIPO CENTRALIZADOR CARAMBOLA PARA TIRANTE DE BARRA DE AÇO - D = 53,0 MM</t>
  </si>
  <si>
    <t>ESPAÇADOR PLÁSTICO TIPO CENTRALIZADOR CARAMBOLA PARA TIRANTE DE BARRA DE AÇO - D = 57,0 MM</t>
  </si>
  <si>
    <t>ESPAÇADOR PLÁSTICO TIPO CENTRALIZADOR CARAMBOLA PARA TIRANTE DE BARRA DE AÇO - D = 63,0 MM</t>
  </si>
  <si>
    <t>ESPAÇADOR PLÁSTICO TIPO CENTRALIZADOR CARAMBOLA PARA TIRANTE DE BARRA DE AÇO - D = 69,0 MM</t>
  </si>
  <si>
    <t>CANTONEIRA EM FERRO DE ABAS IGUAIS - L = 63,5 MM E E = 9,53 MM</t>
  </si>
  <si>
    <t>DEFENSA METÁLICA MALEÁVEL SIMPLES</t>
  </si>
  <si>
    <t>DEFENSA METÁLICA MALEÁVEL DUPLA</t>
  </si>
  <si>
    <t>DEFENSA METÁLICA SEMIMALEÁVEL SIMPLES</t>
  </si>
  <si>
    <t>DEFENSA METÁLICA SEMIMALEÁVEL DUPLA</t>
  </si>
  <si>
    <t>DENTE DE CORTE PARA FRESADORA DE 155 KW</t>
  </si>
  <si>
    <t>MÓDULO DE TRANSIÇÃO DE DEFENSA METÁLICA TIPO DUPLA ONDA COM LÂMINA ADICIONAL PARA BARREIRA RÍGIDA</t>
  </si>
  <si>
    <t>DENTE DE CORTE PARA FRESADORA DE 410 KW</t>
  </si>
  <si>
    <t>TERMINAL AÉREO DE DEFENSA METÁLICA (TIPO A)</t>
  </si>
  <si>
    <t>TERMINAL DE ANCORAGEM DE DEFENSA METÁLICA EM BARREIRA RÍGIDA (TIPO D)</t>
  </si>
  <si>
    <t>LUVA EM AÇO PARA EMENDA DE TIRANTES - D = 38 MM E C = 115 MM</t>
  </si>
  <si>
    <t>LUVA EM AÇO PARA EMENDA DE TIRANTES - D = 48 MM E C = 120 MM</t>
  </si>
  <si>
    <t>LUVA EM AÇO PARA EMENDA DE TIRANTES - D = 60 MM E C = 160 MM</t>
  </si>
  <si>
    <t>LUVA EM AÇO PARA EMENDA DE TIRANTES - D = 50 MM E C = 130 MM</t>
  </si>
  <si>
    <t>LUVA EM AÇO PARA EMENDA DE TIRANTES - D = 63 MM E C = 180 MM</t>
  </si>
  <si>
    <t>LUVA EM AÇO PARA EMENDA DE TIRANTES - D = 73 MM E C = 180 MM</t>
  </si>
  <si>
    <t>LUVA EM AÇO PARA EMENDA DE TIRANTES - D = 73 MM E C = 200 MM</t>
  </si>
  <si>
    <t>LUVA EM AÇO PARA EMENDA DE TIRANTES - D = 82 MM E C = 200 MM</t>
  </si>
  <si>
    <t>LUVA EM AÇO PARA EMENDA DE TIRANTES - D = 89 MM E C = 210 MM</t>
  </si>
  <si>
    <t>LUVA EM AÇO PARA EMENDA DE TIRANTES - D = 97 MM E C = 210 MM</t>
  </si>
  <si>
    <t>PLACA DE ANCORAGEM PARA TIRANTE DE BARRA DE AÇO - E = 16,0 MM E SEÇÃO DE 160 X 160 MM</t>
  </si>
  <si>
    <t>PLACA DE ANCORAGEM PARA TIRANTE DE BARRA DE AÇO - E = 16,0 MM E SEÇÃO DE 200 X 200 MM</t>
  </si>
  <si>
    <t>PLACA DE ANCORAGEM PARA TIRANTE DE BARRA DE AÇO - E = 22,0 MM E SEÇÃO DE 200 X 200 MM</t>
  </si>
  <si>
    <t>AMORTECEDOR RETRÁTIL TIPO TAU II PARALELO PCB OU SIMILAR PARA VELOCIDADE DE PROJETO DE 100 KM/H</t>
  </si>
  <si>
    <t>AMORTECEDOR RETRÁTIL TIPO TAU II COMBINADO PCB OU SIMILAR PARA VELOCIDADE DE PROJETO DE 100 KM/H E ÂNCORA TRASEIRA DE 900 MM</t>
  </si>
  <si>
    <t>AMORTECEDOR RETRÁTIL TIPO TAU II COMBINADO PCB OU SIMILAR PARA VELOCIDADE DE PROJETO DE 100 KM/H E ÂNCORA TRASEIRA DE 1.060 MM</t>
  </si>
  <si>
    <t>AMORTECEDOR RETRÁTIL TIPO TAU II COMBINADO PCB OU SIMILAR PARA VELOCIDADE DE PROJETO DE 100 KM/H E ÂNCORA TRASEIRA DE 1.220 MM</t>
  </si>
  <si>
    <t>AMORTECEDOR RETRÁTIL TIPO TAU II COMBINADO PCB OU SIMILAR PARA VELOCIDADE DE PROJETO DE 100 KM/H E ÂNCORA TRASEIRA DE 1.370 MM</t>
  </si>
  <si>
    <t>DISPOSITIVO DE ANCORAGEM DE FIXAÇÃO ELÁSTICA PANDROL</t>
  </si>
  <si>
    <t>AMORTECEDOR RETRÁTIL TIPO TAU II COMBINADO PCB OU SIMILAR PARA VELOCIDADE DE PROJETO DE 100 KM/H E ÂNCORA TRASEIRA DE 1.520 MM</t>
  </si>
  <si>
    <t>AMORTECEDOR RETRÁTIL TIPO TAU II AFUNILADO PCB OU SIMILAR PARA VELOCIDADE DE PROJETO VELOCIDADE DE 100 KM/H E ÂNCORA TRASEIRA DE 1.680 MM</t>
  </si>
  <si>
    <t>AMORTECEDOR RETRÁTIL TIPO TAU II AFUNILADO PCB OU SIMILAR PARA VELOCIDADE DE PROJETO DE 100 KM/H E ÂNCORA TRASEIRA DE 1.830 MM</t>
  </si>
  <si>
    <t>PLACA DE ANCORAGEM PARA TIRANTE DE BARRA DE AÇO - E = 32,0 MM E SEÇÃO DE 250 X 250 MM</t>
  </si>
  <si>
    <t>PLACA DE ANCORAGEM PARA TIRANTE DE BARRA DE AÇO - E = 38,0 MM E SEÇÃO DE 250 X 250 MM</t>
  </si>
  <si>
    <t>PLACA DE ANCORAGEM PARA TIRANTE DE BARRA DE AÇO - E = 51,0 MM E SEÇÃO DE 300 X 300 MM</t>
  </si>
  <si>
    <t>PLACA DE ANCORAGEM PARA TIRANTE DE BARRA DE AÇO - E = 64,0 MM E SEÇÃO DE 350 X 350 MM</t>
  </si>
  <si>
    <t>PLACA DE ANCORAGEM PARA TIRANTE COM 6 CORDOALHAS DE D = 12,7 MM</t>
  </si>
  <si>
    <t>PLACA DE ANCORAGEM PARA TIRANTE COM 8 CORDOALHAS DE D = 12,7 MM</t>
  </si>
  <si>
    <t>PLACA DE ANCORAGEM PARA TIRANTE COM 10 CORDOALHAS DE D = 12,7 MM</t>
  </si>
  <si>
    <t>PLACA DE ANCORAGEM PARA TIRANTE COM 12 CORDOALHAS DE D = 12,7 MM</t>
  </si>
  <si>
    <t>MOURÃO DE MADEIRA - H = 2,20 M E D = 0,10 M</t>
  </si>
  <si>
    <t>AMORTECEDOR RETRÁTIL TIPO TAU II AFUNILADO PCB OU SIMILAR PARA VELOCIDADE DE PROJETO DE 100 KM/H E ÂNCORA TRASEIRA DE 1.980 MM</t>
  </si>
  <si>
    <t>PORCA EM AÇO PARA ANCORAGEM DE TIRANTES - D = 38 MM E E = 55 MM</t>
  </si>
  <si>
    <t>GASTALHO - L = 10 CM E E = 2 CM</t>
  </si>
  <si>
    <t>PORCA EM AÇO PARA ANCORAGEM DE TIRANTES - D = 38 MM E E = 60 MM</t>
  </si>
  <si>
    <t>PORCA EM AÇO PARA ANCORAGEM DE TIRANTES - D = 48 MM E E = 65 MM</t>
  </si>
  <si>
    <t>AMORTECEDOR RETRÁTIL TIPO TAU II AFUNILADO PCB OU SIMILAR PARA VELOCIDADE DE PROJETO DE 100 KM/H E ÂNCORA TRASEIRA DE 2.130 MM</t>
  </si>
  <si>
    <t>CORDEL DETONANTE NP 10</t>
  </si>
  <si>
    <t>RETARDO DE CORDEL</t>
  </si>
  <si>
    <t>ESTOPIM</t>
  </si>
  <si>
    <t>TINTA À BASE DE RESINA ACRÍLICA ESTIRENADA PARA DEMARCAÇÃO VIÁRIA</t>
  </si>
  <si>
    <t>COROA DE BOTÕES CÔNICOS - TCI TRICONE - D = 75 MM (2 15/16")</t>
  </si>
  <si>
    <t>PORCA EM AÇO PARA ANCORAGEM DE TIRANTES - D = 60 MM E E = 65 MM</t>
  </si>
  <si>
    <t>PORCA EM AÇO PARA ANCORAGEM DE TIRANTES - D = 73 MM E E = 80 MM</t>
  </si>
  <si>
    <t>PORCA EM AÇO PARA ANCORAGEM DE TIRANTES - D = 73 MM E E = 100 MM</t>
  </si>
  <si>
    <t>PORCA EM AÇO PARA ANCORAGEM DE TIRANTES - D = 82 MM E E = 100 MM</t>
  </si>
  <si>
    <t>PORCA EM AÇO PARA ANCORAGEM DE TIRANTES - D = 89 MM E E = 100 MM</t>
  </si>
  <si>
    <t>SOLVENTE PARA TINTA À BASE DE RESINA ACRÍLICA</t>
  </si>
  <si>
    <t>PORCA EM AÇO PARA ANCORAGEM DE TIRANTES - D = 97 MM E E = 100 MM</t>
  </si>
  <si>
    <t>TINTA À BASE DE RESINA ACRÍLICA EMULSIONADA EM ÁGUA PARA DEMARCAÇÃO VIÁRIA</t>
  </si>
  <si>
    <t>MICROESFERAS REFLETIVAS DE VIDRO TIPO I-B</t>
  </si>
  <si>
    <t>MICROESFERAS REFLETIVAS DE VIDRO TIPO II-A</t>
  </si>
  <si>
    <t>MASSA TERMOPLÁSTICA PARA ASPERSÃO</t>
  </si>
  <si>
    <t>ADESIVO À BASE DE RESINA POLIÉSTER</t>
  </si>
  <si>
    <t>EMULSÃO EXPLOSIVA ENCARTUCHADA</t>
  </si>
  <si>
    <t>TINTA À BASE DE RESINA ACRÍLICA EMULSIONADA EM ÁGUA PARA PRÉ-MARCAÇÃO VIÁRIA</t>
  </si>
  <si>
    <t>MICROESFERAS REFLETIVAS DE VIDRO TIPO II-C</t>
  </si>
  <si>
    <t>COROA DE BOTÕES CÔNICOS - TCI TRICONE - D = 121 MM (4 3/4")</t>
  </si>
  <si>
    <t>TIRANTE AUTOINJETÁVEL DE AÇO - TENSÃO DE ESCOAMENTO = 440 MPA, TENSÃO DE RUPTURA = 580 MPA, SEÇÃO DE 684 MM² E D = 40 MM</t>
  </si>
  <si>
    <t>TIRANTE AUTOINJETÁVEL DE AÇO - TENSÃO DE ESCOAMENTO = 470 MPA, TENSÃO DE RUPTURA = 600 MPA, SEÇÃO DE 822 MM² E D = 40 MM</t>
  </si>
  <si>
    <t>TIRANTE AUTOINJETÁVEL DE AÇO - TENSÃO DE ESCOAMENTO = 700 MPA, TENSÃO DE RUPTURA = 830 MPA, SEÇÃO DE 936 MM² E D = 40 MM</t>
  </si>
  <si>
    <t>GEOTÊXTIL NÃO-TECIDO AGULHADO EM POLIÉSTER - RESISTÊNCIA À TRAÇÃO LONGITUDINAL DE 9 KN/M</t>
  </si>
  <si>
    <t>GEOTÊXTIL NÃO-TECIDO AGULHADO EM POLIÉSTER - RESISTÊNCIA À TRAÇÃO LONGITUDINAL DE 14 KN/M</t>
  </si>
  <si>
    <t>TIRANTE AUTOINJETÁVEL DE AÇO - TENSÃO DE ESCOAMENTO = 630 MPA, TENSÃO DE RUPTURA = 740 MPA, SEÇÃO DE 1.330 MM² E D = 50 MM</t>
  </si>
  <si>
    <t>TIRANTE AUTOINJETÁVEL DE AÇO - TENSÃO DE ESCOAMENTO = 630 MPA, TENSÃO DE RUPTURA = 740 MPA, SEÇÃO DE 1.569 MM² E D = 50 MM</t>
  </si>
  <si>
    <t>TIRANTE DE BARRA DE AÇO - TENSÃO DE ESCOAMENTO = 600 MPA, TENSÃO DE RUPTURA = 720 MPA E D = 30 MM</t>
  </si>
  <si>
    <t>TIRANTE DE BARRA DE AÇO - TENSÃO DE ESCOAMENTO = 600 MPA, TENSÃO DE RUPTURA = 720 MPA E D = 40 MM</t>
  </si>
  <si>
    <t>TIRANTE DE BARRA DE AÇO - TENSÃO DE ESCOAMENTO = 680 MPA, TENSÃO DE RUPTURA = 870 MPA E D = 44 MM</t>
  </si>
  <si>
    <t>TIRANTE DE BARRA DE AÇO - TENSÃO DE ESCOAMENTO = 600 MPA, TENSÃO DE RUPTURA = 720 MPA E D = 50 MM</t>
  </si>
  <si>
    <t>TIRANTE DE BARRA DE AÇO - TENSÃO DE ESCOAMENTO = 600 MPA, TENSÃO DE RUPTURA = 720 MPA E D = 53 MM</t>
  </si>
  <si>
    <t>TIRANTE DE BARRA DE AÇO - TENSÃO DE ESCOAMENTO = 600 MPA, TENSÃO DE RUPTURA = 720 MPA E D = 57 MM</t>
  </si>
  <si>
    <t>AMORTECEDOR RETRÁTIL TIPO TAU II AFUNILADO PCB OU SIMILAR PARA VELOCIDADE DE PROJETO DE 100 KM/H E ÂNCORA TRASEIRA DE 2.290 MM</t>
  </si>
  <si>
    <t>AMORTECEDOR RETRÁTIL TIPO TAU II AFUNILADO PCB OU SIMILAR PARA VELOCIDADE DE PROJETO DE 100 KM/H E ÂNCORA TRASEIRA DE 2.440 MM</t>
  </si>
  <si>
    <t>COROA DE BOTÕES ESFÉRICOS LINHA T38 - D = 64 MM (2 1/2")</t>
  </si>
  <si>
    <t>TIRANTE DE BARRA DE AÇO - TENSÃO DE ESCOAMENTO = 600 MPA, TENSÃO DE RUPTURA = 720 MPA E D = 63 MM</t>
  </si>
  <si>
    <t>TERMOPLÁSTICO PRÉ-FORMADO - E = 2,00 MM</t>
  </si>
  <si>
    <t>HASTE LINHA T38 PARA PERFURATRIZ SOBRE ESTEIRAS - D = 38,0 MM (1 1/2") E C = 3,05 M</t>
  </si>
  <si>
    <t>LUVA EM AÇO LINHA T38 PARA PERFURATRIZ SOBRE ESTEIRAS - D = 38,0 MM (1 1/2")</t>
  </si>
  <si>
    <t>PUNHO LINHA T38 PARA PERFURATRIZ SOBRE ESTEIRAS - D = 38 MM (1 1/2")</t>
  </si>
  <si>
    <t>TIRANTE DE BARRA DE AÇO - TENSÃO DE ESCOAMENTO = 600 MPA, TENSÃO DE RUPTURA = 720 MPA E D = 69 MM</t>
  </si>
  <si>
    <t>HASTE LINHA R/T38 - R32 PARA JUMBO HIDRÁULICO - D = 38 MM (1 1/2") E C = 4,50 M</t>
  </si>
  <si>
    <t>COROA DE BOTÕES ESFÉRICOS LINHA R32 - D = 51 MM (2")</t>
  </si>
  <si>
    <t>LUVA DE ACOPLAMENTO LINHA T38 PARA JUMBO HIDRÁULICO - D = 38,0 MM (1 1/2")</t>
  </si>
  <si>
    <t>PUNHO LINHA T38 PARA JUMBO HIDRÁULICO - D = 38 MM (1 1/2")</t>
  </si>
  <si>
    <t>CARTUCHO DE ABSORÇÃO DE ENERGIA PARA AMORTECEDOR RETRÁTIL - TIPO A</t>
  </si>
  <si>
    <t>CARTUCHO DE ABSORÇÃO DE ENERGIA PARA AMORTECEDOR RETRÁTIL - TIPO B</t>
  </si>
  <si>
    <t>FIO DE POLIAMIDA Nº 40 - E = 0,40 MM</t>
  </si>
  <si>
    <t>PLACA DE ANCORAGEM PARA TIRANTE DE BARRA DE AÇO - E = 25,4 MM E SEÇÃO DE 225 X 225 MM</t>
  </si>
  <si>
    <t>PLACA DE ANCORAGEM PARA TIRANTE DE BARRA DE AÇO - E = 20,0 MM E SEÇÃO DE 200 X 200 MM</t>
  </si>
  <si>
    <t>PORCA SEXTAVADA EM AÇO PARA ANCORAGEM DE TIRANTES - D = 50 MM E E = 85 MM</t>
  </si>
  <si>
    <t>PORCA EM AÇO PARA ANCORAGEM DE TIRANTES - D = 73 MM E E = 60 MM</t>
  </si>
  <si>
    <t>PORCA SEXTAVADA EM AÇO PARA ANCORAGEM DE TIRANTES - D = 50 MM E E = 50 MM</t>
  </si>
  <si>
    <t>EMULSÃO ASFÁLTICA PARA IMPRIMAÇÃO</t>
  </si>
  <si>
    <t>MATERIAL FRESADO</t>
  </si>
  <si>
    <t>PORCA EM AÇO PARA ANCORAGEM DE TIRANTES - D = 49 MM E E = 60 MM</t>
  </si>
  <si>
    <t>PORCA EM AÇO PARA ANCORAGEM DE TIRANTES - D = 61 MM E E = 70 MM</t>
  </si>
  <si>
    <t>PORCA EM AÇO PARA ANCORAGEM DE TIRANTES - D = 73 MM E E = 110 MM</t>
  </si>
  <si>
    <t>EMULSÃO ASFÁLTICA - RR-2C</t>
  </si>
  <si>
    <t>PLACA DE ANCORAGEM PARA TIRANTE DE BARRA DE AÇO - E = 16,0 MM E SEÇÃO DE 140 X 140 MM</t>
  </si>
  <si>
    <t>PORCA SEXTAVADA EM AÇO PARA ANCORAGEM DE TIRANTES - D = 50 MM E E = 41 MM</t>
  </si>
  <si>
    <t>ADESIVO À BASE DE PVA</t>
  </si>
  <si>
    <t>TIRANTE DE BARRA DE AÇO - TENSÃO DE ESCOAMENTO = 686 MPA, TENSÃO DE RUPTURA = 789 MPA E D = 19 MM</t>
  </si>
  <si>
    <t>TIRANTE DE BARRA DE AÇO - TENSÃO DE ESCOAMENTO = 686 MPA, TENSÃO DE RUPTURA = 789 MPA E D = 22 MM</t>
  </si>
  <si>
    <t>TIRANTE DE BARRA DE AÇO - TENSÃO DE ESCOAMENTO = 686 MPA, TENSÃO DE RUPTURA = 789 MPA E D = 25 MM</t>
  </si>
  <si>
    <t>TIRANTE DE BARRA DE AÇO - TENSÃO DE ESCOAMENTO = 686 MPA, TENSÃO DE RUPTURA = 789 MPA E D = 32 MM</t>
  </si>
  <si>
    <t>TIRANTE DE BARRA DE AÇO - TENSÃO DE ESCOAMENTO = 686 MPA, TENSÃO DE RUPTURA = 789 MPA E D = 36 MM</t>
  </si>
  <si>
    <t>MANDÍBULA MÓVEL PARA BRITADOR - ABERTURA DE ALIMENTAÇÃO COM L = 930 MM</t>
  </si>
  <si>
    <t>MANDÍBULA FIXA PARA BRITADOR - ABERTURA DE ALIMENTAÇÃO COM L = 930 MM</t>
  </si>
  <si>
    <t>MANTA DO BRITADOR CÔNICO HP200 OU SIMILAR</t>
  </si>
  <si>
    <t>REVESTIMENTO DO BOJO INTERNO DO BRITADOR CÔNICO HP200 OU SIMILAR</t>
  </si>
  <si>
    <t>CUNHA LATERAL SUPERIOR PARA BRITADOR</t>
  </si>
  <si>
    <t>CUNHA LATERAL INFERIOR PARA BRITADOR</t>
  </si>
  <si>
    <t>MEIO TUBO DE CONCRETO SIMPLES - D = 0,40 M</t>
  </si>
  <si>
    <t>CALHA METÁLICA SEMICIRCULAR CORRUGADA E GALVANIZADA, INCLUINDO FIXAÇÕES - D = 400 MM</t>
  </si>
  <si>
    <t>MOURÃO DE MADEIRA - H = 2,80 M E D = 0,15 M</t>
  </si>
  <si>
    <t>TINTA ESMALTE SINTÉTICO ACETINADO</t>
  </si>
  <si>
    <t>ELETRODO REVESTIDO E70XX</t>
  </si>
  <si>
    <t>NONEL DE COLUNA (TÚNEL) - C = 4,8 M</t>
  </si>
  <si>
    <t>TUBO DE PVC SOLDÁVEL PARA ÁGUA FRIA - D = 50 MM (2")</t>
  </si>
  <si>
    <t>NONEL DE COLUNA - C = 12,0 M</t>
  </si>
  <si>
    <t>COROA DE DIAMANTE LINHA AWG</t>
  </si>
  <si>
    <t>NONEL DE INICIAÇÃO PARA FOGACHO - C = 6,0 M</t>
  </si>
  <si>
    <t>NONEL DE COLUNA - C = 4,8 M</t>
  </si>
  <si>
    <t>NONEL DE LIGAÇÃO - C = 6,0 M</t>
  </si>
  <si>
    <t>NONEL DE COLUNA - C = 6,0 M</t>
  </si>
  <si>
    <t>SÉRIE DE BROCAS INTEGRAIS S12</t>
  </si>
  <si>
    <t>NONEL INICIADOR - C = 150,0 M</t>
  </si>
  <si>
    <t>DENTE DE CORTE PARA RECICLADORA</t>
  </si>
  <si>
    <t>PORTA-DENTE DE CORTE PARA FRESADORA E RECICLADORA A FRIO</t>
  </si>
  <si>
    <t>SELANTE ELÁSTICO À BASE DE POLIURETANO E ASFALTO</t>
  </si>
  <si>
    <t>ADITIVO DE CURA PARA CONCRETO</t>
  </si>
  <si>
    <t>COROA DE DIAMANTE LINHA HWG</t>
  </si>
  <si>
    <t>COROA DE DIAMANTE LINHA NWG</t>
  </si>
  <si>
    <t>ARGAMASSA ASFÁLTICA</t>
  </si>
  <si>
    <t>TUBO PEAD CORRUGADO PERFURADO PARA DRENAGEM - D = 100 MM</t>
  </si>
  <si>
    <t>COROA DE WIDIA LINHA AWG</t>
  </si>
  <si>
    <t>TUBO DE CONCRETO ARMADO PA1 - D = 0,40 M</t>
  </si>
  <si>
    <t>TUBO DE CONCRETO ARMADO PA2 - D = 0,40 M</t>
  </si>
  <si>
    <t>TUBO DE CONCRETO ARMADO PA3 - D = 0,40 M</t>
  </si>
  <si>
    <t>TUBO DE CONCRETO ARMADO PA4 - D = 0,40 M</t>
  </si>
  <si>
    <t>TUBO DE CONCRETO ARMADO PA1 - D = 0,60 M</t>
  </si>
  <si>
    <t>TUBO DE CONCRETO ARMADO PA2 - D = 0,60 M</t>
  </si>
  <si>
    <t>TUBO DE CONCRETO ARMADO PA3 - D = 0,60 M</t>
  </si>
  <si>
    <t>TUBO DE CONCRETO ARMADO PA4 - D = 0,60 M</t>
  </si>
  <si>
    <t>TUBO DE CONCRETO ARMADO PA1 - D = 0,80 M</t>
  </si>
  <si>
    <t>TUBO DE CONCRETO ARMADO PA2 - D = 0,80 M</t>
  </si>
  <si>
    <t>TUBO DE CONCRETO ARMADO PA3 - D = 0,80 M</t>
  </si>
  <si>
    <t>TUBO DE CONCRETO ARMADO PA4 - D = 0,80 M</t>
  </si>
  <si>
    <t>TUBO DE CONCRETO ARMADO PA1 - D = 1,00 M</t>
  </si>
  <si>
    <t>TUBO DE CONCRETO ARMADO PA2 - D = 1,00 M</t>
  </si>
  <si>
    <t>TUBO DE CONCRETO ARMADO PA3 - D = 1,00 M</t>
  </si>
  <si>
    <t>TUBO DE CONCRETO ARMADO PA4 - D = 1,00 M</t>
  </si>
  <si>
    <t>TUBO DE CONCRETO ARMADO PA1 - D = 1,20 M</t>
  </si>
  <si>
    <t>TUBO DE CONCRETO ARMADO PA2 - D = 1,20 M</t>
  </si>
  <si>
    <t>TUBO DE CONCRETO ARMADO PA3 - D = 1,20 M</t>
  </si>
  <si>
    <t>TUBO DE CONCRETO ARMADO PA4 - D = 1,20 M</t>
  </si>
  <si>
    <t>TUBO DE CONCRETO ARMADO PA1 - D = 1,50 M</t>
  </si>
  <si>
    <t>TUBO DE CONCRETO ARMADO PA2 - D = 1,50 M</t>
  </si>
  <si>
    <t>TUBO DE CONCRETO ARMADO PA3 - D = 1,50 M</t>
  </si>
  <si>
    <t>TUBO DE CONCRETO ARMADO PA4 - D = 1,50 M</t>
  </si>
  <si>
    <t>TUBO DE CONCRETO ARMADO PA1 - D = 0,50 M</t>
  </si>
  <si>
    <t>TUBO DE CONCRETO ARMADO PA2 - D = 0,50 M</t>
  </si>
  <si>
    <t>TUBO DE CONCRETO ARMADO PA3 - D = 0,50 M</t>
  </si>
  <si>
    <t>TUBO DE CONCRETO ARMADO PA4 - D = 0,50 M</t>
  </si>
  <si>
    <t>COROA DE WIDIA LINHA HWG</t>
  </si>
  <si>
    <t>COROA DE WIDIA LINHA NWG</t>
  </si>
  <si>
    <t>HASTE DE PAREDES PARALELAS COM NIPLE LINHA NW</t>
  </si>
  <si>
    <t>TRILHO UIC60 EM AÇO-CARBONO - C = 12 M</t>
  </si>
  <si>
    <t>TRILHO TR45 EM AÇO-CARBONO - C = 12 M</t>
  </si>
  <si>
    <t>TRILHO TR57 EM AÇO-CARBONO - C = 12 M</t>
  </si>
  <si>
    <t>TRILHO TR68 EM AÇO-CARBONO - C = 12 M</t>
  </si>
  <si>
    <t>TIREFÃO - D = 24 MM E C = 188 MM</t>
  </si>
  <si>
    <t>TIREFÃO - D = 22 MM E C = 155 MM</t>
  </si>
  <si>
    <t>RETENSOR PARA VIA FÉRREA DE TR45</t>
  </si>
  <si>
    <t>RETENSOR PARA VIA FÉRREA DE TR57</t>
  </si>
  <si>
    <t>RETENSOR PARA VIA FÉRREA DE TR68</t>
  </si>
  <si>
    <t>PLACA DE APOIO EM AÇO LAMINADO PARA UIC60 COM FIXAÇÃO RÍGIDA</t>
  </si>
  <si>
    <t>GRAMPO ELÁSTICO PANDROL PARA FIXAÇÃO ELÁSTICA</t>
  </si>
  <si>
    <t>PLACA DE APOIO EM AÇO LAMINADO PARA TR45 COM FIXAÇÃO ELÁSTICA</t>
  </si>
  <si>
    <t>PLACA DE APOIO EM AÇO LAMINADO PARA TR57 COM FIXAÇÃO ELÁSTICA</t>
  </si>
  <si>
    <t>PLACA DE APOIO EM AÇO LAMINADO PARA TR68 COM FIXAÇÃO ELÁSTICA</t>
  </si>
  <si>
    <t>PLACA DE APOIO EM AÇO LAMINADO PARA TR45 COM FIXAÇÃO RÍGIDA</t>
  </si>
  <si>
    <t>PLACA DE APOIO EM AÇO LAMINADO PARA TR57 COM FIXAÇÃO RÍGIDA</t>
  </si>
  <si>
    <t>PLACA DE APOIO EM AÇO LAMINADO PARA TR68 COM FIXAÇÃO RÍGIDA</t>
  </si>
  <si>
    <t>RETENSOR PARA VIA FÉRREA DE UIC60</t>
  </si>
  <si>
    <t>PLACA DE APOIO EM AÇO LAMINADO PARA UIC60 COM FIXAÇÃO ELÁSTICA</t>
  </si>
  <si>
    <t>TALA DE JUNÇÃO TJ 45 NÃO ISOLADA COM 6 FUROS</t>
  </si>
  <si>
    <t>PAR</t>
  </si>
  <si>
    <t>TALA DE JUNÇÃO TJ 57 NÃO ISOLADA COM 6 FUROS</t>
  </si>
  <si>
    <t>TALA DE JUNÇÃO TJ 68 NÃO ISOLADA COM 6 FUROS</t>
  </si>
  <si>
    <t>PARAFUSO DE CABEÇA ABAULADA EM AÇO INOX COM PORCA E ARRUELA DE PRESSÃO PARA TALA DE JUNÇÃO - D = 25,4 MM</t>
  </si>
  <si>
    <t>TALA DE JUNÇÃO TJ 60 NÃO ISOLADA COM 6 FUROS</t>
  </si>
  <si>
    <t>AMV TIPO TR45, ABERTURA 1:8, BITOLA MÉTRICA</t>
  </si>
  <si>
    <t>AMV TIPO TR45, ABERTURA 1:10, BITOLA MÉTRICA</t>
  </si>
  <si>
    <t>AMV TIPO TR45, ABERTURA 1:12, BITOLA MÉTRICA</t>
  </si>
  <si>
    <t>AMV TIPO TR45, ABERTURA 1:14, BITOLA MÉTRICA</t>
  </si>
  <si>
    <t>AMV TIPO TR57, ABERTURA 1:8, BITOLA MÉTRICA</t>
  </si>
  <si>
    <t>AMV TIPO TR57, ABERTURA 1:10, BITOLA MÉTRICA</t>
  </si>
  <si>
    <t>AMV TIPO TR57, ABERTURA 1:12, BITOLA MÉTRICA</t>
  </si>
  <si>
    <t>AMV TIPO TR57, ABERTURA 1:14, BITOLA MÉTRICA</t>
  </si>
  <si>
    <t>AMV TIPO TR57, ABERTURA 1:20, BITOLA MÉTRICA</t>
  </si>
  <si>
    <t>AMV TIPO TR68, ABERTURA 1:10, BITOLA MÉTRICA</t>
  </si>
  <si>
    <t>AMV TIPO TR68, ABERTURA 1:12, BITOLA MÉTRICA</t>
  </si>
  <si>
    <t>AMV TIPO TR68, ABERTURA 1:14, BITOLA MÉTRICA</t>
  </si>
  <si>
    <t>AMV TIPO UIC60, ABERTURA 1:10, BITOLA MÉTRICA</t>
  </si>
  <si>
    <t>AMV TIPO TR68, ABERTURA 1:20, BITOLA MÉTRICA</t>
  </si>
  <si>
    <t>AMV TIPO TR45, ABERTURA 1:8, BITOLA LARGA</t>
  </si>
  <si>
    <t>AMV TIPO TR45, ABERTURA 1:10, BITOLA LARGA</t>
  </si>
  <si>
    <t>AMV TIPO TR45, ABERTURA 1:12, BITOLA LARGA</t>
  </si>
  <si>
    <t>AMV TIPO TR45, ABERTURA 1:14, BITOLA LARGA</t>
  </si>
  <si>
    <t>AMV TIPO TR57, ABERTURA 1:8, BITOLA LARGA</t>
  </si>
  <si>
    <t>AMV TIPO TR57, ABERTURA 1:10, BITOLA LARGA</t>
  </si>
  <si>
    <t>AMV TIPO TR57, ABERTURA 1:12, BITOLA LARGA</t>
  </si>
  <si>
    <t>AMV TIPO TR57, ABERTURA 1:14, BITOLA LARGA</t>
  </si>
  <si>
    <t>AMV TIPO TR57, ABERTURA 1:20, BITOLA LARGA</t>
  </si>
  <si>
    <t>AMV TIPO TR68, ABERTURA 1:10, BITOLA LARGA</t>
  </si>
  <si>
    <t>AMV TIPO TR68, ABERTURA 1:12, BITOLA LARGA</t>
  </si>
  <si>
    <t>AMV TIPO TR68, ABERTURA 1:14, BITOLA LARGA</t>
  </si>
  <si>
    <t>AMV TIPO UIC60, ABERTURA 1:10, BITOLA LARGA</t>
  </si>
  <si>
    <t>AMV TIPO TR68, ABERTURA 1:20, BITOLA LARGA</t>
  </si>
  <si>
    <t>AMV TIPO TR45, ABERTURA 1:8, BITOLA MISTA</t>
  </si>
  <si>
    <t>AMV TIPO TR45, ABERTURA 1:10, BITOLA MISTA</t>
  </si>
  <si>
    <t>AMV TIPO TR45, ABERTURA 1:12, BITOLA MISTA</t>
  </si>
  <si>
    <t>AMV TIPO TR45, ABERTURA 1:14, BITOLA MISTA</t>
  </si>
  <si>
    <t>AMV TIPO TR57, ABERTURA 1:8, BITOLA MISTA</t>
  </si>
  <si>
    <t>AMV TIPO TR57, ABERTURA 1:10, BITOLA MISTA</t>
  </si>
  <si>
    <t>AMV TIPO TR57, ABERTURA 1:12, BITOLA MISTA</t>
  </si>
  <si>
    <t>AMV TIPO TR57, ABERTURA 1:14, BITOLA MISTA</t>
  </si>
  <si>
    <t>AMV TIPO TR57, ABERTURA 1:20, BITOLA MISTA</t>
  </si>
  <si>
    <t>AMV TIPO TR68, ABERTURA 1:10, BITOLA MISTA</t>
  </si>
  <si>
    <t>AMV TIPO TR68, ABERTURA 1:12, BITOLA MISTA</t>
  </si>
  <si>
    <t>AMV TIPO TR68, ABERTURA 1:14, BITOLA MISTA</t>
  </si>
  <si>
    <t>REVESTIMENTO COM CONECTOR LINHA AW</t>
  </si>
  <si>
    <t>AMV TIPO TR68, ABERTURA 1:20, BITOLA MISTA</t>
  </si>
  <si>
    <t>DORMENTE DE MADEIRA BITOLA LARGA - C = 280 CM, L = 24 CM E H = 17 CM</t>
  </si>
  <si>
    <t>DORMENTE DE MADEIRA BITOLA MÉTRICA - C = 200 CM, L = 22 CM E H = 16 CM</t>
  </si>
  <si>
    <t>REVESTIMENTO COM CONECTOR LINHA HW</t>
  </si>
  <si>
    <t>REVESTIMENTO COM CONECTOR LINHA NW</t>
  </si>
  <si>
    <t>AMV TIPO UIC60, ABERTURA 1:12, BITOLA MÉTRICA</t>
  </si>
  <si>
    <t>AMV TIPO UIC60, ABERTURA 1:14, BITOLA MÉTRICA</t>
  </si>
  <si>
    <t>AMV TIPO UIC60, ABERTURA 1:20, BITOLA MÉTRICA</t>
  </si>
  <si>
    <t>AMV TIPO UIC60, ABERTURA 1:10, BITOLA MISTA</t>
  </si>
  <si>
    <t>AMV TIPO UIC60, ABERTURA 1:12, BITOLA MISTA</t>
  </si>
  <si>
    <t>AMV TIPO UIC60, ABERTURA 1:14, BITOLA MISTA</t>
  </si>
  <si>
    <t>AMV TIPO UIC60, ABERTURA 1:20, BITOLA MISTA</t>
  </si>
  <si>
    <t>SAPATA DE WIDIA LINHA NW</t>
  </si>
  <si>
    <t>BROCA DE ARRASTE COM TRÊS ASAS LINHA NW</t>
  </si>
  <si>
    <t>DORMENTE DE MADEIRA PARA PONTES - C = 300 CM, L = 25 CM E H = 20 CM</t>
  </si>
  <si>
    <t>AMV TIPO UIC60, ABERTURA 1:12, BITOLA LARGA</t>
  </si>
  <si>
    <t>AMV TIPO UIC60, ABERTURA 1:14, BITOLA LARGA</t>
  </si>
  <si>
    <t>AMV TIPO UIC60, ABERTURA 1:20, BITOLA LARGA</t>
  </si>
  <si>
    <t>TUBO DE REVESTIMENTO EM AÇO-CARBONO SCHEDULE 40 PARA ESTACA RAIZ - PONTEIRA SCHEDULE 80, D = 141,3 MM, PESO 24 KG/M</t>
  </si>
  <si>
    <t>TUBO DE REVESTIMENTO EM AÇO-CARBONO SCHEDULE 40 PARA ESTACA RAIZ - PONTEIRA SCHEDULE 80, D = 168,3 MM, PESO 31 KG/M</t>
  </si>
  <si>
    <t>TUBO DE REVESTIMENTO EM AÇO-CARBONO SCHEDULE 40 PARA ESTACA RAIZ - PONTEIRA SCHEDULE 80, D = 219,1 MM, PESO 47 KG/M</t>
  </si>
  <si>
    <t>TUBO DE REVESTIMENTO EM AÇO-CARBONO SCHEDULE 40 PARA ESTACA RAIZ - PONTEIRA SCHEDULE 80, D = 273,0 MM, PESO 67 KG/M</t>
  </si>
  <si>
    <t>TUBO DE REVESTIMENTO EM AÇO-CARBONO SCHEDULE 40 PARA ESTACA RAIZ - PONTEIRA SCHEDULE 80, D = 323,8 MM, PESO 90 KG/M</t>
  </si>
  <si>
    <t>TUBO DE REVESTIMENTO EM AÇO-CARBONO SCHEDULE 40 PARA ESTACA RAIZ - PONTEIRA SCHEDULE 80, D = 406,0 MM, PESO 143 KG/M</t>
  </si>
  <si>
    <t>ANEL DE COMPENSAÇÃO ANGULAR PARA TIRANTES DE D = 30 MM</t>
  </si>
  <si>
    <t>ANEL DE COMPENSAÇÃO ANGULAR PARA TIRANTES DE D = 32 MM</t>
  </si>
  <si>
    <t>ANEL DE COMPENSAÇÃO ANGULAR PARA TIRANTES DE D = 40 MM</t>
  </si>
  <si>
    <t>ANEL DE COMPENSAÇÃO ANGULAR PARA TIRANTES DE D = 44 MM</t>
  </si>
  <si>
    <t>ANEL DE COMPENSAÇÃO ANGULAR PARA TIRANTES DE D = 50 MM</t>
  </si>
  <si>
    <t>ANEL DE COMPENSAÇÃO ANGULAR PARA TIRANTES DE D = 53 MM</t>
  </si>
  <si>
    <t>ANEL DE COMPENSAÇÃO ANGULAR PARA TIRANTES DE D = 57 MM</t>
  </si>
  <si>
    <t>ANEL DE COMPENSAÇÃO ANGULAR PARA TIRANTES DE D = 63 MM</t>
  </si>
  <si>
    <t>ANEL DE COMPENSAÇÃO ANGULAR PARA TIRANTES DE D = 69 MM</t>
  </si>
  <si>
    <t>COROA DE WIDIA LINHA BWG</t>
  </si>
  <si>
    <t>CONJUNTO PARA SOLDA ALUMINOTÉRMICA DE TR45 - PORÇÃO, FÔRMAS, ACENDEDOR, PASTA DE VEDAÇÃO E CADINHO DESCARTÁVEL</t>
  </si>
  <si>
    <t>CONJUNTO PARA SOLDA ALUMINOTÉRMICA DE TR57 - PORÇÃO, FÔRMAS, ACENDEDOR, PASTA DE VEDAÇÃO E CADINHO DESCARTÁVEL</t>
  </si>
  <si>
    <t>CONJUNTO PARA SOLDA ALUMINOTÉRMICA DE TR68 - PORÇÃO, FÔRMAS, ACENDEDOR, PASTA DE VEDAÇÃO E CADINHO DESCARTÁVEL</t>
  </si>
  <si>
    <t>CONJUNTO PARA SOLDA ALUMINOTÉRMICA DE UIC60 - PORÇÃO, FÔRMAS, ACENDEDOR, PASTA DE VEDAÇÃO E CADINHO DESCARTÁVEL</t>
  </si>
  <si>
    <t>BRITA PADRÃO PARA LASTRO FERROVIÁRIO</t>
  </si>
  <si>
    <t>PALMILHA DE BORRACHA PARA DORMENTE DE CONCRETO</t>
  </si>
  <si>
    <t>BROCA PARA FURAR TRILHO - D = 29 MM (1 1/8")</t>
  </si>
  <si>
    <t>DISCO DE CORTE ABRASIVO PARA MÁQUINA PARA SERRAR TRILHO - D = 350 MM</t>
  </si>
  <si>
    <t>DORMENTES DE MADEIRA PARA AMV</t>
  </si>
  <si>
    <t>COROA DE DIAMANTE LINHA BWG</t>
  </si>
  <si>
    <t>REVESTIMENTO COM CONECTOR LINHA BW</t>
  </si>
  <si>
    <t>CORDA DE POLIAMIDA - D = 12,0 MM E CAPACIDADE DE CARGA DE 2.200 KG</t>
  </si>
  <si>
    <t>BROCA DE WIDIA - D = 16 MM E C = 150 MM</t>
  </si>
  <si>
    <t>BROCA DE WIDIA - D = 19 MM E C = 160 MM</t>
  </si>
  <si>
    <t>PARAFUSO DE CABEÇA ABAULADA EM AÇO INOX COM PORCA E ARRUELA - D = 6 MM (M6) E C = 30 MM</t>
  </si>
  <si>
    <t>PARAFUSO DE CABEÇA ABAULADA EM AÇO INOX COM PORCA E ARRUELA - D = 8 MM (M8) E C = 50 MM</t>
  </si>
  <si>
    <t>MANGUEIRA CRISTAL TRANÇADA DE PVC COM PRESSÃO DE TRABALHO DE 1,50 MPA (250 PSI) - D = 9,5 MM (3/8")</t>
  </si>
  <si>
    <t>FÔRMA PLÁSTICA PARA NICHO DE PROTENSÃO DE CORDOALHA - D = 15,2 MM</t>
  </si>
  <si>
    <t>FÔRMA PLÁSTICA PARA NICHO DE PROTENSÃO DE CORDOALHA - D = 12,7 MM</t>
  </si>
  <si>
    <t>CORDOALHA ENGRAXADA TIPO CP 190 RB - D = 15,2 MM</t>
  </si>
  <si>
    <t>CORDOALHA ENGRAXADA TIPO CP 190 RB - D = 12,7 MM</t>
  </si>
  <si>
    <t>BAINHA METÁLICA PARA PROTENSÃO - D = 35 MM</t>
  </si>
  <si>
    <t>BAINHA METÁLICA PARA PROTENSÃO - D = 30 MM</t>
  </si>
  <si>
    <t>ANCORAGEM PASSIVA ADERENTE PARA 8 CORDOALHAS - D = 15,2 MM</t>
  </si>
  <si>
    <t>ANCORAGEM PASSIVA ADERENTE PARA 31 CORDOALHAS - D = 15,2 MM</t>
  </si>
  <si>
    <t>ANCORAGEM ATIVA PARA CORDOALHA ENGRAXADA - D = 12,7 MM</t>
  </si>
  <si>
    <t>ANCORAGEM ATIVA PARA CORDOALHA ENGRAXADA - D = 15,2 MM</t>
  </si>
  <si>
    <t>ANCORAGEM PASSIVA ADERENTE PARA 10 CORDOALHAS - D = 12,7 MM</t>
  </si>
  <si>
    <t>ANCORAGEM PASSIVA ADERENTE PARA 12 CORDOALHAS - D = 12,7 MM</t>
  </si>
  <si>
    <t>ANCORAGEM PASSIVA ADERENTE PARA 12 CORDOALHAS - D = 15,2 MM</t>
  </si>
  <si>
    <t>ANCORAGEM PASSIVA ADERENTE PARA 15 CORDOALHAS - D = 12,7 MM</t>
  </si>
  <si>
    <t>ANCORAGEM PASSIVA ADERENTE PARA 15 CORDOALHAS - D = 15,2 MM</t>
  </si>
  <si>
    <t>ANCORAGEM PASSIVA ADERENTE PARA 19 CORDOALHAS - D = 12,7 MM</t>
  </si>
  <si>
    <t>ANCORAGEM PASSIVA ADERENTE PARA 19 CORDOALHAS - D = 15,2 MM</t>
  </si>
  <si>
    <t>ANCORAGEM PASSIVA ADERENTE PARA 22 CORDOALHAS - D = 12,7 MM</t>
  </si>
  <si>
    <t>ANCORAGEM PASSIVA ADERENTE PARA 22 CORDOALHAS - D = 15,2 MM</t>
  </si>
  <si>
    <t>ANCORAGEM PASSIVA ADERENTE PARA 27 CORDOALHAS - D = 12,7 MM</t>
  </si>
  <si>
    <t>ANCORAGEM PASSIVA ADERENTE PARA 27 CORDOALHAS - D = 15,2 MM</t>
  </si>
  <si>
    <t>ANCORAGEM PASSIVA ADERENTE PARA 31 CORDOALHAS - D = 12,7 MM</t>
  </si>
  <si>
    <t>ANCORAGEM PASSIVA ADERENTE PARA 4 CORDOALHAS - D = 12,7 MM</t>
  </si>
  <si>
    <t>ANCORAGEM PASSIVA ADERENTE PARA 4 CORDOALHAS - D = 15,2 MM</t>
  </si>
  <si>
    <t>ANCORAGEM PASSIVA ADERENTE PARA 6 CORDOALHAS - D = 12,7 MM</t>
  </si>
  <si>
    <t>ANCORAGEM PASSIVA ADERENTE PARA 6 CORDOALHAS - D = 15,2 MM</t>
  </si>
  <si>
    <t>ANCORAGEM PASSIVA ADERENTE PARA 7 CORDOALHAS - D = 12,7 MM</t>
  </si>
  <si>
    <t>ANCORAGEM PASSIVA ADERENTE PARA 7 CORDOALHAS - D = 15,2 MM</t>
  </si>
  <si>
    <t>ANCORAGEM PASSIVA ADERENTE PARA 8 CORDOALHAS - D = 12,7 MM</t>
  </si>
  <si>
    <t>ANCORAGEM PASSIVA ADERENTE PARA 9 CORDOALHAS - D = 12,7 MM</t>
  </si>
  <si>
    <t>ANCORAGEM PASSIVA ADERENTE PARA 9 CORDOALHAS - D = 15,2 MM</t>
  </si>
  <si>
    <t>ANCORAGEM PASSIVA ADERENTE PARA LAJES PARA 1 CORDOALHA - D = 12,7 MM</t>
  </si>
  <si>
    <t>ANCORAGEM PASSIVA ADERENTE PARA LAJES PARA 1 CORDOALHA - D = 15,2 MM</t>
  </si>
  <si>
    <t>ANCORAGEM PASSIVA ADERENTE PARA LAJES PARA 2 CORDOALHAS - D = 12,7 MM</t>
  </si>
  <si>
    <t>ANCORAGEM PASSIVA ADERENTE PARA LAJES PARA 2 CORDOALHAS - D = 15,2 MM</t>
  </si>
  <si>
    <t>ANCORAGEM PASSIVA ADERENTE PARA LAJES PARA 3 CORDOALHAS - D = 12,7 MM</t>
  </si>
  <si>
    <t>ANCORAGEM PASSIVA ADERENTE PARA LAJES PARA 3 CORDOALHAS - D = 15,2 MM</t>
  </si>
  <si>
    <t>ANCORAGEM PASSIVA ADERENTE PARA LAJES PARA 4 CORDOALHAS - D = 12,7 MM</t>
  </si>
  <si>
    <t>ANCORAGEM PASSIVA ADERENTE PARA LAJES PARA 4 CORDOALHAS - D = 15,2 MM</t>
  </si>
  <si>
    <t>MANGUEIRA CRISTAL TRANÇADA DE PVC COM PRESSÃO DE TRABALHO DE 1,50 MPA (250 PSI) - D = 19,0 MM (3/4")</t>
  </si>
  <si>
    <t>BAINHA METÁLICA PARA PROTENSÃO - D = 40 MM</t>
  </si>
  <si>
    <t>BAINHA METÁLICA PARA PROTENSÃO - D = 45 MM</t>
  </si>
  <si>
    <t>BAINHA METÁLICA PARA PROTENSÃO - D = 50 MM</t>
  </si>
  <si>
    <t>BAINHA METÁLICA PARA PROTENSÃO - D = 55 MM</t>
  </si>
  <si>
    <t>BAINHA METÁLICA PARA PROTENSÃO - D = 60 MM</t>
  </si>
  <si>
    <t>BAINHA METÁLICA PARA PROTENSÃO - D = 65 MM</t>
  </si>
  <si>
    <t>BAINHA METÁLICA PARA PROTENSÃO - D = 70 MM</t>
  </si>
  <si>
    <t>BAINHA METÁLICA PARA PROTENSÃO - D = 75 MM</t>
  </si>
  <si>
    <t>BAINHA METÁLICA PARA PROTENSÃO - D = 80 MM</t>
  </si>
  <si>
    <t>BAINHA METÁLICA PARA PROTENSÃO - D = 85 MM</t>
  </si>
  <si>
    <t>BAINHA METÁLICA PARA PROTENSÃO - D = 90 MM</t>
  </si>
  <si>
    <t>BAINHA METÁLICA PARA PROTENSÃO - D = 95 MM</t>
  </si>
  <si>
    <t>BAINHA METÁLICA PARA PROTENSÃO - D = 100 MM</t>
  </si>
  <si>
    <t>BAINHA METÁLICA PARA PROTENSÃO - D = 110 MM</t>
  </si>
  <si>
    <t>BAINHA METÁLICA PARA PROTENSÃO - D = 120 MM</t>
  </si>
  <si>
    <t>BAINHA METÁLICA PARA PROTENSÃO - D = 130 MM</t>
  </si>
  <si>
    <t>BAINHA METÁLICA OVALIZADA PARA PROTENSÃO - SEÇÃO DE 19 X 36 MM</t>
  </si>
  <si>
    <t>BAINHA METÁLICA OVALIZADA PARA PROTENSÃO - SEÇÃO DE 19 X 48 MM</t>
  </si>
  <si>
    <t>BAINHA METÁLICA OVALIZADA PARA PROTENSÃO - SEÇÃO DE 19 X 62 MM</t>
  </si>
  <si>
    <t>BAINHA METÁLICA OVALIZADA PARA PROTENSÃO - SEÇÃO DE 22 X 32 MM</t>
  </si>
  <si>
    <t>BAINHA METÁLICA OVALIZADA PARA PROTENSÃO - SEÇÃO DE 22 X 55 MM</t>
  </si>
  <si>
    <t>BAINHA METÁLICA OVALIZADA PARA PROTENSÃO - SEÇÃO DE 22 X 73 MM</t>
  </si>
  <si>
    <t>ESPAÇADOR PLÁSTICO TIPO CENTRALIZADOR CARAMBOLA PARA GRAMPO DE BARRA DE AÇO - D ≤ 25,4 MM</t>
  </si>
  <si>
    <t>CINTA PARA ELEVAÇÃO DE CARGAS TIPO GRAB COM 1 RAMAL, ANEL DE SUSPENSÃO E GANCHO - C = 3 M A 5 M, CAPACIDADE DE CARGA DE 5.000 KG, F. S. = 4:1</t>
  </si>
  <si>
    <t>CINTA PARA ELEVAÇÃO DE CARGAS TIPO GRAB COM 2 RAMAIS, ANEL DE SUSPENSÃO E GANCHOS - C = 3 M A 5 M, CAPACIDADE DE CARGA DE 5.000 KG, F. S. = 4:1</t>
  </si>
  <si>
    <t>CHAPA METÁLICA CORRUGADA GALVANIZADA PARA TUNNEL LINER - E = 2,2 MM E D = 1,2 M</t>
  </si>
  <si>
    <t>CHAPA METÁLICA CORRUGADA GALVANIZADA PARA TUNNEL LINER - E = 2,2 MM E D = 1,4 M</t>
  </si>
  <si>
    <t>CHAPA METÁLICA CORRUGADA GALVANIZADA PARA TUNNEL LINER - E = 2,2 MM E D = 1,6 M</t>
  </si>
  <si>
    <t>CHAPA METÁLICA CORRUGADA GALVANIZADA PARA TUNNEL LINER - E = 2,2 MM E D = 1,8 M</t>
  </si>
  <si>
    <t>CHAPA METÁLICA CORRUGADA GALVANIZADA PARA TUNNEL LINER - E = 2,2 MM E D = 2,0 M</t>
  </si>
  <si>
    <t>CHAPA METÁLICA CORRUGADA GALVANIZADA PARA TUNNEL LINER - E = 2,2 MM E D = 2,2 M</t>
  </si>
  <si>
    <t>CHAPA METÁLICA CORRUGADA GALVANIZADA PARA TUNNEL LINER - E = 2,2 MM E D = 2,4 M</t>
  </si>
  <si>
    <t>CHAPA METÁLICA CORRUGADA GALVANIZADA PARA TUNNEL LINER - E = 2,2 MM E D = 2,6 M</t>
  </si>
  <si>
    <t>CHAPA METÁLICA CORRUGADA GALVANIZADA PARA TUNNEL LINER - E = 2,2 MM E D = 2,8 M</t>
  </si>
  <si>
    <t>CHAPA METÁLICA CORRUGADA GALVANIZADA PARA TUNNEL LINER - E = 2,2 MM E D = 3,0 M</t>
  </si>
  <si>
    <t>CHAPA METÁLICA CORRUGADA GALVANIZADA PARA TUNNEL LINER - E = 2,7 MM E D = 3,2 M</t>
  </si>
  <si>
    <t>CHAPA METÁLICA CORRUGADA GALVANIZADA PARA TUNNEL LINER - E = 2,7 MM E D = 3,4 M</t>
  </si>
  <si>
    <t>CHAPA METÁLICA CORRUGADA GALVANIZADA PARA TUNNEL LINER - E = 2,7 MM E D = 3,6 M</t>
  </si>
  <si>
    <t>CHAPA METÁLICA CORRUGADA GALVANIZADA PARA TUNNEL LINER - E = 2,7 MM E D = 3,8 M</t>
  </si>
  <si>
    <t>CHAPA METÁLICA CORRUGADA GALVANIZADA PARA TUNNEL LINER - E = 2,7 MM E D = 4,0 M</t>
  </si>
  <si>
    <t>CHAPA METÁLICA CORRUGADA GALVANIZADA PARA TUNNEL LINER - E = 3,4 MM E D = 4,2 M</t>
  </si>
  <si>
    <t>CHAPA METÁLICA CORRUGADA GALVANIZADA PARA TUNNEL LINER - E = 3,4 MM E D = 4,4 M</t>
  </si>
  <si>
    <t>CHAPA METÁLICA CORRUGADA GALVANIZADA PARA TUNNEL LINER - E = 3,4 MM E D = 4,6 M</t>
  </si>
  <si>
    <t>CHAPA METÁLICA CORRUGADA GALVANIZADA PARA TUNNEL LINER - E = 3,9 MM E D = 4,8 M</t>
  </si>
  <si>
    <t>CHAPA METÁLICA CORRUGADA GALVANIZADA PARA TUNNEL LINER - E = 3,9 MM E D = 5,0 M</t>
  </si>
  <si>
    <t>CHAPA METÁLICA CORRUGADA GALVANIZADA REVESTIDA COM EPÓXI PARA TUNNEL LINER - E = 2,2 MM E D = 1,2 M</t>
  </si>
  <si>
    <t>CHAPA METÁLICA CORRUGADA GALVANIZADA REVESTIDA COM EPÓXI PARA TUNNEL LINER - E = 2,2 MM E D = 1,4 M</t>
  </si>
  <si>
    <t>CHAPA METÁLICA CORRUGADA GALVANIZADA REVESTIDA COM EPÓXI PARA TUNNEL LINER - E = 2,2 MM E D = 1,6 M</t>
  </si>
  <si>
    <t>CHAPA METÁLICA CORRUGADA GALVANIZADA REVESTIDA COM EPÓXI PARA TUNNEL LINER - E = 2,2 MM E D = 1,8 M</t>
  </si>
  <si>
    <t>CHAPA METÁLICA CORRUGADA GALVANIZADA REVESTIDA COM EPÓXI PARA TUNNEL LINER - E = 2,2 MM E D = 2,0 M</t>
  </si>
  <si>
    <t>CHAPA METÁLICA CORRUGADA GALVANIZADA REVESTIDA COM EPÓXI PARA TUNNEL LINER - E = 2,2 MM E D = 2,2 M</t>
  </si>
  <si>
    <t>CHAPA METÁLICA CORRUGADA GALVANIZADA REVESTIDA COM EPÓXI PARA TUNNEL LINER - E = 2,2 MM E D = 2,4 M</t>
  </si>
  <si>
    <t>CHAPA METÁLICA CORRUGADA GALVANIZADA REVESTIDA COM EPÓXI PARA TUNNEL LINER - E = 2,2 MM E D = 2,6 M</t>
  </si>
  <si>
    <t>CHAPA METÁLICA CORRUGADA GALVANIZADA REVESTIDA COM EPÓXI PARA TUNNEL LINER - E = 2,2 MM E D = 2,8 M</t>
  </si>
  <si>
    <t>CHAPA METÁLICA CORRUGADA GALVANIZADA REVESTIDA COM EPÓXI PARA TUNNEL LINER - E = 2,2 MM E D = 3,0 M</t>
  </si>
  <si>
    <t>CHAPA METÁLICA CORRUGADA GALVANIZADA REVESTIDA COM EPÓXI PARA TUNNEL LINER - E = 2,7 MM E D = 3,2 M</t>
  </si>
  <si>
    <t>CHAPA MÚLTIPLA METÁLICA CORRUGADA GALVANIZADA TIPO MP 100 OU SIMILAR - E = 1,60 MM E D = 0,60 M</t>
  </si>
  <si>
    <t>CHAPA MÚLTIPLA METÁLICA CORRUGADA GALVANIZADA TIPO MP 100 OU SIMILAR - E = 1,60 MM E D = 0,70 M</t>
  </si>
  <si>
    <t>CHAPA MÚLTIPLA METÁLICA CORRUGADA GALVANIZADA TIPO MP 100 OU SIMILAR - E = 1,60 MM E D = 0,80 M</t>
  </si>
  <si>
    <t>CHAPA MÚLTIPLA METÁLICA CORRUGADA GALVANIZADA TIPO MP 100 OU SIMILAR - E = 1,60 MM E D = 0,90 M</t>
  </si>
  <si>
    <t>CHAPA MÚLTIPLA METÁLICA CORRUGADA GALVANIZADA TIPO MP 100 OU SIMILAR - E = 1,60 MM E D = 1,00 M</t>
  </si>
  <si>
    <t>CHAPA MÚLTIPLA METÁLICA CORRUGADA GALVANIZADA TIPO MP 100 OU SIMILAR - E = 1,60 MM E D = 1,10 M</t>
  </si>
  <si>
    <t>CHAPA MÚLTIPLA METÁLICA CORRUGADA GALVANIZADA TIPO MP 100 OU SIMILAR - E = 1,60 MM E D = 1,20 M</t>
  </si>
  <si>
    <t>CHAPA MÚLTIPLA METÁLICA CORRUGADA GALVANIZADA TIPO MP 100 OU SIMILAR - E = 1,60 MM E D = 1,30 M</t>
  </si>
  <si>
    <t>CHAPA MÚLTIPLA METÁLICA CORRUGADA GALVANIZADA TIPO MP 100 OU SIMILAR - E = 1,60 MM E D = 1,40 M</t>
  </si>
  <si>
    <t>CHAPA MÚLTIPLA METÁLICA CORRUGADA GALVANIZADA TIPO MP 100 OU SIMILAR - E = 1,60 MM E D = 1,50 M</t>
  </si>
  <si>
    <t>CHAPA MÚLTIPLA METÁLICA CORRUGADA GALVANIZADA TIPO MP 100 OU SIMILAR - E = 1,60 MM E D = 1,60 M</t>
  </si>
  <si>
    <t>CHAPA MÚLTIPLA METÁLICA CORRUGADA GALVANIZADA TIPO MP 100 OU SIMILAR - E = 1,60 MM E D = 1,70 M</t>
  </si>
  <si>
    <t>CHAPA MÚLTIPLA METÁLICA CORRUGADA GALVANIZADA TIPO MP 100 OU SIMILAR - E = 1,60 MM E D = 1,80 M</t>
  </si>
  <si>
    <t>CHAPA MÚLTIPLA METÁLICA CORRUGADA GALVANIZADA TIPO MP 100 OU SIMILAR - E = 2,00 MM E D = 1,90 M</t>
  </si>
  <si>
    <t>CHAPA MÚLTIPLA METÁLICA CORRUGADA GALVANIZADA TIPO MP 100 OU SIMILAR - E = 2,00 MM E D = 2,00 M</t>
  </si>
  <si>
    <t>CHAPA MÚLTIPLA METÁLICA CORRUGADA GALVANIZADA TIPO MP 100 OU SIMILAR - E = 2,00 MM E D = 2,10 M</t>
  </si>
  <si>
    <t>CHAPA MÚLTIPLA METÁLICA CORRUGADA GALVANIZADA TIPO MP 100 OU SIMILAR - E = 2,00 MM E D = 2,20 M</t>
  </si>
  <si>
    <t>CHAPA MÚLTIPLA METÁLICA CORRUGADA GALVANIZADA TIPO MP 100 OU SIMILAR - E = 2,00 MM E D = 2,30 M</t>
  </si>
  <si>
    <t>CHAPA MÚLTIPLA METÁLICA CORRUGADA GALVANIZADA TIPO MP 100 OU SIMILAR - E = 2,70 MM E D = 2,40 M</t>
  </si>
  <si>
    <t>CHAPA MÚLTIPLA METÁLICA CORRUGADA GALVANIZADA TIPO MP 100 OU SIMILAR - E = 3,40 MM E D = 2,50 M</t>
  </si>
  <si>
    <t>CHAPA MÚLTIPLA METÁLICA CORRUGADA GALVANIZADA TIPO MP 100 OU SIMILAR - E = 3,40 MM E D = 2,60 M</t>
  </si>
  <si>
    <t>CHAPA MÚLTIPLA METÁLICA CORRUGADA GALVANIZADA TIPO MP 100 OU SIMILAR - E = 3,40 MM E D = 2,70 M</t>
  </si>
  <si>
    <t>CHAPA MÚLTIPLA METÁLICA CORRUGADA GALVANIZADA TIPO MP 100 OU SIMILAR - E = 3,40 MM E D = 2,80 M</t>
  </si>
  <si>
    <t>CHAPA MÚLTIPLA METÁLICA CORRUGADA GALVANIZADA TIPO MP 152 OU SIMILAR - E = 2,70 MM E D = 1,50 M</t>
  </si>
  <si>
    <t>CHAPA MÚLTIPLA METÁLICA CORRUGADA GALVANIZADA TIPO MP 152 OU SIMILAR - E = 2,70 MM E D = 1,80 M</t>
  </si>
  <si>
    <t>CHAPA MÚLTIPLA METÁLICA CORRUGADA GALVANIZADA TIPO MP 152 OU SIMILAR - E = 2,70 MM E D = 1,90 M</t>
  </si>
  <si>
    <t>CHAPA MÚLTIPLA METÁLICA CORRUGADA GALVANIZADA TIPO MP 152 OU SIMILAR - E = 2,70 MM E D = 2,15 M</t>
  </si>
  <si>
    <t>CHAPA MÚLTIPLA METÁLICA CORRUGADA GALVANIZADA TIPO MP 152 OU SIMILAR - E = 2,70 MM E D = 2,30 M</t>
  </si>
  <si>
    <t>CHAPA MÚLTIPLA METÁLICA CORRUGADA GALVANIZADA TIPO MP 152 OU SIMILAR - E = 2,70 MM E D = 2,65 M</t>
  </si>
  <si>
    <t>CHAPA MÚLTIPLA METÁLICA CORRUGADA GALVANIZADA TIPO MP 152 OU SIMILAR - E = 2,70 MM E D = 3,05 M</t>
  </si>
  <si>
    <t>CHAPA MÚLTIPLA METÁLICA CORRUGADA GALVANIZADA TIPO MP 152 OU SIMILAR - E = 2,70 MM E D = 3,20 M</t>
  </si>
  <si>
    <t>CHAPA MÚLTIPLA METÁLICA CORRUGADA GALVANIZADA TIPO MP 152 OU SIMILAR - E = 2,70 MM E D = 3,40 M</t>
  </si>
  <si>
    <t>CHAPA MÚLTIPLA METÁLICA CORRUGADA GALVANIZADA TIPO MP 152 OU SIMILAR - E = 2,70 MM E D = 3,65 M</t>
  </si>
  <si>
    <t>CHAPA MÚLTIPLA METÁLICA CORRUGADA GALVANIZADA TIPO MP 152 OU SIMILAR - E = 2,70 MM E D = 3,80 M</t>
  </si>
  <si>
    <t>CHAPA MÚLTIPLA METÁLICA CORRUGADA GALVANIZADA TIPO MP 152 OU SIMILAR - E = 2,70 MM E D = 4,20 M</t>
  </si>
  <si>
    <t>CHAPA MÚLTIPLA METÁLICA CORRUGADA GALVANIZADA TIPO MP 152 OU SIMILAR - E = 2,70 MM E D = 4,60 M</t>
  </si>
  <si>
    <t>CHAPA MÚLTIPLA METÁLICA CORRUGADA GALVANIZADA TIPO MP 152 OU SIMILAR - E = 3,40 MM E D = 4,80 M</t>
  </si>
  <si>
    <t>CHAPA MÚLTIPLA METÁLICA CORRUGADA GALVANIZADA TIPO MP 152 OU SIMILAR - E = 3,40 MM E D = 5,00 M</t>
  </si>
  <si>
    <t>CHAPA MÚLTIPLA METÁLICA CORRUGADA GALVANIZADA TIPO MP 152 OU SIMILAR - E = 3,90 MM E D = 5,35 M</t>
  </si>
  <si>
    <t>CHAPA MÚLTIPLA METÁLICA CORRUGADA GALVANIZADA TIPO MP 152 OU SIMILAR - E = 3,90 MM E D = 5,70 M</t>
  </si>
  <si>
    <t>CHAPA MÚLTIPLA METÁLICA CORRUGADA GALVANIZADA TIPO MP 152 OU SIMILAR - E = 4,70 MM E D = 6,10 M</t>
  </si>
  <si>
    <t>CHAPA MÚLTIPLA METÁLICA CORRUGADA GALVANIZADA TIPO MP 152 OU SIMILAR - E = 6,40 MM E D = 6,50 M</t>
  </si>
  <si>
    <t>CHAPA MÚLTIPLA METÁLICA CORRUGADA GALVANIZADA TIPO MP 152 OU SIMILAR - E = 6,40 MM E D = 6,85 M</t>
  </si>
  <si>
    <t>CHAPA MÚLTIPLA METÁLICA CORRUGADA GALVANIZADA TIPO MP 152 OU SIMILAR - E = 6,40 MM E D = 7,25 M</t>
  </si>
  <si>
    <t>PARAFUSO DE CABEÇA SEXTAVADA EM AÇO GALVANIZADO COM PORCA E ARRUELA DE PRESSÃO - D = 7,938 MM (5/16")</t>
  </si>
  <si>
    <t>CONCRETO USINADO - FCK = 40 MPA (COMERCIAL)</t>
  </si>
  <si>
    <t>CONCRETO USINADO - FCK = 45 MPA (COMERCIAL)</t>
  </si>
  <si>
    <t>CONCRETO USINADO - FCK = 50 MPA (COMERCIAL)</t>
  </si>
  <si>
    <t>APARELHO DE APOIO METÁLICO ESFÉRICO FIXO COM 4 CHUMBADORES E CAPACIDADE DE 1.000 KN</t>
  </si>
  <si>
    <t>APARELHO DE APOIO METÁLICO ESFÉRICO UNIDIRECIONAL COM 4 CHUMBADORES E CAPACIDADE DE 1.500 KN</t>
  </si>
  <si>
    <t>APARELHO DE APOIO METÁLICO ESFÉRICO FIXO COM 4 CHUMBADORES E CAPACIDADE DE 1.500 KN</t>
  </si>
  <si>
    <t>APARELHO DE APOIO METÁLICO ESFÉRICO FIXO COM 4 CHUMBADORES E CAPACIDADE DE 2.000 KN</t>
  </si>
  <si>
    <t>APARELHO DE APOIO METÁLICO ESFÉRICO FIXO COM 4 CHUMBADORES E CAPACIDADE DE 2.500 KN</t>
  </si>
  <si>
    <t>APARELHO DE APOIO METÁLICO ESFÉRICO FIXO COM 4 CHUMBADORES E CAPACIDADE DE 3.000 KN</t>
  </si>
  <si>
    <t>APARELHO DE APOIO METÁLICO ESFÉRICO FIXO COM 4 CHUMBADORES E CAPACIDADE DE 3.500 KN</t>
  </si>
  <si>
    <t>APARELHO DE APOIO METÁLICO ESFÉRICO FIXO COM 4 CHUMBADORES E CAPACIDADE DE 4.000 KN</t>
  </si>
  <si>
    <t>APARELHO DE APOIO METÁLICO ESFÉRICO UNIDIRECIONAL COM 4 CHUMBADORES E CAPACIDADE DE 1.000 KN</t>
  </si>
  <si>
    <t>APARELHO DE APOIO METÁLICO ESFÉRICO UNIDIRECIONAL COM 4 CHUMBADORES E CAPACIDADE DE 2.000 KN</t>
  </si>
  <si>
    <t>APARELHO DE APOIO METÁLICO ESFÉRICO UNIDIRECIONAL COM 4 CHUMBADORES E CAPACIDADE DE 2.500 KN</t>
  </si>
  <si>
    <t>APARELHO DE APOIO METÁLICO ESFÉRICO UNIDIRECIONAL COM 4 CHUMBADORES E CAPACIDADE DE 3.000 KN</t>
  </si>
  <si>
    <t>APARELHO DE APOIO METÁLICO ESFÉRICO UNIDIRECIONAL COM 4 CHUMBADORES E CAPACIDADE DE 3.500 KN</t>
  </si>
  <si>
    <t>APARELHO DE APOIO METÁLICO ESFÉRICO UNIDIRECIONAL COM 4 CHUMBADORES E CAPACIDADE DE 4.000 KN</t>
  </si>
  <si>
    <t>APARELHO DE APOIO METÁLICO ESFÉRICO FIXO COM 4 CHUMBADORES E CAPACIDADE DE 4.500 KN</t>
  </si>
  <si>
    <t>APARELHO DE APOIO METÁLICO ESFÉRICO FIXO COM 4 CHUMBADORES E CAPACIDADE DE 5.000 KN</t>
  </si>
  <si>
    <t>APARELHO DE APOIO METÁLICO ESFÉRICO FIXO COM 4 CHUMBADORES E CAPACIDADE DE 5.500 KN</t>
  </si>
  <si>
    <t>APARELHO DE APOIO METÁLICO ESFÉRICO FIXO COM 4 CHUMBADORES E CAPACIDADE DE 6.000 KN</t>
  </si>
  <si>
    <t>APARELHO DE APOIO METÁLICO ESFÉRICO FIXO COM 4 CHUMBADORES E CAPACIDADE DE 6.500 KN</t>
  </si>
  <si>
    <t>APARELHO DE APOIO METÁLICO ESFÉRICO FIXO COM 4 CHUMBADORES E CAPACIDADE DE 7.000 KN</t>
  </si>
  <si>
    <t>APARELHO DE APOIO METÁLICO ESFÉRICO FIXO COM 4 CHUMBADORES E CAPACIDADE DE 7.500 KN</t>
  </si>
  <si>
    <t>APARELHO DE APOIO METÁLICO ESFÉRICO FIXO COM 4 CHUMBADORES E CAPACIDADE DE 8.000 KN</t>
  </si>
  <si>
    <t>GRELHA METÁLICA PARA BOCA DE LOBO COM CAPACIDADE DE ATÉ 300 KN - C = 0,90 M E L = 0,30 M</t>
  </si>
  <si>
    <t>GRELHA DE PISO EM PVC PARA PASSAGEM DE PEDESTRES - C = 50 CM E L = 13 CM</t>
  </si>
  <si>
    <t>MARCO EM PVC PARA GRELHA DE PISO - L = 2,50 M</t>
  </si>
  <si>
    <t>GRELHA DE PISO EM PVC PARA PASSAGEM DE VEÍCULOS DE ATÉ 3 T - C = 50 CM E L = 13 CM</t>
  </si>
  <si>
    <t>GRELHA DE PISO EM PVC PARA PASSAGEM DE VEÍCULOS DE ATÉ 10 T - C = 50 CM E L = 13 CM</t>
  </si>
  <si>
    <t>GRELHA DE PISO EM PVC PARA PASSAGEM DE PEDESTRES - C = 50 CM E L = 20 CM</t>
  </si>
  <si>
    <t>GRELHA DE PISO EM PVC PARA PASSAGEM DE VEÍCULOS DE ATÉ 3 T - C = 50 CM E L = 20 CM</t>
  </si>
  <si>
    <t>GRELHA METÁLICA PARA CANALETAS - C = 1,00 M E L = 0,10 M</t>
  </si>
  <si>
    <t>GRELHA METÁLICA PARA CANALETAS - C = 1,00 M E L = 0,15 M</t>
  </si>
  <si>
    <t>PORTA-GRELHA METÁLICA - C = 1,00 M E L = 0,15 M</t>
  </si>
  <si>
    <t>GRELHA METÁLICA PARA CANALETAS - C = 1,00 M E L = 0,20 M</t>
  </si>
  <si>
    <t>PORTA-GRELHA METÁLICA - C = 1,00 M E L = 0,20 M</t>
  </si>
  <si>
    <t>PORTA-GRELHA METÁLICA - C = 1,00 M E L = 0,10 M</t>
  </si>
  <si>
    <t>APARELHO DE APOIO METÁLICO ESFÉRICO FIXO COM 4 CHUMBADORES E CAPACIDADE DE 8.500 KN</t>
  </si>
  <si>
    <t>APARELHO DE APOIO METÁLICO ESFÉRICO FIXO COM 4 CHUMBADORES E CAPACIDADE DE 9.000 KN</t>
  </si>
  <si>
    <t>APARELHO DE APOIO METÁLICO ESFÉRICO FIXO COM 4 CHUMBADORES E CAPACIDADE DE 9.500 KN</t>
  </si>
  <si>
    <t>APARELHO DE APOIO METÁLICO ESFÉRICO FIXO COM 4 CHUMBADORES E CAPACIDADE DE 10.000 KN</t>
  </si>
  <si>
    <t>APARELHO DE APOIO METÁLICO ESFÉRICO UNIDIRECIONAL COM 4 CHUMBADORES E CAPACIDADE DE 4.500 KN</t>
  </si>
  <si>
    <t>APARELHO DE APOIO METÁLICO ESFÉRICO UNIDIRECIONAL COM 4 CHUMBADORES E CAPACIDADE DE 5.000 KN</t>
  </si>
  <si>
    <t>APARELHO DE APOIO METÁLICO ESFÉRICO UNIDIRECIONAL COM 4 CHUMBADORES E CAPACIDADE DE 5.500 KN</t>
  </si>
  <si>
    <t>APARELHO DE APOIO METÁLICO ESFÉRICO UNIDIRECIONAL COM 4 CHUMBADORES E CAPACIDADE DE 6.000 KN</t>
  </si>
  <si>
    <t>APARELHO DE APOIO METÁLICO ESFÉRICO UNIDIRECIONAL COM 4 CHUMBADORES E CAPACIDADE DE 6.500 KN</t>
  </si>
  <si>
    <t>APARELHO DE APOIO METÁLICO ESFÉRICO UNIDIRECIONAL COM 4 CHUMBADORES E CAPACIDADE DE 7.000 KN</t>
  </si>
  <si>
    <t>APARELHO DE APOIO METÁLICO ESFÉRICO UNIDIRECIONAL COM 4 CHUMBADORES E CAPACIDADE DE 7.500 KN</t>
  </si>
  <si>
    <t>FINCAPINO DE AÇÃO DIRETA E PINO COM FURO - D = 6,35 MM (1/4")</t>
  </si>
  <si>
    <t>APARELHO DE APOIO METÁLICO ESFÉRICO UNIDIRECIONAL COM 4 CHUMBADORES E CAPACIDADE DE 8.000 KN</t>
  </si>
  <si>
    <t>APARELHO DE APOIO METÁLICO ESFÉRICO UNIDIRECIONAL COM 4 CHUMBADORES E CAPACIDADE DE 8.500 KN</t>
  </si>
  <si>
    <t>CHAPA MÚLTIPLA METÁLICA CORRUGADA REVESTIDA EM EPÓXI TIPO MP 100 OU SIMILAR - E = 1,60 MM E D = 0,60 M</t>
  </si>
  <si>
    <t>CHAPA MÚLTIPLA METÁLICA CORRUGADA REVESTIDA EM EPÓXI TIPO MP 100 OU SIMILAR - E = 1,60 MM E D = 0,70 M</t>
  </si>
  <si>
    <t>CHAPA MÚLTIPLA METÁLICA CORRUGADA REVESTIDA EM EPÓXI TIPO MP 100 OU SIMILAR - E = 1,60 MM E D = 0,80 M</t>
  </si>
  <si>
    <t>CHAPA MÚLTIPLA METÁLICA CORRUGADA REVESTIDA EM EPÓXI TIPO MP 100 OU SIMILAR - E = 1,60 MM E D = 0,90 M</t>
  </si>
  <si>
    <t>CHAPA MÚLTIPLA METÁLICA CORRUGADA REVESTIDA EM EPÓXI TIPO MP 100 OU SIMILAR - E = 1,60 MM E D = 1,00 M</t>
  </si>
  <si>
    <t>CHAPA MÚLTIPLA METÁLICA CORRUGADA REVESTIDA EM EPÓXI TIPO MP 100 OU SIMILAR - E = 1,60 MM E D = 1,10 M</t>
  </si>
  <si>
    <t>CHAPA MÚLTIPLA METÁLICA CORRUGADA REVESTIDA EM EPÓXI TIPO MP 100 OU SIMILAR - E = 1,60 MM E D = 1,20 M</t>
  </si>
  <si>
    <t>CHAPA MÚLTIPLA METÁLICA CORRUGADA REVESTIDA EM EPÓXI TIPO MP 100 OU SIMILAR - E = 1,60 MM E D = 1,30 M</t>
  </si>
  <si>
    <t>CHAPA MÚLTIPLA METÁLICA CORRUGADA REVESTIDA EM EPÓXI TIPO MP 100 OU SIMILAR - E = 1,60 MM E D = 1,40 M</t>
  </si>
  <si>
    <t>CHAPA MÚLTIPLA METÁLICA CORRUGADA REVESTIDA EM EPÓXI TIPO MP 100 OU SIMILAR - E = 1,60 MM E D = 1,50 M</t>
  </si>
  <si>
    <t>CHAPA MÚLTIPLA METÁLICA CORRUGADA REVESTIDA EM EPÓXI TIPO MP 100 OU SIMILAR - E = 1,60 MM E D = 1,60 M</t>
  </si>
  <si>
    <t>CHAPA MÚLTIPLA METÁLICA CORRUGADA REVESTIDA EM EPÓXI TIPO MP 100 OU SIMILAR - E = 1,60 MM E D = 1,70 M</t>
  </si>
  <si>
    <t>CHAPA MÚLTIPLA METÁLICA CORRUGADA REVESTIDA EM EPÓXI TIPO MP 100 OU SIMILAR - E = 1,60 MM E D = 1,80 M</t>
  </si>
  <si>
    <t>CHAPA MÚLTIPLA METÁLICA CORRUGADA REVESTIDA EM EPÓXI TIPO MP 100 OU SIMILAR - E = 2,00 MM E D = 1,90 M</t>
  </si>
  <si>
    <t>CHAPA MÚLTIPLA METÁLICA CORRUGADA REVESTIDA EM EPÓXI TIPO MP 100 OU SIMILAR - E = 2,00 MM E D = 2,00 M</t>
  </si>
  <si>
    <t>CHAPA MÚLTIPLA METÁLICA CORRUGADA REVESTIDA EM EPÓXI TIPO MP 100 OU SIMILAR - E = 2,00 MM E D = 2,10 M</t>
  </si>
  <si>
    <t>CHAPA MÚLTIPLA METÁLICA CORRUGADA REVESTIDA EM EPÓXI TIPO MP 100 OU SIMILAR - E = 2,00 MM E D = 2,20 M</t>
  </si>
  <si>
    <t>CHAPA MÚLTIPLA METÁLICA CORRUGADA REVESTIDA EM EPÓXI TIPO MP 100 OU SIMILAR - E = 2,00 MM E D = 2,30 M</t>
  </si>
  <si>
    <t>CHAPA MÚLTIPLA METÁLICA CORRUGADA REVESTIDA EM EPÓXI TIPO MP 100 OU SIMILAR - E = 2,70 MM E D = 2,40 M</t>
  </si>
  <si>
    <t>CHAPA MÚLTIPLA METÁLICA CORRUGADA REVESTIDA EM EPÓXI TIPO MP 100 OU SIMILAR - E = 3,40 MM E D = 2,50 M</t>
  </si>
  <si>
    <t>CHAPA MÚLTIPLA METÁLICA CORRUGADA REVESTIDA EM EPÓXI TIPO MP 100 OU SIMILAR - E = 3,40 MM E D = 2,60 M</t>
  </si>
  <si>
    <t>CHAPA MÚLTIPLA METÁLICA CORRUGADA REVESTIDA EM EPÓXI TIPO MP 100 OU SIMILAR - E = 3,40 MM E D = 2,70 M</t>
  </si>
  <si>
    <t>CHAPA MÚLTIPLA METÁLICA CORRUGADA REVESTIDA EM EPÓXI TIPO MP 100 OU SIMILAR - E = 3,40 MM E D = 2,80 M</t>
  </si>
  <si>
    <t>CHAPA MÚLTIPLA METÁLICA CORRUGADA REVESTIDA EM EPÓXI TIPO MP 152 OU SIMILAR - E = 2,70 MM E D = 1,50 M</t>
  </si>
  <si>
    <t>CHAPA MÚLTIPLA METÁLICA CORRUGADA REVESTIDA EM EPÓXI TIPO MP 152 OU SIMILAR - E = 2,70 MM E D = 1,80 M</t>
  </si>
  <si>
    <t>CHAPA MÚLTIPLA METÁLICA CORRUGADA REVESTIDA EM EPÓXI TIPO MP 152 OU SIMILAR - E = 2,70 MM E D = 1,90 M</t>
  </si>
  <si>
    <t>CHAPA MÚLTIPLA METÁLICA CORRUGADA REVESTIDA EM EPÓXI TIPO MP 152 OU SIMILAR - E = 2,70 MM E D = 2,15 M</t>
  </si>
  <si>
    <t>CHAPA MÚLTIPLA METÁLICA CORRUGADA REVESTIDA EM EPÓXI TIPO MP 152 OU SIMILAR - E = 2,70 MM E D = 2,30 M</t>
  </si>
  <si>
    <t>CHAPA MÚLTIPLA METÁLICA CORRUGADA REVESTIDA EM EPÓXI TIPO MP 152 OU SIMILAR - E = 2,70 MM E D = 2,65 M</t>
  </si>
  <si>
    <t>CHAPA MÚLTIPLA METÁLICA CORRUGADA REVESTIDA EM EPÓXI TIPO MP 152 OU SIMILAR - E = 2,70 MM E D = 3,05 M</t>
  </si>
  <si>
    <t>CHAPA MÚLTIPLA METÁLICA CORRUGADA REVESTIDA EM EPÓXI TIPO MP 152 OU SIMILAR - E = 2,70 MM E D = 3,20 M</t>
  </si>
  <si>
    <t>CHAPA MÚLTIPLA METÁLICA CORRUGADA REVESTIDA EM EPÓXI TIPO MP 152 OU SIMILAR - E = 2,70 MM E D = 3,40 M</t>
  </si>
  <si>
    <t>CHAPA MÚLTIPLA METÁLICA CORRUGADA REVESTIDA EM EPÓXI TIPO MP 152 OU SIMILAR - E = 2,70 MM E D = 3,65 M</t>
  </si>
  <si>
    <t>CHAPA MÚLTIPLA METÁLICA CORRUGADA REVESTIDA EM EPÓXI TIPO MP 152 OU SIMILAR - E = 2,70 MM E D = 3,80 M</t>
  </si>
  <si>
    <t>CHAPA MÚLTIPLA METÁLICA CORRUGADA REVESTIDA EM EPÓXI TIPO MP 152 OU SIMILAR - E = 2,70 MM E D = 4,20 M</t>
  </si>
  <si>
    <t>CHAPA MÚLTIPLA METÁLICA CORRUGADA REVESTIDA EM EPÓXI TIPO MP 152 OU SIMILAR - E = 2,70 MM E D = 4,60 M</t>
  </si>
  <si>
    <t>CHAPA MÚLTIPLA METÁLICA CORRUGADA REVESTIDA EM EPÓXI TIPO MP 152 OU SIMILAR - E = 3,40 MM E D = 4,80 M</t>
  </si>
  <si>
    <t>CHAPA MÚLTIPLA METÁLICA CORRUGADA REVESTIDA EM EPÓXI TIPO MP 152 OU SIMILAR - E = 3,40 MM E D = 5,00 M</t>
  </si>
  <si>
    <t>CHAPA MÚLTIPLA METÁLICA CORRUGADA REVESTIDA EM EPÓXI TIPO MP 152 OU SIMILAR - E = 3,90 MM E D = 5,35 M</t>
  </si>
  <si>
    <t>CHAPA MÚLTIPLA METÁLICA CORRUGADA REVESTIDA EM EPÓXI TIPO MP 152 OU SIMILAR - E = 3,90 MM E D = 5,70 M</t>
  </si>
  <si>
    <t>CHAPA MÚLTIPLA METÁLICA CORRUGADA REVESTIDA EM EPÓXI TIPO MP 152 OU SIMILAR - E = 4,70 MM E D = 6,10 M</t>
  </si>
  <si>
    <t>CHAPA MÚLTIPLA METÁLICA CORRUGADA REVESTIDA EM EPÓXI TIPO MP 152 OU SIMILAR - E = 6,40 MM E D = 6,50 M</t>
  </si>
  <si>
    <t>CHAPA MÚLTIPLA METÁLICA CORRUGADA REVESTIDA EM EPÓXI TIPO MP 152 OU SIMILAR - E = 6,40 MM E D = 6,85 M</t>
  </si>
  <si>
    <t>CHAPA MÚLTIPLA METÁLICA CORRUGADA REVESTIDA EM EPÓXI TIPO MP 152 OU SIMILAR - E = 6,40 MM E D = 7,25 M</t>
  </si>
  <si>
    <t>APARELHO DE APOIO METÁLICO ESFÉRICO UNIDIRECIONAL COM 4 CHUMBADORES E CAPACIDADE DE 9.000 KN</t>
  </si>
  <si>
    <t>APARELHO DE APOIO METÁLICO ESFÉRICO UNIDIRECIONAL COM 4 CHUMBADORES E CAPACIDADE DE 9.500 KN</t>
  </si>
  <si>
    <t>APARELHO DE APOIO METÁLICO ESFÉRICO UNIDIRECIONAL COM 4 CHUMBADORES E CAPACIDADE DE 10.000 KN</t>
  </si>
  <si>
    <t>FINCAPINO DE AÇÃO INDIRETA E PINO LISO - D = 6,35 MM (1/4")</t>
  </si>
  <si>
    <t>CORPO DE BSCC PRÉ-MOLDADO COMERCIAL - SEÇÃO DE 1,5 M X 1,5 M - TIPO I</t>
  </si>
  <si>
    <t>CORPO DE BSCC PRÉ-MOLDADO COMERCIAL - SEÇÃO DE 1,5 M X 1,5 M - TIPO II</t>
  </si>
  <si>
    <t>CORPO DE BSCC PRÉ-MOLDADO COMERCIAL - SEÇÃO DE 1,5 M X 1,5 M - TIPO III</t>
  </si>
  <si>
    <t>CORPO DE BSCC PRÉ-MOLDADO COMERCIAL - SEÇÃO DE 1,5 M X 1,5 M - TIPO IV</t>
  </si>
  <si>
    <t>CORPO DE BSCC PRÉ-MOLDADO COMERCIAL - SEÇÃO DE 1,5 M X 1,5 M - TIPO V</t>
  </si>
  <si>
    <t>CORPO DE BSCC PRÉ-MOLDADO COMERCIAL - SEÇÃO DE 1,5 M X 1,5 M - TIPO VI</t>
  </si>
  <si>
    <t>CORPO DE BSCC PRÉ-MOLDADO COMERCIAL - SEÇÃO DE 1,5 M X 1,5 M - TIPO VII</t>
  </si>
  <si>
    <t>CORPO DE BSCC PRÉ-MOLDADO COMERCIAL - SEÇÃO DE 2,0 M X 2,0 M - TIPO I</t>
  </si>
  <si>
    <t>CORPO DE BSCC PRÉ-MOLDADO COMERCIAL - SEÇÃO DE 2,0 M X 2,0 M - TIPO II</t>
  </si>
  <si>
    <t>CORPO DE BSCC PRÉ-MOLDADO COMERCIAL - SEÇÃO DE 2,0 M X 2,0 M - TIPO III</t>
  </si>
  <si>
    <t>CORPO DE BSCC PRÉ-MOLDADO COMERCIAL - SEÇÃO DE 2,0 M X 2,0 M - TIPO IV</t>
  </si>
  <si>
    <t>CORPO DE BSCC PRÉ-MOLDADO COMERCIAL - SEÇÃO DE 2,0 M X 2,0 M - TIPO V</t>
  </si>
  <si>
    <t>CORPO DE BSCC PRÉ-MOLDADO COMERCIAL - SEÇÃO DE 2,0 M X 2,0 M - TIPO VI</t>
  </si>
  <si>
    <t>CORPO DE BSCC PRÉ-MOLDADO COMERCIAL - SEÇÃO DE 2,0 M X 2,0 M - TIPO VII</t>
  </si>
  <si>
    <t>CORPO DE BSCC PRÉ-MOLDADO COMERCIAL - SEÇÃO DE 2,5 M X 2,5 M - TIPO I</t>
  </si>
  <si>
    <t>CORPO DE BSCC PRÉ-MOLDADO COMERCIAL - SEÇÃO DE 2,5 M X 2,5 M - TIPO II</t>
  </si>
  <si>
    <t>CORPO DE BSCC PRÉ-MOLDADO COMERCIAL - SEÇÃO DE 2,5 M X 2,5 M - TIPO III</t>
  </si>
  <si>
    <t>CORPO DE BSCC PRÉ-MOLDADO COMERCIAL - SEÇÃO DE 2,5 M X 2,5 M - TIPO IV</t>
  </si>
  <si>
    <t>CORPO DE BSCC PRÉ-MOLDADO COMERCIAL - SEÇÃO DE 2,5 M X 2,5 M - TIPO V</t>
  </si>
  <si>
    <t>CORPO DE BSCC PRÉ-MOLDADO COMERCIAL - SEÇÃO DE 2,5 M X 2,5 M - TIPO VI</t>
  </si>
  <si>
    <t>CORPO DE BSCC PRÉ-MOLDADO COMERCIAL - SEÇÃO DE 2,5 M X 2,5 M - TIPO VII</t>
  </si>
  <si>
    <t>CORPO DE BSCC PRÉ-MOLDADO COMERCIAL - SEÇÃO DE 3,0 M X 3,0 M - TIPO I</t>
  </si>
  <si>
    <t>CORPO DE BSCC PRÉ-MOLDADO COMERCIAL - SEÇÃO DE 3,0 M X 3,0 M - TIPO II</t>
  </si>
  <si>
    <t>CORPO DE BSCC PRÉ-MOLDADO COMERCIAL - SEÇÃO DE 3,0 M X 3,0 M - TIPO III</t>
  </si>
  <si>
    <t>CORPO DE BSCC PRÉ-MOLDADO COMERCIAL - SEÇÃO DE 3,0 M X 3,0 M - TIPO IV</t>
  </si>
  <si>
    <t>CORPO DE BSCC PRÉ-MOLDADO COMERCIAL - SEÇÃO DE 3,0 M X 3,0 M - TIPO V</t>
  </si>
  <si>
    <t>CORPO DE BSCC PRÉ-MOLDADO COMERCIAL - SEÇÃO DE 3,0 M X 3,0 M - TIPO VI</t>
  </si>
  <si>
    <t>CORPO DE BSCC PRÉ-MOLDADO COMERCIAL - SEÇÃO DE 3,0 M X 3,0 M - TIPO VII</t>
  </si>
  <si>
    <t>CORPO DE BSCC PRÉ-MOLDADO COMERCIAL - SEÇÃO CANAL DE 1,5 M X 1,5 M</t>
  </si>
  <si>
    <t>CORPO DE BSCC PRÉ-MOLDADO COMERCIAL - SEÇÃO CANAL DE 2,0 M X 1,5 M</t>
  </si>
  <si>
    <t>CORPO DE BSCC PRÉ-MOLDADO COMERCIAL - SEÇÃO CANAL DE 2,0 M X 2,0 M - TIPO I</t>
  </si>
  <si>
    <t>CORPO DE BSCC PRÉ-MOLDADO COMERCIAL - SEÇÃO CANAL DE 2,0 M X 2,0 M - TIPO II</t>
  </si>
  <si>
    <t>CORPO DE BSCC PRÉ-MOLDADO COMERCIAL - SEÇÃO CANAL DE 2,5 M X 1,5 M</t>
  </si>
  <si>
    <t>CORPO DE BSCC PRÉ-MOLDADO COMERCIAL - SEÇÃO CANAL DE 2,5 M X 2,0 M - TIPO I</t>
  </si>
  <si>
    <t>CORPO DE BSCC PRÉ-MOLDADO COMERCIAL - SEÇÃO CANAL DE 2,5 M X 2,0 M - TIPO II</t>
  </si>
  <si>
    <t>CORPO DE BSCC PRÉ-MOLDADO COMERCIAL - SEÇÃO CANAL DE 3,0 M X 1,5 M</t>
  </si>
  <si>
    <t>CORPO DE BSCC PRÉ-MOLDADO COMERCIAL - SEÇÃO CANAL DE 3,0 M X 2,0 M - TIPO I</t>
  </si>
  <si>
    <t>CORPO DE BSCC PRÉ-MOLDADO COMERCIAL - SEÇÃO CANAL DE 3,0 M X 2,0 M - TIPO II</t>
  </si>
  <si>
    <t>APARELHO DE APOIO METÁLICO ESFÉRICO MULTIDIRECIONAL COM 4 CHUMBADORES E CAPACIDADE DE 1.000 KN</t>
  </si>
  <si>
    <t>APARELHO DE APOIO METÁLICO ESFÉRICO MULTIDIRECIONAL COM 4 CHUMBADORES E CAPACIDADE DE 1.500 KN</t>
  </si>
  <si>
    <t>APARELHO DE APOIO METÁLICO ESFÉRICO MULTIDIRECIONAL COM 4 CHUMBADORES E CAPACIDADE DE 2.000 KN</t>
  </si>
  <si>
    <t>APARELHO DE APOIO METÁLICO ESFÉRICO MULTIDIRECIONAL COM 4 CHUMBADORES E CAPACIDADE DE 2.500 KN</t>
  </si>
  <si>
    <t>APARELHO DE APOIO METÁLICO ESFÉRICO MULTIDIRECIONAL COM 4 CHUMBADORES E CAPACIDADE DE 3.000 KN</t>
  </si>
  <si>
    <t>APARELHO DE APOIO METÁLICO ESFÉRICO MULTIDIRECIONAL COM 4 CHUMBADORES E CAPACIDADE DE 3.500 KN</t>
  </si>
  <si>
    <t>APARELHO DE APOIO METÁLICO ESFÉRICO MULTIDIRECIONAL COM 4 CHUMBADORES E CAPACIDADE DE 4.000 KN</t>
  </si>
  <si>
    <t>APARELHO DE APOIO METÁLICO ESFÉRICO MULTIDIRECIONAL COM 4 CHUMBADORES E CAPACIDADE DE 4.500 KN</t>
  </si>
  <si>
    <t>APARELHO DE APOIO METÁLICO ESFÉRICO MULTIDIRECIONAL COM 4 CHUMBADORES E CAPACIDADE DE 5.000 KN</t>
  </si>
  <si>
    <t>APARELHO DE APOIO METÁLICO ESFÉRICO MULTIDIRECIONAL COM 4 CHUMBADORES E CAPACIDADE DE 5.500 KN</t>
  </si>
  <si>
    <t>APARELHO DE APOIO METÁLICO ESFÉRICO MULTIDIRECIONAL COM 4 CHUMBADORES E CAPACIDADE DE 6.000 KN</t>
  </si>
  <si>
    <t>APARELHO DE APOIO METÁLICO ESFÉRICO MULTIDIRECIONAL COM 4 CHUMBADORES E CAPACIDADE DE 6.500 KN</t>
  </si>
  <si>
    <t>APARELHO DE APOIO METÁLICO ESFÉRICO MULTIDIRECIONAL COM 4 CHUMBADORES E CAPACIDADE DE 7.000 KN</t>
  </si>
  <si>
    <t>APARELHO DE APOIO METÁLICO ESFÉRICO MULTIDIRECIONAL COM 4 CHUMBADORES E CAPACIDADE DE 7.500 KN</t>
  </si>
  <si>
    <t>APARELHO DE APOIO METÁLICO ESFÉRICO MULTIDIRECIONAL COM 4 CHUMBADORES E CAPACIDADE DE 8.000 KN</t>
  </si>
  <si>
    <t>APARELHO DE APOIO METÁLICO ESFÉRICO MULTIDIRECIONAL COM 4 CHUMBADORES E CAPACIDADE DE 8.500 KN</t>
  </si>
  <si>
    <t>APARELHO DE APOIO METÁLICO ESFÉRICO MULTIDIRECIONAL COM 4 CHUMBADORES E CAPACIDADE DE 9.000 KN</t>
  </si>
  <si>
    <t>APARELHO DE APOIO METÁLICO ESFÉRICO MULTIDIRECIONAL COM 4 CHUMBADORES E CAPACIDADE DE 9.500 KN</t>
  </si>
  <si>
    <t>APARELHO DE APOIO METÁLICO ESFÉRICO MULTIDIRECIONAL COM 4 CHUMBADORES E CAPACIDADE DE 10.000 KN</t>
  </si>
  <si>
    <t>APARELHO DE APOIO METÁLICO ELASTOMÉRICO FIXO COM 4 CHUMBADORES E CAPACIDADE DE 700 KN</t>
  </si>
  <si>
    <t>APARELHO DE APOIO METÁLICO ELASTOMÉRICO FIXO COM 4 CHUMBADORES E CAPACIDADE DE 1.500 KN</t>
  </si>
  <si>
    <t>APARELHO DE APOIO METÁLICO ELASTOMÉRICO FIXO COM 4 CHUMBADORES E CAPACIDADE DE 2.500 KN</t>
  </si>
  <si>
    <t>APARELHO DE APOIO METÁLICO ELASTOMÉRICO FIXO COM 4 CHUMBADORES E CAPACIDADE DE 4.000 KN</t>
  </si>
  <si>
    <t>APARELHO DE APOIO METÁLICO ELASTOMÉRICO FIXO COM 4 CHUMBADORES E CAPACIDADE DE 5.500 KN</t>
  </si>
  <si>
    <t>APARELHO DE APOIO METÁLICO ELASTOMÉRICO FIXO COM 4 CHUMBADORES E CAPACIDADE DE 7.500 KN</t>
  </si>
  <si>
    <t>APARELHO DE APOIO METÁLICO ELASTOMÉRICO FIXO COM 4 CHUMBADORES E CAPACIDADE DE 10.000 KN</t>
  </si>
  <si>
    <t>APARELHO DE APOIO METÁLICO ELASTOMÉRICO UNIDIRECIONAL COM 4 CHUMBADORES E CAPACIDADE DE 700 KN</t>
  </si>
  <si>
    <t>APARELHO DE APOIO METÁLICO ELASTOMÉRICO UNIDIRECIONAL COM 4 CHUMBADORES E CAPACIDADE DE 1.500 KN</t>
  </si>
  <si>
    <t>APARELHO DE APOIO METÁLICO ELASTOMÉRICO UNIDIRECIONAL COM 4 CHUMBADORES E CAPACIDADE DE 2.500 KN</t>
  </si>
  <si>
    <t>APARELHO DE APOIO METÁLICO ELASTOMÉRICO UNIDIRECIONAL COM 4 CHUMBADORES E CAPACIDADE DE 4.000 KN</t>
  </si>
  <si>
    <t>APARELHO DE APOIO METÁLICO ELASTOMÉRICO UNIDIRECIONAL COM 4 CHUMBADORES E CAPACIDADE DE 5.500 KN</t>
  </si>
  <si>
    <t>APARELHO DE APOIO METÁLICO ELASTOMÉRICO UNIDIRECIONAL COM 4 CHUMBADORES E CAPACIDADE DE 7.500 KN</t>
  </si>
  <si>
    <t>APARELHO DE APOIO METÁLICO ELASTOMÉRICO UNIDIRECIONAL COM 4 CHUMBADORES E CAPACIDADE DE 10.000 KN</t>
  </si>
  <si>
    <t>APARELHO DE APOIO METÁLICO ELASTOMÉRICO MULTIDIRECIONAL COM 4 CHUMBADORES E CAPACIDADE DE 700 KN</t>
  </si>
  <si>
    <t>APARELHO DE APOIO METÁLICO ELASTOMÉRICO MULTIDIRECIONAL COM 4 CHUMBADORES E CAPACIDADE DE 1.500 KN</t>
  </si>
  <si>
    <t>APARELHO DE APOIO METÁLICO ELASTOMÉRICO MULTIDIRECIONAL COM 4 CHUMBADORES E CAPACIDADE DE 2.500 KN</t>
  </si>
  <si>
    <t>APARELHO DE APOIO METÁLICO ELASTOMÉRICO MULTIDIRECIONAL COM 4 CHUMBADORES E CAPACIDADE DE 4.000 KN</t>
  </si>
  <si>
    <t>APARELHO DE APOIO METÁLICO ELASTOMÉRICO MULTIDIRECIONAL COM 4 CHUMBADORES E CAPACIDADE DE 5.500 KN</t>
  </si>
  <si>
    <t>APARELHO DE APOIO METÁLICO ELASTOMÉRICO MULTIDIRECIONAL COM 4 CHUMBADORES E CAPACIDADE DE 7.500 KN</t>
  </si>
  <si>
    <t>APARELHO DE APOIO METÁLICO ELASTOMÉRICO MULTIDIRECIONAL COM 4 CHUMBADORES E CAPACIDADE DE 10.000 KN</t>
  </si>
  <si>
    <t>CHAPA METÁLICA CORRUGADA GALVANIZADA PARA TUNNEL LINER - E = 2,7 MM E D = 1,2 M</t>
  </si>
  <si>
    <t>CHAPA METÁLICA CORRUGADA GALVANIZADA PARA TUNNEL LINER - E = 2,7 MM E D = 1,4 M</t>
  </si>
  <si>
    <t>CHAPA METÁLICA CORRUGADA GALVANIZADA PARA TUNNEL LINER - E = 2,7 MM E D = 1,6 M</t>
  </si>
  <si>
    <t>CHAPA METÁLICA CORRUGADA GALVANIZADA PARA TUNNEL LINER - E = 2,7 MM E D = 1,8 M</t>
  </si>
  <si>
    <t>CHAPA METÁLICA CORRUGADA GALVANIZADA PARA TUNNEL LINER - E = 2,7 MM E D = 2,0 M</t>
  </si>
  <si>
    <t>CHAPA METÁLICA CORRUGADA GALVANIZADA PARA TUNNEL LINER - E = 3,4 MM E D = 2,2 M</t>
  </si>
  <si>
    <t>CHAPA METÁLICA CORRUGADA GALVANIZADA PARA TUNNEL LINER - E = 3,4 MM E D = 2,4 M</t>
  </si>
  <si>
    <t>CHAPA METÁLICA CORRUGADA GALVANIZADA PARA TUNNEL LINER - E = 3,4 MM E D = 2,6 M</t>
  </si>
  <si>
    <t>CHAPA METÁLICA CORRUGADA GALVANIZADA PARA TUNNEL LINER - E = 3,4 MM E D = 2,8 M</t>
  </si>
  <si>
    <t>CHAPA METÁLICA CORRUGADA GALVANIZADA PARA TUNNEL LINER - E = 3,4 MM E D = 3,0 M</t>
  </si>
  <si>
    <t>CHAPA METÁLICA CORRUGADA GALVANIZADA PARA TUNNEL LINER - E = 3,4 MM E D = 3,2 M</t>
  </si>
  <si>
    <t>CHAPA METÁLICA CORRUGADA GALVANIZADA PARA TUNNEL LINER - E = 3,9 MM E D = 3,4 M</t>
  </si>
  <si>
    <t>CHAPA METÁLICA CORRUGADA GALVANIZADA PARA TUNNEL LINER - E = 3,9 MM E D = 3,6 M</t>
  </si>
  <si>
    <t>CHAPA METÁLICA CORRUGADA GALVANIZADA PARA TUNNEL LINER - E = 3,9 MM E D = 3,8 M</t>
  </si>
  <si>
    <t>CHAPA METÁLICA CORRUGADA GALVANIZADA PARA TUNNEL LINER - E = 3,9 MM E D = 4,0 M</t>
  </si>
  <si>
    <t>CHAPA METÁLICA CORRUGADA GALVANIZADA PARA TUNNEL LINER - E = 3,9 MM E D = 4,2 M</t>
  </si>
  <si>
    <t>CHAPA METÁLICA CORRUGADA GALVANIZADA PARA TUNNEL LINER - E = 3,9 MM E D = 4,4 M</t>
  </si>
  <si>
    <t>CHAPA METÁLICA CORRUGADA GALVANIZADA PARA TUNNEL LINER - E = 3,9 MM E D = 4,6 M</t>
  </si>
  <si>
    <t>CHAPA METÁLICA CORRUGADA GALVANIZADA PARA TUNNEL LINER - E = 4,7 MM E D = 4,8 M</t>
  </si>
  <si>
    <t>CHAPA METÁLICA CORRUGADA GALVANIZADA PARA TUNNEL LINER - E = 4,7 MM E D = 5,0 M</t>
  </si>
  <si>
    <t>CHAPA METÁLICA CORRUGADA GALVANIZADA REVESTIDA COM EPÓXI PARA TUNNEL LINER - E = 2,7 MM E D = 1,2 M</t>
  </si>
  <si>
    <t>CHAPA METÁLICA CORRUGADA GALVANIZADA REVESTIDA COM EPÓXI PARA TUNNEL LINER - E = 2,7 MM E D = 1,4 M</t>
  </si>
  <si>
    <t>CHAPA METÁLICA CORRUGADA GALVANIZADA REVESTIDA COM EPÓXI PARA TUNNEL LINER - E = 2,7 MM E D = 1,6 M</t>
  </si>
  <si>
    <t>CHAPA METÁLICA CORRUGADA GALVANIZADA REVESTIDA COM EPÓXI PARA TUNNEL LINER - E = 2,7 MM E D = 1,8 M</t>
  </si>
  <si>
    <t>CHAPA METÁLICA CORRUGADA GALVANIZADA REVESTIDA COM EPÓXI PARA TUNNEL LINER - E = 2,7 MM E D = 2,0 M</t>
  </si>
  <si>
    <t>CHAPA METÁLICA CORRUGADA GALVANIZADA REVESTIDA COM EPÓXI PARA TUNNEL LINER - E = 3,4 MM E D = 2,2 M</t>
  </si>
  <si>
    <t>CHAPA METÁLICA CORRUGADA GALVANIZADA REVESTIDA COM EPÓXI PARA TUNNEL LINER - E = 3,4 MM E D = 2,4 M</t>
  </si>
  <si>
    <t>CHAPA METÁLICA CORRUGADA GALVANIZADA REVESTIDA COM EPÓXI PARA TUNNEL LINER - E = 3,4 MM E D = 2,6 M</t>
  </si>
  <si>
    <t>CHAPA METÁLICA CORRUGADA GALVANIZADA REVESTIDA COM EPÓXI PARA TUNNEL LINER - E = 3,4 MM E D = 2,8 M</t>
  </si>
  <si>
    <t>CHAPA METÁLICA CORRUGADA GALVANIZADA REVESTIDA COM EPÓXI PARA TUNNEL LINER - E = 3,4 MM E D = 3,0 M</t>
  </si>
  <si>
    <t>CHAPA METÁLICA CORRUGADA GALVANIZADA REVESTIDA COM EPÓXI PARA TUNNEL LINER - E = 3,4 MM E D = 3,2 M</t>
  </si>
  <si>
    <t>CHAPA MÚLTIPLA METÁLICA CORRUGADA GALVANIZADA TIPO MP 152 LENTICULAR OU SIMILAR - E = 2,70 MM, H = 1,40 M E VÃO = 1,95 M</t>
  </si>
  <si>
    <t>CHAPA MÚLTIPLA METÁLICA CORRUGADA GALVANIZADA TIPO MP 152 LENTICULAR OU SIMILAR - E = 2,70 MM, H = 1,50 M E VÃO = 2,15 M</t>
  </si>
  <si>
    <t>CHAPA MÚLTIPLA METÁLICA CORRUGADA GALVANIZADA TIPO MP 152 LENTICULAR OU SIMILAR - E = 2,70 MM, H = 1,60 M E VÃO = 2,30 M</t>
  </si>
  <si>
    <t>CHAPA MÚLTIPLA METÁLICA CORRUGADA GALVANIZADA TIPO MP 152 LENTICULAR OU SIMILAR - E = 2,70 MM, H = 1,65 M E VÃO = 2,55 M</t>
  </si>
  <si>
    <t>CHAPA MÚLTIPLA METÁLICA CORRUGADA GALVANIZADA TIPO MP 152 LENTICULAR OU SIMILAR - E = 2,70 MM, H = 1,85 M E VÃO = 2,70 M</t>
  </si>
  <si>
    <t>CHAPA MÚLTIPLA METÁLICA CORRUGADA GALVANIZADA TIPO MP 152 LENTICULAR OU SIMILAR - E = 2,70 MM, H = 1,90 M E VÃO = 2,75 M</t>
  </si>
  <si>
    <t>CHAPA MÚLTIPLA METÁLICA CORRUGADA GALVANIZADA TIPO MP 152 LENTICULAR OU SIMILAR - E = 2,70 MM, H = 2,00 M E VÃO = 3,00 M</t>
  </si>
  <si>
    <t>CHAPA MÚLTIPLA METÁLICA CORRUGADA GALVANIZADA TIPO MP 152 LENTICULAR OU SIMILAR - E = 2,70 MM, H = 2,10 M E VÃO = 3,20 M</t>
  </si>
  <si>
    <t>CHAPA MÚLTIPLA METÁLICA CORRUGADA GALVANIZADA TIPO MP 152 LENTICULAR OU SIMILAR - E = 2,70 MM, H = 2,15 M E VÃO = 3,35 M</t>
  </si>
  <si>
    <t>CHAPA MÚLTIPLA METÁLICA CORRUGADA GALVANIZADA TIPO MP 152 LENTICULAR OU SIMILAR - E = 2,70 MM, H = 2,25 M E VÃO = 3,55 M</t>
  </si>
  <si>
    <t>CHAPA MÚLTIPLA METÁLICA CORRUGADA GALVANIZADA TIPO MP 152 LENTICULAR OU SIMILAR - E = 2,70 MM, H = 2,35 M E VÃO = 3,70 M</t>
  </si>
  <si>
    <t>CHAPA MÚLTIPLA METÁLICA CORRUGADA GALVANIZADA TIPO MP 152 LENTICULAR OU SIMILAR - E = 2,70 MM, H = 2,45 M E VÃO = 3,90 M</t>
  </si>
  <si>
    <t>CHAPA MÚLTIPLA METÁLICA CORRUGADA GALVANIZADA TIPO MP 152 LENTICULAR OU SIMILAR - E = 2,70 MM, H = 2,55 M E VÃO = 4,00 M</t>
  </si>
  <si>
    <t>CHAPA MÚLTIPLA METÁLICA CORRUGADA GALVANIZADA TIPO MP 152 LENTICULAR OU SIMILAR - E = 2,70 MM, H = 2,80 M E VÃO = 4,15 M</t>
  </si>
  <si>
    <t>CHAPA MÚLTIPLA METÁLICA CORRUGADA GALVANIZADA TIPO MP 152 LENTICULAR OU SIMILAR - E = 2,70 MM, H = 2,90 M E VÃO = 4,40 M</t>
  </si>
  <si>
    <t>CHAPA MÚLTIPLA METÁLICA CORRUGADA GALVANIZADA TIPO MP 152 LENTICULAR OU SIMILAR - E = 2,70 MM, H = 3,00 M E VÃO = 4,60 M</t>
  </si>
  <si>
    <t>CHAPA MÚLTIPLA METÁLICA CORRUGADA GALVANIZADA TIPO MP 152 LENTICULAR OU SIMILAR - E = 3,40 MM, H = 3,05 M E VÃO = 4,80 M</t>
  </si>
  <si>
    <t>CHAPA MÚLTIPLA METÁLICA CORRUGADA GALVANIZADA TIPO MP 152 LENTICULAR OU SIMILAR - E = 3,40 MM, H = 3,15 M E VÃO = 5,05 M</t>
  </si>
  <si>
    <t>CHAPA MÚLTIPLA METÁLICA CORRUGADA GALVANIZADA TIPO MP 152 LENTICULAR OU SIMILAR - E = 3,40 MM, H = 3,25 M E VÃO = 5,25 M</t>
  </si>
  <si>
    <t>CHAPA MÚLTIPLA METÁLICA CORRUGADA GALVANIZADA TIPO MP 152 LENTICULAR OU SIMILAR - E = 3,90 MM, H = 3,35 M E VÃO = 5,45 M</t>
  </si>
  <si>
    <t>CHAPA MÚLTIPLA METÁLICA CORRUGADA GALVANIZADA TIPO MP 152 LENTICULAR OU SIMILAR - E = 3,90 MM, H = 3,40 M E VÃO = 5,60 M</t>
  </si>
  <si>
    <t>CHAPA MÚLTIPLA METÁLICA CORRUGADA GALVANIZADA TIPO MP 152 LENTICULAR OU SIMILAR - E = 4,70 MM, H = 3,50 M E VÃO = 5,80 M</t>
  </si>
  <si>
    <t>CHAPA MÚLTIPLA METÁLICA CORRUGADA GALVANIZADA TIPO MP 152 LENTICULAR OU SIMILAR - E = 4,70 MM, H = 3,55 M E VÃO = 5,90 M</t>
  </si>
  <si>
    <t>CHAPA MÚLTIPLA METÁLICA CORRUGADA GALVANIZADA TIPO MP 152 LENTICULAR OU SIMILAR - E = 4,70 MM, H = 3,65 M E VÃO = 6,10 M</t>
  </si>
  <si>
    <t>CHAPA MÚLTIPLA METÁLICA CORRUGADA GALVANIZADA TIPO MP 152 LENTICULAR OU SIMILAR - E = 4,70 MM, H = 3,65 M E VÃO = 6,25 M</t>
  </si>
  <si>
    <t>CHAPA MÚLTIPLA METÁLICA CORRUGADA GALVANIZADA TIPO MP 152 LENTICULAR OU SIMILAR - E = 6,40 MM, H = 3,75 M E VÃO = 6,40 M</t>
  </si>
  <si>
    <t>CHAPA MÚLTIPLA METÁLICA CORRUGADA GALVANIZADA TIPO MP 152 LENTICULAR OU SIMILAR - E = 6,40 MM, H = 3,85 M E VÃO = 6,60 M</t>
  </si>
  <si>
    <t>CHAPA MÚLTIPLA METÁLICA CORRUGADA GALVANIZADA TIPO MP 152 OU SIMILAR PARA PASSAGEM DE GADO - E = 2,70 MM, H = 2,25 M E VÃO = 2,20 M</t>
  </si>
  <si>
    <t>CHAPA MÚLTIPLA METÁLICA CORRUGADA GALVANIZADA TIPO MP 152 OU SIMILAR PARA PASSAGEM DE GADO - E = 2,70 MM, H = 3,10 M E VÃO = 2,90 M</t>
  </si>
  <si>
    <t>CHAPA MÚLTIPLA METÁLICA CORRUGADA GALVANIZADA TIPO MP 152 OU SIMILAR PARA PASSAGEM INFERIOR - E = 2,70 MM, H = 3,50 M E VÃO = 3,70 M</t>
  </si>
  <si>
    <t>CHAPA MÚLTIPLA METÁLICA CORRUGADA GALVANIZADA TIPO MP 152 OU SIMILAR PARA PASSAGEM INFERIOR - E = 2,70 MM, H = 3,60 M E VÃO = 3,90 M</t>
  </si>
  <si>
    <t>CHAPA MÚLTIPLA METÁLICA CORRUGADA GALVANIZADA TIPO MP 152 OU SIMILAR PARA PASSAGEM INFERIOR - E = 2,70 MM, H = 3,75 M E VÃO = 4,00 M</t>
  </si>
  <si>
    <t>CHAPA MÚLTIPLA METÁLICA CORRUGADA GALVANIZADA TIPO MP 152 OU SIMILAR PARA PASSAGEM INFERIOR - E = 2,70 MM, H = 3,90 M E VÃO = 4,20 M</t>
  </si>
  <si>
    <t>CHAPA MÚLTIPLA METÁLICA CORRUGADA GALVANIZADA TIPO MP 152 OU SIMILAR PARA PASSAGEM INFERIOR - E = 2,70 MM, H = 4,10 M E VÃO = 4,25 M</t>
  </si>
  <si>
    <t>CHAPA MÚLTIPLA METÁLICA CORRUGADA GALVANIZADA TIPO MP 152 OU SIMILAR PARA PASSAGEM INFERIOR - E = 2,70 MM, H = 4,25 M E VÃO = 4,40 M</t>
  </si>
  <si>
    <t>CHAPA MÚLTIPLA METÁLICA CORRUGADA GALVANIZADA TIPO MP 152 OU SIMILAR PARA PASSAGEM INFERIOR - E = 2,70 MM, H = 4,40 M E VÃO = 4,50 M</t>
  </si>
  <si>
    <t>CHAPA MÚLTIPLA METÁLICA CORRUGADA GALVANIZADA TIPO MP 152 OU SIMILAR PARA PASSAGEM INFERIOR - E = 3,40 MM, H = 4,50 M E VÃO = 4,70 M</t>
  </si>
  <si>
    <t>CHAPA MÚLTIPLA METÁLICA CORRUGADA GALVANIZADA TIPO MP 152 OU SIMILAR PARA PASSAGEM INFERIOR - E = 3,40 MM, H = 4,75 M E VÃO = 4,80 M</t>
  </si>
  <si>
    <t>CHAPA MÚLTIPLA METÁLICA CORRUGADA GALVANIZADA TIPO MP 152 OU SIMILAR PARA PASSAGEM INFERIOR - E = 3,40 MM, H = 4,85 M E VÃO = 5,00 M</t>
  </si>
  <si>
    <t>CHAPA MÚLTIPLA METÁLICA CORRUGADA GALVANIZADA TIPO MP 152 OU SIMILAR PARA PASSAGEM INFERIOR - E = 3,40 MM, H = 4,90 M E VÃO = 5,15 M</t>
  </si>
  <si>
    <t>CHAPA MÚLTIPLA METÁLICA CORRUGADA GALVANIZADA TIPO MP 152 OU SIMILAR PARA PASSAGEM INFERIOR - E = 3,40 MM, H = 5,00 M E VÃO = 5,25 M</t>
  </si>
  <si>
    <t>CHAPA MÚLTIPLA METÁLICA CORRUGADA GALVANIZADA TIPO MP 152 OU SIMILAR PARA PASSAGEM INFERIOR - E = 3,40 MM, H = 5,30 M E VÃO = 5,30 M</t>
  </si>
  <si>
    <t>CHAPA MÚLTIPLA METÁLICA CORRUGADA GALVANIZADA TIPO MP 152 OU SIMILAR PARA PASSAGEM INFERIOR - E = 3,90 MM, H = 5,25 M E VÃO = 5,65 M</t>
  </si>
  <si>
    <t>CHAPA MÚLTIPLA METÁLICA CORRUGADA GALVANIZADA TIPO MP 152 OU SIMILAR PARA PASSAGEM INFERIOR - E = 4,70 MM, H = 5,30 M E VÃO = 5,85 M</t>
  </si>
  <si>
    <t>CHAPA MÚLTIPLA METÁLICA CORRUGADA GALVANIZADA TIPO MP 152 OU SIMILAR PARA PASSAGEM INFERIOR - E = 4,70 MM, H = 5,45 M E VÃO = 6,00 M</t>
  </si>
  <si>
    <t>CHAPA MÚLTIPLA METÁLICA CORRUGADA GALVANIZADA TIPO MP 152 OU SIMILAR PARA PASSAGEM INFERIOR - E = 4,70 MM, H = 5,50 M E VÃO = 6,25 M</t>
  </si>
  <si>
    <t>CHAPA MÚLTIPLA METÁLICA CORRUGADA GALVANIZADA DE ARCO ALTO TIPO MP 152S OU SIMILAR - E = 4,70 MM, H = 2,77 M E VÃO = 6,12 M</t>
  </si>
  <si>
    <t>CHAPA MÚLTIPLA METÁLICA CORRUGADA GALVANIZADA DE ARCO ALTO TIPO MP 152S OU SIMILAR - E = 4,70 MM, H = 3,68 M E VÃO = 6,30 M</t>
  </si>
  <si>
    <t>CHAPA MÚLTIPLA METÁLICA CORRUGADA GALVANIZADA DE ARCO ALTO TIPO MP 152S OU SIMILAR - E = 4,70 MM, H = 3,56 M E VÃO = 6,55 M</t>
  </si>
  <si>
    <t>CHAPA MÚLTIPLA METÁLICA CORRUGADA GALVANIZADA DE ARCO ALTO TIPO MP 152S OU SIMILAR - E = 4,70 MM, H = 4,42 M E VÃO = 6,96 M</t>
  </si>
  <si>
    <t>CHAPA MÚLTIPLA METÁLICA CORRUGADA GALVANIZADA DE ARCO ALTO TIPO MP 152S OU SIMILAR - E = 4,70 MM, H = 3,61 M E VÃO = 6,78 M</t>
  </si>
  <si>
    <t>CHAPA MÚLTIPLA METÁLICA CORRUGADA GALVANIZADA DE ARCO ALTO TIPO MP 152S OU SIMILAR - E = 4,70 MM, H = 4,27 M E VÃO = 6,99 M</t>
  </si>
  <si>
    <t>CHAPA MÚLTIPLA METÁLICA CORRUGADA GALVANIZADA DE ARCO ALTO TIPO MP 152S OU SIMILAR - E = 4,70 MM, H = 3,63 M E VÃO = 7,01 M</t>
  </si>
  <si>
    <t>CHAPA MÚLTIPLA METÁLICA CORRUGADA GALVANIZADA DE ARCO ALTO TIPO MP 152S OU SIMILAR - E = 4,70 MM, H = 4,52 M E VÃO = 7,42 M</t>
  </si>
  <si>
    <t>CHAPA MÚLTIPLA METÁLICA CORRUGADA GALVANIZADA DE ARCO ALTO TIPO MP 152S OU SIMILAR - E = 4,70 MM, H = 3,68 M E VÃO = 7,24 M</t>
  </si>
  <si>
    <t>CHAPA MÚLTIPLA METÁLICA CORRUGADA GALVANIZADA DE ARCO ALTO TIPO MP 152S OU SIMILAR - E = 4,70 MM, H = 4,19 M E VÃO = 7,47 M</t>
  </si>
  <si>
    <t>CHAPA MÚLTIPLA METÁLICA CORRUGADA GALVANIZADA DE ARCO ALTO TIPO MP 152S OU SIMILAR - E = 4,70 MM, H = 4,60 M E VÃO = 7,85 M</t>
  </si>
  <si>
    <t>CHAPA MÚLTIPLA METÁLICA CORRUGADA GALVANIZADA DE ARCO ALTO TIPO MP 152S OU SIMILAR - E = 4,70 MM, H = 3,99 M E VÃO = 7,67 M</t>
  </si>
  <si>
    <t>CHAPA MÚLTIPLA METÁLICA CORRUGADA GALVANIZADA DE ARCO ALTO TIPO MP 152S OU SIMILAR - E = 4,70 MM, H = 4,65 M E VÃO = 8,08 M</t>
  </si>
  <si>
    <t>CHAPA MÚLTIPLA METÁLICA CORRUGADA GALVANIZADA DE ARCO ALTO TIPO MP 152S OU SIMILAR - E = 4,70 MM, H = 4,04 M E VÃO = 7,90 M</t>
  </si>
  <si>
    <t>CHAPA MÚLTIPLA METÁLICA CORRUGADA GALVANIZADA DE ARCO ALTO TIPO MP 152S OU SIMILAR - E = 4,70 MM, H = 4,70 M E VÃO = 8,31 M</t>
  </si>
  <si>
    <t>CHAPA MÚLTIPLA METÁLICA CORRUGADA GALVANIZADA DE ARCO ALTO TIPO MP 152S OU SIMILAR - E = 4,70 MM, H = 4,11 M E VÃO = 8,36 M</t>
  </si>
  <si>
    <t>CHAPA MÚLTIPLA METÁLICA CORRUGADA GALVANIZADA DE ARCO ALTO TIPO MP 152S OU SIMILAR - E = 4,70 MM, H = 5,00 M E VÃO = 8,97 M</t>
  </si>
  <si>
    <t>CHAPA MÚLTIPLA METÁLICA CORRUGADA GALVANIZADA DE ARCO ALTO TIPO MP 152S OU SIMILAR - E = 4,70 MM, H = 4,39 M E VÃO = 8,59 M</t>
  </si>
  <si>
    <t>CHAPA MÚLTIPLA METÁLICA CORRUGADA GALVANIZADA DE ARCO ALTO TIPO MP 152S OU SIMILAR - E = 4,70 MM, H = 5,49 M E VÃO = 9,17 M</t>
  </si>
  <si>
    <t>CHAPA MÚLTIPLA METÁLICA CORRUGADA GALVANIZADA DE ARCO ALTO TIPO MP 152S OU SIMILAR - E = 4,70 MM, H = 4,70 M E VÃO = 9,22 M</t>
  </si>
  <si>
    <t>CHAPA MÚLTIPLA METÁLICA CORRUGADA GALVANIZADA DE ARCO ALTO TIPO MP 152S OU SIMILAR - E = 4,70 MM, H = 5,59 M E VÃO = 9,63 M</t>
  </si>
  <si>
    <t>CHAPA MÚLTIPLA METÁLICA CORRUGADA GALVANIZADA DE ARCO ALTO TIPO MP 152S OU SIMILAR - E = 4,70 MM, H = 4,75 M E VÃO = 9,45 M</t>
  </si>
  <si>
    <t>CHAPA MÚLTIPLA METÁLICA CORRUGADA GALVANIZADA DE ARCO ALTO TIPO MP 152S OU SIMILAR - E = 4,70 MM, H = 5,41 M E VÃO = 9,65 M</t>
  </si>
  <si>
    <t>CHAPA MÚLTIPLA METÁLICA CORRUGADA GALVANIZADA DE ARCO ALTO TIPO MP 152S OU SIMILAR - E = 4,70 MM, H = 6,07 M E VÃO = 9,86 M</t>
  </si>
  <si>
    <t>CHAPA MÚLTIPLA METÁLICA CORRUGADA GALVANIZADA DE ARCO ALTO TIPO MP 152S OU SIMILAR - E = 4,70 MM, H = 5,23 M E VÃO = 9,68 M</t>
  </si>
  <si>
    <t>CHAPA MÚLTIPLA METÁLICA CORRUGADA GALVANIZADA DE ARCO ALTO TIPO MP 152S OU SIMILAR - E = 4,70 MM, H = 6,12 M E VÃO = 10,08 M</t>
  </si>
  <si>
    <t>CHAPA MÚLTIPLA METÁLICA CORRUGADA GALVANIZADA DE ARCO ALTO TIPO MP 152S OU SIMILAR - E = 4,70 MM, H = 5,28 M E VÃO = 9,91 M</t>
  </si>
  <si>
    <t>CHAPA MÚLTIPLA METÁLICA CORRUGADA GALVANIZADA DE ARCO ALTO TIPO MP 152S OU SIMILAR - E = 4,70 MM, H = 6,17 M E VÃO = 10,31 M</t>
  </si>
  <si>
    <t>CHAPA MÚLTIPLA METÁLICA CORRUGADA GALVANIZADA DE ARCO ALTO TIPO MP 152S OU SIMILAR - E = 4,70 MM, H = 5,38 M E VÃO = 10,36 M</t>
  </si>
  <si>
    <t>CHAPA MÚLTIPLA METÁLICA CORRUGADA GALVANIZADA DE ARCO ALTO TIPO MP 152S OU SIMILAR - E = 4,70 MM, H = 6,05 M E VÃO = 10,54 M</t>
  </si>
  <si>
    <t>CHAPA MÚLTIPLA METÁLICA CORRUGADA GALVANIZADA DE ARCO ALTO TIPO MP 152S OU SIMILAR - E = 4,70 MM, H = 6,48 M E VÃO = 10,74 M</t>
  </si>
  <si>
    <t>CHAPA MÚLTIPLA METÁLICA CORRUGADA GALVANIZADA DE ARCO ALTO TIPO MP 152S OU SIMILAR - E = 4,70 MM, H = 7,12 M E VÃO = 11,35 M</t>
  </si>
  <si>
    <t>CHAPA MÚLTIPLA METÁLICA CORRUGADA GALVANIZADA DE ARCO ALTO TIPO MP 152S OU SIMILAR - E = 6,40 MM, H = 5,41 M E VÃO = 10,57 M</t>
  </si>
  <si>
    <t>CHAPA MÚLTIPLA METÁLICA CORRUGADA GALVANIZADA DE ARCO ALTO TIPO MP 152S OU SIMILAR - E = 6,40 MM, H = 6,10 M E VÃO = 10,77 M</t>
  </si>
  <si>
    <t>CHAPA MÚLTIPLA METÁLICA CORRUGADA GALVANIZADA DE ARCO ALTO TIPO MP 152S OU SIMILAR - E = 6,40 MM, H = 6,53 M E VÃO = 10,97 M</t>
  </si>
  <si>
    <t>CHAPA MÚLTIPLA METÁLICA CORRUGADA GALVANIZADA DE ARCO ALTO TIPO MP 152S OU SIMILAR - E = 6,40 MM, H = 7,16 M E VÃO = 11,58 M</t>
  </si>
  <si>
    <t>CHAPA MÚLTIPLA METÁLICA CORRUGADA GALVANIZADA TIPO MP 152S OVOIDE OU SIMILAR - E = 4,70 MM, H = 7,82 M E VÃO = 7,21 M</t>
  </si>
  <si>
    <t>CHAPA MÚLTIPLA METÁLICA CORRUGADA GALVANIZADA TIPO MP 152S OVOIDE OU SIMILAR - E = 4,70 MM, H = 7,87 M E VÃO = 7,31 M</t>
  </si>
  <si>
    <t>CHAPA MÚLTIPLA METÁLICA CORRUGADA GALVANIZADA TIPO MP 152S OVOIDE OU SIMILAR - E = 4,70 MM, H = 7,90 M E VÃO = 7,77 M</t>
  </si>
  <si>
    <t>CHAPA MÚLTIPLA METÁLICA CORRUGADA GALVANIZADA TIPO MP 152S OVOIDE OU SIMILAR - E = 4,70 MM, H = 8,44 M E VÃO = 7,57 M</t>
  </si>
  <si>
    <t>CHAPA MÚLTIPLA METÁLICA CORRUGADA GALVANIZADA TIPO MP 152S OVOIDE OU SIMILAR - E = 4,70 MM, H = 8,23 M E VÃO = 8,36 M</t>
  </si>
  <si>
    <t>CHAPA MÚLTIPLA METÁLICA CORRUGADA GALVANIZADA TIPO MP 152S OVOIDE OU SIMILAR - E = 4,70 MM, H = 8,01 M E VÃO = 8,13 M</t>
  </si>
  <si>
    <t>CHAPA MÚLTIPLA METÁLICA CORRUGADA GALVANIZADA TIPO MP 152S OVOIDE OU SIMILAR - E = 4,70 MM, H = 8,48 M E VÃO = 8,56 M</t>
  </si>
  <si>
    <t>CHAPA MÚLTIPLA METÁLICA CORRUGADA GALVANIZADA TIPO MP 152S OVOIDE OU SIMILAR - E = 4,70 MM, H = 9,32 M E VÃO = 8,71 M</t>
  </si>
  <si>
    <t>CHAPA MÚLTIPLA METÁLICA CORRUGADA GALVANIZADA TIPO MP 152S OVOIDE OU SIMILAR - E = 4,70 MM, H = 9,04 M E VÃO = 9,15 M</t>
  </si>
  <si>
    <t>CHAPA MÚLTIPLA METÁLICA CORRUGADA GALVANIZADA TIPO MP 152S OVOIDE OU SIMILAR - E = 4,70 MM, H = 9,50 M E VÃO = 9,15 M</t>
  </si>
  <si>
    <t>TERMINAL ABSORVEDOR DE ENERGIA DE ABERTURA COM NÍVEL DE CONTENÇÃO TL3 PARA DEFENSA METÁLICA</t>
  </si>
  <si>
    <t>TERMINAL ABSORVEDOR DE ENERGIA DE NÃO ABERTURA COM NÍVEL DE CONTENÇÃO TL3 PARA DEFENSA METÁLICA</t>
  </si>
  <si>
    <t>CHUMBADOR EM AÇO CA 25</t>
  </si>
  <si>
    <t>ARAME LISO EM AÇO GALVANIZADO - D = 1,24 MM (18 BWG)</t>
  </si>
  <si>
    <t>PORCA SEXTAVADA EM AÇO PARA ANCORAGEM DE TIRANTES - 20 MM ≤ D ≤ 40 MM</t>
  </si>
  <si>
    <t>TELA DE POLIAMIDA - MALHA DE 60 FIOS/CM</t>
  </si>
  <si>
    <t>TIRANTE DE BARRA DE AÇO - TENSÃO DE ESCOAMENTO = 500 MPA, TENSÃO DE RUPTURA = 550 MPA E D = 32 MM</t>
  </si>
  <si>
    <t>VÁLVULA MANCHETE - D = 20 MM</t>
  </si>
  <si>
    <t>BARRA CHATA EM AÇO GALVANIZADO</t>
  </si>
  <si>
    <t>LUVA PARA BAINHA METÁLICA - D = 30 MM</t>
  </si>
  <si>
    <t>LUVA PARA BAINHA METÁLICA - D = 35 MM</t>
  </si>
  <si>
    <t>LUVA PARA BAINHA METÁLICA - D = 40 MM</t>
  </si>
  <si>
    <t>LUVA PARA BAINHA METÁLICA - D = 45 MM</t>
  </si>
  <si>
    <t>LUVA PARA BAINHA METÁLICA - D = 50 MM</t>
  </si>
  <si>
    <t>LUVA PARA BAINHA METÁLICA - D = 55 MM</t>
  </si>
  <si>
    <t>LUVA PARA BAINHA METÁLICA - D = 60 MM</t>
  </si>
  <si>
    <t>LUVA PARA BAINHA METÁLICA - D = 65 MM</t>
  </si>
  <si>
    <t>LUVA PARA BAINHA METÁLICA - D = 70 MM</t>
  </si>
  <si>
    <t>LUVA PARA BAINHA METÁLICA - D = 75 MM</t>
  </si>
  <si>
    <t>LUVA PARA BAINHA METÁLICA - D = 80 MM</t>
  </si>
  <si>
    <t>LUVA PARA BAINHA METÁLICA - D = 85 MM</t>
  </si>
  <si>
    <t>LUVA PARA BAINHA METÁLICA - D = 90 MM</t>
  </si>
  <si>
    <t>LUVA PARA BAINHA METÁLICA - D = 95 MM</t>
  </si>
  <si>
    <t>LUVA PARA BAINHA METÁLICA - D = 100 MM</t>
  </si>
  <si>
    <t>LUVA PARA BAINHA METÁLICA - D = 110 MM</t>
  </si>
  <si>
    <t>LUVA PARA BAINHA METÁLICA - D = 120 MM</t>
  </si>
  <si>
    <t>LUVA PARA BAINHA METÁLICA - D = 130 MM</t>
  </si>
  <si>
    <t>LUVA PARA BAINHA METÁLICA OVALIZADA DE 19 X 36 MM</t>
  </si>
  <si>
    <t>LUVA PARA BAINHA METÁLICA OVALIZADA DE 19 X 48 MM</t>
  </si>
  <si>
    <t>LUVA PARA BAINHA METÁLICA OVALIZADA DE 19 X 62 MM</t>
  </si>
  <si>
    <t>LUVA PARA BAINHA METÁLICA OVALIZADA DE 22 X 32 MM</t>
  </si>
  <si>
    <t>LUVA PARA BAINHA METÁLICA OVALIZADA DE 22 X 55 MM</t>
  </si>
  <si>
    <t>LUVA PARA BAINHA METÁLICA OVALIZADA DE 22 X 73 MM</t>
  </si>
  <si>
    <t>TINTA EM PÓ À BASE DE RESINA POLIÉSTER</t>
  </si>
  <si>
    <t>APOIO DE NEOPRENE NÃO FRETADO - C = 100 MM, L = 100 MM E E = 20 MM</t>
  </si>
  <si>
    <t>PORCA SEXTAVADA EM AÇO GALVANIZADO PARA PARAFUSO - D = 9,525 MM (3/8")</t>
  </si>
  <si>
    <t>PORCA SEXTAVADA EM AÇO GALVANIZADO PARA PARAFUSO - D = 12 MM (M12)</t>
  </si>
  <si>
    <t>PARAFUSO DE CABEÇA SEXTAVADA EM AÇO GALVANIZADO, CLASSE 8.8 - D = 12 MM (M12) E C = 30 MM</t>
  </si>
  <si>
    <t>LIGAÇÃO TIPO BARRA CHATA EM AÇO GALVANIZADO PARA CONTENÇÃO - L = 45 MM E E = 4 MM</t>
  </si>
  <si>
    <t>FITA METÁLICA SAE 1010/1020 PARA SOLO REFORÇADO - L = 50 MM E E = 4 MM</t>
  </si>
  <si>
    <t>MATERIAL PARA ATERRO REFORÇADO COM FITAS METÁLICAS</t>
  </si>
  <si>
    <t>TUBO PEAD PE 100 PN 5 PARA ESTAIS - D = 140 MM</t>
  </si>
  <si>
    <t>TUBO PEAD PE 100 PN 5 PARA ESTAIS - D = 160 MM</t>
  </si>
  <si>
    <t>TUBO PEAD PE 100 PN 5 PARA ESTAIS - D = 180 MM</t>
  </si>
  <si>
    <t>TUBO PEAD PE 100 PN 5 PARA ESTAIS - D = 200 MM</t>
  </si>
  <si>
    <t>TUBO PEAD PE 100 PN 5 PARA ESTAIS - D = 225 MM</t>
  </si>
  <si>
    <t>TUBO PEAD PE 100 PN 5 PARA ESTAIS - D = 250 MM</t>
  </si>
  <si>
    <t>TUBO PEAD PE 100 PN 5 PARA ESTAIS - D = 280 MM</t>
  </si>
  <si>
    <t>TUBO PEAD PE 100 PN 5 PARA ESTAIS - D = 315 MM</t>
  </si>
  <si>
    <t>TUBO ANTIVANDALISMO EM AÇO GALVANIZADO PARA ESTAIS DE 12 CORDOALHAS - D = 15,7 MM</t>
  </si>
  <si>
    <t>TUBO ANTIVANDALISMO EM AÇO GALVANIZADO PARA ESTAIS DE 19 CORDOALHAS - D = 15,7 MM</t>
  </si>
  <si>
    <t>TUBO ANTIVANDALISMO EM AÇO GALVANIZADO PARA ESTAIS DE 22 CORDOALHAS - D = 15,7 MM</t>
  </si>
  <si>
    <t>TUBO ANTIVANDALISMO EM AÇO GALVANIZADO PARA ESTAIS DE 31 CORDOALHAS - D = 15,7 MM</t>
  </si>
  <si>
    <t>TUBO ANTIVANDALISMO EM AÇO GALVANIZADO PARA ESTAIS DE 37 CORDOALHAS - D = 15,7 MM</t>
  </si>
  <si>
    <t>TUBO ANTIVANDALISMO EM AÇO GALVANIZADO PARA ESTAIS DE 43 CORDOALHAS - D = 15,7 MM</t>
  </si>
  <si>
    <t>TUBO ANTIVANDALISMO EM AÇO GALVANIZADO PARA ESTAIS DE 55 CORDOALHAS - D = 15,7 MM</t>
  </si>
  <si>
    <t>TUBO ANTIVANDALISMO EM AÇO GALVANIZADO PARA ESTAIS DE 61 CORDOALHAS - D = 15,7 MM</t>
  </si>
  <si>
    <t>TUBO ANTIVANDALISMO EM AÇO GALVANIZADO PARA ESTAIS DE 73 CORDOALHAS - D = 15,7 MM</t>
  </si>
  <si>
    <t>TUBO ANTIVANDALISMO EM AÇO GALVANIZADO PARA ESTAIS DE 85 CORDOALHAS - D = 15,7 MM</t>
  </si>
  <si>
    <t>TUBO ANTIVANDALISMO EM AÇO GALVANIZADO PARA ESTAIS DE 91 CORDOALHAS - D = 15,7 MM</t>
  </si>
  <si>
    <t>TUBO FÔRMA LADO FIXO EM AÇO GALVANIZADO PARA ESTAIS DE 12 CORDOALHAS - D = 15,7 MM</t>
  </si>
  <si>
    <t>TUBO FÔRMA LADO FIXO EM AÇO GALVANIZADO PARA ESTAIS DE 19 CORDOALHAS - D = 15,7 MM</t>
  </si>
  <si>
    <t>TUBO FÔRMA LADO FIXO EM AÇO GALVANIZADO PARA ESTAIS DE 22 CORDOALHAS - D = 15,7 MM</t>
  </si>
  <si>
    <t>TUBO FÔRMA LADO FIXO EM AÇO GALVANIZADO PARA ESTAIS DE 31 CORDOALHAS - D = 15,7 MM</t>
  </si>
  <si>
    <t>TUBO FÔRMA LADO FIXO EM AÇO GALVANIZADO PARA ESTAIS DE 37 CORDOALHAS - D = 15,7 MM</t>
  </si>
  <si>
    <t>TUBO FÔRMA LADO FIXO EM AÇO GALVANIZADO PARA ESTAIS DE 43 CORDOALHAS - D = 15,7 MM</t>
  </si>
  <si>
    <t>TUBO FÔRMA LADO FIXO EM AÇO GALVANIZADO PARA ESTAIS DE 55 CORDOALHAS - D = 15,7 MM</t>
  </si>
  <si>
    <t>TUBO FÔRMA LADO FIXO EM AÇO GALVANIZADO PARA ESTAIS DE 61 CORDOALHAS - D = 15,7 MM</t>
  </si>
  <si>
    <t>TUBO FÔRMA LADO FIXO EM AÇO GALVANIZADO PARA ESTAIS DE 73 CORDOALHAS - D = 15,7 MM</t>
  </si>
  <si>
    <t>TUBO FÔRMA LADO FIXO EM AÇO GALVANIZADO PARA ESTAIS DE 85 CORDOALHAS - D = 15,7 MM</t>
  </si>
  <si>
    <t>TUBO FÔRMA LADO FIXO EM AÇO GALVANIZADO PARA ESTAIS DE 91 CORDOALHAS - D = 15,7 MM</t>
  </si>
  <si>
    <t>TUBO FÔRMA LADO REGULÁVEL EM AÇO GALVANIZADO PARA ESTAIS DE 12 CORDOALHAS - D = 15,7 MM</t>
  </si>
  <si>
    <t>TUBO FÔRMA LADO REGULÁVEL EM AÇO GALVANIZADO PARA ESTAIS DE 19 CORDOALHAS - D = 15,7 MM</t>
  </si>
  <si>
    <t>TUBO FÔRMA LADO REGULÁVEL EM AÇO GALVANIZADO PARA ESTAIS DE 22 CORDOALHAS - D = 15,7 MM</t>
  </si>
  <si>
    <t>TUBO FÔRMA LADO REGULÁVEL EM AÇO GALVANIZADO PARA ESTAIS DE 31 CORDOALHAS - D = 15,7 MM</t>
  </si>
  <si>
    <t>TUBO FÔRMA LADO REGULÁVEL EM AÇO GALVANIZADO PARA ESTAIS DE 37 CORDOALHAS - D = 15,7 MM</t>
  </si>
  <si>
    <t>TUBO FÔRMA LADO REGULÁVEL EM AÇO GALVANIZADO PARA ESTAIS DE 43 CORDOALHAS - D = 15,7 MM</t>
  </si>
  <si>
    <t>TUBO FÔRMA LADO REGULÁVEL EM AÇO GALVANIZADO PARA ESTAIS DE 55 CORDOALHAS - D = 15,7 MM</t>
  </si>
  <si>
    <t>TUBO FÔRMA LADO REGULÁVEL EM AÇO GALVANIZADO PARA ESTAIS DE 61 CORDOALHAS - D = 15,7 MM</t>
  </si>
  <si>
    <t>TUBO FÔRMA LADO REGULÁVEL EM AÇO GALVANIZADO PARA ESTAIS DE 73 CORDOALHAS - D = 15,7 MM</t>
  </si>
  <si>
    <t>TUBO FÔRMA LADO REGULÁVEL EM AÇO GALVANIZADO PARA ESTAIS DE 85 CORDOALHAS - D = 15,7 MM</t>
  </si>
  <si>
    <t>TUBO FÔRMA LADO REGULÁVEL EM AÇO GALVANIZADO PARA ESTAIS DE 91 CORDOALHAS - D = 15,7 MM</t>
  </si>
  <si>
    <t>COROA DE BOTÕES ESFÉRICOS - RING BIT - D = 104 MM (4 3/32")</t>
  </si>
  <si>
    <t>PELÍCULA RETRORREFLETIVA TIPO III + SI (SINAL IMPRESSO COM PELÍCULA DE SOBREPOSIÇÃO TIPO V)</t>
  </si>
  <si>
    <t>TUBO DE REVESTIMENTO EM AÇO-CARBONO SCHEDULE 40 - DN = 101,6 MM (4")</t>
  </si>
  <si>
    <t>CIMENTO ASFÁLTICO DE PETRÓLEO COM BORRACHA - CAP 50/70 COM 15% DE BORRACHA DE PNEU</t>
  </si>
  <si>
    <t>PELÍCULA RETRORREFLETIVA TIPO I + SI (SINAL IMPRESSO COM PELÍCULA DE SOBREPOSIÇÃO TIPO V)</t>
  </si>
  <si>
    <t>CHAPA DE POLIÉSTER REFORÇADA COM FIBRA DE VIDRO - E = 2,0 MM</t>
  </si>
  <si>
    <t>CHAPA DE ALUMÍNIO COMPOSTO (ACM) - E = 3,0 MM</t>
  </si>
  <si>
    <t>PELÍCULA RETRORREFLETIVA TIPO X + SI (SINAL IMPRESSO COM PELÍCULA DE SOBREPOSIÇÃO TIPO V)</t>
  </si>
  <si>
    <t>FITA ADESIVA ESTRUTURAL DUPLA-FACE - E = 2 MM E L = 25 MM</t>
  </si>
  <si>
    <t>PELÍCULA RETRORREFLETIVA TIPO I</t>
  </si>
  <si>
    <t>PELÍCULA RETRORREFLETIVA TIPO III + SI</t>
  </si>
  <si>
    <t>PELÍCULA RETRORREFLETIVA TIPO III</t>
  </si>
  <si>
    <t>PELÍCULA NÃO RETRORREFLETIVA TIPO IV</t>
  </si>
  <si>
    <t>PELÍCULA RETRORREFLETIVA TIPO X</t>
  </si>
  <si>
    <t>DUTO FLEXÍVEL DE VENTILAÇÃO DE POLIÉSTER ALUMINIZADO SEM ISOLAMENTO - D = 200 MM</t>
  </si>
  <si>
    <t>CABO DE COBRE FLEXÍVEL ANTICHAMA ISOLADO EM HEPR - TENSÃO DE 0,6/1,0 KV E SEÇÃO DE 2 X 6 MM²</t>
  </si>
  <si>
    <t>CABO DE COBRE FLEXÍVEL ANTICHAMA ISOLADO EM HEPR - TENSÃO DE 0,6/1,0 KV E SEÇÃO DE 4 X 6 MM²</t>
  </si>
  <si>
    <t>TINTA PLÁSTICA À BASE DE RESINA METACRÍLICA APLICADA A FRIO POR ASPERSÃO (SPRAY)</t>
  </si>
  <si>
    <t>ANCORAGEM FIXA PARA ESTAIS DE 12 CORDOALHAS - D = 15,7 MM</t>
  </si>
  <si>
    <t>ANCORAGEM FIXA PARA ESTAIS DE 22 CORDOALHAS - D = 15,7 MM</t>
  </si>
  <si>
    <t>ANCORAGEM FIXA PARA ESTAIS DE 43 CORDOALHAS - D = 15,7 MM</t>
  </si>
  <si>
    <t>ANCORAGEM FIXA PARA ESTAIS DE 85 CORDOALHAS - D = 15,7 MM</t>
  </si>
  <si>
    <t>ANCORAGEM REGULÁVEL PARA ESTAIS DE 12 CORDOALHAS - D = 15,7 MM</t>
  </si>
  <si>
    <t>ANCORAGEM REGULÁVEL PARA ESTAIS DE 22 CORDOALHAS - D = 15,7 MM</t>
  </si>
  <si>
    <t>ANCORAGEM REGULÁVEL PARA ESTAIS DE 43 CORDOALHAS - D = 15,7 MM</t>
  </si>
  <si>
    <t>ANCORAGEM REGULÁVEL PARA ESTAIS DE 85 CORDOALHAS - D = 15,7 MM</t>
  </si>
  <si>
    <t>TUBO PEAD PE 100 PN 5 PARA ESTAIS - D = 110 MM</t>
  </si>
  <si>
    <t>ARRUELA LISA EM AÇO ZINCADO BRANCO PARA PARAFUSO - D = 9,525 MM (3/8")</t>
  </si>
  <si>
    <t>VIGA DE MADEIRA - E = 5 CM E L = 11 CM</t>
  </si>
  <si>
    <t>PURGADOR PLÁSTICO</t>
  </si>
  <si>
    <t>CHUMBADOR DE EXPANSÃO CONTROLADA POR TORQUE EM AÇO ZINCADO PARA CONCRETO - D = 8,0 MM</t>
  </si>
  <si>
    <t>CORRENTE DE ELO SOLDADO EM AÇO SAE 1010/1020 COM ACABAMENTO POLIDO - E = 25,00 MM (1")</t>
  </si>
  <si>
    <t>CORRENTE DE ELO SOLDADO EM AÇO SAE 1010/1020 COM ACABAMENTO POLIDO - E = 12,50 MM (1/2")</t>
  </si>
  <si>
    <t>CORRENTE DE ELO SOLDADO EM AÇO SAE 1010/1020 COM ACABAMENTO POLIDO - E = 19,00 MM (3/4")</t>
  </si>
  <si>
    <t>LANTERNA DE SINALIZAÇÃO NÁUTICA COM ACESSÓRIOS DE FIXAÇÃO - ALCANCE 2 MN</t>
  </si>
  <si>
    <t>LANTERNA DE SINALIZAÇÃO NÁUTICA COM ACESSÓRIOS DE FIXAÇÃO - ALCANCE 3 MN</t>
  </si>
  <si>
    <t>LANTERNA DE SINALIZAÇÃO NÁUTICA COM ACESSÓRIOS DE FIXAÇÃO - ALCANCE 4 MN</t>
  </si>
  <si>
    <t>LANTERNA DE SINALIZAÇÃO NÁUTICA COM ACESSÓRIOS DE FIXAÇÃO - ALCANCE 6 MN</t>
  </si>
  <si>
    <t>LANTERNA DE SINALIZAÇÃO NÁUTICA COM ACESSÓRIOS DE FIXAÇÃO - ALCANCE 8 MN</t>
  </si>
  <si>
    <t>MANILHA ÂNCORA EM AÇO FORJADO COM PORCA E CUPILHA - DN = 16,0 MM (5/8")</t>
  </si>
  <si>
    <t>MANILHA RETA EM AÇO FORJADO COM PORCA E CUPILHA - DN = 38,1 MM (1 1/2")</t>
  </si>
  <si>
    <t>MANILHA RETA EM AÇO FORJADO COM PORCA E CUPILHA - DN = 25,4 MM (1")</t>
  </si>
  <si>
    <t>SUPORTE POLIMÉRICO ECOLÓGICO MACIÇO COLAPSÍVEL PARA PLACA DE SINALIZAÇÃO - SEÇÃO DE 10 X 10 CM</t>
  </si>
  <si>
    <t>PLACA DE ANCORAGEM PARA TIRANTE DE BARRA DE AÇO - E = 12,7 MM E SEÇÃO DE 160 X 160 MM</t>
  </si>
  <si>
    <t>MATERIAL DEMOLIDO - CONCRETO SIMPLES</t>
  </si>
  <si>
    <t>MATERIAL DEMOLIDO - MADEIRA</t>
  </si>
  <si>
    <t>REVESTIMENTO ASFÁLTICO</t>
  </si>
  <si>
    <t>CAMADA GRANULAR (BASE OU SUB-BASE)</t>
  </si>
  <si>
    <t>MATERIAL DEMOLIDO - REMENDO PROFUNDO</t>
  </si>
  <si>
    <t>MATERIAL DEMOLIDO - ALVENARIA</t>
  </si>
  <si>
    <t>ACESSÓRIOS E MATERIAIS METÁLICOS</t>
  </si>
  <si>
    <t>MATERIAL DEMOLIDO - CONCRETO ARMADO</t>
  </si>
  <si>
    <t>MATERIAL DE 3ª CATEGORIA</t>
  </si>
  <si>
    <t>SOLO</t>
  </si>
  <si>
    <t>GRÃOS, AGREGADOS E SOLOS DERRAMADOS NA PISTA</t>
  </si>
  <si>
    <t>VEÍCULOS DE PEQUENO PORTE INCENDIADOS EM RODOVIA</t>
  </si>
  <si>
    <t>TINTA À BASE DE RESINA EPÓXI BICOMPONENTE</t>
  </si>
  <si>
    <t>TINTA À BASE DE RESINA EPÓXI POLIAMIDA BICOMPONENTE PARA FUNDO PREPARADOR DE PINTURA</t>
  </si>
  <si>
    <t>TINTA ANTICORROSIVA À BASE DE RESINA EPÓXI POLIAMIDA BICOMPONENTE</t>
  </si>
  <si>
    <t>GUINCHO MANUAL COM CAPACIDADE DE TRAÇÃO DE 100 KN COM CABO DE AÇO</t>
  </si>
  <si>
    <t>GUINCHO MANUAL COM CAPACIDADE DE TRAÇÃO DE 200 KN COM CABO DE AÇO</t>
  </si>
  <si>
    <t>PNEU REAPROVEITADO</t>
  </si>
  <si>
    <t>SAPATILHA EM AÇO INOX - D = 13 MM (1/2")</t>
  </si>
  <si>
    <t>MOLINETE MANUAL COM CAPACIDADE DE TRAÇÃO DE 70 KN</t>
  </si>
  <si>
    <t>ÂNODO DE SACRIFÍCIO EM LIGA DE ZINCO - PESO = 20 KG</t>
  </si>
  <si>
    <t>CABO DE AÇO - D = 42,00 MM (1 5/8")</t>
  </si>
  <si>
    <t>TERMINAL SOQUETE FECHADO EM AÇO GALVANIZADO COMPATÍVEL COM CABO DE AÇO DE D = 42 MM</t>
  </si>
  <si>
    <t>MANILHA RETA EM AÇO FORJADO COM PORCA E CUPILHA - D = 57,2 MM (2 1/4")</t>
  </si>
  <si>
    <t>TUBO MECÂNICO EM AÇO-CARBONO</t>
  </si>
  <si>
    <t>MATERIAL COMBUSTÍVEL REMOVIDO</t>
  </si>
  <si>
    <t>BLOCOS DE ROCHA OU MATACÕES</t>
  </si>
  <si>
    <t>MATERIAL ASFÁLTICO REMOVIDO</t>
  </si>
  <si>
    <t>ESTRUTURA DE PÓRTICO METÁLICO REMOVIDA</t>
  </si>
  <si>
    <t>ESTRUTURA DE SEMIPÓRTICO DUPLO METÁLICO REMOVIDA</t>
  </si>
  <si>
    <t>ESTRUTURA DE SEMIPÓRTICO METÁLICO REMOVIDA</t>
  </si>
  <si>
    <t>MANGUEIRA PARA HIDROJATEAMENTO COM PRESSÃO DE TRABALHO DE ATÉ 17,5 MPA (2.538 PSI) - D = 25 MM (1")</t>
  </si>
  <si>
    <t>MANGUEIRA PARA SISTEMA DE SUCÇÃO A VÁCUO COM VAZÃO DE ENTRADA DE ATÉ 3,6 M³/H (60 L/MIN) - D = 72,5 MM (3")</t>
  </si>
  <si>
    <t>DETRITOS REMOVIDOS DE BUEIROS</t>
  </si>
  <si>
    <t>MATERIAL TRITURADO - GALHOS E TRONCOS</t>
  </si>
  <si>
    <t>CANAL MONOBLOCO COM CORPO E GRELHA EM CONCRETO POLÍMERO COM EFEITO AUTOLIMPANTE - CARGA DE CONTROLE DE 400 KN - C = 100,0 CM, L = 15,0 CM E H = 23,0 CM</t>
  </si>
  <si>
    <t>CANAL MONOBLOCO COM CORPO E GRELHA EM CONCRETO POLÍMERO COM EFEITO AUTOLIMPANTE - CARGA DE CONTROLE DE 400 KN - C = 100,0 CM, L = 25,0 CM E H = 32,0 CM</t>
  </si>
  <si>
    <t>CANAL MONOBLOCO COM CORPO E GRELHA EM CONCRETO POLÍMERO COM EFEITO AUTOLIMPANTE - CARGA DE CONTROLE DE 900 KN - C = 100,0 CM, L = 16,0 CM E H = 26,5 CM</t>
  </si>
  <si>
    <t>CANAL MONOBLOCO COM CORPO E GRELHA EM CONCRETO POLÍMERO COM EFEITO AUTOLIMPANTE - CARGA DE CONTROLE DE 900 KN - C = 100,0 CM, L = 21,0 CM E H = 28,0 CM</t>
  </si>
  <si>
    <t>CANAL MONOBLOCO COM CORPO E GRELHA EM CONCRETO POLÍMERO COM EFEITO AUTOLIMPANTE - CARGA DE CONTROLE DE 900 KN - C = 100,0 CM, L = 21,0 CM E H = 38,0 CM</t>
  </si>
  <si>
    <t>CANAL MONOBLOCO COM CORPO E GRELHA EM CONCRETO POLÍMERO COM EFEITO AUTOLIMPANTE - CARGA DE CONTROLE DE 900 KN - C = 100,0 CM, L = 21,0 CM E H = 48,0 CM</t>
  </si>
  <si>
    <t>CANAL MONOBLOCO COM CORPO E GRELHA EM CONCRETO POLÍMERO COM EFEITO AUTOLIMPANTE - CARGA DE CONTROLE DE 900 KN - C = 100,0 CM, L = 26,0 CM E H = 33,0 CM</t>
  </si>
  <si>
    <t>CANAL MONOBLOCO COM CORPO E GRELHA EM CONCRETO POLÍMERO COM EFEITO AUTOLIMPANTE - CARGA DE CONTROLE DE 900 KN - C = 100,0 CM, L = 26,0 CM E H = 53,0 CM</t>
  </si>
  <si>
    <t>CANAL MONOBLOCO COM CORPO E GRELHA EM CONCRETO POLÍMERO COM EFEITO AUTOLIMPANTE - CARGA DE CONTROLE DE 900 KN - C = 200,0 CM, L = 40,0 CM E H = 59,5 CM</t>
  </si>
  <si>
    <t>CANAL EM POLIETILENO E POLIPROPILENO COM EFEITO AUTOLIMPANTE E GRELHA DE ENCAIXE EM POLIAMIDA REFORÇADA - CARGA DE CONTROLE DE 250 KN - C = 100,0 CM, L = 16,0 CM E H = 12,2 CM</t>
  </si>
  <si>
    <t>CANAL EM POLIETILENO E POLIPROPILENO COM EFEITO AUTOLIMPANTE E GRELHA DE ENCAIXE EM POLIAMIDA REFORÇADA - CARGA DE CONTROLE DE 250 KN - C = 100,0 CM, L = 16,0 CM E H = 17,2 CM</t>
  </si>
  <si>
    <t>CANAL EM POLIETILENO E POLIPROPILENO COM EFEITO AUTOLIMPANTE E GRELHA DE ENCAIXE EM POLIAMIDA REFORÇADA - CARGA DE CONTROLE DE 250 KN - C = 100,0 CM, L = 16,0 CM E H = 5,5 CM</t>
  </si>
  <si>
    <t>CANAL EM POLIETILENO E POLIPROPILENO COM EFEITO AUTOLIMPANTE E GRELHA DE ENCAIXE EM FERRO FUNDIDO DÚCTIL - CARGA DE CONTROLE DE 400 KN - C = 100,0 CM, L = 14,7 CM E H = 15,7 CM</t>
  </si>
  <si>
    <t>CANAL EM POLIETILENO E POLIPROPILENO COM EFEITO AUTOLIMPANTE E GRELHA DE ENCAIXE EM FERRO FUNDIDO DÚCTIL - CARGA DE CONTROLE DE 400 KN - C = 100,0 CM, L = 24,7 CM E H = 20,8 CM</t>
  </si>
  <si>
    <t>CANAL EM POLIETILENO E POLIPROPILENO COM EFEITO AUTOLIMPANTE E GRELHA DE ENCAIXE EM FERRO FUNDIDO DÚCTIL - CARGA DE CONTROLE DE 400 KN - C = 100,0 CM, L = 34,9 CM E H = 25,8 CM</t>
  </si>
  <si>
    <t>CANAL EM POLIETILENO E POLIPROPILENO COM EFEITO AUTOLIMPANTE E GRELHA DE ENCAIXE EM FERRO FUNDIDO DÚCTIL - CARGA DE CONTROLE DE 600 KN - C = 100,0 CM, L = 16,0 CM E H = 12,2 CM</t>
  </si>
  <si>
    <t>CANAL EM POLIETILENO E POLIPROPILENO COM EFEITO AUTOLIMPANTE E GRELHA DE ENCAIXE EM FERRO FUNDIDO DÚCTIL - CARGA DE CONTROLE DE 600 KN - C = 100,0 CM, L = 21,2 CM E H = 18,0 CM</t>
  </si>
  <si>
    <t>CANAL EM POLIETILENO E POLIPROPILENO COM EFEITO AUTOLIMPANTE E GRELHA DE ENCAIXE EM FERRO FUNDIDO DÚCTIL - CARGA DE CONTROLE DE 600 KN - C = 100,0 CM, L = 26,2 CM E H = 17,2 CM</t>
  </si>
  <si>
    <t>CANAL EM POLIETILENO E POLIPROPILENO COM EFEITO AUTOLIMPANTE E ABERTURA DE CAPTAÇÃO EM FERRO FUNDIDO DÚCTIL - CARGA DE CONTROLE DE 900 KN - C = 100,0 CM, L = 21,0 CM E H = 57,9 CM</t>
  </si>
  <si>
    <t>CANAL EM POLIETILENO E POLIPROPILENO COM EFEITO AUTOLIMPANTE E ABERTURA DE CAPTAÇÃO EM FERRO FUNDIDO DÚCTIL - CARGA DE CONTROLE DE 900 KN - C = 100,0 CM, L = 25,2 CM E H = 57,8 CM</t>
  </si>
  <si>
    <t>CANAL EM POLIETILENO E POLIPROPILENO COM EFEITO AUTOLIMPANTE E ABERTURA DE CAPTAÇÃO EM FERRO FUNDIDO DÚCTIL - CARGA DE CONTROLE DE 900 KN - C = 100,0 CM, L = 42,0 CM E H = 95,0 CM</t>
  </si>
  <si>
    <t>CANAL EM POLIETILENO E POLIPROPILENO COM EFEITO AUTOLIMPANTE E ABERTURA DE CAPTAÇÃO EM FERRO FUNDIDO DÚCTIL - CARGA DE CONTROLE DE 900 KN - C = 114,2 CM, L = 78,0 CM E H = 106,0 CM</t>
  </si>
  <si>
    <t>CUSTO EQUIVALENTE DA CONSTRUÇÃO CIVIL PARA CONSTRUÇÃO DO ESTALEIRO PADRÃO</t>
  </si>
  <si>
    <t>ANIMAIS DE GRANDE PORTE MORTOS EM RODOVIA</t>
  </si>
  <si>
    <t>ANIMAIS DE PEQUENO PORTE MORTOS EM RODOVIA</t>
  </si>
  <si>
    <t>EMBORRACHADOS DE PNEUS ESPALHADOS EM RODOVIA</t>
  </si>
  <si>
    <t>ESPÉCIMES ARBÓREOS DE ATÉ 20 M TOMBADOS NA PISTA</t>
  </si>
  <si>
    <t>ESPÉCIMES ARBÓREOS DE 20 A 40 M TOMBADOS NA PISTA</t>
  </si>
  <si>
    <t>SUCATAS DERRAMADAS EM RODOVIA</t>
  </si>
  <si>
    <t>VEÍCULOS DE GRANDE PORTE INCENDIADOS EM RODOVIA</t>
  </si>
  <si>
    <t>VEÍCULOS DE MÉDIO PORTE INCENDIADOS EM RODOVIA</t>
  </si>
  <si>
    <t>VEÍCULOS DE GRANDE PORTE TOMBADOS EM RODOVIA</t>
  </si>
  <si>
    <t>VEÍCULOS DE MÉDIO PORTE TOMBADOS EM RODOVIA</t>
  </si>
  <si>
    <t>VEÍCULOS DE PEQUENO PORTE TOMBADOS EM RODOVIA</t>
  </si>
  <si>
    <t>VIDROS, CAIXAS E ENGRADADOS DERRAMADOS NA PISTA</t>
  </si>
  <si>
    <t>TACHA REFLETIVA EM PLÁSTICO INJETADO BIDIRECIONAL COM UM PINO - TIPO I</t>
  </si>
  <si>
    <t>TACHA REFLETIVA EM PLÁSTICO INJETADO BIDIRECIONAL COM UM PINO - TIPO II</t>
  </si>
  <si>
    <t>TACHA REFLETIVA EM PLÁSTICO INJETADO BIDIRECIONAL COM UM PINO - TIPO III</t>
  </si>
  <si>
    <t>TACHA REFLETIVA EM PLÁSTICO INJETADO BIDIRECIONAL COM UM PINO - TIPO IV</t>
  </si>
  <si>
    <t>TACHA REFLETIVA EM PLÁSTICO INJETADO BIDIRECIONAL SEM PINO - TIPO I</t>
  </si>
  <si>
    <t>TACHA REFLETIVA EM PLÁSTICO INJETADO BIDIRECIONAL SEM PINO - TIPO II</t>
  </si>
  <si>
    <t>TACHA REFLETIVA EM PLÁSTICO INJETADO BIDIRECIONAL SEM PINO - TIPO III</t>
  </si>
  <si>
    <t>TACHA REFLETIVA EM PLÁSTICO INJETADO BIDIRECIONAL SEM PINO - TIPO IV</t>
  </si>
  <si>
    <t>TACHA REFLETIVA EM PLÁSTICO INJETADO MONODIRECIONAL COM UM PINO - TIPO I</t>
  </si>
  <si>
    <t>TACHA REFLETIVA EM PLÁSTICO INJETADO MONODIRECIONAL COM UM PINO - TIPO II</t>
  </si>
  <si>
    <t>TACHA REFLETIVA EM PLÁSTICO INJETADO MONODIRECIONAL COM UM PINO - TIPO III</t>
  </si>
  <si>
    <t>TACHA REFLETIVA EM PLÁSTICO INJETADO MONODIRECIONAL COM UM PINO - TIPO IV</t>
  </si>
  <si>
    <t>TACHA REFLETIVA EM PLÁSTICO INJETADO MONODIRECIONAL SEM PINO - TIPO I</t>
  </si>
  <si>
    <t>TACHA REFLETIVA EM PLÁSTICO INJETADO MONODIRECIONAL SEM PINO - TIPO II</t>
  </si>
  <si>
    <t>TACHA REFLETIVA EM PLÁSTICO INJETADO MONODIRECIONAL SEM PINO - TIPO III</t>
  </si>
  <si>
    <t>TACHA REFLETIVA EM PLÁSTICO INJETADO MONODIRECIONAL SEM PINO - TIPO IV</t>
  </si>
  <si>
    <t>TACHA REFLETIVA EM RESINA SINTÉTICA BIDIRECIONAL COM UM PINO - TIPO I</t>
  </si>
  <si>
    <t>TACHA REFLETIVA EM RESINA SINTÉTICA BIDIRECIONAL COM UM PINO - TIPO II</t>
  </si>
  <si>
    <t>TACHA REFLETIVA EM RESINA SINTÉTICA BIDIRECIONAL COM UM PINO - TIPO III</t>
  </si>
  <si>
    <t>TACHA REFLETIVA EM RESINA SINTÉTICA BIDIRECIONAL COM UM PINO - TIPO IV</t>
  </si>
  <si>
    <t>TACHA REFLETIVA EM RESINA SINTÉTICA BIDIRECIONAL SEM PINO - TIPO I</t>
  </si>
  <si>
    <t>TACHA REFLETIVA EM RESINA SINTÉTICA BIDIRECIONAL SEM PINO - TIPO II</t>
  </si>
  <si>
    <t>TACHA REFLETIVA EM RESINA SINTÉTICA BIDIRECIONAL SEM PINO - TIPO III</t>
  </si>
  <si>
    <t>TACHA REFLETIVA EM RESINA SINTÉTICA BIDIRECIONAL SEM PINO - TIPO IV</t>
  </si>
  <si>
    <t>TACHA REFLETIVA EM RESINA SINTÉTICA MONODIRECIONAL COM UM PINO - TIPO I</t>
  </si>
  <si>
    <t>TACHA REFLETIVA EM RESINA SINTÉTICA MONODIRECIONAL COM UM PINO - TIPO II</t>
  </si>
  <si>
    <t>TACHA REFLETIVA EM RESINA SINTÉTICA MONODIRECIONAL COM UM PINO - TIPO III</t>
  </si>
  <si>
    <t>TACHA REFLETIVA EM RESINA SINTÉTICA MONODIRECIONAL COM UM PINO - TIPO IV</t>
  </si>
  <si>
    <t>TACHA REFLETIVA EM RESINA SINTÉTICA MONODIRECIONAL SEM PINO - TIPO I</t>
  </si>
  <si>
    <t>TACHA REFLETIVA EM RESINA SINTÉTICA MONODIRECIONAL SEM PINO - TIPO II</t>
  </si>
  <si>
    <t>TACHA REFLETIVA EM RESINA SINTÉTICA MONODIRECIONAL SEM PINO - TIPO III</t>
  </si>
  <si>
    <t>TACHA REFLETIVA EM RESINA SINTÉTICA MONODIRECIONAL SEM PINO - TIPO IV</t>
  </si>
  <si>
    <t>TACHA REFLETIVA METÁLICA BIDIRECIONAL COM DOIS PINOS - TIPO II</t>
  </si>
  <si>
    <t>TACHA REFLETIVA METÁLICA BIDIRECIONAL COM DOIS PINOS - TIPO III</t>
  </si>
  <si>
    <t>TACHA REFLETIVA METÁLICA BIDIRECIONAL COM DOIS PINOS - TIPO IV</t>
  </si>
  <si>
    <t>TACHA REFLETIVA METÁLICA BIDIRECIONAL COM UM PINO - TIPO II</t>
  </si>
  <si>
    <t>TACHA REFLETIVA METÁLICA BIDIRECIONAL COM UM PINO - TIPO III</t>
  </si>
  <si>
    <t>TACHA REFLETIVA METÁLICA BIDIRECIONAL COM UM PINO - TIPO IV</t>
  </si>
  <si>
    <t>TACHA REFLETIVA METÁLICA MONODIRECIONAL COM DOIS PINOS - TIPO II</t>
  </si>
  <si>
    <t>TACHA REFLETIVA METÁLICA MONODIRECIONAL COM DOIS PINOS - TIPO III</t>
  </si>
  <si>
    <t>TACHA REFLETIVA METÁLICA MONODIRECIONAL COM DOIS PINOS - TIPO IV</t>
  </si>
  <si>
    <t>TACHA REFLETIVA METÁLICA MONODIRECIONAL COM UM PINO - TIPO II</t>
  </si>
  <si>
    <t>TACHA REFLETIVA METÁLICA MONODIRECIONAL COM UM PINO - TIPO III</t>
  </si>
  <si>
    <t>TACHA REFLETIVA METÁLICA MONODIRECIONAL COM UM PINO - TIPO IV</t>
  </si>
  <si>
    <t>TACHÃO REFLETIVO EM PLÁSTICO INJETADO BIDIRECIONAL</t>
  </si>
  <si>
    <t>TACHÃO REFLETIVO EM PLÁSTICO INJETADO MONODIRECIONAL</t>
  </si>
  <si>
    <t>TACHÃO REFLETIVO EM RESINA SINTÉTICA BIDIRECIONAL</t>
  </si>
  <si>
    <t>TACHÃO REFLETIVO EM RESINA SINTÉTICA MONODIRECIONAL</t>
  </si>
  <si>
    <t>EMULSÃO ASFÁLTICA COM POLÍMERO - RR-1C-E</t>
  </si>
  <si>
    <t>RESERVATÓRIO METÁLICO TIPO TAÇA - CAPACIDADE DE 5.000 L</t>
  </si>
  <si>
    <t>RESERVATÓRIO METÁLICO TIPO TAÇA - CAPACIDADE DE 10.000 L</t>
  </si>
  <si>
    <t>RESERVATÓRIO METÁLICO TIPO TAÇA - CAPACIDADE DE 20.000 L</t>
  </si>
  <si>
    <t>RESERVATÓRIO METÁLICO TIPO TAÇA - CAPACIDADE DE 30.000 L</t>
  </si>
  <si>
    <t>AMV TIPO TR37, ABERTURA 1:8, BITOLA MÉTRICA</t>
  </si>
  <si>
    <t>AMV TIPO TR37, ABERTURA 1:10, BITOLA MÉTRICA</t>
  </si>
  <si>
    <t>AMV TIPO TR37, ABERTURA 1:12, BITOLA MÉTRICA</t>
  </si>
  <si>
    <t>AMV TIPO TR37, ABERTURA 1:14, BITOLA MÉTRICA</t>
  </si>
  <si>
    <t>BICO PARA CORTE A PLASMA MANUAL - 65A</t>
  </si>
  <si>
    <t>BICO PARA CORTE A PLASMA MANUAL - 45A</t>
  </si>
  <si>
    <t>BOCAL PARA CORTE A PLASMA MANUAL - 45A/65A</t>
  </si>
  <si>
    <t>CAPA DE RETENÇÃO PARA CORTE A PLASMA MANUAL - 45A/65A</t>
  </si>
  <si>
    <t>ELETRODO PARA CORTE A PLASMA MANUAL - 45A/65A</t>
  </si>
  <si>
    <t>DISTRIBUIDOR DE GÁS PARA CORTE A PLASMA MANUAL - 45A/65A</t>
  </si>
  <si>
    <t>PARAFUSO DE CABEÇA SEXTAVADA EM AÇO INOX - D = 12,7 MM (1/2") E C = 38,1 MM (1.1/2")</t>
  </si>
  <si>
    <t>PORCA SEXTAVADA EM AÇO INOX PARA PARAFUSO - D = 12,7 MM (1/2")</t>
  </si>
  <si>
    <t>ARRUELA LISA EM AÇO INOX - D = 12,7 MM (1/2")</t>
  </si>
  <si>
    <t>DISCO DE CORTE COM 80 DENTES MULTIMATERIAL - D = 250 MM</t>
  </si>
  <si>
    <t>LIXA D'ÁGUA Nº 360</t>
  </si>
  <si>
    <t>DILUENTE PARA TINTA EPÓXI BICOMPONENTE OU TRICOMPONENTE</t>
  </si>
  <si>
    <t>TINTA À BASE DE RESINA EPÓXI ÓXIDO DE FERRO</t>
  </si>
  <si>
    <t>DILUENTE PARA ESMALTE POLIURETANO DE DOIS COMPONENTES</t>
  </si>
  <si>
    <t>TINTA ESMALTE POLIURETANO BICOMPONENTE</t>
  </si>
  <si>
    <t>CATALISADOR PARA TINTA FOSFATIZANTE</t>
  </si>
  <si>
    <t>TINTA FOSFATIZANTE PARA FUNDO PREPARADOR DE PINTURA</t>
  </si>
  <si>
    <t>LUVA EM AÇO GALVANIZADO COM ROSCA BSP CLASSE LEVE - D = 12,5 MM (1/2")</t>
  </si>
  <si>
    <t>PLUG TIPO BUJÃO EM AÇO GALVANIZADO COM ROSCA BSP - D = 15 MM (1/2")</t>
  </si>
  <si>
    <t>TUBO EM AÇO-CARBONO - E = 3,35 MM E D = 80 MM (3")</t>
  </si>
  <si>
    <t>TUBO EM AÇO-CARBONO - E = 3,00 MM E D = 150 MM (6")</t>
  </si>
  <si>
    <t>CANTONEIRA EM ALUMÍNIO DE ABAS IGUAIS - L = 38,1 MM E E = 4,76 MM</t>
  </si>
  <si>
    <t>PARAFUSO DE CABEÇA SEXTAVADA EM AÇO INOX - D = 8 MM (M8) E C = 20 MM</t>
  </si>
  <si>
    <t>PORCA SEXTAVADA EM AÇO INOX PARA PARAFUSO - D = 8 MM (M8)</t>
  </si>
  <si>
    <t>ARRUELA LISA EM AÇO INOX PARA PARAFUSO - D = 8,4 MM (M8)</t>
  </si>
  <si>
    <t>ARRUELA DE PRESSÃO EM AÇO INOX PARA PARAFUSO - D = 8,1 MM (M8)</t>
  </si>
  <si>
    <t>PARAFUSO DE CABEÇA SEXTAVADA EM AÇO INOX - D = 12,7 MM (1/2") E C = 19,05 MM (3/4")</t>
  </si>
  <si>
    <t>BARRA REDONDA EM AÇO SAE 1020 - D = 25,4 MM (1")</t>
  </si>
  <si>
    <t>TUBO EM AÇO - E = 3,00 MM E SEÇÃO DE 40 X 40 MM</t>
  </si>
  <si>
    <t>DESMOLDANTE PARA FÔRMAS METÁLICAS</t>
  </si>
  <si>
    <t>ARAME E70S6 PARA SOLDA MIG/MAG - D = 0,9 MM</t>
  </si>
  <si>
    <t>CONJUNTO VIBRATÓRIO PARA TUBOS DE CONCRETO COM ENCAIXE PB E 3 JOGOS DE FÔRMAS - D = 0,60 M - 2,20 KW</t>
  </si>
  <si>
    <t>CONJUNTO VIBRATÓRIO PARA TUBOS DE CONCRETO COM ENCAIXE PB E 3 JOGOS DE FÔRMAS - D = 0,80 M - 2,20 KW</t>
  </si>
  <si>
    <t>CONJUNTO VIBRATÓRIO PARA TUBOS DE CONCRETO COM ENCAIXE PB E 3 JOGOS DE FÔRMAS - D = 1,00 M - 2,20 KW</t>
  </si>
  <si>
    <t>CONJUNTO VIBRATÓRIO PARA TUBOS DE CONCRETO COM ENCAIXE PB E 3 JOGOS DE FÔRMAS - D = 1,20 M - 2,20 KW</t>
  </si>
  <si>
    <t>CONJUNTO VIBRATÓRIO PARA TUBOS DE CONCRETO COM ENCAIXE PB E 3 JOGOS DE FÔRMAS - D = 1,50 M - 2,20 KW</t>
  </si>
  <si>
    <t>EQUIPAMENTO PARA SONDAGEM MANUAL</t>
  </si>
  <si>
    <t>BOMBA DE PISTÃO TRIPLEX COM CAPACIDADE DE 7,80 M³/H (130 L/MIN) - 8,20 KW</t>
  </si>
  <si>
    <t>TRANSPORTADOR MANUAL DE TUBOS DE CONCRETO COM CAPACIDADE DE 1 T</t>
  </si>
  <si>
    <t>EMBARCAÇÃO REBOCADORA - 268 KW</t>
  </si>
  <si>
    <t>BALANÇA PLATAFORMA DIGITAL À BATERIA, COM MESA DE 75 X 75 CM E CAPACIDADE DE 500 KG</t>
  </si>
  <si>
    <t>CARRO MANUAL MODELO PLATAFORMA DE 200 X 80 CM COM CAPACIDADE DE 800 KG</t>
  </si>
  <si>
    <t>DEFLECTÔMETRO DE IMPACTO (FWD) INSTALADO EM PICAPE COM REBOQUE E FAIXA DE CARGA DE 7 A 120 KN - 147 KW</t>
  </si>
  <si>
    <t>ELEVADOR DE OBRA COM CAPACIDADE DE 1.000 KG - 9 KW</t>
  </si>
  <si>
    <t>USINA MISTURADORA MÓVEL DE RECICLAGEM A FRIO COM SISTEMA DE ESPUMA DE ASFALTO - 129 KW</t>
  </si>
  <si>
    <t>ESCAVADEIRA HIDRÁULICA SOBRE ESTEIRA COM CAPACIDADE DE 0,4 M³ - 64 KW</t>
  </si>
  <si>
    <t>RECICLADORA A FRIO - 455 KW</t>
  </si>
  <si>
    <t>GRUPO GERADOR - 456 KVA</t>
  </si>
  <si>
    <t>PÓRTICO METÁLICO ROLANTE COM CAPACIDADE DE 25 T - 30 KW</t>
  </si>
  <si>
    <t>GUINDASTE MÓVEL SOBRE ESTEIRAS COM DRAGLINE COM CAPACIDADE DE 1,9 A 2,3 M³ - 270 KW</t>
  </si>
  <si>
    <t>MISTURADOR DE NATA CIMENTO - 1,50 KW</t>
  </si>
  <si>
    <t>CONJUNTO BOMBA E MACACO HIDRÁULICO PARA PROTENSÃO COM CAPACIDADE DE 7.000 KN - 15 KW</t>
  </si>
  <si>
    <t>BOMBA PARA INJEÇÃO DE NATA DE CIMENTO COM CAPACIDADE DE 2 MPA - 2,20 KW</t>
  </si>
  <si>
    <t>BOMBA DE ALTA PRESSÃO PARA HIDROJATEAMENTO COM CAPACIDADE DE 18 MPA - 5,20 KW</t>
  </si>
  <si>
    <t>CONJUNTO BOMBA E MACACO HIDRÁULICO PARA PROTENSÃO COM CAPACIDADE DE 8.000 KN - 20 KW</t>
  </si>
  <si>
    <t>BOMBA DE PROTENSÃO COM LEITURA DIGITAL PARA TENSIONAMENTO DE ESTAIS - 3 KW</t>
  </si>
  <si>
    <t>ELEVADOR DE CREMALHEIRA COM CABINE SIMPLES, COM CAPACIDADE DE 1.500 KG E ALTURA DE ATÉ 100 M - 15 KW</t>
  </si>
  <si>
    <t>EQUIPAMENTO PARA REGULAGEM FINAL DE ESTAIS COM ATÉ 37 CORDOALHAS - D = 15,7 MM - 20 KW</t>
  </si>
  <si>
    <t>EQUIPAMENTO PARA REGULAGEM FINAL DE ESTAIS DE 38 A 55 CORDOALHAS - D = 15,7 MM - 30 KW</t>
  </si>
  <si>
    <t>EQUIPAMENTO PARA REGULAGEM FINAL DE ESTAIS DE 56 A 73 CORDOALHAS - D = 15,7 MM - 40 KW</t>
  </si>
  <si>
    <t>EQUIPAMENTO PARA REGULAGEM FINAL DE ESTAIS DE 74 A 91 CORDOALHAS - D = 15,7 MM - 50 KW</t>
  </si>
  <si>
    <t>GRUA FIXA PARA ALTURAS DE 60 A 102 M, COM ALCANCE DE 60 M COM CAPACIDADE DE 1.500 KG NA PONTA DA LANÇA - 37 KW</t>
  </si>
  <si>
    <t>MACACO HIDRÁULICO MONOCORDOALHA PARA TENSIONAMENTO DE ESTAIS - 3 KW</t>
  </si>
  <si>
    <t>MÁQUINA DE SOLDA POR TERMOFUSÃO PARA TUBOS PEAD COM GERADOR DE 4 KW</t>
  </si>
  <si>
    <t>SERRA MÁRMORE - 1,45 KW</t>
  </si>
  <si>
    <t>TRATOR SOBRE ESTEIRAS COM LÂMINA - 97 KW</t>
  </si>
  <si>
    <t>EMBARCAÇÃO DE ALUMÍNIO COM COMPRIMENTO DE 6 M E MOTOR DE POPA - 18,60 KW</t>
  </si>
  <si>
    <t>CENTRAL DE CONCRETO COM CAPACIDADE DE 150 M³/H - DOSADORA E MISTURADORA</t>
  </si>
  <si>
    <t>CONJUNTO BOMBA E MACACO HIDRÁULICO PARA ELEVAÇÃO COM CAPACIDADE DE 496 KN</t>
  </si>
  <si>
    <t>CONJUNTO BOMBA E MACACO HIDRÁULICO PARA ELEVAÇÃO COM CAPACIDADE DE 929 KN</t>
  </si>
  <si>
    <t>CONJUNTO BOMBA E MACACO HIDRÁULICO PARA ELEVAÇÃO COM CAPACIDADE DE 1.390 KN</t>
  </si>
  <si>
    <t>CONJUNTO BOMBA E MACACO HIDRÁULICO PARA ELEVAÇÃO COM CAPACIDADE DE 1.859 KN</t>
  </si>
  <si>
    <t>BOMBA DE ALTA PRESSÃO PARA HIDROJATEAMENTO COM CAPACIDADE DE 250 MPA - 72 KW</t>
  </si>
  <si>
    <t>GUINDASTE MÓVEL SOBRE PNEUS COM 2 EIXOS COM CAPACIDADE DE 18 T - 97 KW</t>
  </si>
  <si>
    <t>MÁQUINA LEVANTADORA E POSICIONADORA DE VIA - 7,40 KW</t>
  </si>
  <si>
    <t>EMPILHADEIRA A DIESEL COM CAPACIDADE DE 10 T - 82 KW</t>
  </si>
  <si>
    <t>PERFURATRIZ HIDRÁULICA MONTADA EM FLUTUANTE - 32 KW</t>
  </si>
  <si>
    <t>EQUIPAMENTO SOBRE FORMA-TRILHO PARA EXECUÇÃO E ACABAMENTO DE PAVIMENTO DE CONCRETO - 13,40 KW</t>
  </si>
  <si>
    <t>GUINCHO PNEUMÁTICO COM CAPACIDADE DE 2,5 T</t>
  </si>
  <si>
    <t>PLATAFORMA AUTOELEVATÓRIA DE 12 X 24 M COM CAPACIDADE DE 150 T</t>
  </si>
  <si>
    <t>BATELÃO SEM PROPULSÃO COM CAPACIDADE DE 66 M³</t>
  </si>
  <si>
    <t>PLATAFORMA FLUTUANTE DE 12 X 24 X 1,8 M COM CAPACIDADE DE 150 T</t>
  </si>
  <si>
    <t>PLATAFORMA AUTOELEVATÓRIA DE 12 X 24 M MONTADA NA OBRA COM CAPACIDADE DE 150 T</t>
  </si>
  <si>
    <t>PERFURATRIZ PNEUMÁTICA ROTOPERCUSSIVA MONTADA EM FLUTUANTE COM PRESSÃO DE 0,70 MPA E CAPACIDADE DE 2.500 GPM</t>
  </si>
  <si>
    <t>LIXADEIRA ELÉTRICA MANUAL ANGULAR - 2 KW</t>
  </si>
  <si>
    <t>SOPRADOR DE AR QUENTE MANUAL - 1,60 KW</t>
  </si>
  <si>
    <t>EQUIPAMENTO DE ESTABILIZAÇÃO DINÂMICA DA VIA - 300 KW</t>
  </si>
  <si>
    <t>TRANSPORTADOR MANUAL GERICA COM CAPACIDADE DE 180 L</t>
  </si>
  <si>
    <t>CARRO CONTROLE FERROVIÁRIO - 186 KW</t>
  </si>
  <si>
    <t>GRUPO GERADOR - 14 KVA</t>
  </si>
  <si>
    <t>VEÍCULO FERROVIÁRIO PARA CAPINA QUÍMICA COM CAPACIDADE DE 12.000 L - 115 KW</t>
  </si>
  <si>
    <t>PERFURATRIZ HIDRÁULICA ROTOPERCUSSIVA PARA CCPH - 123 KW</t>
  </si>
  <si>
    <t>VIBRADOR DE IMERSÃO PARA CONCRETO - 4,10 KW</t>
  </si>
  <si>
    <t>PONTE ROLANTE COM CAPACIDADE DE 5 T E VÃO DE ATÉ 15 M - 10 KW</t>
  </si>
  <si>
    <t>TRANSPORTADOR MANUAL CARRINHO DE MÃO COM CAPACIDADE DE 80 L</t>
  </si>
  <si>
    <t>MARTELO HIDRÁULICO VIBRATÓRIO COM UNIDADE HIDRÁULICA - 486 KW</t>
  </si>
  <si>
    <t>BOMBA DE CONCRETO REBOCÁVEL COM CAPACIDADE DE 30 M³/H - 74 KW</t>
  </si>
  <si>
    <t>TANQUE DE ESTOCAGEM DE ASFALTO COM AGITADORES DE 60.000 L</t>
  </si>
  <si>
    <t>TRADO CAVADEIRA DE 12"</t>
  </si>
  <si>
    <t>EQUIPAMENTO PARA PINTURA ELETROSTÁTICA COM CABINE DUPLA DE 7,00 KW E ESTUFA DE 80.000 KCAL</t>
  </si>
  <si>
    <t>PERFURATRIZ DE CIRCULAÇÃO REVERSA TIPO WIRTH OU SIMILAR COM UNIDADE HIDRÁULICA (POWER PACK) - 273 KW</t>
  </si>
  <si>
    <t>TRELIÇA LANÇADEIRA COM CAPACIDADE DE CARGA DE 100 A 120 T E VÃO MÁXIMO DE 45 M - 110 KW</t>
  </si>
  <si>
    <t>BOMBA SUBMERSÍVEL COM CAPACIDADE DE 360 M³/H - 23 KW</t>
  </si>
  <si>
    <t>CARRELONE COM CAPACIDADE MÁXIMA DE 70 T</t>
  </si>
  <si>
    <t>FISCHIETTI SIMPLES COM CAPACIDADE DE 70 T</t>
  </si>
  <si>
    <t>VAGÃO FECHADO FLT COM CAPACIDADE DE 99 T</t>
  </si>
  <si>
    <t>VAGÃO TANQUE CONVENCIONAL TCT COM CAPACIDADE DE 97 T E 103.000 L</t>
  </si>
  <si>
    <t>VAGÃO GÔNDOLA GDE COM CAPACIDADE DE 93,5 T / 29 M³</t>
  </si>
  <si>
    <t>BOMBA DE CONCRETO REBOCÁVEL COM CAPACIDADE DE 41 M³/H - 74 KW</t>
  </si>
  <si>
    <t>ROÇADEIRA COSTAL - 1,40 KW</t>
  </si>
  <si>
    <t>EMBARCAÇÃO EMPURRADORA FLUVIAL - 372 KW</t>
  </si>
  <si>
    <t>VEÍCULO LEVE - 53 KW (SEM MOTORISTA)</t>
  </si>
  <si>
    <t>GUINDASTE MÓVEL SOBRE PNEUS COM 6 EIXOS COM CAPACIDADE MÁXIMA DE 350 T - 450 KW</t>
  </si>
  <si>
    <t>GUINDASTE MÓVEL SOBRE PNEUS COM 8 EIXOS COM CAPACIDADE MÁXIMA DE 500 T - 500 KW</t>
  </si>
  <si>
    <t>MINICARREGADEIRA DE PNEUS - 45,50 KW</t>
  </si>
  <si>
    <t>REMOVEDORA DE FAIXAS DE SINALIZAÇÃO VIÁRIA - 9,69 KW</t>
  </si>
  <si>
    <t>EXTRUSORA PARA SARJETA DE CONCRETO - 10,44 KW</t>
  </si>
  <si>
    <t>EXTRUSORA PARA MEIO-FIO DE CONCRETO - 10,44 KW</t>
  </si>
  <si>
    <t>EMBARCAÇÃO EMPURRADORA MULTIPROPÓSITO - 2 X 186 KW</t>
  </si>
  <si>
    <t>BALSA DE CONVÉS COM CAPACIDADE DE 200 T</t>
  </si>
  <si>
    <t>COMPACTADOR MANUAL COM SOQUETE VIBRATÓRIO - 2,24 KW</t>
  </si>
  <si>
    <t>SOLDADORA DE TRILHO POR CALDEAMENTO NA VIA - 400 KW</t>
  </si>
  <si>
    <t>ESCAVADEIRA HIDRÁULICA SOBRE ESTEIRAS PARA ROCHA COM CAÇAMBA COM CAPACIDADE DE 1,56 M³ - 118 KW</t>
  </si>
  <si>
    <t>JATEADOR ABRASIVO ÚMIDO COM CAPACIDADE DE 350 KG DE ABRASIVO</t>
  </si>
  <si>
    <t>SINALIZADOR DIRECIONAL MÓVEL COM SISTEMA FOTOVOLTAICO DE ENERGIA E MONTADO EM CHASSI SOBRE PNEUS</t>
  </si>
  <si>
    <t>PAINEL DE MENSAGEM VARIÁVEL - PMV MÓVEL, COM SISTEMA FOTOVOLTAICO DE ENERGIA E MONTADO EM CHASSI SOBRE PNEUS</t>
  </si>
  <si>
    <t>SEMÁFORO MÓVEL COM 3 LENTES E BATERIA - D = 200 MM</t>
  </si>
  <si>
    <t>CARREGADEIRA DE PNEUS PARA ROCHA COM CAPACIDADE DE 2,50 M³ - 105 KW</t>
  </si>
  <si>
    <t>CORTADORA DE PAVIMENTO COM DISCO DIAMANTADO DE 450 A 1.500 MM - 55,40 KW</t>
  </si>
  <si>
    <t>MINICARREGADEIRA SOBRE PNEUS COM VALETADEIRA - 55,40 KW</t>
  </si>
  <si>
    <t>EQUIPAMENTO DE CRAVAÇÃO SOBRE ESTEIRA PARA GEODRENO COM HASTE PARA PROFUNDIDADE DE ATÉ 20 M - 258 KW</t>
  </si>
  <si>
    <t>PLATAFORMA ELEVATÓRIA ARTICULADA ELÉTRICA COM ALCANCE DE 6 M COM CAPACIDADE DE 500 KG - 1,5 KW</t>
  </si>
  <si>
    <t>PERFURATRIZ TIPO BOTTOM FEED PARA COLUNA DE BRITA - 194 KW</t>
  </si>
  <si>
    <t>VEÍCULO TIPO VAN FURGÃO COM CAPACIDADE DE 1,54 T - 93 KW</t>
  </si>
  <si>
    <t>DRAGA BACKHOE COM CAPACIDADE DE 7 M³ - 1.000 KW</t>
  </si>
  <si>
    <t>ESCAVADEIRA HIDRÁULICA COM MARTELO HIDRÁULICO DE 520 KG - 75 KW</t>
  </si>
  <si>
    <t>MINIÔNIBUS COM CAPACIDADE PARA 30 PASSAGEIROS - 111 KW</t>
  </si>
  <si>
    <t>REBARBADOR HIDRÁULICO COM BOMBA MANUAL COM CAPACIDADE DE FORÇA DE 9.000 KGF</t>
  </si>
  <si>
    <t>PÓRTICO METÁLICO ROLANTE COM TALHA COM CAPACIDADE DE 5 T - 10 KW</t>
  </si>
  <si>
    <t>MACACO DE PROTENSÃO DE FIOS COM BOMBA - 3,72 KW</t>
  </si>
  <si>
    <t>MÁQUINA DE APLICAÇÃO E EXTRAÇÃO DE GRAMPO ELÁSTICO TIPO PANDROL - 6,70 KW</t>
  </si>
  <si>
    <t>BRITADOR DE MANDÍBULAS MÓVEL SOBRE ESTEIRAS, SEM PENEIRA, COM CAPACIDADE DE 140 M³/H - 170 KW</t>
  </si>
  <si>
    <t>FERRAMENTA DE FIXAÇÃO À PÓLVORA DE AÇÃO DIRETA</t>
  </si>
  <si>
    <t>FERRAMENTA DE FIXAÇÃO À PÓLVORA E SISTEMA À PISTÃO</t>
  </si>
  <si>
    <t>EQUIPAMENTO PARA SELAGEM COM MATERIAL ASFÁLTICO REBOCÁVEL COM CAPACIDADE DE 370 L - 35 KW</t>
  </si>
  <si>
    <t>CALDEIRA DE ASFALTO REBOCÁVEL COM CAPACIDADE DE 600 L - 5,20 KW</t>
  </si>
  <si>
    <t>SOPRADOR DE AR COSTAL - 2,6 KW</t>
  </si>
  <si>
    <t>LOCOMOTIVA DIESEL-ELÉTRICA CC - BITOLA MÉTRICA - 2.237 KW</t>
  </si>
  <si>
    <t>LOCOMOTIVA DIESEL-ELÉTRICA CC - BITOLA LARGA - 2.237 KW</t>
  </si>
  <si>
    <t>VAGÃO PLATAFORMA PNE COM CAPACIDADE DE 82 T - BITOLA MÉTRICA</t>
  </si>
  <si>
    <t>VAGÃO PLATAFORMA PNT COM CAPACIDADE DE 98 T - BITOLA LARGA</t>
  </si>
  <si>
    <t>VAGÃO FECHADO COM PORTA PARA CARGA E DESCARGA DE PALETES FLD COM CAPACIDADE DE 64 T - BITOLA MÉTRICA</t>
  </si>
  <si>
    <t>VAGÃO FECHADO COM PORTA PARA CARGA E DESCARGA DE PALETES FLT COM CAPACIDADE DE 99 T - BITOLA LARGA</t>
  </si>
  <si>
    <t>VAGÃO HOPPER ABERTO COM DESCARGA AUTOMÁTICA HNE COM CAPACIDADE DE 45 M³ - BITOLA MÉTRICA</t>
  </si>
  <si>
    <t>VAGÃO HOPPER ABERTO COM DESCARGA AUTOMÁTICA HNT COM CAPACIDADE DE 63 M³ - BITOLA LARGA</t>
  </si>
  <si>
    <t>EQUIPAMENTO PARA CARGA E DESCARGA DE TLS DE ATÉ 250 M - 90 KW</t>
  </si>
  <si>
    <t>CARREGADEIRA DE PNEUS COM IMPLEMENTO DE GARFO - 195 KW</t>
  </si>
  <si>
    <t>CARREGADEIRA DE PNEUS PARA ROCHA COM CAPACIDADE DE 2,50 M³ - 105 KW COM PERICULOSIDADE</t>
  </si>
  <si>
    <t>ESCAVADEIRA HIDRÁULICA COM MARTELO HIDRÁULICO DE 1.700 KG - 103 KW COM PERICULOSIDADE</t>
  </si>
  <si>
    <t>PERFURATRIZ SOBRE ESTEIRAS - 145 KW COM PERICULOSIDADE</t>
  </si>
  <si>
    <t>EQUIPAMENTO DE CORTE A PLASMA CNC - 12.000 X 5.500 MM - 19,5 KW</t>
  </si>
  <si>
    <t>EQUIPAMENTO DE SOLDA MIG AUTOMÁTICA COM ACESSÓRIOS - 14,6 KVA</t>
  </si>
  <si>
    <t>MÁQUINA DE SOLDA ELÉTRICA RETIFICADORA 425 A - 18,70 KW</t>
  </si>
  <si>
    <t>MARTELETE PERFURADOR/ROMPEDOR A AR COMPRIMIDO DE 25 KG PARA ROCHA, COM INSALUBRIDADE, COM CAPACIDADE DE 2.040 GPM</t>
  </si>
  <si>
    <t>JUMBO ELETRO-HIDRÁULICO COM 3 BRAÇOS - 155 KW/237 KW COM PERICULOSIDADE</t>
  </si>
  <si>
    <t>ESTAÇÃO TRANSMISSORA DE SUPERFÍCIE PARA TELEVISIONAMENTO</t>
  </si>
  <si>
    <t>CÂMARA HIPERBÁRICA COM FILTRO, SERPENTINA E RESERVATÓRIO DE AR PARA MERGULHO RASO - D = 1,80 M E H = 2,22 M.</t>
  </si>
  <si>
    <t>ESTAÇÃO TRANSMISSORA DE SUPERFÍCIE PARA COMUNICAÇÃO SEM FIO</t>
  </si>
  <si>
    <t>ESTAÇÃO TRANSMISSORA DE SUPERFÍCIE PARA COMUNICAÇÃO COM FIO</t>
  </si>
  <si>
    <t>PAINEL DE CONTROLE DE AR COM MANÔMETROS E PNEUFATÔMETROS</t>
  </si>
  <si>
    <t>SISTEMA DE SINO ABERTO (SINETE) PARA MERGULHO ATÉ 50 M  - 33,50 KW</t>
  </si>
  <si>
    <t>SISTEMA DE AR COMPRIMIDO PARA MERGULHO ATÉ 30 M COM PRESSÃO DE TRABALHO DE 1,4 MPA - 7,46 KW</t>
  </si>
  <si>
    <t>SISTEMA DE AR COMPRIMIDO PARA MERGULHO ATÉ 50 M COM PRESSÃO DE TRABALHO DE 1,7 MPA - 16,18 KW</t>
  </si>
  <si>
    <t>FONTE DE PLASMA PARA CORTE MANUAL - 65A - 15 KW</t>
  </si>
  <si>
    <t>SERRA DE ESQUADRIA COM BRAÇO TELESCÓPICO - D = 250 MM (10") - 1,80 KW</t>
  </si>
  <si>
    <t>REBORDEADEIRA DIÂMETRO MÁXIMO 3,00 M - 4,85 KW</t>
  </si>
  <si>
    <t>DOBRADEIRA VIRADEIRA MANUAL COMPRIMENTO MÁXIMO DE DOBRA DE ATÉ 2.000 MM</t>
  </si>
  <si>
    <t>FONTE DE PLASMA PARA CORTE MANUAL - 45A - 10 KW</t>
  </si>
  <si>
    <t>EQUIPAMENTO PARA PINTURA COM CAL REBOCÁVEL COM DOIS BICOS APLICADORES E CAPACIDADE DE 2.200 L</t>
  </si>
  <si>
    <t>VENTILADOR AXIAL PARA VENTILAÇÃO FORÇADA COM VELOCIDADE DE SAÍDA DE 32,8 M/S - D = 1.000 MM - 30 KW</t>
  </si>
  <si>
    <t>BATE-ESTACA DE GRAVIDADE PARA 6 T - 119 KW</t>
  </si>
  <si>
    <t>GUILHOTINA HIDRÁULICA 16 X 6.100 MM - 30 KW</t>
  </si>
  <si>
    <t>PRENSA DOBRADEIRA CAPACIDADE 320 T - COMPRIMENTO ATÉ 3.100 MM - 30 KW</t>
  </si>
  <si>
    <t>PLOTADORA DE RECORTE COM COMPUTADOR E PROGRAMA COMPUTACIONAL</t>
  </si>
  <si>
    <t>VENTILADOR CENTRÍFUGO BAIXA PRESSÃO COM CAPACIDADE DE 58 M³/MIN - 3,68 KW</t>
  </si>
  <si>
    <t>CARREGADEIRA DE PNEUS COM CAPACIDADE DE 3,40 M³ - 195 KW</t>
  </si>
  <si>
    <t>VEÍCULO LEVE - 53 KW</t>
  </si>
  <si>
    <t>COMPRESSOR DE AR PORTÁTIL DE 160,46 L/S (340 PCM) - 81 KW</t>
  </si>
  <si>
    <t>DISTRIBUIDOR DE AGREGADOS SOBRE PNEUS AUTOPROPELIDO - 130 KW</t>
  </si>
  <si>
    <t>ESCAVADEIRA HIDRÁULICA SOBRE ESTEIRAS COM CAÇAMBA COM CAPACIDADE DE 1,56 M³ - 118 KW</t>
  </si>
  <si>
    <t>PERFURATRIZ HIDRÁULICA SOBRE ESTEIRAS - 283 KW</t>
  </si>
  <si>
    <t>GRADE DE 24 DISCOS REBOCÁVEL DE D = 60 CM (24")</t>
  </si>
  <si>
    <t>BETONEIRA COM MOTOR A GASOLINA COM CAPACIDADE DE 600 L - 10 KW</t>
  </si>
  <si>
    <t>GRUPO GERADOR - 3,2 KVA</t>
  </si>
  <si>
    <t>CALDEIRA DE ASFALTO REBOCÁVEL COM CAPACIDADE DE 1.500 L - 6,5 KW</t>
  </si>
  <si>
    <t>MOTOSCRAPER - 304 KW</t>
  </si>
  <si>
    <t>MOTONIVELADORA - 93 KW</t>
  </si>
  <si>
    <t>PONTE ROLANTE COM CAPACIDADE DE 15 T E VÃO DE ATÉ 15 M - 20 KW</t>
  </si>
  <si>
    <t>RETROESCAVADEIRA DE PNEUS COM CAPACIDADE DE 0,76 M³ - 58 KW</t>
  </si>
  <si>
    <t>MARTELETE PERFURADOR/ROMPEDOR A AR COMPRIMIDO DE 25 KG PARA ROCHA COM CAPACIDADE DE 2.040 GPM</t>
  </si>
  <si>
    <t>EMPILHADEIRA A DIESEL COM CAPACIDADE DE 4 T - 60 KW</t>
  </si>
  <si>
    <t>JATEADOR PARA ESTRUTURAS METÁLICAS COM TRANSPORTADOR A ROLETES - 22 KW</t>
  </si>
  <si>
    <t>ROLO COMPACTADOR LISO VIBRATÓRIO AUTOPROPELIDO POR PNEUS DE 11 T - 97 KW</t>
  </si>
  <si>
    <t>EQUIPAMENTO DE SOLDA MIG COM ACESSÓRIOS - 14,6 KVA</t>
  </si>
  <si>
    <t>SERRA CIRCULAR COM BANCADA - D = 30 CM - 4 KW</t>
  </si>
  <si>
    <t>EMBARCAÇÃO DE TRANSPORTE DE PESSOAL E APOIO LOGÍSTICO - 30 KW</t>
  </si>
  <si>
    <t>CONJUNTO VIBRATÓRIO PARA MEIO TUBO DE CONCRETO COM ENCAIXE PB E 3 JOGOS DE FÔRMAS - D = 0,30 M - 2,20 KW</t>
  </si>
  <si>
    <t>EQUIPAMENTO DE BATIMETRIA MONOFEIXE</t>
  </si>
  <si>
    <t>TRATOR SOBRE ESTEIRAS COM LÂMINA - 127 KW</t>
  </si>
  <si>
    <t>TRATOR SOBRE ESTEIRAS COM LÂMINA - 259 KW</t>
  </si>
  <si>
    <t>COMPRESSOR DE AR RESPIRÁVEL PARA RECARGA DE CILINDROS DE MERGULHO COM CAPACIDADE DE ATÉ 35 MPA E 3,58 L/S - 5,52 KW</t>
  </si>
  <si>
    <t>VASSOURA MECÂNICA REBOCÁVEL COM LARGURA DE 2,44 M</t>
  </si>
  <si>
    <t>VIBROACABADORA DE ASFALTO SOBRE ESTEIRAS - 82 KW</t>
  </si>
  <si>
    <t>MÁQUINA DE SOLDA ELÉTRICA TRANSFORMADORA 250 A - 9,20 KW</t>
  </si>
  <si>
    <t>BOMBA CENTRÍFUGA COM CAPACIDADE DE 7,1 A 22 M³/H - 1,50 KW</t>
  </si>
  <si>
    <t>OBTURADOR MECÂNICO SIMPLES COM EXTENSÃO DE 12 M</t>
  </si>
  <si>
    <t>NÍVEL ÓTICO COM CAPACIDADE DE AUMENTO DE 32X</t>
  </si>
  <si>
    <t>ESTAÇÃO TOTAL ELETRÔNICA COM ALCANCE MÁXIMO DE 3.000 M</t>
  </si>
  <si>
    <t>COMPACTADOR MANUAL DE PLACA VIBRATÓRIA - 3,00 KW</t>
  </si>
  <si>
    <t>TANQUE DE ESTOCAGEM DE ASFALTO COM CAPACIDADE DE 30.000 L</t>
  </si>
  <si>
    <t>AQUECEDOR DE FLUIDO TÉRMICO - 12 KW</t>
  </si>
  <si>
    <t>ÔNIBUS COM CAPACIDADE PARA 80 PASSAGEIROS - 175 KW</t>
  </si>
  <si>
    <t>GPS GEODÉSICO DE SIMPLES FREQUÊNCIA (L1)</t>
  </si>
  <si>
    <t>GPS GEODÉSICO DE DUPLA FREQUÊNCIA (L1/L2)</t>
  </si>
  <si>
    <t>PERFURATRIZ HIDRÁULICA SOBRE ESTEIRAS COM CLAMSHELL - 220 KW</t>
  </si>
  <si>
    <t>TRATOR SOBRE ESTEIRAS COM LÂMINA E ESCARIFICADOR - 259 KW</t>
  </si>
  <si>
    <t>GUINDASTE MÓVEL SOBRE ESTEIRAS COM CLAMSHELL DE 1,9 M³ - 220 KW</t>
  </si>
  <si>
    <t>FRESADORA DE PISO DE CONCRETO - 6,7 KW</t>
  </si>
  <si>
    <t>FURADEIRA DE IMPACTO DE 12,5 MM - 0,80 KW</t>
  </si>
  <si>
    <t>GUINDASTE MÓVEL SOBRE ESTEIRAS COM CLAMSHELL DE 4,6 M³ - 403 KW</t>
  </si>
  <si>
    <t>FURADEIRA COM BASE MAGNÉTICA - 1,20 KW</t>
  </si>
  <si>
    <t>PERFURATRIZ SOBRE ESTEIRAS - 145 KW</t>
  </si>
  <si>
    <t>ESCAVADEIRA HIDRÁULICA DE LONGO ALCANCE SOBRE ESTEIRAS - 103 KW</t>
  </si>
  <si>
    <t>TRATOR AGRÍCOLA SOBRE PNEUS - 77 KW</t>
  </si>
  <si>
    <t>CONJUNTO VIBRATÓRIO PARA MEIO TUBO DE CONCRETO COM ENCAIXE PB E 3 JOGOS DE FÔRMAS - D = 0,40 M - 2,20 KW</t>
  </si>
  <si>
    <t>FRESADORA E DISTRIBUIDORA COM CONTROLE DE GREIDE - 287 KW</t>
  </si>
  <si>
    <t>CARREGADEIRA DE PNEUS PARA ROCHA COM CAPACIDADE DE 1,72 M³ - 113 KW</t>
  </si>
  <si>
    <t>DISTRIBUIDOR DE AGREGADOS REBOCÁVEL COM CAPACIDADE DE 1,9 M³</t>
  </si>
  <si>
    <t>CARREGADEIRA DE PNEUS COM CAPACIDADE DE 1,72 M³ - 113 KW</t>
  </si>
  <si>
    <t>MOTOSSERRA COM MOTOR A GASOLINA - 2,30 KW</t>
  </si>
  <si>
    <t>RÉGUA VIBRATÓRIA DUPLA COM 4 M - 4,10 KW</t>
  </si>
  <si>
    <t>SERRA PARA CORTE DE CONCRETO - 4 KW</t>
  </si>
  <si>
    <t>VIBROACABADORA DE CONCRETO SOBRE ESTEIRAS COM FÔRMAS DESLIZANTES - 205 KW</t>
  </si>
  <si>
    <t>MÁQUINA TEXTURIZADORA E APLICADORA DE CURA QUÍMICA EM PAVIMENTO DE CONCRETO - 44,80 KW</t>
  </si>
  <si>
    <t>CENTRAL DE CONCRETO COM CAPACIDADE DE 40 M³/H - DOSADORA FIXA</t>
  </si>
  <si>
    <t>SERRA PARA CORTE DE CONCRETO E ASFALTO - 10 KW</t>
  </si>
  <si>
    <t>DRAGA HOPPER COM CAPACIDADE DE 750 M³</t>
  </si>
  <si>
    <t>DRAGA HOPPER COM CAPACIDADE DE 1.000 M³</t>
  </si>
  <si>
    <t>DRAGA HOPPER COM CAPACIDADE DE 2.000 M³</t>
  </si>
  <si>
    <t>DRAGA HOPPER COM CAPACIDADE DE 3.000 M³</t>
  </si>
  <si>
    <t>DRAGA HOPPER COM CAPACIDADE DE 4.000 M³</t>
  </si>
  <si>
    <t>DRAGA HOPPER COM CAPACIDADE DE 5.000 M³</t>
  </si>
  <si>
    <t>CENTRAL DE CONCRETO COM CAPACIDADE DE 30 M³/H - DOSADORA RS</t>
  </si>
  <si>
    <t>EMBARCAÇÃO DE TRANSPORTE DE PESSOAL E APOIO LOGÍSTICO - 130 KW</t>
  </si>
  <si>
    <t>EMBARCAÇÃO EMPURRADORA MULTIPROPÓSITO COM GUINDASTE HIDRÁULICO DE 74 KN.M - 165 KW</t>
  </si>
  <si>
    <t>EMBARCAÇÃO REBOCADORA - 2 X 268 KW</t>
  </si>
  <si>
    <t>CONJUNTO DE BRITAGEM PARA RACHÃO COM CAPACIDADE DE 80 M³/H - 224 KW</t>
  </si>
  <si>
    <t>DRAGA DE SUCÇÃO PARA EXTRAÇÃO DE AREIA COM TUBO DE DESCARGA DE 150 MM - 100 KW</t>
  </si>
  <si>
    <t>COMPRESSOR DE AR PORTÁTIL DE 42,48 L/S (90 PCM) - 18,50 KW</t>
  </si>
  <si>
    <t>CONJUNTO DE BRITAGEM COM CAPACIDADE DE 80 M³/H - 313 KW</t>
  </si>
  <si>
    <t>PLATAFORMA FLUTUANTE MONTADA NA OBRA DE 12 X 24 X 1,8 M COM CAPACIDADE DE 150 T</t>
  </si>
  <si>
    <t>GUINDASTE MÓVEL SOBRE ESTEIRAS COM PINÇA COM CAPACIDADE DE 40 T - 186 KW</t>
  </si>
  <si>
    <t>BOMBA COM CAPACIDADE DE 136 M³/H E CÂMARA DE VÁCUO - 5,60 KW</t>
  </si>
  <si>
    <t>USINA MISTURADORA DE SOLOS COM CAPACIDADE DE 300 T/H - 44 KW</t>
  </si>
  <si>
    <t>USINA MISTURADORA DE PRÉ-MISTURADO A FRIO COM CAPACIDADE DE 60 T/H - 23,50 KW</t>
  </si>
  <si>
    <t>BATELÃO AUTOPROPELIDO COM CAPACIDADE DE 300 M³ - 224 KW</t>
  </si>
  <si>
    <t>BATELÃO AUTOPROPELIDO COM CAPACIDADE DE 500 M³ - 373 KW</t>
  </si>
  <si>
    <t>PONTÃO FLUTUANTE DE 15 X 30 X 1,8 M COM CAPACIDADE DE 500 T</t>
  </si>
  <si>
    <t>BOMBA DE INJEÇÃO DE ARGAMASSA E NATA COM CAPACIDADE DE 1,08 M³/H (18 L/MIN) E MISTURADOR COM TAMBOR DE 0,100 M³ - 6,20 KW</t>
  </si>
  <si>
    <t>MÁQUINA DE BANCADA UNIVERSAL PARA CORTE DE CHAPA - 1,50 KW</t>
  </si>
  <si>
    <t>MÁQUINA DE BANCADA GUILHOTINA - 4,00 KW</t>
  </si>
  <si>
    <t>DRAGA HOPPER COM CAPACIDADE DE 10.000 M³</t>
  </si>
  <si>
    <t>DRAGA HOPPER COM CAPACIDADE DE 15.000 M³</t>
  </si>
  <si>
    <t>DRAGA HOPPER COM CAPACIDADE DE 20.000 M³</t>
  </si>
  <si>
    <t>EMBARCAÇÃO HOTEL COM CAPACIDADE PARA 15 PESSOAS - 199 KW</t>
  </si>
  <si>
    <t>FÁBRICA DE PRÉ-MOLDADO DE CONCRETO PARA BALIZADOR - 2,20 KW</t>
  </si>
  <si>
    <t>COMPRESSOR DE AR PORTÁTIL DE 185,95 L/S (394 PCM) - 81,50 KW</t>
  </si>
  <si>
    <t>BOMBA SUBMERSÍVEL COM CAPACIDADE DE 75 M³/H - 3,6 KW</t>
  </si>
  <si>
    <t>BOMBA PARA CONCRETO PROJETADO VIA SECA COM CAPACIDADE DE 6 M³/H - 7,5 KW</t>
  </si>
  <si>
    <t>CONJUNTO VIBRATÓRIO PARA TUBOS DE CONCRETO COM ENCAIXE PB E 3 JOGOS DE FÔRMAS - D = 0,20 M - 2,20 KW</t>
  </si>
  <si>
    <t>CONJUNTO VIBRATÓRIO PARA TUBOS DE CONCRETO COM ENCAIXE PB E 3 JOGOS DE FÔRMAS - D = 0,30 M - 2,20 KW</t>
  </si>
  <si>
    <t>CONJUNTO VIBRATÓRIO PARA TUBOS DE CONCRETO COM ENCAIXE PB E 3 JOGOS DE FÔRMAS - D = 0,40 M - 2,20 KW</t>
  </si>
  <si>
    <t>DRAGA DE SUCÇÃO E RECALQUE COM POTÊNCIA DA BOMBA DE 294 KW E CORTADOR DE 30 KW</t>
  </si>
  <si>
    <t>DRAGA DE SUCÇÃO E RECALQUE COM POTÊNCIA DA BOMBA DE 483 KW E CORTADOR DE 55 KW</t>
  </si>
  <si>
    <t>DRAGA DE SUCÇÃO E RECALQUE COM POTÊNCIA DA BOMBA DE 746 KW E CORTADOR DE 110 KW</t>
  </si>
  <si>
    <t>DRAGA DE SUCÇÃO E RECALQUE COM POTÊNCIA DA BOMBA DE 1.350 KW E CORTADOR DE 170 KW</t>
  </si>
  <si>
    <t>EMBARCAÇÃO HOTEL COM CAPACIDADE PARA 30 PESSOAS - 2 X 112 KW</t>
  </si>
  <si>
    <t>COMPRESSOR DE AR PORTÁTIL DE 33,51 L/S (71 PCM) - 14 KW</t>
  </si>
  <si>
    <t>COMPRESSOR DE AR PORTÁTIL DE 75,04 L/S (159 PCM) - 33 KW</t>
  </si>
  <si>
    <t>PERFURATRIZ HIDRÁULICA SOBRE ESTEIRAS PARA ESTACA RAIZ - 56 KW</t>
  </si>
  <si>
    <t>EQUIPAMENTO PARA PINTURA A AR COMPRIMIDO DE PISTOLA COM CANECA COM CAPACIDADE DE 1.000 ML E COMPRESSOR DE 1,50 KW</t>
  </si>
  <si>
    <t>COMPRESSOR DE AR PORTÁTIL DE 58,52 L/S (124 PCM) - 27 KW</t>
  </si>
  <si>
    <t>COMPACTADOR MANUAL COM SOQUETE VIBRATÓRIO - 4,10 KW</t>
  </si>
  <si>
    <t>COMPRESSOR DE AR PORTÁTIL DE 422,86 L/S (896 PCM) - 213 KW</t>
  </si>
  <si>
    <t>COMPRESSOR DE AR PORTÁTIL DE 94,39 L/S (200 PCM) - 36 KW</t>
  </si>
  <si>
    <t>GUINDASTE MÓVEL SOBRE ESTEIRAS COM HAMMER GRAB - 186 KW</t>
  </si>
  <si>
    <t>COMPRESSOR DE AR PORTÁTIL DE 540,85 L/S (1.146 PCM) - 331,10 KW</t>
  </si>
  <si>
    <t>GUINDASTE MÓVEL SOBRE ESTEIRAS COM TRADO PARA ESCAVAÇÃO EM SOLOS - 186 KW</t>
  </si>
  <si>
    <t>GUINDASTE MÓVEL SOBRE ESTEIRAS COM TRADO COM BITS ESCAVAÇÃO EM ROCHA - 186 KW</t>
  </si>
  <si>
    <t>GUINDASTE MÓVEL SOBRE ESTEIRAS COM CAÇAMBA PARA ESCAVAÇÃO EM SOLOS - 186 KW</t>
  </si>
  <si>
    <t>GUINDASTE MÓVEL SOBRE ESTEIRAS COM CAÇAMBA PARA ESCAVAÇÃO EM ROCHA - 186 KW</t>
  </si>
  <si>
    <t>GUINDASTE MÓVEL SOBRE ESTEIRAS COM CAPACIDADE DE 40 T - 186 KW</t>
  </si>
  <si>
    <t>COMPRESSOR DE AR PORTÁTIL DE 89,67 L/S (190 PCM) - 36 KW</t>
  </si>
  <si>
    <t>EQUIPAMENTO PARA SOLDA E CORTE COM OXIACETILENO</t>
  </si>
  <si>
    <t>GUINDASTE MÓVEL SOBRE ESTEIRAS COM CAPACIDADE DE 80 T - 212 KW</t>
  </si>
  <si>
    <t>MESA VIBRATÓRIA - 2,20 KW</t>
  </si>
  <si>
    <t>COMPRESSOR DE AR PORTÁTIL DE 363,87 L/S (771 PCM) - 158,13 KW</t>
  </si>
  <si>
    <t>EQUIPAMENTO DE BATIMETRIA MULTIFEIXE</t>
  </si>
  <si>
    <t>EQUIPAMENTO DE MEDIÇÃO DE DESCARGA LÍQUIDA COM ADCP</t>
  </si>
  <si>
    <t>MARTELETE PERFURADOR/ROMPEDOR ELÉTRICO - 1,50 KW</t>
  </si>
  <si>
    <t>EMBARCAÇÃO DE TRANSPORTE DE PESSOAL E APOIO LOGÍSTICO - 90 KW</t>
  </si>
  <si>
    <t>MARTELETE PERFURADOR/ROMPEDOR A AR COMPRIMIDO DE 10 KG COM CAPACIDADE DE 1.800 GPM</t>
  </si>
  <si>
    <t>FRESADORA A FRIO - 410 KW</t>
  </si>
  <si>
    <t>ROLO COMPACTADOR LISO TANDEM VIBRATÓRIO AUTOPROPELIDO DE 10,4 T - 82 KW</t>
  </si>
  <si>
    <t>ROLO COMPACTADOR LISO TANDEM VIBRATÓRIO AUTOPROPELIDO DE 1,6 T - 18 KW</t>
  </si>
  <si>
    <t>MARTELETE PERFURADOR/ROMPEDOR ELÉTRICO - 0,90 KW</t>
  </si>
  <si>
    <t>VEÍCULO LEVE PICAPE 4 X 4 COM CAPACIDADE DE 1,10 T - 147 KW</t>
  </si>
  <si>
    <t>ROLO COMPACTADOR PÉ DE CARNEIRO VIBRATÓRIO AUTOPROPELIDO POR PNEUS DE 11,6 T - 82 KW</t>
  </si>
  <si>
    <t>USINA DE ASFALTO A QUENTE GRAVIMÉTRICA COM CAPACIDADE DE 100/140 T/H - 260 KW</t>
  </si>
  <si>
    <t>GUINCHO TRACIONADOR DE CORDOALHAS - 7,50 KW</t>
  </si>
  <si>
    <t>CALDEIRA PARA AQUECIMENTO E INJEÇÃO DE CERA - 1 KW</t>
  </si>
  <si>
    <t>MISTURADOR DE ARGAMASSA DE ALTA TURBULÊNCIA COM CAPACIDADE DE 220 L - 13 KW</t>
  </si>
  <si>
    <t>MINICARREGADEIRA DE PNEUS COM VASSOURA DE 1,8 M - 45,50 KW</t>
  </si>
  <si>
    <t>TRITURADORA DE GALHOS E TRONCOS REBOCÁVEL COM CAPACIDADE DE ATÉ 350 MM DE DIÂMETRO COM GUINCHO - 96,94 KW</t>
  </si>
  <si>
    <t>FRESADORA A FRIO - 155 KW</t>
  </si>
  <si>
    <t>JATEADOR PRESSURIZADO MULTIABRASIVO COM CAPACIDADE DE 280 L</t>
  </si>
  <si>
    <t>FÁBRICA DE PRÉ-MOLDADO DE CONCRETO PARA MOURÃO - 2,20 KW</t>
  </si>
  <si>
    <t>BATELÃO SEM PROPULSÃO MONTADO NA OBRA COM CAPACIDADE DE 66 M³</t>
  </si>
  <si>
    <t>MISTURADOR DE LAMA BENTONÍTICA - 4 KW</t>
  </si>
  <si>
    <t>MARTELETE PERFURADOR/ROMPEDOR A AR COMPRIMIDO DE 28 KG PARA CONCRETO COM CAPACIDADE DE 1.230 GPM</t>
  </si>
  <si>
    <t>DESARENADOR - 15 KW</t>
  </si>
  <si>
    <t>MICROTRATOR COM ROÇADEIRA - 10 KW</t>
  </si>
  <si>
    <t>SOCADORA AUTOMÁTICA DE LINHA - 253 KW</t>
  </si>
  <si>
    <t>REGULADORA E DISTRIBUIDORA DE LASTRO - 300 KW</t>
  </si>
  <si>
    <t>BATE-ESTACA COM MARTELO HIDRÁULICO - 450 KW</t>
  </si>
  <si>
    <t>CONJUNTO BOMBA E MACACO HIDRÁULICO PARA PROTENSÃO COM CAPACIDADE DE 590 KN - 3,70 KW</t>
  </si>
  <si>
    <t>MÁQUINA POLICORTE - 2,20 KW</t>
  </si>
  <si>
    <t>PÓRTICO DUPLO DE DESCARGA E POSICIONAMENTO DE DORMENTE - 89 KW</t>
  </si>
  <si>
    <t>TALHA MANUAL COM CAPACIDADE DE 3 T</t>
  </si>
  <si>
    <t>CONJUNTO BOMBA E MACACO HIDRÁULICO PARA PROTENSÃO COM CAPACIDADE DE 250 KN - 3,70 KW</t>
  </si>
  <si>
    <t>CONJUNTO BOMBA E MACACO HIDRÁULICO PARA PROTENSÃO COM CAPACIDADE DE 1.150 KN - 5 KW</t>
  </si>
  <si>
    <t>CONJUNTO BOMBA E MACACO HIDRÁULICO PARA PROTENSÃO COM CAPACIDADE DE 2.000 KN - 5 KW</t>
  </si>
  <si>
    <t>CONJUNTO BOMBA E MACACO HIDRÁULICO PARA PROTENSÃO COM CAPACIDADE DE 2.500 KN - 7 KW</t>
  </si>
  <si>
    <t>CONJUNTO BOMBA E MACACO HIDRÁULICO PARA PROTENSÃO COM CAPACIDADE DE 4.000 KN - 10 KW</t>
  </si>
  <si>
    <t>CONJUNTO BOMBA E MACACO HIDRÁULICO PARA PROTENSÃO COM CAPACIDADE DE 5.400 KN - 10 KW</t>
  </si>
  <si>
    <t>BATE-ESTACA STRAUSS - 15 KW</t>
  </si>
  <si>
    <t>POSICIONADORA DE TRILHOS - 7,40 KW</t>
  </si>
  <si>
    <t>TIREFONADORA/PARAFUSADORA PORTÁTIL - 3,10 KW</t>
  </si>
  <si>
    <t>EQUIPAMENTO PARA PINTURA ELETROSTÁTICA COM CABINE SIMPLES DE 5,50 KW E ESTUFA DE 2X120.000 KCAL</t>
  </si>
  <si>
    <t>GRUPO VIBRADOR COM GERADOR - 2,80 KW</t>
  </si>
  <si>
    <t>MÁQUINA DE FURAR DORMENTE PORTÁTIL - 1,50 KW</t>
  </si>
  <si>
    <t>MÁQUINA PARA FURAR DORMENTE - 6,70 KW</t>
  </si>
  <si>
    <t>MÁQUINA TIREFONADORA E PARAFUSADORA - 6,70 KW</t>
  </si>
  <si>
    <t>BOMBA PROJETORA DE ARGAMASSA COM CAPACIDADE DE 2 M³/H - 5,50 KW</t>
  </si>
  <si>
    <t>MÁQUINA PARA SERRAR TRILHO - 5,00 KW</t>
  </si>
  <si>
    <t>MÁQUINA PARA FURAR TRILHO - 1,20 KW</t>
  </si>
  <si>
    <t>CONJUNTO PARA PRÉ-AQUECIMENTO DE TRILHO EM SOLDA ALUMINOTÉRMICA</t>
  </si>
  <si>
    <t>MÁQUINA DE ESMERILHAR TOPO E LATERAL DE BOLETO - 5,20 KW</t>
  </si>
  <si>
    <t>QUADRO TUBULAR CONTRAVENTADO PARA ANDAIME DE 1 X 1 X 1 M COM CAPACIDADE DE 2 T</t>
  </si>
  <si>
    <t>TRATOR AGRÍCOLA SOBRE PNEUS COM ROÇADEIRA ARTICULADA E CAPACIDADE DE 1,12 M - 77 KW</t>
  </si>
  <si>
    <t>TRATOR AGRÍCOLA SOBRE PNEUS COM ROÇADEIRA DE ARRASTE E CAPACIDADE DE 1,50 M - 77 KW</t>
  </si>
  <si>
    <t>CONJUNTO BOMBA E PRENSA PARA LUVA DE EMENDA DE 25 MM</t>
  </si>
  <si>
    <t>CONJUNTO BOMBA E PRENSA PARA LUVA DE EMENDA DE 32 MM</t>
  </si>
  <si>
    <t>ROSQUEADEIRA PARA ROSCA CÔNICA - 0,75 KW</t>
  </si>
  <si>
    <t>JATEADOR PORTÁTIL MULTIABRASIVO COM CAPACIDADE DE 300 KG</t>
  </si>
  <si>
    <t>BOMBA DE INJEÇÃO DE ARGAMASSA COM CAPACIDADE DE 50 L/MIN</t>
  </si>
  <si>
    <t>GRUPO GERADOR - 23 KVA</t>
  </si>
  <si>
    <t>GRUPO GERADOR - 68 KVA</t>
  </si>
  <si>
    <t>BOMBA DE ALTA PRESSÃO PARA JET GROUTING DE ATÉ 45 MPA - 150 KW</t>
  </si>
  <si>
    <t>CALANDRA PARA CHAPAS DE AÇO ATÉ 25 MM - 22 KW</t>
  </si>
  <si>
    <t>VIBROACABADORA DE ASFALTO SOBRE PNEUS - 82 KW</t>
  </si>
  <si>
    <t>PERFURATRIZ MANUAL PARA COROA DIAMANTADA - 1,60 KW</t>
  </si>
  <si>
    <t>GUINCHO DE COLUNA COM CAPACIDADE DE 200 KG - 0,92 KW</t>
  </si>
  <si>
    <t>ROLO COMPACTADOR DE PNEUS AUTOPROPELIDO DE 27 T - 85 KW</t>
  </si>
  <si>
    <t>GRUPO GERADOR - 40 KVA</t>
  </si>
  <si>
    <t>GRUPO GERADOR - 7,2 KVA</t>
  </si>
  <si>
    <t>GRUPO GERADOR - 569 KVA</t>
  </si>
  <si>
    <t>PRENSA HIDRÁULICA PARA FABRICAÇÃO DE BLOCOS PRÉ-MOLDADOS - 20 KW</t>
  </si>
  <si>
    <t>COMPRESSOR DE AR PORTÁTIL DE 9,44 L/S (20 PCM) A GASOLINA - 5,22 KW</t>
  </si>
  <si>
    <t>COMPRESSOR DE AR PORTÁTIL DE 373,78 L/S (792 PCM) - 213,30 KW</t>
  </si>
  <si>
    <t>CUNHA HIDRÁULICA COM TRÊS CILINDROS E ACESSÓRIOS COM CAPACIDADE DE 3.000 KN - 5,60 KW</t>
  </si>
  <si>
    <t>RETROESCAVADEIRA DE PNEUS COM CAÇAMBA DE ESCAVAÇÃO TRAPEZOIDAL OU TRIANGULAR COM SEÇÃO DE CORTE INFERIOR A 0,10 M² - 58 KW</t>
  </si>
  <si>
    <t>RETROESCAVADEIRA DE PNEUS COM CAÇAMBA DE ESCAVAÇÃO TRAPEZOIDAL OU TRIANGULAR COM SEÇÃO DE CORTE DE 0,10 A 0,15 M² - 58 KW</t>
  </si>
  <si>
    <t>RETROESCAVADEIRA DE PNEUS COM CAÇAMBA DE ESCAVAÇÃO TRAPEZOIDAL OU TRIANGULAR COM SEÇÃO DE CORTE DE 0,15 A 0,20 M² - 58 KW</t>
  </si>
  <si>
    <t>RETROESCAVADEIRA DE PNEUS COM CAÇAMBA DE ESCAVAÇÃO TRAPEZOIDAL OU TRIANGULAR COM SEÇÃO DE CORTE DE 0,20 A 0,30 M² - 58 KW</t>
  </si>
  <si>
    <t>RETROESCAVADEIRA DE PNEUS COM CAÇAMBA DE ESCAVAÇÃO TRAPEZOIDAL OU TRIANGULAR COM SEÇÃO DE CORTE DE 0,30 A 0,50 M² - 58 KW</t>
  </si>
  <si>
    <t>ESCAVADEIRA HIDRÁULICA COM MARTELO HIDRÁULICO DE 1.700 KG - 103 KW</t>
  </si>
  <si>
    <t>GRUPO GERADOR - 174 KVA</t>
  </si>
  <si>
    <t>EXTRUSORA DE BARREIRA DE CONCRETO - 74 KW</t>
  </si>
  <si>
    <t>GRUPO GERADOR - 338 KVA</t>
  </si>
  <si>
    <t>GRUPO GERADOR - 113 KVA</t>
  </si>
  <si>
    <t>MISTURADOR AUTOMÁTICO PARA GRAUTEAMENTO COM CAPACIDADE DE 20 M³/H - 7 KW</t>
  </si>
  <si>
    <t>MISTURADOR COM BOMBA PARA GRAUTEAMENTO TIPO FLEX E OU SIMILAR - 25 KW</t>
  </si>
  <si>
    <t>PERFURATRIZ PNEUMÁTICA COM AVANÇO DE COLUNA DE 33,5 KG COM CAPACIDADE DE 2.280 GPM</t>
  </si>
  <si>
    <t>PLATAFORMA AUTOPROPELIDA COM ALCANCE DE 12 M COM CAPACIDADE DE 700 KG - 24 KW</t>
  </si>
  <si>
    <t>GUINDASTE MÓVEL SOBRE PNEUS COM 2 EIXOS COM CAPACIDADE MÁXIMA DE 55 T - 186 KW</t>
  </si>
  <si>
    <t>MISTURADOR DE ARGAMASSA COM CAPACIDADE DE 0,250 M³ - 3,70 KW</t>
  </si>
  <si>
    <t>CARRO MANUAL MODELO PLATAFORMA DE 150 X 80 CM COM CAPACIDADE DE 800 KG</t>
  </si>
  <si>
    <t>BOMBA PARA CONCRETO PROJETADO VIA ÚMIDA COM CAPACIDADE DE 10 M³/H - 14,70 KW</t>
  </si>
  <si>
    <t>BOMBA PNEUMÁTICA PARA INJEÇÃO DE RESINA COM CAPACIDADE DE 0,18 M³/H</t>
  </si>
  <si>
    <t>ROBOT PARA CONCRETO PROJETADO COM CAPACIDADE DE 30 M³/H - 70 KW - COM COMPRESSOR DIESEL</t>
  </si>
  <si>
    <t>PERFURATRIZ DE SUPERFÍCIE SOBRE PNEUS COM MARTELO DE TOPO E CONTROLE REMOTO VIA RÁDIO - 60 KW</t>
  </si>
  <si>
    <t>JUMBO ELETRO-HIDRÁULICO COM 3 BRAÇOS - 155 KW/237 KW</t>
  </si>
  <si>
    <t>PERFURATRIZ HIDRÁULICA ROTOPERCUSSIVA - 123 KW</t>
  </si>
  <si>
    <t>CAMINHÃO TANQUE DE ASFALTO COM CAPACIDADE DE 31.000 L - 265 KW</t>
  </si>
  <si>
    <t>CAVALO MECÂNICO ESTRADEIRO 6 X 2, PBT 23.000 KG - 265 KW - CONDIÇÃO DE TRABALHO SEVERA - MOTORISTA DE CAMINHÃO</t>
  </si>
  <si>
    <t>TANQUE ISOTÉRMICO DE ASFALTO COM CAPACIDADE DE 31.000 L</t>
  </si>
  <si>
    <t>CAVALO MECÂNICO COM DOLLY INTERMEDIÁRIO E SEMIRREBOQUE DE 4 EIXOS COM CAPACIDADE DE 53 T - 323 KW</t>
  </si>
  <si>
    <t>CAVALO MECÂNICO ESTRADEIRO 6 X 4, PBT 23.000 KG - 323 KW - MOTORISTA DE VEÍCULO ESPECIAL</t>
  </si>
  <si>
    <t>SEMIRREBOQUE COM 4 EIXOS</t>
  </si>
  <si>
    <t>DOLLY INTERMEDIÁRIO COM 2 EIXOS PARA SEMIRREBOQUE</t>
  </si>
  <si>
    <t>CAMINHÃO DISTRIBUIDOR DE CIMENTO E CAL COM CAPACIDADE DE 17 M³ - 210 KW</t>
  </si>
  <si>
    <t>CAMINHÃO PLATAFORMA 8 X 2, PBTC 36.000 KG E DISTÂNCIA ENTRE EIXOS 4,8 M - 210 KW - MOTORISTA DE CAMINHÃO</t>
  </si>
  <si>
    <t>DISTRIBUIDOR DE CIMENTO MONTADO SOBRE CHASSI COM CAPACIDADE DE 17 M³</t>
  </si>
  <si>
    <t>PLATAFORMA DE INSPEÇÃO SOB PONTES MONTADA EM CAMINHÃO COM CAPACIDADE DE 500 KG E ALCANCE DE 15 M - 188 KW</t>
  </si>
  <si>
    <t>CAMINHÃO PLATAFORMA 8 X 2, PBT 29.000 KG E DISTÂNCIA ENTRE EIXOS 4,8 M - 188 KW - CONDIÇÃO DE TRABALHO SEVERA - MOTORISTA DE VEÍCULO ESPECIAL</t>
  </si>
  <si>
    <t>PLATAFORMA TELESCÓPICA PARA INSPEÇÃO DE PONTES MONTADA SOBRE CHASSI COM CAPACIDADE DE 500 KG</t>
  </si>
  <si>
    <t>CAMINHÃO CARROCERIA COM GUINDAUTO COM CAPACIDADE DE 45 T.M - 188 KW</t>
  </si>
  <si>
    <t>CAMINHÃO PLATAFORMA 6 X 2, PBT 23.000 KG E DISTÂNCIA ENTRE EIXOS 5,4 M - 188 KW - MOTORISTA DE VEÍCULO ESPECIAL</t>
  </si>
  <si>
    <t>CARROCERIA DE MADEIRA COM CAPACIDADE DE 11 T</t>
  </si>
  <si>
    <t>GUINDASTE ARTICULADO MONTADO SOBRE CHASSI COM CAPACIDADE DE 45 T.M</t>
  </si>
  <si>
    <t>BATE-ESTACA HIDRÁULICO PARA DEFENSAS MONTADO EM CAMINHÃO GUINDAUTO COM CAPACIDADE DE 20 T.M E CARROCERIA DE 4 T - 136 KW</t>
  </si>
  <si>
    <t>CAMINHÃO PLATAFORMA 4 X 2, PBT 14.300 KG E DISTÂNCIA ENTRE EIXOS 4,8 M - 136 KW - CONDIÇÃO DE TRABALHO SEVERA - MOTORISTA DE CAMINHÃO</t>
  </si>
  <si>
    <t>CARROCERIA DE MADEIRA COM CAPACIDADE DE 4 T</t>
  </si>
  <si>
    <t>GUINDASTE ARTICULADO MONTADO SOBRE CHASSI COM CAPACIDADE DE 20 T.M</t>
  </si>
  <si>
    <t>BATE-ESTACA HIDRÁULICO PARA DEFENSAS METÁLICAS MONTADA SOBRE CHASSI</t>
  </si>
  <si>
    <t>CAMINHÃO DE RESGATE DE VEÍCULOS LEVES COM PLATAFORMA COM CAPACIDADE DE 4 T - 115 KW</t>
  </si>
  <si>
    <t>CAMINHÃO PLATAFORMA 4 X 2 PBT 9.600 KG E DISTÂNCIA ENTRE EIXOS 3,7 M - 115 KW - MOTORISTA DE VEÍCULO ESPECIAL</t>
  </si>
  <si>
    <t>PLATAFORMA HIDRÁULICA PARA RESGATE DE VEÍCULOS MONTADA SOBRE CHASSI COM CAPACIDADE DE 4 T</t>
  </si>
  <si>
    <t>CAMINHÃO DE RESGATE DE VEÍCULOS DE PORTE MÉDIO COM CAPACIDADE DO GUINCHO DE 20 T - 136 KW</t>
  </si>
  <si>
    <t>CAMINHÃO PLATAFORMA 4 X 2, PBT 16.000 KG E DISTÂNCIA ENTRE EIXOS 3,6 M - 136 KW - MOTORISTA DE VEÍCULO ESPECIAL</t>
  </si>
  <si>
    <t>GUINCHO REBOCADOR PARA RESGATE DE VEÍCULOS MONTADA SOBRE CHASSI COM CAPACIDADE DE 20 T</t>
  </si>
  <si>
    <t>CAMINHÃO DE RESGATE DE VEÍCULOS PESADOS COM DOIS GUINCHOS COM CAPACIDADE DE 35 T - 240 KW</t>
  </si>
  <si>
    <t>CAMINHÃO PLATAFORMA 6 X 2, PBT 23.000 KG E DISTÂNCIA ENTRE EIXOS 4,8 M - 240 KW - MOTORISTA DE VEÍCULO ESPECIAL</t>
  </si>
  <si>
    <t>GUINCHO REBOCADOR PARA RESGATE DE VEÍCULOS MONTADA SOBRE CHASSI COM CAPACIDADE DE 35 T</t>
  </si>
  <si>
    <t>CAVALO MECÂNICO SEM REBOQUE - 210 KW</t>
  </si>
  <si>
    <t>CAVALO MECÂNICO 4 X 2, PBT 16.000 KG - 210 KW - MOTORISTA DE CAMINHÃO</t>
  </si>
  <si>
    <t>PAINEL COM SETA LUMINOSA PARA MONTAGEM EM CAMINHÃO</t>
  </si>
  <si>
    <t>PAINEL COM SETA LUMINOSA MONTADO SOBRE CHASSI</t>
  </si>
  <si>
    <t>AMORTECEDOR RETRÁTIL (AMC) PARA MONTAGEM EM CAMINHÃO</t>
  </si>
  <si>
    <t>AMORTECEDOR RETRÁTIL MONTADO EM CAMINHÃO</t>
  </si>
  <si>
    <t>CAMINHÃO BASCULANTE PARA CONCRETO COM CAPACIDADE DE 7 M³ - 188 KW</t>
  </si>
  <si>
    <t>CAMINHÃO PLATAFORMA 8 X 2, PBT 29.000 KG E DISTÂNCIA ENTRE EIXOS 4,8 M - 188 KW - MOTORISTA DE CAMINHÃO</t>
  </si>
  <si>
    <t>CAÇAMBA BASCULANTE PARA CONCRETO COM CAPACIDADE DE 7 M³</t>
  </si>
  <si>
    <t>CAMINHÃO SILO COM CAPACIDADE DE 30 M³ - 265 KW</t>
  </si>
  <si>
    <t>SEMIRREBOQUE SILO PARA CIMENTO COM CAPACIDADE DE 30 M³</t>
  </si>
  <si>
    <t>CAVALO MECÂNICO COM DOLLY PNEUMÁTICO DE 4 EIXOS E MESAS DE GIRO COM CAPACIDADE DE 57 T - 323 KW</t>
  </si>
  <si>
    <t>CONJUNTO DE DUAS MESAS DE GIRO PARA QUINTA RODA OU REBOQUE COM CAPACIDADE DE 100 T CADA</t>
  </si>
  <si>
    <t>DOLLY PNEUMÁTICO COM CAPACIDADE DE 48 T E 4 EIXOS</t>
  </si>
  <si>
    <t>CAVALO MECÂNICO COM DOIS DOLLYS PNEUMÁTICOS DE 3 E 4 EIXOS E MESAS DE GIRO COM CAPACIDADE DE 77 T - 323 KW</t>
  </si>
  <si>
    <t>CAVALO MECÂNICO ESTRADEIRO 6 X 4, CMT 123.000 KG - 323 KW - MOTORISTA DE VEÍCULO ESPECIAL</t>
  </si>
  <si>
    <t>DOLLY PNEUMÁTICO COM CAPACIDADE DE 28,5 T E 3 EIXOS</t>
  </si>
  <si>
    <t>CAVALO MECÂNICO COM DOIS DOLLYS PNEUMÁTICOS DE 4 E 5 EIXOS E MESAS DE GIRO COM CAPACIDADE DE 111 T - 440 KW</t>
  </si>
  <si>
    <t>CAVALO MECÂNICO 8 X 8, PBT 26.000 KG - 440 KW -  MOTORISTA DE VEÍCULO ESPECIAL</t>
  </si>
  <si>
    <t>DOLLY PNEUMÁTICO COM CAPACIDADE DE 60 T E 5 EIXOS</t>
  </si>
  <si>
    <t>CAMINHÃO COM SISTEMA DE HIDROJATEAMENTO DE ALTA PRESSÃO E VÁCUO PARA LIMPEZA E DESOBSTRUÇÃO DE BUEIROS COM CAPACIDADE TOTAL DE 15.600 L - 188 KW</t>
  </si>
  <si>
    <t>EQUIPAMENTO COM SISTEMA DE HIDROJATEAMENTO DE ALTA PRESSÃO E VÁCUO PARA LIMPEZA E DESOBSTRUÇÃO DE BUEIROS COM DIÂMETRO DE ATÉ 1.500 MM COM CAPACIDADE TOTAL DE 15.600 L</t>
  </si>
  <si>
    <t>CAMINHÃO BASCULANTE PARA ROCHA COM CAPACIDADE DE 12 M³ - 188 KW COM PERICULOSIDADE</t>
  </si>
  <si>
    <t>CAMINHÃO PLATAFORMA 8 X 2 PBT 29.000 KG E DISTÂNCIA ENTRE EIXOS 4,8 M - 188 KW - MOTORISTA DE VEÍCULO ESPECIAL COM PERICULOSIDADE</t>
  </si>
  <si>
    <t>CAÇAMBA BASCULANTE PARA ROCHA COM CAPACIDADE DE 12 M³</t>
  </si>
  <si>
    <t>PLATAFORMA PANTOGRÁFICA MONTADA EM CAMINHÃO - 115 KW COM PERICULOSIDADE</t>
  </si>
  <si>
    <t>CAMINHÃO PLATAFORMA 4 X 2, PBT 8.300 KG E DISTÂNCIA ENTRE EIXOS 3,7 M - 115 KW - MOTORISTA DE VEÍCULO ESPECIAL COM PERICULOSIDADE</t>
  </si>
  <si>
    <t>PLATAFORMA PANTOGRÁFICA HIDRÁULICA MONTADA SOBRE CHASSI COM CAPACIDADE DE 600 KG - COM PERICULOSIDADE</t>
  </si>
  <si>
    <t>CAMINHÃO BASCULANTE COM CAPACIDADE DE 6 M³ - 136 KW</t>
  </si>
  <si>
    <t>CAMINHÃO PLATAFORMA 4 X 2, PBT 16.000 KG E DISTÂNCIA ENTRE EIXOS 3,6 M - 136 KW - MOTORISTA DE CAMINHÃO</t>
  </si>
  <si>
    <t>CAÇAMBA BASCULANTE COM CAPACIDADE DE 6 M³</t>
  </si>
  <si>
    <t>CAMINHÃO CARROCERIA COM CAPACIDADE DE 9 T - 136 KW</t>
  </si>
  <si>
    <t>CAMINHÃO PLATAFORMA 4 X 2, PBT 16.000 KG E DISTÂNCIA ENTRE EIXOS 4,8 M - 136 KW - MOTORISTA DE CAMINHÃO</t>
  </si>
  <si>
    <t>CARROCERIA DE MADEIRA COM CAPACIDADE DE 9 T</t>
  </si>
  <si>
    <t>CAMINHÃO TANQUE DISTRIBUIDOR DE ASFALTO COM CAPACIDADE DE 6.000 L - 7 KW/136 KW</t>
  </si>
  <si>
    <t>TANQUE ESPARGIDOR DE ASFALTO COM CAPACIDADE DE 6.000 L - 7 KW</t>
  </si>
  <si>
    <t>CAMINHÃO COM CAÇAMBA TÉRMICA COM CAPACIDADE DE 6 M³ - 188 KW</t>
  </si>
  <si>
    <t>CAMINHÃO PLATAFORMA 6 X 2, PBT 23.000 KG E DISTÂNCIA ENTRE EIXOS 4,8 M - 188 KW - MOTORISTA DE CAMINHÃO</t>
  </si>
  <si>
    <t>CAÇAMBA TÉRMICA COM CAPACIDADE DE 6 M³</t>
  </si>
  <si>
    <t>CAMINHÃO TANQUE COM CAPACIDADE DE 10.000 L - 188 KW</t>
  </si>
  <si>
    <t>CAMINHÃO PLATAFORMA 6 X 2, PBT 23.000 KG E DISTÂNCIA ENTRE EIXOS 4,8 M - 188 KW - CONDIÇÃO DE TRABALHO SEVERA - MOTORISTA DE CAMINHÃO</t>
  </si>
  <si>
    <t>TANQUE PARA TRANSPORTE DE ÁGUA COM CAPACIDADE DE 10.000 L</t>
  </si>
  <si>
    <t>CAMINHÃO BASCULANTE COM CAÇAMBA ESTANQUE COM CAPACIDADE DE 14 M³ - 188 KW</t>
  </si>
  <si>
    <t>CAMINHÃO PLATAFORMA 8 X 2, PBT 29.000 KG E DISTÂNCIA ENTRE EIXOS 4,8 M - 188 KW - MOTORISTA DE VEÍCULO ESPECIAL</t>
  </si>
  <si>
    <t>CAÇAMBA BASCULANTE ESTANQUE COM CAPACIDADE DE 14 M³</t>
  </si>
  <si>
    <t>CAMINHÃO BASCULANTE COM CAPACIDADE DE 10 M³ - 188 KW</t>
  </si>
  <si>
    <t>CAÇAMBA BASCULANTE COM CAPACIDADE DE 10 M³</t>
  </si>
  <si>
    <t>CAMINHÃO CARROCERIA COM CAPACIDADE DE 15 T - 188 KW</t>
  </si>
  <si>
    <t>CAMINHÃO PLATAFORMA 6 X 2, PBT 23.000 KG E DISTÂNCIA ENTRE EIXOS 5,4 M - 188 KW - MOTORISTA DE CAMINHÃO</t>
  </si>
  <si>
    <t>CARROCERIA DE MADEIRA COM CAPACIDADE DE 15 T</t>
  </si>
  <si>
    <t>CAMINHÃO BETONEIRA COM CAPACIDADE DE 8 M³ - 188 KW</t>
  </si>
  <si>
    <t>MISTURADOR DE CONCRETO PARA MONTAGEM EM CHASSI DE CAMINHÃO COM CAPACIDADE DE 8 M³</t>
  </si>
  <si>
    <t>CAMINHÃO BASCULANTE PARA ROCHA COM CAPACIDADE DE 8 M³ - 210 KW</t>
  </si>
  <si>
    <t>CAMINHÃO BASCULANTE 6 X 4, PBT 23.000 KG E DISTÂNCIA ENTRE EIXOS 3,6 M - 210 KW -  MOTORISTA DE CAMINHÃO</t>
  </si>
  <si>
    <t>CAÇAMBA BASCULANTE PARA ROCHA COM CAPACIDADE DE 8 M³</t>
  </si>
  <si>
    <t>CAMINHÃO TANQUE COM CAPACIDADE DE 6.000 L - 136 KW</t>
  </si>
  <si>
    <t>TANQUE PARA TRANSPORTE DE ÁGUA COM CAPACIDADE DE 6.000 L</t>
  </si>
  <si>
    <t>CAMINHÃO DEMARCADOR DE FAIXAS COM SISTEMA DE PINTURA A FRIO - 28 KW/115 KW</t>
  </si>
  <si>
    <t>CAMINHÃO PLATAFORMA 4 X 2, PBT 8.300 KG E DISTÂNCIA ENTRE EIXOS 4,4 M - 115 KW - MOTORISTA DE VEÍCULO ESPECIAL</t>
  </si>
  <si>
    <t>EQUIPAMENTO DEMARCADOR DE FAIXAS A FRIO MONTADO SOBRE CHASSI COM CAPACIDADE DE 800 L - 28 KW</t>
  </si>
  <si>
    <t>CAMINHÃO DEMARCADOR DE FAIXAS COM SISTEMA DE PINTURA A QUENTE - 5 KW/30,10 KW/136 KW</t>
  </si>
  <si>
    <t>CAMINHÃO PLATAFORMA 4 X 2, PBT 14.300 KG E DISTÂNCIA ENTRE EIXOS 4,8 M - 136 KW - MOTORISTA DE VEÍCULO ESPECIAL</t>
  </si>
  <si>
    <t>COMPRESSOR DE AR PORTÁTIL DE 70,79 L/S (150 PCM) SEM REBOQUE - 30,10 KW</t>
  </si>
  <si>
    <t>EQUIPAMENTO DEMARCADOR DE FAIXAS A QUENTE MONTADO SOBRE CHASSI COM CAPACIDADE DE 500 L - 5,0 KW</t>
  </si>
  <si>
    <t>CAMINHÃO BASCULANTE COM CAPACIDADE DE 4 M³ - 136 KW</t>
  </si>
  <si>
    <t>CAMINHÃO PLATAFORMA 4 X 2, PBT 14.300 KG E DISTÂNCIA ENTRE EIXOS 4,8 M - 136 KW - MOTORISTA DE CAMINHÃO</t>
  </si>
  <si>
    <t>CAÇAMBA BASCULANTE COM CAPACIDADE DE 4 M³</t>
  </si>
  <si>
    <t>CAVALO MECÂNICO COM SEMIRREBOQUE COM CAPACIDADE DE 22 T - 240 KW</t>
  </si>
  <si>
    <t>CAVALO MECÂNICO 4 X 2, PBT 16.000 KG - 240 KW - MOTORISTA DE VEÍCULO ESPECIAL</t>
  </si>
  <si>
    <t>SEMIRREBOQUE COM 2 EIXOS</t>
  </si>
  <si>
    <t>CAVALO MECÂNICO COM SEMIRREBOQUE COM CAPACIDADE DE 30 T - 265 KW</t>
  </si>
  <si>
    <t>CAVALO MECÂNICO ESTRADEIRO 6 X 2, PBT 23.000 KG - 265 KW - MOTORISTA DE CAMINHÃO</t>
  </si>
  <si>
    <t>SEMIRREBOQUE COM 3 EIXOS</t>
  </si>
  <si>
    <t>CAMINHÃO BASCULANTE COM CAPACIDADE DE 14 M³ - 188 KW</t>
  </si>
  <si>
    <t>CAÇAMBA BASCULANTE COM CAPACIDADE DE 14 M³</t>
  </si>
  <si>
    <t>CAMINHÃO TANQUE COM CAPACIDADE DE 8.000 L - 136 KW</t>
  </si>
  <si>
    <t>CAMINHÃO PLATAFORMA 4 X 2, PBT 16.000 KG E DISTÂNCIA ENTRE EIXOS 4,8 M - 136 KW - CONDIÇÃO DE TRABALHO SEVERA - MOTORISTA DE CAMINHÃO</t>
  </si>
  <si>
    <t>TANQUE PARA TRANSPORTE DE ÁGUA COM CAPACIDADE DE 8.000 L</t>
  </si>
  <si>
    <t>USINA MÓVEL DE LAMA ASFÁLTICA OU MICRORREVESTIMENTO COM CAVALO MECÂNICO COM CAPACIDADE DE 12 M³ - 95,6 KW/240 KW</t>
  </si>
  <si>
    <t>CAVALO MECÂNICO 4 X 2, PBT 16.000 KG - 240 KW - CONDIÇÃO DE TRABALHO SEVERA - MOTORISTA DE VEÍCULO ESPECIAL</t>
  </si>
  <si>
    <t>USINA DE LAMA ASFÁLTICA OU MICRORREVESTIMENTO ASFÁLTICO REBOCÁVEL COM CAPACIDADE DE 12 M³ - 95,6 KW</t>
  </si>
  <si>
    <t>CAMINHÃO BASCULANTE PARA ROCHA COM CAPACIDADE DE 12 M³ - 188 KW</t>
  </si>
  <si>
    <t>CAVALO MECÂNICO COM DOIS REBOQUES HIDROPNEUMÁTICOS DE 5 E 4 EIXOS E MESAS DE GIRO COM CAPACIDADE DE 130 T - 440 KW</t>
  </si>
  <si>
    <t>REBOQUE HIDROPNEUMÁTICO COM CAPACIDADE DE 166 T E 4 EIXOS</t>
  </si>
  <si>
    <t>REBOQUE HIDROPNEUMÁTICO COM CAPACIDADE DE 117 T E 5 EIXOS</t>
  </si>
  <si>
    <t>CAMINHÃO TANQUE COM CAPACIDADE DE 13.000 L - 188 KW</t>
  </si>
  <si>
    <t>TANQUE PARA TRANSPORTE DE ÁGUA COM CAPACIDADE DE 13.000 L</t>
  </si>
  <si>
    <t>CAMINHÃO CARROCERIA COM GUINDAUTO COM CAPACIDADE DE 20 T.M - 136 KW</t>
  </si>
  <si>
    <t>CAMINHÃO PLATAFORMA 4 X 2, PBT 16.000 KG E DISTÂNCIA ENTRE EIXOS 4,8 M - 136 KW - MOTORISTA DE VEÍCULO ESPECIAL</t>
  </si>
  <si>
    <t>CARROCERIA DE MADEIRA COM CAPACIDADE DE 7 T</t>
  </si>
  <si>
    <t>CAMINHÃO CARROCERIA COM CAPACIDADE DE 5 T - 115 KW</t>
  </si>
  <si>
    <t>CAMINHÃO PLATAFORMA 4 X 2, PBT 9.600 KG E DISTÂNCIA ENTRE EIXOS 3,7 M - 115 KW - MOTORISTA DE CAMINHÃO</t>
  </si>
  <si>
    <t>CARROCERIA DE MADEIRA COM CAPACIDADE DE 5 T</t>
  </si>
  <si>
    <t>CAMINHÃO CARROCERIA COM GUINDAUTO E CESTO AÉREO COM CAPACIDADE DE 10 T.M - 136 KW</t>
  </si>
  <si>
    <t>CESTO AÉREO SIMPLES ISOLADO COM CAPACIDADE PARA 135 KG</t>
  </si>
  <si>
    <t>GUINDASTE ARTICULADO MONTADO SOBRE CHASSI COM CAPACIDADE DE 10 T.M</t>
  </si>
  <si>
    <t>CAMINHÃO DEMARCADOR DE FAIXAS COM SISTEMA DE PINTURA SPRAY - 115 KW</t>
  </si>
  <si>
    <t>CAMINHÃO PLATAFORMA 4 X 2, PBT 9.600 KG E DISTÂNCIA ENTRE EIXOS 3,7 M - 115 KW - CONDIÇÃO DE TRABALHO SEVERA - MOTORISTA DE CAMINHÃO</t>
  </si>
  <si>
    <t>EQUIPAMENTO DEMARCADOR DE FAIXAS SISTEMA SPRAY MONTADO SOBRE CHASSI COM CAPACIDADE 1.080 L</t>
  </si>
  <si>
    <t>PLATAFORMA PANTOGRÁFICA MONTADA EM CAMINHÃO - 115 KW</t>
  </si>
  <si>
    <t>CAMINHÃO PLATAFORMA 4 X 2, PBT 8.300 KG E DISTÂNCIA ENTRE EIXOS 3,7 M - 115 KW - MOTORISTA DE VEÍCULO ESPECIAL</t>
  </si>
  <si>
    <t>PLATAFORMA PANTOGRÁFICA HIDRÁULICA MONTADA SOBRE CHASSI COM CAPACIDADE DE 600 KG</t>
  </si>
  <si>
    <t>BOMBA PARA CONCRETO COM LANÇA MONTADA SOBRE CHASSI COM CAPACIDADE DE 50 M³/H - 136 KW</t>
  </si>
  <si>
    <t>BOMBA PARA CONCRETO COM LANÇA MONTADA SOBRE CHASSI COM CAPACIDADE DE 50 M³/H</t>
  </si>
  <si>
    <t>CAMINHÃO PARA HIDROSSEMEADURA COM CAPACIDADE DE 7.500 L - 136 KW</t>
  </si>
  <si>
    <t>TANQUE PARA HIDROSSEMEADURA COM CAPACIDADE DE 7.500 L</t>
  </si>
  <si>
    <t>CUSTOS DE SERVIÇOS - DER/PR - FEVEREIRO/2023 - SEM DESONERAÇÃO</t>
  </si>
  <si>
    <t>A acrescer</t>
  </si>
  <si>
    <t>CUSTOS DE MATERIAIS - DER/PR - FEVEREIRO/2023 - SEM DESONERAÇÃO</t>
  </si>
  <si>
    <t>ENCARGOS SOCIAIS = 141,67%</t>
  </si>
  <si>
    <t>CUSTOS DE MÃO DE OBRA - DER/PR - FEVEREIRO/2023 - SEM DESONERAÇÃO</t>
  </si>
  <si>
    <t>1,00X1 + 1,21X2</t>
  </si>
  <si>
    <t>0,73X1 + 0,88X2</t>
  </si>
  <si>
    <t>1,00X1 + 1,21X2 + 2,52</t>
  </si>
  <si>
    <t>0,73X1 + 0,88X2 + 7,39</t>
  </si>
  <si>
    <t>1,00X1 + 1,21X2 + 5,04</t>
  </si>
  <si>
    <t>1,00X1 + 1,21X2 + 6,05</t>
  </si>
  <si>
    <t>0,82X + 40,31</t>
  </si>
  <si>
    <t>0,92X + 44,79</t>
  </si>
  <si>
    <t>CUSTOS DE EQUIPAMENTOS - DER/PR - FEVEREIRO/2023 - SEM DESONERAÇÃO</t>
  </si>
  <si>
    <t>SEM DESONERAÇÃO</t>
  </si>
  <si>
    <t>CUSTOS DE TRANSPORTES - DER/PR - FEVEREIRO/2023 - SEM DESONERAÇÃO</t>
  </si>
  <si>
    <t xml:space="preserve">CUSTO MÃO DE OBRA </t>
  </si>
  <si>
    <t xml:space="preserve">CUSTO MATERIAL </t>
  </si>
  <si>
    <t>CUSTO MÃO DE OBRA UNITÁRIO</t>
  </si>
  <si>
    <t>1,00X1+1,21X2+2,52</t>
  </si>
  <si>
    <t>0,73X1+ 0,88X2 +7,39</t>
  </si>
  <si>
    <t>0,82x+40,31</t>
  </si>
  <si>
    <t>Areia (Usina)</t>
  </si>
  <si>
    <t>Cal hidratada CH-I (Usina)</t>
  </si>
  <si>
    <t>Cimento asfáltico CAP-50/70 c/polímero (usina)</t>
  </si>
  <si>
    <t>Massa (CBUQ-polímero)</t>
  </si>
  <si>
    <t>Pedra britada (Usina asfalto)</t>
  </si>
  <si>
    <t xml:space="preserve">PREÇO TOTAL MÃO DE OBRA </t>
  </si>
  <si>
    <t xml:space="preserve">PREÇO TOTAL MATERIAL </t>
  </si>
  <si>
    <t>RESPONSÁVEL PELO ORÇAMENTO: ENGª CIBELE CRISTINE MELLO FRANCZAK | CREA: 148.511-D/PR | ART 1720234517267</t>
  </si>
  <si>
    <t>PLANILHA ABC</t>
  </si>
  <si>
    <t>%ACUM.</t>
  </si>
  <si>
    <t>CLASSIFICAÇÃO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</si>
</sst>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8" formatCode="&quot;R$&quot;\ #,##0.00;[Red]\-&quot;R$&quot;\ #,##0.00"/>
    <numFmt numFmtId="44" formatCode="_-&quot;R$&quot;\ * #,##0.00_-;\-&quot;R$&quot;\ * #,##0.00_-;_-&quot;R$&quot;\ * &quot;-&quot;??_-;_-@_-"/>
    <numFmt numFmtId="43" formatCode="_-* #,##0.00_-;\-* #,##0.00_-;_-* &quot;-&quot;??_-;_-@_-"/>
    <numFmt numFmtId="164" formatCode="_(* #,##0.00_);_(* \(#,##0.00\);_(* &quot;-&quot;??_);_(@_)"/>
    <numFmt numFmtId="165" formatCode="0.0000"/>
    <numFmt numFmtId="166" formatCode="_(* #,##0_);_(* \(#,##0\);_(* &quot;-&quot;_);_(@_)"/>
    <numFmt numFmtId="167" formatCode="_(&quot;Cr$&quot;* #,##0_);_(&quot;Cr$&quot;* \(#,##0\);_(&quot;Cr$&quot;* &quot;-&quot;_);_(@_)"/>
    <numFmt numFmtId="168" formatCode="#."/>
    <numFmt numFmtId="169" formatCode="_([$€-2]* #,##0.00_);_([$€-2]* \(#,##0.00\);_([$€-2]* &quot;-&quot;??_)"/>
    <numFmt numFmtId="170" formatCode="_(&quot;R$ &quot;* #,##0.00_);_(&quot;R$ &quot;* \(#,##0.00\);_(&quot;R$ &quot;* &quot;-&quot;??_);_(@_)"/>
    <numFmt numFmtId="171" formatCode="_(&quot;R$&quot;* #,##0.00_);_(&quot;R$&quot;* \(#,##0.00\);_(&quot;R$&quot;* &quot;-&quot;??_);_(@_)"/>
    <numFmt numFmtId="172" formatCode="#,##0.00\ ;&quot; (&quot;#,##0.00\);&quot; -&quot;#\ ;@\ "/>
    <numFmt numFmtId="173" formatCode="_(* #,##0.0000_);_(* \(#,##0.0000\);_(* &quot;-&quot;??_);_(@_)"/>
    <numFmt numFmtId="174" formatCode="_(* #,##0.00000_);_(* \(#,##0.00000\);_(* &quot;-&quot;??_);_(@_)"/>
    <numFmt numFmtId="175" formatCode="0.000"/>
    <numFmt numFmtId="176" formatCode="[$-416]mmmm/yy;@"/>
    <numFmt numFmtId="177" formatCode="#,##0.000"/>
    <numFmt numFmtId="178" formatCode="#,##0.0000"/>
    <numFmt numFmtId="179" formatCode="#,##0.0000_ ;\-#,##0.0000\ "/>
    <numFmt numFmtId="180" formatCode="_-* #,##0.000_-;\-* #,##0.000_-;_-* &quot;-&quot;??_-;_-@_-"/>
    <numFmt numFmtId="181" formatCode="_(* #,##0.00000000000_);_(* \(#,##0.00000000000\);_(* &quot;-&quot;??_);_(@_)"/>
    <numFmt numFmtId="182" formatCode="0.00000%"/>
  </numFmts>
  <fonts count="115">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10"/>
      <name val="Calibri"/>
      <family val="2"/>
    </font>
    <font>
      <b/>
      <sz val="11"/>
      <color indexed="9"/>
      <name val="Calibri"/>
      <family val="2"/>
    </font>
    <font>
      <sz val="11"/>
      <color indexed="52"/>
      <name val="Calibri"/>
      <family val="2"/>
    </font>
    <font>
      <sz val="1"/>
      <color indexed="16"/>
      <name val="Courier"/>
      <family val="3"/>
    </font>
    <font>
      <sz val="11"/>
      <color indexed="62"/>
      <name val="Calibri"/>
      <family val="2"/>
    </font>
    <font>
      <u/>
      <sz val="10"/>
      <color indexed="12"/>
      <name val="Arial"/>
      <family val="2"/>
    </font>
    <font>
      <sz val="11"/>
      <color indexed="20"/>
      <name val="Calibri"/>
      <family val="2"/>
    </font>
    <font>
      <sz val="10"/>
      <name val="Courier"/>
      <family val="3"/>
    </font>
    <font>
      <sz val="11"/>
      <color indexed="60"/>
      <name val="Calibri"/>
      <family val="2"/>
    </font>
    <font>
      <sz val="10"/>
      <color indexed="8"/>
      <name val="Arial"/>
      <family val="2"/>
    </font>
    <font>
      <sz val="9"/>
      <name val="Arial"/>
      <family val="2"/>
    </font>
    <font>
      <sz val="10"/>
      <color indexed="8"/>
      <name val="Calibri"/>
      <family val="2"/>
    </font>
    <font>
      <sz val="10"/>
      <color indexed="8"/>
      <name val="Arial1"/>
    </font>
    <font>
      <sz val="10"/>
      <name val="MS Sans Serif"/>
      <family val="2"/>
    </font>
    <font>
      <sz val="8"/>
      <name val="Arial"/>
      <family val="2"/>
    </font>
    <font>
      <b/>
      <sz val="11"/>
      <color indexed="63"/>
      <name val="Calibri"/>
      <family val="2"/>
    </font>
    <font>
      <sz val="1"/>
      <color indexed="18"/>
      <name val="Courier"/>
      <family val="3"/>
    </font>
    <font>
      <sz val="11"/>
      <color indexed="8"/>
      <name val="Arial"/>
      <family val="2"/>
    </font>
    <font>
      <sz val="12"/>
      <name val="Arial Narrow"/>
      <family val="2"/>
    </font>
    <font>
      <b/>
      <sz val="15"/>
      <color indexed="56"/>
      <name val="Calibri"/>
      <family val="2"/>
    </font>
    <font>
      <b/>
      <sz val="13"/>
      <color indexed="56"/>
      <name val="Calibri"/>
      <family val="2"/>
    </font>
    <font>
      <b/>
      <sz val="11"/>
      <color indexed="56"/>
      <name val="Calibri"/>
      <family val="2"/>
    </font>
    <font>
      <b/>
      <sz val="18"/>
      <color indexed="62"/>
      <name val="Cambria"/>
      <family val="2"/>
    </font>
    <font>
      <b/>
      <sz val="18"/>
      <color indexed="56"/>
      <name val="Cambria"/>
      <family val="2"/>
    </font>
    <font>
      <b/>
      <sz val="18"/>
      <color indexed="57"/>
      <name val="Cambria"/>
      <family val="2"/>
    </font>
    <font>
      <b/>
      <sz val="1"/>
      <color indexed="16"/>
      <name val="Courier"/>
      <family val="3"/>
    </font>
    <font>
      <b/>
      <sz val="11"/>
      <color indexed="8"/>
      <name val="Calibri"/>
      <family val="2"/>
    </font>
    <font>
      <sz val="10"/>
      <name val="Times New Roman"/>
      <family val="1"/>
      <charset val="204"/>
    </font>
    <font>
      <sz val="10"/>
      <color theme="1"/>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sz val="8"/>
      <color indexed="62"/>
      <name val="Verdana"/>
      <family val="2"/>
    </font>
    <font>
      <u/>
      <sz val="10"/>
      <color theme="10"/>
      <name val="Arial"/>
      <family val="2"/>
    </font>
    <font>
      <sz val="8"/>
      <color indexed="20"/>
      <name val="Verdana"/>
      <family val="2"/>
    </font>
    <font>
      <sz val="10"/>
      <name val="Century Gothic"/>
      <family val="2"/>
    </font>
    <font>
      <sz val="8"/>
      <color indexed="60"/>
      <name val="Verdana"/>
      <family val="2"/>
    </font>
    <font>
      <b/>
      <sz val="8"/>
      <color indexed="63"/>
      <name val="Verdana"/>
      <family val="2"/>
    </font>
    <font>
      <sz val="8"/>
      <color indexed="10"/>
      <name val="Verdana"/>
      <family val="2"/>
    </font>
    <font>
      <i/>
      <sz val="8"/>
      <color indexed="23"/>
      <name val="Verdana"/>
      <family val="2"/>
    </font>
    <font>
      <b/>
      <sz val="15"/>
      <color indexed="56"/>
      <name val="Verdana"/>
      <family val="2"/>
    </font>
    <font>
      <b/>
      <sz val="13"/>
      <color indexed="56"/>
      <name val="Verdana"/>
      <family val="2"/>
    </font>
    <font>
      <b/>
      <sz val="11"/>
      <color indexed="56"/>
      <name val="Verdana"/>
      <family val="2"/>
    </font>
    <font>
      <b/>
      <sz val="8"/>
      <color indexed="8"/>
      <name val="Verdana"/>
      <family val="2"/>
    </font>
    <font>
      <sz val="7.5"/>
      <name val="Calibri"/>
      <family val="2"/>
      <scheme val="minor"/>
    </font>
    <font>
      <b/>
      <sz val="9"/>
      <name val="Calibri"/>
      <family val="2"/>
      <scheme val="minor"/>
    </font>
    <font>
      <b/>
      <sz val="11"/>
      <color theme="1"/>
      <name val="Calibri Light"/>
      <family val="2"/>
      <scheme val="major"/>
    </font>
    <font>
      <sz val="8"/>
      <name val="Calibri"/>
      <family val="2"/>
      <scheme val="minor"/>
    </font>
    <font>
      <sz val="11"/>
      <color rgb="FF000000"/>
      <name val="Calibri"/>
      <family val="2"/>
    </font>
    <font>
      <sz val="12"/>
      <name val="Calibri Light"/>
      <family val="2"/>
      <scheme val="major"/>
    </font>
    <font>
      <b/>
      <sz val="12"/>
      <name val="Calibri Light"/>
      <family val="2"/>
      <scheme val="major"/>
    </font>
    <font>
      <sz val="12"/>
      <color rgb="FFFF0000"/>
      <name val="Calibri Light"/>
      <family val="2"/>
      <scheme val="major"/>
    </font>
    <font>
      <sz val="12"/>
      <color theme="1"/>
      <name val="Calibri Light"/>
      <family val="2"/>
      <scheme val="major"/>
    </font>
    <font>
      <sz val="12"/>
      <color theme="0"/>
      <name val="Calibri Light"/>
      <family val="2"/>
      <scheme val="major"/>
    </font>
    <font>
      <sz val="12"/>
      <color rgb="FFCC0000"/>
      <name val="Calibri Light"/>
      <family val="2"/>
      <scheme val="major"/>
    </font>
    <font>
      <sz val="10"/>
      <color rgb="FF000000"/>
      <name val="Times New Roman"/>
      <family val="1"/>
    </font>
    <font>
      <sz val="12"/>
      <color rgb="FF000000"/>
      <name val="Calibri Light"/>
      <family val="2"/>
    </font>
    <font>
      <sz val="12"/>
      <name val="Calibri Light"/>
      <family val="2"/>
    </font>
    <font>
      <b/>
      <sz val="12"/>
      <name val="Calibri Light"/>
      <family val="2"/>
    </font>
    <font>
      <b/>
      <sz val="12"/>
      <color theme="0"/>
      <name val="Calibri Light"/>
      <family val="2"/>
    </font>
    <font>
      <sz val="10"/>
      <color rgb="FF000000"/>
      <name val="Times New Roman"/>
      <family val="1"/>
    </font>
    <font>
      <b/>
      <sz val="12"/>
      <color theme="0"/>
      <name val="Calibri Light"/>
      <family val="2"/>
      <scheme val="major"/>
    </font>
    <font>
      <sz val="12"/>
      <color rgb="FF000000"/>
      <name val="Calibri Light"/>
      <family val="2"/>
      <scheme val="major"/>
    </font>
    <font>
      <sz val="10"/>
      <name val="Arial"/>
      <family val="2"/>
    </font>
    <font>
      <sz val="12"/>
      <color theme="1"/>
      <name val="Calibri Light"/>
      <family val="2"/>
    </font>
    <font>
      <sz val="12"/>
      <color theme="0"/>
      <name val="Calibri Light"/>
      <family val="2"/>
    </font>
    <font>
      <sz val="12"/>
      <color rgb="FFFF0000"/>
      <name val="Calibri Light"/>
      <family val="2"/>
    </font>
    <font>
      <b/>
      <sz val="12"/>
      <color theme="1"/>
      <name val="Calibri Light"/>
      <family val="2"/>
      <scheme val="major"/>
    </font>
    <font>
      <b/>
      <sz val="12"/>
      <color rgb="FFFF0000"/>
      <name val="Calibri Light"/>
      <family val="2"/>
      <scheme val="major"/>
    </font>
    <font>
      <b/>
      <i/>
      <sz val="12"/>
      <color rgb="FF003770"/>
      <name val="Calibri Light"/>
      <family val="2"/>
      <scheme val="major"/>
    </font>
    <font>
      <b/>
      <sz val="12"/>
      <color rgb="FF003770"/>
      <name val="Calibri Light"/>
      <family val="2"/>
      <scheme val="major"/>
    </font>
    <font>
      <u/>
      <sz val="12"/>
      <name val="Calibri Light"/>
      <family val="2"/>
      <scheme val="major"/>
    </font>
    <font>
      <b/>
      <sz val="24"/>
      <color rgb="FFFF0000"/>
      <name val="Calibri Light"/>
      <family val="2"/>
      <scheme val="major"/>
    </font>
    <font>
      <sz val="26"/>
      <color rgb="FF000000"/>
      <name val="Calibri Light"/>
      <family val="2"/>
    </font>
    <font>
      <i/>
      <sz val="12"/>
      <color rgb="FFFF0000"/>
      <name val="Calibri Light"/>
      <family val="2"/>
      <scheme val="major"/>
    </font>
    <font>
      <b/>
      <sz val="16"/>
      <color theme="0"/>
      <name val="Calibri Light"/>
      <family val="2"/>
      <scheme val="major"/>
    </font>
    <font>
      <i/>
      <sz val="12"/>
      <color rgb="FF002060"/>
      <name val="Calibri Light"/>
      <family val="2"/>
      <scheme val="major"/>
    </font>
  </fonts>
  <fills count="75">
    <fill>
      <patternFill patternType="none"/>
    </fill>
    <fill>
      <patternFill patternType="gray125"/>
    </fill>
    <fill>
      <patternFill patternType="solid">
        <fgColor indexed="27"/>
      </patternFill>
    </fill>
    <fill>
      <patternFill patternType="solid">
        <fgColor indexed="31"/>
      </patternFill>
    </fill>
    <fill>
      <patternFill patternType="solid">
        <fgColor indexed="47"/>
      </patternFill>
    </fill>
    <fill>
      <patternFill patternType="solid">
        <fgColor indexed="45"/>
      </patternFill>
    </fill>
    <fill>
      <patternFill patternType="solid">
        <fgColor indexed="42"/>
      </patternFill>
    </fill>
    <fill>
      <patternFill patternType="solid">
        <fgColor indexed="26"/>
      </patternFill>
    </fill>
    <fill>
      <patternFill patternType="solid">
        <fgColor indexed="46"/>
      </patternFill>
    </fill>
    <fill>
      <patternFill patternType="solid">
        <fgColor indexed="44"/>
      </patternFill>
    </fill>
    <fill>
      <patternFill patternType="solid">
        <fgColor indexed="29"/>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7"/>
      </patternFill>
    </fill>
    <fill>
      <patternFill patternType="solid">
        <fgColor indexed="52"/>
      </patternFill>
    </fill>
    <fill>
      <patternFill patternType="solid">
        <fgColor indexed="9"/>
        <bgColor indexed="42"/>
      </patternFill>
    </fill>
    <fill>
      <patternFill patternType="solid">
        <fgColor indexed="55"/>
      </patternFill>
    </fill>
    <fill>
      <patternFill patternType="solid">
        <fgColor indexed="62"/>
      </patternFill>
    </fill>
    <fill>
      <patternFill patternType="solid">
        <fgColor indexed="53"/>
      </patternFill>
    </fill>
    <fill>
      <patternFill patternType="solid">
        <fgColor indexed="10"/>
      </patternFill>
    </fill>
    <fill>
      <patternFill patternType="solid">
        <fgColor indexed="43"/>
        <bgColor indexed="26"/>
      </patternFill>
    </fill>
    <fill>
      <patternFill patternType="solid">
        <fgColor indexed="26"/>
        <bgColor indexed="43"/>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6" tint="0.39994506668294322"/>
        <bgColor indexed="65"/>
      </patternFill>
    </fill>
    <fill>
      <patternFill patternType="solid">
        <fgColor rgb="FF00206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indexed="9"/>
        <bgColor indexed="64"/>
      </patternFill>
    </fill>
    <fill>
      <patternFill patternType="solid">
        <fgColor theme="7" tint="0.59999389629810485"/>
        <bgColor indexed="64"/>
      </patternFill>
    </fill>
    <fill>
      <patternFill patternType="solid">
        <fgColor rgb="FFFFCCCC"/>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9" tint="-0.499984740745262"/>
        <bgColor indexed="64"/>
      </patternFill>
    </fill>
    <fill>
      <patternFill patternType="solid">
        <fgColor theme="7" tint="0.79998168889431442"/>
        <bgColor indexed="64"/>
      </patternFill>
    </fill>
  </fills>
  <borders count="3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bottom style="medium">
        <color theme="0"/>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style="hair">
        <color indexed="64"/>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diagonal/>
    </border>
  </borders>
  <cellStyleXfs count="4011">
    <xf numFmtId="0" fontId="0" fillId="0" borderId="0"/>
    <xf numFmtId="0" fontId="48" fillId="27" borderId="0" applyNumberFormat="0" applyBorder="0" applyAlignment="0" applyProtection="0"/>
    <xf numFmtId="0" fontId="48" fillId="27" borderId="0" applyNumberFormat="0" applyBorder="0" applyAlignment="0" applyProtection="0"/>
    <xf numFmtId="0" fontId="15" fillId="3" borderId="0" applyNumberFormat="0" applyBorder="0" applyAlignment="0" applyProtection="0"/>
    <xf numFmtId="0" fontId="48" fillId="28" borderId="0" applyNumberFormat="0" applyBorder="0" applyAlignment="0" applyProtection="0"/>
    <xf numFmtId="0" fontId="48" fillId="28" borderId="0" applyNumberFormat="0" applyBorder="0" applyAlignment="0" applyProtection="0"/>
    <xf numFmtId="0" fontId="15" fillId="5" borderId="0" applyNumberFormat="0" applyBorder="0" applyAlignment="0" applyProtection="0"/>
    <xf numFmtId="0" fontId="48" fillId="29" borderId="0" applyNumberFormat="0" applyBorder="0" applyAlignment="0" applyProtection="0"/>
    <xf numFmtId="0" fontId="48" fillId="29" borderId="0" applyNumberFormat="0" applyBorder="0" applyAlignment="0" applyProtection="0"/>
    <xf numFmtId="0" fontId="15" fillId="6" borderId="0" applyNumberFormat="0" applyBorder="0" applyAlignment="0" applyProtection="0"/>
    <xf numFmtId="0" fontId="48" fillId="30" borderId="0" applyNumberFormat="0" applyBorder="0" applyAlignment="0" applyProtection="0"/>
    <xf numFmtId="0" fontId="48" fillId="30" borderId="0" applyNumberFormat="0" applyBorder="0" applyAlignment="0" applyProtection="0"/>
    <xf numFmtId="0" fontId="15" fillId="8" borderId="0" applyNumberFormat="0" applyBorder="0" applyAlignment="0" applyProtection="0"/>
    <xf numFmtId="0" fontId="48" fillId="31" borderId="0" applyNumberFormat="0" applyBorder="0" applyAlignment="0" applyProtection="0"/>
    <xf numFmtId="0" fontId="48" fillId="31" borderId="0" applyNumberFormat="0" applyBorder="0" applyAlignment="0" applyProtection="0"/>
    <xf numFmtId="0" fontId="15" fillId="2" borderId="0" applyNumberFormat="0" applyBorder="0" applyAlignment="0" applyProtection="0"/>
    <xf numFmtId="0" fontId="48" fillId="32" borderId="0" applyNumberFormat="0" applyBorder="0" applyAlignment="0" applyProtection="0"/>
    <xf numFmtId="0" fontId="48" fillId="32" borderId="0" applyNumberFormat="0" applyBorder="0" applyAlignment="0" applyProtection="0"/>
    <xf numFmtId="0" fontId="15" fillId="4" borderId="0" applyNumberFormat="0" applyBorder="0" applyAlignment="0" applyProtection="0"/>
    <xf numFmtId="0" fontId="48" fillId="33" borderId="0" applyNumberFormat="0" applyBorder="0" applyAlignment="0" applyProtection="0"/>
    <xf numFmtId="0" fontId="48" fillId="33" borderId="0" applyNumberFormat="0" applyBorder="0" applyAlignment="0" applyProtection="0"/>
    <xf numFmtId="0" fontId="15" fillId="9" borderId="0" applyNumberFormat="0" applyBorder="0" applyAlignment="0" applyProtection="0"/>
    <xf numFmtId="0" fontId="48" fillId="34" borderId="0" applyNumberFormat="0" applyBorder="0" applyAlignment="0" applyProtection="0"/>
    <xf numFmtId="0" fontId="48" fillId="34" borderId="0" applyNumberFormat="0" applyBorder="0" applyAlignment="0" applyProtection="0"/>
    <xf numFmtId="0" fontId="15" fillId="10"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15" fillId="12" borderId="0" applyNumberFormat="0" applyBorder="0" applyAlignment="0" applyProtection="0"/>
    <xf numFmtId="0" fontId="48" fillId="36" borderId="0" applyNumberFormat="0" applyBorder="0" applyAlignment="0" applyProtection="0"/>
    <xf numFmtId="0" fontId="48" fillId="36" borderId="0" applyNumberFormat="0" applyBorder="0" applyAlignment="0" applyProtection="0"/>
    <xf numFmtId="0" fontId="15" fillId="8" borderId="0" applyNumberFormat="0" applyBorder="0" applyAlignment="0" applyProtection="0"/>
    <xf numFmtId="0" fontId="48" fillId="37" borderId="0" applyNumberFormat="0" applyBorder="0" applyAlignment="0" applyProtection="0"/>
    <xf numFmtId="0" fontId="48" fillId="37" borderId="0" applyNumberFormat="0" applyBorder="0" applyAlignment="0" applyProtection="0"/>
    <xf numFmtId="0" fontId="15" fillId="9" borderId="0" applyNumberFormat="0" applyBorder="0" applyAlignment="0" applyProtection="0"/>
    <xf numFmtId="0" fontId="48" fillId="38" borderId="0" applyNumberFormat="0" applyBorder="0" applyAlignment="0" applyProtection="0"/>
    <xf numFmtId="0" fontId="48" fillId="38" borderId="0" applyNumberFormat="0" applyBorder="0" applyAlignment="0" applyProtection="0"/>
    <xf numFmtId="0" fontId="15" fillId="14" borderId="0" applyNumberFormat="0" applyBorder="0" applyAlignment="0" applyProtection="0"/>
    <xf numFmtId="0" fontId="49" fillId="39" borderId="0" applyNumberFormat="0" applyBorder="0" applyAlignment="0" applyProtection="0"/>
    <xf numFmtId="0" fontId="49" fillId="39" borderId="0" applyNumberFormat="0" applyBorder="0" applyAlignment="0" applyProtection="0"/>
    <xf numFmtId="0" fontId="16" fillId="15" borderId="0" applyNumberFormat="0" applyBorder="0" applyAlignment="0" applyProtection="0"/>
    <xf numFmtId="0" fontId="49" fillId="40" borderId="0" applyNumberFormat="0" applyBorder="0" applyAlignment="0" applyProtection="0"/>
    <xf numFmtId="0" fontId="49" fillId="40" borderId="0" applyNumberFormat="0" applyBorder="0" applyAlignment="0" applyProtection="0"/>
    <xf numFmtId="0" fontId="16" fillId="10" borderId="0" applyNumberFormat="0" applyBorder="0" applyAlignment="0" applyProtection="0"/>
    <xf numFmtId="0" fontId="49" fillId="41" borderId="0" applyNumberFormat="0" applyBorder="0" applyAlignment="0" applyProtection="0"/>
    <xf numFmtId="0" fontId="49" fillId="41" borderId="0" applyNumberFormat="0" applyBorder="0" applyAlignment="0" applyProtection="0"/>
    <xf numFmtId="0" fontId="16" fillId="12" borderId="0" applyNumberFormat="0" applyBorder="0" applyAlignment="0" applyProtection="0"/>
    <xf numFmtId="0" fontId="49" fillId="42" borderId="0" applyNumberFormat="0" applyBorder="0" applyAlignment="0" applyProtection="0"/>
    <xf numFmtId="0" fontId="49" fillId="42" borderId="0" applyNumberFormat="0" applyBorder="0" applyAlignment="0" applyProtection="0"/>
    <xf numFmtId="0" fontId="16" fillId="16" borderId="0" applyNumberFormat="0" applyBorder="0" applyAlignment="0" applyProtection="0"/>
    <xf numFmtId="0" fontId="49" fillId="43" borderId="0" applyNumberFormat="0" applyBorder="0" applyAlignment="0" applyProtection="0"/>
    <xf numFmtId="0" fontId="49" fillId="43" borderId="0" applyNumberFormat="0" applyBorder="0" applyAlignment="0" applyProtection="0"/>
    <xf numFmtId="0" fontId="16" fillId="17" borderId="0" applyNumberFormat="0" applyBorder="0" applyAlignment="0" applyProtection="0"/>
    <xf numFmtId="0" fontId="49" fillId="44" borderId="0" applyNumberFormat="0" applyBorder="0" applyAlignment="0" applyProtection="0"/>
    <xf numFmtId="0" fontId="49" fillId="44" borderId="0" applyNumberFormat="0" applyBorder="0" applyAlignment="0" applyProtection="0"/>
    <xf numFmtId="0" fontId="16" fillId="19"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17" fillId="6" borderId="0" applyNumberFormat="0" applyBorder="0" applyAlignment="0" applyProtection="0"/>
    <xf numFmtId="0" fontId="51" fillId="46" borderId="14" applyNumberFormat="0" applyAlignment="0" applyProtection="0"/>
    <xf numFmtId="0" fontId="51" fillId="46" borderId="14" applyNumberFormat="0" applyAlignment="0" applyProtection="0"/>
    <xf numFmtId="0" fontId="18" fillId="11" borderId="1" applyNumberFormat="0" applyAlignment="0" applyProtection="0"/>
    <xf numFmtId="0" fontId="19" fillId="20" borderId="1" applyNumberFormat="0" applyAlignment="0" applyProtection="0"/>
    <xf numFmtId="0" fontId="52" fillId="47" borderId="15" applyNumberFormat="0" applyAlignment="0" applyProtection="0"/>
    <xf numFmtId="0" fontId="52" fillId="47" borderId="15" applyNumberFormat="0" applyAlignment="0" applyProtection="0"/>
    <xf numFmtId="0" fontId="20" fillId="21" borderId="2" applyNumberFormat="0" applyAlignment="0" applyProtection="0"/>
    <xf numFmtId="0" fontId="53" fillId="0" borderId="16" applyNumberFormat="0" applyFill="0" applyAlignment="0" applyProtection="0"/>
    <xf numFmtId="0" fontId="53" fillId="0" borderId="16" applyNumberFormat="0" applyFill="0" applyAlignment="0" applyProtection="0"/>
    <xf numFmtId="0" fontId="21" fillId="0" borderId="3" applyNumberFormat="0" applyFill="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8" fontId="22" fillId="0" borderId="0">
      <protection locked="0"/>
    </xf>
    <xf numFmtId="0" fontId="49" fillId="48" borderId="0" applyNumberFormat="0" applyBorder="0" applyAlignment="0" applyProtection="0"/>
    <xf numFmtId="0" fontId="49" fillId="48" borderId="0" applyNumberFormat="0" applyBorder="0" applyAlignment="0" applyProtection="0"/>
    <xf numFmtId="0" fontId="16" fillId="22" borderId="0" applyNumberFormat="0" applyBorder="0" applyAlignment="0" applyProtection="0"/>
    <xf numFmtId="0" fontId="49" fillId="49" borderId="0" applyNumberFormat="0" applyBorder="0" applyAlignment="0" applyProtection="0"/>
    <xf numFmtId="0" fontId="49" fillId="49" borderId="0" applyNumberFormat="0" applyBorder="0" applyAlignment="0" applyProtection="0"/>
    <xf numFmtId="0" fontId="16" fillId="24" borderId="0" applyNumberFormat="0" applyBorder="0" applyAlignment="0" applyProtection="0"/>
    <xf numFmtId="0" fontId="49" fillId="50" borderId="0" applyNumberFormat="0" applyBorder="0" applyAlignment="0" applyProtection="0"/>
    <xf numFmtId="0" fontId="49" fillId="50" borderId="0" applyNumberFormat="0" applyBorder="0" applyAlignment="0" applyProtection="0"/>
    <xf numFmtId="0" fontId="16" fillId="18" borderId="0" applyNumberFormat="0" applyBorder="0" applyAlignment="0" applyProtection="0"/>
    <xf numFmtId="0" fontId="49" fillId="51" borderId="0" applyNumberFormat="0" applyBorder="0" applyAlignment="0" applyProtection="0"/>
    <xf numFmtId="0" fontId="49" fillId="51" borderId="0" applyNumberFormat="0" applyBorder="0" applyAlignment="0" applyProtection="0"/>
    <xf numFmtId="0" fontId="16" fillId="16" borderId="0" applyNumberFormat="0" applyBorder="0" applyAlignment="0" applyProtection="0"/>
    <xf numFmtId="0" fontId="49" fillId="52" borderId="0" applyNumberFormat="0" applyBorder="0" applyAlignment="0" applyProtection="0"/>
    <xf numFmtId="0" fontId="49" fillId="52" borderId="0" applyNumberFormat="0" applyBorder="0" applyAlignment="0" applyProtection="0"/>
    <xf numFmtId="0" fontId="16" fillId="17" borderId="0" applyNumberFormat="0" applyBorder="0" applyAlignment="0" applyProtection="0"/>
    <xf numFmtId="0" fontId="49" fillId="53" borderId="0" applyNumberFormat="0" applyBorder="0" applyAlignment="0" applyProtection="0"/>
    <xf numFmtId="0" fontId="49" fillId="53" borderId="0" applyNumberFormat="0" applyBorder="0" applyAlignment="0" applyProtection="0"/>
    <xf numFmtId="0" fontId="16" fillId="23" borderId="0" applyNumberFormat="0" applyBorder="0" applyAlignment="0" applyProtection="0"/>
    <xf numFmtId="0" fontId="54" fillId="54" borderId="14" applyNumberFormat="0" applyAlignment="0" applyProtection="0"/>
    <xf numFmtId="0" fontId="54" fillId="54" borderId="14" applyNumberFormat="0" applyAlignment="0" applyProtection="0"/>
    <xf numFmtId="0" fontId="23" fillId="4" borderId="1" applyNumberFormat="0" applyAlignment="0" applyProtection="0"/>
    <xf numFmtId="0" fontId="23" fillId="25" borderId="1" applyNumberFormat="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8" fontId="22" fillId="0" borderId="0">
      <protection locked="0"/>
    </xf>
    <xf numFmtId="0" fontId="24" fillId="0" borderId="0" applyNumberFormat="0" applyFill="0" applyBorder="0" applyAlignment="0" applyProtection="0">
      <alignment vertical="top"/>
      <protection locked="0"/>
    </xf>
    <xf numFmtId="0" fontId="55" fillId="55" borderId="0" applyNumberFormat="0" applyBorder="0" applyAlignment="0" applyProtection="0"/>
    <xf numFmtId="0" fontId="55" fillId="55" borderId="0" applyNumberFormat="0" applyBorder="0" applyAlignment="0" applyProtection="0"/>
    <xf numFmtId="0" fontId="25" fillId="5"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4" fontId="47"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4" fontId="48"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1"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44" fontId="48" fillId="0" borderId="0" applyFont="0" applyFill="0" applyBorder="0" applyAlignment="0" applyProtection="0"/>
    <xf numFmtId="44" fontId="48"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0" fontId="56" fillId="56" borderId="0" applyNumberFormat="0" applyBorder="0" applyAlignment="0" applyProtection="0"/>
    <xf numFmtId="0" fontId="56" fillId="56" borderId="0" applyNumberFormat="0" applyBorder="0" applyAlignment="0" applyProtection="0"/>
    <xf numFmtId="0" fontId="27" fillId="13" borderId="0" applyNumberFormat="0" applyBorder="0" applyAlignment="0" applyProtection="0"/>
    <xf numFmtId="0" fontId="12" fillId="0" borderId="0"/>
    <xf numFmtId="0" fontId="48" fillId="0" borderId="0"/>
    <xf numFmtId="0" fontId="48" fillId="0" borderId="0"/>
    <xf numFmtId="0" fontId="12" fillId="0" borderId="0"/>
    <xf numFmtId="0" fontId="28" fillId="0" borderId="0"/>
    <xf numFmtId="0" fontId="12" fillId="0" borderId="0"/>
    <xf numFmtId="0" fontId="48" fillId="0" borderId="0"/>
    <xf numFmtId="0" fontId="48" fillId="0" borderId="0"/>
    <xf numFmtId="0" fontId="48" fillId="0" borderId="0"/>
    <xf numFmtId="0" fontId="48" fillId="0" borderId="0"/>
    <xf numFmtId="0" fontId="48" fillId="0" borderId="0"/>
    <xf numFmtId="0" fontId="12" fillId="0" borderId="0"/>
    <xf numFmtId="0" fontId="48" fillId="0" borderId="0"/>
    <xf numFmtId="0" fontId="48" fillId="0" borderId="0"/>
    <xf numFmtId="0" fontId="48" fillId="0" borderId="0"/>
    <xf numFmtId="0" fontId="48" fillId="0" borderId="0"/>
    <xf numFmtId="0" fontId="48" fillId="0" borderId="0"/>
    <xf numFmtId="0" fontId="48" fillId="0" borderId="0"/>
    <xf numFmtId="0" fontId="12" fillId="0" borderId="0"/>
    <xf numFmtId="0" fontId="12" fillId="0" borderId="0"/>
    <xf numFmtId="0" fontId="48" fillId="0" borderId="0"/>
    <xf numFmtId="0" fontId="48" fillId="0" borderId="0"/>
    <xf numFmtId="0" fontId="48" fillId="0" borderId="0"/>
    <xf numFmtId="0" fontId="48" fillId="0" borderId="0"/>
    <xf numFmtId="0" fontId="48" fillId="0" borderId="0"/>
    <xf numFmtId="0" fontId="48" fillId="0" borderId="0"/>
    <xf numFmtId="0" fontId="46" fillId="0" borderId="0" applyNumberFormat="0" applyFill="0" applyBorder="0" applyProtection="0">
      <alignment vertical="top" wrapText="1"/>
    </xf>
    <xf numFmtId="0" fontId="48" fillId="0" borderId="0"/>
    <xf numFmtId="0" fontId="48" fillId="0" borderId="0"/>
    <xf numFmtId="0" fontId="48" fillId="0" borderId="0"/>
    <xf numFmtId="0" fontId="48" fillId="0" borderId="0"/>
    <xf numFmtId="0" fontId="48" fillId="0" borderId="0"/>
    <xf numFmtId="0" fontId="4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8" fillId="0" borderId="0"/>
    <xf numFmtId="0" fontId="12" fillId="0" borderId="0"/>
    <xf numFmtId="0" fontId="12" fillId="0" borderId="0"/>
    <xf numFmtId="0" fontId="12" fillId="0" borderId="0"/>
    <xf numFmtId="0" fontId="12" fillId="0" borderId="0"/>
    <xf numFmtId="0" fontId="12" fillId="0" borderId="0"/>
    <xf numFmtId="0" fontId="12"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0" fillId="0" borderId="0" applyNumberFormat="0" applyFill="0" applyBorder="0" applyProtection="0">
      <alignment horizontal="left" vertical="top"/>
    </xf>
    <xf numFmtId="0" fontId="30" fillId="0" borderId="0" applyNumberFormat="0" applyFill="0" applyBorder="0" applyProtection="0">
      <alignment horizontal="left" vertical="top"/>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0" borderId="0"/>
    <xf numFmtId="0" fontId="28"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2" fillId="0" borderId="0"/>
    <xf numFmtId="0" fontId="12" fillId="0" borderId="0"/>
    <xf numFmtId="0" fontId="12" fillId="0" borderId="0"/>
    <xf numFmtId="0" fontId="12" fillId="0" borderId="0"/>
    <xf numFmtId="0" fontId="12" fillId="0" borderId="0"/>
    <xf numFmtId="0" fontId="30" fillId="0" borderId="0" applyNumberFormat="0" applyFill="0" applyBorder="0" applyProtection="0">
      <alignment horizontal="left" vertical="top"/>
    </xf>
    <xf numFmtId="0" fontId="12" fillId="0" borderId="0"/>
    <xf numFmtId="0" fontId="12" fillId="0" borderId="0"/>
    <xf numFmtId="0" fontId="32" fillId="0" borderId="0"/>
    <xf numFmtId="0" fontId="30" fillId="0" borderId="0" applyNumberFormat="0" applyFill="0" applyBorder="0" applyProtection="0">
      <alignment horizontal="left" vertical="top"/>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1" fillId="0" borderId="0"/>
    <xf numFmtId="0" fontId="31" fillId="0" borderId="0"/>
    <xf numFmtId="0" fontId="31" fillId="0" borderId="0"/>
    <xf numFmtId="0" fontId="31" fillId="0" borderId="0"/>
    <xf numFmtId="0" fontId="31" fillId="0" borderId="0"/>
    <xf numFmtId="0" fontId="4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8" fillId="0" borderId="0"/>
    <xf numFmtId="0" fontId="48" fillId="0" borderId="0"/>
    <xf numFmtId="0" fontId="31" fillId="0" borderId="0"/>
    <xf numFmtId="0" fontId="31" fillId="0" borderId="0"/>
    <xf numFmtId="0" fontId="31" fillId="0" borderId="0"/>
    <xf numFmtId="0" fontId="31" fillId="0" borderId="0"/>
    <xf numFmtId="0" fontId="12" fillId="0" borderId="0"/>
    <xf numFmtId="0" fontId="12" fillId="0" borderId="0"/>
    <xf numFmtId="0" fontId="12" fillId="0" borderId="0"/>
    <xf numFmtId="0"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2" fillId="0" borderId="0"/>
    <xf numFmtId="0" fontId="12" fillId="0" borderId="0"/>
    <xf numFmtId="0" fontId="48" fillId="0" borderId="0"/>
    <xf numFmtId="0" fontId="12" fillId="0" borderId="0"/>
    <xf numFmtId="0" fontId="12" fillId="0" borderId="0"/>
    <xf numFmtId="0" fontId="4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8" fillId="0" borderId="0"/>
    <xf numFmtId="0" fontId="48" fillId="0" borderId="0"/>
    <xf numFmtId="0" fontId="28" fillId="0" borderId="0"/>
    <xf numFmtId="0" fontId="12" fillId="0" borderId="0"/>
    <xf numFmtId="0" fontId="12" fillId="0" borderId="0"/>
    <xf numFmtId="0" fontId="48" fillId="0" borderId="0"/>
    <xf numFmtId="0" fontId="29" fillId="0" borderId="0"/>
    <xf numFmtId="0" fontId="48" fillId="0" borderId="0"/>
    <xf numFmtId="0" fontId="12" fillId="0" borderId="0"/>
    <xf numFmtId="0" fontId="28" fillId="0" borderId="0"/>
    <xf numFmtId="0" fontId="48" fillId="57" borderId="17" applyNumberFormat="0" applyFont="0" applyAlignment="0" applyProtection="0"/>
    <xf numFmtId="0" fontId="48" fillId="57" borderId="17" applyNumberFormat="0" applyFont="0" applyAlignment="0" applyProtection="0"/>
    <xf numFmtId="0" fontId="33" fillId="7" borderId="4" applyNumberFormat="0" applyFont="0" applyAlignment="0" applyProtection="0"/>
    <xf numFmtId="0" fontId="12" fillId="26" borderId="4" applyNumberFormat="0" applyAlignment="0" applyProtection="0"/>
    <xf numFmtId="168" fontId="22" fillId="0" borderId="0">
      <protection locked="0"/>
    </xf>
    <xf numFmtId="168" fontId="22" fillId="0" borderId="0">
      <protection locked="0"/>
    </xf>
    <xf numFmtId="9" fontId="48" fillId="0" borderId="0" applyFont="0" applyFill="0" applyBorder="0" applyAlignment="0" applyProtection="0"/>
    <xf numFmtId="9" fontId="4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57" fillId="46" borderId="18" applyNumberFormat="0" applyAlignment="0" applyProtection="0"/>
    <xf numFmtId="0" fontId="57" fillId="46" borderId="18" applyNumberFormat="0" applyAlignment="0" applyProtection="0"/>
    <xf numFmtId="0" fontId="34" fillId="11" borderId="5" applyNumberFormat="0" applyAlignment="0" applyProtection="0"/>
    <xf numFmtId="0" fontId="34" fillId="20" borderId="5" applyNumberFormat="0" applyAlignment="0" applyProtection="0"/>
    <xf numFmtId="168" fontId="35" fillId="0" borderId="0">
      <protection locked="0"/>
    </xf>
    <xf numFmtId="164" fontId="12" fillId="0" borderId="0" applyFont="0" applyFill="0" applyBorder="0" applyAlignment="0" applyProtection="0"/>
    <xf numFmtId="164" fontId="1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15" fillId="0" borderId="0" applyFont="0" applyFill="0" applyBorder="0" applyAlignment="0" applyProtection="0"/>
    <xf numFmtId="164" fontId="12" fillId="0" borderId="0" applyFont="0" applyFill="0" applyBorder="0" applyAlignment="0" applyProtection="0"/>
    <xf numFmtId="43" fontId="15" fillId="0" borderId="0" applyFont="0" applyFill="0" applyBorder="0" applyAlignment="0" applyProtection="0"/>
    <xf numFmtId="172" fontId="36" fillId="0" borderId="0"/>
    <xf numFmtId="43" fontId="15"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7" fillId="0" borderId="0" applyFont="0" applyFill="0" applyBorder="0" applyAlignment="0" applyProtection="0"/>
    <xf numFmtId="43" fontId="4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48" fillId="0" borderId="0" applyFont="0" applyFill="0" applyBorder="0" applyAlignment="0" applyProtection="0"/>
    <xf numFmtId="164" fontId="37" fillId="0" borderId="0" applyFont="0" applyFill="0" applyBorder="0" applyAlignment="0" applyProtection="0"/>
    <xf numFmtId="43" fontId="15" fillId="0" borderId="0" applyFont="0" applyFill="0" applyBorder="0" applyAlignment="0" applyProtection="0"/>
    <xf numFmtId="172" fontId="36" fillId="0" borderId="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19" applyNumberFormat="0" applyFill="0" applyAlignment="0" applyProtection="0"/>
    <xf numFmtId="0" fontId="60" fillId="0" borderId="19" applyNumberFormat="0" applyFill="0" applyAlignment="0" applyProtection="0"/>
    <xf numFmtId="0" fontId="38" fillId="0" borderId="6" applyNumberFormat="0" applyFill="0" applyAlignment="0" applyProtection="0"/>
    <xf numFmtId="0" fontId="61" fillId="0" borderId="20" applyNumberFormat="0" applyFill="0" applyAlignment="0" applyProtection="0"/>
    <xf numFmtId="0" fontId="61" fillId="0" borderId="20" applyNumberFormat="0" applyFill="0" applyAlignment="0" applyProtection="0"/>
    <xf numFmtId="0" fontId="39" fillId="0" borderId="7" applyNumberFormat="0" applyFill="0" applyAlignment="0" applyProtection="0"/>
    <xf numFmtId="0" fontId="62" fillId="0" borderId="21" applyNumberFormat="0" applyFill="0" applyAlignment="0" applyProtection="0"/>
    <xf numFmtId="0" fontId="62" fillId="0" borderId="21" applyNumberFormat="0" applyFill="0" applyAlignment="0" applyProtection="0"/>
    <xf numFmtId="0" fontId="40" fillId="0" borderId="8" applyNumberFormat="0" applyFill="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168" fontId="44" fillId="0" borderId="0">
      <protection locked="0"/>
    </xf>
    <xf numFmtId="168" fontId="44" fillId="0" borderId="0">
      <protection locked="0"/>
    </xf>
    <xf numFmtId="0" fontId="63" fillId="0" borderId="22" applyNumberFormat="0" applyFill="0" applyAlignment="0" applyProtection="0"/>
    <xf numFmtId="0" fontId="63" fillId="0" borderId="22" applyNumberFormat="0" applyFill="0" applyAlignment="0" applyProtection="0"/>
    <xf numFmtId="0" fontId="45" fillId="0" borderId="9" applyNumberFormat="0" applyFill="0" applyAlignment="0" applyProtection="0"/>
    <xf numFmtId="0" fontId="45" fillId="0" borderId="10" applyNumberFormat="0" applyFill="0" applyAlignment="0" applyProtection="0"/>
    <xf numFmtId="43" fontId="48"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48" fillId="0" borderId="0" applyFont="0" applyFill="0" applyBorder="0" applyAlignment="0" applyProtection="0"/>
    <xf numFmtId="164" fontId="12" fillId="0" borderId="0" applyFont="0" applyFill="0" applyBorder="0" applyAlignment="0" applyProtection="0"/>
    <xf numFmtId="43" fontId="29"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12"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29"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9" fontId="48" fillId="0" borderId="0" applyFont="0" applyFill="0" applyBorder="0" applyAlignment="0" applyProtection="0"/>
    <xf numFmtId="9" fontId="11" fillId="0" borderId="0" applyFont="0" applyFill="0" applyBorder="0" applyAlignment="0" applyProtection="0"/>
    <xf numFmtId="0" fontId="11" fillId="0" borderId="0"/>
    <xf numFmtId="0" fontId="10" fillId="0" borderId="0"/>
    <xf numFmtId="9" fontId="10" fillId="0" borderId="0" applyFont="0" applyFill="0" applyBorder="0" applyAlignment="0" applyProtection="0"/>
    <xf numFmtId="44" fontId="12" fillId="0" borderId="0" applyFont="0" applyFill="0" applyBorder="0" applyAlignment="0" applyProtection="0"/>
    <xf numFmtId="9" fontId="9" fillId="0" borderId="0" applyFont="0" applyFill="0" applyBorder="0" applyAlignment="0" applyProtection="0"/>
    <xf numFmtId="0" fontId="9" fillId="27" borderId="0" applyNumberFormat="0" applyBorder="0" applyAlignment="0" applyProtection="0"/>
    <xf numFmtId="0" fontId="64" fillId="3" borderId="0" applyNumberFormat="0" applyBorder="0" applyAlignment="0" applyProtection="0"/>
    <xf numFmtId="0" fontId="9" fillId="28" borderId="0" applyNumberFormat="0" applyBorder="0" applyAlignment="0" applyProtection="0"/>
    <xf numFmtId="0" fontId="64" fillId="5" borderId="0" applyNumberFormat="0" applyBorder="0" applyAlignment="0" applyProtection="0"/>
    <xf numFmtId="0" fontId="9" fillId="29" borderId="0" applyNumberFormat="0" applyBorder="0" applyAlignment="0" applyProtection="0"/>
    <xf numFmtId="0" fontId="64" fillId="6" borderId="0" applyNumberFormat="0" applyBorder="0" applyAlignment="0" applyProtection="0"/>
    <xf numFmtId="0" fontId="9" fillId="30" borderId="0" applyNumberFormat="0" applyBorder="0" applyAlignment="0" applyProtection="0"/>
    <xf numFmtId="0" fontId="64" fillId="8" borderId="0" applyNumberFormat="0" applyBorder="0" applyAlignment="0" applyProtection="0"/>
    <xf numFmtId="0" fontId="9" fillId="31" borderId="0" applyNumberFormat="0" applyBorder="0" applyAlignment="0" applyProtection="0"/>
    <xf numFmtId="0" fontId="64" fillId="2" borderId="0" applyNumberFormat="0" applyBorder="0" applyAlignment="0" applyProtection="0"/>
    <xf numFmtId="0" fontId="9" fillId="32" borderId="0" applyNumberFormat="0" applyBorder="0" applyAlignment="0" applyProtection="0"/>
    <xf numFmtId="0" fontId="64" fillId="4" borderId="0" applyNumberFormat="0" applyBorder="0" applyAlignment="0" applyProtection="0"/>
    <xf numFmtId="0" fontId="9" fillId="33" borderId="0" applyNumberFormat="0" applyBorder="0" applyAlignment="0" applyProtection="0"/>
    <xf numFmtId="0" fontId="64" fillId="9" borderId="0" applyNumberFormat="0" applyBorder="0" applyAlignment="0" applyProtection="0"/>
    <xf numFmtId="0" fontId="9" fillId="34" borderId="0" applyNumberFormat="0" applyBorder="0" applyAlignment="0" applyProtection="0"/>
    <xf numFmtId="0" fontId="64" fillId="10" borderId="0" applyNumberFormat="0" applyBorder="0" applyAlignment="0" applyProtection="0"/>
    <xf numFmtId="0" fontId="9" fillId="35" borderId="0" applyNumberFormat="0" applyBorder="0" applyAlignment="0" applyProtection="0"/>
    <xf numFmtId="0" fontId="64" fillId="12" borderId="0" applyNumberFormat="0" applyBorder="0" applyAlignment="0" applyProtection="0"/>
    <xf numFmtId="0" fontId="9" fillId="36" borderId="0" applyNumberFormat="0" applyBorder="0" applyAlignment="0" applyProtection="0"/>
    <xf numFmtId="0" fontId="64" fillId="8" borderId="0" applyNumberFormat="0" applyBorder="0" applyAlignment="0" applyProtection="0"/>
    <xf numFmtId="0" fontId="9" fillId="37" borderId="0" applyNumberFormat="0" applyBorder="0" applyAlignment="0" applyProtection="0"/>
    <xf numFmtId="0" fontId="64" fillId="9" borderId="0" applyNumberFormat="0" applyBorder="0" applyAlignment="0" applyProtection="0"/>
    <xf numFmtId="0" fontId="9" fillId="38" borderId="0" applyNumberFormat="0" applyBorder="0" applyAlignment="0" applyProtection="0"/>
    <xf numFmtId="0" fontId="64" fillId="14" borderId="0" applyNumberFormat="0" applyBorder="0" applyAlignment="0" applyProtection="0"/>
    <xf numFmtId="0" fontId="65" fillId="15" borderId="0" applyNumberFormat="0" applyBorder="0" applyAlignment="0" applyProtection="0"/>
    <xf numFmtId="0" fontId="65" fillId="10" borderId="0" applyNumberFormat="0" applyBorder="0" applyAlignment="0" applyProtection="0"/>
    <xf numFmtId="0" fontId="65" fillId="12"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9" borderId="0" applyNumberFormat="0" applyBorder="0" applyAlignment="0" applyProtection="0"/>
    <xf numFmtId="0" fontId="66" fillId="6" borderId="0" applyNumberFormat="0" applyBorder="0" applyAlignment="0" applyProtection="0"/>
    <xf numFmtId="0" fontId="67" fillId="11" borderId="1" applyNumberFormat="0" applyAlignment="0" applyProtection="0"/>
    <xf numFmtId="0" fontId="68" fillId="21" borderId="2" applyNumberFormat="0" applyAlignment="0" applyProtection="0"/>
    <xf numFmtId="0" fontId="69" fillId="0" borderId="3" applyNumberFormat="0" applyFill="0" applyAlignment="0" applyProtection="0"/>
    <xf numFmtId="0" fontId="65" fillId="22" borderId="0" applyNumberFormat="0" applyBorder="0" applyAlignment="0" applyProtection="0"/>
    <xf numFmtId="0" fontId="65" fillId="24" borderId="0" applyNumberFormat="0" applyBorder="0" applyAlignment="0" applyProtection="0"/>
    <xf numFmtId="0" fontId="65" fillId="18"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23" borderId="0" applyNumberFormat="0" applyBorder="0" applyAlignment="0" applyProtection="0"/>
    <xf numFmtId="0" fontId="70" fillId="4" borderId="1" applyNumberFormat="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71" fillId="0" borderId="0" applyNumberFormat="0" applyFill="0" applyBorder="0" applyAlignment="0" applyProtection="0"/>
    <xf numFmtId="0" fontId="72" fillId="5" borderId="0" applyNumberFormat="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1"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1"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0" fontId="7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73"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0" fontId="74" fillId="1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3"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0" fontId="73"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57" borderId="17" applyNumberFormat="0" applyFont="0" applyAlignment="0" applyProtection="0"/>
    <xf numFmtId="0" fontId="12" fillId="7" borderId="4"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75" fillId="11" borderId="5" applyNumberFormat="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8" fillId="0" borderId="6" applyNumberFormat="0" applyFill="0" applyAlignment="0" applyProtection="0"/>
    <xf numFmtId="0" fontId="79" fillId="0" borderId="7" applyNumberFormat="0" applyFill="0" applyAlignment="0" applyProtection="0"/>
    <xf numFmtId="0" fontId="80" fillId="0" borderId="8" applyNumberFormat="0" applyFill="0" applyAlignment="0" applyProtection="0"/>
    <xf numFmtId="0" fontId="80" fillId="0" borderId="0" applyNumberFormat="0" applyFill="0" applyBorder="0" applyAlignment="0" applyProtection="0"/>
    <xf numFmtId="0" fontId="81" fillId="0" borderId="9" applyNumberFormat="0" applyFill="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12" fillId="0" borderId="0" applyFont="0" applyFill="0" applyBorder="0" applyAlignment="0" applyProtection="0"/>
    <xf numFmtId="164" fontId="73" fillId="0" borderId="0" applyFont="0" applyFill="0" applyBorder="0" applyAlignment="0" applyProtection="0"/>
    <xf numFmtId="164" fontId="12" fillId="0" borderId="0" applyFont="0" applyFill="0" applyBorder="0" applyAlignment="0" applyProtection="0"/>
    <xf numFmtId="164" fontId="7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44" fontId="8"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3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12" fillId="0" borderId="0"/>
    <xf numFmtId="0" fontId="32" fillId="0" borderId="0"/>
    <xf numFmtId="0" fontId="12" fillId="0" borderId="0"/>
    <xf numFmtId="0" fontId="8" fillId="0" borderId="0"/>
    <xf numFmtId="0" fontId="8" fillId="0" borderId="0"/>
    <xf numFmtId="0" fontId="8" fillId="0" borderId="0"/>
    <xf numFmtId="0" fontId="8" fillId="0" borderId="0"/>
    <xf numFmtId="0" fontId="30" fillId="0" borderId="0" applyNumberFormat="0" applyFill="0" applyBorder="0" applyProtection="0">
      <alignment horizontal="left" vertical="top"/>
    </xf>
    <xf numFmtId="0" fontId="8" fillId="0" borderId="0"/>
    <xf numFmtId="0" fontId="30" fillId="0" borderId="0" applyNumberFormat="0" applyFill="0" applyBorder="0" applyProtection="0">
      <alignment horizontal="left" vertical="top"/>
    </xf>
    <xf numFmtId="0" fontId="8" fillId="0" borderId="0"/>
    <xf numFmtId="0" fontId="8" fillId="0" borderId="0"/>
    <xf numFmtId="0" fontId="30" fillId="0" borderId="0" applyNumberFormat="0" applyFill="0" applyBorder="0" applyProtection="0">
      <alignment horizontal="left" vertical="top"/>
    </xf>
    <xf numFmtId="0" fontId="8" fillId="0" borderId="0"/>
    <xf numFmtId="0" fontId="32" fillId="0" borderId="0"/>
    <xf numFmtId="0" fontId="8" fillId="57" borderId="17" applyNumberFormat="0" applyFont="0" applyAlignment="0" applyProtection="0"/>
    <xf numFmtId="0" fontId="8" fillId="57" borderId="17" applyNumberFormat="0" applyFont="0" applyAlignment="0" applyProtection="0"/>
    <xf numFmtId="0" fontId="8" fillId="57" borderId="17" applyNumberFormat="0" applyFont="0" applyAlignment="0" applyProtection="0"/>
    <xf numFmtId="0" fontId="8" fillId="57" borderId="17" applyNumberFormat="0" applyFont="0" applyAlignment="0" applyProtection="0"/>
    <xf numFmtId="0" fontId="15" fillId="57" borderId="17" applyNumberFormat="0" applyFont="0" applyAlignment="0" applyProtection="0"/>
    <xf numFmtId="9" fontId="12" fillId="0" borderId="0" applyFont="0" applyFill="0" applyBorder="0" applyAlignment="0" applyProtection="0"/>
    <xf numFmtId="9" fontId="8"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12" fillId="0" borderId="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4" fontId="8"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1" fontId="12" fillId="0" borderId="0" applyFont="0" applyFill="0" applyBorder="0" applyAlignment="0" applyProtection="0"/>
    <xf numFmtId="170" fontId="12" fillId="0" borderId="0" applyFont="0" applyFill="0" applyBorder="0" applyAlignment="0" applyProtection="0"/>
    <xf numFmtId="171" fontId="12" fillId="0" borderId="0" applyFont="0" applyFill="0" applyBorder="0" applyAlignment="0" applyProtection="0"/>
    <xf numFmtId="170" fontId="12" fillId="0" borderId="0" applyFont="0" applyFill="0" applyBorder="0" applyAlignment="0" applyProtection="0"/>
    <xf numFmtId="171" fontId="12" fillId="0" borderId="0" applyFont="0" applyFill="0" applyBorder="0" applyAlignment="0" applyProtection="0"/>
    <xf numFmtId="170" fontId="12" fillId="0" borderId="0" applyFont="0" applyFill="0" applyBorder="0" applyAlignment="0" applyProtection="0"/>
    <xf numFmtId="171" fontId="12" fillId="0" borderId="0" applyFont="0" applyFill="0" applyBorder="0" applyAlignment="0" applyProtection="0"/>
    <xf numFmtId="170" fontId="12" fillId="0" borderId="0" applyFont="0" applyFill="0" applyBorder="0" applyAlignment="0" applyProtection="0"/>
    <xf numFmtId="171"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0" fontId="12" fillId="0" borderId="0" applyFont="0" applyFill="0" applyBorder="0" applyAlignment="0" applyProtection="0"/>
    <xf numFmtId="171" fontId="12" fillId="0" borderId="0" applyFont="0" applyFill="0" applyBorder="0" applyAlignment="0" applyProtection="0"/>
    <xf numFmtId="170" fontId="1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0" fontId="1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12" fillId="0" borderId="0"/>
    <xf numFmtId="0" fontId="12" fillId="0" borderId="0"/>
    <xf numFmtId="0" fontId="12" fillId="0" borderId="0"/>
    <xf numFmtId="0" fontId="8" fillId="0" borderId="0"/>
    <xf numFmtId="0" fontId="8"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12" fillId="0" borderId="0"/>
    <xf numFmtId="0" fontId="8" fillId="57" borderId="17" applyNumberFormat="0" applyFont="0" applyAlignment="0" applyProtection="0"/>
    <xf numFmtId="0" fontId="8" fillId="57" borderId="17" applyNumberFormat="0" applyFont="0" applyAlignment="0" applyProtection="0"/>
    <xf numFmtId="0" fontId="8" fillId="57" borderId="17" applyNumberFormat="0" applyFont="0" applyAlignment="0" applyProtection="0"/>
    <xf numFmtId="0" fontId="8" fillId="57" borderId="17" applyNumberFormat="0" applyFont="0" applyAlignment="0" applyProtection="0"/>
    <xf numFmtId="0" fontId="12" fillId="7" borderId="4"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7" borderId="17" applyNumberFormat="0" applyFont="0" applyAlignment="0" applyProtection="0"/>
    <xf numFmtId="0" fontId="8" fillId="57" borderId="17" applyNumberFormat="0" applyFont="0" applyAlignment="0" applyProtection="0"/>
    <xf numFmtId="0" fontId="8" fillId="57" borderId="17" applyNumberFormat="0" applyFont="0" applyAlignment="0" applyProtection="0"/>
    <xf numFmtId="0" fontId="8" fillId="57" borderId="17" applyNumberFormat="0" applyFont="0" applyAlignment="0" applyProtection="0"/>
    <xf numFmtId="9" fontId="8" fillId="0" borderId="0" applyFont="0" applyFill="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7" borderId="17" applyNumberFormat="0" applyFont="0" applyAlignment="0" applyProtection="0"/>
    <xf numFmtId="0" fontId="8" fillId="57" borderId="17" applyNumberFormat="0" applyFont="0" applyAlignment="0" applyProtection="0"/>
    <xf numFmtId="0" fontId="8" fillId="57" borderId="17" applyNumberFormat="0" applyFont="0" applyAlignment="0" applyProtection="0"/>
    <xf numFmtId="0" fontId="8" fillId="57" borderId="17" applyNumberFormat="0" applyFont="0" applyAlignment="0" applyProtection="0"/>
    <xf numFmtId="9" fontId="8" fillId="0" borderId="0" applyFont="0" applyFill="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7" borderId="17" applyNumberFormat="0" applyFont="0" applyAlignment="0" applyProtection="0"/>
    <xf numFmtId="0" fontId="8" fillId="57" borderId="17" applyNumberFormat="0" applyFont="0" applyAlignment="0" applyProtection="0"/>
    <xf numFmtId="0" fontId="8" fillId="57" borderId="17" applyNumberFormat="0" applyFont="0" applyAlignment="0" applyProtection="0"/>
    <xf numFmtId="0" fontId="8" fillId="57" borderId="17" applyNumberFormat="0" applyFont="0" applyAlignment="0" applyProtection="0"/>
    <xf numFmtId="9" fontId="8" fillId="0" borderId="0" applyFont="0" applyFill="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7" borderId="17" applyNumberFormat="0" applyFont="0" applyAlignment="0" applyProtection="0"/>
    <xf numFmtId="0" fontId="8" fillId="57" borderId="17" applyNumberFormat="0" applyFont="0" applyAlignment="0" applyProtection="0"/>
    <xf numFmtId="0" fontId="8" fillId="57" borderId="17" applyNumberFormat="0" applyFont="0" applyAlignment="0" applyProtection="0"/>
    <xf numFmtId="0" fontId="8" fillId="57" borderId="17" applyNumberFormat="0" applyFont="0" applyAlignment="0" applyProtection="0"/>
    <xf numFmtId="9" fontId="8" fillId="0" borderId="0" applyFont="0" applyFill="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7" borderId="17" applyNumberFormat="0" applyFont="0" applyAlignment="0" applyProtection="0"/>
    <xf numFmtId="0" fontId="8" fillId="57" borderId="17" applyNumberFormat="0" applyFont="0" applyAlignment="0" applyProtection="0"/>
    <xf numFmtId="0" fontId="8" fillId="57" borderId="17" applyNumberFormat="0" applyFont="0" applyAlignment="0" applyProtection="0"/>
    <xf numFmtId="0" fontId="8" fillId="57" borderId="17" applyNumberFormat="0" applyFont="0" applyAlignment="0" applyProtection="0"/>
    <xf numFmtId="9" fontId="8" fillId="0" borderId="0" applyFont="0" applyFill="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7" borderId="17" applyNumberFormat="0" applyFont="0" applyAlignment="0" applyProtection="0"/>
    <xf numFmtId="0" fontId="8" fillId="57" borderId="17" applyNumberFormat="0" applyFont="0" applyAlignment="0" applyProtection="0"/>
    <xf numFmtId="0" fontId="8" fillId="57" borderId="17" applyNumberFormat="0" applyFont="0" applyAlignment="0" applyProtection="0"/>
    <xf numFmtId="0" fontId="8" fillId="57" borderId="17" applyNumberFormat="0" applyFont="0" applyAlignment="0" applyProtection="0"/>
    <xf numFmtId="9" fontId="8" fillId="0" borderId="0" applyFont="0" applyFill="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7" borderId="17" applyNumberFormat="0" applyFont="0" applyAlignment="0" applyProtection="0"/>
    <xf numFmtId="0" fontId="8" fillId="57" borderId="17" applyNumberFormat="0" applyFont="0" applyAlignment="0" applyProtection="0"/>
    <xf numFmtId="0" fontId="8" fillId="57" borderId="17" applyNumberFormat="0" applyFont="0" applyAlignment="0" applyProtection="0"/>
    <xf numFmtId="0" fontId="8" fillId="57" borderId="17" applyNumberFormat="0" applyFont="0" applyAlignment="0" applyProtection="0"/>
    <xf numFmtId="9" fontId="8" fillId="0" borderId="0" applyFont="0" applyFill="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7" borderId="17" applyNumberFormat="0" applyFont="0" applyAlignment="0" applyProtection="0"/>
    <xf numFmtId="0" fontId="8" fillId="57" borderId="17" applyNumberFormat="0" applyFont="0" applyAlignment="0" applyProtection="0"/>
    <xf numFmtId="0" fontId="8" fillId="57" borderId="17" applyNumberFormat="0" applyFont="0" applyAlignment="0" applyProtection="0"/>
    <xf numFmtId="0" fontId="8" fillId="57" borderId="17" applyNumberFormat="0" applyFont="0" applyAlignment="0" applyProtection="0"/>
    <xf numFmtId="9" fontId="8" fillId="0" borderId="0" applyFont="0" applyFill="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7" borderId="17" applyNumberFormat="0" applyFont="0" applyAlignment="0" applyProtection="0"/>
    <xf numFmtId="0" fontId="8" fillId="57" borderId="17" applyNumberFormat="0" applyFont="0" applyAlignment="0" applyProtection="0"/>
    <xf numFmtId="0" fontId="8" fillId="57" borderId="17" applyNumberFormat="0" applyFont="0" applyAlignment="0" applyProtection="0"/>
    <xf numFmtId="0" fontId="8" fillId="57" borderId="17" applyNumberFormat="0" applyFont="0" applyAlignment="0" applyProtection="0"/>
    <xf numFmtId="9" fontId="8" fillId="0" borderId="0" applyFont="0" applyFill="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7" borderId="17" applyNumberFormat="0" applyFont="0" applyAlignment="0" applyProtection="0"/>
    <xf numFmtId="0" fontId="8" fillId="57" borderId="17" applyNumberFormat="0" applyFont="0" applyAlignment="0" applyProtection="0"/>
    <xf numFmtId="0" fontId="8" fillId="57" borderId="17" applyNumberFormat="0" applyFont="0" applyAlignment="0" applyProtection="0"/>
    <xf numFmtId="0" fontId="8" fillId="57" borderId="17" applyNumberFormat="0" applyFont="0" applyAlignment="0" applyProtection="0"/>
    <xf numFmtId="9" fontId="8" fillId="0" borderId="0" applyFont="0" applyFill="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7" borderId="17" applyNumberFormat="0" applyFont="0" applyAlignment="0" applyProtection="0"/>
    <xf numFmtId="0" fontId="8" fillId="57" borderId="17" applyNumberFormat="0" applyFont="0" applyAlignment="0" applyProtection="0"/>
    <xf numFmtId="0" fontId="8" fillId="57" borderId="17" applyNumberFormat="0" applyFont="0" applyAlignment="0" applyProtection="0"/>
    <xf numFmtId="0" fontId="8" fillId="57" borderId="17" applyNumberFormat="0" applyFont="0" applyAlignment="0" applyProtection="0"/>
    <xf numFmtId="9" fontId="8" fillId="0" borderId="0" applyFont="0" applyFill="0" applyBorder="0" applyAlignment="0" applyProtection="0"/>
    <xf numFmtId="0" fontId="8" fillId="0" borderId="0"/>
    <xf numFmtId="44" fontId="8" fillId="0" borderId="0" applyFont="0" applyFill="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64" fillId="3"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64" fillId="5"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64" fillId="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64" fillId="8"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64" fillId="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64" fillId="4"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64" fillId="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64" fillId="10"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64" fillId="12"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64" fillId="8"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64" fillId="9"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64" fillId="14" borderId="0" applyNumberFormat="0" applyBorder="0" applyAlignment="0" applyProtection="0"/>
    <xf numFmtId="0" fontId="65" fillId="15" borderId="0" applyNumberFormat="0" applyBorder="0" applyAlignment="0" applyProtection="0"/>
    <xf numFmtId="0" fontId="65" fillId="10" borderId="0" applyNumberFormat="0" applyBorder="0" applyAlignment="0" applyProtection="0"/>
    <xf numFmtId="0" fontId="65" fillId="12"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19" borderId="0" applyNumberFormat="0" applyBorder="0" applyAlignment="0" applyProtection="0"/>
    <xf numFmtId="0" fontId="66" fillId="6" borderId="0" applyNumberFormat="0" applyBorder="0" applyAlignment="0" applyProtection="0"/>
    <xf numFmtId="0" fontId="67" fillId="11" borderId="1" applyNumberFormat="0" applyAlignment="0" applyProtection="0"/>
    <xf numFmtId="0" fontId="68" fillId="21" borderId="2" applyNumberFormat="0" applyAlignment="0" applyProtection="0"/>
    <xf numFmtId="0" fontId="69" fillId="0" borderId="3" applyNumberFormat="0" applyFill="0" applyAlignment="0" applyProtection="0"/>
    <xf numFmtId="0" fontId="65" fillId="22" borderId="0" applyNumberFormat="0" applyBorder="0" applyAlignment="0" applyProtection="0"/>
    <xf numFmtId="0" fontId="65" fillId="24" borderId="0" applyNumberFormat="0" applyBorder="0" applyAlignment="0" applyProtection="0"/>
    <xf numFmtId="0" fontId="65" fillId="18" borderId="0" applyNumberFormat="0" applyBorder="0" applyAlignment="0" applyProtection="0"/>
    <xf numFmtId="0" fontId="65" fillId="16" borderId="0" applyNumberFormat="0" applyBorder="0" applyAlignment="0" applyProtection="0"/>
    <xf numFmtId="0" fontId="65" fillId="17" borderId="0" applyNumberFormat="0" applyBorder="0" applyAlignment="0" applyProtection="0"/>
    <xf numFmtId="0" fontId="65" fillId="23" borderId="0" applyNumberFormat="0" applyBorder="0" applyAlignment="0" applyProtection="0"/>
    <xf numFmtId="0" fontId="70" fillId="4" borderId="1" applyNumberFormat="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72" fillId="5" borderId="0" applyNumberFormat="0" applyBorder="0" applyAlignment="0" applyProtection="0"/>
    <xf numFmtId="44" fontId="15" fillId="0" borderId="0" applyFont="0" applyFill="0" applyBorder="0" applyAlignment="0" applyProtection="0"/>
    <xf numFmtId="44" fontId="8" fillId="0" borderId="0" applyFont="0" applyFill="0" applyBorder="0" applyAlignment="0" applyProtection="0"/>
    <xf numFmtId="44" fontId="15" fillId="0" borderId="0" applyFont="0" applyFill="0" applyBorder="0" applyAlignment="0" applyProtection="0"/>
    <xf numFmtId="44" fontId="8" fillId="0" borderId="0" applyFont="0" applyFill="0" applyBorder="0" applyAlignment="0" applyProtection="0"/>
    <xf numFmtId="44" fontId="47"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4"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170" fontId="12" fillId="0" borderId="0" applyFont="0" applyFill="0" applyBorder="0" applyAlignment="0" applyProtection="0"/>
    <xf numFmtId="44" fontId="15" fillId="0" borderId="0" applyFont="0" applyFill="0" applyBorder="0" applyAlignment="0" applyProtection="0"/>
    <xf numFmtId="44" fontId="8" fillId="0" borderId="0" applyFont="0" applyFill="0" applyBorder="0" applyAlignment="0" applyProtection="0"/>
    <xf numFmtId="44" fontId="15" fillId="0" borderId="0" applyFont="0" applyFill="0" applyBorder="0" applyAlignment="0" applyProtection="0"/>
    <xf numFmtId="44" fontId="8" fillId="0" borderId="0" applyFont="0" applyFill="0" applyBorder="0" applyAlignment="0" applyProtection="0"/>
    <xf numFmtId="44" fontId="15" fillId="0" borderId="0" applyFont="0" applyFill="0" applyBorder="0" applyAlignment="0" applyProtection="0"/>
    <xf numFmtId="44" fontId="8" fillId="0" borderId="0" applyFont="0" applyFill="0" applyBorder="0" applyAlignment="0" applyProtection="0"/>
    <xf numFmtId="44" fontId="15" fillId="0" borderId="0" applyFont="0" applyFill="0" applyBorder="0" applyAlignment="0" applyProtection="0"/>
    <xf numFmtId="44" fontId="8" fillId="0" borderId="0" applyFont="0" applyFill="0" applyBorder="0" applyAlignment="0" applyProtection="0"/>
    <xf numFmtId="44" fontId="15" fillId="0" borderId="0" applyFont="0" applyFill="0" applyBorder="0" applyAlignment="0" applyProtection="0"/>
    <xf numFmtId="44" fontId="8" fillId="0" borderId="0" applyFont="0" applyFill="0" applyBorder="0" applyAlignment="0" applyProtection="0"/>
    <xf numFmtId="44" fontId="15" fillId="0" borderId="0" applyFont="0" applyFill="0" applyBorder="0" applyAlignment="0" applyProtection="0"/>
    <xf numFmtId="44" fontId="8" fillId="0" borderId="0" applyFont="0" applyFill="0" applyBorder="0" applyAlignment="0" applyProtection="0"/>
    <xf numFmtId="44" fontId="15" fillId="0" borderId="0" applyFont="0" applyFill="0" applyBorder="0" applyAlignment="0" applyProtection="0"/>
    <xf numFmtId="44" fontId="8" fillId="0" borderId="0" applyFont="0" applyFill="0" applyBorder="0" applyAlignment="0" applyProtection="0"/>
    <xf numFmtId="44" fontId="15" fillId="0" borderId="0" applyFont="0" applyFill="0" applyBorder="0" applyAlignment="0" applyProtection="0"/>
    <xf numFmtId="44" fontId="8" fillId="0" borderId="0" applyFont="0" applyFill="0" applyBorder="0" applyAlignment="0" applyProtection="0"/>
    <xf numFmtId="0" fontId="74" fillId="13"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5" fillId="57" borderId="17" applyNumberFormat="0" applyFont="0" applyAlignment="0" applyProtection="0"/>
    <xf numFmtId="0" fontId="8" fillId="57" borderId="17" applyNumberFormat="0" applyFont="0" applyAlignment="0" applyProtection="0"/>
    <xf numFmtId="0" fontId="15" fillId="57" borderId="17" applyNumberFormat="0" applyFont="0" applyAlignment="0" applyProtection="0"/>
    <xf numFmtId="0" fontId="8" fillId="57" borderId="17" applyNumberFormat="0" applyFont="0" applyAlignment="0" applyProtection="0"/>
    <xf numFmtId="0" fontId="15" fillId="57" borderId="17" applyNumberFormat="0" applyFont="0" applyAlignment="0" applyProtection="0"/>
    <xf numFmtId="0" fontId="8" fillId="57" borderId="17" applyNumberFormat="0" applyFont="0" applyAlignment="0" applyProtection="0"/>
    <xf numFmtId="0" fontId="15" fillId="57" borderId="17" applyNumberFormat="0" applyFont="0" applyAlignment="0" applyProtection="0"/>
    <xf numFmtId="0" fontId="8" fillId="57" borderId="17" applyNumberFormat="0" applyFont="0" applyAlignment="0" applyProtection="0"/>
    <xf numFmtId="0" fontId="15" fillId="57" borderId="17" applyNumberFormat="0" applyFont="0" applyAlignment="0" applyProtection="0"/>
    <xf numFmtId="0" fontId="8" fillId="57" borderId="17" applyNumberFormat="0" applyFont="0" applyAlignment="0" applyProtection="0"/>
    <xf numFmtId="0" fontId="15" fillId="57" borderId="17" applyNumberFormat="0" applyFont="0" applyAlignment="0" applyProtection="0"/>
    <xf numFmtId="0" fontId="8" fillId="57" borderId="17" applyNumberFormat="0" applyFont="0" applyAlignment="0" applyProtection="0"/>
    <xf numFmtId="0" fontId="8" fillId="57" borderId="17" applyNumberFormat="0" applyFont="0" applyAlignment="0" applyProtection="0"/>
    <xf numFmtId="0" fontId="8" fillId="57" borderId="17" applyNumberFormat="0" applyFont="0" applyAlignment="0" applyProtection="0"/>
    <xf numFmtId="0" fontId="12" fillId="7" borderId="4"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15" fillId="0" borderId="0" applyFont="0" applyFill="0" applyBorder="0" applyAlignment="0" applyProtection="0"/>
    <xf numFmtId="9" fontId="8" fillId="0" borderId="0" applyFont="0" applyFill="0" applyBorder="0" applyAlignment="0" applyProtection="0"/>
    <xf numFmtId="9" fontId="15" fillId="0" borderId="0" applyFont="0" applyFill="0" applyBorder="0" applyAlignment="0" applyProtection="0"/>
    <xf numFmtId="9" fontId="12"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75" fillId="11" borderId="5" applyNumberFormat="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8" fillId="0" borderId="6" applyNumberFormat="0" applyFill="0" applyAlignment="0" applyProtection="0"/>
    <xf numFmtId="0" fontId="79" fillId="0" borderId="7" applyNumberFormat="0" applyFill="0" applyAlignment="0" applyProtection="0"/>
    <xf numFmtId="0" fontId="80" fillId="0" borderId="8" applyNumberFormat="0" applyFill="0" applyAlignment="0" applyProtection="0"/>
    <xf numFmtId="0" fontId="80" fillId="0" borderId="0" applyNumberFormat="0" applyFill="0" applyBorder="0" applyAlignment="0" applyProtection="0"/>
    <xf numFmtId="0" fontId="42" fillId="0" borderId="0" applyNumberFormat="0" applyFill="0" applyBorder="0" applyAlignment="0" applyProtection="0"/>
    <xf numFmtId="0" fontId="81" fillId="0" borderId="9" applyNumberFormat="0" applyFill="0" applyAlignment="0" applyProtection="0"/>
    <xf numFmtId="43" fontId="8" fillId="0" borderId="0" applyFont="0" applyFill="0" applyBorder="0" applyAlignment="0" applyProtection="0"/>
    <xf numFmtId="164" fontId="12" fillId="0" borderId="0" applyFont="0" applyFill="0" applyBorder="0" applyAlignment="0" applyProtection="0"/>
    <xf numFmtId="43" fontId="8"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2" fontId="82" fillId="0" borderId="0">
      <alignment horizontal="left" vertical="center"/>
    </xf>
    <xf numFmtId="2" fontId="83" fillId="61" borderId="0">
      <alignment horizontal="left" vertical="center"/>
    </xf>
    <xf numFmtId="0" fontId="84" fillId="61" borderId="23">
      <alignment horizontal="left" vertical="center"/>
    </xf>
    <xf numFmtId="0" fontId="85" fillId="0" borderId="0">
      <alignment horizontal="left"/>
    </xf>
    <xf numFmtId="0" fontId="7" fillId="0" borderId="0"/>
    <xf numFmtId="43" fontId="7" fillId="0" borderId="0" applyFont="0" applyFill="0" applyBorder="0" applyAlignment="0" applyProtection="0"/>
    <xf numFmtId="0" fontId="47" fillId="0" borderId="0"/>
    <xf numFmtId="44" fontId="4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43" fontId="4" fillId="0" borderId="0" applyFont="0" applyFill="0" applyBorder="0" applyAlignment="0" applyProtection="0"/>
    <xf numFmtId="0" fontId="86" fillId="0" borderId="0"/>
    <xf numFmtId="0" fontId="3" fillId="0" borderId="0"/>
    <xf numFmtId="44" fontId="86" fillId="0" borderId="0" applyFont="0" applyFill="0" applyBorder="0" applyAlignment="0" applyProtection="0"/>
    <xf numFmtId="9" fontId="86" fillId="0" borderId="0" applyFont="0" applyFill="0" applyBorder="0" applyAlignment="0" applyProtection="0"/>
    <xf numFmtId="0" fontId="71" fillId="0" borderId="0" applyNumberFormat="0" applyFill="0" applyBorder="0" applyAlignment="0" applyProtection="0"/>
    <xf numFmtId="0" fontId="93" fillId="0" borderId="0"/>
    <xf numFmtId="0" fontId="98" fillId="0" borderId="0"/>
    <xf numFmtId="0" fontId="101" fillId="0" borderId="0"/>
    <xf numFmtId="0" fontId="15" fillId="0" borderId="0"/>
    <xf numFmtId="0" fontId="12" fillId="0" borderId="0"/>
    <xf numFmtId="9" fontId="12" fillId="0" borderId="0" applyFont="0" applyFill="0" applyBorder="0" applyAlignment="0" applyProtection="0"/>
    <xf numFmtId="43" fontId="13" fillId="0" borderId="0" applyFill="0" applyBorder="0" applyAlignment="0" applyProtection="0"/>
    <xf numFmtId="0" fontId="2" fillId="0" borderId="0"/>
    <xf numFmtId="0" fontId="1" fillId="0" borderId="0"/>
    <xf numFmtId="43" fontId="1" fillId="0" borderId="0" applyFont="0" applyFill="0" applyBorder="0" applyAlignment="0" applyProtection="0"/>
  </cellStyleXfs>
  <cellXfs count="608">
    <xf numFmtId="0" fontId="0" fillId="0" borderId="0" xfId="0"/>
    <xf numFmtId="0" fontId="87" fillId="58" borderId="0" xfId="687" applyFont="1" applyFill="1" applyAlignment="1">
      <alignment horizontal="right" vertical="center" wrapText="1"/>
    </xf>
    <xf numFmtId="0" fontId="87" fillId="58" borderId="0" xfId="687" applyFont="1" applyFill="1" applyAlignment="1">
      <alignment horizontal="left" vertical="center"/>
    </xf>
    <xf numFmtId="0" fontId="87" fillId="58" borderId="0" xfId="687" applyFont="1" applyFill="1" applyAlignment="1">
      <alignment horizontal="center" vertical="center" wrapText="1"/>
    </xf>
    <xf numFmtId="0" fontId="89" fillId="58" borderId="0" xfId="687" applyFont="1" applyFill="1" applyAlignment="1">
      <alignment horizontal="center" vertical="center" wrapText="1"/>
    </xf>
    <xf numFmtId="0" fontId="89" fillId="58" borderId="0" xfId="687" applyFont="1" applyFill="1" applyAlignment="1">
      <alignment horizontal="right" vertical="center" wrapText="1"/>
    </xf>
    <xf numFmtId="0" fontId="90" fillId="0" borderId="0" xfId="0" applyFont="1" applyAlignment="1">
      <alignment vertical="center"/>
    </xf>
    <xf numFmtId="0" fontId="89" fillId="0" borderId="0" xfId="0" applyFont="1" applyAlignment="1">
      <alignment vertical="center"/>
    </xf>
    <xf numFmtId="0" fontId="90" fillId="0" borderId="0" xfId="0" applyFont="1"/>
    <xf numFmtId="0" fontId="87" fillId="0" borderId="24" xfId="687" applyFont="1" applyBorder="1" applyAlignment="1">
      <alignment horizontal="center" vertical="center"/>
    </xf>
    <xf numFmtId="0" fontId="87" fillId="0" borderId="24" xfId="438" applyFont="1" applyBorder="1" applyAlignment="1">
      <alignment horizontal="center" vertical="center"/>
    </xf>
    <xf numFmtId="43" fontId="87" fillId="0" borderId="24" xfId="1134" applyFont="1" applyFill="1" applyBorder="1" applyAlignment="1">
      <alignment horizontal="right" vertical="center"/>
    </xf>
    <xf numFmtId="1" fontId="87" fillId="0" borderId="24" xfId="438" applyNumberFormat="1" applyFont="1" applyBorder="1" applyAlignment="1">
      <alignment horizontal="center" vertical="center"/>
    </xf>
    <xf numFmtId="0" fontId="87" fillId="0" borderId="24" xfId="687" applyFont="1" applyBorder="1" applyAlignment="1">
      <alignment horizontal="center" vertical="center" shrinkToFit="1"/>
    </xf>
    <xf numFmtId="1" fontId="87" fillId="0" borderId="24" xfId="687" applyNumberFormat="1" applyFont="1" applyBorder="1" applyAlignment="1">
      <alignment horizontal="center" vertical="center"/>
    </xf>
    <xf numFmtId="0" fontId="90" fillId="0" borderId="0" xfId="0" applyFont="1" applyAlignment="1">
      <alignment wrapText="1"/>
    </xf>
    <xf numFmtId="43" fontId="90" fillId="0" borderId="0" xfId="1134" applyFont="1"/>
    <xf numFmtId="43" fontId="87" fillId="58" borderId="0" xfId="1134" applyFont="1" applyFill="1" applyBorder="1" applyAlignment="1">
      <alignment horizontal="right" vertical="center"/>
    </xf>
    <xf numFmtId="43" fontId="89" fillId="0" borderId="0" xfId="1134" applyFont="1" applyBorder="1" applyAlignment="1">
      <alignment vertical="center"/>
    </xf>
    <xf numFmtId="43" fontId="90" fillId="0" borderId="0" xfId="1134" applyFont="1" applyBorder="1" applyAlignment="1">
      <alignment vertical="center"/>
    </xf>
    <xf numFmtId="43" fontId="90" fillId="0" borderId="0" xfId="1134" applyFont="1" applyBorder="1" applyAlignment="1">
      <alignment horizontal="right" vertical="center"/>
    </xf>
    <xf numFmtId="43" fontId="90" fillId="0" borderId="0" xfId="1134" applyFont="1" applyAlignment="1">
      <alignment horizontal="center" vertical="center"/>
    </xf>
    <xf numFmtId="43" fontId="92" fillId="0" borderId="0" xfId="1134" applyFont="1" applyBorder="1" applyAlignment="1">
      <alignment horizontal="right" vertical="center"/>
    </xf>
    <xf numFmtId="0" fontId="87" fillId="0" borderId="24" xfId="3997" applyFont="1" applyBorder="1" applyAlignment="1">
      <alignment horizontal="center" vertical="center"/>
    </xf>
    <xf numFmtId="43" fontId="87" fillId="0" borderId="24" xfId="1134" applyFont="1" applyFill="1" applyBorder="1" applyAlignment="1">
      <alignment horizontal="center" vertical="center"/>
    </xf>
    <xf numFmtId="10" fontId="87" fillId="0" borderId="24" xfId="786" applyNumberFormat="1" applyFont="1" applyFill="1" applyBorder="1" applyAlignment="1">
      <alignment horizontal="center" vertical="center"/>
    </xf>
    <xf numFmtId="2" fontId="87" fillId="0" borderId="24" xfId="687" applyNumberFormat="1" applyFont="1" applyBorder="1" applyAlignment="1">
      <alignment horizontal="center" vertical="center" shrinkToFit="1"/>
    </xf>
    <xf numFmtId="43" fontId="91" fillId="62" borderId="24" xfId="1134" applyFont="1" applyFill="1" applyBorder="1" applyAlignment="1">
      <alignment vertical="center"/>
    </xf>
    <xf numFmtId="2" fontId="87" fillId="60" borderId="24" xfId="687" applyNumberFormat="1" applyFont="1" applyFill="1" applyBorder="1" applyAlignment="1">
      <alignment horizontal="center" vertical="center"/>
    </xf>
    <xf numFmtId="0" fontId="87" fillId="60" borderId="24" xfId="687" applyFont="1" applyFill="1" applyBorder="1" applyAlignment="1">
      <alignment vertical="center"/>
    </xf>
    <xf numFmtId="43" fontId="87" fillId="60" borderId="24" xfId="1134" applyFont="1" applyFill="1" applyBorder="1" applyAlignment="1">
      <alignment vertical="center"/>
    </xf>
    <xf numFmtId="10" fontId="87" fillId="60" borderId="24" xfId="786" applyNumberFormat="1" applyFont="1" applyFill="1" applyBorder="1" applyAlignment="1">
      <alignment vertical="center"/>
    </xf>
    <xf numFmtId="0" fontId="87" fillId="60" borderId="24" xfId="687" applyFont="1" applyFill="1" applyBorder="1" applyAlignment="1">
      <alignment vertical="center" wrapText="1"/>
    </xf>
    <xf numFmtId="43" fontId="87" fillId="60" borderId="24" xfId="1134" applyFont="1" applyFill="1" applyBorder="1" applyAlignment="1">
      <alignment vertical="center" wrapText="1"/>
    </xf>
    <xf numFmtId="10" fontId="87" fillId="60" borderId="24" xfId="786" applyNumberFormat="1" applyFont="1" applyFill="1" applyBorder="1" applyAlignment="1">
      <alignment vertical="center" wrapText="1"/>
    </xf>
    <xf numFmtId="0" fontId="87" fillId="60" borderId="24" xfId="687" applyFont="1" applyFill="1" applyBorder="1" applyAlignment="1">
      <alignment horizontal="center" vertical="center"/>
    </xf>
    <xf numFmtId="0" fontId="87" fillId="60" borderId="24" xfId="687" applyFont="1" applyFill="1" applyBorder="1" applyAlignment="1">
      <alignment horizontal="center" vertical="center" shrinkToFit="1"/>
    </xf>
    <xf numFmtId="43" fontId="87" fillId="60" borderId="24" xfId="1134" applyFont="1" applyFill="1" applyBorder="1" applyAlignment="1">
      <alignment horizontal="center" vertical="center" shrinkToFit="1"/>
    </xf>
    <xf numFmtId="10" fontId="87" fillId="60" borderId="24" xfId="786" applyNumberFormat="1" applyFont="1" applyFill="1" applyBorder="1" applyAlignment="1">
      <alignment horizontal="center" vertical="center" shrinkToFit="1"/>
    </xf>
    <xf numFmtId="43" fontId="87" fillId="60" borderId="24" xfId="1134" applyFont="1" applyFill="1" applyBorder="1" applyAlignment="1">
      <alignment horizontal="center" vertical="center"/>
    </xf>
    <xf numFmtId="10" fontId="91" fillId="62" borderId="24" xfId="786" applyNumberFormat="1" applyFont="1" applyFill="1" applyBorder="1" applyAlignment="1">
      <alignment vertical="center"/>
    </xf>
    <xf numFmtId="43" fontId="91" fillId="62" borderId="24" xfId="1134" applyFont="1" applyFill="1" applyBorder="1" applyAlignment="1">
      <alignment horizontal="center" vertical="center" wrapText="1"/>
    </xf>
    <xf numFmtId="0" fontId="89" fillId="0" borderId="0" xfId="0" applyFont="1" applyAlignment="1">
      <alignment horizontal="justify" vertical="center" wrapText="1"/>
    </xf>
    <xf numFmtId="0" fontId="87" fillId="0" borderId="24" xfId="438" applyFont="1" applyBorder="1" applyAlignment="1">
      <alignment horizontal="justify" vertical="center" wrapText="1"/>
    </xf>
    <xf numFmtId="0" fontId="90" fillId="0" borderId="24" xfId="0" applyFont="1" applyBorder="1" applyAlignment="1">
      <alignment vertical="center"/>
    </xf>
    <xf numFmtId="0" fontId="90" fillId="0" borderId="0" xfId="0" applyFont="1" applyAlignment="1">
      <alignment vertical="center" wrapText="1"/>
    </xf>
    <xf numFmtId="0" fontId="90" fillId="0" borderId="0" xfId="0" applyFont="1" applyAlignment="1">
      <alignment horizontal="justify" vertical="center" wrapText="1"/>
    </xf>
    <xf numFmtId="43" fontId="90" fillId="0" borderId="0" xfId="1134" applyFont="1" applyAlignment="1">
      <alignment vertical="center"/>
    </xf>
    <xf numFmtId="0" fontId="90" fillId="60" borderId="24" xfId="0" applyFont="1" applyFill="1" applyBorder="1" applyAlignment="1">
      <alignment vertical="center"/>
    </xf>
    <xf numFmtId="10" fontId="90" fillId="0" borderId="0" xfId="786" applyNumberFormat="1" applyFont="1" applyAlignment="1">
      <alignment vertical="center"/>
    </xf>
    <xf numFmtId="0" fontId="94" fillId="0" borderId="0" xfId="4001" applyFont="1" applyAlignment="1">
      <alignment horizontal="left" vertical="center"/>
    </xf>
    <xf numFmtId="0" fontId="95" fillId="0" borderId="24" xfId="4001" applyFont="1" applyBorder="1" applyAlignment="1">
      <alignment horizontal="left" vertical="center" wrapText="1"/>
    </xf>
    <xf numFmtId="0" fontId="95" fillId="0" borderId="24" xfId="4001" applyFont="1" applyBorder="1" applyAlignment="1">
      <alignment horizontal="center" vertical="center" wrapText="1"/>
    </xf>
    <xf numFmtId="2" fontId="94" fillId="0" borderId="24" xfId="4001" applyNumberFormat="1" applyFont="1" applyBorder="1" applyAlignment="1">
      <alignment horizontal="right" vertical="center" shrinkToFit="1"/>
    </xf>
    <xf numFmtId="0" fontId="94" fillId="0" borderId="24" xfId="4001" applyFont="1" applyBorder="1" applyAlignment="1">
      <alignment horizontal="left" vertical="center" wrapText="1"/>
    </xf>
    <xf numFmtId="4" fontId="94" fillId="0" borderId="24" xfId="4001" applyNumberFormat="1" applyFont="1" applyBorder="1" applyAlignment="1">
      <alignment horizontal="right" vertical="center" shrinkToFit="1"/>
    </xf>
    <xf numFmtId="0" fontId="97" fillId="62" borderId="24" xfId="4001" applyFont="1" applyFill="1" applyBorder="1" applyAlignment="1">
      <alignment horizontal="center" vertical="center" wrapText="1"/>
    </xf>
    <xf numFmtId="0" fontId="94" fillId="0" borderId="0" xfId="4001" applyFont="1" applyAlignment="1">
      <alignment horizontal="center" vertical="center"/>
    </xf>
    <xf numFmtId="0" fontId="87" fillId="58" borderId="0" xfId="687" applyFont="1" applyFill="1" applyAlignment="1">
      <alignment horizontal="center" vertical="center"/>
    </xf>
    <xf numFmtId="1" fontId="94" fillId="0" borderId="24" xfId="4001" applyNumberFormat="1" applyFont="1" applyBorder="1" applyAlignment="1">
      <alignment horizontal="center" vertical="center" shrinkToFit="1"/>
    </xf>
    <xf numFmtId="0" fontId="88" fillId="58" borderId="0" xfId="687" applyFont="1" applyFill="1" applyAlignment="1">
      <alignment vertical="center" wrapText="1"/>
    </xf>
    <xf numFmtId="0" fontId="90" fillId="0" borderId="0" xfId="0" applyFont="1" applyAlignment="1">
      <alignment horizontal="center" vertical="center"/>
    </xf>
    <xf numFmtId="0" fontId="87" fillId="58" borderId="0" xfId="687" applyFont="1" applyFill="1" applyAlignment="1">
      <alignment vertical="center" wrapText="1"/>
    </xf>
    <xf numFmtId="0" fontId="87" fillId="58" borderId="0" xfId="687" applyFont="1" applyFill="1" applyAlignment="1">
      <alignment vertical="center"/>
    </xf>
    <xf numFmtId="0" fontId="95" fillId="63" borderId="24" xfId="4001" applyFont="1" applyFill="1" applyBorder="1" applyAlignment="1">
      <alignment horizontal="center" vertical="center" wrapText="1"/>
    </xf>
    <xf numFmtId="0" fontId="95" fillId="63" borderId="24" xfId="4001" applyFont="1" applyFill="1" applyBorder="1" applyAlignment="1">
      <alignment vertical="center" wrapText="1"/>
    </xf>
    <xf numFmtId="0" fontId="95" fillId="63" borderId="28" xfId="4001" applyFont="1" applyFill="1" applyBorder="1" applyAlignment="1">
      <alignment vertical="center" wrapText="1"/>
    </xf>
    <xf numFmtId="0" fontId="95" fillId="63" borderId="30" xfId="4001" applyFont="1" applyFill="1" applyBorder="1" applyAlignment="1">
      <alignment vertical="center" wrapText="1"/>
    </xf>
    <xf numFmtId="0" fontId="94" fillId="0" borderId="24" xfId="4001" applyFont="1" applyBorder="1" applyAlignment="1">
      <alignment horizontal="center" vertical="center" wrapText="1"/>
    </xf>
    <xf numFmtId="0" fontId="95" fillId="63" borderId="29" xfId="4001" applyFont="1" applyFill="1" applyBorder="1" applyAlignment="1">
      <alignment horizontal="center" vertical="center" wrapText="1"/>
    </xf>
    <xf numFmtId="0" fontId="94" fillId="0" borderId="0" xfId="4002" applyFont="1" applyAlignment="1">
      <alignment horizontal="left" vertical="top"/>
    </xf>
    <xf numFmtId="0" fontId="94" fillId="0" borderId="0" xfId="4002" applyFont="1" applyAlignment="1">
      <alignment horizontal="center" vertical="top"/>
    </xf>
    <xf numFmtId="0" fontId="95" fillId="0" borderId="0" xfId="4002" applyFont="1" applyAlignment="1">
      <alignment vertical="top" wrapText="1"/>
    </xf>
    <xf numFmtId="43" fontId="94" fillId="0" borderId="0" xfId="1134" applyFont="1" applyFill="1" applyBorder="1" applyAlignment="1">
      <alignment horizontal="left" vertical="top"/>
    </xf>
    <xf numFmtId="0" fontId="94" fillId="0" borderId="24" xfId="4002" applyFont="1" applyBorder="1" applyAlignment="1">
      <alignment horizontal="center" vertical="top"/>
    </xf>
    <xf numFmtId="0" fontId="94" fillId="0" borderId="24" xfId="4002" applyFont="1" applyBorder="1" applyAlignment="1">
      <alignment horizontal="justify" vertical="top" wrapText="1"/>
    </xf>
    <xf numFmtId="43" fontId="94" fillId="0" borderId="24" xfId="1134" applyFont="1" applyFill="1" applyBorder="1" applyAlignment="1">
      <alignment horizontal="left" vertical="top"/>
    </xf>
    <xf numFmtId="1" fontId="94" fillId="0" borderId="24" xfId="4002" applyNumberFormat="1" applyFont="1" applyBorder="1" applyAlignment="1">
      <alignment horizontal="center" vertical="top" shrinkToFit="1"/>
    </xf>
    <xf numFmtId="0" fontId="95" fillId="0" borderId="24" xfId="4002" applyFont="1" applyBorder="1" applyAlignment="1">
      <alignment horizontal="justify" vertical="top" wrapText="1"/>
    </xf>
    <xf numFmtId="0" fontId="95" fillId="0" borderId="24" xfId="4002" applyFont="1" applyBorder="1" applyAlignment="1">
      <alignment horizontal="center" vertical="top" wrapText="1"/>
    </xf>
    <xf numFmtId="43" fontId="94" fillId="0" borderId="24" xfId="1134" applyFont="1" applyFill="1" applyBorder="1" applyAlignment="1">
      <alignment horizontal="right" vertical="top" shrinkToFit="1"/>
    </xf>
    <xf numFmtId="0" fontId="94" fillId="0" borderId="24" xfId="4002" applyFont="1" applyBorder="1" applyAlignment="1">
      <alignment horizontal="center" wrapText="1"/>
    </xf>
    <xf numFmtId="0" fontId="94" fillId="0" borderId="24" xfId="4002" applyFont="1" applyBorder="1" applyAlignment="1">
      <alignment horizontal="center" vertical="center" wrapText="1"/>
    </xf>
    <xf numFmtId="43" fontId="90" fillId="0" borderId="0" xfId="1134" applyFont="1" applyBorder="1" applyAlignment="1">
      <alignment horizontal="left" vertical="center"/>
    </xf>
    <xf numFmtId="0" fontId="97" fillId="62" borderId="24" xfId="4002" applyFont="1" applyFill="1" applyBorder="1" applyAlignment="1">
      <alignment horizontal="justify" vertical="top" wrapText="1"/>
    </xf>
    <xf numFmtId="43" fontId="97" fillId="62" borderId="24" xfId="1134" applyFont="1" applyFill="1" applyBorder="1" applyAlignment="1">
      <alignment horizontal="left" vertical="top"/>
    </xf>
    <xf numFmtId="43" fontId="94" fillId="0" borderId="24" xfId="1134" applyFont="1" applyFill="1" applyBorder="1" applyAlignment="1">
      <alignment horizontal="right" vertical="center" shrinkToFit="1"/>
    </xf>
    <xf numFmtId="43" fontId="94" fillId="0" borderId="0" xfId="1134" applyFont="1" applyFill="1" applyBorder="1" applyAlignment="1">
      <alignment horizontal="left" vertical="center"/>
    </xf>
    <xf numFmtId="43" fontId="97" fillId="62" borderId="24" xfId="1134" applyFont="1" applyFill="1" applyBorder="1" applyAlignment="1">
      <alignment horizontal="center" vertical="center" wrapText="1"/>
    </xf>
    <xf numFmtId="0" fontId="88" fillId="58" borderId="0" xfId="687" applyFont="1" applyFill="1" applyAlignment="1">
      <alignment wrapText="1"/>
    </xf>
    <xf numFmtId="0" fontId="87" fillId="58" borderId="0" xfId="687" applyFont="1" applyFill="1" applyAlignment="1">
      <alignment wrapText="1"/>
    </xf>
    <xf numFmtId="0" fontId="87" fillId="58" borderId="0" xfId="687" applyFont="1" applyFill="1"/>
    <xf numFmtId="43" fontId="100" fillId="0" borderId="0" xfId="1134" applyFont="1" applyFill="1" applyBorder="1" applyAlignment="1">
      <alignment horizontal="left"/>
    </xf>
    <xf numFmtId="0" fontId="100" fillId="0" borderId="0" xfId="4002" applyFont="1" applyAlignment="1">
      <alignment horizontal="center"/>
    </xf>
    <xf numFmtId="0" fontId="100" fillId="0" borderId="0" xfId="4002" applyFont="1" applyAlignment="1">
      <alignment horizontal="left"/>
    </xf>
    <xf numFmtId="0" fontId="87" fillId="0" borderId="0" xfId="4002" applyFont="1" applyAlignment="1">
      <alignment wrapText="1"/>
    </xf>
    <xf numFmtId="1" fontId="100" fillId="0" borderId="24" xfId="4002" applyNumberFormat="1" applyFont="1" applyBorder="1" applyAlignment="1">
      <alignment horizontal="center" shrinkToFit="1"/>
    </xf>
    <xf numFmtId="0" fontId="87" fillId="0" borderId="24" xfId="4002" applyFont="1" applyBorder="1" applyAlignment="1">
      <alignment horizontal="left" wrapText="1"/>
    </xf>
    <xf numFmtId="0" fontId="87" fillId="0" borderId="24" xfId="4002" applyFont="1" applyBorder="1" applyAlignment="1">
      <alignment horizontal="center" wrapText="1"/>
    </xf>
    <xf numFmtId="2" fontId="100" fillId="0" borderId="24" xfId="4002" applyNumberFormat="1" applyFont="1" applyBorder="1" applyAlignment="1">
      <alignment horizontal="right" shrinkToFit="1"/>
    </xf>
    <xf numFmtId="4" fontId="100" fillId="0" borderId="24" xfId="4002" applyNumberFormat="1" applyFont="1" applyBorder="1" applyAlignment="1">
      <alignment horizontal="right" shrinkToFit="1"/>
    </xf>
    <xf numFmtId="0" fontId="99" fillId="62" borderId="24" xfId="4002" applyFont="1" applyFill="1" applyBorder="1" applyAlignment="1">
      <alignment horizontal="center" wrapText="1"/>
    </xf>
    <xf numFmtId="0" fontId="99" fillId="62" borderId="24" xfId="4002" applyFont="1" applyFill="1" applyBorder="1" applyAlignment="1">
      <alignment horizontal="right" wrapText="1"/>
    </xf>
    <xf numFmtId="43" fontId="100" fillId="0" borderId="0" xfId="1134" applyFont="1" applyFill="1" applyBorder="1" applyAlignment="1">
      <alignment horizontal="left" vertical="center"/>
    </xf>
    <xf numFmtId="0" fontId="100" fillId="0" borderId="0" xfId="4002" applyFont="1" applyAlignment="1">
      <alignment horizontal="center" vertical="center"/>
    </xf>
    <xf numFmtId="0" fontId="100" fillId="0" borderId="0" xfId="4002" applyFont="1" applyAlignment="1">
      <alignment horizontal="left" vertical="center"/>
    </xf>
    <xf numFmtId="0" fontId="87" fillId="0" borderId="0" xfId="4002" applyFont="1" applyAlignment="1">
      <alignment vertical="center" wrapText="1"/>
    </xf>
    <xf numFmtId="0" fontId="99" fillId="62" borderId="24" xfId="4002" applyFont="1" applyFill="1" applyBorder="1" applyAlignment="1">
      <alignment horizontal="center" vertical="center" wrapText="1"/>
    </xf>
    <xf numFmtId="1" fontId="100" fillId="0" borderId="24" xfId="4002" applyNumberFormat="1" applyFont="1" applyBorder="1" applyAlignment="1">
      <alignment horizontal="center" vertical="center" shrinkToFit="1"/>
    </xf>
    <xf numFmtId="0" fontId="87" fillId="0" borderId="24" xfId="4002" applyFont="1" applyBorder="1" applyAlignment="1">
      <alignment horizontal="left" vertical="center" wrapText="1"/>
    </xf>
    <xf numFmtId="0" fontId="87" fillId="0" borderId="24" xfId="4002" applyFont="1" applyBorder="1" applyAlignment="1">
      <alignment horizontal="center" vertical="center" wrapText="1"/>
    </xf>
    <xf numFmtId="2" fontId="100" fillId="0" borderId="24" xfId="4002" applyNumberFormat="1" applyFont="1" applyBorder="1" applyAlignment="1">
      <alignment horizontal="right" vertical="center" shrinkToFit="1"/>
    </xf>
    <xf numFmtId="0" fontId="87" fillId="0" borderId="0" xfId="4002" applyFont="1" applyAlignment="1">
      <alignment horizontal="center" vertical="center" wrapText="1"/>
    </xf>
    <xf numFmtId="0" fontId="99" fillId="62" borderId="24" xfId="4001" applyFont="1" applyFill="1" applyBorder="1" applyAlignment="1">
      <alignment horizontal="center" vertical="center" wrapText="1"/>
    </xf>
    <xf numFmtId="43" fontId="99" fillId="62" borderId="24" xfId="1134" applyFont="1" applyFill="1" applyBorder="1" applyAlignment="1">
      <alignment horizontal="center" vertical="center" wrapText="1"/>
    </xf>
    <xf numFmtId="43" fontId="100" fillId="0" borderId="0" xfId="1134" applyFont="1" applyFill="1" applyBorder="1" applyAlignment="1">
      <alignment horizontal="left" vertical="center" wrapText="1"/>
    </xf>
    <xf numFmtId="0" fontId="100" fillId="0" borderId="0" xfId="4002" applyFont="1" applyAlignment="1">
      <alignment horizontal="center" vertical="center" wrapText="1"/>
    </xf>
    <xf numFmtId="0" fontId="100" fillId="0" borderId="0" xfId="4002" applyFont="1" applyAlignment="1">
      <alignment horizontal="left" vertical="center" wrapText="1"/>
    </xf>
    <xf numFmtId="0" fontId="87" fillId="0" borderId="0" xfId="4003" applyFont="1" applyAlignment="1">
      <alignment vertical="center" wrapText="1"/>
    </xf>
    <xf numFmtId="0" fontId="87" fillId="0" borderId="24" xfId="4003" applyFont="1" applyBorder="1" applyAlignment="1">
      <alignment horizontal="left" vertical="center" wrapText="1"/>
    </xf>
    <xf numFmtId="0" fontId="87" fillId="0" borderId="24" xfId="4003" applyFont="1" applyBorder="1" applyAlignment="1">
      <alignment horizontal="center" vertical="center" wrapText="1"/>
    </xf>
    <xf numFmtId="0" fontId="87" fillId="0" borderId="0" xfId="4003" applyFont="1" applyAlignment="1">
      <alignment horizontal="center" vertical="center" wrapText="1"/>
    </xf>
    <xf numFmtId="43" fontId="87" fillId="0" borderId="0" xfId="1134" applyFont="1" applyFill="1" applyBorder="1" applyAlignment="1">
      <alignment vertical="center" wrapText="1"/>
    </xf>
    <xf numFmtId="43" fontId="87" fillId="0" borderId="0" xfId="1134" applyFont="1" applyAlignment="1">
      <alignment vertical="center" wrapText="1"/>
    </xf>
    <xf numFmtId="0" fontId="90" fillId="0" borderId="24" xfId="0" applyFont="1" applyBorder="1" applyAlignment="1">
      <alignment horizontal="center" vertical="center" wrapText="1"/>
    </xf>
    <xf numFmtId="0" fontId="90" fillId="0" borderId="0" xfId="0" applyFont="1" applyAlignment="1">
      <alignment horizontal="center" vertical="center" wrapText="1"/>
    </xf>
    <xf numFmtId="0" fontId="99" fillId="62" borderId="24" xfId="687" applyFont="1" applyFill="1" applyBorder="1" applyAlignment="1">
      <alignment horizontal="center" vertical="center" wrapText="1"/>
    </xf>
    <xf numFmtId="43" fontId="87" fillId="60" borderId="24" xfId="1134" applyFont="1" applyFill="1" applyBorder="1" applyAlignment="1">
      <alignment horizontal="right" vertical="center"/>
    </xf>
    <xf numFmtId="0" fontId="87" fillId="58" borderId="0" xfId="687" applyFont="1" applyFill="1" applyAlignment="1">
      <alignment horizontal="left" vertical="center" wrapText="1"/>
    </xf>
    <xf numFmtId="0" fontId="94" fillId="0" borderId="24" xfId="4002" applyFont="1" applyBorder="1" applyAlignment="1">
      <alignment horizontal="left" vertical="top" wrapText="1"/>
    </xf>
    <xf numFmtId="0" fontId="94" fillId="0" borderId="0" xfId="4002" applyFont="1" applyAlignment="1">
      <alignment horizontal="left" vertical="top" wrapText="1"/>
    </xf>
    <xf numFmtId="0" fontId="94" fillId="0" borderId="0" xfId="4002" applyFont="1" applyAlignment="1">
      <alignment horizontal="center" vertical="top" wrapText="1"/>
    </xf>
    <xf numFmtId="43" fontId="94" fillId="0" borderId="0" xfId="1134" applyFont="1" applyFill="1" applyBorder="1" applyAlignment="1">
      <alignment horizontal="left" vertical="top" wrapText="1"/>
    </xf>
    <xf numFmtId="0" fontId="102" fillId="0" borderId="0" xfId="0" applyFont="1" applyAlignment="1">
      <alignment vertical="center" wrapText="1"/>
    </xf>
    <xf numFmtId="0" fontId="94" fillId="0" borderId="0" xfId="3996" applyFont="1" applyAlignment="1">
      <alignment horizontal="left" vertical="center" wrapText="1"/>
    </xf>
    <xf numFmtId="2" fontId="94" fillId="0" borderId="0" xfId="3996" applyNumberFormat="1" applyFont="1" applyAlignment="1">
      <alignment horizontal="center" vertical="center" wrapText="1"/>
    </xf>
    <xf numFmtId="0" fontId="94" fillId="0" borderId="0" xfId="3996" applyFont="1" applyAlignment="1">
      <alignment vertical="center" wrapText="1"/>
    </xf>
    <xf numFmtId="0" fontId="94" fillId="59" borderId="24" xfId="3996" applyFont="1" applyFill="1" applyBorder="1" applyAlignment="1">
      <alignment horizontal="center" vertical="center" wrapText="1"/>
    </xf>
    <xf numFmtId="0" fontId="94" fillId="59" borderId="24" xfId="3996" applyFont="1" applyFill="1" applyBorder="1" applyAlignment="1">
      <alignment vertical="center" wrapText="1"/>
    </xf>
    <xf numFmtId="0" fontId="102" fillId="0" borderId="24" xfId="3997" applyFont="1" applyBorder="1" applyAlignment="1">
      <alignment horizontal="center" vertical="center" wrapText="1"/>
    </xf>
    <xf numFmtId="0" fontId="95" fillId="0" borderId="24" xfId="3996" applyFont="1" applyBorder="1" applyAlignment="1">
      <alignment vertical="center" wrapText="1"/>
    </xf>
    <xf numFmtId="2" fontId="94" fillId="0" borderId="24" xfId="3996" applyNumberFormat="1" applyFont="1" applyBorder="1" applyAlignment="1">
      <alignment horizontal="center" vertical="center" wrapText="1"/>
    </xf>
    <xf numFmtId="0" fontId="94" fillId="0" borderId="24" xfId="3996" applyFont="1" applyBorder="1" applyAlignment="1">
      <alignment horizontal="center" vertical="center" wrapText="1"/>
    </xf>
    <xf numFmtId="0" fontId="94" fillId="59" borderId="24" xfId="3996" applyFont="1" applyFill="1" applyBorder="1" applyAlignment="1">
      <alignment horizontal="left" vertical="center" wrapText="1"/>
    </xf>
    <xf numFmtId="0" fontId="94" fillId="0" borderId="0" xfId="3996" applyFont="1" applyAlignment="1">
      <alignment wrapText="1"/>
    </xf>
    <xf numFmtId="0" fontId="97" fillId="62" borderId="24" xfId="3996" applyFont="1" applyFill="1" applyBorder="1" applyAlignment="1">
      <alignment horizontal="center" vertical="center" wrapText="1"/>
    </xf>
    <xf numFmtId="43" fontId="94" fillId="0" borderId="24" xfId="1134" applyFont="1" applyFill="1" applyBorder="1" applyAlignment="1">
      <alignment horizontal="center" vertical="center" wrapText="1"/>
    </xf>
    <xf numFmtId="43" fontId="94" fillId="59" borderId="24" xfId="1134" applyFont="1" applyFill="1" applyBorder="1" applyAlignment="1">
      <alignment vertical="center" wrapText="1"/>
    </xf>
    <xf numFmtId="43" fontId="94" fillId="0" borderId="24" xfId="1134" applyFont="1" applyFill="1" applyBorder="1" applyAlignment="1">
      <alignment vertical="center" wrapText="1"/>
    </xf>
    <xf numFmtId="2" fontId="87" fillId="59" borderId="24" xfId="687" applyNumberFormat="1" applyFont="1" applyFill="1" applyBorder="1" applyAlignment="1">
      <alignment horizontal="center" vertical="center"/>
    </xf>
    <xf numFmtId="2" fontId="87" fillId="59" borderId="24" xfId="687" applyNumberFormat="1" applyFont="1" applyFill="1" applyBorder="1" applyAlignment="1">
      <alignment vertical="center"/>
    </xf>
    <xf numFmtId="0" fontId="90" fillId="59" borderId="24" xfId="0" applyFont="1" applyFill="1" applyBorder="1" applyAlignment="1">
      <alignment horizontal="center" vertical="center" wrapText="1"/>
    </xf>
    <xf numFmtId="43" fontId="87" fillId="59" borderId="24" xfId="687" applyNumberFormat="1" applyFont="1" applyFill="1" applyBorder="1" applyAlignment="1">
      <alignment vertical="center"/>
    </xf>
    <xf numFmtId="0" fontId="87" fillId="59" borderId="24" xfId="687" applyFont="1" applyFill="1" applyBorder="1" applyAlignment="1">
      <alignment horizontal="justify" vertical="center" wrapText="1"/>
    </xf>
    <xf numFmtId="43" fontId="87" fillId="59" borderId="24" xfId="1134" applyFont="1" applyFill="1" applyBorder="1" applyAlignment="1">
      <alignment vertical="center"/>
    </xf>
    <xf numFmtId="0" fontId="87" fillId="59" borderId="24" xfId="687" applyFont="1" applyFill="1" applyBorder="1" applyAlignment="1">
      <alignment vertical="center"/>
    </xf>
    <xf numFmtId="0" fontId="90" fillId="59" borderId="24" xfId="0" applyFont="1" applyFill="1" applyBorder="1" applyAlignment="1">
      <alignment horizontal="justify" vertical="center" wrapText="1"/>
    </xf>
    <xf numFmtId="0" fontId="87" fillId="59" borderId="24" xfId="687" applyFont="1" applyFill="1" applyBorder="1" applyAlignment="1">
      <alignment horizontal="center" vertical="center"/>
    </xf>
    <xf numFmtId="10" fontId="87" fillId="59" borderId="24" xfId="786" applyNumberFormat="1" applyFont="1" applyFill="1" applyBorder="1" applyAlignment="1">
      <alignment vertical="center"/>
    </xf>
    <xf numFmtId="0" fontId="87" fillId="59" borderId="24" xfId="368" applyFont="1" applyFill="1" applyBorder="1" applyAlignment="1">
      <alignment vertical="center"/>
    </xf>
    <xf numFmtId="2" fontId="87" fillId="0" borderId="24" xfId="368" applyNumberFormat="1" applyFont="1" applyBorder="1" applyAlignment="1">
      <alignment horizontal="center" vertical="center"/>
    </xf>
    <xf numFmtId="4" fontId="87" fillId="0" borderId="24" xfId="368" applyNumberFormat="1" applyFont="1" applyBorder="1" applyAlignment="1">
      <alignment horizontal="center" vertical="center"/>
    </xf>
    <xf numFmtId="0" fontId="91" fillId="62" borderId="24" xfId="368" applyFont="1" applyFill="1" applyBorder="1" applyAlignment="1">
      <alignment vertical="center"/>
    </xf>
    <xf numFmtId="0" fontId="91" fillId="62" borderId="24" xfId="368" applyFont="1" applyFill="1" applyBorder="1" applyAlignment="1">
      <alignment horizontal="center" vertical="center"/>
    </xf>
    <xf numFmtId="43" fontId="87" fillId="0" borderId="24" xfId="1134" applyFont="1" applyFill="1" applyBorder="1" applyAlignment="1">
      <alignment vertical="center"/>
    </xf>
    <xf numFmtId="10" fontId="87" fillId="0" borderId="24" xfId="786" applyNumberFormat="1" applyFont="1" applyFill="1" applyBorder="1" applyAlignment="1">
      <alignment vertical="center"/>
    </xf>
    <xf numFmtId="0" fontId="87" fillId="64" borderId="0" xfId="687" applyFont="1" applyFill="1" applyAlignment="1">
      <alignment vertical="center"/>
    </xf>
    <xf numFmtId="0" fontId="87" fillId="0" borderId="24" xfId="687" applyFont="1" applyBorder="1" applyAlignment="1">
      <alignment vertical="center" wrapText="1"/>
    </xf>
    <xf numFmtId="43" fontId="91" fillId="62" borderId="24" xfId="786" applyNumberFormat="1" applyFont="1" applyFill="1" applyBorder="1" applyAlignment="1">
      <alignment vertical="center"/>
    </xf>
    <xf numFmtId="0" fontId="102" fillId="0" borderId="0" xfId="0" applyFont="1" applyAlignment="1">
      <alignment vertical="center"/>
    </xf>
    <xf numFmtId="0" fontId="95" fillId="58" borderId="0" xfId="687" applyFont="1" applyFill="1" applyAlignment="1">
      <alignment horizontal="center" vertical="center"/>
    </xf>
    <xf numFmtId="0" fontId="104" fillId="58" borderId="0" xfId="687" applyFont="1" applyFill="1" applyAlignment="1">
      <alignment horizontal="center" vertical="center" wrapText="1"/>
    </xf>
    <xf numFmtId="43" fontId="102" fillId="0" borderId="0" xfId="1134" applyFont="1" applyBorder="1" applyAlignment="1">
      <alignment horizontal="right" vertical="center"/>
    </xf>
    <xf numFmtId="0" fontId="102" fillId="0" borderId="0" xfId="0" applyFont="1" applyAlignment="1">
      <alignment horizontal="center" vertical="center"/>
    </xf>
    <xf numFmtId="0" fontId="103" fillId="62" borderId="24" xfId="369" applyFont="1" applyFill="1" applyBorder="1" applyAlignment="1">
      <alignment horizontal="centerContinuous" vertical="center"/>
    </xf>
    <xf numFmtId="0" fontId="95" fillId="0" borderId="0" xfId="489" applyFont="1"/>
    <xf numFmtId="0" fontId="102" fillId="0" borderId="24" xfId="401" applyFont="1" applyBorder="1" applyAlignment="1">
      <alignment horizontal="left" vertical="center" wrapText="1"/>
    </xf>
    <xf numFmtId="0" fontId="95" fillId="0" borderId="24" xfId="401" applyFont="1" applyBorder="1" applyAlignment="1">
      <alignment horizontal="center" vertical="center" wrapText="1"/>
    </xf>
    <xf numFmtId="0" fontId="95" fillId="0" borderId="0" xfId="489" applyFont="1" applyAlignment="1">
      <alignment vertical="center"/>
    </xf>
    <xf numFmtId="0" fontId="95" fillId="0" borderId="24" xfId="490" applyFont="1" applyBorder="1" applyAlignment="1">
      <alignment horizontal="center" vertical="center"/>
    </xf>
    <xf numFmtId="0" fontId="102" fillId="0" borderId="24" xfId="369" applyFont="1" applyBorder="1" applyAlignment="1">
      <alignment vertical="center"/>
    </xf>
    <xf numFmtId="0" fontId="102" fillId="0" borderId="24" xfId="369" applyFont="1" applyBorder="1" applyAlignment="1">
      <alignment horizontal="center" vertical="center"/>
    </xf>
    <xf numFmtId="0" fontId="95" fillId="0" borderId="24" xfId="369" applyFont="1" applyBorder="1" applyAlignment="1">
      <alignment horizontal="center" vertical="center"/>
    </xf>
    <xf numFmtId="0" fontId="102" fillId="0" borderId="24" xfId="369" applyFont="1" applyBorder="1" applyAlignment="1">
      <alignment vertical="center" wrapText="1"/>
    </xf>
    <xf numFmtId="0" fontId="95" fillId="0" borderId="0" xfId="489" applyFont="1" applyAlignment="1">
      <alignment horizontal="center" vertical="center"/>
    </xf>
    <xf numFmtId="2" fontId="95" fillId="0" borderId="24" xfId="369" applyNumberFormat="1" applyFont="1" applyBorder="1" applyAlignment="1">
      <alignment horizontal="center" vertical="center"/>
    </xf>
    <xf numFmtId="0" fontId="87" fillId="59" borderId="0" xfId="687" applyFont="1" applyFill="1" applyAlignment="1">
      <alignment vertical="center"/>
    </xf>
    <xf numFmtId="0" fontId="87" fillId="62" borderId="0" xfId="687" applyFont="1" applyFill="1" applyAlignment="1">
      <alignment vertical="center"/>
    </xf>
    <xf numFmtId="0" fontId="87" fillId="65" borderId="0" xfId="687" applyFont="1" applyFill="1" applyAlignment="1">
      <alignment vertical="center"/>
    </xf>
    <xf numFmtId="0" fontId="100" fillId="0" borderId="0" xfId="4001" applyFont="1" applyAlignment="1">
      <alignment horizontal="left" vertical="center"/>
    </xf>
    <xf numFmtId="0" fontId="87" fillId="0" borderId="0" xfId="4005" applyFont="1" applyAlignment="1">
      <alignment vertical="center"/>
    </xf>
    <xf numFmtId="0" fontId="87" fillId="59" borderId="24" xfId="4005" applyFont="1" applyFill="1" applyBorder="1" applyAlignment="1">
      <alignment horizontal="center" vertical="center"/>
    </xf>
    <xf numFmtId="0" fontId="87" fillId="0" borderId="24" xfId="4005" applyFont="1" applyBorder="1" applyAlignment="1">
      <alignment horizontal="center"/>
    </xf>
    <xf numFmtId="0" fontId="87" fillId="0" borderId="24" xfId="4005" applyFont="1" applyBorder="1"/>
    <xf numFmtId="10" fontId="87" fillId="0" borderId="24" xfId="4005" applyNumberFormat="1" applyFont="1" applyBorder="1" applyAlignment="1">
      <alignment horizontal="center"/>
    </xf>
    <xf numFmtId="10" fontId="87" fillId="0" borderId="24" xfId="4006" applyNumberFormat="1" applyFont="1" applyBorder="1" applyAlignment="1">
      <alignment horizontal="center"/>
    </xf>
    <xf numFmtId="0" fontId="87" fillId="0" borderId="0" xfId="4005" applyFont="1"/>
    <xf numFmtId="0" fontId="87" fillId="0" borderId="27" xfId="4005" applyFont="1" applyBorder="1" applyAlignment="1">
      <alignment horizontal="center"/>
    </xf>
    <xf numFmtId="0" fontId="87" fillId="0" borderId="27" xfId="4005" applyFont="1" applyBorder="1" applyAlignment="1">
      <alignment horizontal="left"/>
    </xf>
    <xf numFmtId="10" fontId="87" fillId="0" borderId="27" xfId="4006" applyNumberFormat="1" applyFont="1" applyFill="1" applyBorder="1" applyAlignment="1">
      <alignment horizontal="center"/>
    </xf>
    <xf numFmtId="0" fontId="87" fillId="66" borderId="0" xfId="4005" applyFont="1" applyFill="1"/>
    <xf numFmtId="0" fontId="87" fillId="0" borderId="24" xfId="4005" applyFont="1" applyBorder="1" applyAlignment="1">
      <alignment horizontal="left"/>
    </xf>
    <xf numFmtId="10" fontId="87" fillId="0" borderId="24" xfId="4006" applyNumberFormat="1" applyFont="1" applyFill="1" applyBorder="1" applyAlignment="1">
      <alignment horizontal="center"/>
    </xf>
    <xf numFmtId="0" fontId="87" fillId="66" borderId="31" xfId="4005" applyFont="1" applyFill="1" applyBorder="1"/>
    <xf numFmtId="10" fontId="91" fillId="62" borderId="24" xfId="4006" applyNumberFormat="1" applyFont="1" applyFill="1" applyBorder="1" applyAlignment="1">
      <alignment horizontal="center"/>
    </xf>
    <xf numFmtId="0" fontId="88" fillId="66" borderId="0" xfId="4005" applyFont="1" applyFill="1"/>
    <xf numFmtId="0" fontId="91" fillId="62" borderId="24" xfId="4005" applyFont="1" applyFill="1" applyBorder="1" applyAlignment="1">
      <alignment horizontal="center"/>
    </xf>
    <xf numFmtId="43" fontId="99" fillId="62" borderId="24" xfId="1134" applyFont="1" applyFill="1" applyBorder="1" applyAlignment="1">
      <alignment vertical="center"/>
    </xf>
    <xf numFmtId="2" fontId="87" fillId="0" borderId="24" xfId="4002" applyNumberFormat="1" applyFont="1" applyBorder="1" applyAlignment="1">
      <alignment horizontal="right" vertical="center" shrinkToFit="1"/>
    </xf>
    <xf numFmtId="0" fontId="88" fillId="58" borderId="0" xfId="687" applyFont="1" applyFill="1" applyAlignment="1">
      <alignment horizontal="centerContinuous" vertical="center" wrapText="1"/>
    </xf>
    <xf numFmtId="0" fontId="106" fillId="58" borderId="0" xfId="687" applyFont="1" applyFill="1" applyAlignment="1">
      <alignment horizontal="centerContinuous" vertical="center" wrapText="1"/>
    </xf>
    <xf numFmtId="0" fontId="90" fillId="58" borderId="0" xfId="3980" applyFont="1" applyFill="1" applyAlignment="1">
      <alignment horizontal="centerContinuous" vertical="center"/>
    </xf>
    <xf numFmtId="0" fontId="90" fillId="58" borderId="0" xfId="3980" applyFont="1" applyFill="1" applyAlignment="1">
      <alignment vertical="center"/>
    </xf>
    <xf numFmtId="0" fontId="87" fillId="0" borderId="0" xfId="368" applyFont="1"/>
    <xf numFmtId="0" fontId="87" fillId="0" borderId="24" xfId="368" applyFont="1" applyBorder="1" applyAlignment="1">
      <alignment vertical="center"/>
    </xf>
    <xf numFmtId="0" fontId="87" fillId="0" borderId="24" xfId="368" applyFont="1" applyBorder="1" applyAlignment="1">
      <alignment horizontal="right" vertical="center"/>
    </xf>
    <xf numFmtId="0" fontId="87" fillId="0" borderId="24" xfId="368" applyFont="1" applyBorder="1" applyAlignment="1">
      <alignment horizontal="center" vertical="center"/>
    </xf>
    <xf numFmtId="164" fontId="87" fillId="0" borderId="24" xfId="1135" applyFont="1" applyFill="1" applyBorder="1" applyAlignment="1">
      <alignment horizontal="center" vertical="center"/>
    </xf>
    <xf numFmtId="0" fontId="87" fillId="60" borderId="24" xfId="368" applyFont="1" applyFill="1" applyBorder="1" applyAlignment="1">
      <alignment horizontal="right" vertical="center"/>
    </xf>
    <xf numFmtId="0" fontId="87" fillId="59" borderId="24" xfId="368" applyFont="1" applyFill="1" applyBorder="1" applyAlignment="1">
      <alignment horizontal="center" vertical="center"/>
    </xf>
    <xf numFmtId="174" fontId="87" fillId="0" borderId="24" xfId="1135" applyNumberFormat="1" applyFont="1" applyFill="1" applyBorder="1" applyAlignment="1">
      <alignment horizontal="center" vertical="center"/>
    </xf>
    <xf numFmtId="173" fontId="87" fillId="0" borderId="24" xfId="1135" applyNumberFormat="1" applyFont="1" applyFill="1" applyBorder="1" applyAlignment="1">
      <alignment horizontal="center" vertical="center"/>
    </xf>
    <xf numFmtId="0" fontId="87" fillId="0" borderId="24" xfId="368" applyFont="1" applyBorder="1" applyAlignment="1">
      <alignment vertical="center" wrapText="1"/>
    </xf>
    <xf numFmtId="44" fontId="87" fillId="0" borderId="24" xfId="368" applyNumberFormat="1" applyFont="1" applyBorder="1" applyAlignment="1">
      <alignment horizontal="center" vertical="center"/>
    </xf>
    <xf numFmtId="4" fontId="87" fillId="0" borderId="24" xfId="368" applyNumberFormat="1" applyFont="1" applyBorder="1" applyAlignment="1">
      <alignment horizontal="center" vertical="center" wrapText="1"/>
    </xf>
    <xf numFmtId="0" fontId="87" fillId="0" borderId="24" xfId="368" applyFont="1" applyBorder="1" applyAlignment="1">
      <alignment horizontal="center" vertical="center" wrapText="1"/>
    </xf>
    <xf numFmtId="0" fontId="88" fillId="58" borderId="0" xfId="687" applyFont="1" applyFill="1" applyAlignment="1">
      <alignment horizontal="center" vertical="center" wrapText="1"/>
    </xf>
    <xf numFmtId="0" fontId="87" fillId="0" borderId="0" xfId="368" applyFont="1" applyAlignment="1">
      <alignment horizontal="center"/>
    </xf>
    <xf numFmtId="0" fontId="107" fillId="0" borderId="0" xfId="4008" applyFont="1" applyAlignment="1">
      <alignment horizontal="center" vertical="center"/>
    </xf>
    <xf numFmtId="0" fontId="90" fillId="0" borderId="0" xfId="4008" applyFont="1"/>
    <xf numFmtId="0" fontId="87" fillId="60" borderId="24" xfId="368" applyFont="1" applyFill="1" applyBorder="1" applyAlignment="1">
      <alignment vertical="center"/>
    </xf>
    <xf numFmtId="0" fontId="87" fillId="60" borderId="24" xfId="368" applyFont="1" applyFill="1" applyBorder="1" applyAlignment="1">
      <alignment horizontal="center" vertical="center"/>
    </xf>
    <xf numFmtId="164" fontId="87" fillId="60" borderId="24" xfId="1135" applyFont="1" applyFill="1" applyBorder="1" applyAlignment="1">
      <alignment horizontal="center" vertical="center"/>
    </xf>
    <xf numFmtId="0" fontId="87" fillId="0" borderId="24" xfId="368" quotePrefix="1" applyFont="1" applyBorder="1" applyAlignment="1">
      <alignment horizontal="center" vertical="center"/>
    </xf>
    <xf numFmtId="0" fontId="87" fillId="0" borderId="0" xfId="368" applyFont="1" applyAlignment="1">
      <alignment vertical="center"/>
    </xf>
    <xf numFmtId="43" fontId="91" fillId="62" borderId="24" xfId="368" applyNumberFormat="1" applyFont="1" applyFill="1" applyBorder="1" applyAlignment="1">
      <alignment horizontal="center" vertical="center"/>
    </xf>
    <xf numFmtId="0" fontId="91" fillId="0" borderId="0" xfId="368" applyFont="1" applyAlignment="1">
      <alignment vertical="center"/>
    </xf>
    <xf numFmtId="0" fontId="87" fillId="0" borderId="0" xfId="368" applyFont="1" applyAlignment="1">
      <alignment horizontal="center" vertical="center"/>
    </xf>
    <xf numFmtId="0" fontId="87" fillId="0" borderId="24" xfId="368" applyFont="1" applyBorder="1"/>
    <xf numFmtId="43" fontId="91" fillId="62" borderId="24" xfId="368" applyNumberFormat="1" applyFont="1" applyFill="1" applyBorder="1" applyAlignment="1">
      <alignment vertical="center"/>
    </xf>
    <xf numFmtId="175" fontId="87" fillId="0" borderId="24" xfId="368" applyNumberFormat="1" applyFont="1" applyBorder="1" applyAlignment="1">
      <alignment horizontal="center" vertical="center" wrapText="1"/>
    </xf>
    <xf numFmtId="173" fontId="87" fillId="0" borderId="24" xfId="1135" applyNumberFormat="1" applyFont="1" applyFill="1" applyBorder="1" applyAlignment="1">
      <alignment horizontal="center" vertical="center" wrapText="1"/>
    </xf>
    <xf numFmtId="164" fontId="87" fillId="0" borderId="24" xfId="1135" applyFont="1" applyFill="1" applyBorder="1" applyAlignment="1">
      <alignment horizontal="center" vertical="center" wrapText="1"/>
    </xf>
    <xf numFmtId="2" fontId="87" fillId="0" borderId="24" xfId="368" applyNumberFormat="1" applyFont="1" applyBorder="1" applyAlignment="1">
      <alignment horizontal="center" vertical="center" wrapText="1"/>
    </xf>
    <xf numFmtId="49" fontId="87" fillId="0" borderId="24" xfId="368" applyNumberFormat="1" applyFont="1" applyBorder="1" applyAlignment="1">
      <alignment vertical="center" wrapText="1"/>
    </xf>
    <xf numFmtId="165" fontId="87" fillId="0" borderId="24" xfId="368" applyNumberFormat="1" applyFont="1" applyBorder="1" applyAlignment="1">
      <alignment horizontal="center" vertical="center" wrapText="1"/>
    </xf>
    <xf numFmtId="177" fontId="87" fillId="0" borderId="24" xfId="368" applyNumberFormat="1" applyFont="1" applyBorder="1" applyAlignment="1">
      <alignment horizontal="center" vertical="center" wrapText="1"/>
    </xf>
    <xf numFmtId="49" fontId="87" fillId="0" borderId="24" xfId="368" applyNumberFormat="1" applyFont="1" applyBorder="1" applyAlignment="1">
      <alignment horizontal="center" vertical="center" wrapText="1"/>
    </xf>
    <xf numFmtId="0" fontId="87" fillId="0" borderId="24" xfId="3980" applyFont="1" applyBorder="1" applyAlignment="1">
      <alignment horizontal="center" vertical="center"/>
    </xf>
    <xf numFmtId="0" fontId="99" fillId="62" borderId="24" xfId="687" applyFont="1" applyFill="1" applyBorder="1" applyAlignment="1">
      <alignment horizontal="right" vertical="center"/>
    </xf>
    <xf numFmtId="0" fontId="99" fillId="62" borderId="24" xfId="687" applyFont="1" applyFill="1" applyBorder="1" applyAlignment="1">
      <alignment horizontal="right" vertical="center" wrapText="1"/>
    </xf>
    <xf numFmtId="43" fontId="99" fillId="62" borderId="24" xfId="1134" applyFont="1" applyFill="1" applyBorder="1" applyAlignment="1">
      <alignment horizontal="right" vertical="center"/>
    </xf>
    <xf numFmtId="10" fontId="99" fillId="62" borderId="24" xfId="786" applyNumberFormat="1" applyFont="1" applyFill="1" applyBorder="1" applyAlignment="1">
      <alignment horizontal="right" vertical="center"/>
    </xf>
    <xf numFmtId="0" fontId="91" fillId="62" borderId="24" xfId="368" applyFont="1" applyFill="1" applyBorder="1" applyAlignment="1">
      <alignment vertical="center" wrapText="1"/>
    </xf>
    <xf numFmtId="164" fontId="87" fillId="69" borderId="24" xfId="1135" applyFont="1" applyFill="1" applyBorder="1" applyAlignment="1">
      <alignment horizontal="center" vertical="center"/>
    </xf>
    <xf numFmtId="0" fontId="87" fillId="69" borderId="24" xfId="368" applyFont="1" applyFill="1" applyBorder="1"/>
    <xf numFmtId="0" fontId="87" fillId="69" borderId="24" xfId="368" applyFont="1" applyFill="1" applyBorder="1" applyAlignment="1">
      <alignment horizontal="center"/>
    </xf>
    <xf numFmtId="0" fontId="87" fillId="69" borderId="24" xfId="368" applyFont="1" applyFill="1" applyBorder="1" applyAlignment="1">
      <alignment horizontal="center" vertical="center"/>
    </xf>
    <xf numFmtId="164" fontId="87" fillId="0" borderId="0" xfId="1135" applyFont="1" applyFill="1" applyBorder="1" applyAlignment="1">
      <alignment horizontal="center" vertical="center"/>
    </xf>
    <xf numFmtId="0" fontId="91" fillId="62" borderId="27" xfId="368" applyFont="1" applyFill="1" applyBorder="1" applyAlignment="1">
      <alignment vertical="center" wrapText="1"/>
    </xf>
    <xf numFmtId="0" fontId="87" fillId="69" borderId="24" xfId="368" applyFont="1" applyFill="1" applyBorder="1" applyAlignment="1">
      <alignment horizontal="right" vertical="center"/>
    </xf>
    <xf numFmtId="0" fontId="100" fillId="0" borderId="24" xfId="4008" applyFont="1" applyBorder="1" applyAlignment="1">
      <alignment horizontal="center" vertical="center"/>
    </xf>
    <xf numFmtId="0" fontId="100" fillId="0" borderId="24" xfId="4008" applyFont="1" applyBorder="1" applyAlignment="1">
      <alignment horizontal="left" vertical="center"/>
    </xf>
    <xf numFmtId="0" fontId="99" fillId="62" borderId="24" xfId="4008" applyFont="1" applyFill="1" applyBorder="1" applyAlignment="1">
      <alignment horizontal="center" vertical="center"/>
    </xf>
    <xf numFmtId="0" fontId="99" fillId="62" borderId="24" xfId="4008" applyFont="1" applyFill="1" applyBorder="1" applyAlignment="1">
      <alignment horizontal="center" vertical="center" wrapText="1"/>
    </xf>
    <xf numFmtId="0" fontId="100" fillId="0" borderId="24" xfId="4008" applyFont="1" applyBorder="1" applyAlignment="1">
      <alignment horizontal="left" vertical="center" wrapText="1"/>
    </xf>
    <xf numFmtId="4" fontId="100" fillId="0" borderId="24" xfId="4008" applyNumberFormat="1" applyFont="1" applyBorder="1" applyAlignment="1">
      <alignment horizontal="right" vertical="center"/>
    </xf>
    <xf numFmtId="0" fontId="87" fillId="0" borderId="0" xfId="368" applyFont="1" applyAlignment="1">
      <alignment vertical="center" wrapText="1"/>
    </xf>
    <xf numFmtId="43" fontId="107" fillId="0" borderId="0" xfId="1134" applyFont="1" applyAlignment="1">
      <alignment horizontal="center" vertical="center"/>
    </xf>
    <xf numFmtId="43" fontId="87" fillId="0" borderId="0" xfId="1134" applyFont="1" applyAlignment="1">
      <alignment vertical="center"/>
    </xf>
    <xf numFmtId="44" fontId="87" fillId="0" borderId="0" xfId="1175" applyFont="1" applyFill="1" applyBorder="1" applyAlignment="1">
      <alignment horizontal="center" vertical="center" wrapText="1"/>
    </xf>
    <xf numFmtId="44" fontId="87" fillId="0" borderId="0" xfId="1175" applyFont="1" applyFill="1" applyBorder="1" applyAlignment="1">
      <alignment horizontal="center" vertical="center"/>
    </xf>
    <xf numFmtId="0" fontId="96" fillId="58" borderId="0" xfId="687" applyFont="1" applyFill="1" applyAlignment="1">
      <alignment vertical="center" wrapText="1"/>
    </xf>
    <xf numFmtId="0" fontId="95" fillId="58" borderId="0" xfId="687" applyFont="1" applyFill="1" applyAlignment="1">
      <alignment vertical="center" wrapText="1"/>
    </xf>
    <xf numFmtId="0" fontId="95" fillId="58" borderId="0" xfId="687" applyFont="1" applyFill="1" applyAlignment="1">
      <alignment vertical="center"/>
    </xf>
    <xf numFmtId="0" fontId="95" fillId="58" borderId="0" xfId="687" applyFont="1" applyFill="1" applyAlignment="1">
      <alignment horizontal="center" vertical="center" wrapText="1"/>
    </xf>
    <xf numFmtId="0" fontId="95" fillId="0" borderId="0" xfId="0" applyFont="1" applyAlignment="1">
      <alignment vertical="center"/>
    </xf>
    <xf numFmtId="43" fontId="95" fillId="0" borderId="0" xfId="1134" applyFont="1" applyBorder="1" applyAlignment="1">
      <alignment horizontal="right" vertical="center"/>
    </xf>
    <xf numFmtId="0" fontId="95" fillId="0" borderId="0" xfId="0" applyFont="1" applyAlignment="1">
      <alignment horizontal="center" vertical="center"/>
    </xf>
    <xf numFmtId="44" fontId="87" fillId="0" borderId="0" xfId="320" applyFont="1" applyFill="1" applyBorder="1" applyAlignment="1">
      <alignment horizontal="center" vertical="center"/>
    </xf>
    <xf numFmtId="0" fontId="91" fillId="62" borderId="24" xfId="500" applyFont="1" applyFill="1" applyBorder="1" applyAlignment="1">
      <alignment horizontal="center" vertical="center"/>
    </xf>
    <xf numFmtId="44" fontId="91" fillId="62" borderId="24" xfId="1175" applyFont="1" applyFill="1" applyBorder="1" applyAlignment="1">
      <alignment horizontal="center" vertical="center"/>
    </xf>
    <xf numFmtId="0" fontId="87" fillId="0" borderId="24" xfId="500" applyFont="1" applyBorder="1" applyAlignment="1">
      <alignment horizontal="center" vertical="center"/>
    </xf>
    <xf numFmtId="44" fontId="87" fillId="0" borderId="24" xfId="1175" applyFont="1" applyFill="1" applyBorder="1" applyAlignment="1">
      <alignment horizontal="center" vertical="center"/>
    </xf>
    <xf numFmtId="0" fontId="87" fillId="0" borderId="24" xfId="500" quotePrefix="1" applyFont="1" applyBorder="1" applyAlignment="1">
      <alignment horizontal="center" vertical="center" wrapText="1"/>
    </xf>
    <xf numFmtId="44" fontId="87" fillId="0" borderId="24" xfId="320" applyFont="1" applyFill="1" applyBorder="1" applyAlignment="1">
      <alignment horizontal="center" vertical="center" wrapText="1"/>
    </xf>
    <xf numFmtId="176" fontId="87" fillId="0" borderId="24" xfId="500" quotePrefix="1" applyNumberFormat="1" applyFont="1" applyBorder="1" applyAlignment="1">
      <alignment horizontal="center" vertical="center" wrapText="1"/>
    </xf>
    <xf numFmtId="49" fontId="91" fillId="62" borderId="24" xfId="500" applyNumberFormat="1" applyFont="1" applyFill="1" applyBorder="1" applyAlignment="1">
      <alignment vertical="center" wrapText="1"/>
    </xf>
    <xf numFmtId="0" fontId="87" fillId="0" borderId="0" xfId="500" applyFont="1" applyAlignment="1">
      <alignment vertical="center"/>
    </xf>
    <xf numFmtId="0" fontId="91" fillId="62" borderId="24" xfId="0" applyFont="1" applyFill="1" applyBorder="1" applyAlignment="1">
      <alignment vertical="center"/>
    </xf>
    <xf numFmtId="0" fontId="87" fillId="0" borderId="0" xfId="0" applyFont="1" applyAlignment="1">
      <alignment vertical="center"/>
    </xf>
    <xf numFmtId="164" fontId="91" fillId="62" borderId="24" xfId="0" applyNumberFormat="1" applyFont="1" applyFill="1" applyBorder="1" applyAlignment="1">
      <alignment vertical="center"/>
    </xf>
    <xf numFmtId="0" fontId="87" fillId="0" borderId="0" xfId="500" applyFont="1" applyAlignment="1">
      <alignment horizontal="center" vertical="center"/>
    </xf>
    <xf numFmtId="43" fontId="95" fillId="0" borderId="0" xfId="1134" applyFont="1" applyBorder="1" applyAlignment="1">
      <alignment horizontal="center" vertical="center"/>
    </xf>
    <xf numFmtId="0" fontId="87" fillId="64" borderId="24" xfId="500" applyFont="1" applyFill="1" applyBorder="1" applyAlignment="1">
      <alignment horizontal="center" vertical="center"/>
    </xf>
    <xf numFmtId="0" fontId="87" fillId="64" borderId="24" xfId="500" applyFont="1" applyFill="1" applyBorder="1" applyAlignment="1">
      <alignment horizontal="center" vertical="center" wrapText="1"/>
    </xf>
    <xf numFmtId="44" fontId="87" fillId="64" borderId="24" xfId="1175" applyFont="1" applyFill="1" applyBorder="1" applyAlignment="1">
      <alignment horizontal="center" vertical="center" wrapText="1"/>
    </xf>
    <xf numFmtId="44" fontId="87" fillId="64" borderId="24" xfId="1175" applyFont="1" applyFill="1" applyBorder="1" applyAlignment="1">
      <alignment horizontal="center" vertical="center"/>
    </xf>
    <xf numFmtId="2" fontId="87" fillId="59" borderId="24" xfId="687" applyNumberFormat="1" applyFont="1" applyFill="1" applyBorder="1" applyAlignment="1">
      <alignment vertical="center" wrapText="1"/>
    </xf>
    <xf numFmtId="0" fontId="90" fillId="0" borderId="24" xfId="0" applyFont="1" applyBorder="1" applyAlignment="1">
      <alignment vertical="center" wrapText="1"/>
    </xf>
    <xf numFmtId="0" fontId="87" fillId="69" borderId="24" xfId="368" applyFont="1" applyFill="1" applyBorder="1" applyAlignment="1">
      <alignment vertical="center"/>
    </xf>
    <xf numFmtId="2" fontId="87" fillId="60" borderId="24" xfId="687" applyNumberFormat="1" applyFont="1" applyFill="1" applyBorder="1" applyAlignment="1">
      <alignment horizontal="justify" vertical="center" wrapText="1"/>
    </xf>
    <xf numFmtId="1" fontId="87" fillId="60" borderId="24" xfId="687" applyNumberFormat="1" applyFont="1" applyFill="1" applyBorder="1" applyAlignment="1">
      <alignment horizontal="justify" vertical="center" wrapText="1"/>
    </xf>
    <xf numFmtId="0" fontId="99" fillId="62" borderId="24" xfId="368" applyFont="1" applyFill="1" applyBorder="1" applyAlignment="1">
      <alignment horizontal="center" vertical="center"/>
    </xf>
    <xf numFmtId="0" fontId="99" fillId="62" borderId="24" xfId="368" applyFont="1" applyFill="1" applyBorder="1" applyAlignment="1">
      <alignment horizontal="center" vertical="center" wrapText="1"/>
    </xf>
    <xf numFmtId="43" fontId="99" fillId="62" borderId="24" xfId="1134" applyFont="1" applyFill="1" applyBorder="1" applyAlignment="1">
      <alignment horizontal="center" vertical="center"/>
    </xf>
    <xf numFmtId="0" fontId="87" fillId="68" borderId="0" xfId="687" applyFont="1" applyFill="1" applyAlignment="1">
      <alignment vertical="center"/>
    </xf>
    <xf numFmtId="0" fontId="87" fillId="67" borderId="0" xfId="687" applyFont="1" applyFill="1" applyAlignment="1">
      <alignment vertical="center"/>
    </xf>
    <xf numFmtId="0" fontId="87" fillId="72" borderId="0" xfId="687" applyFont="1" applyFill="1" applyAlignment="1">
      <alignment vertical="center"/>
    </xf>
    <xf numFmtId="0" fontId="87" fillId="71" borderId="0" xfId="687" applyFont="1" applyFill="1" applyAlignment="1">
      <alignment vertical="center"/>
    </xf>
    <xf numFmtId="0" fontId="88" fillId="59" borderId="24" xfId="687" applyFont="1" applyFill="1" applyBorder="1" applyAlignment="1">
      <alignment horizontal="center" vertical="center"/>
    </xf>
    <xf numFmtId="0" fontId="105" fillId="59" borderId="24" xfId="0" applyFont="1" applyFill="1" applyBorder="1" applyAlignment="1">
      <alignment vertical="center"/>
    </xf>
    <xf numFmtId="1" fontId="88" fillId="59" borderId="24" xfId="438" applyNumberFormat="1" applyFont="1" applyFill="1" applyBorder="1" applyAlignment="1">
      <alignment horizontal="center" vertical="center"/>
    </xf>
    <xf numFmtId="49" fontId="88" fillId="59" borderId="24" xfId="687" applyNumberFormat="1" applyFont="1" applyFill="1" applyBorder="1" applyAlignment="1">
      <alignment horizontal="justify" vertical="center" wrapText="1"/>
    </xf>
    <xf numFmtId="43" fontId="88" fillId="59" borderId="24" xfId="1134" applyFont="1" applyFill="1" applyBorder="1" applyAlignment="1">
      <alignment vertical="center"/>
    </xf>
    <xf numFmtId="0" fontId="88" fillId="59" borderId="24" xfId="687" applyFont="1" applyFill="1" applyBorder="1" applyAlignment="1">
      <alignment vertical="center"/>
    </xf>
    <xf numFmtId="10" fontId="88" fillId="59" borderId="24" xfId="786" applyNumberFormat="1" applyFont="1" applyFill="1" applyBorder="1" applyAlignment="1">
      <alignment vertical="center"/>
    </xf>
    <xf numFmtId="0" fontId="88" fillId="59" borderId="24" xfId="687" applyFont="1" applyFill="1" applyBorder="1" applyAlignment="1">
      <alignment horizontal="justify" vertical="center" wrapText="1"/>
    </xf>
    <xf numFmtId="10" fontId="91" fillId="73" borderId="24" xfId="4005" applyNumberFormat="1" applyFont="1" applyFill="1" applyBorder="1" applyAlignment="1">
      <alignment horizontal="center" vertical="center"/>
    </xf>
    <xf numFmtId="43" fontId="87" fillId="59" borderId="24" xfId="1134" applyFont="1" applyFill="1" applyBorder="1" applyAlignment="1">
      <alignment horizontal="center" vertical="center"/>
    </xf>
    <xf numFmtId="0" fontId="87" fillId="0" borderId="26" xfId="368" applyFont="1" applyBorder="1" applyAlignment="1">
      <alignment horizontal="center" vertical="center"/>
    </xf>
    <xf numFmtId="164" fontId="87" fillId="0" borderId="26" xfId="1135" applyFont="1" applyFill="1" applyBorder="1" applyAlignment="1">
      <alignment horizontal="center" vertical="center"/>
    </xf>
    <xf numFmtId="0" fontId="87" fillId="0" borderId="26" xfId="368" applyFont="1" applyBorder="1" applyAlignment="1">
      <alignment horizontal="left" vertical="center" wrapText="1"/>
    </xf>
    <xf numFmtId="1" fontId="88" fillId="59" borderId="24" xfId="368" applyNumberFormat="1" applyFont="1" applyFill="1" applyBorder="1" applyAlignment="1">
      <alignment horizontal="center" vertical="center"/>
    </xf>
    <xf numFmtId="0" fontId="88" fillId="59" borderId="24" xfId="368" applyFont="1" applyFill="1" applyBorder="1" applyAlignment="1">
      <alignment horizontal="center" vertical="center"/>
    </xf>
    <xf numFmtId="1" fontId="88" fillId="59" borderId="24" xfId="368" applyNumberFormat="1" applyFont="1" applyFill="1" applyBorder="1" applyAlignment="1">
      <alignment horizontal="center" vertical="center" wrapText="1"/>
    </xf>
    <xf numFmtId="1" fontId="87" fillId="0" borderId="26" xfId="368" applyNumberFormat="1" applyFont="1" applyBorder="1" applyAlignment="1">
      <alignment horizontal="center" vertical="center"/>
    </xf>
    <xf numFmtId="165" fontId="87" fillId="0" borderId="26" xfId="368" applyNumberFormat="1" applyFont="1" applyBorder="1" applyAlignment="1">
      <alignment horizontal="center" vertical="center"/>
    </xf>
    <xf numFmtId="1" fontId="87" fillId="0" borderId="26" xfId="368" applyNumberFormat="1" applyFont="1" applyBorder="1" applyAlignment="1">
      <alignment horizontal="center" vertical="center" wrapText="1"/>
    </xf>
    <xf numFmtId="0" fontId="87" fillId="0" borderId="24" xfId="500" applyFont="1" applyBorder="1" applyAlignment="1">
      <alignment horizontal="center" vertical="center" wrapText="1"/>
    </xf>
    <xf numFmtId="49" fontId="109" fillId="0" borderId="24" xfId="4000" applyNumberFormat="1" applyFont="1" applyFill="1" applyBorder="1" applyAlignment="1">
      <alignment horizontal="center" vertical="center" wrapText="1"/>
    </xf>
    <xf numFmtId="44" fontId="71" fillId="0" borderId="24" xfId="4000" applyNumberFormat="1" applyFill="1" applyBorder="1" applyAlignment="1">
      <alignment horizontal="center" vertical="center" wrapText="1"/>
    </xf>
    <xf numFmtId="17" fontId="87" fillId="0" borderId="24" xfId="500" applyNumberFormat="1" applyFont="1" applyBorder="1" applyAlignment="1">
      <alignment horizontal="center" vertical="center" wrapText="1"/>
    </xf>
    <xf numFmtId="17" fontId="87" fillId="0" borderId="24" xfId="500" quotePrefix="1" applyNumberFormat="1" applyFont="1" applyBorder="1" applyAlignment="1">
      <alignment horizontal="center" vertical="center" wrapText="1"/>
    </xf>
    <xf numFmtId="0" fontId="71" fillId="0" borderId="24" xfId="4000" quotePrefix="1" applyFill="1" applyBorder="1" applyAlignment="1">
      <alignment horizontal="center" vertical="center" wrapText="1"/>
    </xf>
    <xf numFmtId="44" fontId="87" fillId="0" borderId="24" xfId="320" applyFont="1" applyFill="1" applyBorder="1" applyAlignment="1">
      <alignment horizontal="center" vertical="center"/>
    </xf>
    <xf numFmtId="43" fontId="87" fillId="0" borderId="24" xfId="1134" applyFont="1" applyFill="1" applyBorder="1" applyAlignment="1">
      <alignment horizontal="center" vertical="center" wrapText="1"/>
    </xf>
    <xf numFmtId="0" fontId="91" fillId="62" borderId="24" xfId="368" applyFont="1" applyFill="1" applyBorder="1" applyAlignment="1">
      <alignment horizontal="center" vertical="center" wrapText="1"/>
    </xf>
    <xf numFmtId="2" fontId="87" fillId="0" borderId="24" xfId="687" applyNumberFormat="1" applyFont="1" applyBorder="1" applyAlignment="1">
      <alignment horizontal="center" vertical="center"/>
    </xf>
    <xf numFmtId="43" fontId="87" fillId="0" borderId="24" xfId="1134" applyFont="1" applyFill="1" applyBorder="1" applyAlignment="1">
      <alignment vertical="center" wrapText="1"/>
    </xf>
    <xf numFmtId="10" fontId="87" fillId="0" borderId="24" xfId="786" applyNumberFormat="1" applyFont="1" applyFill="1" applyBorder="1" applyAlignment="1">
      <alignment vertical="center" wrapText="1"/>
    </xf>
    <xf numFmtId="2" fontId="112" fillId="0" borderId="24" xfId="687" applyNumberFormat="1" applyFont="1" applyBorder="1" applyAlignment="1">
      <alignment horizontal="justify" vertical="center" wrapText="1"/>
    </xf>
    <xf numFmtId="165" fontId="87" fillId="58" borderId="26" xfId="368" applyNumberFormat="1" applyFont="1" applyFill="1" applyBorder="1" applyAlignment="1">
      <alignment horizontal="center" vertical="center"/>
    </xf>
    <xf numFmtId="1" fontId="87" fillId="0" borderId="32" xfId="368" applyNumberFormat="1" applyFont="1" applyBorder="1" applyAlignment="1">
      <alignment horizontal="center" vertical="center" wrapText="1"/>
    </xf>
    <xf numFmtId="0" fontId="87" fillId="0" borderId="33" xfId="368" applyFont="1" applyBorder="1" applyAlignment="1">
      <alignment horizontal="center" vertical="center"/>
    </xf>
    <xf numFmtId="2" fontId="89" fillId="0" borderId="24" xfId="687" applyNumberFormat="1" applyFont="1" applyBorder="1" applyAlignment="1">
      <alignment horizontal="center" vertical="center"/>
    </xf>
    <xf numFmtId="0" fontId="89" fillId="0" borderId="24" xfId="0" applyFont="1" applyBorder="1" applyAlignment="1">
      <alignment vertical="center"/>
    </xf>
    <xf numFmtId="0" fontId="89" fillId="0" borderId="24" xfId="687" applyFont="1" applyBorder="1" applyAlignment="1">
      <alignment vertical="center"/>
    </xf>
    <xf numFmtId="2" fontId="89" fillId="0" borderId="24" xfId="687" applyNumberFormat="1" applyFont="1" applyBorder="1" applyAlignment="1">
      <alignment horizontal="justify" vertical="center" wrapText="1"/>
    </xf>
    <xf numFmtId="43" fontId="89" fillId="0" borderId="24" xfId="1134" applyFont="1" applyFill="1" applyBorder="1" applyAlignment="1">
      <alignment vertical="center"/>
    </xf>
    <xf numFmtId="10" fontId="89" fillId="0" borderId="24" xfId="786" applyNumberFormat="1" applyFont="1" applyFill="1" applyBorder="1" applyAlignment="1">
      <alignment vertical="center"/>
    </xf>
    <xf numFmtId="180" fontId="87" fillId="0" borderId="24" xfId="1134" applyNumberFormat="1" applyFont="1" applyFill="1" applyBorder="1" applyAlignment="1">
      <alignment horizontal="right" vertical="center"/>
    </xf>
    <xf numFmtId="0" fontId="114" fillId="0" borderId="24" xfId="438" applyFont="1" applyBorder="1" applyAlignment="1">
      <alignment horizontal="left" vertical="top" wrapText="1"/>
    </xf>
    <xf numFmtId="43" fontId="90" fillId="0" borderId="0" xfId="1134" applyFont="1" applyBorder="1" applyAlignment="1">
      <alignment horizontal="right" vertical="center" wrapText="1"/>
    </xf>
    <xf numFmtId="0" fontId="87" fillId="59" borderId="24" xfId="368" applyFont="1" applyFill="1" applyBorder="1" applyAlignment="1">
      <alignment vertical="center" wrapText="1"/>
    </xf>
    <xf numFmtId="0" fontId="87" fillId="59" borderId="24" xfId="368" applyFont="1" applyFill="1" applyBorder="1" applyAlignment="1">
      <alignment horizontal="center" vertical="center" wrapText="1"/>
    </xf>
    <xf numFmtId="174" fontId="87" fillId="0" borderId="24" xfId="1135" applyNumberFormat="1" applyFont="1" applyFill="1" applyBorder="1" applyAlignment="1">
      <alignment horizontal="center" vertical="center" wrapText="1"/>
    </xf>
    <xf numFmtId="164" fontId="87" fillId="0" borderId="24" xfId="1135" applyFont="1" applyBorder="1" applyAlignment="1">
      <alignment horizontal="center" vertical="center" wrapText="1"/>
    </xf>
    <xf numFmtId="0" fontId="87" fillId="70" borderId="24" xfId="368" applyFont="1" applyFill="1" applyBorder="1" applyAlignment="1">
      <alignment vertical="center" wrapText="1"/>
    </xf>
    <xf numFmtId="0" fontId="87" fillId="70" borderId="24" xfId="368" applyFont="1" applyFill="1" applyBorder="1" applyAlignment="1">
      <alignment horizontal="center" vertical="center" wrapText="1"/>
    </xf>
    <xf numFmtId="0" fontId="87" fillId="70" borderId="24" xfId="368" applyFont="1" applyFill="1" applyBorder="1" applyAlignment="1">
      <alignment horizontal="right" vertical="center" wrapText="1"/>
    </xf>
    <xf numFmtId="164" fontId="87" fillId="70" borderId="24" xfId="1135" applyFont="1" applyFill="1" applyBorder="1" applyAlignment="1">
      <alignment horizontal="center" vertical="center" wrapText="1"/>
    </xf>
    <xf numFmtId="164" fontId="87" fillId="69" borderId="24" xfId="1135" applyFont="1" applyFill="1" applyBorder="1" applyAlignment="1">
      <alignment horizontal="center" vertical="center" wrapText="1"/>
    </xf>
    <xf numFmtId="43" fontId="90" fillId="0" borderId="0" xfId="1134" applyFont="1" applyAlignment="1">
      <alignment vertical="center" wrapText="1"/>
    </xf>
    <xf numFmtId="0" fontId="87" fillId="69" borderId="24" xfId="368" applyFont="1" applyFill="1" applyBorder="1" applyAlignment="1">
      <alignment vertical="center" wrapText="1"/>
    </xf>
    <xf numFmtId="0" fontId="87" fillId="69" borderId="24" xfId="368" applyFont="1" applyFill="1" applyBorder="1" applyAlignment="1">
      <alignment horizontal="center" vertical="center" wrapText="1"/>
    </xf>
    <xf numFmtId="0" fontId="87" fillId="69" borderId="24" xfId="368" applyFont="1" applyFill="1" applyBorder="1" applyAlignment="1">
      <alignment horizontal="right" vertical="center" wrapText="1"/>
    </xf>
    <xf numFmtId="0" fontId="87" fillId="0" borderId="0" xfId="368" applyFont="1" applyAlignment="1">
      <alignment horizontal="center" vertical="center" wrapText="1"/>
    </xf>
    <xf numFmtId="0" fontId="87" fillId="0" borderId="0" xfId="368" applyFont="1" applyAlignment="1">
      <alignment horizontal="right" vertical="center" wrapText="1"/>
    </xf>
    <xf numFmtId="164" fontId="87" fillId="0" borderId="0" xfId="1135" applyFont="1" applyFill="1" applyBorder="1" applyAlignment="1">
      <alignment horizontal="center" vertical="center" wrapText="1"/>
    </xf>
    <xf numFmtId="0" fontId="91" fillId="62" borderId="27" xfId="368" applyFont="1" applyFill="1" applyBorder="1" applyAlignment="1">
      <alignment horizontal="center" vertical="center" wrapText="1"/>
    </xf>
    <xf numFmtId="43" fontId="91" fillId="62" borderId="27" xfId="368" applyNumberFormat="1" applyFont="1" applyFill="1" applyBorder="1" applyAlignment="1">
      <alignment vertical="center" wrapText="1"/>
    </xf>
    <xf numFmtId="44" fontId="87" fillId="0" borderId="24" xfId="368" applyNumberFormat="1" applyFont="1" applyBorder="1" applyAlignment="1">
      <alignment horizontal="center" vertical="center" wrapText="1"/>
    </xf>
    <xf numFmtId="43" fontId="91" fillId="62" borderId="24" xfId="368" applyNumberFormat="1" applyFont="1" applyFill="1" applyBorder="1" applyAlignment="1">
      <alignment vertical="center" wrapText="1"/>
    </xf>
    <xf numFmtId="178" fontId="87" fillId="0" borderId="24" xfId="1135" applyNumberFormat="1" applyFont="1" applyFill="1" applyBorder="1" applyAlignment="1">
      <alignment horizontal="center" vertical="center" wrapText="1"/>
    </xf>
    <xf numFmtId="173" fontId="87" fillId="0" borderId="24" xfId="1135" applyNumberFormat="1" applyFont="1" applyBorder="1" applyAlignment="1">
      <alignment horizontal="center" vertical="center" wrapText="1"/>
    </xf>
    <xf numFmtId="179" fontId="87" fillId="0" borderId="24" xfId="1134" applyNumberFormat="1" applyFont="1" applyFill="1" applyBorder="1" applyAlignment="1">
      <alignment horizontal="center" vertical="center" wrapText="1"/>
    </xf>
    <xf numFmtId="174" fontId="87" fillId="0" borderId="24" xfId="1135" applyNumberFormat="1" applyFont="1" applyBorder="1" applyAlignment="1">
      <alignment horizontal="center" vertical="center" wrapText="1"/>
    </xf>
    <xf numFmtId="174" fontId="87" fillId="70" borderId="24" xfId="1135" applyNumberFormat="1" applyFont="1" applyFill="1" applyBorder="1" applyAlignment="1">
      <alignment horizontal="center" vertical="center" wrapText="1"/>
    </xf>
    <xf numFmtId="0" fontId="87" fillId="0" borderId="24" xfId="368" quotePrefix="1" applyFont="1" applyBorder="1" applyAlignment="1">
      <alignment horizontal="center" vertical="center" wrapText="1"/>
    </xf>
    <xf numFmtId="43" fontId="91" fillId="62" borderId="0" xfId="368" applyNumberFormat="1" applyFont="1" applyFill="1" applyAlignment="1">
      <alignment vertical="center" wrapText="1"/>
    </xf>
    <xf numFmtId="43" fontId="87" fillId="0" borderId="24" xfId="1134" applyFont="1" applyBorder="1" applyAlignment="1">
      <alignment horizontal="center" vertical="center" wrapText="1"/>
    </xf>
    <xf numFmtId="0" fontId="91" fillId="62" borderId="0" xfId="368" applyFont="1" applyFill="1" applyAlignment="1">
      <alignment vertical="center" wrapText="1"/>
    </xf>
    <xf numFmtId="0" fontId="112" fillId="0" borderId="24" xfId="438" applyFont="1" applyBorder="1" applyAlignment="1">
      <alignment horizontal="justify" vertical="center" wrapText="1"/>
    </xf>
    <xf numFmtId="0" fontId="71" fillId="0" borderId="24" xfId="4000" quotePrefix="1" applyBorder="1" applyAlignment="1">
      <alignment horizontal="center" vertical="center" wrapText="1"/>
    </xf>
    <xf numFmtId="8" fontId="87" fillId="0" borderId="24" xfId="320" applyNumberFormat="1" applyFont="1" applyFill="1" applyBorder="1" applyAlignment="1">
      <alignment horizontal="center" vertical="center"/>
    </xf>
    <xf numFmtId="1" fontId="87" fillId="0" borderId="26" xfId="368" quotePrefix="1" applyNumberFormat="1" applyFont="1" applyBorder="1" applyAlignment="1">
      <alignment horizontal="center" vertical="center" wrapText="1"/>
    </xf>
    <xf numFmtId="10" fontId="90" fillId="0" borderId="0" xfId="0" applyNumberFormat="1" applyFont="1" applyAlignment="1">
      <alignment vertical="center"/>
    </xf>
    <xf numFmtId="0" fontId="89" fillId="58" borderId="25" xfId="687" applyFont="1" applyFill="1" applyBorder="1" applyAlignment="1">
      <alignment horizontal="left" vertical="center" wrapText="1"/>
    </xf>
    <xf numFmtId="0" fontId="91" fillId="62" borderId="24" xfId="687" applyFont="1" applyFill="1" applyBorder="1" applyAlignment="1">
      <alignment horizontal="center" vertical="center"/>
    </xf>
    <xf numFmtId="10" fontId="88" fillId="58" borderId="0" xfId="786" applyNumberFormat="1" applyFont="1" applyFill="1" applyAlignment="1">
      <alignment horizontal="left" vertical="center" wrapText="1"/>
    </xf>
    <xf numFmtId="0" fontId="87" fillId="60" borderId="24" xfId="687" applyFont="1" applyFill="1" applyBorder="1" applyAlignment="1">
      <alignment horizontal="center" vertical="center" wrapText="1"/>
    </xf>
    <xf numFmtId="43" fontId="87" fillId="60" borderId="24" xfId="1134" applyFont="1" applyFill="1" applyBorder="1" applyAlignment="1">
      <alignment horizontal="center" vertical="center" wrapText="1"/>
    </xf>
    <xf numFmtId="10" fontId="87" fillId="60" borderId="24" xfId="786" applyNumberFormat="1" applyFont="1" applyFill="1" applyBorder="1" applyAlignment="1">
      <alignment horizontal="center" vertical="center" wrapText="1"/>
    </xf>
    <xf numFmtId="0" fontId="89" fillId="58" borderId="0" xfId="687" applyFont="1" applyFill="1" applyAlignment="1">
      <alignment horizontal="left" vertical="center" wrapText="1"/>
    </xf>
    <xf numFmtId="0" fontId="87" fillId="60" borderId="24" xfId="687" applyFont="1" applyFill="1" applyBorder="1" applyAlignment="1">
      <alignment horizontal="left" vertical="center" wrapText="1"/>
    </xf>
    <xf numFmtId="0" fontId="91" fillId="62" borderId="24" xfId="687" applyFont="1" applyFill="1" applyBorder="1" applyAlignment="1">
      <alignment horizontal="left" vertical="center" wrapText="1"/>
    </xf>
    <xf numFmtId="0" fontId="87" fillId="0" borderId="24" xfId="687" applyFont="1" applyBorder="1" applyAlignment="1">
      <alignment horizontal="left" vertical="center" wrapText="1"/>
    </xf>
    <xf numFmtId="0" fontId="90" fillId="0" borderId="0" xfId="0" applyFont="1" applyAlignment="1">
      <alignment horizontal="left" vertical="center" wrapText="1"/>
    </xf>
    <xf numFmtId="0" fontId="88" fillId="58" borderId="0" xfId="687" applyFont="1" applyFill="1" applyAlignment="1">
      <alignment horizontal="left" vertical="center" wrapText="1"/>
    </xf>
    <xf numFmtId="0" fontId="91" fillId="62" borderId="24" xfId="687" applyFont="1" applyFill="1" applyBorder="1" applyAlignment="1">
      <alignment horizontal="center" vertical="center" wrapText="1"/>
    </xf>
    <xf numFmtId="0" fontId="88" fillId="58" borderId="0" xfId="687" applyFont="1" applyFill="1" applyAlignment="1">
      <alignment vertical="center"/>
    </xf>
    <xf numFmtId="10" fontId="90" fillId="0" borderId="0" xfId="1134" applyNumberFormat="1" applyFont="1" applyAlignment="1">
      <alignment vertical="center"/>
    </xf>
    <xf numFmtId="0" fontId="91" fillId="72" borderId="24" xfId="687" applyFont="1" applyFill="1" applyBorder="1" applyAlignment="1">
      <alignment horizontal="center" vertical="center"/>
    </xf>
    <xf numFmtId="0" fontId="91" fillId="72" borderId="24" xfId="687" applyFont="1" applyFill="1" applyBorder="1" applyAlignment="1">
      <alignment horizontal="left" vertical="center" wrapText="1"/>
    </xf>
    <xf numFmtId="43" fontId="91" fillId="72" borderId="24" xfId="786" applyNumberFormat="1" applyFont="1" applyFill="1" applyBorder="1" applyAlignment="1">
      <alignment vertical="center"/>
    </xf>
    <xf numFmtId="43" fontId="91" fillId="72" borderId="24" xfId="1134" applyFont="1" applyFill="1" applyBorder="1" applyAlignment="1">
      <alignment vertical="center"/>
    </xf>
    <xf numFmtId="10" fontId="91" fillId="72" borderId="24" xfId="786" applyNumberFormat="1" applyFont="1" applyFill="1" applyBorder="1" applyAlignment="1">
      <alignment vertical="center"/>
    </xf>
    <xf numFmtId="43" fontId="90" fillId="0" borderId="0" xfId="1134" applyFont="1" applyFill="1" applyAlignment="1">
      <alignment vertical="center"/>
    </xf>
    <xf numFmtId="10" fontId="90" fillId="0" borderId="0" xfId="786" applyNumberFormat="1" applyFont="1" applyFill="1" applyAlignment="1">
      <alignment vertical="center"/>
    </xf>
    <xf numFmtId="0" fontId="87" fillId="0" borderId="0" xfId="687" applyFont="1" applyAlignment="1">
      <alignment horizontal="left" vertical="center"/>
    </xf>
    <xf numFmtId="0" fontId="87" fillId="0" borderId="0" xfId="687" applyFont="1" applyAlignment="1">
      <alignment horizontal="right" vertical="center" wrapText="1"/>
    </xf>
    <xf numFmtId="0" fontId="87" fillId="0" borderId="0" xfId="687" applyFont="1" applyAlignment="1">
      <alignment horizontal="center" vertical="center" wrapText="1"/>
    </xf>
    <xf numFmtId="43" fontId="89" fillId="0" borderId="0" xfId="1134" applyFont="1" applyFill="1" applyBorder="1" applyAlignment="1">
      <alignment horizontal="center" vertical="center" wrapText="1"/>
    </xf>
    <xf numFmtId="43" fontId="89" fillId="0" borderId="0" xfId="1134" applyFont="1" applyFill="1" applyBorder="1" applyAlignment="1">
      <alignment vertical="center"/>
    </xf>
    <xf numFmtId="10" fontId="89" fillId="0" borderId="0" xfId="786" applyNumberFormat="1" applyFont="1" applyFill="1" applyBorder="1" applyAlignment="1">
      <alignment vertical="center"/>
    </xf>
    <xf numFmtId="43" fontId="87" fillId="0" borderId="0" xfId="1134" applyFont="1" applyFill="1" applyBorder="1" applyAlignment="1">
      <alignment horizontal="right" vertical="center"/>
    </xf>
    <xf numFmtId="0" fontId="89" fillId="0" borderId="0" xfId="687" applyFont="1" applyAlignment="1">
      <alignment horizontal="right" vertical="center" wrapText="1"/>
    </xf>
    <xf numFmtId="0" fontId="89" fillId="0" borderId="0" xfId="687" applyFont="1" applyAlignment="1">
      <alignment horizontal="left" vertical="center"/>
    </xf>
    <xf numFmtId="0" fontId="89" fillId="0" borderId="0" xfId="687" applyFont="1" applyAlignment="1">
      <alignment horizontal="center" vertical="center" wrapText="1"/>
    </xf>
    <xf numFmtId="43" fontId="90" fillId="0" borderId="0" xfId="1134" applyFont="1" applyFill="1" applyBorder="1" applyAlignment="1">
      <alignment vertical="center"/>
    </xf>
    <xf numFmtId="43" fontId="92" fillId="0" borderId="0" xfId="1134" applyFont="1" applyFill="1" applyBorder="1" applyAlignment="1">
      <alignment horizontal="right" vertical="center"/>
    </xf>
    <xf numFmtId="43" fontId="90" fillId="0" borderId="0" xfId="1134" applyFont="1" applyFill="1" applyBorder="1" applyAlignment="1">
      <alignment horizontal="right" vertical="center"/>
    </xf>
    <xf numFmtId="0" fontId="103" fillId="62" borderId="24" xfId="369" applyFont="1" applyFill="1" applyBorder="1" applyAlignment="1">
      <alignment horizontal="center" vertical="center" wrapText="1"/>
    </xf>
    <xf numFmtId="0" fontId="102" fillId="0" borderId="24" xfId="401" applyFont="1" applyBorder="1" applyAlignment="1">
      <alignment horizontal="center" vertical="center" wrapText="1"/>
    </xf>
    <xf numFmtId="181" fontId="87" fillId="0" borderId="26" xfId="1135" applyNumberFormat="1" applyFont="1" applyFill="1" applyBorder="1" applyAlignment="1">
      <alignment horizontal="center" vertical="center"/>
    </xf>
    <xf numFmtId="8" fontId="87" fillId="0" borderId="0" xfId="500" applyNumberFormat="1" applyFont="1" applyAlignment="1">
      <alignment vertical="center"/>
    </xf>
    <xf numFmtId="0" fontId="87" fillId="0" borderId="0" xfId="4009" applyFont="1" applyAlignment="1">
      <alignment vertical="center"/>
    </xf>
    <xf numFmtId="0" fontId="87" fillId="0" borderId="0" xfId="4009" applyFont="1" applyAlignment="1">
      <alignment horizontal="center" vertical="center" wrapText="1"/>
    </xf>
    <xf numFmtId="0" fontId="87" fillId="0" borderId="0" xfId="4009" applyFont="1" applyAlignment="1">
      <alignment vertical="center" wrapText="1"/>
    </xf>
    <xf numFmtId="0" fontId="110" fillId="0" borderId="0" xfId="4009" applyFont="1" applyAlignment="1">
      <alignment vertical="center"/>
    </xf>
    <xf numFmtId="0" fontId="90" fillId="0" borderId="0" xfId="4009" applyFont="1" applyAlignment="1">
      <alignment vertical="center"/>
    </xf>
    <xf numFmtId="43" fontId="90" fillId="0" borderId="0" xfId="4010" applyFont="1" applyBorder="1" applyAlignment="1">
      <alignment horizontal="right" vertical="center"/>
    </xf>
    <xf numFmtId="0" fontId="90" fillId="59" borderId="24" xfId="4009" applyFont="1" applyFill="1" applyBorder="1" applyAlignment="1">
      <alignment vertical="center"/>
    </xf>
    <xf numFmtId="0" fontId="105" fillId="59" borderId="24" xfId="4009" applyFont="1" applyFill="1" applyBorder="1" applyAlignment="1">
      <alignment vertical="center"/>
    </xf>
    <xf numFmtId="164" fontId="105" fillId="59" borderId="24" xfId="4009" applyNumberFormat="1" applyFont="1" applyFill="1" applyBorder="1" applyAlignment="1">
      <alignment vertical="center"/>
    </xf>
    <xf numFmtId="0" fontId="87" fillId="0" borderId="0" xfId="4009" applyFont="1" applyAlignment="1">
      <alignment horizontal="center" vertical="center"/>
    </xf>
    <xf numFmtId="0" fontId="95" fillId="0" borderId="24" xfId="490" applyFont="1" applyBorder="1"/>
    <xf numFmtId="0" fontId="95" fillId="0" borderId="24" xfId="490" applyFont="1" applyBorder="1" applyAlignment="1">
      <alignment horizontal="center"/>
    </xf>
    <xf numFmtId="0" fontId="97" fillId="62" borderId="24" xfId="4002" applyFont="1" applyFill="1" applyBorder="1" applyAlignment="1">
      <alignment horizontal="center" vertical="top"/>
    </xf>
    <xf numFmtId="178" fontId="100" fillId="0" borderId="24" xfId="4008" applyNumberFormat="1" applyFont="1" applyBorder="1" applyAlignment="1">
      <alignment horizontal="right" vertical="center"/>
    </xf>
    <xf numFmtId="0" fontId="87" fillId="0" borderId="24" xfId="1134" applyNumberFormat="1" applyFont="1" applyBorder="1" applyAlignment="1">
      <alignment horizontal="right" vertical="center" wrapText="1"/>
    </xf>
    <xf numFmtId="4" fontId="87" fillId="0" borderId="24" xfId="1134" applyNumberFormat="1" applyFont="1" applyBorder="1" applyAlignment="1">
      <alignment horizontal="right" vertical="center" wrapText="1"/>
    </xf>
    <xf numFmtId="2" fontId="87" fillId="0" borderId="24" xfId="1134" applyNumberFormat="1" applyFont="1" applyBorder="1" applyAlignment="1">
      <alignment horizontal="right" vertical="center"/>
    </xf>
    <xf numFmtId="164" fontId="90" fillId="0" borderId="0" xfId="1147" applyFont="1" applyBorder="1" applyAlignment="1">
      <alignment horizontal="right" vertical="center"/>
    </xf>
    <xf numFmtId="0" fontId="87" fillId="58" borderId="24" xfId="438" applyFont="1" applyFill="1" applyBorder="1" applyAlignment="1">
      <alignment horizontal="justify" vertical="center" wrapText="1"/>
    </xf>
    <xf numFmtId="0" fontId="87" fillId="0" borderId="24" xfId="0" applyFont="1" applyBorder="1" applyAlignment="1">
      <alignment horizontal="justify" vertical="center" wrapText="1"/>
    </xf>
    <xf numFmtId="43" fontId="99" fillId="62" borderId="24" xfId="1134" applyFont="1" applyFill="1" applyBorder="1" applyAlignment="1">
      <alignment vertical="center" wrapText="1"/>
    </xf>
    <xf numFmtId="0" fontId="87" fillId="0" borderId="24" xfId="368" applyFont="1" applyBorder="1" applyAlignment="1">
      <alignment horizontal="left" vertical="center" wrapText="1"/>
    </xf>
    <xf numFmtId="1" fontId="87" fillId="0" borderId="24" xfId="368" applyNumberFormat="1" applyFont="1" applyBorder="1" applyAlignment="1">
      <alignment horizontal="center" vertical="center"/>
    </xf>
    <xf numFmtId="165" fontId="87" fillId="0" borderId="24" xfId="368" applyNumberFormat="1" applyFont="1" applyBorder="1" applyAlignment="1">
      <alignment horizontal="center" vertical="center"/>
    </xf>
    <xf numFmtId="182" fontId="90" fillId="0" borderId="0" xfId="0" applyNumberFormat="1" applyFont="1" applyAlignment="1">
      <alignment vertical="center"/>
    </xf>
    <xf numFmtId="0" fontId="99" fillId="62" borderId="24" xfId="687" applyFont="1" applyFill="1" applyBorder="1" applyAlignment="1">
      <alignment horizontal="center" vertical="center" wrapText="1"/>
    </xf>
    <xf numFmtId="43" fontId="99" fillId="62" borderId="24" xfId="1134" applyFont="1" applyFill="1" applyBorder="1" applyAlignment="1">
      <alignment horizontal="center" vertical="center" wrapText="1"/>
    </xf>
    <xf numFmtId="10" fontId="99" fillId="62" borderId="24" xfId="786" applyNumberFormat="1" applyFont="1" applyFill="1" applyBorder="1" applyAlignment="1">
      <alignment horizontal="center" vertical="center" wrapText="1"/>
    </xf>
    <xf numFmtId="10" fontId="90" fillId="0" borderId="0" xfId="786" applyNumberFormat="1" applyFont="1" applyAlignment="1">
      <alignment horizontal="center" vertical="center"/>
    </xf>
    <xf numFmtId="10" fontId="90" fillId="0" borderId="0" xfId="786" applyNumberFormat="1" applyFont="1"/>
    <xf numFmtId="10" fontId="99" fillId="62" borderId="24" xfId="786" applyNumberFormat="1" applyFont="1" applyFill="1" applyBorder="1" applyAlignment="1">
      <alignment vertical="center"/>
    </xf>
    <xf numFmtId="10" fontId="99" fillId="62" borderId="24" xfId="786" applyNumberFormat="1" applyFont="1" applyFill="1" applyBorder="1" applyAlignment="1">
      <alignment horizontal="center" vertical="center"/>
    </xf>
    <xf numFmtId="0" fontId="87" fillId="74" borderId="24" xfId="438" applyFont="1" applyFill="1" applyBorder="1" applyAlignment="1">
      <alignment horizontal="center" vertical="center"/>
    </xf>
    <xf numFmtId="0" fontId="87" fillId="74" borderId="24" xfId="438" applyFont="1" applyFill="1" applyBorder="1" applyAlignment="1">
      <alignment horizontal="justify" vertical="center" wrapText="1"/>
    </xf>
    <xf numFmtId="43" fontId="87" fillId="74" borderId="24" xfId="1134" applyFont="1" applyFill="1" applyBorder="1" applyAlignment="1">
      <alignment horizontal="right" vertical="center"/>
    </xf>
    <xf numFmtId="2" fontId="87" fillId="74" borderId="24" xfId="687" applyNumberFormat="1" applyFont="1" applyFill="1" applyBorder="1" applyAlignment="1">
      <alignment horizontal="center" vertical="center" shrinkToFit="1"/>
    </xf>
    <xf numFmtId="43" fontId="87" fillId="74" borderId="24" xfId="1134" applyFont="1" applyFill="1" applyBorder="1" applyAlignment="1">
      <alignment horizontal="center" vertical="center"/>
    </xf>
    <xf numFmtId="10" fontId="90" fillId="74" borderId="24" xfId="786" applyNumberFormat="1" applyFont="1" applyFill="1" applyBorder="1"/>
    <xf numFmtId="10" fontId="90" fillId="74" borderId="24" xfId="786" applyNumberFormat="1" applyFont="1" applyFill="1" applyBorder="1" applyAlignment="1">
      <alignment vertical="center"/>
    </xf>
    <xf numFmtId="10" fontId="90" fillId="74" borderId="24" xfId="786" applyNumberFormat="1" applyFont="1" applyFill="1" applyBorder="1" applyAlignment="1">
      <alignment horizontal="center" vertical="center"/>
    </xf>
    <xf numFmtId="0" fontId="87" fillId="74" borderId="24" xfId="687" applyFont="1" applyFill="1" applyBorder="1" applyAlignment="1">
      <alignment horizontal="center" vertical="center" shrinkToFit="1"/>
    </xf>
    <xf numFmtId="1" fontId="87" fillId="74" borderId="24" xfId="438" applyNumberFormat="1" applyFont="1" applyFill="1" applyBorder="1" applyAlignment="1">
      <alignment horizontal="center" vertical="center"/>
    </xf>
    <xf numFmtId="0" fontId="87" fillId="69" borderId="24" xfId="438" applyFont="1" applyFill="1" applyBorder="1" applyAlignment="1">
      <alignment horizontal="center" vertical="center"/>
    </xf>
    <xf numFmtId="0" fontId="87" fillId="69" borderId="24" xfId="438" applyFont="1" applyFill="1" applyBorder="1" applyAlignment="1">
      <alignment horizontal="justify" vertical="center" wrapText="1"/>
    </xf>
    <xf numFmtId="43" fontId="87" fillId="69" borderId="24" xfId="1134" applyFont="1" applyFill="1" applyBorder="1" applyAlignment="1">
      <alignment horizontal="right" vertical="center"/>
    </xf>
    <xf numFmtId="2" fontId="87" fillId="69" borderId="24" xfId="687" applyNumberFormat="1" applyFont="1" applyFill="1" applyBorder="1" applyAlignment="1">
      <alignment horizontal="center" vertical="center" shrinkToFit="1"/>
    </xf>
    <xf numFmtId="43" fontId="87" fillId="69" borderId="24" xfId="1134" applyFont="1" applyFill="1" applyBorder="1" applyAlignment="1">
      <alignment horizontal="center" vertical="center"/>
    </xf>
    <xf numFmtId="10" fontId="90" fillId="69" borderId="24" xfId="786" applyNumberFormat="1" applyFont="1" applyFill="1" applyBorder="1"/>
    <xf numFmtId="10" fontId="90" fillId="69" borderId="24" xfId="786" applyNumberFormat="1" applyFont="1" applyFill="1" applyBorder="1" applyAlignment="1">
      <alignment vertical="center"/>
    </xf>
    <xf numFmtId="10" fontId="90" fillId="69" borderId="24" xfId="786" applyNumberFormat="1" applyFont="1" applyFill="1" applyBorder="1" applyAlignment="1">
      <alignment horizontal="center" vertical="center"/>
    </xf>
    <xf numFmtId="0" fontId="87" fillId="69" borderId="24" xfId="3997" applyFont="1" applyFill="1" applyBorder="1" applyAlignment="1">
      <alignment horizontal="center" vertical="center"/>
    </xf>
    <xf numFmtId="0" fontId="87" fillId="69" borderId="24" xfId="687" applyFont="1" applyFill="1" applyBorder="1" applyAlignment="1">
      <alignment horizontal="center" vertical="center" shrinkToFit="1"/>
    </xf>
    <xf numFmtId="0" fontId="87" fillId="69" borderId="24" xfId="687" applyFont="1" applyFill="1" applyBorder="1" applyAlignment="1">
      <alignment horizontal="center" vertical="center"/>
    </xf>
    <xf numFmtId="0" fontId="87" fillId="59" borderId="24" xfId="438" applyFont="1" applyFill="1" applyBorder="1" applyAlignment="1">
      <alignment horizontal="center" vertical="center"/>
    </xf>
    <xf numFmtId="0" fontId="87" fillId="59" borderId="24" xfId="438" applyFont="1" applyFill="1" applyBorder="1" applyAlignment="1">
      <alignment horizontal="justify" vertical="center" wrapText="1"/>
    </xf>
    <xf numFmtId="43" fontId="87" fillId="59" borderId="24" xfId="1134" applyFont="1" applyFill="1" applyBorder="1" applyAlignment="1">
      <alignment horizontal="right" vertical="center"/>
    </xf>
    <xf numFmtId="2" fontId="87" fillId="59" borderId="24" xfId="687" applyNumberFormat="1" applyFont="1" applyFill="1" applyBorder="1" applyAlignment="1">
      <alignment horizontal="center" vertical="center" shrinkToFit="1"/>
    </xf>
    <xf numFmtId="10" fontId="90" fillId="59" borderId="24" xfId="786" applyNumberFormat="1" applyFont="1" applyFill="1" applyBorder="1"/>
    <xf numFmtId="10" fontId="90" fillId="59" borderId="24" xfId="786" applyNumberFormat="1" applyFont="1" applyFill="1" applyBorder="1" applyAlignment="1">
      <alignment vertical="center"/>
    </xf>
    <xf numFmtId="10" fontId="90" fillId="59" borderId="24" xfId="786" applyNumberFormat="1" applyFont="1" applyFill="1" applyBorder="1" applyAlignment="1">
      <alignment horizontal="center" vertical="center"/>
    </xf>
    <xf numFmtId="1" fontId="87" fillId="59" borderId="24" xfId="438" applyNumberFormat="1" applyFont="1" applyFill="1" applyBorder="1" applyAlignment="1">
      <alignment horizontal="center" vertical="center"/>
    </xf>
    <xf numFmtId="0" fontId="87" fillId="59" borderId="24" xfId="687" applyFont="1" applyFill="1" applyBorder="1" applyAlignment="1">
      <alignment horizontal="center" vertical="center" shrinkToFit="1"/>
    </xf>
    <xf numFmtId="0" fontId="87" fillId="59" borderId="24" xfId="3980" applyFont="1" applyFill="1" applyBorder="1" applyAlignment="1">
      <alignment horizontal="center" vertical="center"/>
    </xf>
    <xf numFmtId="1" fontId="87" fillId="59" borderId="24" xfId="687" applyNumberFormat="1" applyFont="1" applyFill="1" applyBorder="1" applyAlignment="1">
      <alignment horizontal="center" vertical="center"/>
    </xf>
    <xf numFmtId="0" fontId="87" fillId="59" borderId="24" xfId="3997" applyFont="1" applyFill="1" applyBorder="1" applyAlignment="1">
      <alignment horizontal="center" vertical="center"/>
    </xf>
    <xf numFmtId="0" fontId="88" fillId="58" borderId="12" xfId="687" applyFont="1" applyFill="1" applyBorder="1" applyAlignment="1">
      <alignment horizontal="left" vertical="center"/>
    </xf>
    <xf numFmtId="0" fontId="88" fillId="58" borderId="11" xfId="687" applyFont="1" applyFill="1" applyBorder="1" applyAlignment="1">
      <alignment horizontal="left" vertical="center"/>
    </xf>
    <xf numFmtId="0" fontId="88" fillId="58" borderId="13" xfId="687" applyFont="1" applyFill="1" applyBorder="1" applyAlignment="1">
      <alignment horizontal="left" vertical="center"/>
    </xf>
    <xf numFmtId="0" fontId="88" fillId="58" borderId="0" xfId="687" applyFont="1" applyFill="1" applyAlignment="1">
      <alignment horizontal="left" vertical="center" wrapText="1"/>
    </xf>
    <xf numFmtId="0" fontId="87" fillId="58" borderId="0" xfId="687" applyFont="1" applyFill="1" applyAlignment="1">
      <alignment horizontal="left" vertical="distributed" wrapText="1"/>
    </xf>
    <xf numFmtId="0" fontId="99" fillId="62" borderId="0" xfId="0" applyFont="1" applyFill="1" applyAlignment="1">
      <alignment horizontal="center" vertical="center"/>
    </xf>
    <xf numFmtId="0" fontId="105" fillId="0" borderId="12" xfId="0" applyFont="1" applyBorder="1" applyAlignment="1">
      <alignment horizontal="left" vertical="center"/>
    </xf>
    <xf numFmtId="0" fontId="105" fillId="0" borderId="11" xfId="0" applyFont="1" applyBorder="1" applyAlignment="1">
      <alignment horizontal="left" vertical="center"/>
    </xf>
    <xf numFmtId="0" fontId="105" fillId="0" borderId="13" xfId="0" applyFont="1" applyBorder="1" applyAlignment="1">
      <alignment horizontal="left" vertical="center"/>
    </xf>
    <xf numFmtId="0" fontId="113" fillId="62" borderId="25" xfId="687" applyFont="1" applyFill="1" applyBorder="1" applyAlignment="1">
      <alignment horizontal="center" vertical="center" wrapText="1"/>
    </xf>
    <xf numFmtId="0" fontId="88" fillId="0" borderId="0" xfId="687" applyFont="1" applyAlignment="1">
      <alignment horizontal="left" vertical="center" wrapText="1"/>
    </xf>
    <xf numFmtId="0" fontId="87" fillId="0" borderId="0" xfId="687" applyFont="1" applyAlignment="1">
      <alignment horizontal="left" vertical="center" wrapText="1"/>
    </xf>
    <xf numFmtId="0" fontId="99" fillId="62" borderId="24" xfId="687" applyFont="1" applyFill="1" applyBorder="1" applyAlignment="1">
      <alignment horizontal="center" vertical="center" wrapText="1"/>
    </xf>
    <xf numFmtId="43" fontId="99" fillId="62" borderId="24" xfId="1134" applyFont="1" applyFill="1" applyBorder="1" applyAlignment="1">
      <alignment horizontal="center" vertical="center" wrapText="1"/>
    </xf>
    <xf numFmtId="43" fontId="99" fillId="62" borderId="28" xfId="1134" applyFont="1" applyFill="1" applyBorder="1" applyAlignment="1">
      <alignment horizontal="center" vertical="center" wrapText="1"/>
    </xf>
    <xf numFmtId="43" fontId="99" fillId="62" borderId="30" xfId="1134" applyFont="1" applyFill="1" applyBorder="1" applyAlignment="1">
      <alignment horizontal="center" vertical="center" wrapText="1"/>
    </xf>
    <xf numFmtId="43" fontId="99" fillId="62" borderId="29" xfId="1134" applyFont="1" applyFill="1" applyBorder="1" applyAlignment="1">
      <alignment horizontal="center" vertical="center" wrapText="1"/>
    </xf>
    <xf numFmtId="43" fontId="99" fillId="62" borderId="28" xfId="1134" applyFont="1" applyFill="1" applyBorder="1" applyAlignment="1">
      <alignment horizontal="right" vertical="center"/>
    </xf>
    <xf numFmtId="43" fontId="99" fillId="62" borderId="30" xfId="1134" applyFont="1" applyFill="1" applyBorder="1" applyAlignment="1">
      <alignment horizontal="right" vertical="center"/>
    </xf>
    <xf numFmtId="43" fontId="99" fillId="62" borderId="29" xfId="1134" applyFont="1" applyFill="1" applyBorder="1" applyAlignment="1">
      <alignment horizontal="right" vertical="center"/>
    </xf>
    <xf numFmtId="10" fontId="99" fillId="62" borderId="24" xfId="786" applyNumberFormat="1" applyFont="1" applyFill="1" applyBorder="1" applyAlignment="1">
      <alignment horizontal="center" vertical="center" wrapText="1"/>
    </xf>
    <xf numFmtId="0" fontId="87" fillId="66" borderId="0" xfId="4005" applyFont="1" applyFill="1" applyAlignment="1">
      <alignment horizontal="center"/>
    </xf>
    <xf numFmtId="0" fontId="88" fillId="66" borderId="33" xfId="4005" applyFont="1" applyFill="1" applyBorder="1" applyAlignment="1">
      <alignment horizontal="left"/>
    </xf>
    <xf numFmtId="0" fontId="87" fillId="66" borderId="0" xfId="4005" applyFont="1" applyFill="1" applyAlignment="1">
      <alignment horizontal="left"/>
    </xf>
    <xf numFmtId="0" fontId="87" fillId="66" borderId="32" xfId="4005" applyFont="1" applyFill="1" applyBorder="1" applyAlignment="1">
      <alignment horizontal="center"/>
    </xf>
    <xf numFmtId="0" fontId="87" fillId="66" borderId="33" xfId="4005" applyFont="1" applyFill="1" applyBorder="1" applyAlignment="1">
      <alignment horizontal="center"/>
    </xf>
    <xf numFmtId="0" fontId="87" fillId="66" borderId="34" xfId="4005" applyFont="1" applyFill="1" applyBorder="1" applyAlignment="1">
      <alignment horizontal="center"/>
    </xf>
    <xf numFmtId="0" fontId="99" fillId="62" borderId="24" xfId="4005" applyFont="1" applyFill="1" applyBorder="1" applyAlignment="1">
      <alignment horizontal="center" vertical="center"/>
    </xf>
    <xf numFmtId="10" fontId="91" fillId="62" borderId="24" xfId="4006" applyNumberFormat="1" applyFont="1" applyFill="1" applyBorder="1" applyAlignment="1">
      <alignment horizontal="center" vertical="center"/>
    </xf>
    <xf numFmtId="0" fontId="91" fillId="62" borderId="24" xfId="4005" applyFont="1" applyFill="1" applyBorder="1" applyAlignment="1">
      <alignment horizontal="center"/>
    </xf>
    <xf numFmtId="0" fontId="99" fillId="73" borderId="24" xfId="4005" applyFont="1" applyFill="1" applyBorder="1" applyAlignment="1">
      <alignment horizontal="center" vertical="center"/>
    </xf>
    <xf numFmtId="0" fontId="91" fillId="73" borderId="24" xfId="4005" applyFont="1" applyFill="1" applyBorder="1" applyAlignment="1">
      <alignment horizontal="center"/>
    </xf>
    <xf numFmtId="0" fontId="113" fillId="73" borderId="24" xfId="4001" applyFont="1" applyFill="1" applyBorder="1" applyAlignment="1">
      <alignment horizontal="center" vertical="center"/>
    </xf>
    <xf numFmtId="0" fontId="87" fillId="59" borderId="24" xfId="4005" applyFont="1" applyFill="1" applyBorder="1" applyAlignment="1">
      <alignment horizontal="center" vertical="center"/>
    </xf>
    <xf numFmtId="0" fontId="87" fillId="59" borderId="24" xfId="4005" applyFont="1" applyFill="1" applyBorder="1" applyAlignment="1">
      <alignment horizontal="center" vertical="center" wrapText="1"/>
    </xf>
    <xf numFmtId="0" fontId="91" fillId="62" borderId="28" xfId="4005" applyFont="1" applyFill="1" applyBorder="1" applyAlignment="1">
      <alignment horizontal="center"/>
    </xf>
    <xf numFmtId="0" fontId="91" fillId="62" borderId="30" xfId="4005" applyFont="1" applyFill="1" applyBorder="1" applyAlignment="1">
      <alignment horizontal="center"/>
    </xf>
    <xf numFmtId="0" fontId="91" fillId="62" borderId="29" xfId="4005" applyFont="1" applyFill="1" applyBorder="1" applyAlignment="1">
      <alignment horizontal="center"/>
    </xf>
    <xf numFmtId="0" fontId="99" fillId="62" borderId="32" xfId="4005" applyFont="1" applyFill="1" applyBorder="1" applyAlignment="1">
      <alignment horizontal="center" vertical="center"/>
    </xf>
    <xf numFmtId="0" fontId="99" fillId="62" borderId="34" xfId="4005" applyFont="1" applyFill="1" applyBorder="1" applyAlignment="1">
      <alignment horizontal="center" vertical="center"/>
    </xf>
    <xf numFmtId="0" fontId="99" fillId="62" borderId="35" xfId="4005" applyFont="1" applyFill="1" applyBorder="1" applyAlignment="1">
      <alignment horizontal="center" vertical="center"/>
    </xf>
    <xf numFmtId="0" fontId="99" fillId="62" borderId="31" xfId="4005" applyFont="1" applyFill="1" applyBorder="1" applyAlignment="1">
      <alignment horizontal="center" vertical="center"/>
    </xf>
    <xf numFmtId="0" fontId="99" fillId="62" borderId="36" xfId="4005" applyFont="1" applyFill="1" applyBorder="1" applyAlignment="1">
      <alignment horizontal="center" vertical="center"/>
    </xf>
    <xf numFmtId="0" fontId="99" fillId="62" borderId="37" xfId="4005" applyFont="1" applyFill="1" applyBorder="1" applyAlignment="1">
      <alignment horizontal="center" vertical="center"/>
    </xf>
    <xf numFmtId="10" fontId="91" fillId="62" borderId="26" xfId="4006" applyNumberFormat="1" applyFont="1" applyFill="1" applyBorder="1" applyAlignment="1">
      <alignment horizontal="center" vertical="center"/>
    </xf>
    <xf numFmtId="10" fontId="91" fillId="62" borderId="38" xfId="4006" applyNumberFormat="1" applyFont="1" applyFill="1" applyBorder="1" applyAlignment="1">
      <alignment horizontal="center" vertical="center"/>
    </xf>
    <xf numFmtId="10" fontId="91" fillId="62" borderId="27" xfId="4006" applyNumberFormat="1" applyFont="1" applyFill="1" applyBorder="1" applyAlignment="1">
      <alignment horizontal="center" vertical="center"/>
    </xf>
    <xf numFmtId="0" fontId="87" fillId="58" borderId="0" xfId="687" applyFont="1" applyFill="1" applyAlignment="1">
      <alignment horizontal="left" vertical="center"/>
    </xf>
    <xf numFmtId="0" fontId="113" fillId="62" borderId="24" xfId="4001" applyFont="1" applyFill="1" applyBorder="1" applyAlignment="1">
      <alignment horizontal="center" vertical="center"/>
    </xf>
    <xf numFmtId="0" fontId="87" fillId="58" borderId="0" xfId="687" applyFont="1" applyFill="1" applyAlignment="1">
      <alignment horizontal="left" vertical="center" wrapText="1"/>
    </xf>
    <xf numFmtId="0" fontId="91" fillId="62" borderId="24" xfId="687" applyFont="1" applyFill="1" applyBorder="1" applyAlignment="1">
      <alignment horizontal="center" vertical="center" wrapText="1"/>
    </xf>
    <xf numFmtId="0" fontId="112" fillId="58" borderId="0" xfId="687" applyFont="1" applyFill="1" applyAlignment="1">
      <alignment horizontal="left" vertical="center" wrapText="1"/>
    </xf>
    <xf numFmtId="0" fontId="89" fillId="58" borderId="0" xfId="687" applyFont="1" applyFill="1" applyAlignment="1">
      <alignment horizontal="left" vertical="center" wrapText="1"/>
    </xf>
    <xf numFmtId="0" fontId="88" fillId="58" borderId="0" xfId="687" applyFont="1" applyFill="1" applyAlignment="1">
      <alignment vertical="center"/>
    </xf>
    <xf numFmtId="0" fontId="87" fillId="58" borderId="0" xfId="687" applyFont="1" applyFill="1" applyAlignment="1">
      <alignment vertical="center" wrapText="1"/>
    </xf>
    <xf numFmtId="0" fontId="87" fillId="58" borderId="0" xfId="687" applyFont="1" applyFill="1" applyAlignment="1">
      <alignment vertical="center"/>
    </xf>
    <xf numFmtId="0" fontId="99" fillId="62" borderId="28" xfId="687" applyFont="1" applyFill="1" applyBorder="1" applyAlignment="1">
      <alignment horizontal="center" vertical="center" wrapText="1"/>
    </xf>
    <xf numFmtId="0" fontId="99" fillId="62" borderId="30" xfId="687" applyFont="1" applyFill="1" applyBorder="1" applyAlignment="1">
      <alignment horizontal="center" vertical="center" wrapText="1"/>
    </xf>
    <xf numFmtId="0" fontId="99" fillId="62" borderId="29" xfId="687" applyFont="1" applyFill="1" applyBorder="1" applyAlignment="1">
      <alignment horizontal="center" vertical="center" wrapText="1"/>
    </xf>
    <xf numFmtId="0" fontId="111" fillId="0" borderId="0" xfId="3996" applyFont="1" applyAlignment="1">
      <alignment horizontal="center" vertical="center" wrapText="1"/>
    </xf>
    <xf numFmtId="0" fontId="94" fillId="0" borderId="0" xfId="3996" applyFont="1" applyAlignment="1">
      <alignment horizontal="left" vertical="center" wrapText="1"/>
    </xf>
    <xf numFmtId="0" fontId="97" fillId="62" borderId="24" xfId="3996" applyFont="1" applyFill="1" applyBorder="1" applyAlignment="1">
      <alignment horizontal="center" vertical="center" wrapText="1"/>
    </xf>
    <xf numFmtId="0" fontId="95" fillId="0" borderId="0" xfId="4002" applyFont="1" applyAlignment="1">
      <alignment horizontal="left" vertical="top" wrapText="1"/>
    </xf>
    <xf numFmtId="0" fontId="96" fillId="58" borderId="0" xfId="687" applyFont="1" applyFill="1" applyAlignment="1">
      <alignment horizontal="left" vertical="center" wrapText="1"/>
    </xf>
    <xf numFmtId="0" fontId="95" fillId="58" borderId="0" xfId="687" applyFont="1" applyFill="1" applyAlignment="1">
      <alignment horizontal="left" vertical="center" wrapText="1"/>
    </xf>
    <xf numFmtId="0" fontId="87" fillId="60" borderId="24" xfId="368" applyFont="1" applyFill="1" applyBorder="1" applyAlignment="1">
      <alignment horizontal="right" vertical="center"/>
    </xf>
    <xf numFmtId="0" fontId="91" fillId="62" borderId="24" xfId="368" applyFont="1" applyFill="1" applyBorder="1" applyAlignment="1">
      <alignment horizontal="center" vertical="center" wrapText="1"/>
    </xf>
    <xf numFmtId="0" fontId="99" fillId="62" borderId="28" xfId="687" applyFont="1" applyFill="1" applyBorder="1" applyAlignment="1">
      <alignment horizontal="center" vertical="center"/>
    </xf>
    <xf numFmtId="0" fontId="99" fillId="62" borderId="30" xfId="687" applyFont="1" applyFill="1" applyBorder="1" applyAlignment="1">
      <alignment horizontal="center" vertical="center"/>
    </xf>
    <xf numFmtId="0" fontId="99" fillId="62" borderId="29" xfId="687" applyFont="1" applyFill="1" applyBorder="1" applyAlignment="1">
      <alignment horizontal="center" vertical="center"/>
    </xf>
    <xf numFmtId="0" fontId="87" fillId="69" borderId="24" xfId="368" applyFont="1" applyFill="1" applyBorder="1" applyAlignment="1">
      <alignment horizontal="right" vertical="center"/>
    </xf>
    <xf numFmtId="0" fontId="91" fillId="62" borderId="24" xfId="368" applyFont="1" applyFill="1" applyBorder="1" applyAlignment="1">
      <alignment horizontal="left" vertical="center" wrapText="1"/>
    </xf>
    <xf numFmtId="0" fontId="87" fillId="59" borderId="24" xfId="368" applyFont="1" applyFill="1" applyBorder="1" applyAlignment="1">
      <alignment horizontal="center" vertical="center"/>
    </xf>
    <xf numFmtId="0" fontId="99" fillId="62" borderId="24" xfId="687" applyFont="1" applyFill="1" applyBorder="1" applyAlignment="1">
      <alignment horizontal="center" vertical="center"/>
    </xf>
    <xf numFmtId="0" fontId="87" fillId="69" borderId="24" xfId="368" applyFont="1" applyFill="1" applyBorder="1" applyAlignment="1">
      <alignment horizontal="right" vertical="center" wrapText="1"/>
    </xf>
    <xf numFmtId="0" fontId="87" fillId="59" borderId="24" xfId="368" applyFont="1" applyFill="1" applyBorder="1" applyAlignment="1">
      <alignment horizontal="center" vertical="center" wrapText="1"/>
    </xf>
    <xf numFmtId="0" fontId="87" fillId="70" borderId="24" xfId="368" applyFont="1" applyFill="1" applyBorder="1" applyAlignment="1">
      <alignment horizontal="right" vertical="center" wrapText="1"/>
    </xf>
    <xf numFmtId="0" fontId="91" fillId="62" borderId="27" xfId="368" applyFont="1" applyFill="1" applyBorder="1" applyAlignment="1">
      <alignment horizontal="left" vertical="center" wrapText="1"/>
    </xf>
    <xf numFmtId="1" fontId="88" fillId="59" borderId="24" xfId="368" applyNumberFormat="1" applyFont="1" applyFill="1" applyBorder="1" applyAlignment="1">
      <alignment horizontal="left" vertical="center" wrapText="1"/>
    </xf>
    <xf numFmtId="0" fontId="90" fillId="0" borderId="0" xfId="0" applyFont="1" applyAlignment="1">
      <alignment horizontal="left" vertical="center"/>
    </xf>
    <xf numFmtId="0" fontId="99" fillId="62" borderId="25" xfId="687" applyFont="1" applyFill="1" applyBorder="1" applyAlignment="1">
      <alignment horizontal="center" vertical="center"/>
    </xf>
    <xf numFmtId="1" fontId="88" fillId="59" borderId="28" xfId="368" applyNumberFormat="1" applyFont="1" applyFill="1" applyBorder="1" applyAlignment="1">
      <alignment horizontal="left" vertical="center" wrapText="1"/>
    </xf>
    <xf numFmtId="1" fontId="88" fillId="59" borderId="30" xfId="368" applyNumberFormat="1" applyFont="1" applyFill="1" applyBorder="1" applyAlignment="1">
      <alignment horizontal="left" vertical="center" wrapText="1"/>
    </xf>
    <xf numFmtId="1" fontId="88" fillId="59" borderId="29" xfId="368" applyNumberFormat="1" applyFont="1" applyFill="1" applyBorder="1" applyAlignment="1">
      <alignment horizontal="left" vertical="center" wrapText="1"/>
    </xf>
    <xf numFmtId="0" fontId="97" fillId="62" borderId="24" xfId="4001" applyFont="1" applyFill="1" applyBorder="1" applyAlignment="1">
      <alignment horizontal="center" vertical="center"/>
    </xf>
    <xf numFmtId="0" fontId="99" fillId="62" borderId="25" xfId="4002" applyFont="1" applyFill="1" applyBorder="1" applyAlignment="1">
      <alignment horizontal="center" wrapText="1"/>
    </xf>
    <xf numFmtId="0" fontId="88" fillId="58" borderId="0" xfId="687" applyFont="1" applyFill="1" applyAlignment="1">
      <alignment horizontal="left" wrapText="1"/>
    </xf>
    <xf numFmtId="0" fontId="87" fillId="58" borderId="0" xfId="687" applyFont="1" applyFill="1" applyAlignment="1">
      <alignment horizontal="left" wrapText="1"/>
    </xf>
    <xf numFmtId="0" fontId="87" fillId="58" borderId="0" xfId="687" applyFont="1" applyFill="1" applyAlignment="1">
      <alignment horizontal="left"/>
    </xf>
    <xf numFmtId="0" fontId="87" fillId="0" borderId="0" xfId="4002" applyFont="1" applyAlignment="1">
      <alignment horizontal="left" wrapText="1"/>
    </xf>
    <xf numFmtId="0" fontId="97" fillId="62" borderId="25" xfId="4002" applyFont="1" applyFill="1" applyBorder="1" applyAlignment="1">
      <alignment horizontal="center" vertical="top" wrapText="1"/>
    </xf>
    <xf numFmtId="0" fontId="87" fillId="0" borderId="0" xfId="4002" applyFont="1" applyAlignment="1">
      <alignment horizontal="left" vertical="center" wrapText="1"/>
    </xf>
    <xf numFmtId="0" fontId="97" fillId="62" borderId="24" xfId="4002" applyFont="1" applyFill="1" applyBorder="1" applyAlignment="1">
      <alignment horizontal="center" vertical="top"/>
    </xf>
    <xf numFmtId="0" fontId="95" fillId="0" borderId="25" xfId="4002" applyFont="1" applyBorder="1" applyAlignment="1">
      <alignment horizontal="left" vertical="top" wrapText="1"/>
    </xf>
    <xf numFmtId="0" fontId="99" fillId="62" borderId="24" xfId="4008" applyFont="1" applyFill="1" applyBorder="1" applyAlignment="1">
      <alignment horizontal="center" vertical="center"/>
    </xf>
    <xf numFmtId="0" fontId="108" fillId="0" borderId="0" xfId="4008" applyFont="1" applyAlignment="1">
      <alignment horizontal="center" vertical="center"/>
    </xf>
    <xf numFmtId="0" fontId="99" fillId="62" borderId="25" xfId="4008" applyFont="1" applyFill="1" applyBorder="1" applyAlignment="1">
      <alignment horizontal="center" vertical="center"/>
    </xf>
    <xf numFmtId="178" fontId="100" fillId="0" borderId="24" xfId="4008" applyNumberFormat="1" applyFont="1" applyBorder="1" applyAlignment="1">
      <alignment horizontal="right" vertical="center"/>
    </xf>
    <xf numFmtId="0" fontId="99" fillId="62" borderId="24" xfId="4008" applyFont="1" applyFill="1" applyBorder="1" applyAlignment="1">
      <alignment horizontal="center"/>
    </xf>
    <xf numFmtId="0" fontId="99" fillId="62" borderId="25" xfId="4002" applyFont="1" applyFill="1" applyBorder="1" applyAlignment="1">
      <alignment horizontal="center" vertical="center" wrapText="1"/>
    </xf>
    <xf numFmtId="0" fontId="99" fillId="62" borderId="28" xfId="500" applyFont="1" applyFill="1" applyBorder="1" applyAlignment="1">
      <alignment horizontal="center" vertical="center"/>
    </xf>
    <xf numFmtId="0" fontId="99" fillId="62" borderId="30" xfId="500" applyFont="1" applyFill="1" applyBorder="1" applyAlignment="1">
      <alignment horizontal="center" vertical="center"/>
    </xf>
    <xf numFmtId="0" fontId="99" fillId="62" borderId="29" xfId="500" applyFont="1" applyFill="1" applyBorder="1" applyAlignment="1">
      <alignment horizontal="center" vertical="center"/>
    </xf>
    <xf numFmtId="0" fontId="95" fillId="58" borderId="0" xfId="687" applyFont="1" applyFill="1" applyAlignment="1">
      <alignment horizontal="left" vertical="center"/>
    </xf>
    <xf numFmtId="0" fontId="102" fillId="0" borderId="24" xfId="369" applyFont="1" applyBorder="1" applyAlignment="1">
      <alignment horizontal="center" vertical="center" wrapText="1"/>
    </xf>
    <xf numFmtId="0" fontId="103" fillId="62" borderId="24" xfId="490" applyFont="1" applyFill="1" applyBorder="1" applyAlignment="1">
      <alignment horizontal="center" vertical="center"/>
    </xf>
    <xf numFmtId="0" fontId="103" fillId="62" borderId="24" xfId="369" applyFont="1" applyFill="1" applyBorder="1" applyAlignment="1">
      <alignment horizontal="center" vertical="center"/>
    </xf>
    <xf numFmtId="0" fontId="103" fillId="62" borderId="24" xfId="369" applyFont="1" applyFill="1" applyBorder="1" applyAlignment="1">
      <alignment horizontal="center" vertical="center" wrapText="1"/>
    </xf>
    <xf numFmtId="0" fontId="102" fillId="0" borderId="26" xfId="401" applyFont="1" applyBorder="1" applyAlignment="1">
      <alignment horizontal="center" vertical="center" wrapText="1"/>
    </xf>
    <xf numFmtId="0" fontId="102" fillId="0" borderId="38" xfId="401" applyFont="1" applyBorder="1" applyAlignment="1">
      <alignment horizontal="center" vertical="center" wrapText="1"/>
    </xf>
    <xf numFmtId="0" fontId="102" fillId="0" borderId="27" xfId="401" applyFont="1" applyBorder="1" applyAlignment="1">
      <alignment horizontal="center" vertical="center" wrapText="1"/>
    </xf>
    <xf numFmtId="0" fontId="106" fillId="62" borderId="28" xfId="0" applyFont="1" applyFill="1" applyBorder="1" applyAlignment="1">
      <alignment horizontal="center" vertical="center"/>
    </xf>
    <xf numFmtId="0" fontId="106" fillId="62" borderId="30" xfId="0" applyFont="1" applyFill="1" applyBorder="1" applyAlignment="1">
      <alignment horizontal="center" vertical="center"/>
    </xf>
    <xf numFmtId="0" fontId="106" fillId="62" borderId="29" xfId="0" applyFont="1" applyFill="1" applyBorder="1" applyAlignment="1">
      <alignment horizontal="center" vertical="center"/>
    </xf>
    <xf numFmtId="0" fontId="97" fillId="62" borderId="35" xfId="4001" applyFont="1" applyFill="1" applyBorder="1" applyAlignment="1">
      <alignment horizontal="center" vertical="center"/>
    </xf>
    <xf numFmtId="0" fontId="97" fillId="62" borderId="0" xfId="4001" applyFont="1" applyFill="1" applyBorder="1" applyAlignment="1">
      <alignment horizontal="center" vertical="center"/>
    </xf>
  </cellXfs>
  <cellStyles count="4011">
    <cellStyle name="20% - Ênfase1 2" xfId="1"/>
    <cellStyle name="20% - Ênfase1 2 10" xfId="1404"/>
    <cellStyle name="20% - Ênfase1 2 2" xfId="2"/>
    <cellStyle name="20% - Ênfase1 2 2 2" xfId="1570"/>
    <cellStyle name="20% - Ênfase1 2 2 2 2" xfId="2247"/>
    <cellStyle name="20% - Ênfase1 2 2 2 2 2" xfId="3570"/>
    <cellStyle name="20% - Ênfase1 2 2 2 2 3" xfId="2982"/>
    <cellStyle name="20% - Ênfase1 2 2 2 3" xfId="2688"/>
    <cellStyle name="20% - Ênfase1 2 2 2 4" xfId="3276"/>
    <cellStyle name="20% - Ênfase1 2 2 2 5" xfId="2541"/>
    <cellStyle name="20% - Ênfase1 2 2 3" xfId="2100"/>
    <cellStyle name="20% - Ênfase1 2 2 3 2" xfId="3423"/>
    <cellStyle name="20% - Ênfase1 2 2 3 3" xfId="2835"/>
    <cellStyle name="20% - Ênfase1 2 2 4" xfId="2394"/>
    <cellStyle name="20% - Ênfase1 2 2 5" xfId="3129"/>
    <cellStyle name="20% - Ênfase1 2 2 6" xfId="3718"/>
    <cellStyle name="20% - Ênfase1 2 2 7" xfId="1405"/>
    <cellStyle name="20% - Ênfase1 2 3" xfId="3"/>
    <cellStyle name="20% - Ênfase1 2 3 2" xfId="1571"/>
    <cellStyle name="20% - Ênfase1 2 3 2 2" xfId="2248"/>
    <cellStyle name="20% - Ênfase1 2 3 2 2 2" xfId="3571"/>
    <cellStyle name="20% - Ênfase1 2 3 2 2 3" xfId="2983"/>
    <cellStyle name="20% - Ênfase1 2 3 2 3" xfId="2689"/>
    <cellStyle name="20% - Ênfase1 2 3 2 4" xfId="3277"/>
    <cellStyle name="20% - Ênfase1 2 3 2 5" xfId="2542"/>
    <cellStyle name="20% - Ênfase1 2 3 3" xfId="2101"/>
    <cellStyle name="20% - Ênfase1 2 3 3 2" xfId="3424"/>
    <cellStyle name="20% - Ênfase1 2 3 3 3" xfId="2836"/>
    <cellStyle name="20% - Ênfase1 2 3 4" xfId="2395"/>
    <cellStyle name="20% - Ênfase1 2 3 5" xfId="3130"/>
    <cellStyle name="20% - Ênfase1 2 3 6" xfId="3719"/>
    <cellStyle name="20% - Ênfase1 2 3 7" xfId="1406"/>
    <cellStyle name="20% - Ênfase1 2 4" xfId="1177"/>
    <cellStyle name="20% - Ênfase1 2 4 2" xfId="1572"/>
    <cellStyle name="20% - Ênfase1 2 4 2 2" xfId="2249"/>
    <cellStyle name="20% - Ênfase1 2 4 2 2 2" xfId="3572"/>
    <cellStyle name="20% - Ênfase1 2 4 2 2 3" xfId="2984"/>
    <cellStyle name="20% - Ênfase1 2 4 2 3" xfId="2690"/>
    <cellStyle name="20% - Ênfase1 2 4 2 4" xfId="3278"/>
    <cellStyle name="20% - Ênfase1 2 4 2 5" xfId="2543"/>
    <cellStyle name="20% - Ênfase1 2 4 3" xfId="2102"/>
    <cellStyle name="20% - Ênfase1 2 4 3 2" xfId="3425"/>
    <cellStyle name="20% - Ênfase1 2 4 3 3" xfId="2837"/>
    <cellStyle name="20% - Ênfase1 2 4 4" xfId="2396"/>
    <cellStyle name="20% - Ênfase1 2 4 5" xfId="3131"/>
    <cellStyle name="20% - Ênfase1 2 4 6" xfId="3720"/>
    <cellStyle name="20% - Ênfase1 2 4 7" xfId="1407"/>
    <cellStyle name="20% - Ênfase1 2 5" xfId="1569"/>
    <cellStyle name="20% - Ênfase1 2 5 2" xfId="2246"/>
    <cellStyle name="20% - Ênfase1 2 5 2 2" xfId="3569"/>
    <cellStyle name="20% - Ênfase1 2 5 2 3" xfId="2981"/>
    <cellStyle name="20% - Ênfase1 2 5 3" xfId="2687"/>
    <cellStyle name="20% - Ênfase1 2 5 4" xfId="3275"/>
    <cellStyle name="20% - Ênfase1 2 5 5" xfId="2540"/>
    <cellStyle name="20% - Ênfase1 2 6" xfId="2099"/>
    <cellStyle name="20% - Ênfase1 2 6 2" xfId="3422"/>
    <cellStyle name="20% - Ênfase1 2 6 3" xfId="2834"/>
    <cellStyle name="20% - Ênfase1 2 7" xfId="2393"/>
    <cellStyle name="20% - Ênfase1 2 8" xfId="3128"/>
    <cellStyle name="20% - Ênfase1 2 9" xfId="3721"/>
    <cellStyle name="20% - Ênfase1 3" xfId="1178"/>
    <cellStyle name="20% - Ênfase1 4" xfId="3722"/>
    <cellStyle name="20% - Ênfase2 2" xfId="4"/>
    <cellStyle name="20% - Ênfase2 2 10" xfId="1408"/>
    <cellStyle name="20% - Ênfase2 2 2" xfId="5"/>
    <cellStyle name="20% - Ênfase2 2 2 2" xfId="1574"/>
    <cellStyle name="20% - Ênfase2 2 2 2 2" xfId="2251"/>
    <cellStyle name="20% - Ênfase2 2 2 2 2 2" xfId="3574"/>
    <cellStyle name="20% - Ênfase2 2 2 2 2 3" xfId="2986"/>
    <cellStyle name="20% - Ênfase2 2 2 2 3" xfId="2692"/>
    <cellStyle name="20% - Ênfase2 2 2 2 4" xfId="3280"/>
    <cellStyle name="20% - Ênfase2 2 2 2 5" xfId="2545"/>
    <cellStyle name="20% - Ênfase2 2 2 3" xfId="2104"/>
    <cellStyle name="20% - Ênfase2 2 2 3 2" xfId="3427"/>
    <cellStyle name="20% - Ênfase2 2 2 3 3" xfId="2839"/>
    <cellStyle name="20% - Ênfase2 2 2 4" xfId="2398"/>
    <cellStyle name="20% - Ênfase2 2 2 5" xfId="3133"/>
    <cellStyle name="20% - Ênfase2 2 2 6" xfId="3723"/>
    <cellStyle name="20% - Ênfase2 2 2 7" xfId="1409"/>
    <cellStyle name="20% - Ênfase2 2 3" xfId="6"/>
    <cellStyle name="20% - Ênfase2 2 3 2" xfId="1575"/>
    <cellStyle name="20% - Ênfase2 2 3 2 2" xfId="2252"/>
    <cellStyle name="20% - Ênfase2 2 3 2 2 2" xfId="3575"/>
    <cellStyle name="20% - Ênfase2 2 3 2 2 3" xfId="2987"/>
    <cellStyle name="20% - Ênfase2 2 3 2 3" xfId="2693"/>
    <cellStyle name="20% - Ênfase2 2 3 2 4" xfId="3281"/>
    <cellStyle name="20% - Ênfase2 2 3 2 5" xfId="2546"/>
    <cellStyle name="20% - Ênfase2 2 3 3" xfId="2105"/>
    <cellStyle name="20% - Ênfase2 2 3 3 2" xfId="3428"/>
    <cellStyle name="20% - Ênfase2 2 3 3 3" xfId="2840"/>
    <cellStyle name="20% - Ênfase2 2 3 4" xfId="2399"/>
    <cellStyle name="20% - Ênfase2 2 3 5" xfId="3134"/>
    <cellStyle name="20% - Ênfase2 2 3 6" xfId="3724"/>
    <cellStyle name="20% - Ênfase2 2 3 7" xfId="1410"/>
    <cellStyle name="20% - Ênfase2 2 4" xfId="1179"/>
    <cellStyle name="20% - Ênfase2 2 4 2" xfId="1576"/>
    <cellStyle name="20% - Ênfase2 2 4 2 2" xfId="2253"/>
    <cellStyle name="20% - Ênfase2 2 4 2 2 2" xfId="3576"/>
    <cellStyle name="20% - Ênfase2 2 4 2 2 3" xfId="2988"/>
    <cellStyle name="20% - Ênfase2 2 4 2 3" xfId="2694"/>
    <cellStyle name="20% - Ênfase2 2 4 2 4" xfId="3282"/>
    <cellStyle name="20% - Ênfase2 2 4 2 5" xfId="2547"/>
    <cellStyle name="20% - Ênfase2 2 4 3" xfId="2106"/>
    <cellStyle name="20% - Ênfase2 2 4 3 2" xfId="3429"/>
    <cellStyle name="20% - Ênfase2 2 4 3 3" xfId="2841"/>
    <cellStyle name="20% - Ênfase2 2 4 4" xfId="2400"/>
    <cellStyle name="20% - Ênfase2 2 4 5" xfId="3135"/>
    <cellStyle name="20% - Ênfase2 2 4 6" xfId="3725"/>
    <cellStyle name="20% - Ênfase2 2 4 7" xfId="1411"/>
    <cellStyle name="20% - Ênfase2 2 5" xfId="1573"/>
    <cellStyle name="20% - Ênfase2 2 5 2" xfId="2250"/>
    <cellStyle name="20% - Ênfase2 2 5 2 2" xfId="3573"/>
    <cellStyle name="20% - Ênfase2 2 5 2 3" xfId="2985"/>
    <cellStyle name="20% - Ênfase2 2 5 3" xfId="2691"/>
    <cellStyle name="20% - Ênfase2 2 5 4" xfId="3279"/>
    <cellStyle name="20% - Ênfase2 2 5 5" xfId="2544"/>
    <cellStyle name="20% - Ênfase2 2 6" xfId="2103"/>
    <cellStyle name="20% - Ênfase2 2 6 2" xfId="3426"/>
    <cellStyle name="20% - Ênfase2 2 6 3" xfId="2838"/>
    <cellStyle name="20% - Ênfase2 2 7" xfId="2397"/>
    <cellStyle name="20% - Ênfase2 2 8" xfId="3132"/>
    <cellStyle name="20% - Ênfase2 2 9" xfId="3726"/>
    <cellStyle name="20% - Ênfase2 3" xfId="1180"/>
    <cellStyle name="20% - Ênfase2 4" xfId="3727"/>
    <cellStyle name="20% - Ênfase3 2" xfId="7"/>
    <cellStyle name="20% - Ênfase3 2 10" xfId="1412"/>
    <cellStyle name="20% - Ênfase3 2 2" xfId="8"/>
    <cellStyle name="20% - Ênfase3 2 2 2" xfId="1578"/>
    <cellStyle name="20% - Ênfase3 2 2 2 2" xfId="2255"/>
    <cellStyle name="20% - Ênfase3 2 2 2 2 2" xfId="3578"/>
    <cellStyle name="20% - Ênfase3 2 2 2 2 3" xfId="2990"/>
    <cellStyle name="20% - Ênfase3 2 2 2 3" xfId="2696"/>
    <cellStyle name="20% - Ênfase3 2 2 2 4" xfId="3284"/>
    <cellStyle name="20% - Ênfase3 2 2 2 5" xfId="2549"/>
    <cellStyle name="20% - Ênfase3 2 2 3" xfId="2108"/>
    <cellStyle name="20% - Ênfase3 2 2 3 2" xfId="3431"/>
    <cellStyle name="20% - Ênfase3 2 2 3 3" xfId="2843"/>
    <cellStyle name="20% - Ênfase3 2 2 4" xfId="2402"/>
    <cellStyle name="20% - Ênfase3 2 2 5" xfId="3137"/>
    <cellStyle name="20% - Ênfase3 2 2 6" xfId="3728"/>
    <cellStyle name="20% - Ênfase3 2 2 7" xfId="1413"/>
    <cellStyle name="20% - Ênfase3 2 3" xfId="9"/>
    <cellStyle name="20% - Ênfase3 2 3 2" xfId="1579"/>
    <cellStyle name="20% - Ênfase3 2 3 2 2" xfId="2256"/>
    <cellStyle name="20% - Ênfase3 2 3 2 2 2" xfId="3579"/>
    <cellStyle name="20% - Ênfase3 2 3 2 2 3" xfId="2991"/>
    <cellStyle name="20% - Ênfase3 2 3 2 3" xfId="2697"/>
    <cellStyle name="20% - Ênfase3 2 3 2 4" xfId="3285"/>
    <cellStyle name="20% - Ênfase3 2 3 2 5" xfId="2550"/>
    <cellStyle name="20% - Ênfase3 2 3 3" xfId="2109"/>
    <cellStyle name="20% - Ênfase3 2 3 3 2" xfId="3432"/>
    <cellStyle name="20% - Ênfase3 2 3 3 3" xfId="2844"/>
    <cellStyle name="20% - Ênfase3 2 3 4" xfId="2403"/>
    <cellStyle name="20% - Ênfase3 2 3 5" xfId="3138"/>
    <cellStyle name="20% - Ênfase3 2 3 6" xfId="3729"/>
    <cellStyle name="20% - Ênfase3 2 3 7" xfId="1414"/>
    <cellStyle name="20% - Ênfase3 2 4" xfId="1181"/>
    <cellStyle name="20% - Ênfase3 2 4 2" xfId="1580"/>
    <cellStyle name="20% - Ênfase3 2 4 2 2" xfId="2257"/>
    <cellStyle name="20% - Ênfase3 2 4 2 2 2" xfId="3580"/>
    <cellStyle name="20% - Ênfase3 2 4 2 2 3" xfId="2992"/>
    <cellStyle name="20% - Ênfase3 2 4 2 3" xfId="2698"/>
    <cellStyle name="20% - Ênfase3 2 4 2 4" xfId="3286"/>
    <cellStyle name="20% - Ênfase3 2 4 2 5" xfId="2551"/>
    <cellStyle name="20% - Ênfase3 2 4 3" xfId="2110"/>
    <cellStyle name="20% - Ênfase3 2 4 3 2" xfId="3433"/>
    <cellStyle name="20% - Ênfase3 2 4 3 3" xfId="2845"/>
    <cellStyle name="20% - Ênfase3 2 4 4" xfId="2404"/>
    <cellStyle name="20% - Ênfase3 2 4 5" xfId="3139"/>
    <cellStyle name="20% - Ênfase3 2 4 6" xfId="3730"/>
    <cellStyle name="20% - Ênfase3 2 4 7" xfId="1415"/>
    <cellStyle name="20% - Ênfase3 2 5" xfId="1577"/>
    <cellStyle name="20% - Ênfase3 2 5 2" xfId="2254"/>
    <cellStyle name="20% - Ênfase3 2 5 2 2" xfId="3577"/>
    <cellStyle name="20% - Ênfase3 2 5 2 3" xfId="2989"/>
    <cellStyle name="20% - Ênfase3 2 5 3" xfId="2695"/>
    <cellStyle name="20% - Ênfase3 2 5 4" xfId="3283"/>
    <cellStyle name="20% - Ênfase3 2 5 5" xfId="2548"/>
    <cellStyle name="20% - Ênfase3 2 6" xfId="2107"/>
    <cellStyle name="20% - Ênfase3 2 6 2" xfId="3430"/>
    <cellStyle name="20% - Ênfase3 2 6 3" xfId="2842"/>
    <cellStyle name="20% - Ênfase3 2 7" xfId="2401"/>
    <cellStyle name="20% - Ênfase3 2 8" xfId="3136"/>
    <cellStyle name="20% - Ênfase3 2 9" xfId="3731"/>
    <cellStyle name="20% - Ênfase3 3" xfId="1182"/>
    <cellStyle name="20% - Ênfase3 4" xfId="3732"/>
    <cellStyle name="20% - Ênfase4 2" xfId="10"/>
    <cellStyle name="20% - Ênfase4 2 10" xfId="1416"/>
    <cellStyle name="20% - Ênfase4 2 2" xfId="11"/>
    <cellStyle name="20% - Ênfase4 2 2 2" xfId="1582"/>
    <cellStyle name="20% - Ênfase4 2 2 2 2" xfId="2259"/>
    <cellStyle name="20% - Ênfase4 2 2 2 2 2" xfId="3582"/>
    <cellStyle name="20% - Ênfase4 2 2 2 2 3" xfId="2994"/>
    <cellStyle name="20% - Ênfase4 2 2 2 3" xfId="2700"/>
    <cellStyle name="20% - Ênfase4 2 2 2 4" xfId="3288"/>
    <cellStyle name="20% - Ênfase4 2 2 2 5" xfId="2553"/>
    <cellStyle name="20% - Ênfase4 2 2 3" xfId="2112"/>
    <cellStyle name="20% - Ênfase4 2 2 3 2" xfId="3435"/>
    <cellStyle name="20% - Ênfase4 2 2 3 3" xfId="2847"/>
    <cellStyle name="20% - Ênfase4 2 2 4" xfId="2406"/>
    <cellStyle name="20% - Ênfase4 2 2 5" xfId="3141"/>
    <cellStyle name="20% - Ênfase4 2 2 6" xfId="3733"/>
    <cellStyle name="20% - Ênfase4 2 2 7" xfId="1417"/>
    <cellStyle name="20% - Ênfase4 2 3" xfId="12"/>
    <cellStyle name="20% - Ênfase4 2 3 2" xfId="1583"/>
    <cellStyle name="20% - Ênfase4 2 3 2 2" xfId="2260"/>
    <cellStyle name="20% - Ênfase4 2 3 2 2 2" xfId="3583"/>
    <cellStyle name="20% - Ênfase4 2 3 2 2 3" xfId="2995"/>
    <cellStyle name="20% - Ênfase4 2 3 2 3" xfId="2701"/>
    <cellStyle name="20% - Ênfase4 2 3 2 4" xfId="3289"/>
    <cellStyle name="20% - Ênfase4 2 3 2 5" xfId="2554"/>
    <cellStyle name="20% - Ênfase4 2 3 3" xfId="2113"/>
    <cellStyle name="20% - Ênfase4 2 3 3 2" xfId="3436"/>
    <cellStyle name="20% - Ênfase4 2 3 3 3" xfId="2848"/>
    <cellStyle name="20% - Ênfase4 2 3 4" xfId="2407"/>
    <cellStyle name="20% - Ênfase4 2 3 5" xfId="3142"/>
    <cellStyle name="20% - Ênfase4 2 3 6" xfId="3734"/>
    <cellStyle name="20% - Ênfase4 2 3 7" xfId="1418"/>
    <cellStyle name="20% - Ênfase4 2 4" xfId="1183"/>
    <cellStyle name="20% - Ênfase4 2 4 2" xfId="1584"/>
    <cellStyle name="20% - Ênfase4 2 4 2 2" xfId="2261"/>
    <cellStyle name="20% - Ênfase4 2 4 2 2 2" xfId="3584"/>
    <cellStyle name="20% - Ênfase4 2 4 2 2 3" xfId="2996"/>
    <cellStyle name="20% - Ênfase4 2 4 2 3" xfId="2702"/>
    <cellStyle name="20% - Ênfase4 2 4 2 4" xfId="3290"/>
    <cellStyle name="20% - Ênfase4 2 4 2 5" xfId="2555"/>
    <cellStyle name="20% - Ênfase4 2 4 3" xfId="2114"/>
    <cellStyle name="20% - Ênfase4 2 4 3 2" xfId="3437"/>
    <cellStyle name="20% - Ênfase4 2 4 3 3" xfId="2849"/>
    <cellStyle name="20% - Ênfase4 2 4 4" xfId="2408"/>
    <cellStyle name="20% - Ênfase4 2 4 5" xfId="3143"/>
    <cellStyle name="20% - Ênfase4 2 4 6" xfId="3735"/>
    <cellStyle name="20% - Ênfase4 2 4 7" xfId="1419"/>
    <cellStyle name="20% - Ênfase4 2 5" xfId="1581"/>
    <cellStyle name="20% - Ênfase4 2 5 2" xfId="2258"/>
    <cellStyle name="20% - Ênfase4 2 5 2 2" xfId="3581"/>
    <cellStyle name="20% - Ênfase4 2 5 2 3" xfId="2993"/>
    <cellStyle name="20% - Ênfase4 2 5 3" xfId="2699"/>
    <cellStyle name="20% - Ênfase4 2 5 4" xfId="3287"/>
    <cellStyle name="20% - Ênfase4 2 5 5" xfId="2552"/>
    <cellStyle name="20% - Ênfase4 2 6" xfId="2111"/>
    <cellStyle name="20% - Ênfase4 2 6 2" xfId="3434"/>
    <cellStyle name="20% - Ênfase4 2 6 3" xfId="2846"/>
    <cellStyle name="20% - Ênfase4 2 7" xfId="2405"/>
    <cellStyle name="20% - Ênfase4 2 8" xfId="3140"/>
    <cellStyle name="20% - Ênfase4 2 9" xfId="3736"/>
    <cellStyle name="20% - Ênfase4 3" xfId="1184"/>
    <cellStyle name="20% - Ênfase4 4" xfId="3737"/>
    <cellStyle name="20% - Ênfase5 2" xfId="13"/>
    <cellStyle name="20% - Ênfase5 2 10" xfId="1420"/>
    <cellStyle name="20% - Ênfase5 2 2" xfId="14"/>
    <cellStyle name="20% - Ênfase5 2 2 2" xfId="1586"/>
    <cellStyle name="20% - Ênfase5 2 2 2 2" xfId="2263"/>
    <cellStyle name="20% - Ênfase5 2 2 2 2 2" xfId="3586"/>
    <cellStyle name="20% - Ênfase5 2 2 2 2 3" xfId="2998"/>
    <cellStyle name="20% - Ênfase5 2 2 2 3" xfId="2704"/>
    <cellStyle name="20% - Ênfase5 2 2 2 4" xfId="3292"/>
    <cellStyle name="20% - Ênfase5 2 2 2 5" xfId="2557"/>
    <cellStyle name="20% - Ênfase5 2 2 3" xfId="2116"/>
    <cellStyle name="20% - Ênfase5 2 2 3 2" xfId="3439"/>
    <cellStyle name="20% - Ênfase5 2 2 3 3" xfId="2851"/>
    <cellStyle name="20% - Ênfase5 2 2 4" xfId="2410"/>
    <cellStyle name="20% - Ênfase5 2 2 5" xfId="3145"/>
    <cellStyle name="20% - Ênfase5 2 2 6" xfId="3738"/>
    <cellStyle name="20% - Ênfase5 2 2 7" xfId="1421"/>
    <cellStyle name="20% - Ênfase5 2 3" xfId="15"/>
    <cellStyle name="20% - Ênfase5 2 3 2" xfId="1587"/>
    <cellStyle name="20% - Ênfase5 2 3 2 2" xfId="2264"/>
    <cellStyle name="20% - Ênfase5 2 3 2 2 2" xfId="3587"/>
    <cellStyle name="20% - Ênfase5 2 3 2 2 3" xfId="2999"/>
    <cellStyle name="20% - Ênfase5 2 3 2 3" xfId="2705"/>
    <cellStyle name="20% - Ênfase5 2 3 2 4" xfId="3293"/>
    <cellStyle name="20% - Ênfase5 2 3 2 5" xfId="2558"/>
    <cellStyle name="20% - Ênfase5 2 3 3" xfId="2117"/>
    <cellStyle name="20% - Ênfase5 2 3 3 2" xfId="3440"/>
    <cellStyle name="20% - Ênfase5 2 3 3 3" xfId="2852"/>
    <cellStyle name="20% - Ênfase5 2 3 4" xfId="2411"/>
    <cellStyle name="20% - Ênfase5 2 3 5" xfId="3146"/>
    <cellStyle name="20% - Ênfase5 2 3 6" xfId="3739"/>
    <cellStyle name="20% - Ênfase5 2 3 7" xfId="1422"/>
    <cellStyle name="20% - Ênfase5 2 4" xfId="1185"/>
    <cellStyle name="20% - Ênfase5 2 4 2" xfId="1588"/>
    <cellStyle name="20% - Ênfase5 2 4 2 2" xfId="2265"/>
    <cellStyle name="20% - Ênfase5 2 4 2 2 2" xfId="3588"/>
    <cellStyle name="20% - Ênfase5 2 4 2 2 3" xfId="3000"/>
    <cellStyle name="20% - Ênfase5 2 4 2 3" xfId="2706"/>
    <cellStyle name="20% - Ênfase5 2 4 2 4" xfId="3294"/>
    <cellStyle name="20% - Ênfase5 2 4 2 5" xfId="2559"/>
    <cellStyle name="20% - Ênfase5 2 4 3" xfId="2118"/>
    <cellStyle name="20% - Ênfase5 2 4 3 2" xfId="3441"/>
    <cellStyle name="20% - Ênfase5 2 4 3 3" xfId="2853"/>
    <cellStyle name="20% - Ênfase5 2 4 4" xfId="2412"/>
    <cellStyle name="20% - Ênfase5 2 4 5" xfId="3147"/>
    <cellStyle name="20% - Ênfase5 2 4 6" xfId="3740"/>
    <cellStyle name="20% - Ênfase5 2 4 7" xfId="1423"/>
    <cellStyle name="20% - Ênfase5 2 5" xfId="1585"/>
    <cellStyle name="20% - Ênfase5 2 5 2" xfId="2262"/>
    <cellStyle name="20% - Ênfase5 2 5 2 2" xfId="3585"/>
    <cellStyle name="20% - Ênfase5 2 5 2 3" xfId="2997"/>
    <cellStyle name="20% - Ênfase5 2 5 3" xfId="2703"/>
    <cellStyle name="20% - Ênfase5 2 5 4" xfId="3291"/>
    <cellStyle name="20% - Ênfase5 2 5 5" xfId="2556"/>
    <cellStyle name="20% - Ênfase5 2 6" xfId="2115"/>
    <cellStyle name="20% - Ênfase5 2 6 2" xfId="3438"/>
    <cellStyle name="20% - Ênfase5 2 6 3" xfId="2850"/>
    <cellStyle name="20% - Ênfase5 2 7" xfId="2409"/>
    <cellStyle name="20% - Ênfase5 2 8" xfId="3144"/>
    <cellStyle name="20% - Ênfase5 2 9" xfId="3741"/>
    <cellStyle name="20% - Ênfase5 3" xfId="1186"/>
    <cellStyle name="20% - Ênfase5 4" xfId="3742"/>
    <cellStyle name="20% - Ênfase6 2" xfId="16"/>
    <cellStyle name="20% - Ênfase6 2 10" xfId="1424"/>
    <cellStyle name="20% - Ênfase6 2 2" xfId="17"/>
    <cellStyle name="20% - Ênfase6 2 2 2" xfId="1590"/>
    <cellStyle name="20% - Ênfase6 2 2 2 2" xfId="2267"/>
    <cellStyle name="20% - Ênfase6 2 2 2 2 2" xfId="3590"/>
    <cellStyle name="20% - Ênfase6 2 2 2 2 3" xfId="3002"/>
    <cellStyle name="20% - Ênfase6 2 2 2 3" xfId="2708"/>
    <cellStyle name="20% - Ênfase6 2 2 2 4" xfId="3296"/>
    <cellStyle name="20% - Ênfase6 2 2 2 5" xfId="2561"/>
    <cellStyle name="20% - Ênfase6 2 2 3" xfId="2120"/>
    <cellStyle name="20% - Ênfase6 2 2 3 2" xfId="3443"/>
    <cellStyle name="20% - Ênfase6 2 2 3 3" xfId="2855"/>
    <cellStyle name="20% - Ênfase6 2 2 4" xfId="2414"/>
    <cellStyle name="20% - Ênfase6 2 2 5" xfId="3149"/>
    <cellStyle name="20% - Ênfase6 2 2 6" xfId="3743"/>
    <cellStyle name="20% - Ênfase6 2 2 7" xfId="1425"/>
    <cellStyle name="20% - Ênfase6 2 3" xfId="18"/>
    <cellStyle name="20% - Ênfase6 2 3 2" xfId="1591"/>
    <cellStyle name="20% - Ênfase6 2 3 2 2" xfId="2268"/>
    <cellStyle name="20% - Ênfase6 2 3 2 2 2" xfId="3591"/>
    <cellStyle name="20% - Ênfase6 2 3 2 2 3" xfId="3003"/>
    <cellStyle name="20% - Ênfase6 2 3 2 3" xfId="2709"/>
    <cellStyle name="20% - Ênfase6 2 3 2 4" xfId="3297"/>
    <cellStyle name="20% - Ênfase6 2 3 2 5" xfId="2562"/>
    <cellStyle name="20% - Ênfase6 2 3 3" xfId="2121"/>
    <cellStyle name="20% - Ênfase6 2 3 3 2" xfId="3444"/>
    <cellStyle name="20% - Ênfase6 2 3 3 3" xfId="2856"/>
    <cellStyle name="20% - Ênfase6 2 3 4" xfId="2415"/>
    <cellStyle name="20% - Ênfase6 2 3 5" xfId="3150"/>
    <cellStyle name="20% - Ênfase6 2 3 6" xfId="3744"/>
    <cellStyle name="20% - Ênfase6 2 3 7" xfId="1426"/>
    <cellStyle name="20% - Ênfase6 2 4" xfId="1187"/>
    <cellStyle name="20% - Ênfase6 2 4 2" xfId="1592"/>
    <cellStyle name="20% - Ênfase6 2 4 2 2" xfId="2269"/>
    <cellStyle name="20% - Ênfase6 2 4 2 2 2" xfId="3592"/>
    <cellStyle name="20% - Ênfase6 2 4 2 2 3" xfId="3004"/>
    <cellStyle name="20% - Ênfase6 2 4 2 3" xfId="2710"/>
    <cellStyle name="20% - Ênfase6 2 4 2 4" xfId="3298"/>
    <cellStyle name="20% - Ênfase6 2 4 2 5" xfId="2563"/>
    <cellStyle name="20% - Ênfase6 2 4 3" xfId="2122"/>
    <cellStyle name="20% - Ênfase6 2 4 3 2" xfId="3445"/>
    <cellStyle name="20% - Ênfase6 2 4 3 3" xfId="2857"/>
    <cellStyle name="20% - Ênfase6 2 4 4" xfId="2416"/>
    <cellStyle name="20% - Ênfase6 2 4 5" xfId="3151"/>
    <cellStyle name="20% - Ênfase6 2 4 6" xfId="3745"/>
    <cellStyle name="20% - Ênfase6 2 4 7" xfId="1427"/>
    <cellStyle name="20% - Ênfase6 2 5" xfId="1589"/>
    <cellStyle name="20% - Ênfase6 2 5 2" xfId="2266"/>
    <cellStyle name="20% - Ênfase6 2 5 2 2" xfId="3589"/>
    <cellStyle name="20% - Ênfase6 2 5 2 3" xfId="3001"/>
    <cellStyle name="20% - Ênfase6 2 5 3" xfId="2707"/>
    <cellStyle name="20% - Ênfase6 2 5 4" xfId="3295"/>
    <cellStyle name="20% - Ênfase6 2 5 5" xfId="2560"/>
    <cellStyle name="20% - Ênfase6 2 6" xfId="2119"/>
    <cellStyle name="20% - Ênfase6 2 6 2" xfId="3442"/>
    <cellStyle name="20% - Ênfase6 2 6 3" xfId="2854"/>
    <cellStyle name="20% - Ênfase6 2 7" xfId="2413"/>
    <cellStyle name="20% - Ênfase6 2 8" xfId="3148"/>
    <cellStyle name="20% - Ênfase6 2 9" xfId="3746"/>
    <cellStyle name="20% - Ênfase6 3" xfId="1188"/>
    <cellStyle name="20% - Ênfase6 4" xfId="3747"/>
    <cellStyle name="40% - Ênfase1 2" xfId="19"/>
    <cellStyle name="40% - Ênfase1 2 10" xfId="1428"/>
    <cellStyle name="40% - Ênfase1 2 2" xfId="20"/>
    <cellStyle name="40% - Ênfase1 2 2 2" xfId="1594"/>
    <cellStyle name="40% - Ênfase1 2 2 2 2" xfId="2271"/>
    <cellStyle name="40% - Ênfase1 2 2 2 2 2" xfId="3594"/>
    <cellStyle name="40% - Ênfase1 2 2 2 2 3" xfId="3006"/>
    <cellStyle name="40% - Ênfase1 2 2 2 3" xfId="2712"/>
    <cellStyle name="40% - Ênfase1 2 2 2 4" xfId="3300"/>
    <cellStyle name="40% - Ênfase1 2 2 2 5" xfId="2565"/>
    <cellStyle name="40% - Ênfase1 2 2 3" xfId="2124"/>
    <cellStyle name="40% - Ênfase1 2 2 3 2" xfId="3447"/>
    <cellStyle name="40% - Ênfase1 2 2 3 3" xfId="2859"/>
    <cellStyle name="40% - Ênfase1 2 2 4" xfId="2418"/>
    <cellStyle name="40% - Ênfase1 2 2 5" xfId="3153"/>
    <cellStyle name="40% - Ênfase1 2 2 6" xfId="3748"/>
    <cellStyle name="40% - Ênfase1 2 2 7" xfId="1429"/>
    <cellStyle name="40% - Ênfase1 2 3" xfId="21"/>
    <cellStyle name="40% - Ênfase1 2 3 2" xfId="1595"/>
    <cellStyle name="40% - Ênfase1 2 3 2 2" xfId="2272"/>
    <cellStyle name="40% - Ênfase1 2 3 2 2 2" xfId="3595"/>
    <cellStyle name="40% - Ênfase1 2 3 2 2 3" xfId="3007"/>
    <cellStyle name="40% - Ênfase1 2 3 2 3" xfId="2713"/>
    <cellStyle name="40% - Ênfase1 2 3 2 4" xfId="3301"/>
    <cellStyle name="40% - Ênfase1 2 3 2 5" xfId="2566"/>
    <cellStyle name="40% - Ênfase1 2 3 3" xfId="2125"/>
    <cellStyle name="40% - Ênfase1 2 3 3 2" xfId="3448"/>
    <cellStyle name="40% - Ênfase1 2 3 3 3" xfId="2860"/>
    <cellStyle name="40% - Ênfase1 2 3 4" xfId="2419"/>
    <cellStyle name="40% - Ênfase1 2 3 5" xfId="3154"/>
    <cellStyle name="40% - Ênfase1 2 3 6" xfId="3749"/>
    <cellStyle name="40% - Ênfase1 2 3 7" xfId="1430"/>
    <cellStyle name="40% - Ênfase1 2 4" xfId="1189"/>
    <cellStyle name="40% - Ênfase1 2 4 2" xfId="1596"/>
    <cellStyle name="40% - Ênfase1 2 4 2 2" xfId="2273"/>
    <cellStyle name="40% - Ênfase1 2 4 2 2 2" xfId="3596"/>
    <cellStyle name="40% - Ênfase1 2 4 2 2 3" xfId="3008"/>
    <cellStyle name="40% - Ênfase1 2 4 2 3" xfId="2714"/>
    <cellStyle name="40% - Ênfase1 2 4 2 4" xfId="3302"/>
    <cellStyle name="40% - Ênfase1 2 4 2 5" xfId="2567"/>
    <cellStyle name="40% - Ênfase1 2 4 3" xfId="2126"/>
    <cellStyle name="40% - Ênfase1 2 4 3 2" xfId="3449"/>
    <cellStyle name="40% - Ênfase1 2 4 3 3" xfId="2861"/>
    <cellStyle name="40% - Ênfase1 2 4 4" xfId="2420"/>
    <cellStyle name="40% - Ênfase1 2 4 5" xfId="3155"/>
    <cellStyle name="40% - Ênfase1 2 4 6" xfId="3750"/>
    <cellStyle name="40% - Ênfase1 2 4 7" xfId="1431"/>
    <cellStyle name="40% - Ênfase1 2 5" xfId="1593"/>
    <cellStyle name="40% - Ênfase1 2 5 2" xfId="2270"/>
    <cellStyle name="40% - Ênfase1 2 5 2 2" xfId="3593"/>
    <cellStyle name="40% - Ênfase1 2 5 2 3" xfId="3005"/>
    <cellStyle name="40% - Ênfase1 2 5 3" xfId="2711"/>
    <cellStyle name="40% - Ênfase1 2 5 4" xfId="3299"/>
    <cellStyle name="40% - Ênfase1 2 5 5" xfId="2564"/>
    <cellStyle name="40% - Ênfase1 2 6" xfId="2123"/>
    <cellStyle name="40% - Ênfase1 2 6 2" xfId="3446"/>
    <cellStyle name="40% - Ênfase1 2 6 3" xfId="2858"/>
    <cellStyle name="40% - Ênfase1 2 7" xfId="2417"/>
    <cellStyle name="40% - Ênfase1 2 8" xfId="3152"/>
    <cellStyle name="40% - Ênfase1 2 9" xfId="3751"/>
    <cellStyle name="40% - Ênfase1 3" xfId="1190"/>
    <cellStyle name="40% - Ênfase1 4" xfId="3752"/>
    <cellStyle name="40% - Ênfase2 2" xfId="22"/>
    <cellStyle name="40% - Ênfase2 2 10" xfId="1432"/>
    <cellStyle name="40% - Ênfase2 2 2" xfId="23"/>
    <cellStyle name="40% - Ênfase2 2 2 2" xfId="1598"/>
    <cellStyle name="40% - Ênfase2 2 2 2 2" xfId="2275"/>
    <cellStyle name="40% - Ênfase2 2 2 2 2 2" xfId="3598"/>
    <cellStyle name="40% - Ênfase2 2 2 2 2 3" xfId="3010"/>
    <cellStyle name="40% - Ênfase2 2 2 2 3" xfId="2716"/>
    <cellStyle name="40% - Ênfase2 2 2 2 4" xfId="3304"/>
    <cellStyle name="40% - Ênfase2 2 2 2 5" xfId="2569"/>
    <cellStyle name="40% - Ênfase2 2 2 3" xfId="2128"/>
    <cellStyle name="40% - Ênfase2 2 2 3 2" xfId="3451"/>
    <cellStyle name="40% - Ênfase2 2 2 3 3" xfId="2863"/>
    <cellStyle name="40% - Ênfase2 2 2 4" xfId="2422"/>
    <cellStyle name="40% - Ênfase2 2 2 5" xfId="3157"/>
    <cellStyle name="40% - Ênfase2 2 2 6" xfId="3753"/>
    <cellStyle name="40% - Ênfase2 2 2 7" xfId="1433"/>
    <cellStyle name="40% - Ênfase2 2 3" xfId="24"/>
    <cellStyle name="40% - Ênfase2 2 3 2" xfId="1599"/>
    <cellStyle name="40% - Ênfase2 2 3 2 2" xfId="2276"/>
    <cellStyle name="40% - Ênfase2 2 3 2 2 2" xfId="3599"/>
    <cellStyle name="40% - Ênfase2 2 3 2 2 3" xfId="3011"/>
    <cellStyle name="40% - Ênfase2 2 3 2 3" xfId="2717"/>
    <cellStyle name="40% - Ênfase2 2 3 2 4" xfId="3305"/>
    <cellStyle name="40% - Ênfase2 2 3 2 5" xfId="2570"/>
    <cellStyle name="40% - Ênfase2 2 3 3" xfId="2129"/>
    <cellStyle name="40% - Ênfase2 2 3 3 2" xfId="3452"/>
    <cellStyle name="40% - Ênfase2 2 3 3 3" xfId="2864"/>
    <cellStyle name="40% - Ênfase2 2 3 4" xfId="2423"/>
    <cellStyle name="40% - Ênfase2 2 3 5" xfId="3158"/>
    <cellStyle name="40% - Ênfase2 2 3 6" xfId="3754"/>
    <cellStyle name="40% - Ênfase2 2 3 7" xfId="1434"/>
    <cellStyle name="40% - Ênfase2 2 4" xfId="1191"/>
    <cellStyle name="40% - Ênfase2 2 4 2" xfId="1600"/>
    <cellStyle name="40% - Ênfase2 2 4 2 2" xfId="2277"/>
    <cellStyle name="40% - Ênfase2 2 4 2 2 2" xfId="3600"/>
    <cellStyle name="40% - Ênfase2 2 4 2 2 3" xfId="3012"/>
    <cellStyle name="40% - Ênfase2 2 4 2 3" xfId="2718"/>
    <cellStyle name="40% - Ênfase2 2 4 2 4" xfId="3306"/>
    <cellStyle name="40% - Ênfase2 2 4 2 5" xfId="2571"/>
    <cellStyle name="40% - Ênfase2 2 4 3" xfId="2130"/>
    <cellStyle name="40% - Ênfase2 2 4 3 2" xfId="3453"/>
    <cellStyle name="40% - Ênfase2 2 4 3 3" xfId="2865"/>
    <cellStyle name="40% - Ênfase2 2 4 4" xfId="2424"/>
    <cellStyle name="40% - Ênfase2 2 4 5" xfId="3159"/>
    <cellStyle name="40% - Ênfase2 2 4 6" xfId="3755"/>
    <cellStyle name="40% - Ênfase2 2 4 7" xfId="1435"/>
    <cellStyle name="40% - Ênfase2 2 5" xfId="1597"/>
    <cellStyle name="40% - Ênfase2 2 5 2" xfId="2274"/>
    <cellStyle name="40% - Ênfase2 2 5 2 2" xfId="3597"/>
    <cellStyle name="40% - Ênfase2 2 5 2 3" xfId="3009"/>
    <cellStyle name="40% - Ênfase2 2 5 3" xfId="2715"/>
    <cellStyle name="40% - Ênfase2 2 5 4" xfId="3303"/>
    <cellStyle name="40% - Ênfase2 2 5 5" xfId="2568"/>
    <cellStyle name="40% - Ênfase2 2 6" xfId="2127"/>
    <cellStyle name="40% - Ênfase2 2 6 2" xfId="3450"/>
    <cellStyle name="40% - Ênfase2 2 6 3" xfId="2862"/>
    <cellStyle name="40% - Ênfase2 2 7" xfId="2421"/>
    <cellStyle name="40% - Ênfase2 2 8" xfId="3156"/>
    <cellStyle name="40% - Ênfase2 2 9" xfId="3756"/>
    <cellStyle name="40% - Ênfase2 3" xfId="1192"/>
    <cellStyle name="40% - Ênfase2 4" xfId="3757"/>
    <cellStyle name="40% - Ênfase3 2" xfId="25"/>
    <cellStyle name="40% - Ênfase3 2 10" xfId="1436"/>
    <cellStyle name="40% - Ênfase3 2 2" xfId="26"/>
    <cellStyle name="40% - Ênfase3 2 2 2" xfId="1602"/>
    <cellStyle name="40% - Ênfase3 2 2 2 2" xfId="2279"/>
    <cellStyle name="40% - Ênfase3 2 2 2 2 2" xfId="3602"/>
    <cellStyle name="40% - Ênfase3 2 2 2 2 3" xfId="3014"/>
    <cellStyle name="40% - Ênfase3 2 2 2 3" xfId="2720"/>
    <cellStyle name="40% - Ênfase3 2 2 2 4" xfId="3308"/>
    <cellStyle name="40% - Ênfase3 2 2 2 5" xfId="2573"/>
    <cellStyle name="40% - Ênfase3 2 2 3" xfId="2132"/>
    <cellStyle name="40% - Ênfase3 2 2 3 2" xfId="3455"/>
    <cellStyle name="40% - Ênfase3 2 2 3 3" xfId="2867"/>
    <cellStyle name="40% - Ênfase3 2 2 4" xfId="2426"/>
    <cellStyle name="40% - Ênfase3 2 2 5" xfId="3161"/>
    <cellStyle name="40% - Ênfase3 2 2 6" xfId="3758"/>
    <cellStyle name="40% - Ênfase3 2 2 7" xfId="1437"/>
    <cellStyle name="40% - Ênfase3 2 3" xfId="27"/>
    <cellStyle name="40% - Ênfase3 2 3 2" xfId="1603"/>
    <cellStyle name="40% - Ênfase3 2 3 2 2" xfId="2280"/>
    <cellStyle name="40% - Ênfase3 2 3 2 2 2" xfId="3603"/>
    <cellStyle name="40% - Ênfase3 2 3 2 2 3" xfId="3015"/>
    <cellStyle name="40% - Ênfase3 2 3 2 3" xfId="2721"/>
    <cellStyle name="40% - Ênfase3 2 3 2 4" xfId="3309"/>
    <cellStyle name="40% - Ênfase3 2 3 2 5" xfId="2574"/>
    <cellStyle name="40% - Ênfase3 2 3 3" xfId="2133"/>
    <cellStyle name="40% - Ênfase3 2 3 3 2" xfId="3456"/>
    <cellStyle name="40% - Ênfase3 2 3 3 3" xfId="2868"/>
    <cellStyle name="40% - Ênfase3 2 3 4" xfId="2427"/>
    <cellStyle name="40% - Ênfase3 2 3 5" xfId="3162"/>
    <cellStyle name="40% - Ênfase3 2 3 6" xfId="3759"/>
    <cellStyle name="40% - Ênfase3 2 3 7" xfId="1438"/>
    <cellStyle name="40% - Ênfase3 2 4" xfId="1193"/>
    <cellStyle name="40% - Ênfase3 2 4 2" xfId="1604"/>
    <cellStyle name="40% - Ênfase3 2 4 2 2" xfId="2281"/>
    <cellStyle name="40% - Ênfase3 2 4 2 2 2" xfId="3604"/>
    <cellStyle name="40% - Ênfase3 2 4 2 2 3" xfId="3016"/>
    <cellStyle name="40% - Ênfase3 2 4 2 3" xfId="2722"/>
    <cellStyle name="40% - Ênfase3 2 4 2 4" xfId="3310"/>
    <cellStyle name="40% - Ênfase3 2 4 2 5" xfId="2575"/>
    <cellStyle name="40% - Ênfase3 2 4 3" xfId="2134"/>
    <cellStyle name="40% - Ênfase3 2 4 3 2" xfId="3457"/>
    <cellStyle name="40% - Ênfase3 2 4 3 3" xfId="2869"/>
    <cellStyle name="40% - Ênfase3 2 4 4" xfId="2428"/>
    <cellStyle name="40% - Ênfase3 2 4 5" xfId="3163"/>
    <cellStyle name="40% - Ênfase3 2 4 6" xfId="3760"/>
    <cellStyle name="40% - Ênfase3 2 4 7" xfId="1439"/>
    <cellStyle name="40% - Ênfase3 2 5" xfId="1601"/>
    <cellStyle name="40% - Ênfase3 2 5 2" xfId="2278"/>
    <cellStyle name="40% - Ênfase3 2 5 2 2" xfId="3601"/>
    <cellStyle name="40% - Ênfase3 2 5 2 3" xfId="3013"/>
    <cellStyle name="40% - Ênfase3 2 5 3" xfId="2719"/>
    <cellStyle name="40% - Ênfase3 2 5 4" xfId="3307"/>
    <cellStyle name="40% - Ênfase3 2 5 5" xfId="2572"/>
    <cellStyle name="40% - Ênfase3 2 6" xfId="2131"/>
    <cellStyle name="40% - Ênfase3 2 6 2" xfId="3454"/>
    <cellStyle name="40% - Ênfase3 2 6 3" xfId="2866"/>
    <cellStyle name="40% - Ênfase3 2 7" xfId="2425"/>
    <cellStyle name="40% - Ênfase3 2 8" xfId="3160"/>
    <cellStyle name="40% - Ênfase3 2 9" xfId="3761"/>
    <cellStyle name="40% - Ênfase3 3" xfId="1194"/>
    <cellStyle name="40% - Ênfase3 4" xfId="3762"/>
    <cellStyle name="40% - Ênfase4 2" xfId="28"/>
    <cellStyle name="40% - Ênfase4 2 10" xfId="1440"/>
    <cellStyle name="40% - Ênfase4 2 2" xfId="29"/>
    <cellStyle name="40% - Ênfase4 2 2 2" xfId="1606"/>
    <cellStyle name="40% - Ênfase4 2 2 2 2" xfId="2283"/>
    <cellStyle name="40% - Ênfase4 2 2 2 2 2" xfId="3606"/>
    <cellStyle name="40% - Ênfase4 2 2 2 2 3" xfId="3018"/>
    <cellStyle name="40% - Ênfase4 2 2 2 3" xfId="2724"/>
    <cellStyle name="40% - Ênfase4 2 2 2 4" xfId="3312"/>
    <cellStyle name="40% - Ênfase4 2 2 2 5" xfId="2577"/>
    <cellStyle name="40% - Ênfase4 2 2 3" xfId="2136"/>
    <cellStyle name="40% - Ênfase4 2 2 3 2" xfId="3459"/>
    <cellStyle name="40% - Ênfase4 2 2 3 3" xfId="2871"/>
    <cellStyle name="40% - Ênfase4 2 2 4" xfId="2430"/>
    <cellStyle name="40% - Ênfase4 2 2 5" xfId="3165"/>
    <cellStyle name="40% - Ênfase4 2 2 6" xfId="3763"/>
    <cellStyle name="40% - Ênfase4 2 2 7" xfId="1441"/>
    <cellStyle name="40% - Ênfase4 2 3" xfId="30"/>
    <cellStyle name="40% - Ênfase4 2 3 2" xfId="1607"/>
    <cellStyle name="40% - Ênfase4 2 3 2 2" xfId="2284"/>
    <cellStyle name="40% - Ênfase4 2 3 2 2 2" xfId="3607"/>
    <cellStyle name="40% - Ênfase4 2 3 2 2 3" xfId="3019"/>
    <cellStyle name="40% - Ênfase4 2 3 2 3" xfId="2725"/>
    <cellStyle name="40% - Ênfase4 2 3 2 4" xfId="3313"/>
    <cellStyle name="40% - Ênfase4 2 3 2 5" xfId="2578"/>
    <cellStyle name="40% - Ênfase4 2 3 3" xfId="2137"/>
    <cellStyle name="40% - Ênfase4 2 3 3 2" xfId="3460"/>
    <cellStyle name="40% - Ênfase4 2 3 3 3" xfId="2872"/>
    <cellStyle name="40% - Ênfase4 2 3 4" xfId="2431"/>
    <cellStyle name="40% - Ênfase4 2 3 5" xfId="3166"/>
    <cellStyle name="40% - Ênfase4 2 3 6" xfId="3764"/>
    <cellStyle name="40% - Ênfase4 2 3 7" xfId="1442"/>
    <cellStyle name="40% - Ênfase4 2 4" xfId="1195"/>
    <cellStyle name="40% - Ênfase4 2 4 2" xfId="1608"/>
    <cellStyle name="40% - Ênfase4 2 4 2 2" xfId="2285"/>
    <cellStyle name="40% - Ênfase4 2 4 2 2 2" xfId="3608"/>
    <cellStyle name="40% - Ênfase4 2 4 2 2 3" xfId="3020"/>
    <cellStyle name="40% - Ênfase4 2 4 2 3" xfId="2726"/>
    <cellStyle name="40% - Ênfase4 2 4 2 4" xfId="3314"/>
    <cellStyle name="40% - Ênfase4 2 4 2 5" xfId="2579"/>
    <cellStyle name="40% - Ênfase4 2 4 3" xfId="2138"/>
    <cellStyle name="40% - Ênfase4 2 4 3 2" xfId="3461"/>
    <cellStyle name="40% - Ênfase4 2 4 3 3" xfId="2873"/>
    <cellStyle name="40% - Ênfase4 2 4 4" xfId="2432"/>
    <cellStyle name="40% - Ênfase4 2 4 5" xfId="3167"/>
    <cellStyle name="40% - Ênfase4 2 4 6" xfId="3765"/>
    <cellStyle name="40% - Ênfase4 2 4 7" xfId="1443"/>
    <cellStyle name="40% - Ênfase4 2 5" xfId="1605"/>
    <cellStyle name="40% - Ênfase4 2 5 2" xfId="2282"/>
    <cellStyle name="40% - Ênfase4 2 5 2 2" xfId="3605"/>
    <cellStyle name="40% - Ênfase4 2 5 2 3" xfId="3017"/>
    <cellStyle name="40% - Ênfase4 2 5 3" xfId="2723"/>
    <cellStyle name="40% - Ênfase4 2 5 4" xfId="3311"/>
    <cellStyle name="40% - Ênfase4 2 5 5" xfId="2576"/>
    <cellStyle name="40% - Ênfase4 2 6" xfId="2135"/>
    <cellStyle name="40% - Ênfase4 2 6 2" xfId="3458"/>
    <cellStyle name="40% - Ênfase4 2 6 3" xfId="2870"/>
    <cellStyle name="40% - Ênfase4 2 7" xfId="2429"/>
    <cellStyle name="40% - Ênfase4 2 8" xfId="3164"/>
    <cellStyle name="40% - Ênfase4 2 9" xfId="3766"/>
    <cellStyle name="40% - Ênfase4 3" xfId="1196"/>
    <cellStyle name="40% - Ênfase4 4" xfId="3767"/>
    <cellStyle name="40% - Ênfase5 2" xfId="31"/>
    <cellStyle name="40% - Ênfase5 2 10" xfId="1444"/>
    <cellStyle name="40% - Ênfase5 2 2" xfId="32"/>
    <cellStyle name="40% - Ênfase5 2 2 2" xfId="1610"/>
    <cellStyle name="40% - Ênfase5 2 2 2 2" xfId="2287"/>
    <cellStyle name="40% - Ênfase5 2 2 2 2 2" xfId="3610"/>
    <cellStyle name="40% - Ênfase5 2 2 2 2 3" xfId="3022"/>
    <cellStyle name="40% - Ênfase5 2 2 2 3" xfId="2728"/>
    <cellStyle name="40% - Ênfase5 2 2 2 4" xfId="3316"/>
    <cellStyle name="40% - Ênfase5 2 2 2 5" xfId="2581"/>
    <cellStyle name="40% - Ênfase5 2 2 3" xfId="2140"/>
    <cellStyle name="40% - Ênfase5 2 2 3 2" xfId="3463"/>
    <cellStyle name="40% - Ênfase5 2 2 3 3" xfId="2875"/>
    <cellStyle name="40% - Ênfase5 2 2 4" xfId="2434"/>
    <cellStyle name="40% - Ênfase5 2 2 5" xfId="3169"/>
    <cellStyle name="40% - Ênfase5 2 2 6" xfId="3768"/>
    <cellStyle name="40% - Ênfase5 2 2 7" xfId="1445"/>
    <cellStyle name="40% - Ênfase5 2 3" xfId="33"/>
    <cellStyle name="40% - Ênfase5 2 3 2" xfId="1611"/>
    <cellStyle name="40% - Ênfase5 2 3 2 2" xfId="2288"/>
    <cellStyle name="40% - Ênfase5 2 3 2 2 2" xfId="3611"/>
    <cellStyle name="40% - Ênfase5 2 3 2 2 3" xfId="3023"/>
    <cellStyle name="40% - Ênfase5 2 3 2 3" xfId="2729"/>
    <cellStyle name="40% - Ênfase5 2 3 2 4" xfId="3317"/>
    <cellStyle name="40% - Ênfase5 2 3 2 5" xfId="2582"/>
    <cellStyle name="40% - Ênfase5 2 3 3" xfId="2141"/>
    <cellStyle name="40% - Ênfase5 2 3 3 2" xfId="3464"/>
    <cellStyle name="40% - Ênfase5 2 3 3 3" xfId="2876"/>
    <cellStyle name="40% - Ênfase5 2 3 4" xfId="2435"/>
    <cellStyle name="40% - Ênfase5 2 3 5" xfId="3170"/>
    <cellStyle name="40% - Ênfase5 2 3 6" xfId="3769"/>
    <cellStyle name="40% - Ênfase5 2 3 7" xfId="1446"/>
    <cellStyle name="40% - Ênfase5 2 4" xfId="1197"/>
    <cellStyle name="40% - Ênfase5 2 4 2" xfId="1612"/>
    <cellStyle name="40% - Ênfase5 2 4 2 2" xfId="2289"/>
    <cellStyle name="40% - Ênfase5 2 4 2 2 2" xfId="3612"/>
    <cellStyle name="40% - Ênfase5 2 4 2 2 3" xfId="3024"/>
    <cellStyle name="40% - Ênfase5 2 4 2 3" xfId="2730"/>
    <cellStyle name="40% - Ênfase5 2 4 2 4" xfId="3318"/>
    <cellStyle name="40% - Ênfase5 2 4 2 5" xfId="2583"/>
    <cellStyle name="40% - Ênfase5 2 4 3" xfId="2142"/>
    <cellStyle name="40% - Ênfase5 2 4 3 2" xfId="3465"/>
    <cellStyle name="40% - Ênfase5 2 4 3 3" xfId="2877"/>
    <cellStyle name="40% - Ênfase5 2 4 4" xfId="2436"/>
    <cellStyle name="40% - Ênfase5 2 4 5" xfId="3171"/>
    <cellStyle name="40% - Ênfase5 2 4 6" xfId="3770"/>
    <cellStyle name="40% - Ênfase5 2 4 7" xfId="1447"/>
    <cellStyle name="40% - Ênfase5 2 5" xfId="1609"/>
    <cellStyle name="40% - Ênfase5 2 5 2" xfId="2286"/>
    <cellStyle name="40% - Ênfase5 2 5 2 2" xfId="3609"/>
    <cellStyle name="40% - Ênfase5 2 5 2 3" xfId="3021"/>
    <cellStyle name="40% - Ênfase5 2 5 3" xfId="2727"/>
    <cellStyle name="40% - Ênfase5 2 5 4" xfId="3315"/>
    <cellStyle name="40% - Ênfase5 2 5 5" xfId="2580"/>
    <cellStyle name="40% - Ênfase5 2 6" xfId="2139"/>
    <cellStyle name="40% - Ênfase5 2 6 2" xfId="3462"/>
    <cellStyle name="40% - Ênfase5 2 6 3" xfId="2874"/>
    <cellStyle name="40% - Ênfase5 2 7" xfId="2433"/>
    <cellStyle name="40% - Ênfase5 2 8" xfId="3168"/>
    <cellStyle name="40% - Ênfase5 2 9" xfId="3771"/>
    <cellStyle name="40% - Ênfase5 3" xfId="1198"/>
    <cellStyle name="40% - Ênfase5 4" xfId="3772"/>
    <cellStyle name="40% - Ênfase6 2" xfId="34"/>
    <cellStyle name="40% - Ênfase6 2 10" xfId="1448"/>
    <cellStyle name="40% - Ênfase6 2 2" xfId="35"/>
    <cellStyle name="40% - Ênfase6 2 2 2" xfId="1614"/>
    <cellStyle name="40% - Ênfase6 2 2 2 2" xfId="2291"/>
    <cellStyle name="40% - Ênfase6 2 2 2 2 2" xfId="3614"/>
    <cellStyle name="40% - Ênfase6 2 2 2 2 3" xfId="3026"/>
    <cellStyle name="40% - Ênfase6 2 2 2 3" xfId="2732"/>
    <cellStyle name="40% - Ênfase6 2 2 2 4" xfId="3320"/>
    <cellStyle name="40% - Ênfase6 2 2 2 5" xfId="2585"/>
    <cellStyle name="40% - Ênfase6 2 2 3" xfId="2144"/>
    <cellStyle name="40% - Ênfase6 2 2 3 2" xfId="3467"/>
    <cellStyle name="40% - Ênfase6 2 2 3 3" xfId="2879"/>
    <cellStyle name="40% - Ênfase6 2 2 4" xfId="2438"/>
    <cellStyle name="40% - Ênfase6 2 2 5" xfId="3173"/>
    <cellStyle name="40% - Ênfase6 2 2 6" xfId="3773"/>
    <cellStyle name="40% - Ênfase6 2 2 7" xfId="1449"/>
    <cellStyle name="40% - Ênfase6 2 3" xfId="36"/>
    <cellStyle name="40% - Ênfase6 2 3 2" xfId="1615"/>
    <cellStyle name="40% - Ênfase6 2 3 2 2" xfId="2292"/>
    <cellStyle name="40% - Ênfase6 2 3 2 2 2" xfId="3615"/>
    <cellStyle name="40% - Ênfase6 2 3 2 2 3" xfId="3027"/>
    <cellStyle name="40% - Ênfase6 2 3 2 3" xfId="2733"/>
    <cellStyle name="40% - Ênfase6 2 3 2 4" xfId="3321"/>
    <cellStyle name="40% - Ênfase6 2 3 2 5" xfId="2586"/>
    <cellStyle name="40% - Ênfase6 2 3 3" xfId="2145"/>
    <cellStyle name="40% - Ênfase6 2 3 3 2" xfId="3468"/>
    <cellStyle name="40% - Ênfase6 2 3 3 3" xfId="2880"/>
    <cellStyle name="40% - Ênfase6 2 3 4" xfId="2439"/>
    <cellStyle name="40% - Ênfase6 2 3 5" xfId="3174"/>
    <cellStyle name="40% - Ênfase6 2 3 6" xfId="3774"/>
    <cellStyle name="40% - Ênfase6 2 3 7" xfId="1450"/>
    <cellStyle name="40% - Ênfase6 2 4" xfId="1199"/>
    <cellStyle name="40% - Ênfase6 2 4 2" xfId="1616"/>
    <cellStyle name="40% - Ênfase6 2 4 2 2" xfId="2293"/>
    <cellStyle name="40% - Ênfase6 2 4 2 2 2" xfId="3616"/>
    <cellStyle name="40% - Ênfase6 2 4 2 2 3" xfId="3028"/>
    <cellStyle name="40% - Ênfase6 2 4 2 3" xfId="2734"/>
    <cellStyle name="40% - Ênfase6 2 4 2 4" xfId="3322"/>
    <cellStyle name="40% - Ênfase6 2 4 2 5" xfId="2587"/>
    <cellStyle name="40% - Ênfase6 2 4 3" xfId="2146"/>
    <cellStyle name="40% - Ênfase6 2 4 3 2" xfId="3469"/>
    <cellStyle name="40% - Ênfase6 2 4 3 3" xfId="2881"/>
    <cellStyle name="40% - Ênfase6 2 4 4" xfId="2440"/>
    <cellStyle name="40% - Ênfase6 2 4 5" xfId="3175"/>
    <cellStyle name="40% - Ênfase6 2 4 6" xfId="3775"/>
    <cellStyle name="40% - Ênfase6 2 4 7" xfId="1451"/>
    <cellStyle name="40% - Ênfase6 2 5" xfId="1613"/>
    <cellStyle name="40% - Ênfase6 2 5 2" xfId="2290"/>
    <cellStyle name="40% - Ênfase6 2 5 2 2" xfId="3613"/>
    <cellStyle name="40% - Ênfase6 2 5 2 3" xfId="3025"/>
    <cellStyle name="40% - Ênfase6 2 5 3" xfId="2731"/>
    <cellStyle name="40% - Ênfase6 2 5 4" xfId="3319"/>
    <cellStyle name="40% - Ênfase6 2 5 5" xfId="2584"/>
    <cellStyle name="40% - Ênfase6 2 6" xfId="2143"/>
    <cellStyle name="40% - Ênfase6 2 6 2" xfId="3466"/>
    <cellStyle name="40% - Ênfase6 2 6 3" xfId="2878"/>
    <cellStyle name="40% - Ênfase6 2 7" xfId="2437"/>
    <cellStyle name="40% - Ênfase6 2 8" xfId="3172"/>
    <cellStyle name="40% - Ênfase6 2 9" xfId="3776"/>
    <cellStyle name="40% - Ênfase6 3" xfId="1200"/>
    <cellStyle name="40% - Ênfase6 4" xfId="3777"/>
    <cellStyle name="60% - Ênfase1 2" xfId="37"/>
    <cellStyle name="60% - Ênfase1 2 2" xfId="38"/>
    <cellStyle name="60% - Ênfase1 2 3" xfId="39"/>
    <cellStyle name="60% - Ênfase1 3" xfId="1201"/>
    <cellStyle name="60% - Ênfase1 4" xfId="3778"/>
    <cellStyle name="60% - Ênfase2 2" xfId="40"/>
    <cellStyle name="60% - Ênfase2 2 2" xfId="41"/>
    <cellStyle name="60% - Ênfase2 2 3" xfId="42"/>
    <cellStyle name="60% - Ênfase2 3" xfId="1202"/>
    <cellStyle name="60% - Ênfase2 4" xfId="3779"/>
    <cellStyle name="60% - Ênfase3 2" xfId="43"/>
    <cellStyle name="60% - Ênfase3 2 2" xfId="44"/>
    <cellStyle name="60% - Ênfase3 2 3" xfId="45"/>
    <cellStyle name="60% - Ênfase3 3" xfId="1203"/>
    <cellStyle name="60% - Ênfase3 4" xfId="3780"/>
    <cellStyle name="60% - Ênfase4 2" xfId="46"/>
    <cellStyle name="60% - Ênfase4 2 2" xfId="47"/>
    <cellStyle name="60% - Ênfase4 2 3" xfId="48"/>
    <cellStyle name="60% - Ênfase4 3" xfId="1204"/>
    <cellStyle name="60% - Ênfase4 4" xfId="3781"/>
    <cellStyle name="60% - Ênfase5 2" xfId="49"/>
    <cellStyle name="60% - Ênfase5 2 2" xfId="50"/>
    <cellStyle name="60% - Ênfase5 2 3" xfId="51"/>
    <cellStyle name="60% - Ênfase5 3" xfId="1205"/>
    <cellStyle name="60% - Ênfase5 4" xfId="3782"/>
    <cellStyle name="60% - Ênfase6 2" xfId="52"/>
    <cellStyle name="60% - Ênfase6 2 2" xfId="53"/>
    <cellStyle name="60% - Ênfase6 2 3" xfId="54"/>
    <cellStyle name="60% - Ênfase6 3" xfId="1206"/>
    <cellStyle name="60% - Ênfase6 4" xfId="3783"/>
    <cellStyle name="Bom 2" xfId="55"/>
    <cellStyle name="Bom 2 2" xfId="56"/>
    <cellStyle name="Bom 2 3" xfId="57"/>
    <cellStyle name="Bom 3" xfId="1207"/>
    <cellStyle name="Bom 4" xfId="3784"/>
    <cellStyle name="Cálculo 2" xfId="58"/>
    <cellStyle name="Cálculo 2 2" xfId="59"/>
    <cellStyle name="Cálculo 2 3" xfId="60"/>
    <cellStyle name="Cálculo 2 4" xfId="61"/>
    <cellStyle name="Cálculo 3" xfId="1208"/>
    <cellStyle name="Cálculo 4" xfId="3785"/>
    <cellStyle name="Célula de Verificação 2" xfId="62"/>
    <cellStyle name="Célula de Verificação 2 2" xfId="63"/>
    <cellStyle name="Célula de Verificação 2 3" xfId="64"/>
    <cellStyle name="Célula de Verificação 3" xfId="1209"/>
    <cellStyle name="Célula de Verificação 4" xfId="3786"/>
    <cellStyle name="Célula Vinculada 2" xfId="65"/>
    <cellStyle name="Célula Vinculada 2 2" xfId="66"/>
    <cellStyle name="Célula Vinculada 2 3" xfId="67"/>
    <cellStyle name="Célula Vinculada 3" xfId="1210"/>
    <cellStyle name="Célula Vinculada 4" xfId="3787"/>
    <cellStyle name="Comma [0]" xfId="68"/>
    <cellStyle name="Comma [0] 10" xfId="69"/>
    <cellStyle name="Comma [0] 11" xfId="70"/>
    <cellStyle name="Comma [0] 12" xfId="71"/>
    <cellStyle name="Comma [0] 13" xfId="72"/>
    <cellStyle name="Comma [0] 14" xfId="73"/>
    <cellStyle name="Comma [0] 15" xfId="74"/>
    <cellStyle name="Comma [0] 16" xfId="75"/>
    <cellStyle name="Comma [0] 17" xfId="76"/>
    <cellStyle name="Comma [0] 18" xfId="77"/>
    <cellStyle name="Comma [0] 19" xfId="78"/>
    <cellStyle name="Comma [0] 2" xfId="79"/>
    <cellStyle name="Comma [0] 20" xfId="80"/>
    <cellStyle name="Comma [0] 21" xfId="81"/>
    <cellStyle name="Comma [0] 22" xfId="82"/>
    <cellStyle name="Comma [0] 23" xfId="83"/>
    <cellStyle name="Comma [0] 24" xfId="84"/>
    <cellStyle name="Comma [0] 25" xfId="85"/>
    <cellStyle name="Comma [0] 26" xfId="86"/>
    <cellStyle name="Comma [0] 27" xfId="87"/>
    <cellStyle name="Comma [0] 28" xfId="88"/>
    <cellStyle name="Comma [0] 29" xfId="89"/>
    <cellStyle name="Comma [0] 3" xfId="90"/>
    <cellStyle name="Comma [0] 30" xfId="91"/>
    <cellStyle name="Comma [0] 31" xfId="92"/>
    <cellStyle name="Comma [0] 32" xfId="93"/>
    <cellStyle name="Comma [0] 33" xfId="94"/>
    <cellStyle name="Comma [0] 34" xfId="95"/>
    <cellStyle name="Comma [0] 35" xfId="96"/>
    <cellStyle name="Comma [0] 36" xfId="97"/>
    <cellStyle name="Comma [0] 37" xfId="98"/>
    <cellStyle name="Comma [0] 38" xfId="99"/>
    <cellStyle name="Comma [0] 39" xfId="100"/>
    <cellStyle name="Comma [0] 4" xfId="101"/>
    <cellStyle name="Comma [0] 40" xfId="102"/>
    <cellStyle name="Comma [0] 41" xfId="103"/>
    <cellStyle name="Comma [0] 42" xfId="104"/>
    <cellStyle name="Comma [0] 43" xfId="105"/>
    <cellStyle name="Comma [0] 44" xfId="106"/>
    <cellStyle name="Comma [0] 45" xfId="107"/>
    <cellStyle name="Comma [0] 46" xfId="108"/>
    <cellStyle name="Comma [0] 47" xfId="109"/>
    <cellStyle name="Comma [0] 48" xfId="110"/>
    <cellStyle name="Comma [0] 49" xfId="111"/>
    <cellStyle name="Comma [0] 5" xfId="112"/>
    <cellStyle name="Comma [0] 50" xfId="113"/>
    <cellStyle name="Comma [0] 51" xfId="114"/>
    <cellStyle name="Comma [0] 52" xfId="115"/>
    <cellStyle name="Comma [0] 53" xfId="116"/>
    <cellStyle name="Comma [0] 54" xfId="117"/>
    <cellStyle name="Comma [0] 55" xfId="118"/>
    <cellStyle name="Comma [0] 56" xfId="119"/>
    <cellStyle name="Comma [0] 57" xfId="120"/>
    <cellStyle name="Comma [0] 58" xfId="121"/>
    <cellStyle name="Comma [0] 59" xfId="122"/>
    <cellStyle name="Comma [0] 6" xfId="123"/>
    <cellStyle name="Comma [0] 60" xfId="124"/>
    <cellStyle name="Comma [0] 61" xfId="125"/>
    <cellStyle name="Comma [0] 62" xfId="126"/>
    <cellStyle name="Comma [0] 63" xfId="127"/>
    <cellStyle name="Comma [0] 64" xfId="128"/>
    <cellStyle name="Comma [0] 65" xfId="129"/>
    <cellStyle name="Comma [0] 66" xfId="130"/>
    <cellStyle name="Comma [0] 67" xfId="131"/>
    <cellStyle name="Comma [0] 68" xfId="132"/>
    <cellStyle name="Comma [0] 69" xfId="133"/>
    <cellStyle name="Comma [0] 7" xfId="134"/>
    <cellStyle name="Comma [0] 70" xfId="135"/>
    <cellStyle name="Comma [0] 71" xfId="136"/>
    <cellStyle name="Comma [0] 72" xfId="137"/>
    <cellStyle name="Comma [0] 73" xfId="138"/>
    <cellStyle name="Comma [0] 74" xfId="139"/>
    <cellStyle name="Comma [0] 75" xfId="140"/>
    <cellStyle name="Comma [0] 76" xfId="141"/>
    <cellStyle name="Comma [0] 77" xfId="142"/>
    <cellStyle name="Comma [0] 78" xfId="143"/>
    <cellStyle name="Comma [0] 79" xfId="144"/>
    <cellStyle name="Comma [0] 8" xfId="145"/>
    <cellStyle name="Comma [0] 80" xfId="146"/>
    <cellStyle name="Comma [0] 81" xfId="147"/>
    <cellStyle name="Comma [0] 82" xfId="148"/>
    <cellStyle name="Comma [0] 83" xfId="149"/>
    <cellStyle name="Comma [0] 84" xfId="150"/>
    <cellStyle name="Comma [0] 85" xfId="151"/>
    <cellStyle name="Comma [0] 86" xfId="152"/>
    <cellStyle name="Comma [0] 87" xfId="153"/>
    <cellStyle name="Comma [0] 88" xfId="154"/>
    <cellStyle name="Comma [0] 89" xfId="155"/>
    <cellStyle name="Comma [0] 9" xfId="156"/>
    <cellStyle name="Comma [0] 90" xfId="157"/>
    <cellStyle name="Comma [0] 91" xfId="158"/>
    <cellStyle name="Comma 10" xfId="159"/>
    <cellStyle name="Comma 11" xfId="160"/>
    <cellStyle name="Comma 12" xfId="161"/>
    <cellStyle name="Comma 13" xfId="162"/>
    <cellStyle name="Comma 14" xfId="163"/>
    <cellStyle name="Comma 2" xfId="164"/>
    <cellStyle name="Comma 3" xfId="165"/>
    <cellStyle name="Comma 4" xfId="166"/>
    <cellStyle name="Comma 5" xfId="167"/>
    <cellStyle name="Comma 6" xfId="168"/>
    <cellStyle name="Comma 7" xfId="169"/>
    <cellStyle name="Comma 8" xfId="170"/>
    <cellStyle name="Comma 9" xfId="171"/>
    <cellStyle name="Currency [0]" xfId="172"/>
    <cellStyle name="Currency [0] 10" xfId="173"/>
    <cellStyle name="Currency [0] 11" xfId="174"/>
    <cellStyle name="Currency [0] 12" xfId="175"/>
    <cellStyle name="Currency [0] 13" xfId="176"/>
    <cellStyle name="Currency [0] 14" xfId="177"/>
    <cellStyle name="Currency [0] 15" xfId="178"/>
    <cellStyle name="Currency [0] 16" xfId="179"/>
    <cellStyle name="Currency [0] 17" xfId="180"/>
    <cellStyle name="Currency [0] 18" xfId="181"/>
    <cellStyle name="Currency [0] 19" xfId="182"/>
    <cellStyle name="Currency [0] 2" xfId="183"/>
    <cellStyle name="Currency [0] 20" xfId="184"/>
    <cellStyle name="Currency [0] 21" xfId="185"/>
    <cellStyle name="Currency [0] 22" xfId="186"/>
    <cellStyle name="Currency [0] 23" xfId="187"/>
    <cellStyle name="Currency [0] 24" xfId="188"/>
    <cellStyle name="Currency [0] 25" xfId="189"/>
    <cellStyle name="Currency [0] 26" xfId="190"/>
    <cellStyle name="Currency [0] 27" xfId="191"/>
    <cellStyle name="Currency [0] 28" xfId="192"/>
    <cellStyle name="Currency [0] 29" xfId="193"/>
    <cellStyle name="Currency [0] 3" xfId="194"/>
    <cellStyle name="Currency [0] 30" xfId="195"/>
    <cellStyle name="Currency [0] 31" xfId="196"/>
    <cellStyle name="Currency [0] 32" xfId="197"/>
    <cellStyle name="Currency [0] 33" xfId="198"/>
    <cellStyle name="Currency [0] 34" xfId="199"/>
    <cellStyle name="Currency [0] 35" xfId="200"/>
    <cellStyle name="Currency [0] 36" xfId="201"/>
    <cellStyle name="Currency [0] 37" xfId="202"/>
    <cellStyle name="Currency [0] 38" xfId="203"/>
    <cellStyle name="Currency [0] 39" xfId="204"/>
    <cellStyle name="Currency [0] 4" xfId="205"/>
    <cellStyle name="Currency [0] 40" xfId="206"/>
    <cellStyle name="Currency [0] 41" xfId="207"/>
    <cellStyle name="Currency [0] 42" xfId="208"/>
    <cellStyle name="Currency [0] 43" xfId="209"/>
    <cellStyle name="Currency [0] 44" xfId="210"/>
    <cellStyle name="Currency [0] 45" xfId="211"/>
    <cellStyle name="Currency [0] 46" xfId="212"/>
    <cellStyle name="Currency [0] 47" xfId="213"/>
    <cellStyle name="Currency [0] 48" xfId="214"/>
    <cellStyle name="Currency [0] 49" xfId="215"/>
    <cellStyle name="Currency [0] 5" xfId="216"/>
    <cellStyle name="Currency [0] 50" xfId="217"/>
    <cellStyle name="Currency [0] 51" xfId="218"/>
    <cellStyle name="Currency [0] 52" xfId="219"/>
    <cellStyle name="Currency [0] 53" xfId="220"/>
    <cellStyle name="Currency [0] 54" xfId="221"/>
    <cellStyle name="Currency [0] 55" xfId="222"/>
    <cellStyle name="Currency [0] 56" xfId="223"/>
    <cellStyle name="Currency [0] 57" xfId="224"/>
    <cellStyle name="Currency [0] 58" xfId="225"/>
    <cellStyle name="Currency [0] 59" xfId="226"/>
    <cellStyle name="Currency [0] 6" xfId="227"/>
    <cellStyle name="Currency [0] 60" xfId="228"/>
    <cellStyle name="Currency [0] 61" xfId="229"/>
    <cellStyle name="Currency [0] 62" xfId="230"/>
    <cellStyle name="Currency [0] 63" xfId="231"/>
    <cellStyle name="Currency [0] 64" xfId="232"/>
    <cellStyle name="Currency [0] 65" xfId="233"/>
    <cellStyle name="Currency [0] 66" xfId="234"/>
    <cellStyle name="Currency [0] 67" xfId="235"/>
    <cellStyle name="Currency [0] 68" xfId="236"/>
    <cellStyle name="Currency [0] 69" xfId="237"/>
    <cellStyle name="Currency [0] 7" xfId="238"/>
    <cellStyle name="Currency [0] 70" xfId="239"/>
    <cellStyle name="Currency [0] 71" xfId="240"/>
    <cellStyle name="Currency [0] 72" xfId="241"/>
    <cellStyle name="Currency [0] 73" xfId="242"/>
    <cellStyle name="Currency [0] 74" xfId="243"/>
    <cellStyle name="Currency [0] 75" xfId="244"/>
    <cellStyle name="Currency [0] 76" xfId="245"/>
    <cellStyle name="Currency [0] 77" xfId="246"/>
    <cellStyle name="Currency [0] 78" xfId="247"/>
    <cellStyle name="Currency [0] 79" xfId="248"/>
    <cellStyle name="Currency [0] 8" xfId="249"/>
    <cellStyle name="Currency [0] 80" xfId="250"/>
    <cellStyle name="Currency [0] 81" xfId="251"/>
    <cellStyle name="Currency [0] 82" xfId="252"/>
    <cellStyle name="Currency [0] 83" xfId="253"/>
    <cellStyle name="Currency [0] 84" xfId="254"/>
    <cellStyle name="Currency [0] 85" xfId="255"/>
    <cellStyle name="Currency [0] 86" xfId="256"/>
    <cellStyle name="Currency [0] 87" xfId="257"/>
    <cellStyle name="Currency [0] 88" xfId="258"/>
    <cellStyle name="Currency [0] 89" xfId="259"/>
    <cellStyle name="Currency [0] 9" xfId="260"/>
    <cellStyle name="Currency [0] 90" xfId="261"/>
    <cellStyle name="Currency [0] 91" xfId="262"/>
    <cellStyle name="Data" xfId="263"/>
    <cellStyle name="Ênfase1 2" xfId="264"/>
    <cellStyle name="Ênfase1 2 2" xfId="265"/>
    <cellStyle name="Ênfase1 2 3" xfId="266"/>
    <cellStyle name="Ênfase1 3" xfId="1211"/>
    <cellStyle name="Ênfase1 4" xfId="3788"/>
    <cellStyle name="Ênfase2 2" xfId="267"/>
    <cellStyle name="Ênfase2 2 2" xfId="268"/>
    <cellStyle name="Ênfase2 2 3" xfId="269"/>
    <cellStyle name="Ênfase2 3" xfId="1212"/>
    <cellStyle name="Ênfase2 4" xfId="3789"/>
    <cellStyle name="Ênfase3 2" xfId="270"/>
    <cellStyle name="Ênfase3 2 2" xfId="271"/>
    <cellStyle name="Ênfase3 2 3" xfId="272"/>
    <cellStyle name="Ênfase3 3" xfId="1213"/>
    <cellStyle name="Ênfase3 4" xfId="3790"/>
    <cellStyle name="Ênfase4 2" xfId="273"/>
    <cellStyle name="Ênfase4 2 2" xfId="274"/>
    <cellStyle name="Ênfase4 2 3" xfId="275"/>
    <cellStyle name="Ênfase4 3" xfId="1214"/>
    <cellStyle name="Ênfase4 4" xfId="3791"/>
    <cellStyle name="Ênfase5 2" xfId="276"/>
    <cellStyle name="Ênfase5 2 2" xfId="277"/>
    <cellStyle name="Ênfase5 2 3" xfId="278"/>
    <cellStyle name="Ênfase5 3" xfId="1215"/>
    <cellStyle name="Ênfase5 4" xfId="3792"/>
    <cellStyle name="Ênfase6 2" xfId="279"/>
    <cellStyle name="Ênfase6 2 2" xfId="280"/>
    <cellStyle name="Ênfase6 2 3" xfId="281"/>
    <cellStyle name="Ênfase6 3" xfId="1216"/>
    <cellStyle name="Ênfase6 4" xfId="3793"/>
    <cellStyle name="Entrada 2" xfId="282"/>
    <cellStyle name="Entrada 2 2" xfId="283"/>
    <cellStyle name="Entrada 2 3" xfId="284"/>
    <cellStyle name="Entrada 2 4" xfId="285"/>
    <cellStyle name="Entrada 3" xfId="1217"/>
    <cellStyle name="Entrada 4" xfId="3794"/>
    <cellStyle name="Euro" xfId="286"/>
    <cellStyle name="Euro 10" xfId="287"/>
    <cellStyle name="Euro 10 2" xfId="288"/>
    <cellStyle name="Euro 10 2 2" xfId="289"/>
    <cellStyle name="Euro 10 2 2 2" xfId="1619"/>
    <cellStyle name="Euro 10 2 3" xfId="1218"/>
    <cellStyle name="Euro 10 2 3 2" xfId="1620"/>
    <cellStyle name="Euro 10 2 4" xfId="1618"/>
    <cellStyle name="Euro 10 3" xfId="290"/>
    <cellStyle name="Euro 10 3 2" xfId="1621"/>
    <cellStyle name="Euro 10 4" xfId="1219"/>
    <cellStyle name="Euro 10 4 2" xfId="1622"/>
    <cellStyle name="Euro 10 5" xfId="1617"/>
    <cellStyle name="Euro 11" xfId="1220"/>
    <cellStyle name="Euro 11 2" xfId="1623"/>
    <cellStyle name="Euro 12" xfId="1221"/>
    <cellStyle name="Euro 12 2" xfId="3795"/>
    <cellStyle name="Euro 12 3" xfId="3796"/>
    <cellStyle name="Euro 13" xfId="3797"/>
    <cellStyle name="Euro 13 2" xfId="3798"/>
    <cellStyle name="Euro 13 3" xfId="3799"/>
    <cellStyle name="Euro 14" xfId="3800"/>
    <cellStyle name="Euro 15" xfId="3801"/>
    <cellStyle name="Euro 2" xfId="291"/>
    <cellStyle name="Euro 2 2" xfId="292"/>
    <cellStyle name="Euro 2 2 2" xfId="1625"/>
    <cellStyle name="Euro 2 3" xfId="1222"/>
    <cellStyle name="Euro 2 3 2" xfId="1626"/>
    <cellStyle name="Euro 2 4" xfId="1624"/>
    <cellStyle name="Euro 3" xfId="293"/>
    <cellStyle name="Euro 3 2" xfId="294"/>
    <cellStyle name="Euro 3 2 2" xfId="1628"/>
    <cellStyle name="Euro 3 3" xfId="1223"/>
    <cellStyle name="Euro 3 3 2" xfId="1629"/>
    <cellStyle name="Euro 3 4" xfId="1627"/>
    <cellStyle name="Euro 4" xfId="295"/>
    <cellStyle name="Euro 4 2" xfId="296"/>
    <cellStyle name="Euro 4 2 2" xfId="1631"/>
    <cellStyle name="Euro 4 3" xfId="1224"/>
    <cellStyle name="Euro 4 3 2" xfId="1632"/>
    <cellStyle name="Euro 4 4" xfId="1630"/>
    <cellStyle name="Euro 5" xfId="297"/>
    <cellStyle name="Euro 5 2" xfId="298"/>
    <cellStyle name="Euro 5 2 2" xfId="1634"/>
    <cellStyle name="Euro 5 3" xfId="1225"/>
    <cellStyle name="Euro 5 3 2" xfId="1635"/>
    <cellStyle name="Euro 5 4" xfId="1633"/>
    <cellStyle name="Euro 6" xfId="299"/>
    <cellStyle name="Euro 6 2" xfId="300"/>
    <cellStyle name="Euro 6 2 2" xfId="1637"/>
    <cellStyle name="Euro 6 3" xfId="1226"/>
    <cellStyle name="Euro 6 3 2" xfId="1638"/>
    <cellStyle name="Euro 6 4" xfId="1636"/>
    <cellStyle name="Euro 7" xfId="301"/>
    <cellStyle name="Euro 7 2" xfId="302"/>
    <cellStyle name="Euro 7 2 2" xfId="1640"/>
    <cellStyle name="Euro 7 3" xfId="1227"/>
    <cellStyle name="Euro 7 3 2" xfId="1641"/>
    <cellStyle name="Euro 7 4" xfId="1639"/>
    <cellStyle name="Euro 8" xfId="303"/>
    <cellStyle name="Euro 8 2" xfId="304"/>
    <cellStyle name="Euro 8 2 2" xfId="1643"/>
    <cellStyle name="Euro 8 3" xfId="1228"/>
    <cellStyle name="Euro 8 3 2" xfId="1644"/>
    <cellStyle name="Euro 8 4" xfId="1642"/>
    <cellStyle name="Euro 9" xfId="305"/>
    <cellStyle name="Euro 9 2" xfId="306"/>
    <cellStyle name="Euro 9 2 2" xfId="1646"/>
    <cellStyle name="Euro 9 3" xfId="1229"/>
    <cellStyle name="Euro 9 3 2" xfId="1647"/>
    <cellStyle name="Euro 9 4" xfId="1645"/>
    <cellStyle name="Fixo" xfId="307"/>
    <cellStyle name="Hiperlink" xfId="4000" builtinId="8"/>
    <cellStyle name="Hiperlink 2" xfId="1230"/>
    <cellStyle name="Hyperlink 2" xfId="308"/>
    <cellStyle name="Incorreto 2" xfId="309"/>
    <cellStyle name="Incorreto 2 2" xfId="310"/>
    <cellStyle name="Incorreto 2 3" xfId="311"/>
    <cellStyle name="Incorreto 3" xfId="1231"/>
    <cellStyle name="Incorreto 4" xfId="3802"/>
    <cellStyle name="Indefinido" xfId="312"/>
    <cellStyle name="Indefinido 2" xfId="313"/>
    <cellStyle name="Indefinido 3" xfId="314"/>
    <cellStyle name="Indefinido 4" xfId="315"/>
    <cellStyle name="Indefinido 5" xfId="316"/>
    <cellStyle name="Indefinido 6" xfId="317"/>
    <cellStyle name="Indefinido 7" xfId="318"/>
    <cellStyle name="Indefinido 8" xfId="319"/>
    <cellStyle name="Moeda" xfId="320" builtinId="4"/>
    <cellStyle name="Moeda 10" xfId="321"/>
    <cellStyle name="Moeda 10 2" xfId="322"/>
    <cellStyle name="Moeda 10 2 2" xfId="1649"/>
    <cellStyle name="Moeda 10 3" xfId="1232"/>
    <cellStyle name="Moeda 10 3 2" xfId="1650"/>
    <cellStyle name="Moeda 10 4" xfId="1648"/>
    <cellStyle name="Moeda 11" xfId="323"/>
    <cellStyle name="Moeda 11 2" xfId="324"/>
    <cellStyle name="Moeda 11 2 2" xfId="325"/>
    <cellStyle name="Moeda 11 2 2 2" xfId="1653"/>
    <cellStyle name="Moeda 11 2 3" xfId="1233"/>
    <cellStyle name="Moeda 11 2 3 2" xfId="1654"/>
    <cellStyle name="Moeda 11 2 4" xfId="1652"/>
    <cellStyle name="Moeda 11 3" xfId="326"/>
    <cellStyle name="Moeda 11 3 2" xfId="1655"/>
    <cellStyle name="Moeda 11 4" xfId="1234"/>
    <cellStyle name="Moeda 11 4 2" xfId="1656"/>
    <cellStyle name="Moeda 11 5" xfId="1651"/>
    <cellStyle name="Moeda 12" xfId="327"/>
    <cellStyle name="Moeda 12 2" xfId="328"/>
    <cellStyle name="Moeda 12 2 2" xfId="329"/>
    <cellStyle name="Moeda 12 2 2 2" xfId="1659"/>
    <cellStyle name="Moeda 12 2 3" xfId="1235"/>
    <cellStyle name="Moeda 12 2 3 2" xfId="1660"/>
    <cellStyle name="Moeda 12 2 4" xfId="1658"/>
    <cellStyle name="Moeda 12 3" xfId="330"/>
    <cellStyle name="Moeda 12 3 2" xfId="1661"/>
    <cellStyle name="Moeda 12 4" xfId="1236"/>
    <cellStyle name="Moeda 12 4 2" xfId="1662"/>
    <cellStyle name="Moeda 12 5" xfId="1657"/>
    <cellStyle name="Moeda 13" xfId="331"/>
    <cellStyle name="Moeda 13 2" xfId="332"/>
    <cellStyle name="Moeda 13 2 2" xfId="2294"/>
    <cellStyle name="Moeda 13 2 2 2" xfId="3617"/>
    <cellStyle name="Moeda 13 2 2 3" xfId="3029"/>
    <cellStyle name="Moeda 13 2 3" xfId="2735"/>
    <cellStyle name="Moeda 13 2 4" xfId="3323"/>
    <cellStyle name="Moeda 13 2 5" xfId="2588"/>
    <cellStyle name="Moeda 13 2 6" xfId="3803"/>
    <cellStyle name="Moeda 13 2 7" xfId="1663"/>
    <cellStyle name="Moeda 13 3" xfId="2147"/>
    <cellStyle name="Moeda 13 3 2" xfId="3470"/>
    <cellStyle name="Moeda 13 3 3" xfId="2882"/>
    <cellStyle name="Moeda 13 3 4" xfId="3804"/>
    <cellStyle name="Moeda 13 4" xfId="2441"/>
    <cellStyle name="Moeda 13 4 2" xfId="3805"/>
    <cellStyle name="Moeda 13 5" xfId="3176"/>
    <cellStyle name="Moeda 13 5 2" xfId="3717"/>
    <cellStyle name="Moeda 13 6" xfId="3806"/>
    <cellStyle name="Moeda 13 7" xfId="1452"/>
    <cellStyle name="Moeda 14" xfId="1237"/>
    <cellStyle name="Moeda 14 2" xfId="3808"/>
    <cellStyle name="Moeda 14 3" xfId="3809"/>
    <cellStyle name="Moeda 14 3 2" xfId="3810"/>
    <cellStyle name="Moeda 14 4" xfId="3811"/>
    <cellStyle name="Moeda 14 5" xfId="3807"/>
    <cellStyle name="Moeda 15" xfId="3812"/>
    <cellStyle name="Moeda 15 2" xfId="3813"/>
    <cellStyle name="Moeda 15 3" xfId="3814"/>
    <cellStyle name="Moeda 15 4" xfId="3815"/>
    <cellStyle name="Moeda 16" xfId="3816"/>
    <cellStyle name="Moeda 17" xfId="3817"/>
    <cellStyle name="Moeda 18" xfId="3998"/>
    <cellStyle name="Moeda 2" xfId="333"/>
    <cellStyle name="Moeda 2 2" xfId="334"/>
    <cellStyle name="Moeda 2 2 2" xfId="1238"/>
    <cellStyle name="Moeda 2 2 2 2" xfId="1666"/>
    <cellStyle name="Moeda 2 2 3" xfId="1665"/>
    <cellStyle name="Moeda 2 3" xfId="1175"/>
    <cellStyle name="Moeda 2 3 2" xfId="1667"/>
    <cellStyle name="Moeda 2 3 3" xfId="1453"/>
    <cellStyle name="Moeda 2 4" xfId="1664"/>
    <cellStyle name="Moeda 2 5" xfId="3981"/>
    <cellStyle name="Moeda 3" xfId="335"/>
    <cellStyle name="Moeda 3 2" xfId="336"/>
    <cellStyle name="Moeda 3 2 2" xfId="1239"/>
    <cellStyle name="Moeda 3 2 2 2" xfId="1670"/>
    <cellStyle name="Moeda 3 2 3" xfId="1669"/>
    <cellStyle name="Moeda 3 3" xfId="1240"/>
    <cellStyle name="Moeda 3 3 2" xfId="1671"/>
    <cellStyle name="Moeda 3 4" xfId="1668"/>
    <cellStyle name="Moeda 4" xfId="337"/>
    <cellStyle name="Moeda 4 10" xfId="1241"/>
    <cellStyle name="Moeda 4 10 2" xfId="1673"/>
    <cellStyle name="Moeda 4 11" xfId="1242"/>
    <cellStyle name="Moeda 4 11 2" xfId="1674"/>
    <cellStyle name="Moeda 4 12" xfId="1672"/>
    <cellStyle name="Moeda 4 2" xfId="338"/>
    <cellStyle name="Moeda 4 2 2" xfId="339"/>
    <cellStyle name="Moeda 4 2 2 2" xfId="1676"/>
    <cellStyle name="Moeda 4 2 3" xfId="1243"/>
    <cellStyle name="Moeda 4 2 3 2" xfId="1677"/>
    <cellStyle name="Moeda 4 2 4" xfId="1675"/>
    <cellStyle name="Moeda 4 3" xfId="340"/>
    <cellStyle name="Moeda 4 3 2" xfId="341"/>
    <cellStyle name="Moeda 4 3 2 2" xfId="1679"/>
    <cellStyle name="Moeda 4 3 3" xfId="1244"/>
    <cellStyle name="Moeda 4 3 3 2" xfId="1680"/>
    <cellStyle name="Moeda 4 3 4" xfId="1678"/>
    <cellStyle name="Moeda 4 4" xfId="342"/>
    <cellStyle name="Moeda 4 4 2" xfId="343"/>
    <cellStyle name="Moeda 4 4 2 2" xfId="1682"/>
    <cellStyle name="Moeda 4 4 3" xfId="1245"/>
    <cellStyle name="Moeda 4 4 3 2" xfId="1683"/>
    <cellStyle name="Moeda 4 4 4" xfId="1681"/>
    <cellStyle name="Moeda 4 5" xfId="344"/>
    <cellStyle name="Moeda 4 5 2" xfId="345"/>
    <cellStyle name="Moeda 4 5 2 2" xfId="1685"/>
    <cellStyle name="Moeda 4 5 3" xfId="1246"/>
    <cellStyle name="Moeda 4 5 3 2" xfId="1686"/>
    <cellStyle name="Moeda 4 5 4" xfId="1684"/>
    <cellStyle name="Moeda 4 6" xfId="346"/>
    <cellStyle name="Moeda 4 6 2" xfId="347"/>
    <cellStyle name="Moeda 4 6 2 2" xfId="1688"/>
    <cellStyle name="Moeda 4 6 3" xfId="1247"/>
    <cellStyle name="Moeda 4 6 3 2" xfId="1689"/>
    <cellStyle name="Moeda 4 6 4" xfId="1687"/>
    <cellStyle name="Moeda 4 7" xfId="348"/>
    <cellStyle name="Moeda 4 7 2" xfId="349"/>
    <cellStyle name="Moeda 4 7 2 2" xfId="1691"/>
    <cellStyle name="Moeda 4 7 3" xfId="1248"/>
    <cellStyle name="Moeda 4 7 3 2" xfId="1692"/>
    <cellStyle name="Moeda 4 7 4" xfId="1690"/>
    <cellStyle name="Moeda 4 8" xfId="350"/>
    <cellStyle name="Moeda 4 8 2" xfId="351"/>
    <cellStyle name="Moeda 4 8 2 2" xfId="1694"/>
    <cellStyle name="Moeda 4 8 3" xfId="1249"/>
    <cellStyle name="Moeda 4 8 3 2" xfId="1695"/>
    <cellStyle name="Moeda 4 8 4" xfId="1693"/>
    <cellStyle name="Moeda 4 9" xfId="352"/>
    <cellStyle name="Moeda 4 9 2" xfId="1696"/>
    <cellStyle name="Moeda 4 9 3" xfId="1454"/>
    <cellStyle name="Moeda 5" xfId="353"/>
    <cellStyle name="Moeda 5 2" xfId="354"/>
    <cellStyle name="Moeda 5 2 2" xfId="1250"/>
    <cellStyle name="Moeda 5 2 2 2" xfId="1699"/>
    <cellStyle name="Moeda 5 2 3" xfId="1698"/>
    <cellStyle name="Moeda 5 3" xfId="1251"/>
    <cellStyle name="Moeda 5 3 2" xfId="1252"/>
    <cellStyle name="Moeda 5 3 2 2" xfId="1701"/>
    <cellStyle name="Moeda 5 3 3" xfId="1700"/>
    <cellStyle name="Moeda 5 4" xfId="1697"/>
    <cellStyle name="Moeda 6" xfId="355"/>
    <cellStyle name="Moeda 6 10" xfId="1455"/>
    <cellStyle name="Moeda 6 2" xfId="356"/>
    <cellStyle name="Moeda 6 2 2" xfId="1253"/>
    <cellStyle name="Moeda 6 2 2 2" xfId="1704"/>
    <cellStyle name="Moeda 6 2 3" xfId="1703"/>
    <cellStyle name="Moeda 6 2 3 2" xfId="2296"/>
    <cellStyle name="Moeda 6 2 3 2 2" xfId="3619"/>
    <cellStyle name="Moeda 6 2 3 2 3" xfId="3031"/>
    <cellStyle name="Moeda 6 2 3 3" xfId="2737"/>
    <cellStyle name="Moeda 6 2 3 4" xfId="3325"/>
    <cellStyle name="Moeda 6 2 3 5" xfId="2590"/>
    <cellStyle name="Moeda 6 2 3 6" xfId="3818"/>
    <cellStyle name="Moeda 6 2 4" xfId="2149"/>
    <cellStyle name="Moeda 6 2 4 2" xfId="3472"/>
    <cellStyle name="Moeda 6 2 4 3" xfId="2884"/>
    <cellStyle name="Moeda 6 2 4 4" xfId="3819"/>
    <cellStyle name="Moeda 6 2 5" xfId="2443"/>
    <cellStyle name="Moeda 6 2 5 2" xfId="3820"/>
    <cellStyle name="Moeda 6 2 6" xfId="3178"/>
    <cellStyle name="Moeda 6 2 7" xfId="3821"/>
    <cellStyle name="Moeda 6 2 8" xfId="1456"/>
    <cellStyle name="Moeda 6 3" xfId="1254"/>
    <cellStyle name="Moeda 6 3 2" xfId="1255"/>
    <cellStyle name="Moeda 6 3 2 2" xfId="1706"/>
    <cellStyle name="Moeda 6 3 2 2 2" xfId="2298"/>
    <cellStyle name="Moeda 6 3 2 2 2 2" xfId="3621"/>
    <cellStyle name="Moeda 6 3 2 2 2 3" xfId="3033"/>
    <cellStyle name="Moeda 6 3 2 2 3" xfId="2739"/>
    <cellStyle name="Moeda 6 3 2 2 4" xfId="3327"/>
    <cellStyle name="Moeda 6 3 2 2 5" xfId="2592"/>
    <cellStyle name="Moeda 6 3 2 2 6" xfId="3822"/>
    <cellStyle name="Moeda 6 3 2 3" xfId="2151"/>
    <cellStyle name="Moeda 6 3 2 3 2" xfId="3474"/>
    <cellStyle name="Moeda 6 3 2 3 3" xfId="2886"/>
    <cellStyle name="Moeda 6 3 2 3 4" xfId="3823"/>
    <cellStyle name="Moeda 6 3 2 4" xfId="2445"/>
    <cellStyle name="Moeda 6 3 2 4 2" xfId="3824"/>
    <cellStyle name="Moeda 6 3 2 5" xfId="3180"/>
    <cellStyle name="Moeda 6 3 2 6" xfId="3825"/>
    <cellStyle name="Moeda 6 3 2 7" xfId="1458"/>
    <cellStyle name="Moeda 6 3 3" xfId="1705"/>
    <cellStyle name="Moeda 6 3 3 2" xfId="2297"/>
    <cellStyle name="Moeda 6 3 3 2 2" xfId="3620"/>
    <cellStyle name="Moeda 6 3 3 2 3" xfId="3032"/>
    <cellStyle name="Moeda 6 3 3 3" xfId="2738"/>
    <cellStyle name="Moeda 6 3 3 4" xfId="3326"/>
    <cellStyle name="Moeda 6 3 3 5" xfId="2591"/>
    <cellStyle name="Moeda 6 3 3 6" xfId="3826"/>
    <cellStyle name="Moeda 6 3 4" xfId="2150"/>
    <cellStyle name="Moeda 6 3 4 2" xfId="3473"/>
    <cellStyle name="Moeda 6 3 4 3" xfId="2885"/>
    <cellStyle name="Moeda 6 3 4 4" xfId="3827"/>
    <cellStyle name="Moeda 6 3 5" xfId="2444"/>
    <cellStyle name="Moeda 6 3 5 2" xfId="3828"/>
    <cellStyle name="Moeda 6 3 6" xfId="3179"/>
    <cellStyle name="Moeda 6 3 7" xfId="3829"/>
    <cellStyle name="Moeda 6 3 8" xfId="1457"/>
    <cellStyle name="Moeda 6 4" xfId="1256"/>
    <cellStyle name="Moeda 6 5" xfId="1702"/>
    <cellStyle name="Moeda 6 5 2" xfId="2295"/>
    <cellStyle name="Moeda 6 5 2 2" xfId="3618"/>
    <cellStyle name="Moeda 6 5 2 3" xfId="3030"/>
    <cellStyle name="Moeda 6 5 3" xfId="2736"/>
    <cellStyle name="Moeda 6 5 4" xfId="3324"/>
    <cellStyle name="Moeda 6 5 5" xfId="2589"/>
    <cellStyle name="Moeda 6 5 6" xfId="3830"/>
    <cellStyle name="Moeda 6 6" xfId="2148"/>
    <cellStyle name="Moeda 6 6 2" xfId="3471"/>
    <cellStyle name="Moeda 6 6 3" xfId="2883"/>
    <cellStyle name="Moeda 6 6 4" xfId="3831"/>
    <cellStyle name="Moeda 6 7" xfId="2442"/>
    <cellStyle name="Moeda 6 7 2" xfId="3832"/>
    <cellStyle name="Moeda 6 8" xfId="3177"/>
    <cellStyle name="Moeda 6 9" xfId="3833"/>
    <cellStyle name="Moeda 7" xfId="357"/>
    <cellStyle name="Moeda 7 2" xfId="358"/>
    <cellStyle name="Moeda 7 2 2" xfId="359"/>
    <cellStyle name="Moeda 7 2 2 2" xfId="1709"/>
    <cellStyle name="Moeda 7 2 3" xfId="1257"/>
    <cellStyle name="Moeda 7 2 3 2" xfId="1710"/>
    <cellStyle name="Moeda 7 2 4" xfId="1708"/>
    <cellStyle name="Moeda 7 3" xfId="360"/>
    <cellStyle name="Moeda 7 3 2" xfId="1711"/>
    <cellStyle name="Moeda 7 4" xfId="1258"/>
    <cellStyle name="Moeda 7 4 2" xfId="1712"/>
    <cellStyle name="Moeda 7 5" xfId="1259"/>
    <cellStyle name="Moeda 7 6" xfId="1707"/>
    <cellStyle name="Moeda 8" xfId="361"/>
    <cellStyle name="Moeda 8 2" xfId="362"/>
    <cellStyle name="Moeda 8 2 2" xfId="1714"/>
    <cellStyle name="Moeda 8 3" xfId="1260"/>
    <cellStyle name="Moeda 8 3 2" xfId="1715"/>
    <cellStyle name="Moeda 8 4" xfId="1713"/>
    <cellStyle name="Moeda 9" xfId="363"/>
    <cellStyle name="Moeda 9 2" xfId="364"/>
    <cellStyle name="Moeda 9 2 2" xfId="1717"/>
    <cellStyle name="Moeda 9 3" xfId="1261"/>
    <cellStyle name="Moeda 9 3 2" xfId="1718"/>
    <cellStyle name="Moeda 9 4" xfId="1716"/>
    <cellStyle name="Monthly Totals" xfId="3975"/>
    <cellStyle name="Neutra 2" xfId="365"/>
    <cellStyle name="Neutra 2 2" xfId="366"/>
    <cellStyle name="Neutra 2 3" xfId="367"/>
    <cellStyle name="Neutra 3" xfId="1262"/>
    <cellStyle name="Neutra 4" xfId="3834"/>
    <cellStyle name="Normal" xfId="0" builtinId="0" customBuiltin="1"/>
    <cellStyle name="Normal 10" xfId="368"/>
    <cellStyle name="Normal 10 2" xfId="369"/>
    <cellStyle name="Normal 10 2 10" xfId="1460"/>
    <cellStyle name="Normal 10 2 2" xfId="370"/>
    <cellStyle name="Normal 10 2 2 2" xfId="371"/>
    <cellStyle name="Normal 10 2 2 2 2" xfId="2300"/>
    <cellStyle name="Normal 10 2 2 2 2 2" xfId="3623"/>
    <cellStyle name="Normal 10 2 2 2 2 3" xfId="3035"/>
    <cellStyle name="Normal 10 2 2 2 3" xfId="2741"/>
    <cellStyle name="Normal 10 2 2 2 4" xfId="3329"/>
    <cellStyle name="Normal 10 2 2 2 5" xfId="2594"/>
    <cellStyle name="Normal 10 2 2 2 6" xfId="1720"/>
    <cellStyle name="Normal 10 2 2 3" xfId="372"/>
    <cellStyle name="Normal 10 2 2 3 2" xfId="3476"/>
    <cellStyle name="Normal 10 2 2 3 3" xfId="2888"/>
    <cellStyle name="Normal 10 2 2 3 4" xfId="2153"/>
    <cellStyle name="Normal 10 2 2 4" xfId="2447"/>
    <cellStyle name="Normal 10 2 2 5" xfId="3182"/>
    <cellStyle name="Normal 10 2 2 6" xfId="3835"/>
    <cellStyle name="Normal 10 2 2 7" xfId="1461"/>
    <cellStyle name="Normal 10 2 3" xfId="373"/>
    <cellStyle name="Normal 10 2 3 2" xfId="1721"/>
    <cellStyle name="Normal 10 2 3 2 2" xfId="2301"/>
    <cellStyle name="Normal 10 2 3 2 2 2" xfId="3624"/>
    <cellStyle name="Normal 10 2 3 2 2 3" xfId="3036"/>
    <cellStyle name="Normal 10 2 3 2 3" xfId="2742"/>
    <cellStyle name="Normal 10 2 3 2 4" xfId="3330"/>
    <cellStyle name="Normal 10 2 3 2 5" xfId="2595"/>
    <cellStyle name="Normal 10 2 3 3" xfId="2154"/>
    <cellStyle name="Normal 10 2 3 3 2" xfId="3477"/>
    <cellStyle name="Normal 10 2 3 3 3" xfId="2889"/>
    <cellStyle name="Normal 10 2 3 4" xfId="2448"/>
    <cellStyle name="Normal 10 2 3 5" xfId="3183"/>
    <cellStyle name="Normal 10 2 3 6" xfId="3836"/>
    <cellStyle name="Normal 10 2 3 7" xfId="1462"/>
    <cellStyle name="Normal 10 2 4" xfId="374"/>
    <cellStyle name="Normal 10 2 4 2" xfId="1722"/>
    <cellStyle name="Normal 10 2 4 2 2" xfId="2302"/>
    <cellStyle name="Normal 10 2 4 2 2 2" xfId="3625"/>
    <cellStyle name="Normal 10 2 4 2 2 3" xfId="3037"/>
    <cellStyle name="Normal 10 2 4 2 3" xfId="2743"/>
    <cellStyle name="Normal 10 2 4 2 4" xfId="3331"/>
    <cellStyle name="Normal 10 2 4 2 5" xfId="2596"/>
    <cellStyle name="Normal 10 2 4 3" xfId="2155"/>
    <cellStyle name="Normal 10 2 4 3 2" xfId="3478"/>
    <cellStyle name="Normal 10 2 4 3 3" xfId="2890"/>
    <cellStyle name="Normal 10 2 4 4" xfId="2449"/>
    <cellStyle name="Normal 10 2 4 5" xfId="3184"/>
    <cellStyle name="Normal 10 2 4 6" xfId="3837"/>
    <cellStyle name="Normal 10 2 4 7" xfId="1463"/>
    <cellStyle name="Normal 10 2 5" xfId="1719"/>
    <cellStyle name="Normal 10 2 5 2" xfId="2299"/>
    <cellStyle name="Normal 10 2 5 2 2" xfId="3622"/>
    <cellStyle name="Normal 10 2 5 2 3" xfId="3034"/>
    <cellStyle name="Normal 10 2 5 3" xfId="2740"/>
    <cellStyle name="Normal 10 2 5 4" xfId="3328"/>
    <cellStyle name="Normal 10 2 5 5" xfId="2593"/>
    <cellStyle name="Normal 10 2 6" xfId="2152"/>
    <cellStyle name="Normal 10 2 6 2" xfId="3475"/>
    <cellStyle name="Normal 10 2 6 3" xfId="2887"/>
    <cellStyle name="Normal 10 2 7" xfId="2446"/>
    <cellStyle name="Normal 10 2 8" xfId="3181"/>
    <cellStyle name="Normal 10 2 9" xfId="3838"/>
    <cellStyle name="Normal 10 3" xfId="375"/>
    <cellStyle name="Normal 10 3 10" xfId="1464"/>
    <cellStyle name="Normal 10 3 2" xfId="376"/>
    <cellStyle name="Normal 10 3 2 2" xfId="1724"/>
    <cellStyle name="Normal 10 3 2 2 2" xfId="2304"/>
    <cellStyle name="Normal 10 3 2 2 2 2" xfId="3627"/>
    <cellStyle name="Normal 10 3 2 2 2 3" xfId="3039"/>
    <cellStyle name="Normal 10 3 2 2 3" xfId="2745"/>
    <cellStyle name="Normal 10 3 2 2 4" xfId="3333"/>
    <cellStyle name="Normal 10 3 2 2 5" xfId="2598"/>
    <cellStyle name="Normal 10 3 2 3" xfId="2157"/>
    <cellStyle name="Normal 10 3 2 3 2" xfId="3480"/>
    <cellStyle name="Normal 10 3 2 3 3" xfId="2892"/>
    <cellStyle name="Normal 10 3 2 4" xfId="2451"/>
    <cellStyle name="Normal 10 3 2 5" xfId="3186"/>
    <cellStyle name="Normal 10 3 2 6" xfId="3839"/>
    <cellStyle name="Normal 10 3 2 7" xfId="1465"/>
    <cellStyle name="Normal 10 3 3" xfId="1263"/>
    <cellStyle name="Normal 10 3 3 2" xfId="1725"/>
    <cellStyle name="Normal 10 3 3 2 2" xfId="2305"/>
    <cellStyle name="Normal 10 3 3 2 2 2" xfId="3628"/>
    <cellStyle name="Normal 10 3 3 2 2 3" xfId="3040"/>
    <cellStyle name="Normal 10 3 3 2 3" xfId="2746"/>
    <cellStyle name="Normal 10 3 3 2 4" xfId="3334"/>
    <cellStyle name="Normal 10 3 3 2 5" xfId="2599"/>
    <cellStyle name="Normal 10 3 3 3" xfId="2158"/>
    <cellStyle name="Normal 10 3 3 3 2" xfId="3481"/>
    <cellStyle name="Normal 10 3 3 3 3" xfId="2893"/>
    <cellStyle name="Normal 10 3 3 4" xfId="2452"/>
    <cellStyle name="Normal 10 3 3 5" xfId="3187"/>
    <cellStyle name="Normal 10 3 3 6" xfId="3840"/>
    <cellStyle name="Normal 10 3 3 7" xfId="1466"/>
    <cellStyle name="Normal 10 3 4" xfId="1264"/>
    <cellStyle name="Normal 10 3 4 2" xfId="1726"/>
    <cellStyle name="Normal 10 3 4 2 2" xfId="2306"/>
    <cellStyle name="Normal 10 3 4 2 2 2" xfId="3629"/>
    <cellStyle name="Normal 10 3 4 2 2 3" xfId="3041"/>
    <cellStyle name="Normal 10 3 4 2 3" xfId="2747"/>
    <cellStyle name="Normal 10 3 4 2 4" xfId="3335"/>
    <cellStyle name="Normal 10 3 4 2 5" xfId="2600"/>
    <cellStyle name="Normal 10 3 4 3" xfId="2159"/>
    <cellStyle name="Normal 10 3 4 3 2" xfId="3482"/>
    <cellStyle name="Normal 10 3 4 3 3" xfId="2894"/>
    <cellStyle name="Normal 10 3 4 4" xfId="2453"/>
    <cellStyle name="Normal 10 3 4 5" xfId="3188"/>
    <cellStyle name="Normal 10 3 4 6" xfId="3841"/>
    <cellStyle name="Normal 10 3 4 7" xfId="1467"/>
    <cellStyle name="Normal 10 3 5" xfId="1723"/>
    <cellStyle name="Normal 10 3 5 2" xfId="2303"/>
    <cellStyle name="Normal 10 3 5 2 2" xfId="3626"/>
    <cellStyle name="Normal 10 3 5 2 3" xfId="3038"/>
    <cellStyle name="Normal 10 3 5 3" xfId="2744"/>
    <cellStyle name="Normal 10 3 5 4" xfId="3332"/>
    <cellStyle name="Normal 10 3 5 5" xfId="2597"/>
    <cellStyle name="Normal 10 3 6" xfId="2156"/>
    <cellStyle name="Normal 10 3 6 2" xfId="3479"/>
    <cellStyle name="Normal 10 3 6 3" xfId="2891"/>
    <cellStyle name="Normal 10 3 7" xfId="2450"/>
    <cellStyle name="Normal 10 3 8" xfId="3185"/>
    <cellStyle name="Normal 10 3 9" xfId="3842"/>
    <cellStyle name="Normal 10 4" xfId="377"/>
    <cellStyle name="Normal 10 4 10" xfId="1468"/>
    <cellStyle name="Normal 10 4 2" xfId="378"/>
    <cellStyle name="Normal 10 4 2 2" xfId="1728"/>
    <cellStyle name="Normal 10 4 2 2 2" xfId="2308"/>
    <cellStyle name="Normal 10 4 2 2 2 2" xfId="3631"/>
    <cellStyle name="Normal 10 4 2 2 2 3" xfId="3043"/>
    <cellStyle name="Normal 10 4 2 2 3" xfId="2749"/>
    <cellStyle name="Normal 10 4 2 2 4" xfId="3337"/>
    <cellStyle name="Normal 10 4 2 2 5" xfId="2602"/>
    <cellStyle name="Normal 10 4 2 3" xfId="2161"/>
    <cellStyle name="Normal 10 4 2 3 2" xfId="3484"/>
    <cellStyle name="Normal 10 4 2 3 3" xfId="2896"/>
    <cellStyle name="Normal 10 4 2 4" xfId="2455"/>
    <cellStyle name="Normal 10 4 2 5" xfId="3190"/>
    <cellStyle name="Normal 10 4 2 6" xfId="3843"/>
    <cellStyle name="Normal 10 4 2 7" xfId="1469"/>
    <cellStyle name="Normal 10 4 3" xfId="1265"/>
    <cellStyle name="Normal 10 4 3 2" xfId="1729"/>
    <cellStyle name="Normal 10 4 3 2 2" xfId="2309"/>
    <cellStyle name="Normal 10 4 3 2 2 2" xfId="3632"/>
    <cellStyle name="Normal 10 4 3 2 2 3" xfId="3044"/>
    <cellStyle name="Normal 10 4 3 2 3" xfId="2750"/>
    <cellStyle name="Normal 10 4 3 2 4" xfId="3338"/>
    <cellStyle name="Normal 10 4 3 2 5" xfId="2603"/>
    <cellStyle name="Normal 10 4 3 3" xfId="2162"/>
    <cellStyle name="Normal 10 4 3 3 2" xfId="3485"/>
    <cellStyle name="Normal 10 4 3 3 3" xfId="2897"/>
    <cellStyle name="Normal 10 4 3 4" xfId="2456"/>
    <cellStyle name="Normal 10 4 3 5" xfId="3191"/>
    <cellStyle name="Normal 10 4 3 6" xfId="3844"/>
    <cellStyle name="Normal 10 4 3 7" xfId="1470"/>
    <cellStyle name="Normal 10 4 4" xfId="1266"/>
    <cellStyle name="Normal 10 4 4 2" xfId="1730"/>
    <cellStyle name="Normal 10 4 4 2 2" xfId="2310"/>
    <cellStyle name="Normal 10 4 4 2 2 2" xfId="3633"/>
    <cellStyle name="Normal 10 4 4 2 2 3" xfId="3045"/>
    <cellStyle name="Normal 10 4 4 2 3" xfId="2751"/>
    <cellStyle name="Normal 10 4 4 2 4" xfId="3339"/>
    <cellStyle name="Normal 10 4 4 2 5" xfId="2604"/>
    <cellStyle name="Normal 10 4 4 3" xfId="2163"/>
    <cellStyle name="Normal 10 4 4 3 2" xfId="3486"/>
    <cellStyle name="Normal 10 4 4 3 3" xfId="2898"/>
    <cellStyle name="Normal 10 4 4 4" xfId="2457"/>
    <cellStyle name="Normal 10 4 4 5" xfId="3192"/>
    <cellStyle name="Normal 10 4 4 6" xfId="3845"/>
    <cellStyle name="Normal 10 4 4 7" xfId="1471"/>
    <cellStyle name="Normal 10 4 5" xfId="1727"/>
    <cellStyle name="Normal 10 4 5 2" xfId="2307"/>
    <cellStyle name="Normal 10 4 5 2 2" xfId="3630"/>
    <cellStyle name="Normal 10 4 5 2 3" xfId="3042"/>
    <cellStyle name="Normal 10 4 5 3" xfId="2748"/>
    <cellStyle name="Normal 10 4 5 4" xfId="3336"/>
    <cellStyle name="Normal 10 4 5 5" xfId="2601"/>
    <cellStyle name="Normal 10 4 6" xfId="2160"/>
    <cellStyle name="Normal 10 4 6 2" xfId="3483"/>
    <cellStyle name="Normal 10 4 6 3" xfId="2895"/>
    <cellStyle name="Normal 10 4 7" xfId="2454"/>
    <cellStyle name="Normal 10 4 8" xfId="3189"/>
    <cellStyle name="Normal 10 4 9" xfId="3846"/>
    <cellStyle name="Normal 10 5" xfId="1459"/>
    <cellStyle name="Normal 11" xfId="379"/>
    <cellStyle name="Normal 11 2" xfId="380"/>
    <cellStyle name="Normal 11 2 10" xfId="1472"/>
    <cellStyle name="Normal 11 2 2" xfId="381"/>
    <cellStyle name="Normal 11 2 2 2" xfId="1732"/>
    <cellStyle name="Normal 11 2 2 2 2" xfId="2312"/>
    <cellStyle name="Normal 11 2 2 2 2 2" xfId="3635"/>
    <cellStyle name="Normal 11 2 2 2 2 3" xfId="3047"/>
    <cellStyle name="Normal 11 2 2 2 3" xfId="2753"/>
    <cellStyle name="Normal 11 2 2 2 4" xfId="3341"/>
    <cellStyle name="Normal 11 2 2 2 5" xfId="2606"/>
    <cellStyle name="Normal 11 2 2 3" xfId="2165"/>
    <cellStyle name="Normal 11 2 2 3 2" xfId="3488"/>
    <cellStyle name="Normal 11 2 2 3 3" xfId="2900"/>
    <cellStyle name="Normal 11 2 2 4" xfId="2459"/>
    <cellStyle name="Normal 11 2 2 5" xfId="3194"/>
    <cellStyle name="Normal 11 2 2 6" xfId="3847"/>
    <cellStyle name="Normal 11 2 2 7" xfId="1473"/>
    <cellStyle name="Normal 11 2 3" xfId="1267"/>
    <cellStyle name="Normal 11 2 3 2" xfId="1733"/>
    <cellStyle name="Normal 11 2 3 2 2" xfId="2313"/>
    <cellStyle name="Normal 11 2 3 2 2 2" xfId="3636"/>
    <cellStyle name="Normal 11 2 3 2 2 3" xfId="3048"/>
    <cellStyle name="Normal 11 2 3 2 3" xfId="2754"/>
    <cellStyle name="Normal 11 2 3 2 4" xfId="3342"/>
    <cellStyle name="Normal 11 2 3 2 5" xfId="2607"/>
    <cellStyle name="Normal 11 2 3 3" xfId="2166"/>
    <cellStyle name="Normal 11 2 3 3 2" xfId="3489"/>
    <cellStyle name="Normal 11 2 3 3 3" xfId="2901"/>
    <cellStyle name="Normal 11 2 3 4" xfId="2460"/>
    <cellStyle name="Normal 11 2 3 5" xfId="3195"/>
    <cellStyle name="Normal 11 2 3 6" xfId="3848"/>
    <cellStyle name="Normal 11 2 3 7" xfId="1474"/>
    <cellStyle name="Normal 11 2 4" xfId="1268"/>
    <cellStyle name="Normal 11 2 4 2" xfId="1734"/>
    <cellStyle name="Normal 11 2 4 2 2" xfId="2314"/>
    <cellStyle name="Normal 11 2 4 2 2 2" xfId="3637"/>
    <cellStyle name="Normal 11 2 4 2 2 3" xfId="3049"/>
    <cellStyle name="Normal 11 2 4 2 3" xfId="2755"/>
    <cellStyle name="Normal 11 2 4 2 4" xfId="3343"/>
    <cellStyle name="Normal 11 2 4 2 5" xfId="2608"/>
    <cellStyle name="Normal 11 2 4 3" xfId="2167"/>
    <cellStyle name="Normal 11 2 4 3 2" xfId="3490"/>
    <cellStyle name="Normal 11 2 4 3 3" xfId="2902"/>
    <cellStyle name="Normal 11 2 4 4" xfId="2461"/>
    <cellStyle name="Normal 11 2 4 5" xfId="3196"/>
    <cellStyle name="Normal 11 2 4 6" xfId="3849"/>
    <cellStyle name="Normal 11 2 4 7" xfId="1475"/>
    <cellStyle name="Normal 11 2 5" xfId="1731"/>
    <cellStyle name="Normal 11 2 5 2" xfId="2311"/>
    <cellStyle name="Normal 11 2 5 2 2" xfId="3634"/>
    <cellStyle name="Normal 11 2 5 2 3" xfId="3046"/>
    <cellStyle name="Normal 11 2 5 3" xfId="2752"/>
    <cellStyle name="Normal 11 2 5 4" xfId="3340"/>
    <cellStyle name="Normal 11 2 5 5" xfId="2605"/>
    <cellStyle name="Normal 11 2 6" xfId="2164"/>
    <cellStyle name="Normal 11 2 6 2" xfId="3487"/>
    <cellStyle name="Normal 11 2 6 3" xfId="2899"/>
    <cellStyle name="Normal 11 2 7" xfId="2458"/>
    <cellStyle name="Normal 11 2 8" xfId="3193"/>
    <cellStyle name="Normal 11 2 9" xfId="3850"/>
    <cellStyle name="Normal 11 3" xfId="382"/>
    <cellStyle name="Normal 11 3 10" xfId="1476"/>
    <cellStyle name="Normal 11 3 2" xfId="383"/>
    <cellStyle name="Normal 11 3 2 2" xfId="1736"/>
    <cellStyle name="Normal 11 3 2 2 2" xfId="2316"/>
    <cellStyle name="Normal 11 3 2 2 2 2" xfId="3639"/>
    <cellStyle name="Normal 11 3 2 2 2 3" xfId="3051"/>
    <cellStyle name="Normal 11 3 2 2 3" xfId="2757"/>
    <cellStyle name="Normal 11 3 2 2 4" xfId="3345"/>
    <cellStyle name="Normal 11 3 2 2 5" xfId="2610"/>
    <cellStyle name="Normal 11 3 2 3" xfId="2169"/>
    <cellStyle name="Normal 11 3 2 3 2" xfId="3492"/>
    <cellStyle name="Normal 11 3 2 3 3" xfId="2904"/>
    <cellStyle name="Normal 11 3 2 4" xfId="2463"/>
    <cellStyle name="Normal 11 3 2 5" xfId="3198"/>
    <cellStyle name="Normal 11 3 2 6" xfId="3851"/>
    <cellStyle name="Normal 11 3 2 7" xfId="1477"/>
    <cellStyle name="Normal 11 3 3" xfId="1269"/>
    <cellStyle name="Normal 11 3 3 2" xfId="1737"/>
    <cellStyle name="Normal 11 3 3 2 2" xfId="2317"/>
    <cellStyle name="Normal 11 3 3 2 2 2" xfId="3640"/>
    <cellStyle name="Normal 11 3 3 2 2 3" xfId="3052"/>
    <cellStyle name="Normal 11 3 3 2 3" xfId="2758"/>
    <cellStyle name="Normal 11 3 3 2 4" xfId="3346"/>
    <cellStyle name="Normal 11 3 3 2 5" xfId="2611"/>
    <cellStyle name="Normal 11 3 3 3" xfId="2170"/>
    <cellStyle name="Normal 11 3 3 3 2" xfId="3493"/>
    <cellStyle name="Normal 11 3 3 3 3" xfId="2905"/>
    <cellStyle name="Normal 11 3 3 4" xfId="2464"/>
    <cellStyle name="Normal 11 3 3 5" xfId="3199"/>
    <cellStyle name="Normal 11 3 3 6" xfId="3852"/>
    <cellStyle name="Normal 11 3 3 7" xfId="1478"/>
    <cellStyle name="Normal 11 3 4" xfId="1270"/>
    <cellStyle name="Normal 11 3 4 2" xfId="1738"/>
    <cellStyle name="Normal 11 3 4 2 2" xfId="2318"/>
    <cellStyle name="Normal 11 3 4 2 2 2" xfId="3641"/>
    <cellStyle name="Normal 11 3 4 2 2 3" xfId="3053"/>
    <cellStyle name="Normal 11 3 4 2 3" xfId="2759"/>
    <cellStyle name="Normal 11 3 4 2 4" xfId="3347"/>
    <cellStyle name="Normal 11 3 4 2 5" xfId="2612"/>
    <cellStyle name="Normal 11 3 4 3" xfId="2171"/>
    <cellStyle name="Normal 11 3 4 3 2" xfId="3494"/>
    <cellStyle name="Normal 11 3 4 3 3" xfId="2906"/>
    <cellStyle name="Normal 11 3 4 4" xfId="2465"/>
    <cellStyle name="Normal 11 3 4 5" xfId="3200"/>
    <cellStyle name="Normal 11 3 4 6" xfId="3853"/>
    <cellStyle name="Normal 11 3 4 7" xfId="1479"/>
    <cellStyle name="Normal 11 3 5" xfId="1735"/>
    <cellStyle name="Normal 11 3 5 2" xfId="2315"/>
    <cellStyle name="Normal 11 3 5 2 2" xfId="3638"/>
    <cellStyle name="Normal 11 3 5 2 3" xfId="3050"/>
    <cellStyle name="Normal 11 3 5 3" xfId="2756"/>
    <cellStyle name="Normal 11 3 5 4" xfId="3344"/>
    <cellStyle name="Normal 11 3 5 5" xfId="2609"/>
    <cellStyle name="Normal 11 3 6" xfId="2168"/>
    <cellStyle name="Normal 11 3 6 2" xfId="3491"/>
    <cellStyle name="Normal 11 3 6 3" xfId="2903"/>
    <cellStyle name="Normal 11 3 7" xfId="2462"/>
    <cellStyle name="Normal 11 3 8" xfId="3197"/>
    <cellStyle name="Normal 11 3 9" xfId="3854"/>
    <cellStyle name="Normal 11 4" xfId="384"/>
    <cellStyle name="Normal 11 4 10" xfId="1480"/>
    <cellStyle name="Normal 11 4 2" xfId="385"/>
    <cellStyle name="Normal 11 4 2 2" xfId="1740"/>
    <cellStyle name="Normal 11 4 2 2 2" xfId="2320"/>
    <cellStyle name="Normal 11 4 2 2 2 2" xfId="3643"/>
    <cellStyle name="Normal 11 4 2 2 2 3" xfId="3055"/>
    <cellStyle name="Normal 11 4 2 2 3" xfId="2761"/>
    <cellStyle name="Normal 11 4 2 2 4" xfId="3349"/>
    <cellStyle name="Normal 11 4 2 2 5" xfId="2614"/>
    <cellStyle name="Normal 11 4 2 3" xfId="2173"/>
    <cellStyle name="Normal 11 4 2 3 2" xfId="3496"/>
    <cellStyle name="Normal 11 4 2 3 3" xfId="2908"/>
    <cellStyle name="Normal 11 4 2 4" xfId="2467"/>
    <cellStyle name="Normal 11 4 2 5" xfId="3202"/>
    <cellStyle name="Normal 11 4 2 6" xfId="3855"/>
    <cellStyle name="Normal 11 4 2 7" xfId="1481"/>
    <cellStyle name="Normal 11 4 3" xfId="1271"/>
    <cellStyle name="Normal 11 4 3 2" xfId="1741"/>
    <cellStyle name="Normal 11 4 3 2 2" xfId="2321"/>
    <cellStyle name="Normal 11 4 3 2 2 2" xfId="3644"/>
    <cellStyle name="Normal 11 4 3 2 2 3" xfId="3056"/>
    <cellStyle name="Normal 11 4 3 2 3" xfId="2762"/>
    <cellStyle name="Normal 11 4 3 2 4" xfId="3350"/>
    <cellStyle name="Normal 11 4 3 2 5" xfId="2615"/>
    <cellStyle name="Normal 11 4 3 3" xfId="2174"/>
    <cellStyle name="Normal 11 4 3 3 2" xfId="3497"/>
    <cellStyle name="Normal 11 4 3 3 3" xfId="2909"/>
    <cellStyle name="Normal 11 4 3 4" xfId="2468"/>
    <cellStyle name="Normal 11 4 3 5" xfId="3203"/>
    <cellStyle name="Normal 11 4 3 6" xfId="3856"/>
    <cellStyle name="Normal 11 4 3 7" xfId="1482"/>
    <cellStyle name="Normal 11 4 4" xfId="1272"/>
    <cellStyle name="Normal 11 4 4 2" xfId="1742"/>
    <cellStyle name="Normal 11 4 4 2 2" xfId="2322"/>
    <cellStyle name="Normal 11 4 4 2 2 2" xfId="3645"/>
    <cellStyle name="Normal 11 4 4 2 2 3" xfId="3057"/>
    <cellStyle name="Normal 11 4 4 2 3" xfId="2763"/>
    <cellStyle name="Normal 11 4 4 2 4" xfId="3351"/>
    <cellStyle name="Normal 11 4 4 2 5" xfId="2616"/>
    <cellStyle name="Normal 11 4 4 3" xfId="2175"/>
    <cellStyle name="Normal 11 4 4 3 2" xfId="3498"/>
    <cellStyle name="Normal 11 4 4 3 3" xfId="2910"/>
    <cellStyle name="Normal 11 4 4 4" xfId="2469"/>
    <cellStyle name="Normal 11 4 4 5" xfId="3204"/>
    <cellStyle name="Normal 11 4 4 6" xfId="3857"/>
    <cellStyle name="Normal 11 4 4 7" xfId="1483"/>
    <cellStyle name="Normal 11 4 5" xfId="1739"/>
    <cellStyle name="Normal 11 4 5 2" xfId="2319"/>
    <cellStyle name="Normal 11 4 5 2 2" xfId="3642"/>
    <cellStyle name="Normal 11 4 5 2 3" xfId="3054"/>
    <cellStyle name="Normal 11 4 5 3" xfId="2760"/>
    <cellStyle name="Normal 11 4 5 4" xfId="3348"/>
    <cellStyle name="Normal 11 4 5 5" xfId="2613"/>
    <cellStyle name="Normal 11 4 6" xfId="2172"/>
    <cellStyle name="Normal 11 4 6 2" xfId="3495"/>
    <cellStyle name="Normal 11 4 6 3" xfId="2907"/>
    <cellStyle name="Normal 11 4 7" xfId="2466"/>
    <cellStyle name="Normal 11 4 8" xfId="3201"/>
    <cellStyle name="Normal 11 4 9" xfId="3858"/>
    <cellStyle name="Normal 11 5" xfId="386"/>
    <cellStyle name="Normal 11 5 2" xfId="3859"/>
    <cellStyle name="Normal 12" xfId="387"/>
    <cellStyle name="Normal 12 2" xfId="388"/>
    <cellStyle name="Normal 12 2 10" xfId="1484"/>
    <cellStyle name="Normal 12 2 2" xfId="389"/>
    <cellStyle name="Normal 12 2 2 2" xfId="1745"/>
    <cellStyle name="Normal 12 2 2 2 2" xfId="2324"/>
    <cellStyle name="Normal 12 2 2 2 2 2" xfId="3647"/>
    <cellStyle name="Normal 12 2 2 2 2 3" xfId="3059"/>
    <cellStyle name="Normal 12 2 2 2 3" xfId="2765"/>
    <cellStyle name="Normal 12 2 2 2 4" xfId="3353"/>
    <cellStyle name="Normal 12 2 2 2 5" xfId="2618"/>
    <cellStyle name="Normal 12 2 2 3" xfId="2177"/>
    <cellStyle name="Normal 12 2 2 3 2" xfId="3500"/>
    <cellStyle name="Normal 12 2 2 3 3" xfId="2912"/>
    <cellStyle name="Normal 12 2 2 4" xfId="2471"/>
    <cellStyle name="Normal 12 2 2 5" xfId="3206"/>
    <cellStyle name="Normal 12 2 2 6" xfId="3860"/>
    <cellStyle name="Normal 12 2 2 7" xfId="1485"/>
    <cellStyle name="Normal 12 2 3" xfId="1273"/>
    <cellStyle name="Normal 12 2 3 2" xfId="1746"/>
    <cellStyle name="Normal 12 2 3 2 2" xfId="2325"/>
    <cellStyle name="Normal 12 2 3 2 2 2" xfId="3648"/>
    <cellStyle name="Normal 12 2 3 2 2 3" xfId="3060"/>
    <cellStyle name="Normal 12 2 3 2 3" xfId="2766"/>
    <cellStyle name="Normal 12 2 3 2 4" xfId="3354"/>
    <cellStyle name="Normal 12 2 3 2 5" xfId="2619"/>
    <cellStyle name="Normal 12 2 3 3" xfId="2178"/>
    <cellStyle name="Normal 12 2 3 3 2" xfId="3501"/>
    <cellStyle name="Normal 12 2 3 3 3" xfId="2913"/>
    <cellStyle name="Normal 12 2 3 4" xfId="2472"/>
    <cellStyle name="Normal 12 2 3 5" xfId="3207"/>
    <cellStyle name="Normal 12 2 3 6" xfId="3861"/>
    <cellStyle name="Normal 12 2 3 7" xfId="1486"/>
    <cellStyle name="Normal 12 2 4" xfId="1274"/>
    <cellStyle name="Normal 12 2 4 2" xfId="1747"/>
    <cellStyle name="Normal 12 2 4 2 2" xfId="2326"/>
    <cellStyle name="Normal 12 2 4 2 2 2" xfId="3649"/>
    <cellStyle name="Normal 12 2 4 2 2 3" xfId="3061"/>
    <cellStyle name="Normal 12 2 4 2 3" xfId="2767"/>
    <cellStyle name="Normal 12 2 4 2 4" xfId="3355"/>
    <cellStyle name="Normal 12 2 4 2 5" xfId="2620"/>
    <cellStyle name="Normal 12 2 4 3" xfId="2179"/>
    <cellStyle name="Normal 12 2 4 3 2" xfId="3502"/>
    <cellStyle name="Normal 12 2 4 3 3" xfId="2914"/>
    <cellStyle name="Normal 12 2 4 4" xfId="2473"/>
    <cellStyle name="Normal 12 2 4 5" xfId="3208"/>
    <cellStyle name="Normal 12 2 4 6" xfId="3862"/>
    <cellStyle name="Normal 12 2 4 7" xfId="1487"/>
    <cellStyle name="Normal 12 2 5" xfId="1744"/>
    <cellStyle name="Normal 12 2 5 2" xfId="2323"/>
    <cellStyle name="Normal 12 2 5 2 2" xfId="3646"/>
    <cellStyle name="Normal 12 2 5 2 3" xfId="3058"/>
    <cellStyle name="Normal 12 2 5 3" xfId="2764"/>
    <cellStyle name="Normal 12 2 5 4" xfId="3352"/>
    <cellStyle name="Normal 12 2 5 5" xfId="2617"/>
    <cellStyle name="Normal 12 2 6" xfId="2176"/>
    <cellStyle name="Normal 12 2 6 2" xfId="3499"/>
    <cellStyle name="Normal 12 2 6 3" xfId="2911"/>
    <cellStyle name="Normal 12 2 7" xfId="2470"/>
    <cellStyle name="Normal 12 2 8" xfId="3205"/>
    <cellStyle name="Normal 12 2 9" xfId="3863"/>
    <cellStyle name="Normal 12 3" xfId="390"/>
    <cellStyle name="Normal 12 3 10" xfId="1488"/>
    <cellStyle name="Normal 12 3 2" xfId="391"/>
    <cellStyle name="Normal 12 3 2 2" xfId="1749"/>
    <cellStyle name="Normal 12 3 2 2 2" xfId="2328"/>
    <cellStyle name="Normal 12 3 2 2 2 2" xfId="3651"/>
    <cellStyle name="Normal 12 3 2 2 2 3" xfId="3063"/>
    <cellStyle name="Normal 12 3 2 2 3" xfId="2769"/>
    <cellStyle name="Normal 12 3 2 2 4" xfId="3357"/>
    <cellStyle name="Normal 12 3 2 2 5" xfId="2622"/>
    <cellStyle name="Normal 12 3 2 3" xfId="2181"/>
    <cellStyle name="Normal 12 3 2 3 2" xfId="3504"/>
    <cellStyle name="Normal 12 3 2 3 3" xfId="2916"/>
    <cellStyle name="Normal 12 3 2 4" xfId="2475"/>
    <cellStyle name="Normal 12 3 2 5" xfId="3210"/>
    <cellStyle name="Normal 12 3 2 6" xfId="3864"/>
    <cellStyle name="Normal 12 3 2 7" xfId="1489"/>
    <cellStyle name="Normal 12 3 3" xfId="1275"/>
    <cellStyle name="Normal 12 3 3 2" xfId="1750"/>
    <cellStyle name="Normal 12 3 3 2 2" xfId="2329"/>
    <cellStyle name="Normal 12 3 3 2 2 2" xfId="3652"/>
    <cellStyle name="Normal 12 3 3 2 2 3" xfId="3064"/>
    <cellStyle name="Normal 12 3 3 2 3" xfId="2770"/>
    <cellStyle name="Normal 12 3 3 2 4" xfId="3358"/>
    <cellStyle name="Normal 12 3 3 2 5" xfId="2623"/>
    <cellStyle name="Normal 12 3 3 3" xfId="2182"/>
    <cellStyle name="Normal 12 3 3 3 2" xfId="3505"/>
    <cellStyle name="Normal 12 3 3 3 3" xfId="2917"/>
    <cellStyle name="Normal 12 3 3 4" xfId="2476"/>
    <cellStyle name="Normal 12 3 3 5" xfId="3211"/>
    <cellStyle name="Normal 12 3 3 6" xfId="3865"/>
    <cellStyle name="Normal 12 3 3 7" xfId="1490"/>
    <cellStyle name="Normal 12 3 4" xfId="1276"/>
    <cellStyle name="Normal 12 3 4 2" xfId="1751"/>
    <cellStyle name="Normal 12 3 4 2 2" xfId="2330"/>
    <cellStyle name="Normal 12 3 4 2 2 2" xfId="3653"/>
    <cellStyle name="Normal 12 3 4 2 2 3" xfId="3065"/>
    <cellStyle name="Normal 12 3 4 2 3" xfId="2771"/>
    <cellStyle name="Normal 12 3 4 2 4" xfId="3359"/>
    <cellStyle name="Normal 12 3 4 2 5" xfId="2624"/>
    <cellStyle name="Normal 12 3 4 3" xfId="2183"/>
    <cellStyle name="Normal 12 3 4 3 2" xfId="3506"/>
    <cellStyle name="Normal 12 3 4 3 3" xfId="2918"/>
    <cellStyle name="Normal 12 3 4 4" xfId="2477"/>
    <cellStyle name="Normal 12 3 4 5" xfId="3212"/>
    <cellStyle name="Normal 12 3 4 6" xfId="3866"/>
    <cellStyle name="Normal 12 3 4 7" xfId="1491"/>
    <cellStyle name="Normal 12 3 5" xfId="1748"/>
    <cellStyle name="Normal 12 3 5 2" xfId="2327"/>
    <cellStyle name="Normal 12 3 5 2 2" xfId="3650"/>
    <cellStyle name="Normal 12 3 5 2 3" xfId="3062"/>
    <cellStyle name="Normal 12 3 5 3" xfId="2768"/>
    <cellStyle name="Normal 12 3 5 4" xfId="3356"/>
    <cellStyle name="Normal 12 3 5 5" xfId="2621"/>
    <cellStyle name="Normal 12 3 6" xfId="2180"/>
    <cellStyle name="Normal 12 3 6 2" xfId="3503"/>
    <cellStyle name="Normal 12 3 6 3" xfId="2915"/>
    <cellStyle name="Normal 12 3 7" xfId="2474"/>
    <cellStyle name="Normal 12 3 8" xfId="3209"/>
    <cellStyle name="Normal 12 3 9" xfId="3867"/>
    <cellStyle name="Normal 12 4" xfId="392"/>
    <cellStyle name="Normal 12 4 10" xfId="1492"/>
    <cellStyle name="Normal 12 4 2" xfId="393"/>
    <cellStyle name="Normal 12 4 2 2" xfId="1753"/>
    <cellStyle name="Normal 12 4 2 2 2" xfId="2332"/>
    <cellStyle name="Normal 12 4 2 2 2 2" xfId="3655"/>
    <cellStyle name="Normal 12 4 2 2 2 3" xfId="3067"/>
    <cellStyle name="Normal 12 4 2 2 3" xfId="2773"/>
    <cellStyle name="Normal 12 4 2 2 4" xfId="3361"/>
    <cellStyle name="Normal 12 4 2 2 5" xfId="2626"/>
    <cellStyle name="Normal 12 4 2 3" xfId="2185"/>
    <cellStyle name="Normal 12 4 2 3 2" xfId="3508"/>
    <cellStyle name="Normal 12 4 2 3 3" xfId="2920"/>
    <cellStyle name="Normal 12 4 2 4" xfId="2479"/>
    <cellStyle name="Normal 12 4 2 5" xfId="3214"/>
    <cellStyle name="Normal 12 4 2 6" xfId="3868"/>
    <cellStyle name="Normal 12 4 2 7" xfId="1493"/>
    <cellStyle name="Normal 12 4 3" xfId="1277"/>
    <cellStyle name="Normal 12 4 3 2" xfId="1754"/>
    <cellStyle name="Normal 12 4 3 2 2" xfId="2333"/>
    <cellStyle name="Normal 12 4 3 2 2 2" xfId="3656"/>
    <cellStyle name="Normal 12 4 3 2 2 3" xfId="3068"/>
    <cellStyle name="Normal 12 4 3 2 3" xfId="2774"/>
    <cellStyle name="Normal 12 4 3 2 4" xfId="3362"/>
    <cellStyle name="Normal 12 4 3 2 5" xfId="2627"/>
    <cellStyle name="Normal 12 4 3 3" xfId="2186"/>
    <cellStyle name="Normal 12 4 3 3 2" xfId="3509"/>
    <cellStyle name="Normal 12 4 3 3 3" xfId="2921"/>
    <cellStyle name="Normal 12 4 3 4" xfId="2480"/>
    <cellStyle name="Normal 12 4 3 5" xfId="3215"/>
    <cellStyle name="Normal 12 4 3 6" xfId="3869"/>
    <cellStyle name="Normal 12 4 3 7" xfId="1494"/>
    <cellStyle name="Normal 12 4 4" xfId="1278"/>
    <cellStyle name="Normal 12 4 4 2" xfId="1755"/>
    <cellStyle name="Normal 12 4 4 2 2" xfId="2334"/>
    <cellStyle name="Normal 12 4 4 2 2 2" xfId="3657"/>
    <cellStyle name="Normal 12 4 4 2 2 3" xfId="3069"/>
    <cellStyle name="Normal 12 4 4 2 3" xfId="2775"/>
    <cellStyle name="Normal 12 4 4 2 4" xfId="3363"/>
    <cellStyle name="Normal 12 4 4 2 5" xfId="2628"/>
    <cellStyle name="Normal 12 4 4 3" xfId="2187"/>
    <cellStyle name="Normal 12 4 4 3 2" xfId="3510"/>
    <cellStyle name="Normal 12 4 4 3 3" xfId="2922"/>
    <cellStyle name="Normal 12 4 4 4" xfId="2481"/>
    <cellStyle name="Normal 12 4 4 5" xfId="3216"/>
    <cellStyle name="Normal 12 4 4 6" xfId="3870"/>
    <cellStyle name="Normal 12 4 4 7" xfId="1495"/>
    <cellStyle name="Normal 12 4 5" xfId="1752"/>
    <cellStyle name="Normal 12 4 5 2" xfId="2331"/>
    <cellStyle name="Normal 12 4 5 2 2" xfId="3654"/>
    <cellStyle name="Normal 12 4 5 2 3" xfId="3066"/>
    <cellStyle name="Normal 12 4 5 3" xfId="2772"/>
    <cellStyle name="Normal 12 4 5 4" xfId="3360"/>
    <cellStyle name="Normal 12 4 5 5" xfId="2625"/>
    <cellStyle name="Normal 12 4 6" xfId="2184"/>
    <cellStyle name="Normal 12 4 6 2" xfId="3507"/>
    <cellStyle name="Normal 12 4 6 3" xfId="2919"/>
    <cellStyle name="Normal 12 4 7" xfId="2478"/>
    <cellStyle name="Normal 12 4 8" xfId="3213"/>
    <cellStyle name="Normal 12 4 9" xfId="3871"/>
    <cellStyle name="Normal 12 5" xfId="1743"/>
    <cellStyle name="Normal 13" xfId="394"/>
    <cellStyle name="Normal 13 10" xfId="1496"/>
    <cellStyle name="Normal 13 2" xfId="395"/>
    <cellStyle name="Normal 13 2 10" xfId="1497"/>
    <cellStyle name="Normal 13 2 2" xfId="396"/>
    <cellStyle name="Normal 13 2 2 2" xfId="1758"/>
    <cellStyle name="Normal 13 2 2 2 2" xfId="2337"/>
    <cellStyle name="Normal 13 2 2 2 2 2" xfId="3660"/>
    <cellStyle name="Normal 13 2 2 2 2 3" xfId="3072"/>
    <cellStyle name="Normal 13 2 2 2 3" xfId="2778"/>
    <cellStyle name="Normal 13 2 2 2 4" xfId="3366"/>
    <cellStyle name="Normal 13 2 2 2 5" xfId="2631"/>
    <cellStyle name="Normal 13 2 2 3" xfId="2190"/>
    <cellStyle name="Normal 13 2 2 3 2" xfId="3513"/>
    <cellStyle name="Normal 13 2 2 3 3" xfId="2925"/>
    <cellStyle name="Normal 13 2 2 4" xfId="2484"/>
    <cellStyle name="Normal 13 2 2 5" xfId="3219"/>
    <cellStyle name="Normal 13 2 2 6" xfId="3872"/>
    <cellStyle name="Normal 13 2 2 7" xfId="1498"/>
    <cellStyle name="Normal 13 2 3" xfId="1279"/>
    <cellStyle name="Normal 13 2 3 2" xfId="1759"/>
    <cellStyle name="Normal 13 2 3 2 2" xfId="2338"/>
    <cellStyle name="Normal 13 2 3 2 2 2" xfId="3661"/>
    <cellStyle name="Normal 13 2 3 2 2 3" xfId="3073"/>
    <cellStyle name="Normal 13 2 3 2 3" xfId="2779"/>
    <cellStyle name="Normal 13 2 3 2 4" xfId="3367"/>
    <cellStyle name="Normal 13 2 3 2 5" xfId="2632"/>
    <cellStyle name="Normal 13 2 3 3" xfId="2191"/>
    <cellStyle name="Normal 13 2 3 3 2" xfId="3514"/>
    <cellStyle name="Normal 13 2 3 3 3" xfId="2926"/>
    <cellStyle name="Normal 13 2 3 4" xfId="2485"/>
    <cellStyle name="Normal 13 2 3 5" xfId="3220"/>
    <cellStyle name="Normal 13 2 3 6" xfId="3873"/>
    <cellStyle name="Normal 13 2 3 7" xfId="1499"/>
    <cellStyle name="Normal 13 2 4" xfId="1280"/>
    <cellStyle name="Normal 13 2 4 2" xfId="1760"/>
    <cellStyle name="Normal 13 2 4 2 2" xfId="2339"/>
    <cellStyle name="Normal 13 2 4 2 2 2" xfId="3662"/>
    <cellStyle name="Normal 13 2 4 2 2 3" xfId="3074"/>
    <cellStyle name="Normal 13 2 4 2 3" xfId="2780"/>
    <cellStyle name="Normal 13 2 4 2 4" xfId="3368"/>
    <cellStyle name="Normal 13 2 4 2 5" xfId="2633"/>
    <cellStyle name="Normal 13 2 4 3" xfId="2192"/>
    <cellStyle name="Normal 13 2 4 3 2" xfId="3515"/>
    <cellStyle name="Normal 13 2 4 3 3" xfId="2927"/>
    <cellStyle name="Normal 13 2 4 4" xfId="2486"/>
    <cellStyle name="Normal 13 2 4 5" xfId="3221"/>
    <cellStyle name="Normal 13 2 4 6" xfId="3874"/>
    <cellStyle name="Normal 13 2 4 7" xfId="1500"/>
    <cellStyle name="Normal 13 2 5" xfId="1757"/>
    <cellStyle name="Normal 13 2 5 2" xfId="2336"/>
    <cellStyle name="Normal 13 2 5 2 2" xfId="3659"/>
    <cellStyle name="Normal 13 2 5 2 3" xfId="3071"/>
    <cellStyle name="Normal 13 2 5 3" xfId="2777"/>
    <cellStyle name="Normal 13 2 5 4" xfId="3365"/>
    <cellStyle name="Normal 13 2 5 5" xfId="2630"/>
    <cellStyle name="Normal 13 2 6" xfId="2189"/>
    <cellStyle name="Normal 13 2 6 2" xfId="3512"/>
    <cellStyle name="Normal 13 2 6 3" xfId="2924"/>
    <cellStyle name="Normal 13 2 7" xfId="2483"/>
    <cellStyle name="Normal 13 2 8" xfId="3218"/>
    <cellStyle name="Normal 13 2 9" xfId="3875"/>
    <cellStyle name="Normal 13 3" xfId="397"/>
    <cellStyle name="Normal 13 3 10" xfId="1501"/>
    <cellStyle name="Normal 13 3 2" xfId="398"/>
    <cellStyle name="Normal 13 3 2 2" xfId="1762"/>
    <cellStyle name="Normal 13 3 2 2 2" xfId="2341"/>
    <cellStyle name="Normal 13 3 2 2 2 2" xfId="3664"/>
    <cellStyle name="Normal 13 3 2 2 2 3" xfId="3076"/>
    <cellStyle name="Normal 13 3 2 2 3" xfId="2782"/>
    <cellStyle name="Normal 13 3 2 2 4" xfId="3370"/>
    <cellStyle name="Normal 13 3 2 2 5" xfId="2635"/>
    <cellStyle name="Normal 13 3 2 3" xfId="2194"/>
    <cellStyle name="Normal 13 3 2 3 2" xfId="3517"/>
    <cellStyle name="Normal 13 3 2 3 3" xfId="2929"/>
    <cellStyle name="Normal 13 3 2 4" xfId="2488"/>
    <cellStyle name="Normal 13 3 2 5" xfId="3223"/>
    <cellStyle name="Normal 13 3 2 6" xfId="3876"/>
    <cellStyle name="Normal 13 3 2 7" xfId="1502"/>
    <cellStyle name="Normal 13 3 3" xfId="1281"/>
    <cellStyle name="Normal 13 3 3 2" xfId="1763"/>
    <cellStyle name="Normal 13 3 3 2 2" xfId="2342"/>
    <cellStyle name="Normal 13 3 3 2 2 2" xfId="3665"/>
    <cellStyle name="Normal 13 3 3 2 2 3" xfId="3077"/>
    <cellStyle name="Normal 13 3 3 2 3" xfId="2783"/>
    <cellStyle name="Normal 13 3 3 2 4" xfId="3371"/>
    <cellStyle name="Normal 13 3 3 2 5" xfId="2636"/>
    <cellStyle name="Normal 13 3 3 3" xfId="2195"/>
    <cellStyle name="Normal 13 3 3 3 2" xfId="3518"/>
    <cellStyle name="Normal 13 3 3 3 3" xfId="2930"/>
    <cellStyle name="Normal 13 3 3 4" xfId="2489"/>
    <cellStyle name="Normal 13 3 3 5" xfId="3224"/>
    <cellStyle name="Normal 13 3 3 6" xfId="3877"/>
    <cellStyle name="Normal 13 3 3 7" xfId="1503"/>
    <cellStyle name="Normal 13 3 4" xfId="1282"/>
    <cellStyle name="Normal 13 3 4 2" xfId="1764"/>
    <cellStyle name="Normal 13 3 4 2 2" xfId="2343"/>
    <cellStyle name="Normal 13 3 4 2 2 2" xfId="3666"/>
    <cellStyle name="Normal 13 3 4 2 2 3" xfId="3078"/>
    <cellStyle name="Normal 13 3 4 2 3" xfId="2784"/>
    <cellStyle name="Normal 13 3 4 2 4" xfId="3372"/>
    <cellStyle name="Normal 13 3 4 2 5" xfId="2637"/>
    <cellStyle name="Normal 13 3 4 3" xfId="2196"/>
    <cellStyle name="Normal 13 3 4 3 2" xfId="3519"/>
    <cellStyle name="Normal 13 3 4 3 3" xfId="2931"/>
    <cellStyle name="Normal 13 3 4 4" xfId="2490"/>
    <cellStyle name="Normal 13 3 4 5" xfId="3225"/>
    <cellStyle name="Normal 13 3 4 6" xfId="3878"/>
    <cellStyle name="Normal 13 3 4 7" xfId="1504"/>
    <cellStyle name="Normal 13 3 5" xfId="1761"/>
    <cellStyle name="Normal 13 3 5 2" xfId="2340"/>
    <cellStyle name="Normal 13 3 5 2 2" xfId="3663"/>
    <cellStyle name="Normal 13 3 5 2 3" xfId="3075"/>
    <cellStyle name="Normal 13 3 5 3" xfId="2781"/>
    <cellStyle name="Normal 13 3 5 4" xfId="3369"/>
    <cellStyle name="Normal 13 3 5 5" xfId="2634"/>
    <cellStyle name="Normal 13 3 6" xfId="2193"/>
    <cellStyle name="Normal 13 3 6 2" xfId="3516"/>
    <cellStyle name="Normal 13 3 6 3" xfId="2928"/>
    <cellStyle name="Normal 13 3 7" xfId="2487"/>
    <cellStyle name="Normal 13 3 8" xfId="3222"/>
    <cellStyle name="Normal 13 3 9" xfId="3879"/>
    <cellStyle name="Normal 13 4" xfId="399"/>
    <cellStyle name="Normal 13 4 10" xfId="1505"/>
    <cellStyle name="Normal 13 4 2" xfId="400"/>
    <cellStyle name="Normal 13 4 2 2" xfId="1766"/>
    <cellStyle name="Normal 13 4 2 2 2" xfId="2345"/>
    <cellStyle name="Normal 13 4 2 2 2 2" xfId="3668"/>
    <cellStyle name="Normal 13 4 2 2 2 3" xfId="3080"/>
    <cellStyle name="Normal 13 4 2 2 3" xfId="2786"/>
    <cellStyle name="Normal 13 4 2 2 4" xfId="3374"/>
    <cellStyle name="Normal 13 4 2 2 5" xfId="2639"/>
    <cellStyle name="Normal 13 4 2 3" xfId="2198"/>
    <cellStyle name="Normal 13 4 2 3 2" xfId="3521"/>
    <cellStyle name="Normal 13 4 2 3 3" xfId="2933"/>
    <cellStyle name="Normal 13 4 2 4" xfId="2492"/>
    <cellStyle name="Normal 13 4 2 5" xfId="3227"/>
    <cellStyle name="Normal 13 4 2 6" xfId="3880"/>
    <cellStyle name="Normal 13 4 2 7" xfId="1506"/>
    <cellStyle name="Normal 13 4 3" xfId="1283"/>
    <cellStyle name="Normal 13 4 3 2" xfId="1767"/>
    <cellStyle name="Normal 13 4 3 2 2" xfId="2346"/>
    <cellStyle name="Normal 13 4 3 2 2 2" xfId="3669"/>
    <cellStyle name="Normal 13 4 3 2 2 3" xfId="3081"/>
    <cellStyle name="Normal 13 4 3 2 3" xfId="2787"/>
    <cellStyle name="Normal 13 4 3 2 4" xfId="3375"/>
    <cellStyle name="Normal 13 4 3 2 5" xfId="2640"/>
    <cellStyle name="Normal 13 4 3 3" xfId="2199"/>
    <cellStyle name="Normal 13 4 3 3 2" xfId="3522"/>
    <cellStyle name="Normal 13 4 3 3 3" xfId="2934"/>
    <cellStyle name="Normal 13 4 3 4" xfId="2493"/>
    <cellStyle name="Normal 13 4 3 5" xfId="3228"/>
    <cellStyle name="Normal 13 4 3 6" xfId="3881"/>
    <cellStyle name="Normal 13 4 3 7" xfId="1507"/>
    <cellStyle name="Normal 13 4 4" xfId="1284"/>
    <cellStyle name="Normal 13 4 4 2" xfId="1768"/>
    <cellStyle name="Normal 13 4 4 2 2" xfId="2347"/>
    <cellStyle name="Normal 13 4 4 2 2 2" xfId="3670"/>
    <cellStyle name="Normal 13 4 4 2 2 3" xfId="3082"/>
    <cellStyle name="Normal 13 4 4 2 3" xfId="2788"/>
    <cellStyle name="Normal 13 4 4 2 4" xfId="3376"/>
    <cellStyle name="Normal 13 4 4 2 5" xfId="2641"/>
    <cellStyle name="Normal 13 4 4 3" xfId="2200"/>
    <cellStyle name="Normal 13 4 4 3 2" xfId="3523"/>
    <cellStyle name="Normal 13 4 4 3 3" xfId="2935"/>
    <cellStyle name="Normal 13 4 4 4" xfId="2494"/>
    <cellStyle name="Normal 13 4 4 5" xfId="3229"/>
    <cellStyle name="Normal 13 4 4 6" xfId="3882"/>
    <cellStyle name="Normal 13 4 4 7" xfId="1508"/>
    <cellStyle name="Normal 13 4 5" xfId="1765"/>
    <cellStyle name="Normal 13 4 5 2" xfId="2344"/>
    <cellStyle name="Normal 13 4 5 2 2" xfId="3667"/>
    <cellStyle name="Normal 13 4 5 2 3" xfId="3079"/>
    <cellStyle name="Normal 13 4 5 3" xfId="2785"/>
    <cellStyle name="Normal 13 4 5 4" xfId="3373"/>
    <cellStyle name="Normal 13 4 5 5" xfId="2638"/>
    <cellStyle name="Normal 13 4 6" xfId="2197"/>
    <cellStyle name="Normal 13 4 6 2" xfId="3520"/>
    <cellStyle name="Normal 13 4 6 3" xfId="2932"/>
    <cellStyle name="Normal 13 4 7" xfId="2491"/>
    <cellStyle name="Normal 13 4 8" xfId="3226"/>
    <cellStyle name="Normal 13 4 9" xfId="3883"/>
    <cellStyle name="Normal 13 5" xfId="1756"/>
    <cellStyle name="Normal 13 5 2" xfId="2335"/>
    <cellStyle name="Normal 13 5 2 2" xfId="3658"/>
    <cellStyle name="Normal 13 5 2 3" xfId="3070"/>
    <cellStyle name="Normal 13 5 3" xfId="2776"/>
    <cellStyle name="Normal 13 5 4" xfId="3364"/>
    <cellStyle name="Normal 13 5 5" xfId="2629"/>
    <cellStyle name="Normal 13 6" xfId="2188"/>
    <cellStyle name="Normal 13 6 2" xfId="3511"/>
    <cellStyle name="Normal 13 6 3" xfId="2923"/>
    <cellStyle name="Normal 13 7" xfId="2482"/>
    <cellStyle name="Normal 13 8" xfId="3217"/>
    <cellStyle name="Normal 13 9" xfId="3884"/>
    <cellStyle name="Normal 14" xfId="1568"/>
    <cellStyle name="Normal 14 2" xfId="401"/>
    <cellStyle name="Normal 14 2 2" xfId="402"/>
    <cellStyle name="Normal 14 2 2 2" xfId="1770"/>
    <cellStyle name="Normal 14 2 3" xfId="1285"/>
    <cellStyle name="Normal 14 2 3 2" xfId="1771"/>
    <cellStyle name="Normal 14 2 4" xfId="1769"/>
    <cellStyle name="Normal 14 3" xfId="403"/>
    <cellStyle name="Normal 14 3 2" xfId="404"/>
    <cellStyle name="Normal 14 3 2 2" xfId="1773"/>
    <cellStyle name="Normal 14 3 3" xfId="1286"/>
    <cellStyle name="Normal 14 3 3 2" xfId="1774"/>
    <cellStyle name="Normal 14 3 4" xfId="1772"/>
    <cellStyle name="Normal 14 4" xfId="405"/>
    <cellStyle name="Normal 14 4 2" xfId="406"/>
    <cellStyle name="Normal 14 4 2 2" xfId="1776"/>
    <cellStyle name="Normal 14 4 3" xfId="1287"/>
    <cellStyle name="Normal 14 4 3 2" xfId="1777"/>
    <cellStyle name="Normal 14 4 4" xfId="1775"/>
    <cellStyle name="Normal 15" xfId="3885"/>
    <cellStyle name="Normal 15 2" xfId="407"/>
    <cellStyle name="Normal 15 2 2" xfId="408"/>
    <cellStyle name="Normal 15 2 2 2" xfId="1779"/>
    <cellStyle name="Normal 15 2 3" xfId="1288"/>
    <cellStyle name="Normal 15 2 3 2" xfId="1780"/>
    <cellStyle name="Normal 15 2 4" xfId="1778"/>
    <cellStyle name="Normal 15 3" xfId="409"/>
    <cellStyle name="Normal 15 3 2" xfId="410"/>
    <cellStyle name="Normal 15 3 2 2" xfId="1782"/>
    <cellStyle name="Normal 15 3 3" xfId="1289"/>
    <cellStyle name="Normal 15 3 3 2" xfId="1783"/>
    <cellStyle name="Normal 15 3 4" xfId="1781"/>
    <cellStyle name="Normal 15 4" xfId="411"/>
    <cellStyle name="Normal 15 4 2" xfId="412"/>
    <cellStyle name="Normal 15 4 2 2" xfId="1785"/>
    <cellStyle name="Normal 15 4 3" xfId="1290"/>
    <cellStyle name="Normal 15 4 3 2" xfId="1786"/>
    <cellStyle name="Normal 15 4 4" xfId="1784"/>
    <cellStyle name="Normal 16" xfId="3974"/>
    <cellStyle name="Normal 16 2" xfId="413"/>
    <cellStyle name="Normal 16 2 2" xfId="414"/>
    <cellStyle name="Normal 16 2 2 2" xfId="1788"/>
    <cellStyle name="Normal 16 2 3" xfId="1291"/>
    <cellStyle name="Normal 16 2 3 2" xfId="1789"/>
    <cellStyle name="Normal 16 2 4" xfId="1787"/>
    <cellStyle name="Normal 16 3" xfId="415"/>
    <cellStyle name="Normal 16 3 2" xfId="416"/>
    <cellStyle name="Normal 16 3 2 2" xfId="1791"/>
    <cellStyle name="Normal 16 3 3" xfId="1292"/>
    <cellStyle name="Normal 16 3 3 2" xfId="1792"/>
    <cellStyle name="Normal 16 3 4" xfId="1790"/>
    <cellStyle name="Normal 16 4" xfId="417"/>
    <cellStyle name="Normal 16 4 2" xfId="418"/>
    <cellStyle name="Normal 16 4 2 2" xfId="1794"/>
    <cellStyle name="Normal 16 4 3" xfId="1293"/>
    <cellStyle name="Normal 16 4 3 2" xfId="1795"/>
    <cellStyle name="Normal 16 4 4" xfId="1793"/>
    <cellStyle name="Normal 17" xfId="3978"/>
    <cellStyle name="Normal 17 2" xfId="419"/>
    <cellStyle name="Normal 17 2 2" xfId="420"/>
    <cellStyle name="Normal 17 2 2 2" xfId="1797"/>
    <cellStyle name="Normal 17 2 3" xfId="1294"/>
    <cellStyle name="Normal 17 2 3 2" xfId="1798"/>
    <cellStyle name="Normal 17 2 4" xfId="1796"/>
    <cellStyle name="Normal 17 3" xfId="421"/>
    <cellStyle name="Normal 17 3 2" xfId="422"/>
    <cellStyle name="Normal 17 3 2 2" xfId="1800"/>
    <cellStyle name="Normal 17 3 3" xfId="1295"/>
    <cellStyle name="Normal 17 3 3 2" xfId="1801"/>
    <cellStyle name="Normal 17 3 4" xfId="1799"/>
    <cellStyle name="Normal 17 4" xfId="423"/>
    <cellStyle name="Normal 17 4 2" xfId="424"/>
    <cellStyle name="Normal 17 4 2 2" xfId="1803"/>
    <cellStyle name="Normal 17 4 3" xfId="1296"/>
    <cellStyle name="Normal 17 4 3 2" xfId="1804"/>
    <cellStyle name="Normal 17 4 4" xfId="1802"/>
    <cellStyle name="Normal 18" xfId="3996"/>
    <cellStyle name="Normal 18 2" xfId="425"/>
    <cellStyle name="Normal 18 2 2" xfId="426"/>
    <cellStyle name="Normal 18 2 2 2" xfId="1806"/>
    <cellStyle name="Normal 18 2 3" xfId="1297"/>
    <cellStyle name="Normal 18 2 3 2" xfId="1807"/>
    <cellStyle name="Normal 18 2 4" xfId="1805"/>
    <cellStyle name="Normal 18 3" xfId="427"/>
    <cellStyle name="Normal 18 3 2" xfId="428"/>
    <cellStyle name="Normal 18 3 2 2" xfId="1809"/>
    <cellStyle name="Normal 18 3 3" xfId="1298"/>
    <cellStyle name="Normal 18 3 3 2" xfId="1810"/>
    <cellStyle name="Normal 18 3 4" xfId="1808"/>
    <cellStyle name="Normal 18 4" xfId="429"/>
    <cellStyle name="Normal 18 4 2" xfId="430"/>
    <cellStyle name="Normal 18 4 2 2" xfId="1812"/>
    <cellStyle name="Normal 18 4 3" xfId="1299"/>
    <cellStyle name="Normal 18 4 3 2" xfId="1813"/>
    <cellStyle name="Normal 18 4 4" xfId="1811"/>
    <cellStyle name="Normal 19" xfId="4001"/>
    <cellStyle name="Normal 19 2" xfId="431"/>
    <cellStyle name="Normal 19 2 2" xfId="432"/>
    <cellStyle name="Normal 19 2 2 2" xfId="1815"/>
    <cellStyle name="Normal 19 2 3" xfId="1300"/>
    <cellStyle name="Normal 19 2 3 2" xfId="1816"/>
    <cellStyle name="Normal 19 2 4" xfId="1814"/>
    <cellStyle name="Normal 19 3" xfId="433"/>
    <cellStyle name="Normal 19 3 2" xfId="434"/>
    <cellStyle name="Normal 19 3 2 2" xfId="1818"/>
    <cellStyle name="Normal 19 3 3" xfId="1301"/>
    <cellStyle name="Normal 19 3 3 2" xfId="1819"/>
    <cellStyle name="Normal 19 3 4" xfId="1817"/>
    <cellStyle name="Normal 19 4" xfId="435"/>
    <cellStyle name="Normal 19 4 2" xfId="436"/>
    <cellStyle name="Normal 19 4 2 2" xfId="1821"/>
    <cellStyle name="Normal 19 4 3" xfId="1302"/>
    <cellStyle name="Normal 19 4 3 2" xfId="1822"/>
    <cellStyle name="Normal 19 4 4" xfId="1820"/>
    <cellStyle name="Normal 2" xfId="437"/>
    <cellStyle name="Normal 2 10" xfId="438"/>
    <cellStyle name="Normal 2 10 2" xfId="439"/>
    <cellStyle name="Normal 2 10 2 2" xfId="1825"/>
    <cellStyle name="Normal 2 10 3" xfId="1303"/>
    <cellStyle name="Normal 2 10 3 2" xfId="1826"/>
    <cellStyle name="Normal 2 10 4" xfId="1824"/>
    <cellStyle name="Normal 2 11" xfId="440"/>
    <cellStyle name="Normal 2 11 2" xfId="441"/>
    <cellStyle name="Normal 2 11 2 2" xfId="1828"/>
    <cellStyle name="Normal 2 11 3" xfId="1304"/>
    <cellStyle name="Normal 2 11 3 2" xfId="1829"/>
    <cellStyle name="Normal 2 11 4" xfId="1827"/>
    <cellStyle name="Normal 2 12" xfId="442"/>
    <cellStyle name="Normal 2 12 2" xfId="443"/>
    <cellStyle name="Normal 2 12 2 2" xfId="1831"/>
    <cellStyle name="Normal 2 12 3" xfId="1305"/>
    <cellStyle name="Normal 2 12 3 2" xfId="1832"/>
    <cellStyle name="Normal 2 12 4" xfId="1830"/>
    <cellStyle name="Normal 2 13" xfId="444"/>
    <cellStyle name="Normal 2 13 10" xfId="1509"/>
    <cellStyle name="Normal 2 13 2" xfId="445"/>
    <cellStyle name="Normal 2 13 2 2" xfId="1834"/>
    <cellStyle name="Normal 2 13 2 2 2" xfId="2349"/>
    <cellStyle name="Normal 2 13 2 2 2 2" xfId="3672"/>
    <cellStyle name="Normal 2 13 2 2 2 3" xfId="3084"/>
    <cellStyle name="Normal 2 13 2 2 3" xfId="2790"/>
    <cellStyle name="Normal 2 13 2 2 4" xfId="3378"/>
    <cellStyle name="Normal 2 13 2 2 5" xfId="2643"/>
    <cellStyle name="Normal 2 13 2 3" xfId="2202"/>
    <cellStyle name="Normal 2 13 2 3 2" xfId="3525"/>
    <cellStyle name="Normal 2 13 2 3 3" xfId="2937"/>
    <cellStyle name="Normal 2 13 2 4" xfId="2496"/>
    <cellStyle name="Normal 2 13 2 5" xfId="3231"/>
    <cellStyle name="Normal 2 13 2 6" xfId="3886"/>
    <cellStyle name="Normal 2 13 2 7" xfId="1510"/>
    <cellStyle name="Normal 2 13 3" xfId="1306"/>
    <cellStyle name="Normal 2 13 3 2" xfId="1835"/>
    <cellStyle name="Normal 2 13 3 2 2" xfId="2350"/>
    <cellStyle name="Normal 2 13 3 2 2 2" xfId="3673"/>
    <cellStyle name="Normal 2 13 3 2 2 3" xfId="3085"/>
    <cellStyle name="Normal 2 13 3 2 3" xfId="2791"/>
    <cellStyle name="Normal 2 13 3 2 4" xfId="3379"/>
    <cellStyle name="Normal 2 13 3 2 5" xfId="2644"/>
    <cellStyle name="Normal 2 13 3 3" xfId="2203"/>
    <cellStyle name="Normal 2 13 3 3 2" xfId="3526"/>
    <cellStyle name="Normal 2 13 3 3 3" xfId="2938"/>
    <cellStyle name="Normal 2 13 3 4" xfId="2497"/>
    <cellStyle name="Normal 2 13 3 5" xfId="3232"/>
    <cellStyle name="Normal 2 13 3 6" xfId="3887"/>
    <cellStyle name="Normal 2 13 3 7" xfId="1511"/>
    <cellStyle name="Normal 2 13 4" xfId="1307"/>
    <cellStyle name="Normal 2 13 4 2" xfId="1836"/>
    <cellStyle name="Normal 2 13 4 2 2" xfId="2351"/>
    <cellStyle name="Normal 2 13 4 2 2 2" xfId="3674"/>
    <cellStyle name="Normal 2 13 4 2 2 3" xfId="3086"/>
    <cellStyle name="Normal 2 13 4 2 3" xfId="2792"/>
    <cellStyle name="Normal 2 13 4 2 4" xfId="3380"/>
    <cellStyle name="Normal 2 13 4 2 5" xfId="2645"/>
    <cellStyle name="Normal 2 13 4 3" xfId="2204"/>
    <cellStyle name="Normal 2 13 4 3 2" xfId="3527"/>
    <cellStyle name="Normal 2 13 4 3 3" xfId="2939"/>
    <cellStyle name="Normal 2 13 4 4" xfId="2498"/>
    <cellStyle name="Normal 2 13 4 5" xfId="3233"/>
    <cellStyle name="Normal 2 13 4 6" xfId="3888"/>
    <cellStyle name="Normal 2 13 4 7" xfId="1512"/>
    <cellStyle name="Normal 2 13 5" xfId="1833"/>
    <cellStyle name="Normal 2 13 5 2" xfId="2348"/>
    <cellStyle name="Normal 2 13 5 2 2" xfId="3671"/>
    <cellStyle name="Normal 2 13 5 2 3" xfId="3083"/>
    <cellStyle name="Normal 2 13 5 3" xfId="2789"/>
    <cellStyle name="Normal 2 13 5 4" xfId="3377"/>
    <cellStyle name="Normal 2 13 5 5" xfId="2642"/>
    <cellStyle name="Normal 2 13 6" xfId="2201"/>
    <cellStyle name="Normal 2 13 6 2" xfId="3524"/>
    <cellStyle name="Normal 2 13 6 3" xfId="2936"/>
    <cellStyle name="Normal 2 13 7" xfId="2495"/>
    <cellStyle name="Normal 2 13 8" xfId="3230"/>
    <cellStyle name="Normal 2 13 9" xfId="3889"/>
    <cellStyle name="Normal 2 14" xfId="446"/>
    <cellStyle name="Normal 2 14 10" xfId="1513"/>
    <cellStyle name="Normal 2 14 2" xfId="447"/>
    <cellStyle name="Normal 2 14 2 2" xfId="1838"/>
    <cellStyle name="Normal 2 14 2 2 2" xfId="2353"/>
    <cellStyle name="Normal 2 14 2 2 2 2" xfId="3676"/>
    <cellStyle name="Normal 2 14 2 2 2 3" xfId="3088"/>
    <cellStyle name="Normal 2 14 2 2 3" xfId="2794"/>
    <cellStyle name="Normal 2 14 2 2 4" xfId="3382"/>
    <cellStyle name="Normal 2 14 2 2 5" xfId="2647"/>
    <cellStyle name="Normal 2 14 2 3" xfId="2206"/>
    <cellStyle name="Normal 2 14 2 3 2" xfId="3529"/>
    <cellStyle name="Normal 2 14 2 3 3" xfId="2941"/>
    <cellStyle name="Normal 2 14 2 4" xfId="2500"/>
    <cellStyle name="Normal 2 14 2 5" xfId="3235"/>
    <cellStyle name="Normal 2 14 2 6" xfId="3890"/>
    <cellStyle name="Normal 2 14 2 7" xfId="1514"/>
    <cellStyle name="Normal 2 14 3" xfId="1308"/>
    <cellStyle name="Normal 2 14 3 2" xfId="1839"/>
    <cellStyle name="Normal 2 14 3 2 2" xfId="2354"/>
    <cellStyle name="Normal 2 14 3 2 2 2" xfId="3677"/>
    <cellStyle name="Normal 2 14 3 2 2 3" xfId="3089"/>
    <cellStyle name="Normal 2 14 3 2 3" xfId="2795"/>
    <cellStyle name="Normal 2 14 3 2 4" xfId="3383"/>
    <cellStyle name="Normal 2 14 3 2 5" xfId="2648"/>
    <cellStyle name="Normal 2 14 3 3" xfId="2207"/>
    <cellStyle name="Normal 2 14 3 3 2" xfId="3530"/>
    <cellStyle name="Normal 2 14 3 3 3" xfId="2942"/>
    <cellStyle name="Normal 2 14 3 4" xfId="2501"/>
    <cellStyle name="Normal 2 14 3 5" xfId="3236"/>
    <cellStyle name="Normal 2 14 3 6" xfId="3891"/>
    <cellStyle name="Normal 2 14 3 7" xfId="1515"/>
    <cellStyle name="Normal 2 14 4" xfId="1309"/>
    <cellStyle name="Normal 2 14 4 2" xfId="1840"/>
    <cellStyle name="Normal 2 14 4 2 2" xfId="2355"/>
    <cellStyle name="Normal 2 14 4 2 2 2" xfId="3678"/>
    <cellStyle name="Normal 2 14 4 2 2 3" xfId="3090"/>
    <cellStyle name="Normal 2 14 4 2 3" xfId="2796"/>
    <cellStyle name="Normal 2 14 4 2 4" xfId="3384"/>
    <cellStyle name="Normal 2 14 4 2 5" xfId="2649"/>
    <cellStyle name="Normal 2 14 4 3" xfId="2208"/>
    <cellStyle name="Normal 2 14 4 3 2" xfId="3531"/>
    <cellStyle name="Normal 2 14 4 3 3" xfId="2943"/>
    <cellStyle name="Normal 2 14 4 4" xfId="2502"/>
    <cellStyle name="Normal 2 14 4 5" xfId="3237"/>
    <cellStyle name="Normal 2 14 4 6" xfId="3892"/>
    <cellStyle name="Normal 2 14 4 7" xfId="1516"/>
    <cellStyle name="Normal 2 14 5" xfId="1837"/>
    <cellStyle name="Normal 2 14 5 2" xfId="2352"/>
    <cellStyle name="Normal 2 14 5 2 2" xfId="3675"/>
    <cellStyle name="Normal 2 14 5 2 3" xfId="3087"/>
    <cellStyle name="Normal 2 14 5 3" xfId="2793"/>
    <cellStyle name="Normal 2 14 5 4" xfId="3381"/>
    <cellStyle name="Normal 2 14 5 5" xfId="2646"/>
    <cellStyle name="Normal 2 14 6" xfId="2205"/>
    <cellStyle name="Normal 2 14 6 2" xfId="3528"/>
    <cellStyle name="Normal 2 14 6 3" xfId="2940"/>
    <cellStyle name="Normal 2 14 7" xfId="2499"/>
    <cellStyle name="Normal 2 14 8" xfId="3234"/>
    <cellStyle name="Normal 2 14 9" xfId="3893"/>
    <cellStyle name="Normal 2 15" xfId="448"/>
    <cellStyle name="Normal 2 15 10" xfId="1517"/>
    <cellStyle name="Normal 2 15 2" xfId="449"/>
    <cellStyle name="Normal 2 15 2 2" xfId="1842"/>
    <cellStyle name="Normal 2 15 2 2 2" xfId="2357"/>
    <cellStyle name="Normal 2 15 2 2 2 2" xfId="3680"/>
    <cellStyle name="Normal 2 15 2 2 2 3" xfId="3092"/>
    <cellStyle name="Normal 2 15 2 2 3" xfId="2798"/>
    <cellStyle name="Normal 2 15 2 2 4" xfId="3386"/>
    <cellStyle name="Normal 2 15 2 2 5" xfId="2651"/>
    <cellStyle name="Normal 2 15 2 3" xfId="2210"/>
    <cellStyle name="Normal 2 15 2 3 2" xfId="3533"/>
    <cellStyle name="Normal 2 15 2 3 3" xfId="2945"/>
    <cellStyle name="Normal 2 15 2 4" xfId="2504"/>
    <cellStyle name="Normal 2 15 2 5" xfId="3239"/>
    <cellStyle name="Normal 2 15 2 6" xfId="3894"/>
    <cellStyle name="Normal 2 15 2 7" xfId="1518"/>
    <cellStyle name="Normal 2 15 3" xfId="1310"/>
    <cellStyle name="Normal 2 15 3 2" xfId="1843"/>
    <cellStyle name="Normal 2 15 3 2 2" xfId="2358"/>
    <cellStyle name="Normal 2 15 3 2 2 2" xfId="3681"/>
    <cellStyle name="Normal 2 15 3 2 2 3" xfId="3093"/>
    <cellStyle name="Normal 2 15 3 2 3" xfId="2799"/>
    <cellStyle name="Normal 2 15 3 2 4" xfId="3387"/>
    <cellStyle name="Normal 2 15 3 2 5" xfId="2652"/>
    <cellStyle name="Normal 2 15 3 3" xfId="2211"/>
    <cellStyle name="Normal 2 15 3 3 2" xfId="3534"/>
    <cellStyle name="Normal 2 15 3 3 3" xfId="2946"/>
    <cellStyle name="Normal 2 15 3 4" xfId="2505"/>
    <cellStyle name="Normal 2 15 3 5" xfId="3240"/>
    <cellStyle name="Normal 2 15 3 6" xfId="3895"/>
    <cellStyle name="Normal 2 15 3 7" xfId="1519"/>
    <cellStyle name="Normal 2 15 4" xfId="1311"/>
    <cellStyle name="Normal 2 15 4 2" xfId="1844"/>
    <cellStyle name="Normal 2 15 4 2 2" xfId="2359"/>
    <cellStyle name="Normal 2 15 4 2 2 2" xfId="3682"/>
    <cellStyle name="Normal 2 15 4 2 2 3" xfId="3094"/>
    <cellStyle name="Normal 2 15 4 2 3" xfId="2800"/>
    <cellStyle name="Normal 2 15 4 2 4" xfId="3388"/>
    <cellStyle name="Normal 2 15 4 2 5" xfId="2653"/>
    <cellStyle name="Normal 2 15 4 3" xfId="2212"/>
    <cellStyle name="Normal 2 15 4 3 2" xfId="3535"/>
    <cellStyle name="Normal 2 15 4 3 3" xfId="2947"/>
    <cellStyle name="Normal 2 15 4 4" xfId="2506"/>
    <cellStyle name="Normal 2 15 4 5" xfId="3241"/>
    <cellStyle name="Normal 2 15 4 6" xfId="3896"/>
    <cellStyle name="Normal 2 15 4 7" xfId="1520"/>
    <cellStyle name="Normal 2 15 5" xfId="1841"/>
    <cellStyle name="Normal 2 15 5 2" xfId="2356"/>
    <cellStyle name="Normal 2 15 5 2 2" xfId="3679"/>
    <cellStyle name="Normal 2 15 5 2 3" xfId="3091"/>
    <cellStyle name="Normal 2 15 5 3" xfId="2797"/>
    <cellStyle name="Normal 2 15 5 4" xfId="3385"/>
    <cellStyle name="Normal 2 15 5 5" xfId="2650"/>
    <cellStyle name="Normal 2 15 6" xfId="2209"/>
    <cellStyle name="Normal 2 15 6 2" xfId="3532"/>
    <cellStyle name="Normal 2 15 6 3" xfId="2944"/>
    <cellStyle name="Normal 2 15 7" xfId="2503"/>
    <cellStyle name="Normal 2 15 8" xfId="3238"/>
    <cellStyle name="Normal 2 15 9" xfId="3897"/>
    <cellStyle name="Normal 2 16" xfId="450"/>
    <cellStyle name="Normal 2 16 10" xfId="1521"/>
    <cellStyle name="Normal 2 16 2" xfId="451"/>
    <cellStyle name="Normal 2 16 2 2" xfId="1846"/>
    <cellStyle name="Normal 2 16 2 2 2" xfId="2361"/>
    <cellStyle name="Normal 2 16 2 2 2 2" xfId="3684"/>
    <cellStyle name="Normal 2 16 2 2 2 3" xfId="3096"/>
    <cellStyle name="Normal 2 16 2 2 3" xfId="2802"/>
    <cellStyle name="Normal 2 16 2 2 4" xfId="3390"/>
    <cellStyle name="Normal 2 16 2 2 5" xfId="2655"/>
    <cellStyle name="Normal 2 16 2 3" xfId="2214"/>
    <cellStyle name="Normal 2 16 2 3 2" xfId="3537"/>
    <cellStyle name="Normal 2 16 2 3 3" xfId="2949"/>
    <cellStyle name="Normal 2 16 2 4" xfId="2508"/>
    <cellStyle name="Normal 2 16 2 5" xfId="3243"/>
    <cellStyle name="Normal 2 16 2 6" xfId="3898"/>
    <cellStyle name="Normal 2 16 2 7" xfId="1522"/>
    <cellStyle name="Normal 2 16 3" xfId="1312"/>
    <cellStyle name="Normal 2 16 3 2" xfId="1847"/>
    <cellStyle name="Normal 2 16 3 2 2" xfId="2362"/>
    <cellStyle name="Normal 2 16 3 2 2 2" xfId="3685"/>
    <cellStyle name="Normal 2 16 3 2 2 3" xfId="3097"/>
    <cellStyle name="Normal 2 16 3 2 3" xfId="2803"/>
    <cellStyle name="Normal 2 16 3 2 4" xfId="3391"/>
    <cellStyle name="Normal 2 16 3 2 5" xfId="2656"/>
    <cellStyle name="Normal 2 16 3 3" xfId="2215"/>
    <cellStyle name="Normal 2 16 3 3 2" xfId="3538"/>
    <cellStyle name="Normal 2 16 3 3 3" xfId="2950"/>
    <cellStyle name="Normal 2 16 3 4" xfId="2509"/>
    <cellStyle name="Normal 2 16 3 5" xfId="3244"/>
    <cellStyle name="Normal 2 16 3 6" xfId="3899"/>
    <cellStyle name="Normal 2 16 3 7" xfId="1523"/>
    <cellStyle name="Normal 2 16 4" xfId="1313"/>
    <cellStyle name="Normal 2 16 4 2" xfId="1848"/>
    <cellStyle name="Normal 2 16 4 2 2" xfId="2363"/>
    <cellStyle name="Normal 2 16 4 2 2 2" xfId="3686"/>
    <cellStyle name="Normal 2 16 4 2 2 3" xfId="3098"/>
    <cellStyle name="Normal 2 16 4 2 3" xfId="2804"/>
    <cellStyle name="Normal 2 16 4 2 4" xfId="3392"/>
    <cellStyle name="Normal 2 16 4 2 5" xfId="2657"/>
    <cellStyle name="Normal 2 16 4 3" xfId="2216"/>
    <cellStyle name="Normal 2 16 4 3 2" xfId="3539"/>
    <cellStyle name="Normal 2 16 4 3 3" xfId="2951"/>
    <cellStyle name="Normal 2 16 4 4" xfId="2510"/>
    <cellStyle name="Normal 2 16 4 5" xfId="3245"/>
    <cellStyle name="Normal 2 16 4 6" xfId="3900"/>
    <cellStyle name="Normal 2 16 4 7" xfId="1524"/>
    <cellStyle name="Normal 2 16 5" xfId="1845"/>
    <cellStyle name="Normal 2 16 5 2" xfId="2360"/>
    <cellStyle name="Normal 2 16 5 2 2" xfId="3683"/>
    <cellStyle name="Normal 2 16 5 2 3" xfId="3095"/>
    <cellStyle name="Normal 2 16 5 3" xfId="2801"/>
    <cellStyle name="Normal 2 16 5 4" xfId="3389"/>
    <cellStyle name="Normal 2 16 5 5" xfId="2654"/>
    <cellStyle name="Normal 2 16 6" xfId="2213"/>
    <cellStyle name="Normal 2 16 6 2" xfId="3536"/>
    <cellStyle name="Normal 2 16 6 3" xfId="2948"/>
    <cellStyle name="Normal 2 16 7" xfId="2507"/>
    <cellStyle name="Normal 2 16 8" xfId="3242"/>
    <cellStyle name="Normal 2 16 9" xfId="3901"/>
    <cellStyle name="Normal 2 17" xfId="452"/>
    <cellStyle name="Normal 2 17 10" xfId="1525"/>
    <cellStyle name="Normal 2 17 2" xfId="453"/>
    <cellStyle name="Normal 2 17 2 2" xfId="1850"/>
    <cellStyle name="Normal 2 17 2 2 2" xfId="2365"/>
    <cellStyle name="Normal 2 17 2 2 2 2" xfId="3688"/>
    <cellStyle name="Normal 2 17 2 2 2 3" xfId="3100"/>
    <cellStyle name="Normal 2 17 2 2 3" xfId="2806"/>
    <cellStyle name="Normal 2 17 2 2 4" xfId="3394"/>
    <cellStyle name="Normal 2 17 2 2 5" xfId="2659"/>
    <cellStyle name="Normal 2 17 2 3" xfId="2218"/>
    <cellStyle name="Normal 2 17 2 3 2" xfId="3541"/>
    <cellStyle name="Normal 2 17 2 3 3" xfId="2953"/>
    <cellStyle name="Normal 2 17 2 4" xfId="2512"/>
    <cellStyle name="Normal 2 17 2 5" xfId="3247"/>
    <cellStyle name="Normal 2 17 2 6" xfId="3902"/>
    <cellStyle name="Normal 2 17 2 7" xfId="1526"/>
    <cellStyle name="Normal 2 17 3" xfId="1314"/>
    <cellStyle name="Normal 2 17 3 2" xfId="1851"/>
    <cellStyle name="Normal 2 17 3 2 2" xfId="2366"/>
    <cellStyle name="Normal 2 17 3 2 2 2" xfId="3689"/>
    <cellStyle name="Normal 2 17 3 2 2 3" xfId="3101"/>
    <cellStyle name="Normal 2 17 3 2 3" xfId="2807"/>
    <cellStyle name="Normal 2 17 3 2 4" xfId="3395"/>
    <cellStyle name="Normal 2 17 3 2 5" xfId="2660"/>
    <cellStyle name="Normal 2 17 3 3" xfId="2219"/>
    <cellStyle name="Normal 2 17 3 3 2" xfId="3542"/>
    <cellStyle name="Normal 2 17 3 3 3" xfId="2954"/>
    <cellStyle name="Normal 2 17 3 4" xfId="2513"/>
    <cellStyle name="Normal 2 17 3 5" xfId="3248"/>
    <cellStyle name="Normal 2 17 3 6" xfId="3903"/>
    <cellStyle name="Normal 2 17 3 7" xfId="1527"/>
    <cellStyle name="Normal 2 17 4" xfId="1315"/>
    <cellStyle name="Normal 2 17 4 2" xfId="1852"/>
    <cellStyle name="Normal 2 17 4 2 2" xfId="2367"/>
    <cellStyle name="Normal 2 17 4 2 2 2" xfId="3690"/>
    <cellStyle name="Normal 2 17 4 2 2 3" xfId="3102"/>
    <cellStyle name="Normal 2 17 4 2 3" xfId="2808"/>
    <cellStyle name="Normal 2 17 4 2 4" xfId="3396"/>
    <cellStyle name="Normal 2 17 4 2 5" xfId="2661"/>
    <cellStyle name="Normal 2 17 4 3" xfId="2220"/>
    <cellStyle name="Normal 2 17 4 3 2" xfId="3543"/>
    <cellStyle name="Normal 2 17 4 3 3" xfId="2955"/>
    <cellStyle name="Normal 2 17 4 4" xfId="2514"/>
    <cellStyle name="Normal 2 17 4 5" xfId="3249"/>
    <cellStyle name="Normal 2 17 4 6" xfId="3904"/>
    <cellStyle name="Normal 2 17 4 7" xfId="1528"/>
    <cellStyle name="Normal 2 17 5" xfId="1849"/>
    <cellStyle name="Normal 2 17 5 2" xfId="2364"/>
    <cellStyle name="Normal 2 17 5 2 2" xfId="3687"/>
    <cellStyle name="Normal 2 17 5 2 3" xfId="3099"/>
    <cellStyle name="Normal 2 17 5 3" xfId="2805"/>
    <cellStyle name="Normal 2 17 5 4" xfId="3393"/>
    <cellStyle name="Normal 2 17 5 5" xfId="2658"/>
    <cellStyle name="Normal 2 17 6" xfId="2217"/>
    <cellStyle name="Normal 2 17 6 2" xfId="3540"/>
    <cellStyle name="Normal 2 17 6 3" xfId="2952"/>
    <cellStyle name="Normal 2 17 7" xfId="2511"/>
    <cellStyle name="Normal 2 17 8" xfId="3246"/>
    <cellStyle name="Normal 2 17 9" xfId="3905"/>
    <cellStyle name="Normal 2 18" xfId="454"/>
    <cellStyle name="Normal 2 18 10" xfId="1529"/>
    <cellStyle name="Normal 2 18 2" xfId="455"/>
    <cellStyle name="Normal 2 18 2 2" xfId="1854"/>
    <cellStyle name="Normal 2 18 2 2 2" xfId="2369"/>
    <cellStyle name="Normal 2 18 2 2 2 2" xfId="3692"/>
    <cellStyle name="Normal 2 18 2 2 2 3" xfId="3104"/>
    <cellStyle name="Normal 2 18 2 2 3" xfId="2810"/>
    <cellStyle name="Normal 2 18 2 2 4" xfId="3398"/>
    <cellStyle name="Normal 2 18 2 2 5" xfId="2663"/>
    <cellStyle name="Normal 2 18 2 3" xfId="2222"/>
    <cellStyle name="Normal 2 18 2 3 2" xfId="3545"/>
    <cellStyle name="Normal 2 18 2 3 3" xfId="2957"/>
    <cellStyle name="Normal 2 18 2 4" xfId="2516"/>
    <cellStyle name="Normal 2 18 2 5" xfId="3251"/>
    <cellStyle name="Normal 2 18 2 6" xfId="3906"/>
    <cellStyle name="Normal 2 18 2 7" xfId="1530"/>
    <cellStyle name="Normal 2 18 3" xfId="1316"/>
    <cellStyle name="Normal 2 18 3 2" xfId="1855"/>
    <cellStyle name="Normal 2 18 3 2 2" xfId="2370"/>
    <cellStyle name="Normal 2 18 3 2 2 2" xfId="3693"/>
    <cellStyle name="Normal 2 18 3 2 2 3" xfId="3105"/>
    <cellStyle name="Normal 2 18 3 2 3" xfId="2811"/>
    <cellStyle name="Normal 2 18 3 2 4" xfId="3399"/>
    <cellStyle name="Normal 2 18 3 2 5" xfId="2664"/>
    <cellStyle name="Normal 2 18 3 3" xfId="2223"/>
    <cellStyle name="Normal 2 18 3 3 2" xfId="3546"/>
    <cellStyle name="Normal 2 18 3 3 3" xfId="2958"/>
    <cellStyle name="Normal 2 18 3 4" xfId="2517"/>
    <cellStyle name="Normal 2 18 3 5" xfId="3252"/>
    <cellStyle name="Normal 2 18 3 6" xfId="3907"/>
    <cellStyle name="Normal 2 18 3 7" xfId="1531"/>
    <cellStyle name="Normal 2 18 4" xfId="1317"/>
    <cellStyle name="Normal 2 18 4 2" xfId="1856"/>
    <cellStyle name="Normal 2 18 4 2 2" xfId="2371"/>
    <cellStyle name="Normal 2 18 4 2 2 2" xfId="3694"/>
    <cellStyle name="Normal 2 18 4 2 2 3" xfId="3106"/>
    <cellStyle name="Normal 2 18 4 2 3" xfId="2812"/>
    <cellStyle name="Normal 2 18 4 2 4" xfId="3400"/>
    <cellStyle name="Normal 2 18 4 2 5" xfId="2665"/>
    <cellStyle name="Normal 2 18 4 3" xfId="2224"/>
    <cellStyle name="Normal 2 18 4 3 2" xfId="3547"/>
    <cellStyle name="Normal 2 18 4 3 3" xfId="2959"/>
    <cellStyle name="Normal 2 18 4 4" xfId="2518"/>
    <cellStyle name="Normal 2 18 4 5" xfId="3253"/>
    <cellStyle name="Normal 2 18 4 6" xfId="3908"/>
    <cellStyle name="Normal 2 18 4 7" xfId="1532"/>
    <cellStyle name="Normal 2 18 5" xfId="1853"/>
    <cellStyle name="Normal 2 18 5 2" xfId="2368"/>
    <cellStyle name="Normal 2 18 5 2 2" xfId="3691"/>
    <cellStyle name="Normal 2 18 5 2 3" xfId="3103"/>
    <cellStyle name="Normal 2 18 5 3" xfId="2809"/>
    <cellStyle name="Normal 2 18 5 4" xfId="3397"/>
    <cellStyle name="Normal 2 18 5 5" xfId="2662"/>
    <cellStyle name="Normal 2 18 6" xfId="2221"/>
    <cellStyle name="Normal 2 18 6 2" xfId="3544"/>
    <cellStyle name="Normal 2 18 6 3" xfId="2956"/>
    <cellStyle name="Normal 2 18 7" xfId="2515"/>
    <cellStyle name="Normal 2 18 8" xfId="3250"/>
    <cellStyle name="Normal 2 18 9" xfId="3909"/>
    <cellStyle name="Normal 2 19" xfId="456"/>
    <cellStyle name="Normal 2 19 2" xfId="457"/>
    <cellStyle name="Normal 2 19 2 2" xfId="1858"/>
    <cellStyle name="Normal 2 19 3" xfId="1318"/>
    <cellStyle name="Normal 2 19 3 2" xfId="1859"/>
    <cellStyle name="Normal 2 19 4" xfId="1857"/>
    <cellStyle name="Normal 2 2" xfId="458"/>
    <cellStyle name="Normal 2 2 2" xfId="459"/>
    <cellStyle name="Normal 2 2 2 2" xfId="1861"/>
    <cellStyle name="Normal 2 2 3" xfId="1319"/>
    <cellStyle name="Normal 2 2 3 2" xfId="1862"/>
    <cellStyle name="Normal 2 2 4" xfId="1860"/>
    <cellStyle name="Normal 2 2 5" xfId="3983"/>
    <cellStyle name="Normal 2 2 6" xfId="3991"/>
    <cellStyle name="Normal 2 20" xfId="460"/>
    <cellStyle name="Normal 2 20 2" xfId="461"/>
    <cellStyle name="Normal 2 20 2 2" xfId="1864"/>
    <cellStyle name="Normal 2 20 3" xfId="1320"/>
    <cellStyle name="Normal 2 20 3 2" xfId="1865"/>
    <cellStyle name="Normal 2 20 4" xfId="1863"/>
    <cellStyle name="Normal 2 21" xfId="462"/>
    <cellStyle name="Normal 2 21 2" xfId="463"/>
    <cellStyle name="Normal 2 21 2 2" xfId="1867"/>
    <cellStyle name="Normal 2 21 3" xfId="1321"/>
    <cellStyle name="Normal 2 21 3 2" xfId="1868"/>
    <cellStyle name="Normal 2 21 4" xfId="1866"/>
    <cellStyle name="Normal 2 22" xfId="464"/>
    <cellStyle name="Normal 2 22 2" xfId="1869"/>
    <cellStyle name="Normal 2 23" xfId="1322"/>
    <cellStyle name="Normal 2 23 2" xfId="1870"/>
    <cellStyle name="Normal 2 24" xfId="1823"/>
    <cellStyle name="Normal 2 25" xfId="3980"/>
    <cellStyle name="Normal 2 3" xfId="465"/>
    <cellStyle name="Normal 2 3 2" xfId="466"/>
    <cellStyle name="Normal 2 3 2 2" xfId="1872"/>
    <cellStyle name="Normal 2 3 3" xfId="1323"/>
    <cellStyle name="Normal 2 3 3 2" xfId="1873"/>
    <cellStyle name="Normal 2 3 4" xfId="1871"/>
    <cellStyle name="Normal 2 4" xfId="467"/>
    <cellStyle name="Normal 2 4 2" xfId="468"/>
    <cellStyle name="Normal 2 4 2 2" xfId="1875"/>
    <cellStyle name="Normal 2 4 3" xfId="1324"/>
    <cellStyle name="Normal 2 4 3 2" xfId="1876"/>
    <cellStyle name="Normal 2 4 4" xfId="1874"/>
    <cellStyle name="Normal 2 5" xfId="469"/>
    <cellStyle name="Normal 2 5 2" xfId="470"/>
    <cellStyle name="Normal 2 5 2 2" xfId="1878"/>
    <cellStyle name="Normal 2 5 3" xfId="1325"/>
    <cellStyle name="Normal 2 5 3 2" xfId="1879"/>
    <cellStyle name="Normal 2 5 4" xfId="1877"/>
    <cellStyle name="Normal 2 6" xfId="471"/>
    <cellStyle name="Normal 2 6 2" xfId="472"/>
    <cellStyle name="Normal 2 6 2 2" xfId="1881"/>
    <cellStyle name="Normal 2 6 3" xfId="1326"/>
    <cellStyle name="Normal 2 6 3 2" xfId="1882"/>
    <cellStyle name="Normal 2 6 4" xfId="1880"/>
    <cellStyle name="Normal 2 7" xfId="473"/>
    <cellStyle name="Normal 2 7 2" xfId="474"/>
    <cellStyle name="Normal 2 7 2 2" xfId="1884"/>
    <cellStyle name="Normal 2 7 3" xfId="1327"/>
    <cellStyle name="Normal 2 7 3 2" xfId="1885"/>
    <cellStyle name="Normal 2 7 4" xfId="1883"/>
    <cellStyle name="Normal 2 8" xfId="475"/>
    <cellStyle name="Normal 2 8 2" xfId="476"/>
    <cellStyle name="Normal 2 8 2 2" xfId="1887"/>
    <cellStyle name="Normal 2 8 3" xfId="1328"/>
    <cellStyle name="Normal 2 8 3 2" xfId="1888"/>
    <cellStyle name="Normal 2 8 4" xfId="1886"/>
    <cellStyle name="Normal 2 9" xfId="477"/>
    <cellStyle name="Normal 2 9 2" xfId="478"/>
    <cellStyle name="Normal 2 9 2 2" xfId="1890"/>
    <cellStyle name="Normal 2 9 3" xfId="1329"/>
    <cellStyle name="Normal 2 9 3 2" xfId="1891"/>
    <cellStyle name="Normal 2 9 4" xfId="1889"/>
    <cellStyle name="Normal 20" xfId="4002"/>
    <cellStyle name="Normal 20 2" xfId="479"/>
    <cellStyle name="Normal 21" xfId="4003"/>
    <cellStyle name="Normal 21 2" xfId="480"/>
    <cellStyle name="Normal 22" xfId="4004"/>
    <cellStyle name="Normal 22 2" xfId="481"/>
    <cellStyle name="Normal 23" xfId="4008"/>
    <cellStyle name="Normal 23 2" xfId="482"/>
    <cellStyle name="Normal 24 2" xfId="483"/>
    <cellStyle name="Normal 25 2" xfId="484"/>
    <cellStyle name="Normal 26" xfId="485"/>
    <cellStyle name="Normal 27" xfId="486"/>
    <cellStyle name="Normal 28" xfId="487"/>
    <cellStyle name="Normal 29" xfId="488"/>
    <cellStyle name="Normal 3" xfId="489"/>
    <cellStyle name="Normal 3 10" xfId="490"/>
    <cellStyle name="Normal 3 11" xfId="491"/>
    <cellStyle name="Normal 3 12" xfId="492"/>
    <cellStyle name="Normal 3 13" xfId="493"/>
    <cellStyle name="Normal 3 14" xfId="494"/>
    <cellStyle name="Normal 3 15" xfId="495"/>
    <cellStyle name="Normal 3 16" xfId="496"/>
    <cellStyle name="Normal 3 17" xfId="497"/>
    <cellStyle name="Normal 3 18" xfId="498"/>
    <cellStyle name="Normal 3 19" xfId="499"/>
    <cellStyle name="Normal 3 2" xfId="500"/>
    <cellStyle name="Normal 3 2 2" xfId="501"/>
    <cellStyle name="Normal 3 2 2 2" xfId="1893"/>
    <cellStyle name="Normal 3 2 3" xfId="502"/>
    <cellStyle name="Normal 3 2 3 2" xfId="1894"/>
    <cellStyle name="Normal 3 2 3 3" xfId="1533"/>
    <cellStyle name="Normal 3 2 4" xfId="1892"/>
    <cellStyle name="Normal 3 20" xfId="503"/>
    <cellStyle name="Normal 3 21" xfId="504"/>
    <cellStyle name="Normal 3 22" xfId="505"/>
    <cellStyle name="Normal 3 23" xfId="506"/>
    <cellStyle name="Normal 3 24" xfId="507"/>
    <cellStyle name="Normal 3 25" xfId="508"/>
    <cellStyle name="Normal 3 26" xfId="509"/>
    <cellStyle name="Normal 3 27" xfId="510"/>
    <cellStyle name="Normal 3 28" xfId="511"/>
    <cellStyle name="Normal 3 29" xfId="512"/>
    <cellStyle name="Normal 3 3" xfId="513"/>
    <cellStyle name="Normal 3 3 10" xfId="514"/>
    <cellStyle name="Normal 3 3 11" xfId="515"/>
    <cellStyle name="Normal 3 3 12" xfId="516"/>
    <cellStyle name="Normal 3 3 13" xfId="517"/>
    <cellStyle name="Normal 3 3 14" xfId="518"/>
    <cellStyle name="Normal 3 3 15" xfId="519"/>
    <cellStyle name="Normal 3 3 16" xfId="520"/>
    <cellStyle name="Normal 3 3 17" xfId="521"/>
    <cellStyle name="Normal 3 3 18" xfId="522"/>
    <cellStyle name="Normal 3 3 19" xfId="523"/>
    <cellStyle name="Normal 3 3 2" xfId="524"/>
    <cellStyle name="Normal 3 3 2 2" xfId="1330"/>
    <cellStyle name="Normal 3 3 2 2 2" xfId="1897"/>
    <cellStyle name="Normal 3 3 2 2 2 2" xfId="2374"/>
    <cellStyle name="Normal 3 3 2 2 2 2 2" xfId="3697"/>
    <cellStyle name="Normal 3 3 2 2 2 2 3" xfId="3109"/>
    <cellStyle name="Normal 3 3 2 2 2 3" xfId="2815"/>
    <cellStyle name="Normal 3 3 2 2 2 4" xfId="3403"/>
    <cellStyle name="Normal 3 3 2 2 2 5" xfId="2668"/>
    <cellStyle name="Normal 3 3 2 2 3" xfId="2227"/>
    <cellStyle name="Normal 3 3 2 2 3 2" xfId="3550"/>
    <cellStyle name="Normal 3 3 2 2 3 3" xfId="2962"/>
    <cellStyle name="Normal 3 3 2 2 4" xfId="2521"/>
    <cellStyle name="Normal 3 3 2 2 5" xfId="3256"/>
    <cellStyle name="Normal 3 3 2 2 6" xfId="3910"/>
    <cellStyle name="Normal 3 3 2 2 7" xfId="1536"/>
    <cellStyle name="Normal 3 3 2 3" xfId="1896"/>
    <cellStyle name="Normal 3 3 2 3 2" xfId="2373"/>
    <cellStyle name="Normal 3 3 2 3 2 2" xfId="3696"/>
    <cellStyle name="Normal 3 3 2 3 2 3" xfId="3108"/>
    <cellStyle name="Normal 3 3 2 3 3" xfId="2814"/>
    <cellStyle name="Normal 3 3 2 3 4" xfId="3402"/>
    <cellStyle name="Normal 3 3 2 3 5" xfId="2667"/>
    <cellStyle name="Normal 3 3 2 4" xfId="2226"/>
    <cellStyle name="Normal 3 3 2 4 2" xfId="3549"/>
    <cellStyle name="Normal 3 3 2 4 3" xfId="2961"/>
    <cellStyle name="Normal 3 3 2 5" xfId="2520"/>
    <cellStyle name="Normal 3 3 2 6" xfId="3255"/>
    <cellStyle name="Normal 3 3 2 7" xfId="3911"/>
    <cellStyle name="Normal 3 3 2 8" xfId="1535"/>
    <cellStyle name="Normal 3 3 20" xfId="525"/>
    <cellStyle name="Normal 3 3 21" xfId="526"/>
    <cellStyle name="Normal 3 3 22" xfId="527"/>
    <cellStyle name="Normal 3 3 23" xfId="528"/>
    <cellStyle name="Normal 3 3 24" xfId="529"/>
    <cellStyle name="Normal 3 3 25" xfId="530"/>
    <cellStyle name="Normal 3 3 26" xfId="531"/>
    <cellStyle name="Normal 3 3 27" xfId="532"/>
    <cellStyle name="Normal 3 3 28" xfId="533"/>
    <cellStyle name="Normal 3 3 29" xfId="534"/>
    <cellStyle name="Normal 3 3 3" xfId="535"/>
    <cellStyle name="Normal 3 3 3 2" xfId="1898"/>
    <cellStyle name="Normal 3 3 3 2 2" xfId="2375"/>
    <cellStyle name="Normal 3 3 3 2 2 2" xfId="3698"/>
    <cellStyle name="Normal 3 3 3 2 2 3" xfId="3110"/>
    <cellStyle name="Normal 3 3 3 2 3" xfId="2816"/>
    <cellStyle name="Normal 3 3 3 2 4" xfId="3404"/>
    <cellStyle name="Normal 3 3 3 2 5" xfId="2669"/>
    <cellStyle name="Normal 3 3 3 3" xfId="2228"/>
    <cellStyle name="Normal 3 3 3 3 2" xfId="3551"/>
    <cellStyle name="Normal 3 3 3 3 3" xfId="2963"/>
    <cellStyle name="Normal 3 3 3 4" xfId="2522"/>
    <cellStyle name="Normal 3 3 3 5" xfId="3257"/>
    <cellStyle name="Normal 3 3 3 6" xfId="3912"/>
    <cellStyle name="Normal 3 3 3 7" xfId="1537"/>
    <cellStyle name="Normal 3 3 30" xfId="536"/>
    <cellStyle name="Normal 3 3 31" xfId="537"/>
    <cellStyle name="Normal 3 3 32" xfId="538"/>
    <cellStyle name="Normal 3 3 33" xfId="539"/>
    <cellStyle name="Normal 3 3 34" xfId="540"/>
    <cellStyle name="Normal 3 3 35" xfId="541"/>
    <cellStyle name="Normal 3 3 36" xfId="542"/>
    <cellStyle name="Normal 3 3 37" xfId="543"/>
    <cellStyle name="Normal 3 3 38" xfId="544"/>
    <cellStyle name="Normal 3 3 39" xfId="545"/>
    <cellStyle name="Normal 3 3 4" xfId="546"/>
    <cellStyle name="Normal 3 3 4 2" xfId="1899"/>
    <cellStyle name="Normal 3 3 4 3" xfId="1538"/>
    <cellStyle name="Normal 3 3 40" xfId="547"/>
    <cellStyle name="Normal 3 3 41" xfId="548"/>
    <cellStyle name="Normal 3 3 42" xfId="549"/>
    <cellStyle name="Normal 3 3 43" xfId="550"/>
    <cellStyle name="Normal 3 3 44" xfId="551"/>
    <cellStyle name="Normal 3 3 45" xfId="552"/>
    <cellStyle name="Normal 3 3 46" xfId="553"/>
    <cellStyle name="Normal 3 3 47" xfId="554"/>
    <cellStyle name="Normal 3 3 48" xfId="555"/>
    <cellStyle name="Normal 3 3 49" xfId="556"/>
    <cellStyle name="Normal 3 3 5" xfId="557"/>
    <cellStyle name="Normal 3 3 5 2" xfId="2372"/>
    <cellStyle name="Normal 3 3 5 2 2" xfId="3695"/>
    <cellStyle name="Normal 3 3 5 2 3" xfId="3107"/>
    <cellStyle name="Normal 3 3 5 3" xfId="2813"/>
    <cellStyle name="Normal 3 3 5 4" xfId="3401"/>
    <cellStyle name="Normal 3 3 5 5" xfId="2666"/>
    <cellStyle name="Normal 3 3 5 6" xfId="1895"/>
    <cellStyle name="Normal 3 3 50" xfId="558"/>
    <cellStyle name="Normal 3 3 51" xfId="559"/>
    <cellStyle name="Normal 3 3 52" xfId="560"/>
    <cellStyle name="Normal 3 3 53" xfId="561"/>
    <cellStyle name="Normal 3 3 54" xfId="562"/>
    <cellStyle name="Normal 3 3 55" xfId="563"/>
    <cellStyle name="Normal 3 3 56" xfId="564"/>
    <cellStyle name="Normal 3 3 57" xfId="565"/>
    <cellStyle name="Normal 3 3 58" xfId="566"/>
    <cellStyle name="Normal 3 3 59" xfId="567"/>
    <cellStyle name="Normal 3 3 6" xfId="568"/>
    <cellStyle name="Normal 3 3 6 2" xfId="3548"/>
    <cellStyle name="Normal 3 3 6 3" xfId="2960"/>
    <cellStyle name="Normal 3 3 6 4" xfId="2225"/>
    <cellStyle name="Normal 3 3 60" xfId="569"/>
    <cellStyle name="Normal 3 3 61" xfId="570"/>
    <cellStyle name="Normal 3 3 62" xfId="571"/>
    <cellStyle name="Normal 3 3 63" xfId="572"/>
    <cellStyle name="Normal 3 3 64" xfId="573"/>
    <cellStyle name="Normal 3 3 65" xfId="574"/>
    <cellStyle name="Normal 3 3 66" xfId="575"/>
    <cellStyle name="Normal 3 3 67" xfId="576"/>
    <cellStyle name="Normal 3 3 68" xfId="577"/>
    <cellStyle name="Normal 3 3 69" xfId="578"/>
    <cellStyle name="Normal 3 3 7" xfId="579"/>
    <cellStyle name="Normal 3 3 7 2" xfId="2519"/>
    <cellStyle name="Normal 3 3 70" xfId="580"/>
    <cellStyle name="Normal 3 3 71" xfId="581"/>
    <cellStyle name="Normal 3 3 72" xfId="582"/>
    <cellStyle name="Normal 3 3 73" xfId="583"/>
    <cellStyle name="Normal 3 3 74" xfId="584"/>
    <cellStyle name="Normal 3 3 75" xfId="585"/>
    <cellStyle name="Normal 3 3 76" xfId="586"/>
    <cellStyle name="Normal 3 3 77" xfId="587"/>
    <cellStyle name="Normal 3 3 78" xfId="588"/>
    <cellStyle name="Normal 3 3 79" xfId="589"/>
    <cellStyle name="Normal 3 3 8" xfId="590"/>
    <cellStyle name="Normal 3 3 8 2" xfId="3254"/>
    <cellStyle name="Normal 3 3 80" xfId="591"/>
    <cellStyle name="Normal 3 3 81" xfId="592"/>
    <cellStyle name="Normal 3 3 82" xfId="593"/>
    <cellStyle name="Normal 3 3 83" xfId="594"/>
    <cellStyle name="Normal 3 3 84" xfId="595"/>
    <cellStyle name="Normal 3 3 85" xfId="596"/>
    <cellStyle name="Normal 3 3 86" xfId="597"/>
    <cellStyle name="Normal 3 3 87" xfId="598"/>
    <cellStyle name="Normal 3 3 88" xfId="599"/>
    <cellStyle name="Normal 3 3 89" xfId="600"/>
    <cellStyle name="Normal 3 3 9" xfId="601"/>
    <cellStyle name="Normal 3 3 9 2" xfId="3913"/>
    <cellStyle name="Normal 3 3 90" xfId="602"/>
    <cellStyle name="Normal 3 3 91" xfId="603"/>
    <cellStyle name="Normal 3 3 92" xfId="1534"/>
    <cellStyle name="Normal 3 30" xfId="604"/>
    <cellStyle name="Normal 3 31" xfId="605"/>
    <cellStyle name="Normal 3 32" xfId="606"/>
    <cellStyle name="Normal 3 33" xfId="607"/>
    <cellStyle name="Normal 3 34" xfId="608"/>
    <cellStyle name="Normal 3 35" xfId="609"/>
    <cellStyle name="Normal 3 36" xfId="610"/>
    <cellStyle name="Normal 3 37" xfId="611"/>
    <cellStyle name="Normal 3 38" xfId="612"/>
    <cellStyle name="Normal 3 39" xfId="613"/>
    <cellStyle name="Normal 3 4" xfId="614"/>
    <cellStyle name="Normal 3 4 2" xfId="615"/>
    <cellStyle name="Normal 3 40" xfId="616"/>
    <cellStyle name="Normal 3 41" xfId="617"/>
    <cellStyle name="Normal 3 42" xfId="618"/>
    <cellStyle name="Normal 3 43" xfId="619"/>
    <cellStyle name="Normal 3 44" xfId="620"/>
    <cellStyle name="Normal 3 45" xfId="621"/>
    <cellStyle name="Normal 3 46" xfId="622"/>
    <cellStyle name="Normal 3 47" xfId="623"/>
    <cellStyle name="Normal 3 48" xfId="624"/>
    <cellStyle name="Normal 3 49" xfId="625"/>
    <cellStyle name="Normal 3 5" xfId="626"/>
    <cellStyle name="Normal 3 5 2" xfId="627"/>
    <cellStyle name="Normal 3 5 2 2" xfId="628"/>
    <cellStyle name="Normal 3 5 2 2 2" xfId="1902"/>
    <cellStyle name="Normal 3 5 2 3" xfId="1331"/>
    <cellStyle name="Normal 3 5 2 3 2" xfId="1903"/>
    <cellStyle name="Normal 3 5 2 4" xfId="1901"/>
    <cellStyle name="Normal 3 5 3" xfId="629"/>
    <cellStyle name="Normal 3 5 3 2" xfId="1904"/>
    <cellStyle name="Normal 3 5 4" xfId="1332"/>
    <cellStyle name="Normal 3 5 4 2" xfId="1905"/>
    <cellStyle name="Normal 3 5 5" xfId="1900"/>
    <cellStyle name="Normal 3 50" xfId="630"/>
    <cellStyle name="Normal 3 51" xfId="631"/>
    <cellStyle name="Normal 3 52" xfId="632"/>
    <cellStyle name="Normal 3 53" xfId="633"/>
    <cellStyle name="Normal 3 54" xfId="634"/>
    <cellStyle name="Normal 3 55" xfId="635"/>
    <cellStyle name="Normal 3 56" xfId="636"/>
    <cellStyle name="Normal 3 57" xfId="637"/>
    <cellStyle name="Normal 3 58" xfId="638"/>
    <cellStyle name="Normal 3 59" xfId="639"/>
    <cellStyle name="Normal 3 6" xfId="640"/>
    <cellStyle name="Normal 3 60" xfId="641"/>
    <cellStyle name="Normal 3 61" xfId="642"/>
    <cellStyle name="Normal 3 62" xfId="643"/>
    <cellStyle name="Normal 3 63" xfId="644"/>
    <cellStyle name="Normal 3 64" xfId="645"/>
    <cellStyle name="Normal 3 65" xfId="646"/>
    <cellStyle name="Normal 3 66" xfId="647"/>
    <cellStyle name="Normal 3 67" xfId="648"/>
    <cellStyle name="Normal 3 68" xfId="649"/>
    <cellStyle name="Normal 3 69" xfId="650"/>
    <cellStyle name="Normal 3 7" xfId="651"/>
    <cellStyle name="Normal 3 70" xfId="652"/>
    <cellStyle name="Normal 3 71" xfId="653"/>
    <cellStyle name="Normal 3 72" xfId="654"/>
    <cellStyle name="Normal 3 73" xfId="655"/>
    <cellStyle name="Normal 3 74" xfId="656"/>
    <cellStyle name="Normal 3 75" xfId="657"/>
    <cellStyle name="Normal 3 76" xfId="658"/>
    <cellStyle name="Normal 3 77" xfId="659"/>
    <cellStyle name="Normal 3 78" xfId="660"/>
    <cellStyle name="Normal 3 79" xfId="661"/>
    <cellStyle name="Normal 3 8" xfId="662"/>
    <cellStyle name="Normal 3 80" xfId="663"/>
    <cellStyle name="Normal 3 81" xfId="664"/>
    <cellStyle name="Normal 3 82" xfId="665"/>
    <cellStyle name="Normal 3 83" xfId="666"/>
    <cellStyle name="Normal 3 84" xfId="667"/>
    <cellStyle name="Normal 3 85" xfId="668"/>
    <cellStyle name="Normal 3 86" xfId="669"/>
    <cellStyle name="Normal 3 87" xfId="670"/>
    <cellStyle name="Normal 3 88" xfId="671"/>
    <cellStyle name="Normal 3 89" xfId="672"/>
    <cellStyle name="Normal 3 9" xfId="673"/>
    <cellStyle name="Normal 3 90" xfId="674"/>
    <cellStyle name="Normal 3 91" xfId="675"/>
    <cellStyle name="Normal 3 92" xfId="676"/>
    <cellStyle name="Normal 3 93" xfId="677"/>
    <cellStyle name="Normal 3 94" xfId="678"/>
    <cellStyle name="Normal 3 95" xfId="3997"/>
    <cellStyle name="Normal 30" xfId="679"/>
    <cellStyle name="Normal 32" xfId="680"/>
    <cellStyle name="Normal 34" xfId="681"/>
    <cellStyle name="Normal 35" xfId="682"/>
    <cellStyle name="Normal 36" xfId="683"/>
    <cellStyle name="Normal 37" xfId="684"/>
    <cellStyle name="Normal 38" xfId="685"/>
    <cellStyle name="Normal 39" xfId="686"/>
    <cellStyle name="Normal 4" xfId="687"/>
    <cellStyle name="Normal 4 10" xfId="688"/>
    <cellStyle name="Normal 4 10 2" xfId="689"/>
    <cellStyle name="Normal 4 10 2 2" xfId="1907"/>
    <cellStyle name="Normal 4 10 3" xfId="1333"/>
    <cellStyle name="Normal 4 10 3 2" xfId="1908"/>
    <cellStyle name="Normal 4 10 4" xfId="1906"/>
    <cellStyle name="Normal 4 11" xfId="690"/>
    <cellStyle name="Normal 4 11 2" xfId="691"/>
    <cellStyle name="Normal 4 11 2 2" xfId="1910"/>
    <cellStyle name="Normal 4 11 3" xfId="1334"/>
    <cellStyle name="Normal 4 11 3 2" xfId="1911"/>
    <cellStyle name="Normal 4 11 4" xfId="1909"/>
    <cellStyle name="Normal 4 12" xfId="692"/>
    <cellStyle name="Normal 4 13" xfId="693"/>
    <cellStyle name="Normal 4 13 2" xfId="694"/>
    <cellStyle name="Normal 4 13 2 2" xfId="1913"/>
    <cellStyle name="Normal 4 13 3" xfId="1335"/>
    <cellStyle name="Normal 4 13 3 2" xfId="1914"/>
    <cellStyle name="Normal 4 13 4" xfId="1912"/>
    <cellStyle name="Normal 4 14" xfId="695"/>
    <cellStyle name="Normal 4 15" xfId="696"/>
    <cellStyle name="Normal 4 2" xfId="697"/>
    <cellStyle name="Normal 4 2 2" xfId="698"/>
    <cellStyle name="Normal 4 2 2 2" xfId="1916"/>
    <cellStyle name="Normal 4 2 3" xfId="1336"/>
    <cellStyle name="Normal 4 2 3 2" xfId="1917"/>
    <cellStyle name="Normal 4 2 4" xfId="1915"/>
    <cellStyle name="Normal 4 3" xfId="699"/>
    <cellStyle name="Normal 4 3 2" xfId="700"/>
    <cellStyle name="Normal 4 3 2 2" xfId="1919"/>
    <cellStyle name="Normal 4 3 3" xfId="1337"/>
    <cellStyle name="Normal 4 3 3 2" xfId="1920"/>
    <cellStyle name="Normal 4 3 4" xfId="1918"/>
    <cellStyle name="Normal 4 4" xfId="701"/>
    <cellStyle name="Normal 4 4 2" xfId="702"/>
    <cellStyle name="Normal 4 4 2 2" xfId="1922"/>
    <cellStyle name="Normal 4 4 3" xfId="1338"/>
    <cellStyle name="Normal 4 4 3 2" xfId="1923"/>
    <cellStyle name="Normal 4 4 4" xfId="1921"/>
    <cellStyle name="Normal 4 5" xfId="703"/>
    <cellStyle name="Normal 4 5 2" xfId="704"/>
    <cellStyle name="Normal 4 5 2 2" xfId="1925"/>
    <cellStyle name="Normal 4 5 3" xfId="1339"/>
    <cellStyle name="Normal 4 5 3 2" xfId="1926"/>
    <cellStyle name="Normal 4 5 4" xfId="1924"/>
    <cellStyle name="Normal 4 6" xfId="705"/>
    <cellStyle name="Normal 4 6 2" xfId="706"/>
    <cellStyle name="Normal 4 6 2 2" xfId="1928"/>
    <cellStyle name="Normal 4 6 3" xfId="1340"/>
    <cellStyle name="Normal 4 6 3 2" xfId="1929"/>
    <cellStyle name="Normal 4 6 4" xfId="1927"/>
    <cellStyle name="Normal 4 7" xfId="707"/>
    <cellStyle name="Normal 4 7 2" xfId="708"/>
    <cellStyle name="Normal 4 7 2 2" xfId="1931"/>
    <cellStyle name="Normal 4 7 3" xfId="1341"/>
    <cellStyle name="Normal 4 7 3 2" xfId="1932"/>
    <cellStyle name="Normal 4 7 4" xfId="1930"/>
    <cellStyle name="Normal 4 8" xfId="709"/>
    <cellStyle name="Normal 4 8 2" xfId="710"/>
    <cellStyle name="Normal 4 8 2 2" xfId="1934"/>
    <cellStyle name="Normal 4 8 3" xfId="1342"/>
    <cellStyle name="Normal 4 8 3 2" xfId="1935"/>
    <cellStyle name="Normal 4 8 4" xfId="1933"/>
    <cellStyle name="Normal 4 9" xfId="711"/>
    <cellStyle name="Normal 4 9 2" xfId="712"/>
    <cellStyle name="Normal 4 9 2 2" xfId="1937"/>
    <cellStyle name="Normal 4 9 3" xfId="1343"/>
    <cellStyle name="Normal 4 9 3 2" xfId="1938"/>
    <cellStyle name="Normal 4 9 4" xfId="1936"/>
    <cellStyle name="Normal 41" xfId="713"/>
    <cellStyle name="Normal 42" xfId="714"/>
    <cellStyle name="Normal 44" xfId="715"/>
    <cellStyle name="Normal 47" xfId="716"/>
    <cellStyle name="Normal 48" xfId="717"/>
    <cellStyle name="Normal 5" xfId="718"/>
    <cellStyle name="Normal 5 10" xfId="1344"/>
    <cellStyle name="Normal 5 11" xfId="1939"/>
    <cellStyle name="Normal 5 11 2" xfId="2376"/>
    <cellStyle name="Normal 5 11 2 2" xfId="3699"/>
    <cellStyle name="Normal 5 11 2 3" xfId="3111"/>
    <cellStyle name="Normal 5 11 3" xfId="2817"/>
    <cellStyle name="Normal 5 11 4" xfId="3405"/>
    <cellStyle name="Normal 5 11 5" xfId="2670"/>
    <cellStyle name="Normal 5 12" xfId="2229"/>
    <cellStyle name="Normal 5 12 2" xfId="3552"/>
    <cellStyle name="Normal 5 12 3" xfId="2964"/>
    <cellStyle name="Normal 5 13" xfId="2523"/>
    <cellStyle name="Normal 5 14" xfId="3258"/>
    <cellStyle name="Normal 5 15" xfId="3914"/>
    <cellStyle name="Normal 5 16" xfId="1539"/>
    <cellStyle name="Normal 5 2" xfId="719"/>
    <cellStyle name="Normal 5 2 2" xfId="720"/>
    <cellStyle name="Normal 5 2 2 2" xfId="1941"/>
    <cellStyle name="Normal 5 2 3" xfId="721"/>
    <cellStyle name="Normal 5 2 3 2" xfId="1942"/>
    <cellStyle name="Normal 5 2 4" xfId="1940"/>
    <cellStyle name="Normal 5 3" xfId="722"/>
    <cellStyle name="Normal 5 3 2" xfId="723"/>
    <cellStyle name="Normal 5 3 2 2" xfId="1944"/>
    <cellStyle name="Normal 5 3 3" xfId="1345"/>
    <cellStyle name="Normal 5 3 3 2" xfId="1945"/>
    <cellStyle name="Normal 5 3 4" xfId="1943"/>
    <cellStyle name="Normal 5 4" xfId="724"/>
    <cellStyle name="Normal 5 4 2" xfId="725"/>
    <cellStyle name="Normal 5 4 2 2" xfId="1947"/>
    <cellStyle name="Normal 5 4 3" xfId="1346"/>
    <cellStyle name="Normal 5 4 3 2" xfId="1948"/>
    <cellStyle name="Normal 5 4 4" xfId="1946"/>
    <cellStyle name="Normal 5 5" xfId="726"/>
    <cellStyle name="Normal 5 5 2" xfId="727"/>
    <cellStyle name="Normal 5 5 2 2" xfId="1950"/>
    <cellStyle name="Normal 5 5 3" xfId="1347"/>
    <cellStyle name="Normal 5 5 3 2" xfId="1951"/>
    <cellStyle name="Normal 5 5 4" xfId="1949"/>
    <cellStyle name="Normal 5 6" xfId="728"/>
    <cellStyle name="Normal 5 6 2" xfId="729"/>
    <cellStyle name="Normal 5 6 2 2" xfId="1953"/>
    <cellStyle name="Normal 5 6 3" xfId="1348"/>
    <cellStyle name="Normal 5 6 3 2" xfId="1954"/>
    <cellStyle name="Normal 5 6 4" xfId="1952"/>
    <cellStyle name="Normal 5 7" xfId="730"/>
    <cellStyle name="Normal 5 7 2" xfId="731"/>
    <cellStyle name="Normal 5 7 2 2" xfId="1956"/>
    <cellStyle name="Normal 5 7 3" xfId="1349"/>
    <cellStyle name="Normal 5 7 3 2" xfId="1957"/>
    <cellStyle name="Normal 5 7 4" xfId="1955"/>
    <cellStyle name="Normal 5 8" xfId="732"/>
    <cellStyle name="Normal 5 8 2" xfId="1350"/>
    <cellStyle name="Normal 5 8 2 2" xfId="1959"/>
    <cellStyle name="Normal 5 8 2 2 2" xfId="2378"/>
    <cellStyle name="Normal 5 8 2 2 2 2" xfId="3701"/>
    <cellStyle name="Normal 5 8 2 2 2 3" xfId="3113"/>
    <cellStyle name="Normal 5 8 2 2 3" xfId="2819"/>
    <cellStyle name="Normal 5 8 2 2 4" xfId="3407"/>
    <cellStyle name="Normal 5 8 2 2 5" xfId="2672"/>
    <cellStyle name="Normal 5 8 2 3" xfId="2231"/>
    <cellStyle name="Normal 5 8 2 3 2" xfId="3554"/>
    <cellStyle name="Normal 5 8 2 3 3" xfId="2966"/>
    <cellStyle name="Normal 5 8 2 4" xfId="2525"/>
    <cellStyle name="Normal 5 8 2 5" xfId="3260"/>
    <cellStyle name="Normal 5 8 2 6" xfId="3915"/>
    <cellStyle name="Normal 5 8 2 7" xfId="1541"/>
    <cellStyle name="Normal 5 8 3" xfId="1958"/>
    <cellStyle name="Normal 5 8 3 2" xfId="2377"/>
    <cellStyle name="Normal 5 8 3 2 2" xfId="3700"/>
    <cellStyle name="Normal 5 8 3 2 3" xfId="3112"/>
    <cellStyle name="Normal 5 8 3 3" xfId="2818"/>
    <cellStyle name="Normal 5 8 3 4" xfId="3406"/>
    <cellStyle name="Normal 5 8 3 5" xfId="2671"/>
    <cellStyle name="Normal 5 8 4" xfId="2230"/>
    <cellStyle name="Normal 5 8 4 2" xfId="3553"/>
    <cellStyle name="Normal 5 8 4 3" xfId="2965"/>
    <cellStyle name="Normal 5 8 5" xfId="2524"/>
    <cellStyle name="Normal 5 8 6" xfId="3259"/>
    <cellStyle name="Normal 5 8 7" xfId="3916"/>
    <cellStyle name="Normal 5 8 8" xfId="1540"/>
    <cellStyle name="Normal 5 9" xfId="733"/>
    <cellStyle name="Normal 5 9 2" xfId="1172"/>
    <cellStyle name="Normal 5 9 2 2" xfId="2379"/>
    <cellStyle name="Normal 5 9 2 2 2" xfId="3702"/>
    <cellStyle name="Normal 5 9 2 2 3" xfId="3114"/>
    <cellStyle name="Normal 5 9 2 3" xfId="2820"/>
    <cellStyle name="Normal 5 9 2 4" xfId="3408"/>
    <cellStyle name="Normal 5 9 2 5" xfId="2673"/>
    <cellStyle name="Normal 5 9 2 6" xfId="1960"/>
    <cellStyle name="Normal 5 9 2 7" xfId="3988"/>
    <cellStyle name="Normal 5 9 2 8" xfId="3989"/>
    <cellStyle name="Normal 5 9 3" xfId="1173"/>
    <cellStyle name="Normal 5 9 3 2" xfId="3555"/>
    <cellStyle name="Normal 5 9 3 3" xfId="2967"/>
    <cellStyle name="Normal 5 9 3 4" xfId="2232"/>
    <cellStyle name="Normal 5 9 4" xfId="2526"/>
    <cellStyle name="Normal 5 9 5" xfId="3261"/>
    <cellStyle name="Normal 5 9 6" xfId="3917"/>
    <cellStyle name="Normal 5 9 7" xfId="1542"/>
    <cellStyle name="Normal 5 9 8" xfId="4009"/>
    <cellStyle name="Normal 50" xfId="734"/>
    <cellStyle name="Normal 52" xfId="735"/>
    <cellStyle name="Normal 53" xfId="736"/>
    <cellStyle name="Normal 54" xfId="737"/>
    <cellStyle name="Normal 6" xfId="738"/>
    <cellStyle name="Normal 6 10" xfId="1351"/>
    <cellStyle name="Normal 6 10 2" xfId="1962"/>
    <cellStyle name="Normal 6 11" xfId="1352"/>
    <cellStyle name="Normal 6 12" xfId="1961"/>
    <cellStyle name="Normal 6 2" xfId="739"/>
    <cellStyle name="Normal 6 2 2" xfId="740"/>
    <cellStyle name="Normal 6 2 2 2" xfId="1964"/>
    <cellStyle name="Normal 6 2 3" xfId="741"/>
    <cellStyle name="Normal 6 2 3 2" xfId="1965"/>
    <cellStyle name="Normal 6 2 3 3" xfId="1543"/>
    <cellStyle name="Normal 6 2 4" xfId="1963"/>
    <cellStyle name="Normal 6 3" xfId="742"/>
    <cellStyle name="Normal 6 3 2" xfId="743"/>
    <cellStyle name="Normal 6 3 2 2" xfId="1967"/>
    <cellStyle name="Normal 6 3 3" xfId="1353"/>
    <cellStyle name="Normal 6 3 3 2" xfId="1968"/>
    <cellStyle name="Normal 6 3 4" xfId="1966"/>
    <cellStyle name="Normal 6 4" xfId="744"/>
    <cellStyle name="Normal 6 4 2" xfId="745"/>
    <cellStyle name="Normal 6 4 2 2" xfId="1970"/>
    <cellStyle name="Normal 6 4 3" xfId="1354"/>
    <cellStyle name="Normal 6 4 3 2" xfId="1971"/>
    <cellStyle name="Normal 6 4 4" xfId="1969"/>
    <cellStyle name="Normal 6 5" xfId="746"/>
    <cellStyle name="Normal 6 5 2" xfId="747"/>
    <cellStyle name="Normal 6 5 2 2" xfId="1973"/>
    <cellStyle name="Normal 6 5 3" xfId="1355"/>
    <cellStyle name="Normal 6 5 3 2" xfId="1974"/>
    <cellStyle name="Normal 6 5 4" xfId="1972"/>
    <cellStyle name="Normal 6 6" xfId="748"/>
    <cellStyle name="Normal 6 6 2" xfId="749"/>
    <cellStyle name="Normal 6 6 2 2" xfId="1976"/>
    <cellStyle name="Normal 6 6 3" xfId="1356"/>
    <cellStyle name="Normal 6 6 3 2" xfId="1977"/>
    <cellStyle name="Normal 6 6 4" xfId="1975"/>
    <cellStyle name="Normal 6 7" xfId="750"/>
    <cellStyle name="Normal 6 7 2" xfId="751"/>
    <cellStyle name="Normal 6 7 2 2" xfId="1979"/>
    <cellStyle name="Normal 6 7 3" xfId="1357"/>
    <cellStyle name="Normal 6 7 3 2" xfId="1980"/>
    <cellStyle name="Normal 6 7 4" xfId="1978"/>
    <cellStyle name="Normal 6 8" xfId="752"/>
    <cellStyle name="Normal 6 8 2" xfId="1544"/>
    <cellStyle name="Normal 6 9" xfId="753"/>
    <cellStyle name="Normal 6 9 2" xfId="1981"/>
    <cellStyle name="Normal 6 9 3" xfId="1545"/>
    <cellStyle name="Normal 7" xfId="754"/>
    <cellStyle name="Normal 7 10" xfId="1982"/>
    <cellStyle name="Normal 7 2" xfId="755"/>
    <cellStyle name="Normal 7 2 10" xfId="1546"/>
    <cellStyle name="Normal 7 2 2" xfId="756"/>
    <cellStyle name="Normal 7 2 2 2" xfId="757"/>
    <cellStyle name="Normal 7 2 2 2 2" xfId="1985"/>
    <cellStyle name="Normal 7 2 2 3" xfId="1358"/>
    <cellStyle name="Normal 7 2 2 3 2" xfId="1986"/>
    <cellStyle name="Normal 7 2 2 4" xfId="1984"/>
    <cellStyle name="Normal 7 2 3" xfId="758"/>
    <cellStyle name="Normal 7 2 3 2" xfId="1359"/>
    <cellStyle name="Normal 7 2 3 2 2" xfId="1988"/>
    <cellStyle name="Normal 7 2 3 2 2 2" xfId="2382"/>
    <cellStyle name="Normal 7 2 3 2 2 2 2" xfId="3705"/>
    <cellStyle name="Normal 7 2 3 2 2 2 3" xfId="3117"/>
    <cellStyle name="Normal 7 2 3 2 2 3" xfId="2823"/>
    <cellStyle name="Normal 7 2 3 2 2 4" xfId="3411"/>
    <cellStyle name="Normal 7 2 3 2 2 5" xfId="2676"/>
    <cellStyle name="Normal 7 2 3 2 3" xfId="2235"/>
    <cellStyle name="Normal 7 2 3 2 3 2" xfId="3558"/>
    <cellStyle name="Normal 7 2 3 2 3 3" xfId="2970"/>
    <cellStyle name="Normal 7 2 3 2 4" xfId="2529"/>
    <cellStyle name="Normal 7 2 3 2 5" xfId="3264"/>
    <cellStyle name="Normal 7 2 3 2 6" xfId="3918"/>
    <cellStyle name="Normal 7 2 3 2 7" xfId="1548"/>
    <cellStyle name="Normal 7 2 3 3" xfId="1987"/>
    <cellStyle name="Normal 7 2 3 3 2" xfId="2381"/>
    <cellStyle name="Normal 7 2 3 3 2 2" xfId="3704"/>
    <cellStyle name="Normal 7 2 3 3 2 3" xfId="3116"/>
    <cellStyle name="Normal 7 2 3 3 3" xfId="2822"/>
    <cellStyle name="Normal 7 2 3 3 4" xfId="3410"/>
    <cellStyle name="Normal 7 2 3 3 5" xfId="2675"/>
    <cellStyle name="Normal 7 2 3 4" xfId="2234"/>
    <cellStyle name="Normal 7 2 3 4 2" xfId="3557"/>
    <cellStyle name="Normal 7 2 3 4 3" xfId="2969"/>
    <cellStyle name="Normal 7 2 3 5" xfId="2528"/>
    <cellStyle name="Normal 7 2 3 6" xfId="3263"/>
    <cellStyle name="Normal 7 2 3 7" xfId="3919"/>
    <cellStyle name="Normal 7 2 3 8" xfId="1547"/>
    <cellStyle name="Normal 7 2 4" xfId="1360"/>
    <cellStyle name="Normal 7 2 4 2" xfId="1989"/>
    <cellStyle name="Normal 7 2 4 2 2" xfId="2383"/>
    <cellStyle name="Normal 7 2 4 2 2 2" xfId="3706"/>
    <cellStyle name="Normal 7 2 4 2 2 3" xfId="3118"/>
    <cellStyle name="Normal 7 2 4 2 3" xfId="2824"/>
    <cellStyle name="Normal 7 2 4 2 4" xfId="3412"/>
    <cellStyle name="Normal 7 2 4 2 5" xfId="2677"/>
    <cellStyle name="Normal 7 2 4 3" xfId="2236"/>
    <cellStyle name="Normal 7 2 4 3 2" xfId="3559"/>
    <cellStyle name="Normal 7 2 4 3 3" xfId="2971"/>
    <cellStyle name="Normal 7 2 4 4" xfId="2530"/>
    <cellStyle name="Normal 7 2 4 5" xfId="3265"/>
    <cellStyle name="Normal 7 2 4 6" xfId="3920"/>
    <cellStyle name="Normal 7 2 4 7" xfId="1549"/>
    <cellStyle name="Normal 7 2 5" xfId="1983"/>
    <cellStyle name="Normal 7 2 5 2" xfId="2380"/>
    <cellStyle name="Normal 7 2 5 2 2" xfId="3703"/>
    <cellStyle name="Normal 7 2 5 2 3" xfId="3115"/>
    <cellStyle name="Normal 7 2 5 3" xfId="2821"/>
    <cellStyle name="Normal 7 2 5 4" xfId="3409"/>
    <cellStyle name="Normal 7 2 5 5" xfId="2674"/>
    <cellStyle name="Normal 7 2 6" xfId="2233"/>
    <cellStyle name="Normal 7 2 6 2" xfId="3556"/>
    <cellStyle name="Normal 7 2 6 3" xfId="2968"/>
    <cellStyle name="Normal 7 2 7" xfId="2527"/>
    <cellStyle name="Normal 7 2 8" xfId="3262"/>
    <cellStyle name="Normal 7 2 9" xfId="3921"/>
    <cellStyle name="Normal 7 3" xfId="759"/>
    <cellStyle name="Normal 7 3 2" xfId="760"/>
    <cellStyle name="Normal 7 3 2 2" xfId="1991"/>
    <cellStyle name="Normal 7 3 3" xfId="1361"/>
    <cellStyle name="Normal 7 3 3 2" xfId="1992"/>
    <cellStyle name="Normal 7 3 4" xfId="1990"/>
    <cellStyle name="Normal 7 4" xfId="761"/>
    <cellStyle name="Normal 7 4 2" xfId="762"/>
    <cellStyle name="Normal 7 4 2 2" xfId="1994"/>
    <cellStyle name="Normal 7 4 3" xfId="1362"/>
    <cellStyle name="Normal 7 4 3 2" xfId="1995"/>
    <cellStyle name="Normal 7 4 4" xfId="1993"/>
    <cellStyle name="Normal 7 5" xfId="763"/>
    <cellStyle name="Normal 7 5 2" xfId="764"/>
    <cellStyle name="Normal 7 5 2 2" xfId="1997"/>
    <cellStyle name="Normal 7 5 3" xfId="1363"/>
    <cellStyle name="Normal 7 5 3 2" xfId="1998"/>
    <cellStyle name="Normal 7 5 4" xfId="1996"/>
    <cellStyle name="Normal 7 6" xfId="765"/>
    <cellStyle name="Normal 7 6 2" xfId="766"/>
    <cellStyle name="Normal 7 6 2 2" xfId="2000"/>
    <cellStyle name="Normal 7 6 3" xfId="1364"/>
    <cellStyle name="Normal 7 6 3 2" xfId="2001"/>
    <cellStyle name="Normal 7 6 4" xfId="1999"/>
    <cellStyle name="Normal 7 7" xfId="767"/>
    <cellStyle name="Normal 7 7 2" xfId="768"/>
    <cellStyle name="Normal 7 7 2 2" xfId="2003"/>
    <cellStyle name="Normal 7 7 3" xfId="1365"/>
    <cellStyle name="Normal 7 7 3 2" xfId="2004"/>
    <cellStyle name="Normal 7 7 4" xfId="2002"/>
    <cellStyle name="Normal 7 8" xfId="769"/>
    <cellStyle name="Normal 7 8 2" xfId="2005"/>
    <cellStyle name="Normal 7 9" xfId="1366"/>
    <cellStyle name="Normal 7 9 2" xfId="2006"/>
    <cellStyle name="Normal 8" xfId="770"/>
    <cellStyle name="Normal 8 2" xfId="771"/>
    <cellStyle name="Normal 8 2 2" xfId="772"/>
    <cellStyle name="Normal 8 2 2 2" xfId="1552"/>
    <cellStyle name="Normal 8 2 3" xfId="2007"/>
    <cellStyle name="Normal 8 2 3 2" xfId="2384"/>
    <cellStyle name="Normal 8 2 3 2 2" xfId="3707"/>
    <cellStyle name="Normal 8 2 3 2 3" xfId="3119"/>
    <cellStyle name="Normal 8 2 3 3" xfId="2825"/>
    <cellStyle name="Normal 8 2 3 4" xfId="3413"/>
    <cellStyle name="Normal 8 2 3 5" xfId="2678"/>
    <cellStyle name="Normal 8 2 4" xfId="2237"/>
    <cellStyle name="Normal 8 2 4 2" xfId="3560"/>
    <cellStyle name="Normal 8 2 4 3" xfId="2972"/>
    <cellStyle name="Normal 8 2 5" xfId="2531"/>
    <cellStyle name="Normal 8 2 6" xfId="3266"/>
    <cellStyle name="Normal 8 2 7" xfId="3922"/>
    <cellStyle name="Normal 8 2 8" xfId="1551"/>
    <cellStyle name="Normal 8 3" xfId="773"/>
    <cellStyle name="Normal 8 3 2" xfId="774"/>
    <cellStyle name="Normal 8 3 2 2" xfId="2009"/>
    <cellStyle name="Normal 8 3 2 2 2" xfId="2386"/>
    <cellStyle name="Normal 8 3 2 2 2 2" xfId="3709"/>
    <cellStyle name="Normal 8 3 2 2 2 3" xfId="3121"/>
    <cellStyle name="Normal 8 3 2 2 3" xfId="2827"/>
    <cellStyle name="Normal 8 3 2 2 4" xfId="3415"/>
    <cellStyle name="Normal 8 3 2 2 5" xfId="2680"/>
    <cellStyle name="Normal 8 3 2 3" xfId="2239"/>
    <cellStyle name="Normal 8 3 2 3 2" xfId="3562"/>
    <cellStyle name="Normal 8 3 2 3 3" xfId="2974"/>
    <cellStyle name="Normal 8 3 2 4" xfId="2533"/>
    <cellStyle name="Normal 8 3 2 5" xfId="3268"/>
    <cellStyle name="Normal 8 3 2 6" xfId="3923"/>
    <cellStyle name="Normal 8 3 2 7" xfId="1554"/>
    <cellStyle name="Normal 8 3 3" xfId="2008"/>
    <cellStyle name="Normal 8 3 3 2" xfId="2385"/>
    <cellStyle name="Normal 8 3 3 2 2" xfId="3708"/>
    <cellStyle name="Normal 8 3 3 2 3" xfId="3120"/>
    <cellStyle name="Normal 8 3 3 3" xfId="2826"/>
    <cellStyle name="Normal 8 3 3 4" xfId="3414"/>
    <cellStyle name="Normal 8 3 3 5" xfId="2679"/>
    <cellStyle name="Normal 8 3 4" xfId="2238"/>
    <cellStyle name="Normal 8 3 4 2" xfId="3561"/>
    <cellStyle name="Normal 8 3 4 3" xfId="2973"/>
    <cellStyle name="Normal 8 3 5" xfId="2532"/>
    <cellStyle name="Normal 8 3 6" xfId="3267"/>
    <cellStyle name="Normal 8 3 7" xfId="3924"/>
    <cellStyle name="Normal 8 3 8" xfId="1553"/>
    <cellStyle name="Normal 8 4" xfId="775"/>
    <cellStyle name="Normal 8 4 2" xfId="1555"/>
    <cellStyle name="Normal 8 5" xfId="776"/>
    <cellStyle name="Normal 8 6" xfId="1550"/>
    <cellStyle name="Normal 9" xfId="777"/>
    <cellStyle name="Normal 9 10" xfId="3986"/>
    <cellStyle name="Normal 9 11" xfId="3993"/>
    <cellStyle name="Normal 9 2" xfId="778"/>
    <cellStyle name="Normal 9 2 2" xfId="779"/>
    <cellStyle name="Normal 9 2 3" xfId="1557"/>
    <cellStyle name="Normal 9 3" xfId="1367"/>
    <cellStyle name="Normal 9 3 2" xfId="2011"/>
    <cellStyle name="Normal 9 4" xfId="2010"/>
    <cellStyle name="Normal 9 4 2" xfId="2387"/>
    <cellStyle name="Normal 9 4 2 2" xfId="3710"/>
    <cellStyle name="Normal 9 4 2 3" xfId="3122"/>
    <cellStyle name="Normal 9 4 3" xfId="2828"/>
    <cellStyle name="Normal 9 4 4" xfId="3416"/>
    <cellStyle name="Normal 9 4 5" xfId="2681"/>
    <cellStyle name="Normal 9 5" xfId="2240"/>
    <cellStyle name="Normal 9 5 2" xfId="3563"/>
    <cellStyle name="Normal 9 5 3" xfId="2975"/>
    <cellStyle name="Normal 9 6" xfId="2534"/>
    <cellStyle name="Normal 9 7" xfId="3269"/>
    <cellStyle name="Normal 9 7 2" xfId="3716"/>
    <cellStyle name="Normal 9 8" xfId="3925"/>
    <cellStyle name="Normal 9 9" xfId="1556"/>
    <cellStyle name="Normal_pLANILHA DE BDI_MODELO v2_EXCEL" xfId="4005"/>
    <cellStyle name="Nota 2" xfId="780"/>
    <cellStyle name="Nota 2 10" xfId="1558"/>
    <cellStyle name="Nota 2 2" xfId="781"/>
    <cellStyle name="Nota 2 2 2" xfId="1368"/>
    <cellStyle name="Nota 2 2 2 2" xfId="2014"/>
    <cellStyle name="Nota 2 2 2 2 2" xfId="2390"/>
    <cellStyle name="Nota 2 2 2 2 2 2" xfId="3713"/>
    <cellStyle name="Nota 2 2 2 2 2 3" xfId="3125"/>
    <cellStyle name="Nota 2 2 2 2 3" xfId="2831"/>
    <cellStyle name="Nota 2 2 2 2 4" xfId="3419"/>
    <cellStyle name="Nota 2 2 2 2 5" xfId="2684"/>
    <cellStyle name="Nota 2 2 2 2 6" xfId="3926"/>
    <cellStyle name="Nota 2 2 2 3" xfId="2243"/>
    <cellStyle name="Nota 2 2 2 3 2" xfId="3566"/>
    <cellStyle name="Nota 2 2 2 3 3" xfId="2978"/>
    <cellStyle name="Nota 2 2 2 3 4" xfId="3927"/>
    <cellStyle name="Nota 2 2 2 4" xfId="2537"/>
    <cellStyle name="Nota 2 2 2 4 2" xfId="3928"/>
    <cellStyle name="Nota 2 2 2 5" xfId="3272"/>
    <cellStyle name="Nota 2 2 2 6" xfId="3929"/>
    <cellStyle name="Nota 2 2 2 7" xfId="1560"/>
    <cellStyle name="Nota 2 2 3" xfId="2013"/>
    <cellStyle name="Nota 2 2 3 2" xfId="2389"/>
    <cellStyle name="Nota 2 2 3 2 2" xfId="3712"/>
    <cellStyle name="Nota 2 2 3 2 3" xfId="3124"/>
    <cellStyle name="Nota 2 2 3 3" xfId="2830"/>
    <cellStyle name="Nota 2 2 3 4" xfId="3418"/>
    <cellStyle name="Nota 2 2 3 5" xfId="2683"/>
    <cellStyle name="Nota 2 2 3 6" xfId="3930"/>
    <cellStyle name="Nota 2 2 4" xfId="2242"/>
    <cellStyle name="Nota 2 2 4 2" xfId="3565"/>
    <cellStyle name="Nota 2 2 4 3" xfId="2977"/>
    <cellStyle name="Nota 2 2 4 4" xfId="3931"/>
    <cellStyle name="Nota 2 2 5" xfId="2536"/>
    <cellStyle name="Nota 2 2 5 2" xfId="3932"/>
    <cellStyle name="Nota 2 2 6" xfId="3271"/>
    <cellStyle name="Nota 2 2 7" xfId="3933"/>
    <cellStyle name="Nota 2 2 8" xfId="1559"/>
    <cellStyle name="Nota 2 3" xfId="782"/>
    <cellStyle name="Nota 2 3 2" xfId="2015"/>
    <cellStyle name="Nota 2 3 2 2" xfId="2391"/>
    <cellStyle name="Nota 2 3 2 2 2" xfId="3714"/>
    <cellStyle name="Nota 2 3 2 2 3" xfId="3126"/>
    <cellStyle name="Nota 2 3 2 3" xfId="2832"/>
    <cellStyle name="Nota 2 3 2 4" xfId="3420"/>
    <cellStyle name="Nota 2 3 2 5" xfId="2685"/>
    <cellStyle name="Nota 2 3 2 6" xfId="3934"/>
    <cellStyle name="Nota 2 3 3" xfId="2244"/>
    <cellStyle name="Nota 2 3 3 2" xfId="3567"/>
    <cellStyle name="Nota 2 3 3 3" xfId="2979"/>
    <cellStyle name="Nota 2 3 3 4" xfId="3935"/>
    <cellStyle name="Nota 2 3 4" xfId="2538"/>
    <cellStyle name="Nota 2 3 4 2" xfId="3936"/>
    <cellStyle name="Nota 2 3 5" xfId="3273"/>
    <cellStyle name="Nota 2 3 6" xfId="3937"/>
    <cellStyle name="Nota 2 3 7" xfId="1561"/>
    <cellStyle name="Nota 2 4" xfId="783"/>
    <cellStyle name="Nota 2 4 2" xfId="1562"/>
    <cellStyle name="Nota 2 5" xfId="2012"/>
    <cellStyle name="Nota 2 5 2" xfId="2388"/>
    <cellStyle name="Nota 2 5 2 2" xfId="3711"/>
    <cellStyle name="Nota 2 5 2 3" xfId="3123"/>
    <cellStyle name="Nota 2 5 3" xfId="2829"/>
    <cellStyle name="Nota 2 5 4" xfId="3417"/>
    <cellStyle name="Nota 2 5 5" xfId="2682"/>
    <cellStyle name="Nota 2 5 6" xfId="3938"/>
    <cellStyle name="Nota 2 6" xfId="2241"/>
    <cellStyle name="Nota 2 6 2" xfId="3564"/>
    <cellStyle name="Nota 2 6 3" xfId="2976"/>
    <cellStyle name="Nota 2 7" xfId="2535"/>
    <cellStyle name="Nota 2 8" xfId="3270"/>
    <cellStyle name="Nota 2 9" xfId="3939"/>
    <cellStyle name="Nota 3" xfId="1369"/>
    <cellStyle name="Nota 3 2" xfId="2016"/>
    <cellStyle name="Nota 4" xfId="3940"/>
    <cellStyle name="Page Title Bar" xfId="3976"/>
    <cellStyle name="Percentual" xfId="784"/>
    <cellStyle name="Ponto" xfId="785"/>
    <cellStyle name="Porcentagem" xfId="786"/>
    <cellStyle name="Porcentagem 10" xfId="3941"/>
    <cellStyle name="Porcentagem 11" xfId="3942"/>
    <cellStyle name="Porcentagem 12" xfId="3943"/>
    <cellStyle name="Porcentagem 13" xfId="3987"/>
    <cellStyle name="Porcentagem 14" xfId="3990"/>
    <cellStyle name="Porcentagem 15" xfId="3999"/>
    <cellStyle name="Porcentagem 2" xfId="787"/>
    <cellStyle name="Porcentagem 2 10" xfId="788"/>
    <cellStyle name="Porcentagem 2 10 2" xfId="2017"/>
    <cellStyle name="Porcentagem 2 11" xfId="789"/>
    <cellStyle name="Porcentagem 2 12" xfId="790"/>
    <cellStyle name="Porcentagem 2 13" xfId="791"/>
    <cellStyle name="Porcentagem 2 14" xfId="792"/>
    <cellStyle name="Porcentagem 2 15" xfId="793"/>
    <cellStyle name="Porcentagem 2 16" xfId="794"/>
    <cellStyle name="Porcentagem 2 17" xfId="795"/>
    <cellStyle name="Porcentagem 2 18" xfId="796"/>
    <cellStyle name="Porcentagem 2 19" xfId="797"/>
    <cellStyle name="Porcentagem 2 2" xfId="798"/>
    <cellStyle name="Porcentagem 2 2 2" xfId="799"/>
    <cellStyle name="Porcentagem 2 2 2 2" xfId="2019"/>
    <cellStyle name="Porcentagem 2 2 3" xfId="1370"/>
    <cellStyle name="Porcentagem 2 2 3 2" xfId="2020"/>
    <cellStyle name="Porcentagem 2 2 4" xfId="2018"/>
    <cellStyle name="Porcentagem 2 20" xfId="800"/>
    <cellStyle name="Porcentagem 2 21" xfId="801"/>
    <cellStyle name="Porcentagem 2 22" xfId="802"/>
    <cellStyle name="Porcentagem 2 23" xfId="803"/>
    <cellStyle name="Porcentagem 2 24" xfId="804"/>
    <cellStyle name="Porcentagem 2 25" xfId="805"/>
    <cellStyle name="Porcentagem 2 26" xfId="806"/>
    <cellStyle name="Porcentagem 2 27" xfId="807"/>
    <cellStyle name="Porcentagem 2 28" xfId="808"/>
    <cellStyle name="Porcentagem 2 29" xfId="809"/>
    <cellStyle name="Porcentagem 2 3" xfId="810"/>
    <cellStyle name="Porcentagem 2 3 2" xfId="2021"/>
    <cellStyle name="Porcentagem 2 30" xfId="811"/>
    <cellStyle name="Porcentagem 2 31" xfId="812"/>
    <cellStyle name="Porcentagem 2 32" xfId="813"/>
    <cellStyle name="Porcentagem 2 33" xfId="814"/>
    <cellStyle name="Porcentagem 2 34" xfId="815"/>
    <cellStyle name="Porcentagem 2 35" xfId="816"/>
    <cellStyle name="Porcentagem 2 36" xfId="817"/>
    <cellStyle name="Porcentagem 2 37" xfId="818"/>
    <cellStyle name="Porcentagem 2 38" xfId="819"/>
    <cellStyle name="Porcentagem 2 39" xfId="820"/>
    <cellStyle name="Porcentagem 2 4" xfId="821"/>
    <cellStyle name="Porcentagem 2 4 2" xfId="2022"/>
    <cellStyle name="Porcentagem 2 40" xfId="822"/>
    <cellStyle name="Porcentagem 2 41" xfId="823"/>
    <cellStyle name="Porcentagem 2 42" xfId="824"/>
    <cellStyle name="Porcentagem 2 43" xfId="825"/>
    <cellStyle name="Porcentagem 2 44" xfId="826"/>
    <cellStyle name="Porcentagem 2 45" xfId="827"/>
    <cellStyle name="Porcentagem 2 46" xfId="828"/>
    <cellStyle name="Porcentagem 2 47" xfId="829"/>
    <cellStyle name="Porcentagem 2 48" xfId="830"/>
    <cellStyle name="Porcentagem 2 49" xfId="831"/>
    <cellStyle name="Porcentagem 2 5" xfId="832"/>
    <cellStyle name="Porcentagem 2 50" xfId="833"/>
    <cellStyle name="Porcentagem 2 51" xfId="834"/>
    <cellStyle name="Porcentagem 2 52" xfId="835"/>
    <cellStyle name="Porcentagem 2 53" xfId="836"/>
    <cellStyle name="Porcentagem 2 54" xfId="837"/>
    <cellStyle name="Porcentagem 2 55" xfId="838"/>
    <cellStyle name="Porcentagem 2 56" xfId="839"/>
    <cellStyle name="Porcentagem 2 57" xfId="840"/>
    <cellStyle name="Porcentagem 2 58" xfId="841"/>
    <cellStyle name="Porcentagem 2 59" xfId="842"/>
    <cellStyle name="Porcentagem 2 6" xfId="843"/>
    <cellStyle name="Porcentagem 2 60" xfId="844"/>
    <cellStyle name="Porcentagem 2 61" xfId="845"/>
    <cellStyle name="Porcentagem 2 62" xfId="846"/>
    <cellStyle name="Porcentagem 2 63" xfId="847"/>
    <cellStyle name="Porcentagem 2 64" xfId="848"/>
    <cellStyle name="Porcentagem 2 65" xfId="849"/>
    <cellStyle name="Porcentagem 2 66" xfId="850"/>
    <cellStyle name="Porcentagem 2 67" xfId="851"/>
    <cellStyle name="Porcentagem 2 68" xfId="852"/>
    <cellStyle name="Porcentagem 2 69" xfId="853"/>
    <cellStyle name="Porcentagem 2 7" xfId="854"/>
    <cellStyle name="Porcentagem 2 70" xfId="855"/>
    <cellStyle name="Porcentagem 2 71" xfId="856"/>
    <cellStyle name="Porcentagem 2 72" xfId="857"/>
    <cellStyle name="Porcentagem 2 73" xfId="858"/>
    <cellStyle name="Porcentagem 2 74" xfId="859"/>
    <cellStyle name="Porcentagem 2 75" xfId="860"/>
    <cellStyle name="Porcentagem 2 76" xfId="861"/>
    <cellStyle name="Porcentagem 2 77" xfId="862"/>
    <cellStyle name="Porcentagem 2 78" xfId="863"/>
    <cellStyle name="Porcentagem 2 79" xfId="864"/>
    <cellStyle name="Porcentagem 2 8" xfId="865"/>
    <cellStyle name="Porcentagem 2 80" xfId="866"/>
    <cellStyle name="Porcentagem 2 81" xfId="867"/>
    <cellStyle name="Porcentagem 2 82" xfId="868"/>
    <cellStyle name="Porcentagem 2 83" xfId="869"/>
    <cellStyle name="Porcentagem 2 84" xfId="870"/>
    <cellStyle name="Porcentagem 2 85" xfId="871"/>
    <cellStyle name="Porcentagem 2 86" xfId="872"/>
    <cellStyle name="Porcentagem 2 87" xfId="873"/>
    <cellStyle name="Porcentagem 2 88" xfId="874"/>
    <cellStyle name="Porcentagem 2 89" xfId="875"/>
    <cellStyle name="Porcentagem 2 9" xfId="876"/>
    <cellStyle name="Porcentagem 2 90" xfId="877"/>
    <cellStyle name="Porcentagem 2 91" xfId="878"/>
    <cellStyle name="Porcentagem 2 92" xfId="3985"/>
    <cellStyle name="Porcentagem 2 93" xfId="3992"/>
    <cellStyle name="Porcentagem 3" xfId="879"/>
    <cellStyle name="Porcentagem 3 2" xfId="880"/>
    <cellStyle name="Porcentagem 3 2 2" xfId="2024"/>
    <cellStyle name="Porcentagem 3 3" xfId="1371"/>
    <cellStyle name="Porcentagem 3 3 2" xfId="2025"/>
    <cellStyle name="Porcentagem 3 4" xfId="2023"/>
    <cellStyle name="Porcentagem 4" xfId="881"/>
    <cellStyle name="Porcentagem 4 2" xfId="882"/>
    <cellStyle name="Porcentagem 4 2 2" xfId="2027"/>
    <cellStyle name="Porcentagem 4 3" xfId="1170"/>
    <cellStyle name="Porcentagem 4 3 2" xfId="1171"/>
    <cellStyle name="Porcentagem 4 3 2 2" xfId="2028"/>
    <cellStyle name="Porcentagem 4 3 2 3" xfId="3982"/>
    <cellStyle name="Porcentagem 4 3 3" xfId="1174"/>
    <cellStyle name="Porcentagem 4 3 4" xfId="1563"/>
    <cellStyle name="Porcentagem 4 4" xfId="2026"/>
    <cellStyle name="Porcentagem 5" xfId="883"/>
    <cellStyle name="Porcentagem 5 2" xfId="884"/>
    <cellStyle name="Porcentagem 5 2 2" xfId="2030"/>
    <cellStyle name="Porcentagem 5 3" xfId="1372"/>
    <cellStyle name="Porcentagem 5 3 2" xfId="2031"/>
    <cellStyle name="Porcentagem 5 4" xfId="2029"/>
    <cellStyle name="Porcentagem 6" xfId="885"/>
    <cellStyle name="Porcentagem 6 2" xfId="886"/>
    <cellStyle name="Porcentagem 6 2 2" xfId="3944"/>
    <cellStyle name="Porcentagem 7" xfId="1176"/>
    <cellStyle name="Porcentagem 7 2" xfId="2032"/>
    <cellStyle name="Porcentagem 7 2 2" xfId="2392"/>
    <cellStyle name="Porcentagem 7 2 2 2" xfId="3715"/>
    <cellStyle name="Porcentagem 7 2 2 3" xfId="3127"/>
    <cellStyle name="Porcentagem 7 2 3" xfId="2833"/>
    <cellStyle name="Porcentagem 7 2 4" xfId="3421"/>
    <cellStyle name="Porcentagem 7 2 5" xfId="2686"/>
    <cellStyle name="Porcentagem 7 2 6" xfId="3945"/>
    <cellStyle name="Porcentagem 7 3" xfId="2245"/>
    <cellStyle name="Porcentagem 7 3 2" xfId="3568"/>
    <cellStyle name="Porcentagem 7 3 3" xfId="2980"/>
    <cellStyle name="Porcentagem 7 3 4" xfId="3946"/>
    <cellStyle name="Porcentagem 7 4" xfId="2539"/>
    <cellStyle name="Porcentagem 7 4 2" xfId="3947"/>
    <cellStyle name="Porcentagem 7 5" xfId="3274"/>
    <cellStyle name="Porcentagem 7 5 2" xfId="3948"/>
    <cellStyle name="Porcentagem 7 6" xfId="3949"/>
    <cellStyle name="Porcentagem 7 7" xfId="1564"/>
    <cellStyle name="Porcentagem 8" xfId="1373"/>
    <cellStyle name="Porcentagem 8 2" xfId="3950"/>
    <cellStyle name="Porcentagem 8 3" xfId="3951"/>
    <cellStyle name="Porcentagem 9" xfId="3952"/>
    <cellStyle name="Porcentagem 9 2" xfId="3953"/>
    <cellStyle name="Porcentagem 9 3" xfId="3954"/>
    <cellStyle name="Porcentagem_pLANILHA DE BDI_MODELO v2_EXCEL" xfId="4006"/>
    <cellStyle name="Saída 2" xfId="887"/>
    <cellStyle name="Saída 2 2" xfId="888"/>
    <cellStyle name="Saída 2 3" xfId="889"/>
    <cellStyle name="Saída 2 4" xfId="890"/>
    <cellStyle name="Saída 3" xfId="1374"/>
    <cellStyle name="Saída 4" xfId="3955"/>
    <cellStyle name="Separador de m" xfId="891"/>
    <cellStyle name="Separador de milhares 10" xfId="892"/>
    <cellStyle name="Separador de milhares 10 2" xfId="893"/>
    <cellStyle name="Separador de milhares 10 3" xfId="894"/>
    <cellStyle name="Separador de milhares 12" xfId="895"/>
    <cellStyle name="Separador de milhares 12 2" xfId="896"/>
    <cellStyle name="Separador de milhares 2" xfId="897"/>
    <cellStyle name="Separador de milhares 2 10" xfId="898"/>
    <cellStyle name="Separador de milhares 2 10 2" xfId="2034"/>
    <cellStyle name="Separador de milhares 2 11" xfId="1375"/>
    <cellStyle name="Separador de milhares 2 11 2" xfId="2035"/>
    <cellStyle name="Separador de milhares 2 12" xfId="2033"/>
    <cellStyle name="Separador de milhares 2 2" xfId="899"/>
    <cellStyle name="Separador de milhares 2 2 2" xfId="900"/>
    <cellStyle name="Separador de milhares 2 2 2 2" xfId="2037"/>
    <cellStyle name="Separador de milhares 2 2 3" xfId="1376"/>
    <cellStyle name="Separador de milhares 2 2 3 2" xfId="2038"/>
    <cellStyle name="Separador de milhares 2 2 4" xfId="2036"/>
    <cellStyle name="Separador de milhares 2 3" xfId="901"/>
    <cellStyle name="Separador de milhares 2 3 2" xfId="902"/>
    <cellStyle name="Separador de milhares 2 3 2 2" xfId="2040"/>
    <cellStyle name="Separador de milhares 2 3 3" xfId="1377"/>
    <cellStyle name="Separador de milhares 2 3 3 2" xfId="2041"/>
    <cellStyle name="Separador de milhares 2 3 4" xfId="2039"/>
    <cellStyle name="Separador de milhares 2 4" xfId="903"/>
    <cellStyle name="Separador de milhares 2 4 2" xfId="904"/>
    <cellStyle name="Separador de milhares 2 4 2 2" xfId="2043"/>
    <cellStyle name="Separador de milhares 2 4 3" xfId="1378"/>
    <cellStyle name="Separador de milhares 2 4 3 2" xfId="2044"/>
    <cellStyle name="Separador de milhares 2 4 4" xfId="2042"/>
    <cellStyle name="Separador de milhares 2 5" xfId="905"/>
    <cellStyle name="Separador de milhares 2 5 2" xfId="906"/>
    <cellStyle name="Separador de milhares 2 5 2 2" xfId="2046"/>
    <cellStyle name="Separador de milhares 2 5 3" xfId="1379"/>
    <cellStyle name="Separador de milhares 2 5 3 2" xfId="2047"/>
    <cellStyle name="Separador de milhares 2 5 4" xfId="2045"/>
    <cellStyle name="Separador de milhares 2 6" xfId="907"/>
    <cellStyle name="Separador de milhares 2 6 2" xfId="908"/>
    <cellStyle name="Separador de milhares 2 6 2 2" xfId="2049"/>
    <cellStyle name="Separador de milhares 2 6 3" xfId="1380"/>
    <cellStyle name="Separador de milhares 2 6 3 2" xfId="2050"/>
    <cellStyle name="Separador de milhares 2 6 4" xfId="2048"/>
    <cellStyle name="Separador de milhares 2 7" xfId="909"/>
    <cellStyle name="Separador de milhares 2 7 2" xfId="910"/>
    <cellStyle name="Separador de milhares 2 7 2 2" xfId="2052"/>
    <cellStyle name="Separador de milhares 2 7 3" xfId="1381"/>
    <cellStyle name="Separador de milhares 2 7 3 2" xfId="2053"/>
    <cellStyle name="Separador de milhares 2 7 4" xfId="2051"/>
    <cellStyle name="Separador de milhares 2 8" xfId="911"/>
    <cellStyle name="Separador de milhares 2 8 2" xfId="912"/>
    <cellStyle name="Separador de milhares 2 8 2 2" xfId="2055"/>
    <cellStyle name="Separador de milhares 2 8 3" xfId="1382"/>
    <cellStyle name="Separador de milhares 2 8 3 2" xfId="2056"/>
    <cellStyle name="Separador de milhares 2 8 4" xfId="2054"/>
    <cellStyle name="Separador de milhares 2 9" xfId="913"/>
    <cellStyle name="Separador de milhares 2 9 2" xfId="914"/>
    <cellStyle name="Separador de milhares 2 9 2 2" xfId="2058"/>
    <cellStyle name="Separador de milhares 2 9 3" xfId="1383"/>
    <cellStyle name="Separador de milhares 2 9 3 2" xfId="2059"/>
    <cellStyle name="Separador de milhares 2 9 4" xfId="2057"/>
    <cellStyle name="Separador de milhares 3" xfId="915"/>
    <cellStyle name="Separador de milhares 3 2" xfId="916"/>
    <cellStyle name="Separador de milhares 3 2 2" xfId="2061"/>
    <cellStyle name="Separador de milhares 3 3" xfId="1384"/>
    <cellStyle name="Separador de milhares 3 3 2" xfId="2062"/>
    <cellStyle name="Separador de milhares 3 4" xfId="2060"/>
    <cellStyle name="Separador de milhares 4" xfId="917"/>
    <cellStyle name="Separador de milhares 4 2" xfId="918"/>
    <cellStyle name="Separador de milhares 4 3" xfId="919"/>
    <cellStyle name="Separador de milhares 5" xfId="920"/>
    <cellStyle name="Separador de milhares 6" xfId="921"/>
    <cellStyle name="Separador de milhares 6 10" xfId="922"/>
    <cellStyle name="Separador de milhares 6 11" xfId="923"/>
    <cellStyle name="Separador de milhares 6 12" xfId="924"/>
    <cellStyle name="Separador de milhares 6 13" xfId="925"/>
    <cellStyle name="Separador de milhares 6 14" xfId="926"/>
    <cellStyle name="Separador de milhares 6 15" xfId="927"/>
    <cellStyle name="Separador de milhares 6 16" xfId="928"/>
    <cellStyle name="Separador de milhares 6 17" xfId="929"/>
    <cellStyle name="Separador de milhares 6 18" xfId="930"/>
    <cellStyle name="Separador de milhares 6 19" xfId="931"/>
    <cellStyle name="Separador de milhares 6 2" xfId="932"/>
    <cellStyle name="Separador de milhares 6 20" xfId="933"/>
    <cellStyle name="Separador de milhares 6 21" xfId="934"/>
    <cellStyle name="Separador de milhares 6 22" xfId="935"/>
    <cellStyle name="Separador de milhares 6 23" xfId="936"/>
    <cellStyle name="Separador de milhares 6 24" xfId="937"/>
    <cellStyle name="Separador de milhares 6 25" xfId="938"/>
    <cellStyle name="Separador de milhares 6 26" xfId="939"/>
    <cellStyle name="Separador de milhares 6 27" xfId="940"/>
    <cellStyle name="Separador de milhares 6 28" xfId="941"/>
    <cellStyle name="Separador de milhares 6 29" xfId="942"/>
    <cellStyle name="Separador de milhares 6 3" xfId="943"/>
    <cellStyle name="Separador de milhares 6 30" xfId="944"/>
    <cellStyle name="Separador de milhares 6 31" xfId="945"/>
    <cellStyle name="Separador de milhares 6 32" xfId="946"/>
    <cellStyle name="Separador de milhares 6 33" xfId="947"/>
    <cellStyle name="Separador de milhares 6 34" xfId="948"/>
    <cellStyle name="Separador de milhares 6 35" xfId="949"/>
    <cellStyle name="Separador de milhares 6 36" xfId="950"/>
    <cellStyle name="Separador de milhares 6 37" xfId="951"/>
    <cellStyle name="Separador de milhares 6 38" xfId="952"/>
    <cellStyle name="Separador de milhares 6 39" xfId="953"/>
    <cellStyle name="Separador de milhares 6 4" xfId="954"/>
    <cellStyle name="Separador de milhares 6 40" xfId="955"/>
    <cellStyle name="Separador de milhares 6 41" xfId="956"/>
    <cellStyle name="Separador de milhares 6 42" xfId="957"/>
    <cellStyle name="Separador de milhares 6 43" xfId="958"/>
    <cellStyle name="Separador de milhares 6 44" xfId="959"/>
    <cellStyle name="Separador de milhares 6 45" xfId="960"/>
    <cellStyle name="Separador de milhares 6 46" xfId="961"/>
    <cellStyle name="Separador de milhares 6 47" xfId="962"/>
    <cellStyle name="Separador de milhares 6 48" xfId="963"/>
    <cellStyle name="Separador de milhares 6 49" xfId="964"/>
    <cellStyle name="Separador de milhares 6 5" xfId="965"/>
    <cellStyle name="Separador de milhares 6 50" xfId="966"/>
    <cellStyle name="Separador de milhares 6 51" xfId="967"/>
    <cellStyle name="Separador de milhares 6 52" xfId="968"/>
    <cellStyle name="Separador de milhares 6 53" xfId="969"/>
    <cellStyle name="Separador de milhares 6 54" xfId="970"/>
    <cellStyle name="Separador de milhares 6 55" xfId="971"/>
    <cellStyle name="Separador de milhares 6 56" xfId="972"/>
    <cellStyle name="Separador de milhares 6 57" xfId="973"/>
    <cellStyle name="Separador de milhares 6 58" xfId="974"/>
    <cellStyle name="Separador de milhares 6 59" xfId="975"/>
    <cellStyle name="Separador de milhares 6 6" xfId="976"/>
    <cellStyle name="Separador de milhares 6 60" xfId="977"/>
    <cellStyle name="Separador de milhares 6 61" xfId="978"/>
    <cellStyle name="Separador de milhares 6 62" xfId="979"/>
    <cellStyle name="Separador de milhares 6 63" xfId="980"/>
    <cellStyle name="Separador de milhares 6 64" xfId="981"/>
    <cellStyle name="Separador de milhares 6 65" xfId="982"/>
    <cellStyle name="Separador de milhares 6 66" xfId="983"/>
    <cellStyle name="Separador de milhares 6 67" xfId="984"/>
    <cellStyle name="Separador de milhares 6 68" xfId="985"/>
    <cellStyle name="Separador de milhares 6 69" xfId="986"/>
    <cellStyle name="Separador de milhares 6 7" xfId="987"/>
    <cellStyle name="Separador de milhares 6 70" xfId="988"/>
    <cellStyle name="Separador de milhares 6 71" xfId="989"/>
    <cellStyle name="Separador de milhares 6 72" xfId="990"/>
    <cellStyle name="Separador de milhares 6 73" xfId="991"/>
    <cellStyle name="Separador de milhares 6 74" xfId="992"/>
    <cellStyle name="Separador de milhares 6 75" xfId="993"/>
    <cellStyle name="Separador de milhares 6 76" xfId="994"/>
    <cellStyle name="Separador de milhares 6 77" xfId="995"/>
    <cellStyle name="Separador de milhares 6 78" xfId="996"/>
    <cellStyle name="Separador de milhares 6 79" xfId="997"/>
    <cellStyle name="Separador de milhares 6 8" xfId="998"/>
    <cellStyle name="Separador de milhares 6 80" xfId="999"/>
    <cellStyle name="Separador de milhares 6 81" xfId="1000"/>
    <cellStyle name="Separador de milhares 6 82" xfId="1001"/>
    <cellStyle name="Separador de milhares 6 83" xfId="1002"/>
    <cellStyle name="Separador de milhares 6 84" xfId="1003"/>
    <cellStyle name="Separador de milhares 6 85" xfId="1004"/>
    <cellStyle name="Separador de milhares 6 86" xfId="1005"/>
    <cellStyle name="Separador de milhares 6 87" xfId="1006"/>
    <cellStyle name="Separador de milhares 6 88" xfId="1007"/>
    <cellStyle name="Separador de milhares 6 89" xfId="1008"/>
    <cellStyle name="Separador de milhares 6 9" xfId="1009"/>
    <cellStyle name="Separador de milhares 6 90" xfId="1010"/>
    <cellStyle name="Separador de milhares 6 91" xfId="1011"/>
    <cellStyle name="Separador de milhares 7" xfId="1012"/>
    <cellStyle name="Separador de milhares 8" xfId="1013"/>
    <cellStyle name="Separador de milhares 8 10" xfId="1014"/>
    <cellStyle name="Separador de milhares 8 11" xfId="1015"/>
    <cellStyle name="Separador de milhares 8 12" xfId="1016"/>
    <cellStyle name="Separador de milhares 8 13" xfId="1017"/>
    <cellStyle name="Separador de milhares 8 14" xfId="1018"/>
    <cellStyle name="Separador de milhares 8 15" xfId="1019"/>
    <cellStyle name="Separador de milhares 8 16" xfId="1020"/>
    <cellStyle name="Separador de milhares 8 17" xfId="1021"/>
    <cellStyle name="Separador de milhares 8 18" xfId="1022"/>
    <cellStyle name="Separador de milhares 8 19" xfId="1023"/>
    <cellStyle name="Separador de milhares 8 2" xfId="1024"/>
    <cellStyle name="Separador de milhares 8 20" xfId="1025"/>
    <cellStyle name="Separador de milhares 8 21" xfId="1026"/>
    <cellStyle name="Separador de milhares 8 22" xfId="1027"/>
    <cellStyle name="Separador de milhares 8 23" xfId="1028"/>
    <cellStyle name="Separador de milhares 8 24" xfId="1029"/>
    <cellStyle name="Separador de milhares 8 25" xfId="1030"/>
    <cellStyle name="Separador de milhares 8 26" xfId="1031"/>
    <cellStyle name="Separador de milhares 8 27" xfId="1032"/>
    <cellStyle name="Separador de milhares 8 28" xfId="1033"/>
    <cellStyle name="Separador de milhares 8 29" xfId="1034"/>
    <cellStyle name="Separador de milhares 8 3" xfId="1035"/>
    <cellStyle name="Separador de milhares 8 30" xfId="1036"/>
    <cellStyle name="Separador de milhares 8 31" xfId="1037"/>
    <cellStyle name="Separador de milhares 8 32" xfId="1038"/>
    <cellStyle name="Separador de milhares 8 33" xfId="1039"/>
    <cellStyle name="Separador de milhares 8 34" xfId="1040"/>
    <cellStyle name="Separador de milhares 8 35" xfId="1041"/>
    <cellStyle name="Separador de milhares 8 36" xfId="1042"/>
    <cellStyle name="Separador de milhares 8 37" xfId="1043"/>
    <cellStyle name="Separador de milhares 8 38" xfId="1044"/>
    <cellStyle name="Separador de milhares 8 39" xfId="1045"/>
    <cellStyle name="Separador de milhares 8 4" xfId="1046"/>
    <cellStyle name="Separador de milhares 8 40" xfId="1047"/>
    <cellStyle name="Separador de milhares 8 41" xfId="1048"/>
    <cellStyle name="Separador de milhares 8 42" xfId="1049"/>
    <cellStyle name="Separador de milhares 8 43" xfId="1050"/>
    <cellStyle name="Separador de milhares 8 44" xfId="1051"/>
    <cellStyle name="Separador de milhares 8 45" xfId="1052"/>
    <cellStyle name="Separador de milhares 8 46" xfId="1053"/>
    <cellStyle name="Separador de milhares 8 47" xfId="1054"/>
    <cellStyle name="Separador de milhares 8 48" xfId="1055"/>
    <cellStyle name="Separador de milhares 8 49" xfId="1056"/>
    <cellStyle name="Separador de milhares 8 5" xfId="1057"/>
    <cellStyle name="Separador de milhares 8 50" xfId="1058"/>
    <cellStyle name="Separador de milhares 8 51" xfId="1059"/>
    <cellStyle name="Separador de milhares 8 52" xfId="1060"/>
    <cellStyle name="Separador de milhares 8 53" xfId="1061"/>
    <cellStyle name="Separador de milhares 8 54" xfId="1062"/>
    <cellStyle name="Separador de milhares 8 55" xfId="1063"/>
    <cellStyle name="Separador de milhares 8 56" xfId="1064"/>
    <cellStyle name="Separador de milhares 8 57" xfId="1065"/>
    <cellStyle name="Separador de milhares 8 58" xfId="1066"/>
    <cellStyle name="Separador de milhares 8 59" xfId="1067"/>
    <cellStyle name="Separador de milhares 8 6" xfId="1068"/>
    <cellStyle name="Separador de milhares 8 60" xfId="1069"/>
    <cellStyle name="Separador de milhares 8 61" xfId="1070"/>
    <cellStyle name="Separador de milhares 8 62" xfId="1071"/>
    <cellStyle name="Separador de milhares 8 63" xfId="1072"/>
    <cellStyle name="Separador de milhares 8 64" xfId="1073"/>
    <cellStyle name="Separador de milhares 8 65" xfId="1074"/>
    <cellStyle name="Separador de milhares 8 66" xfId="1075"/>
    <cellStyle name="Separador de milhares 8 67" xfId="1076"/>
    <cellStyle name="Separador de milhares 8 68" xfId="1077"/>
    <cellStyle name="Separador de milhares 8 69" xfId="1078"/>
    <cellStyle name="Separador de milhares 8 7" xfId="1079"/>
    <cellStyle name="Separador de milhares 8 70" xfId="1080"/>
    <cellStyle name="Separador de milhares 8 71" xfId="1081"/>
    <cellStyle name="Separador de milhares 8 72" xfId="1082"/>
    <cellStyle name="Separador de milhares 8 73" xfId="1083"/>
    <cellStyle name="Separador de milhares 8 74" xfId="1084"/>
    <cellStyle name="Separador de milhares 8 75" xfId="1085"/>
    <cellStyle name="Separador de milhares 8 76" xfId="1086"/>
    <cellStyle name="Separador de milhares 8 77" xfId="1087"/>
    <cellStyle name="Separador de milhares 8 78" xfId="1088"/>
    <cellStyle name="Separador de milhares 8 79" xfId="1089"/>
    <cellStyle name="Separador de milhares 8 8" xfId="1090"/>
    <cellStyle name="Separador de milhares 8 80" xfId="1091"/>
    <cellStyle name="Separador de milhares 8 81" xfId="1092"/>
    <cellStyle name="Separador de milhares 8 82" xfId="1093"/>
    <cellStyle name="Separador de milhares 8 83" xfId="1094"/>
    <cellStyle name="Separador de milhares 8 84" xfId="1095"/>
    <cellStyle name="Separador de milhares 8 85" xfId="1096"/>
    <cellStyle name="Separador de milhares 8 86" xfId="1097"/>
    <cellStyle name="Separador de milhares 8 87" xfId="1098"/>
    <cellStyle name="Separador de milhares 8 88" xfId="1099"/>
    <cellStyle name="Separador de milhares 8 89" xfId="1100"/>
    <cellStyle name="Separador de milhares 8 9" xfId="1101"/>
    <cellStyle name="Separador de milhares 8 90" xfId="1102"/>
    <cellStyle name="Separador de milhares 8 91" xfId="1103"/>
    <cellStyle name="Separador de milhares 8 92" xfId="1104"/>
    <cellStyle name="Separador de milhares 81" xfId="1105"/>
    <cellStyle name="Separador de milhares 9 2" xfId="1106"/>
    <cellStyle name="Texto de Aviso 2" xfId="1107"/>
    <cellStyle name="Texto de Aviso 2 2" xfId="1108"/>
    <cellStyle name="Texto de Aviso 3" xfId="1385"/>
    <cellStyle name="Texto de Aviso 4" xfId="3956"/>
    <cellStyle name="Texto Explicativo 2" xfId="1109"/>
    <cellStyle name="Texto Explicativo 2 2" xfId="1110"/>
    <cellStyle name="Texto Explicativo 3" xfId="1386"/>
    <cellStyle name="Texto Explicativo 4" xfId="3957"/>
    <cellStyle name="Título 1 2" xfId="1111"/>
    <cellStyle name="Título 1 2 2" xfId="1112"/>
    <cellStyle name="Título 1 2 3" xfId="1113"/>
    <cellStyle name="Título 1 3" xfId="1387"/>
    <cellStyle name="Título 1 4" xfId="3958"/>
    <cellStyle name="Título 2 2" xfId="1114"/>
    <cellStyle name="Título 2 2 2" xfId="1115"/>
    <cellStyle name="Título 2 2 3" xfId="1116"/>
    <cellStyle name="Título 2 3" xfId="1388"/>
    <cellStyle name="Título 2 4" xfId="3959"/>
    <cellStyle name="Título 3 2" xfId="1117"/>
    <cellStyle name="Título 3 2 2" xfId="1118"/>
    <cellStyle name="Título 3 2 3" xfId="1119"/>
    <cellStyle name="Título 3 3" xfId="1389"/>
    <cellStyle name="Título 3 4" xfId="3960"/>
    <cellStyle name="Título 4 2" xfId="1120"/>
    <cellStyle name="Título 4 2 2" xfId="1121"/>
    <cellStyle name="Título 4 2 3" xfId="1122"/>
    <cellStyle name="Título 4 3" xfId="1390"/>
    <cellStyle name="Título 4 4" xfId="3961"/>
    <cellStyle name="Título 5" xfId="1123"/>
    <cellStyle name="Título 5 2" xfId="1124"/>
    <cellStyle name="Título 6" xfId="1125"/>
    <cellStyle name="Título 6 2" xfId="3962"/>
    <cellStyle name="Título 7" xfId="1126"/>
    <cellStyle name="Título 8" xfId="1127"/>
    <cellStyle name="Titulo1" xfId="1128"/>
    <cellStyle name="Titulo2" xfId="1129"/>
    <cellStyle name="Total 2" xfId="1130"/>
    <cellStyle name="Total 2 2" xfId="1131"/>
    <cellStyle name="Total 2 3" xfId="1132"/>
    <cellStyle name="Total 2 4" xfId="1133"/>
    <cellStyle name="Total 3" xfId="1391"/>
    <cellStyle name="Total 4" xfId="3963"/>
    <cellStyle name="Vírgula" xfId="1134"/>
    <cellStyle name="Vírgula 10" xfId="1135"/>
    <cellStyle name="Vírgula 10 2" xfId="1136"/>
    <cellStyle name="Vírgula 10 2 2" xfId="1137"/>
    <cellStyle name="Vírgula 10 2 2 2" xfId="2065"/>
    <cellStyle name="Vírgula 10 2 3" xfId="1392"/>
    <cellStyle name="Vírgula 10 2 3 2" xfId="2066"/>
    <cellStyle name="Vírgula 10 2 4" xfId="2064"/>
    <cellStyle name="Vírgula 10 3" xfId="1138"/>
    <cellStyle name="Vírgula 10 3 2" xfId="2067"/>
    <cellStyle name="Vírgula 10 4" xfId="1393"/>
    <cellStyle name="Vírgula 10 4 2" xfId="2068"/>
    <cellStyle name="Vírgula 10 5" xfId="2063"/>
    <cellStyle name="Vírgula 11" xfId="1139"/>
    <cellStyle name="Vírgula 11 2" xfId="1140"/>
    <cellStyle name="Vírgula 12" xfId="1394"/>
    <cellStyle name="Vírgula 12 2" xfId="3965"/>
    <cellStyle name="Vírgula 12 3" xfId="3966"/>
    <cellStyle name="Vírgula 12 3 2" xfId="3967"/>
    <cellStyle name="Vírgula 12 4" xfId="3968"/>
    <cellStyle name="Vírgula 12 5" xfId="3964"/>
    <cellStyle name="Vírgula 13" xfId="3969"/>
    <cellStyle name="Vírgula 13 2" xfId="3970"/>
    <cellStyle name="Vírgula 13 3" xfId="3971"/>
    <cellStyle name="Vírgula 14" xfId="3972"/>
    <cellStyle name="Vírgula 15" xfId="3973"/>
    <cellStyle name="Vírgula 16" xfId="3979"/>
    <cellStyle name="Vírgula 17" xfId="3995"/>
    <cellStyle name="Vírgula 18" xfId="4007"/>
    <cellStyle name="Vírgula 19" xfId="4010"/>
    <cellStyle name="Vírgula 2" xfId="1141"/>
    <cellStyle name="Vírgula 2 2" xfId="1142"/>
    <cellStyle name="Vírgula 2 2 2" xfId="1143"/>
    <cellStyle name="Vírgula 2 2 2 2" xfId="2070"/>
    <cellStyle name="Vírgula 2 3" xfId="1144"/>
    <cellStyle name="Vírgula 2 3 2" xfId="1145"/>
    <cellStyle name="Vírgula 2 3 2 2" xfId="2071"/>
    <cellStyle name="Vírgula 2 3 3" xfId="1565"/>
    <cellStyle name="Vírgula 2 4" xfId="1146"/>
    <cellStyle name="Vírgula 2 4 2" xfId="2069"/>
    <cellStyle name="Vírgula 2 5" xfId="3984"/>
    <cellStyle name="Vírgula 2 6" xfId="3994"/>
    <cellStyle name="Vírgula 3" xfId="1147"/>
    <cellStyle name="Vírgula 3 2" xfId="1148"/>
    <cellStyle name="Vírgula 3 2 2" xfId="1149"/>
    <cellStyle name="Vírgula 3 2 2 2" xfId="2073"/>
    <cellStyle name="Vírgula 3 3" xfId="1150"/>
    <cellStyle name="Vírgula 3 3 2" xfId="1151"/>
    <cellStyle name="Vírgula 3 3 2 2" xfId="2074"/>
    <cellStyle name="Vírgula 3 3 3" xfId="1566"/>
    <cellStyle name="Vírgula 3 4" xfId="1152"/>
    <cellStyle name="Vírgula 3 4 2" xfId="2072"/>
    <cellStyle name="Vírgula 4" xfId="1153"/>
    <cellStyle name="Vírgula 4 2" xfId="1154"/>
    <cellStyle name="Vírgula 4 2 2" xfId="1155"/>
    <cellStyle name="Vírgula 4 2 2 2" xfId="2077"/>
    <cellStyle name="Vírgula 4 2 3" xfId="1395"/>
    <cellStyle name="Vírgula 4 2 3 2" xfId="2078"/>
    <cellStyle name="Vírgula 4 2 4" xfId="2076"/>
    <cellStyle name="Vírgula 4 3" xfId="1156"/>
    <cellStyle name="Vírgula 4 3 2" xfId="1157"/>
    <cellStyle name="Vírgula 4 3 2 2" xfId="2080"/>
    <cellStyle name="Vírgula 4 3 3" xfId="1396"/>
    <cellStyle name="Vírgula 4 3 3 2" xfId="2081"/>
    <cellStyle name="Vírgula 4 3 4" xfId="2079"/>
    <cellStyle name="Vírgula 4 4" xfId="1158"/>
    <cellStyle name="Vírgula 4 4 2" xfId="2082"/>
    <cellStyle name="Vírgula 4 5" xfId="1397"/>
    <cellStyle name="Vírgula 4 5 2" xfId="2083"/>
    <cellStyle name="Vírgula 4 6" xfId="1398"/>
    <cellStyle name="Vírgula 4 7" xfId="2075"/>
    <cellStyle name="Vírgula 5" xfId="1159"/>
    <cellStyle name="Vírgula 5 2" xfId="1160"/>
    <cellStyle name="Vírgula 5 2 2" xfId="2085"/>
    <cellStyle name="Vírgula 5 3" xfId="1399"/>
    <cellStyle name="Vírgula 5 3 2" xfId="2086"/>
    <cellStyle name="Vírgula 5 4" xfId="1400"/>
    <cellStyle name="Vírgula 5 5" xfId="2084"/>
    <cellStyle name="Vírgula 6" xfId="1161"/>
    <cellStyle name="Vírgula 6 2" xfId="1162"/>
    <cellStyle name="Vírgula 6 2 2" xfId="2088"/>
    <cellStyle name="Vírgula 6 3" xfId="1401"/>
    <cellStyle name="Vírgula 6 3 2" xfId="2089"/>
    <cellStyle name="Vírgula 6 4" xfId="2087"/>
    <cellStyle name="Vírgula 7" xfId="1163"/>
    <cellStyle name="Vírgula 7 2" xfId="1164"/>
    <cellStyle name="Vírgula 7 2 2" xfId="2091"/>
    <cellStyle name="Vírgula 7 3" xfId="1402"/>
    <cellStyle name="Vírgula 7 3 2" xfId="2092"/>
    <cellStyle name="Vírgula 7 4" xfId="2090"/>
    <cellStyle name="Vírgula 8" xfId="1165"/>
    <cellStyle name="Vírgula 8 2" xfId="1166"/>
    <cellStyle name="Vírgula 8 2 2" xfId="2094"/>
    <cellStyle name="Vírgula 8 3" xfId="1167"/>
    <cellStyle name="Vírgula 8 3 2" xfId="2095"/>
    <cellStyle name="Vírgula 8 3 3" xfId="1567"/>
    <cellStyle name="Vírgula 8 4" xfId="2093"/>
    <cellStyle name="Vírgula 9" xfId="1168"/>
    <cellStyle name="Vírgula 9 2" xfId="1169"/>
    <cellStyle name="Vírgula 9 2 2" xfId="2097"/>
    <cellStyle name="Vírgula 9 3" xfId="1403"/>
    <cellStyle name="Vírgula 9 3 2" xfId="2098"/>
    <cellStyle name="Vírgula 9 4" xfId="2096"/>
    <cellStyle name="Year to date information" xfId="3977"/>
  </cellStyles>
  <dxfs count="9">
    <dxf>
      <fill>
        <patternFill patternType="none">
          <fgColor indexed="64"/>
          <bgColor indexed="65"/>
        </patternFill>
      </fill>
    </dxf>
    <dxf>
      <fill>
        <patternFill patternType="solid">
          <fgColor auto="1"/>
          <bgColor indexed="65"/>
        </patternFill>
      </fill>
    </dxf>
    <dxf>
      <font>
        <sz val="7.5"/>
      </font>
      <fill>
        <patternFill>
          <bgColor theme="8" tint="0.59996337778862885"/>
        </patternFill>
      </fill>
      <border diagonalUp="0" diagonalDown="0">
        <left style="thin">
          <color theme="0"/>
        </left>
        <right style="thin">
          <color theme="0"/>
        </right>
        <top style="double">
          <color theme="0"/>
        </top>
        <bottom style="thin">
          <color theme="0"/>
        </bottom>
        <vertical style="thin">
          <color theme="0"/>
        </vertical>
        <horizontal style="thin">
          <color theme="0"/>
        </horizontal>
      </border>
    </dxf>
    <dxf>
      <fill>
        <patternFill>
          <bgColor theme="8" tint="0.79998168889431442"/>
        </patternFill>
      </fill>
      <border diagonalUp="0" diagonalDown="0">
        <horizontal style="thin">
          <color theme="0"/>
        </horizontal>
      </border>
    </dxf>
    <dxf>
      <fill>
        <patternFill>
          <bgColor theme="6" tint="0.79998168889431442"/>
        </patternFill>
      </fill>
      <border diagonalUp="0" diagonalDown="0">
        <left style="thin">
          <color theme="0"/>
        </left>
        <right style="thin">
          <color theme="0"/>
        </right>
        <top style="thin">
          <color theme="0"/>
        </top>
        <bottom style="thin">
          <color theme="0"/>
        </bottom>
        <vertical style="thin">
          <color theme="0"/>
        </vertical>
        <horizontal style="thin">
          <color theme="0"/>
        </horizontal>
      </border>
    </dxf>
    <dxf>
      <fill>
        <patternFill>
          <bgColor theme="8" tint="0.59996337778862885"/>
        </patternFill>
      </fill>
      <border diagonalUp="0" diagonalDown="0">
        <horizontal style="thin">
          <color theme="0"/>
        </horizontal>
      </border>
    </dxf>
    <dxf>
      <font>
        <sz val="7.5"/>
      </font>
      <fill>
        <patternFill>
          <bgColor theme="8" tint="0.59996337778862885"/>
        </patternFill>
      </fill>
      <border diagonalUp="0" diagonalDown="0">
        <left style="thin">
          <color theme="0"/>
        </left>
        <right style="thin">
          <color theme="0"/>
        </right>
        <top style="double">
          <color theme="0"/>
        </top>
        <bottom style="thin">
          <color theme="0"/>
        </bottom>
        <vertical style="thin">
          <color theme="0"/>
        </vertical>
        <horizontal style="thin">
          <color theme="0"/>
        </horizontal>
      </border>
    </dxf>
    <dxf>
      <font>
        <sz val="9"/>
        <color theme="0"/>
      </font>
      <fill>
        <patternFill>
          <bgColor theme="8"/>
        </patternFill>
      </fill>
      <border diagonalUp="0" diagonalDown="0">
        <top style="medium">
          <color theme="0"/>
        </top>
        <bottom style="thin">
          <color theme="0"/>
        </bottom>
      </border>
    </dxf>
    <dxf>
      <font>
        <sz val="7.5"/>
      </font>
    </dxf>
  </dxfs>
  <tableStyles count="1" defaultTableStyle="TableStyleMedium2" defaultPivotStyle="PivotStyleLight16">
    <tableStyle name="Employee Timesheet" pivot="0" count="7">
      <tableStyleElement type="wholeTable" dxfId="8"/>
      <tableStyleElement type="headerRow" dxfId="7"/>
      <tableStyleElement type="totalRow" dxfId="6"/>
      <tableStyleElement type="firstColumn" dxfId="5"/>
      <tableStyleElement type="firstColumnStripe" dxfId="4"/>
      <tableStyleElement type="secondColumnStripe" dxfId="3"/>
      <tableStyleElement type="firstTotalCell" dxfId="2"/>
    </tableStyle>
  </tableStyles>
  <colors>
    <mruColors>
      <color rgb="FFFFFF99"/>
      <color rgb="FFCCECFF"/>
      <color rgb="FFFFCCCC"/>
      <color rgb="FFFF99FF"/>
      <color rgb="FFFF66C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7962900</xdr:colOff>
      <xdr:row>1</xdr:row>
      <xdr:rowOff>171450</xdr:rowOff>
    </xdr:from>
    <xdr:ext cx="2599042" cy="800100"/>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543925" y="371475"/>
          <a:ext cx="2599042" cy="800100"/>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3</xdr:row>
      <xdr:rowOff>9525</xdr:rowOff>
    </xdr:from>
    <xdr:ext cx="2599042" cy="800100"/>
    <xdr:pic>
      <xdr:nvPicPr>
        <xdr:cNvPr id="6" name="Imagem 5">
          <a:extLst>
            <a:ext uri="{FF2B5EF4-FFF2-40B4-BE49-F238E27FC236}">
              <a16:creationId xmlns:a16="http://schemas.microsoft.com/office/drawing/2014/main" id="{00000000-0008-0000-09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0648950" y="409575"/>
          <a:ext cx="2599042" cy="800100"/>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7</xdr:col>
      <xdr:colOff>334722</xdr:colOff>
      <xdr:row>3</xdr:row>
      <xdr:rowOff>57978</xdr:rowOff>
    </xdr:from>
    <xdr:ext cx="2599042" cy="800100"/>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0977874" y="654326"/>
          <a:ext cx="2599042" cy="800100"/>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8</xdr:col>
      <xdr:colOff>195056</xdr:colOff>
      <xdr:row>0</xdr:row>
      <xdr:rowOff>157887</xdr:rowOff>
    </xdr:from>
    <xdr:ext cx="2599042" cy="800100"/>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9186656" y="157887"/>
          <a:ext cx="2599042" cy="800100"/>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7</xdr:col>
      <xdr:colOff>443534</xdr:colOff>
      <xdr:row>2</xdr:row>
      <xdr:rowOff>0</xdr:rowOff>
    </xdr:from>
    <xdr:to>
      <xdr:col>9</xdr:col>
      <xdr:colOff>918501</xdr:colOff>
      <xdr:row>6</xdr:row>
      <xdr:rowOff>0</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1511584" y="400050"/>
          <a:ext cx="2599042" cy="8001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5</xdr:col>
      <xdr:colOff>333375</xdr:colOff>
      <xdr:row>1</xdr:row>
      <xdr:rowOff>190500</xdr:rowOff>
    </xdr:from>
    <xdr:ext cx="2599042" cy="800100"/>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9705975" y="390525"/>
          <a:ext cx="2599042" cy="800100"/>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5.xml><?xml version="1.0" encoding="utf-8"?>
<xdr:wsDr xmlns:xdr="http://schemas.openxmlformats.org/drawingml/2006/spreadsheetDrawing" xmlns:a="http://schemas.openxmlformats.org/drawingml/2006/main">
  <xdr:oneCellAnchor>
    <xdr:from>
      <xdr:col>1</xdr:col>
      <xdr:colOff>6783871</xdr:colOff>
      <xdr:row>1</xdr:row>
      <xdr:rowOff>48135</xdr:rowOff>
    </xdr:from>
    <xdr:ext cx="2599042" cy="800100"/>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853602" y="48135"/>
          <a:ext cx="2599042" cy="800100"/>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2</xdr:col>
      <xdr:colOff>21121</xdr:colOff>
      <xdr:row>0</xdr:row>
      <xdr:rowOff>77442</xdr:rowOff>
    </xdr:from>
    <xdr:ext cx="2599042" cy="800100"/>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237469" y="77442"/>
          <a:ext cx="2599042" cy="800100"/>
        </a:xfrm>
        <a:prstGeom prst="rect">
          <a:avLst/>
        </a:prstGeom>
        <a:noFill/>
        <a:ln>
          <a:noFill/>
        </a:ln>
        <a:extLst>
          <a:ext uri="{53640926-AAD7-44D8-BBD7-CCE9431645EC}">
            <a14:shadowObscured xmlns:a14="http://schemas.microsoft.com/office/drawing/2010/main"/>
          </a:ext>
        </a:extLst>
      </xdr:spPr>
    </xdr:pic>
    <xdr:clientData/>
  </xdr:oneCellAnchor>
  <xdr:oneCellAnchor>
    <xdr:from>
      <xdr:col>2</xdr:col>
      <xdr:colOff>21121</xdr:colOff>
      <xdr:row>0</xdr:row>
      <xdr:rowOff>77442</xdr:rowOff>
    </xdr:from>
    <xdr:ext cx="2599042" cy="800100"/>
    <xdr:pic>
      <xdr:nvPicPr>
        <xdr:cNvPr id="3" name="Imagem 2">
          <a:extLst>
            <a:ext uri="{FF2B5EF4-FFF2-40B4-BE49-F238E27FC236}">
              <a16:creationId xmlns:a16="http://schemas.microsoft.com/office/drawing/2014/main" id="{00000000-0008-0000-0F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231671" y="77442"/>
          <a:ext cx="2599042" cy="800100"/>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2</xdr:col>
      <xdr:colOff>687871</xdr:colOff>
      <xdr:row>0</xdr:row>
      <xdr:rowOff>124335</xdr:rowOff>
    </xdr:from>
    <xdr:ext cx="2599042" cy="800100"/>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612671" y="124335"/>
          <a:ext cx="2599042" cy="800100"/>
        </a:xfrm>
        <a:prstGeom prst="rect">
          <a:avLst/>
        </a:prstGeom>
        <a:noFill/>
        <a:ln>
          <a:noFill/>
        </a:ln>
        <a:extLst>
          <a:ext uri="{53640926-AAD7-44D8-BBD7-CCE9431645EC}">
            <a14:shadowObscured xmlns:a14="http://schemas.microsoft.com/office/drawing/2010/main"/>
          </a:ext>
        </a:extLst>
      </xdr:spPr>
    </xdr:pic>
    <xdr:clientData/>
  </xdr:oneCellAnchor>
  <xdr:oneCellAnchor>
    <xdr:from>
      <xdr:col>2</xdr:col>
      <xdr:colOff>687871</xdr:colOff>
      <xdr:row>0</xdr:row>
      <xdr:rowOff>124335</xdr:rowOff>
    </xdr:from>
    <xdr:ext cx="2599042" cy="800100"/>
    <xdr:pic>
      <xdr:nvPicPr>
        <xdr:cNvPr id="3" name="Imagem 2">
          <a:extLst>
            <a:ext uri="{FF2B5EF4-FFF2-40B4-BE49-F238E27FC236}">
              <a16:creationId xmlns:a16="http://schemas.microsoft.com/office/drawing/2014/main" id="{00000000-0008-0000-1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612671" y="124335"/>
          <a:ext cx="2599042" cy="800100"/>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12</xdr:col>
      <xdr:colOff>499856</xdr:colOff>
      <xdr:row>2</xdr:row>
      <xdr:rowOff>65018</xdr:rowOff>
    </xdr:from>
    <xdr:ext cx="2599042" cy="800100"/>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2302573" y="462583"/>
          <a:ext cx="2599042" cy="800100"/>
        </a:xfrm>
        <a:prstGeom prst="rect">
          <a:avLst/>
        </a:prstGeom>
        <a:noFill/>
        <a:ln>
          <a:noFill/>
        </a:ln>
        <a:extLst>
          <a:ext uri="{53640926-AAD7-44D8-BBD7-CCE9431645EC}">
            <a14:shadowObscured xmlns:a14="http://schemas.microsoft.com/office/drawing/2010/main"/>
          </a:ext>
        </a:extLst>
      </xdr:spPr>
    </xdr:pic>
    <xdr:clientData/>
  </xdr:oneCellAnchor>
  <xdr:oneCellAnchor>
    <xdr:from>
      <xdr:col>12</xdr:col>
      <xdr:colOff>499856</xdr:colOff>
      <xdr:row>2</xdr:row>
      <xdr:rowOff>65018</xdr:rowOff>
    </xdr:from>
    <xdr:ext cx="2599042" cy="800100"/>
    <xdr:pic>
      <xdr:nvPicPr>
        <xdr:cNvPr id="3" name="Imagem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2301331" y="465068"/>
          <a:ext cx="2599042" cy="800100"/>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1</xdr:col>
      <xdr:colOff>7694544</xdr:colOff>
      <xdr:row>2</xdr:row>
      <xdr:rowOff>41413</xdr:rowOff>
    </xdr:from>
    <xdr:ext cx="2406276" cy="740758"/>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622196" y="438978"/>
          <a:ext cx="2406276" cy="740758"/>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8067675</xdr:colOff>
      <xdr:row>2</xdr:row>
      <xdr:rowOff>95250</xdr:rowOff>
    </xdr:from>
    <xdr:ext cx="2846692" cy="876338"/>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648700" y="495300"/>
          <a:ext cx="2846692" cy="876338"/>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0.xml><?xml version="1.0" encoding="utf-8"?>
<xdr:wsDr xmlns:xdr="http://schemas.openxmlformats.org/drawingml/2006/spreadsheetDrawing" xmlns:a="http://schemas.openxmlformats.org/drawingml/2006/main">
  <xdr:oneCellAnchor>
    <xdr:from>
      <xdr:col>1</xdr:col>
      <xdr:colOff>7159072</xdr:colOff>
      <xdr:row>1</xdr:row>
      <xdr:rowOff>141754</xdr:rowOff>
    </xdr:from>
    <xdr:ext cx="2406276" cy="740758"/>
    <xdr:pic>
      <xdr:nvPicPr>
        <xdr:cNvPr id="2" name="Imagem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945920" y="340537"/>
          <a:ext cx="2406276" cy="740758"/>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8</xdr:col>
      <xdr:colOff>428418</xdr:colOff>
      <xdr:row>0</xdr:row>
      <xdr:rowOff>193605</xdr:rowOff>
    </xdr:from>
    <xdr:ext cx="2599042" cy="800100"/>
    <xdr:pic>
      <xdr:nvPicPr>
        <xdr:cNvPr id="2" name="Imagem 1">
          <a:extLst>
            <a:ext uri="{FF2B5EF4-FFF2-40B4-BE49-F238E27FC236}">
              <a16:creationId xmlns:a16="http://schemas.microsoft.com/office/drawing/2014/main" id="{00000000-0008-0000-14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3001418" y="193605"/>
          <a:ext cx="2599042" cy="800100"/>
        </a:xfrm>
        <a:prstGeom prst="rect">
          <a:avLst/>
        </a:prstGeom>
        <a:noFill/>
        <a:ln>
          <a:noFill/>
        </a:ln>
        <a:extLst>
          <a:ext uri="{53640926-AAD7-44D8-BBD7-CCE9431645EC}">
            <a14:shadowObscured xmlns:a14="http://schemas.microsoft.com/office/drawing/2010/main"/>
          </a:ext>
        </a:extLst>
      </xdr:spPr>
    </xdr:pic>
    <xdr:clientData/>
  </xdr:oneCellAnchor>
  <xdr:oneCellAnchor>
    <xdr:from>
      <xdr:col>8</xdr:col>
      <xdr:colOff>428418</xdr:colOff>
      <xdr:row>0</xdr:row>
      <xdr:rowOff>193605</xdr:rowOff>
    </xdr:from>
    <xdr:ext cx="2599042" cy="800100"/>
    <xdr:pic>
      <xdr:nvPicPr>
        <xdr:cNvPr id="3" name="Imagem 2">
          <a:extLst>
            <a:ext uri="{FF2B5EF4-FFF2-40B4-BE49-F238E27FC236}">
              <a16:creationId xmlns:a16="http://schemas.microsoft.com/office/drawing/2014/main" id="{00000000-0008-0000-14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3001418" y="193605"/>
          <a:ext cx="2599042" cy="800100"/>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1</xdr:col>
      <xdr:colOff>7137343</xdr:colOff>
      <xdr:row>2</xdr:row>
      <xdr:rowOff>16565</xdr:rowOff>
    </xdr:from>
    <xdr:ext cx="2599042" cy="800100"/>
    <xdr:pic>
      <xdr:nvPicPr>
        <xdr:cNvPr id="2" name="Imagem 1">
          <a:extLst>
            <a:ext uri="{FF2B5EF4-FFF2-40B4-BE49-F238E27FC236}">
              <a16:creationId xmlns:a16="http://schemas.microsoft.com/office/drawing/2014/main" id="{00000000-0008-0000-1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777300" y="414130"/>
          <a:ext cx="2599042" cy="800100"/>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3.xml><?xml version="1.0" encoding="utf-8"?>
<xdr:wsDr xmlns:xdr="http://schemas.openxmlformats.org/drawingml/2006/spreadsheetDrawing" xmlns:a="http://schemas.openxmlformats.org/drawingml/2006/main">
  <xdr:oneCellAnchor>
    <xdr:from>
      <xdr:col>1</xdr:col>
      <xdr:colOff>7744239</xdr:colOff>
      <xdr:row>1</xdr:row>
      <xdr:rowOff>125189</xdr:rowOff>
    </xdr:from>
    <xdr:ext cx="2406276" cy="740758"/>
    <xdr:pic>
      <xdr:nvPicPr>
        <xdr:cNvPr id="2" name="Imagem 1">
          <a:extLst>
            <a:ext uri="{FF2B5EF4-FFF2-40B4-BE49-F238E27FC236}">
              <a16:creationId xmlns:a16="http://schemas.microsoft.com/office/drawing/2014/main" id="{00000000-0008-0000-1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668164" y="125189"/>
          <a:ext cx="2406276" cy="740758"/>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4.xml><?xml version="1.0" encoding="utf-8"?>
<xdr:wsDr xmlns:xdr="http://schemas.openxmlformats.org/drawingml/2006/spreadsheetDrawing" xmlns:a="http://schemas.openxmlformats.org/drawingml/2006/main">
  <xdr:twoCellAnchor editAs="oneCell">
    <xdr:from>
      <xdr:col>7</xdr:col>
      <xdr:colOff>0</xdr:colOff>
      <xdr:row>44</xdr:row>
      <xdr:rowOff>0</xdr:rowOff>
    </xdr:from>
    <xdr:to>
      <xdr:col>7</xdr:col>
      <xdr:colOff>304800</xdr:colOff>
      <xdr:row>45</xdr:row>
      <xdr:rowOff>82868</xdr:rowOff>
    </xdr:to>
    <xdr:sp macro="" textlink="">
      <xdr:nvSpPr>
        <xdr:cNvPr id="6145" name="AutoShape 1" descr="blob:https://web.whatsapp.com/47251487-7416-40cf-97a9-785cde65f5d0">
          <a:extLst>
            <a:ext uri="{FF2B5EF4-FFF2-40B4-BE49-F238E27FC236}">
              <a16:creationId xmlns:a16="http://schemas.microsoft.com/office/drawing/2014/main" id="{00000000-0008-0000-1700-000001180000}"/>
            </a:ext>
          </a:extLst>
        </xdr:cNvPr>
        <xdr:cNvSpPr>
          <a:spLocks noChangeAspect="1" noChangeArrowheads="1"/>
        </xdr:cNvSpPr>
      </xdr:nvSpPr>
      <xdr:spPr bwMode="auto">
        <a:xfrm>
          <a:off x="9639300" y="198653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3</xdr:col>
      <xdr:colOff>2154306</xdr:colOff>
      <xdr:row>1</xdr:row>
      <xdr:rowOff>132522</xdr:rowOff>
    </xdr:from>
    <xdr:ext cx="2599042" cy="800100"/>
    <xdr:pic>
      <xdr:nvPicPr>
        <xdr:cNvPr id="3" name="Imagem 2">
          <a:extLst>
            <a:ext uri="{FF2B5EF4-FFF2-40B4-BE49-F238E27FC236}">
              <a16:creationId xmlns:a16="http://schemas.microsoft.com/office/drawing/2014/main" id="{00000000-0008-0000-17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250306" y="331305"/>
          <a:ext cx="2599042" cy="800100"/>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5.xml><?xml version="1.0" encoding="utf-8"?>
<xdr:wsDr xmlns:xdr="http://schemas.openxmlformats.org/drawingml/2006/spreadsheetDrawing" xmlns:a="http://schemas.openxmlformats.org/drawingml/2006/main">
  <xdr:oneCellAnchor>
    <xdr:from>
      <xdr:col>3</xdr:col>
      <xdr:colOff>1638300</xdr:colOff>
      <xdr:row>2</xdr:row>
      <xdr:rowOff>2381</xdr:rowOff>
    </xdr:from>
    <xdr:ext cx="2599042" cy="800100"/>
    <xdr:pic>
      <xdr:nvPicPr>
        <xdr:cNvPr id="6" name="Imagem 5">
          <a:extLst>
            <a:ext uri="{FF2B5EF4-FFF2-40B4-BE49-F238E27FC236}">
              <a16:creationId xmlns:a16="http://schemas.microsoft.com/office/drawing/2014/main" id="{00000000-0008-0000-18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467725" y="402431"/>
          <a:ext cx="2599042" cy="800100"/>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26.xml><?xml version="1.0" encoding="utf-8"?>
<xdr:wsDr xmlns:xdr="http://schemas.openxmlformats.org/drawingml/2006/spreadsheetDrawing" xmlns:a="http://schemas.openxmlformats.org/drawingml/2006/main">
  <xdr:oneCellAnchor>
    <xdr:from>
      <xdr:col>5</xdr:col>
      <xdr:colOff>219075</xdr:colOff>
      <xdr:row>1</xdr:row>
      <xdr:rowOff>78581</xdr:rowOff>
    </xdr:from>
    <xdr:ext cx="2599042" cy="800100"/>
    <xdr:pic>
      <xdr:nvPicPr>
        <xdr:cNvPr id="3" name="Imagem 2">
          <a:extLst>
            <a:ext uri="{FF2B5EF4-FFF2-40B4-BE49-F238E27FC236}">
              <a16:creationId xmlns:a16="http://schemas.microsoft.com/office/drawing/2014/main" id="{00000000-0008-0000-18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591550" y="278606"/>
          <a:ext cx="2599042" cy="800100"/>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11</xdr:col>
      <xdr:colOff>89647</xdr:colOff>
      <xdr:row>2</xdr:row>
      <xdr:rowOff>145676</xdr:rowOff>
    </xdr:from>
    <xdr:to>
      <xdr:col>13</xdr:col>
      <xdr:colOff>999971</xdr:colOff>
      <xdr:row>7</xdr:row>
      <xdr:rowOff>201145</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3066059" y="549088"/>
          <a:ext cx="3431647" cy="1063998"/>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3</xdr:col>
      <xdr:colOff>457199</xdr:colOff>
      <xdr:row>13</xdr:row>
      <xdr:rowOff>190499</xdr:rowOff>
    </xdr:from>
    <xdr:ext cx="4098507" cy="790575"/>
    <xdr:pic>
      <xdr:nvPicPr>
        <xdr:cNvPr id="2" name="Picture 4">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96099" y="3400424"/>
          <a:ext cx="4098507"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527228</xdr:colOff>
      <xdr:row>0</xdr:row>
      <xdr:rowOff>366278</xdr:rowOff>
    </xdr:from>
    <xdr:ext cx="2815629" cy="866775"/>
    <xdr:pic>
      <xdr:nvPicPr>
        <xdr:cNvPr id="5" name="Imagem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9169001" y="366278"/>
          <a:ext cx="2815629" cy="866775"/>
        </a:xfrm>
        <a:prstGeom prst="rect">
          <a:avLst/>
        </a:prstGeom>
        <a:noFill/>
        <a:ln>
          <a:noFill/>
        </a:ln>
        <a:extLst>
          <a:ext uri="{53640926-AAD7-44D8-BBD7-CCE9431645EC}">
            <a14:shadowObscured xmlns:a14="http://schemas.microsoft.com/office/drawing/2010/main"/>
          </a:ext>
        </a:extLst>
      </xdr:spPr>
    </xdr:pic>
    <xdr:clientData/>
  </xdr:oneCellAnchor>
  <xdr:oneCellAnchor>
    <xdr:from>
      <xdr:col>3</xdr:col>
      <xdr:colOff>438149</xdr:colOff>
      <xdr:row>32</xdr:row>
      <xdr:rowOff>38099</xdr:rowOff>
    </xdr:from>
    <xdr:ext cx="4098507" cy="790575"/>
    <xdr:pic>
      <xdr:nvPicPr>
        <xdr:cNvPr id="6" name="Picture 4">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77049" y="7258049"/>
          <a:ext cx="4098507"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18</xdr:col>
      <xdr:colOff>192741</xdr:colOff>
      <xdr:row>5</xdr:row>
      <xdr:rowOff>266700</xdr:rowOff>
    </xdr:from>
    <xdr:ext cx="2815629" cy="866775"/>
    <xdr:pic>
      <xdr:nvPicPr>
        <xdr:cNvPr id="13" name="Imagem 12">
          <a:extLst>
            <a:ext uri="{FF2B5EF4-FFF2-40B4-BE49-F238E27FC236}">
              <a16:creationId xmlns:a16="http://schemas.microsoft.com/office/drawing/2014/main" id="{00000000-0008-0000-0400-00000D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22290741" y="1219200"/>
          <a:ext cx="2815629" cy="866775"/>
        </a:xfrm>
        <a:prstGeom prst="rect">
          <a:avLst/>
        </a:prstGeom>
        <a:noFill/>
        <a:ln>
          <a:noFill/>
        </a:ln>
        <a:extLst>
          <a:ext uri="{53640926-AAD7-44D8-BBD7-CCE9431645EC}">
            <a14:shadowObscured xmlns:a14="http://schemas.microsoft.com/office/drawing/2010/main"/>
          </a:ext>
        </a:extLst>
      </xdr:spPr>
    </xdr:pic>
    <xdr:clientData/>
  </xdr:oneCellAnchor>
  <xdr:oneCellAnchor>
    <xdr:from>
      <xdr:col>36</xdr:col>
      <xdr:colOff>277906</xdr:colOff>
      <xdr:row>6</xdr:row>
      <xdr:rowOff>33618</xdr:rowOff>
    </xdr:from>
    <xdr:ext cx="2815629" cy="866775"/>
    <xdr:pic>
      <xdr:nvPicPr>
        <xdr:cNvPr id="16" name="Imagem 15">
          <a:extLst>
            <a:ext uri="{FF2B5EF4-FFF2-40B4-BE49-F238E27FC236}">
              <a16:creationId xmlns:a16="http://schemas.microsoft.com/office/drawing/2014/main" id="{00000000-0008-0000-0400-000010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1654506" y="1405218"/>
          <a:ext cx="2815629" cy="866775"/>
        </a:xfrm>
        <a:prstGeom prst="rect">
          <a:avLst/>
        </a:prstGeom>
        <a:noFill/>
        <a:ln>
          <a:noFill/>
        </a:ln>
        <a:extLst>
          <a:ext uri="{53640926-AAD7-44D8-BBD7-CCE9431645EC}">
            <a14:shadowObscured xmlns:a14="http://schemas.microsoft.com/office/drawing/2010/main"/>
          </a:ext>
        </a:extLst>
      </xdr:spPr>
    </xdr:pic>
    <xdr:clientData/>
  </xdr:oneCellAnchor>
  <xdr:oneCellAnchor>
    <xdr:from>
      <xdr:col>43</xdr:col>
      <xdr:colOff>277905</xdr:colOff>
      <xdr:row>6</xdr:row>
      <xdr:rowOff>76199</xdr:rowOff>
    </xdr:from>
    <xdr:ext cx="2815629" cy="866775"/>
    <xdr:pic>
      <xdr:nvPicPr>
        <xdr:cNvPr id="17" name="Imagem 16">
          <a:extLst>
            <a:ext uri="{FF2B5EF4-FFF2-40B4-BE49-F238E27FC236}">
              <a16:creationId xmlns:a16="http://schemas.microsoft.com/office/drawing/2014/main" id="{00000000-0008-0000-0400-000011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49426905" y="1447799"/>
          <a:ext cx="2815629" cy="866775"/>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18</xdr:col>
      <xdr:colOff>291134</xdr:colOff>
      <xdr:row>0</xdr:row>
      <xdr:rowOff>0</xdr:rowOff>
    </xdr:from>
    <xdr:to>
      <xdr:col>22</xdr:col>
      <xdr:colOff>451776</xdr:colOff>
      <xdr:row>4</xdr:row>
      <xdr:rowOff>0</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20112659" y="0"/>
          <a:ext cx="2599042" cy="80010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8</xdr:col>
      <xdr:colOff>195056</xdr:colOff>
      <xdr:row>0</xdr:row>
      <xdr:rowOff>157887</xdr:rowOff>
    </xdr:from>
    <xdr:ext cx="2599042" cy="800100"/>
    <xdr:pic>
      <xdr:nvPicPr>
        <xdr:cNvPr id="4" name="Imagem 3">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8481806" y="157887"/>
          <a:ext cx="2599042" cy="800100"/>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8</xdr:col>
      <xdr:colOff>264319</xdr:colOff>
      <xdr:row>3</xdr:row>
      <xdr:rowOff>95250</xdr:rowOff>
    </xdr:from>
    <xdr:ext cx="2599042" cy="800100"/>
    <xdr:pic>
      <xdr:nvPicPr>
        <xdr:cNvPr id="4" name="Imagem 3">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1446669" y="695325"/>
          <a:ext cx="2599042" cy="800100"/>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8</xdr:col>
      <xdr:colOff>26194</xdr:colOff>
      <xdr:row>2</xdr:row>
      <xdr:rowOff>180975</xdr:rowOff>
    </xdr:from>
    <xdr:ext cx="2599042" cy="800100"/>
    <xdr:pic>
      <xdr:nvPicPr>
        <xdr:cNvPr id="4" name="Imagem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10856119" y="581025"/>
          <a:ext cx="2599042" cy="800100"/>
        </a:xfrm>
        <a:prstGeom prst="rect">
          <a:avLst/>
        </a:prstGeom>
        <a:noFill/>
        <a:ln>
          <a:noFill/>
        </a:ln>
        <a:extLst>
          <a:ext uri="{53640926-AAD7-44D8-BBD7-CCE9431645EC}">
            <a14:shadowObscured xmlns:a14="http://schemas.microsoft.com/office/drawing/2010/main"/>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poagc-fls001\Grupos\_Estreito%20291102\CIndireto\estreito%20-%20cronogr%20mod%20mo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ldcomec2\g_est_proj\Documentos\2023\04.%20SJP%20-%20MANIDIRITUBA\02.%20Obra\03.%20DOCUMENTOS%20A%20SEREM%20LICITADOS\24.%20OR&#199;AMENTO\PLANILHA%20OR&#199;AMENT&#193;RIA%20COM%20DESONERA&#199;&#195;O_R&#205;GIDO%20-%20Danil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ldcomec2\g_est_proj\PROJETOS\PROJ-2021\10231\QUADROS\ORCAMENTO\APOIO\ORC-10231-01-CD-00-G%20(em%20andamento%20ajustes)%20-%20Beatriz%20-%20Vand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ldcomec2\g_est_proj\PROJETOS\PROJ-2019\9422\ORCAMENTO\ORC-9422-03-PL-01-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ldcomec2\g_est_proj\PROJETOS\PROJ-2021\10801\ORCAMENTO\ORC-10801-01-PL-06-A%20(Mob%20e%20Des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mod"/>
      <sheetName val="PLANILHA"/>
      <sheetName val="HHORA"/>
      <sheetName val="CRONCROS"/>
      <sheetName val="CROINSIN"/>
      <sheetName val="ORDPLAN"/>
      <sheetName val="ORDTITU"/>
      <sheetName val="resumo"/>
      <sheetName val="PLANILHA (2)"/>
    </sheetNames>
    <sheetDataSet>
      <sheetData sheetId="0"/>
      <sheetData sheetId="1"/>
      <sheetData sheetId="2"/>
      <sheetData sheetId="3"/>
      <sheetData sheetId="4"/>
      <sheetData sheetId="5">
        <row r="1">
          <cell r="A1" t="str">
            <v>CDSEQPLA</v>
          </cell>
          <cell r="B1" t="str">
            <v>IDTIPPLA</v>
          </cell>
          <cell r="C1" t="str">
            <v>CDITEPLA</v>
          </cell>
          <cell r="D1" t="str">
            <v>CDCMDPLA</v>
          </cell>
          <cell r="E1" t="str">
            <v>CDCMPPLA</v>
          </cell>
          <cell r="F1" t="str">
            <v>DSSERPLA</v>
          </cell>
          <cell r="G1" t="str">
            <v>UNSERPLA</v>
          </cell>
          <cell r="H1" t="str">
            <v>QTSERPLA</v>
          </cell>
          <cell r="I1" t="str">
            <v>CDBDIPLA</v>
          </cell>
          <cell r="J1" t="str">
            <v>CDRESPLA</v>
          </cell>
          <cell r="K1" t="str">
            <v>CDSANPLA</v>
          </cell>
          <cell r="L1" t="str">
            <v>CDPRAPLA</v>
          </cell>
          <cell r="M1" t="str">
            <v>VLCSUPLA</v>
          </cell>
          <cell r="N1" t="str">
            <v>VLCSTPLA</v>
          </cell>
          <cell r="O1" t="str">
            <v>VLVEUPLA</v>
          </cell>
          <cell r="P1" t="str">
            <v>VLVETPLA</v>
          </cell>
        </row>
        <row r="2">
          <cell r="A2">
            <v>1</v>
          </cell>
          <cell r="B2">
            <v>2</v>
          </cell>
          <cell r="E2">
            <v>0</v>
          </cell>
          <cell r="F2" t="str">
            <v>AHE - ESTREITO (7 UNIDADES)</v>
          </cell>
          <cell r="H2">
            <v>0</v>
          </cell>
          <cell r="I2">
            <v>0</v>
          </cell>
          <cell r="J2">
            <v>0</v>
          </cell>
          <cell r="K2">
            <v>0</v>
          </cell>
          <cell r="L2">
            <v>0</v>
          </cell>
          <cell r="M2">
            <v>0</v>
          </cell>
          <cell r="N2">
            <v>0</v>
          </cell>
          <cell r="O2">
            <v>0</v>
          </cell>
          <cell r="P2">
            <v>0</v>
          </cell>
        </row>
        <row r="3">
          <cell r="A3">
            <v>2</v>
          </cell>
          <cell r="B3">
            <v>8</v>
          </cell>
          <cell r="E3">
            <v>0</v>
          </cell>
          <cell r="H3">
            <v>0</v>
          </cell>
          <cell r="I3">
            <v>0</v>
          </cell>
          <cell r="J3">
            <v>0</v>
          </cell>
          <cell r="K3">
            <v>0</v>
          </cell>
          <cell r="L3">
            <v>0</v>
          </cell>
          <cell r="M3">
            <v>0</v>
          </cell>
          <cell r="N3">
            <v>0</v>
          </cell>
          <cell r="O3">
            <v>0</v>
          </cell>
          <cell r="P3">
            <v>0</v>
          </cell>
        </row>
        <row r="4">
          <cell r="A4">
            <v>3</v>
          </cell>
          <cell r="B4">
            <v>3</v>
          </cell>
          <cell r="C4" t="str">
            <v>01</v>
          </cell>
          <cell r="E4">
            <v>0</v>
          </cell>
          <cell r="F4" t="str">
            <v>** INSTALACAO CANTEIRO E ACAMPAMENTO</v>
          </cell>
          <cell r="H4">
            <v>0</v>
          </cell>
          <cell r="I4">
            <v>0</v>
          </cell>
          <cell r="J4">
            <v>0</v>
          </cell>
          <cell r="K4">
            <v>0</v>
          </cell>
          <cell r="L4">
            <v>0</v>
          </cell>
          <cell r="M4">
            <v>0</v>
          </cell>
          <cell r="N4">
            <v>0</v>
          </cell>
          <cell r="O4">
            <v>0</v>
          </cell>
          <cell r="P4">
            <v>0</v>
          </cell>
        </row>
        <row r="5">
          <cell r="A5">
            <v>4</v>
          </cell>
          <cell r="B5">
            <v>4</v>
          </cell>
          <cell r="C5" t="str">
            <v>01.01</v>
          </cell>
          <cell r="E5">
            <v>0</v>
          </cell>
          <cell r="F5" t="str">
            <v>* TERRAPLENAGEM DO CANTEIRO E ACAMPAMENTO</v>
          </cell>
          <cell r="H5">
            <v>0</v>
          </cell>
          <cell r="I5">
            <v>0</v>
          </cell>
          <cell r="J5">
            <v>0</v>
          </cell>
          <cell r="K5">
            <v>0</v>
          </cell>
          <cell r="L5">
            <v>0</v>
          </cell>
          <cell r="M5">
            <v>0</v>
          </cell>
          <cell r="N5">
            <v>0</v>
          </cell>
          <cell r="O5">
            <v>0</v>
          </cell>
          <cell r="P5">
            <v>0</v>
          </cell>
        </row>
        <row r="6">
          <cell r="A6">
            <v>5</v>
          </cell>
          <cell r="B6">
            <v>0</v>
          </cell>
          <cell r="C6" t="str">
            <v>01.01.01</v>
          </cell>
          <cell r="E6">
            <v>4000002</v>
          </cell>
          <cell r="F6" t="str">
            <v>DESMATAMENTO DO CANTEIRO - MD</v>
          </cell>
          <cell r="G6" t="str">
            <v>M2</v>
          </cell>
          <cell r="H6">
            <v>1021800</v>
          </cell>
          <cell r="I6">
            <v>1</v>
          </cell>
          <cell r="J6">
            <v>1</v>
          </cell>
          <cell r="K6">
            <v>1</v>
          </cell>
          <cell r="L6">
            <v>1</v>
          </cell>
          <cell r="M6">
            <v>0.73</v>
          </cell>
          <cell r="N6">
            <v>745914</v>
          </cell>
          <cell r="O6">
            <v>0.73</v>
          </cell>
          <cell r="P6">
            <v>745914</v>
          </cell>
        </row>
        <row r="7">
          <cell r="A7">
            <v>6</v>
          </cell>
          <cell r="B7">
            <v>0</v>
          </cell>
          <cell r="C7" t="str">
            <v>01.01.02</v>
          </cell>
          <cell r="E7">
            <v>4000109</v>
          </cell>
          <cell r="F7" t="str">
            <v>DESMATAMENTO DO CANTEIRO - ME</v>
          </cell>
          <cell r="G7" t="str">
            <v>M2</v>
          </cell>
          <cell r="H7">
            <v>490600</v>
          </cell>
          <cell r="I7">
            <v>1</v>
          </cell>
          <cell r="J7">
            <v>1</v>
          </cell>
          <cell r="K7">
            <v>1</v>
          </cell>
          <cell r="L7">
            <v>1</v>
          </cell>
          <cell r="M7">
            <v>0.73</v>
          </cell>
          <cell r="N7">
            <v>358138</v>
          </cell>
          <cell r="O7">
            <v>0.73</v>
          </cell>
          <cell r="P7">
            <v>358138</v>
          </cell>
        </row>
        <row r="8">
          <cell r="A8">
            <v>7</v>
          </cell>
          <cell r="B8">
            <v>0</v>
          </cell>
          <cell r="C8" t="str">
            <v>01.01.03</v>
          </cell>
          <cell r="E8">
            <v>4000206</v>
          </cell>
          <cell r="F8" t="str">
            <v>ESCAVACAO COMUM - CANTEIRO</v>
          </cell>
          <cell r="G8" t="str">
            <v>M3</v>
          </cell>
          <cell r="H8">
            <v>94000</v>
          </cell>
          <cell r="I8">
            <v>1</v>
          </cell>
          <cell r="J8">
            <v>1</v>
          </cell>
          <cell r="K8">
            <v>1</v>
          </cell>
          <cell r="L8">
            <v>1</v>
          </cell>
          <cell r="M8">
            <v>3.22</v>
          </cell>
          <cell r="N8">
            <v>302680</v>
          </cell>
          <cell r="O8">
            <v>3.22</v>
          </cell>
          <cell r="P8">
            <v>302680</v>
          </cell>
        </row>
        <row r="9">
          <cell r="A9">
            <v>8</v>
          </cell>
          <cell r="B9">
            <v>0</v>
          </cell>
          <cell r="C9" t="str">
            <v>01.01.04</v>
          </cell>
          <cell r="E9">
            <v>4000303</v>
          </cell>
          <cell r="F9" t="str">
            <v>ATERRO COMPACTADO PARA CANTEIRO</v>
          </cell>
          <cell r="G9" t="str">
            <v>M3</v>
          </cell>
          <cell r="H9">
            <v>118000</v>
          </cell>
          <cell r="I9">
            <v>1</v>
          </cell>
          <cell r="J9">
            <v>1</v>
          </cell>
          <cell r="K9">
            <v>1</v>
          </cell>
          <cell r="L9">
            <v>1</v>
          </cell>
          <cell r="M9">
            <v>1</v>
          </cell>
          <cell r="N9">
            <v>118000</v>
          </cell>
          <cell r="O9">
            <v>1</v>
          </cell>
          <cell r="P9">
            <v>118000</v>
          </cell>
        </row>
        <row r="10">
          <cell r="A10">
            <v>9</v>
          </cell>
          <cell r="B10">
            <v>8</v>
          </cell>
          <cell r="E10">
            <v>0</v>
          </cell>
          <cell r="H10">
            <v>0</v>
          </cell>
          <cell r="I10">
            <v>0</v>
          </cell>
          <cell r="J10">
            <v>0</v>
          </cell>
          <cell r="K10">
            <v>0</v>
          </cell>
          <cell r="L10">
            <v>0</v>
          </cell>
          <cell r="M10">
            <v>0</v>
          </cell>
          <cell r="N10">
            <v>0</v>
          </cell>
          <cell r="O10">
            <v>0</v>
          </cell>
          <cell r="P10">
            <v>0</v>
          </cell>
        </row>
        <row r="11">
          <cell r="A11">
            <v>10</v>
          </cell>
          <cell r="B11">
            <v>4</v>
          </cell>
          <cell r="C11" t="str">
            <v>01.02</v>
          </cell>
          <cell r="E11">
            <v>0</v>
          </cell>
          <cell r="F11" t="str">
            <v>* INSTALACAO DO CANTEIRO</v>
          </cell>
          <cell r="H11">
            <v>0</v>
          </cell>
          <cell r="I11">
            <v>0</v>
          </cell>
          <cell r="J11">
            <v>0</v>
          </cell>
          <cell r="K11">
            <v>0</v>
          </cell>
          <cell r="L11">
            <v>0</v>
          </cell>
          <cell r="M11">
            <v>0</v>
          </cell>
          <cell r="N11">
            <v>0</v>
          </cell>
          <cell r="O11">
            <v>0</v>
          </cell>
          <cell r="P11">
            <v>0</v>
          </cell>
        </row>
        <row r="12">
          <cell r="A12">
            <v>11</v>
          </cell>
          <cell r="B12">
            <v>0</v>
          </cell>
          <cell r="C12" t="str">
            <v>01.02.01</v>
          </cell>
          <cell r="E12">
            <v>4000808</v>
          </cell>
          <cell r="F12" t="str">
            <v>CONSTRUCAO DO CANTEIRO ADMINISTRATIVO</v>
          </cell>
          <cell r="G12" t="str">
            <v>GB</v>
          </cell>
          <cell r="H12">
            <v>1</v>
          </cell>
          <cell r="I12">
            <v>1</v>
          </cell>
          <cell r="J12">
            <v>1</v>
          </cell>
          <cell r="K12">
            <v>1</v>
          </cell>
          <cell r="L12">
            <v>1</v>
          </cell>
          <cell r="M12">
            <v>298720</v>
          </cell>
          <cell r="N12">
            <v>298720</v>
          </cell>
          <cell r="O12">
            <v>298720</v>
          </cell>
          <cell r="P12">
            <v>298720</v>
          </cell>
        </row>
        <row r="13">
          <cell r="A13">
            <v>12</v>
          </cell>
          <cell r="B13">
            <v>0</v>
          </cell>
          <cell r="C13" t="str">
            <v>01.02.02</v>
          </cell>
          <cell r="E13">
            <v>4000905</v>
          </cell>
          <cell r="F13" t="str">
            <v>CONSTRUCAO DO CANTEIRO INDUSTRIAL</v>
          </cell>
          <cell r="G13" t="str">
            <v>GB</v>
          </cell>
          <cell r="H13">
            <v>1</v>
          </cell>
          <cell r="I13">
            <v>1</v>
          </cell>
          <cell r="J13">
            <v>1</v>
          </cell>
          <cell r="K13">
            <v>1</v>
          </cell>
          <cell r="L13">
            <v>1</v>
          </cell>
          <cell r="M13">
            <v>1379230</v>
          </cell>
          <cell r="N13">
            <v>1379230</v>
          </cell>
          <cell r="O13">
            <v>1379230</v>
          </cell>
          <cell r="P13">
            <v>1379230</v>
          </cell>
        </row>
        <row r="14">
          <cell r="A14">
            <v>13</v>
          </cell>
          <cell r="B14">
            <v>0</v>
          </cell>
          <cell r="C14" t="str">
            <v>01.02.03</v>
          </cell>
          <cell r="E14">
            <v>4001005</v>
          </cell>
          <cell r="F14" t="str">
            <v>CONSTRUCAO DO ACAMPAMENTO</v>
          </cell>
          <cell r="G14" t="str">
            <v>GB</v>
          </cell>
          <cell r="H14">
            <v>1</v>
          </cell>
          <cell r="I14">
            <v>1</v>
          </cell>
          <cell r="J14">
            <v>1</v>
          </cell>
          <cell r="K14">
            <v>1</v>
          </cell>
          <cell r="L14">
            <v>1</v>
          </cell>
          <cell r="M14">
            <v>2614275</v>
          </cell>
          <cell r="N14">
            <v>2614275</v>
          </cell>
          <cell r="O14">
            <v>2614275</v>
          </cell>
          <cell r="P14">
            <v>2614275</v>
          </cell>
        </row>
        <row r="15">
          <cell r="A15">
            <v>14</v>
          </cell>
          <cell r="B15">
            <v>0</v>
          </cell>
          <cell r="C15" t="str">
            <v>01.02.04</v>
          </cell>
          <cell r="E15">
            <v>4001102</v>
          </cell>
          <cell r="F15" t="str">
            <v>MONTAGEM/DESMONTAGEM DE CENTRAIS</v>
          </cell>
          <cell r="G15" t="str">
            <v>GB</v>
          </cell>
          <cell r="H15">
            <v>1</v>
          </cell>
          <cell r="I15">
            <v>1</v>
          </cell>
          <cell r="J15">
            <v>1</v>
          </cell>
          <cell r="K15">
            <v>1</v>
          </cell>
          <cell r="L15">
            <v>1</v>
          </cell>
          <cell r="M15">
            <v>4445104.12</v>
          </cell>
          <cell r="N15">
            <v>4445104.12</v>
          </cell>
          <cell r="O15">
            <v>4445104.12</v>
          </cell>
          <cell r="P15">
            <v>4445104.12</v>
          </cell>
        </row>
        <row r="16">
          <cell r="A16">
            <v>15</v>
          </cell>
          <cell r="B16">
            <v>0</v>
          </cell>
          <cell r="C16" t="str">
            <v>01.02.05</v>
          </cell>
          <cell r="E16">
            <v>4001209</v>
          </cell>
          <cell r="F16" t="str">
            <v>MONTAGEM/DESMONTAGEM DE EQUIPAMENTOS</v>
          </cell>
          <cell r="G16" t="str">
            <v>GB</v>
          </cell>
          <cell r="H16">
            <v>1</v>
          </cell>
          <cell r="I16">
            <v>1</v>
          </cell>
          <cell r="J16">
            <v>1</v>
          </cell>
          <cell r="K16">
            <v>1</v>
          </cell>
          <cell r="L16">
            <v>1</v>
          </cell>
          <cell r="M16">
            <v>2973094.14</v>
          </cell>
          <cell r="N16">
            <v>2973094.14</v>
          </cell>
          <cell r="O16">
            <v>2973094.14</v>
          </cell>
          <cell r="P16">
            <v>2973094.14</v>
          </cell>
        </row>
        <row r="17">
          <cell r="A17">
            <v>16</v>
          </cell>
          <cell r="B17">
            <v>0</v>
          </cell>
          <cell r="C17" t="str">
            <v>01.02.06</v>
          </cell>
          <cell r="E17">
            <v>4001306</v>
          </cell>
          <cell r="F17" t="str">
            <v>REDE ELETRICA/TELEFONIA</v>
          </cell>
          <cell r="G17" t="str">
            <v>GB</v>
          </cell>
          <cell r="H17">
            <v>1</v>
          </cell>
          <cell r="I17">
            <v>1</v>
          </cell>
          <cell r="J17">
            <v>1</v>
          </cell>
          <cell r="K17">
            <v>1</v>
          </cell>
          <cell r="L17">
            <v>1</v>
          </cell>
          <cell r="M17">
            <v>1970039.04</v>
          </cell>
          <cell r="N17">
            <v>1970039.04</v>
          </cell>
          <cell r="O17">
            <v>1970039.04</v>
          </cell>
          <cell r="P17">
            <v>1970039.04</v>
          </cell>
        </row>
        <row r="18">
          <cell r="A18">
            <v>17</v>
          </cell>
          <cell r="B18">
            <v>0</v>
          </cell>
          <cell r="C18" t="str">
            <v>01.02.07</v>
          </cell>
          <cell r="E18">
            <v>4001403</v>
          </cell>
          <cell r="F18" t="str">
            <v>REDE HIDRAULICA/BOMBEAMENTO/AR COMPRIMIDO</v>
          </cell>
          <cell r="G18" t="str">
            <v>GB</v>
          </cell>
          <cell r="H18">
            <v>1</v>
          </cell>
          <cell r="I18">
            <v>1</v>
          </cell>
          <cell r="J18">
            <v>1</v>
          </cell>
          <cell r="K18">
            <v>1</v>
          </cell>
          <cell r="L18">
            <v>1</v>
          </cell>
          <cell r="M18">
            <v>1195125.1000000001</v>
          </cell>
          <cell r="N18">
            <v>1195125.1000000001</v>
          </cell>
          <cell r="O18">
            <v>1195125.1000000001</v>
          </cell>
          <cell r="P18">
            <v>1195125.1000000001</v>
          </cell>
        </row>
        <row r="19">
          <cell r="A19">
            <v>18</v>
          </cell>
          <cell r="B19">
            <v>0</v>
          </cell>
          <cell r="C19" t="str">
            <v>01.02.08</v>
          </cell>
          <cell r="E19">
            <v>4001500</v>
          </cell>
          <cell r="F19" t="str">
            <v>REDE DE ESGOTO/ESTACAO TRATAMENTO</v>
          </cell>
          <cell r="G19" t="str">
            <v>GB</v>
          </cell>
          <cell r="H19">
            <v>1</v>
          </cell>
          <cell r="I19">
            <v>1</v>
          </cell>
          <cell r="J19">
            <v>1</v>
          </cell>
          <cell r="K19">
            <v>1</v>
          </cell>
          <cell r="L19">
            <v>1</v>
          </cell>
          <cell r="M19">
            <v>577920.53</v>
          </cell>
          <cell r="N19">
            <v>577920.53</v>
          </cell>
          <cell r="O19">
            <v>577920.53</v>
          </cell>
          <cell r="P19">
            <v>577920.53</v>
          </cell>
        </row>
        <row r="20">
          <cell r="A20">
            <v>19</v>
          </cell>
          <cell r="B20">
            <v>0</v>
          </cell>
          <cell r="C20" t="str">
            <v>01.02.09</v>
          </cell>
          <cell r="E20">
            <v>4001607</v>
          </cell>
          <cell r="F20" t="str">
            <v>DRENAGEM - GUIAS E SARJETAS</v>
          </cell>
          <cell r="G20" t="str">
            <v>GB</v>
          </cell>
          <cell r="H20">
            <v>1</v>
          </cell>
          <cell r="I20">
            <v>1</v>
          </cell>
          <cell r="J20">
            <v>1</v>
          </cell>
          <cell r="K20">
            <v>1</v>
          </cell>
          <cell r="L20">
            <v>1</v>
          </cell>
          <cell r="M20">
            <v>300000</v>
          </cell>
          <cell r="N20">
            <v>300000</v>
          </cell>
          <cell r="O20">
            <v>300000</v>
          </cell>
          <cell r="P20">
            <v>300000</v>
          </cell>
        </row>
        <row r="21">
          <cell r="A21">
            <v>20</v>
          </cell>
          <cell r="B21">
            <v>0</v>
          </cell>
          <cell r="C21" t="str">
            <v>01.02.10</v>
          </cell>
          <cell r="E21">
            <v>4001704</v>
          </cell>
          <cell r="F21" t="str">
            <v>URBANIZACAO DO CANTEIRO</v>
          </cell>
          <cell r="G21" t="str">
            <v>GB</v>
          </cell>
          <cell r="H21">
            <v>1</v>
          </cell>
          <cell r="I21">
            <v>1</v>
          </cell>
          <cell r="J21">
            <v>1</v>
          </cell>
          <cell r="K21">
            <v>1</v>
          </cell>
          <cell r="L21">
            <v>1</v>
          </cell>
          <cell r="M21">
            <v>200000</v>
          </cell>
          <cell r="N21">
            <v>200000</v>
          </cell>
          <cell r="O21">
            <v>200000</v>
          </cell>
          <cell r="P21">
            <v>200000</v>
          </cell>
        </row>
        <row r="22">
          <cell r="A22">
            <v>21</v>
          </cell>
          <cell r="B22">
            <v>0</v>
          </cell>
          <cell r="C22" t="str">
            <v>01.02.11</v>
          </cell>
          <cell r="E22">
            <v>4001801</v>
          </cell>
          <cell r="F22" t="str">
            <v>REMOCAO DO CANTEIRO</v>
          </cell>
          <cell r="G22" t="str">
            <v>GB</v>
          </cell>
          <cell r="H22">
            <v>1</v>
          </cell>
          <cell r="I22">
            <v>1</v>
          </cell>
          <cell r="J22">
            <v>1</v>
          </cell>
          <cell r="K22">
            <v>1</v>
          </cell>
          <cell r="L22">
            <v>1</v>
          </cell>
          <cell r="M22">
            <v>1</v>
          </cell>
          <cell r="N22">
            <v>1</v>
          </cell>
          <cell r="O22">
            <v>1</v>
          </cell>
          <cell r="P22">
            <v>1</v>
          </cell>
        </row>
        <row r="23">
          <cell r="A23">
            <v>22</v>
          </cell>
          <cell r="B23">
            <v>0</v>
          </cell>
          <cell r="C23" t="str">
            <v>01.02.12</v>
          </cell>
          <cell r="E23">
            <v>4001908</v>
          </cell>
          <cell r="F23" t="str">
            <v>RECOMPOSICAO AREAS CANTEIRO/UNIDADES INDUSTRIAIS</v>
          </cell>
          <cell r="G23" t="str">
            <v>HA</v>
          </cell>
          <cell r="H23">
            <v>150</v>
          </cell>
          <cell r="I23">
            <v>1</v>
          </cell>
          <cell r="J23">
            <v>1</v>
          </cell>
          <cell r="K23">
            <v>1</v>
          </cell>
          <cell r="L23">
            <v>1</v>
          </cell>
          <cell r="M23">
            <v>6000</v>
          </cell>
          <cell r="N23">
            <v>900000</v>
          </cell>
          <cell r="O23">
            <v>6000</v>
          </cell>
          <cell r="P23">
            <v>900000</v>
          </cell>
        </row>
        <row r="24">
          <cell r="A24">
            <v>23</v>
          </cell>
          <cell r="B24">
            <v>0</v>
          </cell>
          <cell r="C24" t="str">
            <v>01.02.13</v>
          </cell>
          <cell r="E24">
            <v>4002008</v>
          </cell>
          <cell r="F24" t="str">
            <v>RECOMPOSICAO DA AREA DE EMPRESTIMO</v>
          </cell>
          <cell r="G24" t="str">
            <v>HA</v>
          </cell>
          <cell r="H24">
            <v>45</v>
          </cell>
          <cell r="I24">
            <v>1</v>
          </cell>
          <cell r="J24">
            <v>1</v>
          </cell>
          <cell r="K24">
            <v>1</v>
          </cell>
          <cell r="L24">
            <v>1</v>
          </cell>
          <cell r="M24">
            <v>3000</v>
          </cell>
          <cell r="N24">
            <v>135000</v>
          </cell>
          <cell r="O24">
            <v>3000</v>
          </cell>
          <cell r="P24">
            <v>135000</v>
          </cell>
        </row>
        <row r="25">
          <cell r="A25">
            <v>24</v>
          </cell>
          <cell r="B25">
            <v>8</v>
          </cell>
          <cell r="E25">
            <v>0</v>
          </cell>
          <cell r="H25">
            <v>0</v>
          </cell>
          <cell r="I25">
            <v>0</v>
          </cell>
          <cell r="J25">
            <v>0</v>
          </cell>
          <cell r="K25">
            <v>0</v>
          </cell>
          <cell r="L25">
            <v>0</v>
          </cell>
          <cell r="M25">
            <v>0</v>
          </cell>
          <cell r="N25">
            <v>0</v>
          </cell>
          <cell r="O25">
            <v>0</v>
          </cell>
          <cell r="P25">
            <v>0</v>
          </cell>
        </row>
        <row r="26">
          <cell r="A26">
            <v>25</v>
          </cell>
          <cell r="B26">
            <v>4</v>
          </cell>
          <cell r="C26" t="str">
            <v>01.03</v>
          </cell>
          <cell r="E26">
            <v>0</v>
          </cell>
          <cell r="F26" t="str">
            <v>* ENERGIA ELETRICA</v>
          </cell>
          <cell r="H26">
            <v>0</v>
          </cell>
          <cell r="I26">
            <v>0</v>
          </cell>
          <cell r="J26">
            <v>0</v>
          </cell>
          <cell r="K26">
            <v>0</v>
          </cell>
          <cell r="L26">
            <v>0</v>
          </cell>
          <cell r="M26">
            <v>0</v>
          </cell>
          <cell r="N26">
            <v>0</v>
          </cell>
          <cell r="O26">
            <v>0</v>
          </cell>
          <cell r="P26">
            <v>0</v>
          </cell>
        </row>
        <row r="27">
          <cell r="A27">
            <v>26</v>
          </cell>
          <cell r="B27">
            <v>0</v>
          </cell>
          <cell r="C27" t="str">
            <v>01.03.01</v>
          </cell>
          <cell r="E27">
            <v>4002105</v>
          </cell>
          <cell r="F27" t="str">
            <v>SUPRIMENTO DE ENERGIA A OBRA (CEMAR)</v>
          </cell>
          <cell r="G27" t="str">
            <v>GB</v>
          </cell>
          <cell r="H27">
            <v>1</v>
          </cell>
          <cell r="I27">
            <v>1</v>
          </cell>
          <cell r="J27">
            <v>1</v>
          </cell>
          <cell r="K27">
            <v>1</v>
          </cell>
          <cell r="L27">
            <v>1</v>
          </cell>
          <cell r="M27">
            <v>1162470</v>
          </cell>
          <cell r="N27">
            <v>1162470</v>
          </cell>
          <cell r="O27">
            <v>1162470</v>
          </cell>
          <cell r="P27">
            <v>1162470</v>
          </cell>
        </row>
        <row r="28">
          <cell r="A28">
            <v>27</v>
          </cell>
          <cell r="B28">
            <v>0</v>
          </cell>
          <cell r="C28" t="str">
            <v>01.03.02</v>
          </cell>
          <cell r="E28">
            <v>4002202</v>
          </cell>
          <cell r="F28" t="str">
            <v>GRUPO GERADOR DE EMERGENCIA - 1A FASE</v>
          </cell>
          <cell r="G28" t="str">
            <v>MES</v>
          </cell>
          <cell r="H28">
            <v>3</v>
          </cell>
          <cell r="I28">
            <v>1</v>
          </cell>
          <cell r="J28">
            <v>1</v>
          </cell>
          <cell r="K28">
            <v>1</v>
          </cell>
          <cell r="L28">
            <v>1</v>
          </cell>
          <cell r="M28">
            <v>186084.3</v>
          </cell>
          <cell r="N28">
            <v>558252.9</v>
          </cell>
          <cell r="O28">
            <v>186084.3</v>
          </cell>
          <cell r="P28">
            <v>558252.9</v>
          </cell>
        </row>
        <row r="29">
          <cell r="A29">
            <v>28</v>
          </cell>
          <cell r="B29">
            <v>0</v>
          </cell>
          <cell r="C29" t="str">
            <v>01.03.03</v>
          </cell>
          <cell r="E29">
            <v>4002309</v>
          </cell>
          <cell r="F29" t="str">
            <v>GRUPO GERADOR DE EMERGENCIA - 2A FASE</v>
          </cell>
          <cell r="G29" t="str">
            <v>MES</v>
          </cell>
          <cell r="H29">
            <v>37</v>
          </cell>
          <cell r="I29">
            <v>1</v>
          </cell>
          <cell r="J29">
            <v>1</v>
          </cell>
          <cell r="K29">
            <v>1</v>
          </cell>
          <cell r="L29">
            <v>1</v>
          </cell>
          <cell r="M29">
            <v>4466.7</v>
          </cell>
          <cell r="N29">
            <v>165267.9</v>
          </cell>
          <cell r="O29">
            <v>4466.7</v>
          </cell>
          <cell r="P29">
            <v>165267.9</v>
          </cell>
        </row>
        <row r="30">
          <cell r="A30">
            <v>29</v>
          </cell>
          <cell r="B30">
            <v>0</v>
          </cell>
          <cell r="C30" t="str">
            <v>01.03.04</v>
          </cell>
          <cell r="E30">
            <v>4002406</v>
          </cell>
          <cell r="F30" t="str">
            <v>ENERGIA ELETRICA (CONSUMO)</v>
          </cell>
          <cell r="G30" t="str">
            <v>MW/H</v>
          </cell>
          <cell r="H30">
            <v>54000</v>
          </cell>
          <cell r="I30">
            <v>1</v>
          </cell>
          <cell r="J30">
            <v>1</v>
          </cell>
          <cell r="K30">
            <v>1</v>
          </cell>
          <cell r="L30">
            <v>1</v>
          </cell>
          <cell r="M30">
            <v>140</v>
          </cell>
          <cell r="N30">
            <v>7560000</v>
          </cell>
          <cell r="O30">
            <v>140</v>
          </cell>
          <cell r="P30">
            <v>7560000</v>
          </cell>
        </row>
        <row r="31">
          <cell r="A31">
            <v>30</v>
          </cell>
          <cell r="B31">
            <v>8</v>
          </cell>
          <cell r="E31">
            <v>0</v>
          </cell>
          <cell r="H31">
            <v>0</v>
          </cell>
          <cell r="I31">
            <v>0</v>
          </cell>
          <cell r="J31">
            <v>0</v>
          </cell>
          <cell r="K31">
            <v>0</v>
          </cell>
          <cell r="L31">
            <v>0</v>
          </cell>
          <cell r="M31">
            <v>0</v>
          </cell>
          <cell r="N31">
            <v>0</v>
          </cell>
          <cell r="O31">
            <v>0</v>
          </cell>
          <cell r="P31">
            <v>0</v>
          </cell>
        </row>
        <row r="32">
          <cell r="A32">
            <v>31</v>
          </cell>
          <cell r="B32">
            <v>4</v>
          </cell>
          <cell r="C32" t="str">
            <v>01.04</v>
          </cell>
          <cell r="E32">
            <v>0</v>
          </cell>
          <cell r="F32" t="str">
            <v>* ACESSOS</v>
          </cell>
          <cell r="H32">
            <v>0</v>
          </cell>
          <cell r="I32">
            <v>0</v>
          </cell>
          <cell r="J32">
            <v>0</v>
          </cell>
          <cell r="K32">
            <v>0</v>
          </cell>
          <cell r="L32">
            <v>0</v>
          </cell>
          <cell r="M32">
            <v>0</v>
          </cell>
          <cell r="N32">
            <v>0</v>
          </cell>
          <cell r="O32">
            <v>0</v>
          </cell>
          <cell r="P32">
            <v>0</v>
          </cell>
        </row>
        <row r="33">
          <cell r="A33">
            <v>32</v>
          </cell>
          <cell r="B33">
            <v>0</v>
          </cell>
          <cell r="C33" t="str">
            <v>01.04.01</v>
          </cell>
          <cell r="E33">
            <v>4002462</v>
          </cell>
          <cell r="F33" t="str">
            <v>ACESSO AO CANTEIRO - MD</v>
          </cell>
          <cell r="G33" t="str">
            <v>KM</v>
          </cell>
          <cell r="H33">
            <v>3.5</v>
          </cell>
          <cell r="I33">
            <v>1</v>
          </cell>
          <cell r="J33">
            <v>1</v>
          </cell>
          <cell r="K33">
            <v>1</v>
          </cell>
          <cell r="L33">
            <v>1</v>
          </cell>
          <cell r="M33">
            <v>64057.25</v>
          </cell>
          <cell r="N33">
            <v>224200.38</v>
          </cell>
          <cell r="O33">
            <v>64057.25</v>
          </cell>
          <cell r="P33">
            <v>224200.38</v>
          </cell>
        </row>
        <row r="34">
          <cell r="A34">
            <v>33</v>
          </cell>
          <cell r="B34">
            <v>0</v>
          </cell>
          <cell r="C34" t="str">
            <v>01.04.02</v>
          </cell>
          <cell r="E34">
            <v>4002484</v>
          </cell>
          <cell r="F34" t="str">
            <v>ACESSO AO CANTEIRO - ME</v>
          </cell>
          <cell r="G34" t="str">
            <v>KM</v>
          </cell>
          <cell r="H34">
            <v>3.5</v>
          </cell>
          <cell r="I34">
            <v>1</v>
          </cell>
          <cell r="J34">
            <v>1</v>
          </cell>
          <cell r="K34">
            <v>1</v>
          </cell>
          <cell r="L34">
            <v>1</v>
          </cell>
          <cell r="M34">
            <v>64057.25</v>
          </cell>
          <cell r="N34">
            <v>224200.38</v>
          </cell>
          <cell r="O34">
            <v>64057.25</v>
          </cell>
          <cell r="P34">
            <v>224200.38</v>
          </cell>
        </row>
        <row r="35">
          <cell r="A35">
            <v>34</v>
          </cell>
          <cell r="B35">
            <v>0</v>
          </cell>
          <cell r="C35" t="str">
            <v>01.04.03</v>
          </cell>
          <cell r="E35">
            <v>4002503</v>
          </cell>
          <cell r="F35" t="str">
            <v>ACESSOS INTERNOS DO CANTEIRO</v>
          </cell>
          <cell r="G35" t="str">
            <v>KM</v>
          </cell>
          <cell r="H35">
            <v>7</v>
          </cell>
          <cell r="I35">
            <v>1</v>
          </cell>
          <cell r="J35">
            <v>1</v>
          </cell>
          <cell r="K35">
            <v>1</v>
          </cell>
          <cell r="L35">
            <v>1</v>
          </cell>
          <cell r="M35">
            <v>64057.25</v>
          </cell>
          <cell r="N35">
            <v>448400.75</v>
          </cell>
          <cell r="O35">
            <v>64057.25</v>
          </cell>
          <cell r="P35">
            <v>448400.75</v>
          </cell>
        </row>
        <row r="36">
          <cell r="A36">
            <v>35</v>
          </cell>
          <cell r="B36">
            <v>0</v>
          </cell>
          <cell r="C36" t="str">
            <v>01.04.04</v>
          </cell>
          <cell r="E36">
            <v>4002600</v>
          </cell>
          <cell r="F36" t="str">
            <v>SISTEMA DE BALSA - IMPLANTACAO</v>
          </cell>
          <cell r="G36" t="str">
            <v>GL</v>
          </cell>
          <cell r="H36">
            <v>1</v>
          </cell>
          <cell r="I36">
            <v>1</v>
          </cell>
          <cell r="J36">
            <v>1</v>
          </cell>
          <cell r="K36">
            <v>1</v>
          </cell>
          <cell r="L36">
            <v>1</v>
          </cell>
          <cell r="M36">
            <v>244000</v>
          </cell>
          <cell r="N36">
            <v>244000</v>
          </cell>
          <cell r="O36">
            <v>244000</v>
          </cell>
          <cell r="P36">
            <v>244000</v>
          </cell>
        </row>
        <row r="37">
          <cell r="A37">
            <v>36</v>
          </cell>
          <cell r="B37">
            <v>0</v>
          </cell>
          <cell r="C37" t="str">
            <v>01.04.05</v>
          </cell>
          <cell r="E37">
            <v>4002707</v>
          </cell>
          <cell r="F37" t="str">
            <v>SISTEMA DE BALSA - OPERACAO</v>
          </cell>
          <cell r="G37" t="str">
            <v>MES</v>
          </cell>
          <cell r="H37">
            <v>28</v>
          </cell>
          <cell r="I37">
            <v>1</v>
          </cell>
          <cell r="J37">
            <v>1</v>
          </cell>
          <cell r="K37">
            <v>1</v>
          </cell>
          <cell r="L37">
            <v>1</v>
          </cell>
          <cell r="M37">
            <v>23859.06</v>
          </cell>
          <cell r="N37">
            <v>668053.68000000005</v>
          </cell>
          <cell r="O37">
            <v>23859.06</v>
          </cell>
          <cell r="P37">
            <v>668053.68000000005</v>
          </cell>
        </row>
        <row r="38">
          <cell r="A38">
            <v>37</v>
          </cell>
          <cell r="B38">
            <v>8</v>
          </cell>
          <cell r="E38">
            <v>0</v>
          </cell>
          <cell r="H38">
            <v>0</v>
          </cell>
          <cell r="I38">
            <v>0</v>
          </cell>
          <cell r="J38">
            <v>0</v>
          </cell>
          <cell r="K38">
            <v>0</v>
          </cell>
          <cell r="L38">
            <v>0</v>
          </cell>
          <cell r="M38">
            <v>0</v>
          </cell>
          <cell r="N38">
            <v>0</v>
          </cell>
          <cell r="O38">
            <v>0</v>
          </cell>
          <cell r="P38">
            <v>0</v>
          </cell>
        </row>
        <row r="39">
          <cell r="A39">
            <v>38</v>
          </cell>
          <cell r="B39">
            <v>4</v>
          </cell>
          <cell r="C39" t="str">
            <v>01.05</v>
          </cell>
          <cell r="E39">
            <v>0</v>
          </cell>
          <cell r="F39" t="str">
            <v>* MANUTENCAO DE CANTEIRO</v>
          </cell>
          <cell r="H39">
            <v>0</v>
          </cell>
          <cell r="I39">
            <v>0</v>
          </cell>
          <cell r="J39">
            <v>0</v>
          </cell>
          <cell r="K39">
            <v>0</v>
          </cell>
          <cell r="L39">
            <v>0</v>
          </cell>
          <cell r="M39">
            <v>0</v>
          </cell>
          <cell r="N39">
            <v>0</v>
          </cell>
          <cell r="O39">
            <v>0</v>
          </cell>
          <cell r="P39">
            <v>0</v>
          </cell>
        </row>
        <row r="40">
          <cell r="A40">
            <v>39</v>
          </cell>
          <cell r="B40">
            <v>0</v>
          </cell>
          <cell r="C40" t="str">
            <v>01.05.01</v>
          </cell>
          <cell r="E40">
            <v>4002804</v>
          </cell>
          <cell r="F40" t="str">
            <v>MANUTENCAO REDE ELETRICA/TELEFONIA</v>
          </cell>
          <cell r="G40" t="str">
            <v>GB</v>
          </cell>
          <cell r="H40">
            <v>1</v>
          </cell>
          <cell r="I40">
            <v>1</v>
          </cell>
          <cell r="J40">
            <v>1</v>
          </cell>
          <cell r="K40">
            <v>1</v>
          </cell>
          <cell r="L40">
            <v>1</v>
          </cell>
          <cell r="M40">
            <v>2348527.7599999998</v>
          </cell>
          <cell r="N40">
            <v>2348527.7599999998</v>
          </cell>
          <cell r="O40">
            <v>2348527.7599999998</v>
          </cell>
          <cell r="P40">
            <v>2348527.7599999998</v>
          </cell>
        </row>
        <row r="41">
          <cell r="A41">
            <v>40</v>
          </cell>
          <cell r="B41">
            <v>0</v>
          </cell>
          <cell r="C41" t="str">
            <v>01.05.02</v>
          </cell>
          <cell r="E41">
            <v>4002901</v>
          </cell>
          <cell r="F41" t="str">
            <v>MANUTENCAO REDE HIDR/BOMBEAMENTO/AR COMPRIMIDO</v>
          </cell>
          <cell r="G41" t="str">
            <v>GB</v>
          </cell>
          <cell r="H41">
            <v>1</v>
          </cell>
          <cell r="I41">
            <v>1</v>
          </cell>
          <cell r="J41">
            <v>1</v>
          </cell>
          <cell r="K41">
            <v>1</v>
          </cell>
          <cell r="L41">
            <v>1</v>
          </cell>
          <cell r="M41">
            <v>2159422.1</v>
          </cell>
          <cell r="N41">
            <v>2159422.1</v>
          </cell>
          <cell r="O41">
            <v>2159422.1</v>
          </cell>
          <cell r="P41">
            <v>2159422.1</v>
          </cell>
        </row>
        <row r="42">
          <cell r="A42">
            <v>41</v>
          </cell>
          <cell r="B42">
            <v>0</v>
          </cell>
          <cell r="C42" t="str">
            <v>01.05.03</v>
          </cell>
          <cell r="E42">
            <v>4003001</v>
          </cell>
          <cell r="F42" t="str">
            <v>MANUTENCAO DE ACESSOS INTERNOS A OBRA</v>
          </cell>
          <cell r="G42" t="str">
            <v>MES</v>
          </cell>
          <cell r="H42">
            <v>40</v>
          </cell>
          <cell r="I42">
            <v>1</v>
          </cell>
          <cell r="J42">
            <v>1</v>
          </cell>
          <cell r="K42">
            <v>1</v>
          </cell>
          <cell r="L42">
            <v>1</v>
          </cell>
          <cell r="M42">
            <v>85981.75</v>
          </cell>
          <cell r="N42">
            <v>3439270</v>
          </cell>
          <cell r="O42">
            <v>85981.75</v>
          </cell>
          <cell r="P42">
            <v>3439270</v>
          </cell>
        </row>
        <row r="43">
          <cell r="A43">
            <v>42</v>
          </cell>
          <cell r="B43">
            <v>8</v>
          </cell>
          <cell r="E43">
            <v>0</v>
          </cell>
          <cell r="H43">
            <v>0</v>
          </cell>
          <cell r="I43">
            <v>0</v>
          </cell>
          <cell r="J43">
            <v>0</v>
          </cell>
          <cell r="K43">
            <v>0</v>
          </cell>
          <cell r="L43">
            <v>0</v>
          </cell>
          <cell r="M43">
            <v>0</v>
          </cell>
          <cell r="N43">
            <v>0</v>
          </cell>
          <cell r="O43">
            <v>0</v>
          </cell>
          <cell r="P43">
            <v>0</v>
          </cell>
        </row>
        <row r="44">
          <cell r="A44">
            <v>43</v>
          </cell>
          <cell r="B44">
            <v>4</v>
          </cell>
          <cell r="C44" t="str">
            <v>01.06</v>
          </cell>
          <cell r="E44">
            <v>0</v>
          </cell>
          <cell r="F44" t="str">
            <v>* FACILIDADES PARA A CONTRATANTE - SOW 6.8</v>
          </cell>
          <cell r="H44">
            <v>0</v>
          </cell>
          <cell r="I44">
            <v>0</v>
          </cell>
          <cell r="J44">
            <v>0</v>
          </cell>
          <cell r="K44">
            <v>0</v>
          </cell>
          <cell r="L44">
            <v>0</v>
          </cell>
          <cell r="M44">
            <v>0</v>
          </cell>
          <cell r="N44">
            <v>0</v>
          </cell>
          <cell r="O44">
            <v>0</v>
          </cell>
          <cell r="P44">
            <v>0</v>
          </cell>
        </row>
        <row r="45">
          <cell r="A45">
            <v>44</v>
          </cell>
          <cell r="B45">
            <v>0</v>
          </cell>
          <cell r="C45" t="str">
            <v>01.06.01</v>
          </cell>
          <cell r="E45">
            <v>4003108</v>
          </cell>
          <cell r="F45" t="str">
            <v>ALOJAMENTO EQUIPADO PARA 25 PESSOAS</v>
          </cell>
          <cell r="G45" t="str">
            <v>M2</v>
          </cell>
          <cell r="H45">
            <v>0</v>
          </cell>
          <cell r="I45">
            <v>1</v>
          </cell>
          <cell r="J45">
            <v>1</v>
          </cell>
          <cell r="K45">
            <v>1</v>
          </cell>
          <cell r="L45">
            <v>1</v>
          </cell>
          <cell r="M45">
            <v>250</v>
          </cell>
          <cell r="N45">
            <v>0</v>
          </cell>
          <cell r="O45">
            <v>250</v>
          </cell>
          <cell r="P45">
            <v>0</v>
          </cell>
        </row>
        <row r="46">
          <cell r="A46">
            <v>45</v>
          </cell>
          <cell r="B46">
            <v>0</v>
          </cell>
          <cell r="C46" t="str">
            <v>01.06.02</v>
          </cell>
          <cell r="E46">
            <v>4003205</v>
          </cell>
          <cell r="F46" t="str">
            <v>ESCRITORIO MOBILIADO PARA 25 ENGENHEIROS E TECNICOS</v>
          </cell>
          <cell r="G46" t="str">
            <v>M2</v>
          </cell>
          <cell r="H46">
            <v>0</v>
          </cell>
          <cell r="I46">
            <v>1</v>
          </cell>
          <cell r="J46">
            <v>1</v>
          </cell>
          <cell r="K46">
            <v>1</v>
          </cell>
          <cell r="L46">
            <v>1</v>
          </cell>
          <cell r="M46">
            <v>250</v>
          </cell>
          <cell r="N46">
            <v>0</v>
          </cell>
          <cell r="O46">
            <v>250</v>
          </cell>
          <cell r="P46">
            <v>0</v>
          </cell>
        </row>
        <row r="47">
          <cell r="A47">
            <v>46</v>
          </cell>
          <cell r="B47">
            <v>0</v>
          </cell>
          <cell r="C47" t="str">
            <v>01.06.03</v>
          </cell>
          <cell r="E47">
            <v>4003302</v>
          </cell>
          <cell r="F47" t="str">
            <v>EQUIPAMENTOS DE INFORMATICA</v>
          </cell>
          <cell r="G47" t="str">
            <v>GB</v>
          </cell>
          <cell r="H47">
            <v>0</v>
          </cell>
          <cell r="I47">
            <v>1</v>
          </cell>
          <cell r="J47">
            <v>1</v>
          </cell>
          <cell r="K47">
            <v>1</v>
          </cell>
          <cell r="L47">
            <v>1</v>
          </cell>
          <cell r="M47">
            <v>50000</v>
          </cell>
          <cell r="N47">
            <v>0</v>
          </cell>
          <cell r="O47">
            <v>50000</v>
          </cell>
          <cell r="P47">
            <v>0</v>
          </cell>
        </row>
        <row r="48">
          <cell r="A48">
            <v>47</v>
          </cell>
          <cell r="B48">
            <v>0</v>
          </cell>
          <cell r="C48" t="str">
            <v>01.06.04</v>
          </cell>
          <cell r="E48">
            <v>4003409</v>
          </cell>
          <cell r="F48" t="str">
            <v>VEICULOS - 18 GOL COM AR / COMBUST. E MANUT.</v>
          </cell>
          <cell r="G48" t="str">
            <v>UNMES</v>
          </cell>
          <cell r="H48">
            <v>468</v>
          </cell>
          <cell r="I48">
            <v>1</v>
          </cell>
          <cell r="J48">
            <v>1</v>
          </cell>
          <cell r="K48">
            <v>1</v>
          </cell>
          <cell r="L48">
            <v>1</v>
          </cell>
          <cell r="M48">
            <v>1900</v>
          </cell>
          <cell r="N48">
            <v>889200</v>
          </cell>
          <cell r="O48">
            <v>1900</v>
          </cell>
          <cell r="P48">
            <v>889200</v>
          </cell>
        </row>
        <row r="49">
          <cell r="A49">
            <v>48</v>
          </cell>
          <cell r="B49">
            <v>0</v>
          </cell>
          <cell r="C49" t="str">
            <v>01.06.05</v>
          </cell>
          <cell r="E49">
            <v>4003454</v>
          </cell>
          <cell r="F49" t="str">
            <v>VEICULOS - 2 CAMIONETES COM AR/COMBUST.E MANUT.</v>
          </cell>
          <cell r="G49" t="str">
            <v>UNMES</v>
          </cell>
          <cell r="H49">
            <v>104</v>
          </cell>
          <cell r="I49">
            <v>1</v>
          </cell>
          <cell r="J49">
            <v>1</v>
          </cell>
          <cell r="K49">
            <v>1</v>
          </cell>
          <cell r="L49">
            <v>1</v>
          </cell>
          <cell r="M49">
            <v>2500</v>
          </cell>
          <cell r="N49">
            <v>260000</v>
          </cell>
          <cell r="O49">
            <v>2500</v>
          </cell>
          <cell r="P49">
            <v>260000</v>
          </cell>
        </row>
        <row r="50">
          <cell r="A50">
            <v>49</v>
          </cell>
          <cell r="B50">
            <v>8</v>
          </cell>
          <cell r="E50">
            <v>0</v>
          </cell>
          <cell r="H50">
            <v>0</v>
          </cell>
          <cell r="I50">
            <v>0</v>
          </cell>
          <cell r="J50">
            <v>0</v>
          </cell>
          <cell r="K50">
            <v>0</v>
          </cell>
          <cell r="L50">
            <v>0</v>
          </cell>
          <cell r="M50">
            <v>0</v>
          </cell>
          <cell r="N50">
            <v>0</v>
          </cell>
          <cell r="O50">
            <v>0</v>
          </cell>
          <cell r="P50">
            <v>0</v>
          </cell>
        </row>
        <row r="51">
          <cell r="A51">
            <v>50</v>
          </cell>
          <cell r="B51">
            <v>4</v>
          </cell>
          <cell r="C51" t="str">
            <v>01.07</v>
          </cell>
          <cell r="E51">
            <v>0</v>
          </cell>
          <cell r="F51" t="str">
            <v>* MOBILIZACAO DE EQUIPAMENTOS</v>
          </cell>
          <cell r="H51">
            <v>0</v>
          </cell>
          <cell r="I51">
            <v>0</v>
          </cell>
          <cell r="J51">
            <v>0</v>
          </cell>
          <cell r="K51">
            <v>0</v>
          </cell>
          <cell r="L51">
            <v>0</v>
          </cell>
          <cell r="M51">
            <v>0</v>
          </cell>
          <cell r="N51">
            <v>0</v>
          </cell>
          <cell r="O51">
            <v>0</v>
          </cell>
          <cell r="P51">
            <v>0</v>
          </cell>
        </row>
        <row r="52">
          <cell r="A52">
            <v>51</v>
          </cell>
          <cell r="B52">
            <v>0</v>
          </cell>
          <cell r="C52" t="str">
            <v>01.07.01</v>
          </cell>
          <cell r="E52">
            <v>4003506</v>
          </cell>
          <cell r="F52" t="str">
            <v>MOBILIZACAO DE EQUIPAMENTOS</v>
          </cell>
          <cell r="G52" t="str">
            <v>GB</v>
          </cell>
          <cell r="H52">
            <v>1</v>
          </cell>
          <cell r="I52">
            <v>1</v>
          </cell>
          <cell r="J52">
            <v>1</v>
          </cell>
          <cell r="K52">
            <v>1</v>
          </cell>
          <cell r="L52">
            <v>1</v>
          </cell>
          <cell r="M52">
            <v>3000000</v>
          </cell>
          <cell r="N52">
            <v>3000000</v>
          </cell>
          <cell r="O52">
            <v>3000000</v>
          </cell>
          <cell r="P52">
            <v>3000000</v>
          </cell>
        </row>
        <row r="53">
          <cell r="A53">
            <v>52</v>
          </cell>
          <cell r="B53">
            <v>0</v>
          </cell>
          <cell r="C53" t="str">
            <v>01.07.02</v>
          </cell>
          <cell r="E53">
            <v>4003603</v>
          </cell>
          <cell r="F53" t="str">
            <v>DESMOBILIZACAO DE EQUIPAMENTOS</v>
          </cell>
          <cell r="G53" t="str">
            <v>GB</v>
          </cell>
          <cell r="H53">
            <v>0.3</v>
          </cell>
          <cell r="I53">
            <v>1</v>
          </cell>
          <cell r="J53">
            <v>1</v>
          </cell>
          <cell r="K53">
            <v>1</v>
          </cell>
          <cell r="L53">
            <v>1</v>
          </cell>
          <cell r="M53">
            <v>3000000</v>
          </cell>
          <cell r="N53">
            <v>900000</v>
          </cell>
          <cell r="O53">
            <v>3000000</v>
          </cell>
          <cell r="P53">
            <v>900000</v>
          </cell>
        </row>
        <row r="54">
          <cell r="A54">
            <v>53</v>
          </cell>
          <cell r="B54">
            <v>8</v>
          </cell>
          <cell r="E54">
            <v>0</v>
          </cell>
          <cell r="H54">
            <v>0</v>
          </cell>
          <cell r="I54">
            <v>0</v>
          </cell>
          <cell r="J54">
            <v>0</v>
          </cell>
          <cell r="K54">
            <v>0</v>
          </cell>
          <cell r="L54">
            <v>0</v>
          </cell>
          <cell r="M54">
            <v>0</v>
          </cell>
          <cell r="N54">
            <v>0</v>
          </cell>
          <cell r="O54">
            <v>0</v>
          </cell>
          <cell r="P54">
            <v>0</v>
          </cell>
        </row>
        <row r="55">
          <cell r="A55">
            <v>54</v>
          </cell>
          <cell r="B55">
            <v>4</v>
          </cell>
          <cell r="C55" t="str">
            <v>01.08</v>
          </cell>
          <cell r="E55">
            <v>0</v>
          </cell>
          <cell r="F55" t="str">
            <v>* FERRAMENTAS E EQUIPAMENTOS MENORES</v>
          </cell>
          <cell r="H55">
            <v>0</v>
          </cell>
          <cell r="I55">
            <v>0</v>
          </cell>
          <cell r="J55">
            <v>0</v>
          </cell>
          <cell r="K55">
            <v>0</v>
          </cell>
          <cell r="L55">
            <v>0</v>
          </cell>
          <cell r="M55">
            <v>0</v>
          </cell>
          <cell r="N55">
            <v>0</v>
          </cell>
          <cell r="O55">
            <v>0</v>
          </cell>
          <cell r="P55">
            <v>0</v>
          </cell>
        </row>
        <row r="56">
          <cell r="A56">
            <v>55</v>
          </cell>
          <cell r="B56">
            <v>0</v>
          </cell>
          <cell r="C56" t="str">
            <v>01.08.01</v>
          </cell>
          <cell r="E56">
            <v>4003700</v>
          </cell>
          <cell r="F56" t="str">
            <v>FERRAMENTAS E EQUIPAMENTOS MENORES</v>
          </cell>
          <cell r="G56" t="str">
            <v>GB</v>
          </cell>
          <cell r="H56">
            <v>1</v>
          </cell>
          <cell r="I56">
            <v>1</v>
          </cell>
          <cell r="J56">
            <v>1</v>
          </cell>
          <cell r="K56">
            <v>1</v>
          </cell>
          <cell r="L56">
            <v>1</v>
          </cell>
          <cell r="M56">
            <v>2500000</v>
          </cell>
          <cell r="N56">
            <v>2500000</v>
          </cell>
          <cell r="O56">
            <v>2500000</v>
          </cell>
          <cell r="P56">
            <v>2500000</v>
          </cell>
        </row>
        <row r="57">
          <cell r="A57">
            <v>56</v>
          </cell>
          <cell r="B57">
            <v>8</v>
          </cell>
          <cell r="E57">
            <v>0</v>
          </cell>
          <cell r="H57">
            <v>0</v>
          </cell>
          <cell r="I57">
            <v>0</v>
          </cell>
          <cell r="J57">
            <v>0</v>
          </cell>
          <cell r="K57">
            <v>0</v>
          </cell>
          <cell r="L57">
            <v>0</v>
          </cell>
          <cell r="M57">
            <v>0</v>
          </cell>
          <cell r="N57">
            <v>0</v>
          </cell>
          <cell r="O57">
            <v>0</v>
          </cell>
          <cell r="P57">
            <v>0</v>
          </cell>
        </row>
        <row r="58">
          <cell r="A58">
            <v>57</v>
          </cell>
          <cell r="B58">
            <v>2</v>
          </cell>
          <cell r="C58" t="str">
            <v>02</v>
          </cell>
          <cell r="E58">
            <v>0</v>
          </cell>
          <cell r="F58" t="str">
            <v>** ESCAVACOES E PREPARO DE FUNDACOES</v>
          </cell>
          <cell r="H58">
            <v>0</v>
          </cell>
          <cell r="I58">
            <v>0</v>
          </cell>
          <cell r="J58">
            <v>0</v>
          </cell>
          <cell r="K58">
            <v>0</v>
          </cell>
          <cell r="L58">
            <v>0</v>
          </cell>
          <cell r="M58">
            <v>0</v>
          </cell>
          <cell r="N58">
            <v>0</v>
          </cell>
          <cell r="O58">
            <v>0</v>
          </cell>
          <cell r="P58">
            <v>0</v>
          </cell>
        </row>
        <row r="59">
          <cell r="A59">
            <v>58</v>
          </cell>
          <cell r="B59">
            <v>4</v>
          </cell>
          <cell r="C59" t="str">
            <v>02.01</v>
          </cell>
          <cell r="E59">
            <v>0</v>
          </cell>
          <cell r="F59" t="str">
            <v>* DESMATAMENTO, LIMPEZA, DESTOCAMENTO E RASPAGENS</v>
          </cell>
          <cell r="H59">
            <v>0</v>
          </cell>
          <cell r="I59">
            <v>0</v>
          </cell>
          <cell r="J59">
            <v>0</v>
          </cell>
          <cell r="K59">
            <v>0</v>
          </cell>
          <cell r="L59">
            <v>0</v>
          </cell>
          <cell r="M59">
            <v>0</v>
          </cell>
          <cell r="N59">
            <v>0</v>
          </cell>
          <cell r="O59">
            <v>0</v>
          </cell>
          <cell r="P59">
            <v>0</v>
          </cell>
        </row>
        <row r="60">
          <cell r="A60">
            <v>59</v>
          </cell>
          <cell r="B60">
            <v>0</v>
          </cell>
          <cell r="C60" t="str">
            <v>02.01.01</v>
          </cell>
          <cell r="E60">
            <v>4003807</v>
          </cell>
          <cell r="F60" t="str">
            <v>DESMAT. LIMPEZA E DESTOCAMENTO - ESTRUTURAS-MD</v>
          </cell>
          <cell r="G60" t="str">
            <v>M2</v>
          </cell>
          <cell r="H60">
            <v>230000</v>
          </cell>
          <cell r="I60">
            <v>1</v>
          </cell>
          <cell r="J60">
            <v>1</v>
          </cell>
          <cell r="K60">
            <v>1</v>
          </cell>
          <cell r="L60">
            <v>1</v>
          </cell>
          <cell r="M60">
            <v>0.66</v>
          </cell>
          <cell r="N60">
            <v>151800</v>
          </cell>
          <cell r="O60">
            <v>0.66</v>
          </cell>
          <cell r="P60">
            <v>151800</v>
          </cell>
        </row>
        <row r="61">
          <cell r="A61">
            <v>60</v>
          </cell>
          <cell r="B61">
            <v>0</v>
          </cell>
          <cell r="C61" t="str">
            <v>02.01.02</v>
          </cell>
          <cell r="E61">
            <v>4003904</v>
          </cell>
          <cell r="F61" t="str">
            <v>DESMAT. LIMPEZA E DESTOCAMENTO - ESTRUTURAS-ME</v>
          </cell>
          <cell r="G61" t="str">
            <v>M2</v>
          </cell>
          <cell r="H61">
            <v>460000</v>
          </cell>
          <cell r="I61">
            <v>1</v>
          </cell>
          <cell r="J61">
            <v>1</v>
          </cell>
          <cell r="K61">
            <v>1</v>
          </cell>
          <cell r="L61">
            <v>1</v>
          </cell>
          <cell r="M61">
            <v>0.66</v>
          </cell>
          <cell r="N61">
            <v>303600</v>
          </cell>
          <cell r="O61">
            <v>0.66</v>
          </cell>
          <cell r="P61">
            <v>303600</v>
          </cell>
        </row>
        <row r="62">
          <cell r="A62">
            <v>61</v>
          </cell>
          <cell r="B62">
            <v>0</v>
          </cell>
          <cell r="C62" t="str">
            <v>02.01.03</v>
          </cell>
          <cell r="E62">
            <v>4004004</v>
          </cell>
          <cell r="F62" t="str">
            <v>DESMAT. LIMPEZA E DESTOCAMENTO - AREA EMPREST/B.FORA</v>
          </cell>
          <cell r="G62" t="str">
            <v>M2</v>
          </cell>
          <cell r="H62">
            <v>450000</v>
          </cell>
          <cell r="I62">
            <v>1</v>
          </cell>
          <cell r="J62">
            <v>1</v>
          </cell>
          <cell r="K62">
            <v>1</v>
          </cell>
          <cell r="L62">
            <v>1</v>
          </cell>
          <cell r="M62">
            <v>0.66</v>
          </cell>
          <cell r="N62">
            <v>297000</v>
          </cell>
          <cell r="O62">
            <v>0.66</v>
          </cell>
          <cell r="P62">
            <v>297000</v>
          </cell>
        </row>
        <row r="63">
          <cell r="A63">
            <v>62</v>
          </cell>
          <cell r="B63">
            <v>0</v>
          </cell>
          <cell r="C63" t="str">
            <v>02.01.04</v>
          </cell>
          <cell r="E63">
            <v>4004101</v>
          </cell>
          <cell r="F63" t="str">
            <v>DESMAT. LIMPEZA E DESTOCAMENTO - PEDREIRA</v>
          </cell>
          <cell r="G63" t="str">
            <v>M2</v>
          </cell>
          <cell r="H63">
            <v>60000</v>
          </cell>
          <cell r="I63">
            <v>1</v>
          </cell>
          <cell r="J63">
            <v>1</v>
          </cell>
          <cell r="K63">
            <v>1</v>
          </cell>
          <cell r="L63">
            <v>1</v>
          </cell>
          <cell r="M63">
            <v>0.66</v>
          </cell>
          <cell r="N63">
            <v>39600</v>
          </cell>
          <cell r="O63">
            <v>0.66</v>
          </cell>
          <cell r="P63">
            <v>39600</v>
          </cell>
        </row>
        <row r="64">
          <cell r="A64">
            <v>63</v>
          </cell>
          <cell r="B64">
            <v>8</v>
          </cell>
          <cell r="E64">
            <v>0</v>
          </cell>
          <cell r="H64">
            <v>0</v>
          </cell>
          <cell r="I64">
            <v>0</v>
          </cell>
          <cell r="J64">
            <v>0</v>
          </cell>
          <cell r="K64">
            <v>0</v>
          </cell>
          <cell r="L64">
            <v>0</v>
          </cell>
          <cell r="M64">
            <v>0</v>
          </cell>
          <cell r="N64">
            <v>0</v>
          </cell>
          <cell r="O64">
            <v>0</v>
          </cell>
          <cell r="P64">
            <v>0</v>
          </cell>
        </row>
        <row r="65">
          <cell r="A65">
            <v>64</v>
          </cell>
          <cell r="B65">
            <v>4</v>
          </cell>
          <cell r="C65" t="str">
            <v>02.02</v>
          </cell>
          <cell r="E65">
            <v>0</v>
          </cell>
          <cell r="F65" t="str">
            <v>* ESCAVACAO COMUM</v>
          </cell>
          <cell r="H65">
            <v>0</v>
          </cell>
          <cell r="I65">
            <v>0</v>
          </cell>
          <cell r="J65">
            <v>0</v>
          </cell>
          <cell r="K65">
            <v>0</v>
          </cell>
          <cell r="L65">
            <v>0</v>
          </cell>
          <cell r="M65">
            <v>0</v>
          </cell>
          <cell r="N65">
            <v>0</v>
          </cell>
          <cell r="O65">
            <v>0</v>
          </cell>
          <cell r="P65">
            <v>0</v>
          </cell>
        </row>
        <row r="66">
          <cell r="A66">
            <v>65</v>
          </cell>
          <cell r="B66">
            <v>0</v>
          </cell>
          <cell r="C66" t="str">
            <v>02.02.01</v>
          </cell>
          <cell r="E66">
            <v>4004208</v>
          </cell>
          <cell r="F66" t="str">
            <v>ESCAV.COMUM - VERTEDOURO</v>
          </cell>
          <cell r="G66" t="str">
            <v>M3</v>
          </cell>
          <cell r="H66">
            <v>3492380</v>
          </cell>
          <cell r="I66">
            <v>1</v>
          </cell>
          <cell r="J66">
            <v>1</v>
          </cell>
          <cell r="K66">
            <v>1</v>
          </cell>
          <cell r="L66">
            <v>1</v>
          </cell>
          <cell r="M66">
            <v>2.77</v>
          </cell>
          <cell r="N66">
            <v>9673892.5999999996</v>
          </cell>
          <cell r="O66">
            <v>2.77</v>
          </cell>
          <cell r="P66">
            <v>9673892.5999999996</v>
          </cell>
        </row>
        <row r="67">
          <cell r="A67">
            <v>66</v>
          </cell>
          <cell r="B67">
            <v>0</v>
          </cell>
          <cell r="C67" t="str">
            <v>02.02.02</v>
          </cell>
          <cell r="E67">
            <v>4004305</v>
          </cell>
          <cell r="F67" t="str">
            <v>ESCAV.COMUM - BARRAGEM CCR - ALUVIAO</v>
          </cell>
          <cell r="G67" t="str">
            <v>M3</v>
          </cell>
          <cell r="H67">
            <v>249700</v>
          </cell>
          <cell r="I67">
            <v>1</v>
          </cell>
          <cell r="J67">
            <v>1</v>
          </cell>
          <cell r="K67">
            <v>1</v>
          </cell>
          <cell r="L67">
            <v>1</v>
          </cell>
          <cell r="M67">
            <v>3.21</v>
          </cell>
          <cell r="N67">
            <v>801537</v>
          </cell>
          <cell r="O67">
            <v>3.21</v>
          </cell>
          <cell r="P67">
            <v>801537</v>
          </cell>
        </row>
        <row r="68">
          <cell r="A68">
            <v>67</v>
          </cell>
          <cell r="B68">
            <v>0</v>
          </cell>
          <cell r="C68" t="str">
            <v>02.02.03</v>
          </cell>
          <cell r="E68">
            <v>4004402</v>
          </cell>
          <cell r="F68" t="str">
            <v>ESCAV.COMUM - CASA DE FORCA/CANAL DE FUGA</v>
          </cell>
          <cell r="G68" t="str">
            <v>M3</v>
          </cell>
          <cell r="H68">
            <v>1741610</v>
          </cell>
          <cell r="I68">
            <v>1</v>
          </cell>
          <cell r="J68">
            <v>1</v>
          </cell>
          <cell r="K68">
            <v>1</v>
          </cell>
          <cell r="L68">
            <v>1</v>
          </cell>
          <cell r="M68">
            <v>2.77</v>
          </cell>
          <cell r="N68">
            <v>4824259.7</v>
          </cell>
          <cell r="O68">
            <v>2.77</v>
          </cell>
          <cell r="P68">
            <v>4824259.7</v>
          </cell>
        </row>
        <row r="69">
          <cell r="A69">
            <v>68</v>
          </cell>
          <cell r="B69">
            <v>0</v>
          </cell>
          <cell r="C69" t="str">
            <v>02.02.04</v>
          </cell>
          <cell r="E69">
            <v>4004509</v>
          </cell>
          <cell r="F69" t="str">
            <v>ESCAV.COMUM - ACESSO MD</v>
          </cell>
          <cell r="G69" t="str">
            <v>M3</v>
          </cell>
          <cell r="H69">
            <v>12000</v>
          </cell>
          <cell r="I69">
            <v>1</v>
          </cell>
          <cell r="J69">
            <v>1</v>
          </cell>
          <cell r="K69">
            <v>1</v>
          </cell>
          <cell r="L69">
            <v>1</v>
          </cell>
          <cell r="M69">
            <v>3.47</v>
          </cell>
          <cell r="N69">
            <v>41640</v>
          </cell>
          <cell r="O69">
            <v>3.47</v>
          </cell>
          <cell r="P69">
            <v>41640</v>
          </cell>
        </row>
        <row r="70">
          <cell r="A70">
            <v>69</v>
          </cell>
          <cell r="B70">
            <v>0</v>
          </cell>
          <cell r="C70" t="str">
            <v>02.02.05</v>
          </cell>
          <cell r="E70">
            <v>4004606</v>
          </cell>
          <cell r="F70" t="str">
            <v>ESCAV.COMUM - ACESSO ME</v>
          </cell>
          <cell r="G70" t="str">
            <v>M3</v>
          </cell>
          <cell r="H70">
            <v>81500</v>
          </cell>
          <cell r="I70">
            <v>1</v>
          </cell>
          <cell r="J70">
            <v>1</v>
          </cell>
          <cell r="K70">
            <v>1</v>
          </cell>
          <cell r="L70">
            <v>1</v>
          </cell>
          <cell r="M70">
            <v>3.18</v>
          </cell>
          <cell r="N70">
            <v>259170</v>
          </cell>
          <cell r="O70">
            <v>3.18</v>
          </cell>
          <cell r="P70">
            <v>259170</v>
          </cell>
        </row>
        <row r="71">
          <cell r="A71">
            <v>70</v>
          </cell>
          <cell r="C71" t="str">
            <v>02.02.06</v>
          </cell>
          <cell r="E71">
            <v>4004651</v>
          </cell>
          <cell r="F71" t="str">
            <v>ESCAV.COMUM - CORREGOS</v>
          </cell>
          <cell r="G71" t="str">
            <v>M3</v>
          </cell>
          <cell r="H71">
            <v>24700</v>
          </cell>
          <cell r="I71">
            <v>1</v>
          </cell>
          <cell r="J71">
            <v>1</v>
          </cell>
          <cell r="K71">
            <v>1</v>
          </cell>
          <cell r="L71">
            <v>1</v>
          </cell>
          <cell r="M71">
            <v>3.31</v>
          </cell>
          <cell r="N71">
            <v>81757</v>
          </cell>
          <cell r="O71">
            <v>3.31</v>
          </cell>
          <cell r="P71">
            <v>81757</v>
          </cell>
        </row>
        <row r="72">
          <cell r="A72">
            <v>71</v>
          </cell>
          <cell r="B72">
            <v>0</v>
          </cell>
          <cell r="C72" t="str">
            <v>02.02.07</v>
          </cell>
          <cell r="E72">
            <v>4004703</v>
          </cell>
          <cell r="F72" t="str">
            <v>ESCAV.COMUM - EMPRESTIMO/ESTOQUE-MD</v>
          </cell>
          <cell r="G72" t="str">
            <v>M3</v>
          </cell>
          <cell r="H72">
            <v>924800</v>
          </cell>
          <cell r="I72">
            <v>1</v>
          </cell>
          <cell r="J72">
            <v>1</v>
          </cell>
          <cell r="K72">
            <v>1</v>
          </cell>
          <cell r="L72">
            <v>1</v>
          </cell>
          <cell r="M72">
            <v>2.41</v>
          </cell>
          <cell r="N72">
            <v>2228768</v>
          </cell>
          <cell r="O72">
            <v>2.41</v>
          </cell>
          <cell r="P72">
            <v>2228768</v>
          </cell>
        </row>
        <row r="73">
          <cell r="A73">
            <v>72</v>
          </cell>
          <cell r="B73">
            <v>0</v>
          </cell>
          <cell r="C73" t="str">
            <v>02.02.08</v>
          </cell>
          <cell r="E73">
            <v>4004800</v>
          </cell>
          <cell r="F73" t="str">
            <v>ESCAV.COMUM - DECAPAGEM PEDREIRA</v>
          </cell>
          <cell r="G73" t="str">
            <v>M3</v>
          </cell>
          <cell r="H73">
            <v>223431</v>
          </cell>
          <cell r="I73">
            <v>1</v>
          </cell>
          <cell r="J73">
            <v>1</v>
          </cell>
          <cell r="K73">
            <v>1</v>
          </cell>
          <cell r="L73">
            <v>1</v>
          </cell>
          <cell r="M73">
            <v>2.75</v>
          </cell>
          <cell r="N73">
            <v>614435.25</v>
          </cell>
          <cell r="O73">
            <v>2.75</v>
          </cell>
          <cell r="P73">
            <v>614435.25</v>
          </cell>
        </row>
        <row r="74">
          <cell r="A74">
            <v>73</v>
          </cell>
          <cell r="B74">
            <v>8</v>
          </cell>
          <cell r="E74">
            <v>0</v>
          </cell>
          <cell r="H74">
            <v>0</v>
          </cell>
          <cell r="I74">
            <v>0</v>
          </cell>
          <cell r="J74">
            <v>0</v>
          </cell>
          <cell r="K74">
            <v>0</v>
          </cell>
          <cell r="L74">
            <v>0</v>
          </cell>
          <cell r="M74">
            <v>0</v>
          </cell>
          <cell r="N74">
            <v>0</v>
          </cell>
          <cell r="O74">
            <v>0</v>
          </cell>
          <cell r="P74">
            <v>0</v>
          </cell>
        </row>
        <row r="75">
          <cell r="A75">
            <v>74</v>
          </cell>
          <cell r="B75">
            <v>4</v>
          </cell>
          <cell r="C75" t="str">
            <v>02.03</v>
          </cell>
          <cell r="E75">
            <v>0</v>
          </cell>
          <cell r="F75" t="str">
            <v>* ESCAVACAO ROCHA ALTERADA / SAPROLITO</v>
          </cell>
          <cell r="H75">
            <v>0</v>
          </cell>
          <cell r="I75">
            <v>0</v>
          </cell>
          <cell r="J75">
            <v>0</v>
          </cell>
          <cell r="K75">
            <v>0</v>
          </cell>
          <cell r="L75">
            <v>0</v>
          </cell>
          <cell r="M75">
            <v>0</v>
          </cell>
          <cell r="N75">
            <v>0</v>
          </cell>
          <cell r="O75">
            <v>0</v>
          </cell>
          <cell r="P75">
            <v>0</v>
          </cell>
        </row>
        <row r="76">
          <cell r="A76">
            <v>75</v>
          </cell>
          <cell r="B76">
            <v>0</v>
          </cell>
          <cell r="C76" t="str">
            <v>02.03.01</v>
          </cell>
          <cell r="E76">
            <v>4004907</v>
          </cell>
          <cell r="F76" t="str">
            <v>ESCAV.ROCHA ALTER./SAPROLITO-VERTEDOURO</v>
          </cell>
          <cell r="G76" t="str">
            <v>M3</v>
          </cell>
          <cell r="H76">
            <v>487320</v>
          </cell>
          <cell r="I76">
            <v>1</v>
          </cell>
          <cell r="J76">
            <v>1</v>
          </cell>
          <cell r="K76">
            <v>1</v>
          </cell>
          <cell r="L76">
            <v>1</v>
          </cell>
          <cell r="M76">
            <v>6.62</v>
          </cell>
          <cell r="N76">
            <v>3226058.4</v>
          </cell>
          <cell r="O76">
            <v>6.62</v>
          </cell>
          <cell r="P76">
            <v>3226058.4</v>
          </cell>
        </row>
        <row r="77">
          <cell r="A77">
            <v>76</v>
          </cell>
          <cell r="B77">
            <v>0</v>
          </cell>
          <cell r="C77" t="str">
            <v>02.03.03</v>
          </cell>
          <cell r="E77">
            <v>4005104</v>
          </cell>
          <cell r="F77" t="str">
            <v>ESCAV.ROCHA ALTER./SAPROLITO-C.FORCA/T.DAGUA</v>
          </cell>
          <cell r="G77" t="str">
            <v>M3</v>
          </cell>
          <cell r="H77">
            <v>144120</v>
          </cell>
          <cell r="I77">
            <v>1</v>
          </cell>
          <cell r="J77">
            <v>1</v>
          </cell>
          <cell r="K77">
            <v>1</v>
          </cell>
          <cell r="L77">
            <v>1</v>
          </cell>
          <cell r="M77">
            <v>6.62</v>
          </cell>
          <cell r="N77">
            <v>954074.4</v>
          </cell>
          <cell r="O77">
            <v>6.62</v>
          </cell>
          <cell r="P77">
            <v>954074.4</v>
          </cell>
        </row>
        <row r="78">
          <cell r="A78">
            <v>77</v>
          </cell>
          <cell r="B78">
            <v>8</v>
          </cell>
          <cell r="E78">
            <v>0</v>
          </cell>
          <cell r="H78">
            <v>0</v>
          </cell>
          <cell r="I78">
            <v>0</v>
          </cell>
          <cell r="J78">
            <v>0</v>
          </cell>
          <cell r="K78">
            <v>0</v>
          </cell>
          <cell r="L78">
            <v>0</v>
          </cell>
          <cell r="M78">
            <v>0</v>
          </cell>
          <cell r="N78">
            <v>0</v>
          </cell>
          <cell r="O78">
            <v>0</v>
          </cell>
          <cell r="P78">
            <v>0</v>
          </cell>
        </row>
        <row r="79">
          <cell r="A79">
            <v>78</v>
          </cell>
          <cell r="B79">
            <v>4</v>
          </cell>
          <cell r="C79" t="str">
            <v>02.04</v>
          </cell>
          <cell r="E79">
            <v>0</v>
          </cell>
          <cell r="F79" t="str">
            <v>* ESCAVACAO EM ROCHA BASALTO</v>
          </cell>
          <cell r="H79">
            <v>0</v>
          </cell>
          <cell r="I79">
            <v>0</v>
          </cell>
          <cell r="J79">
            <v>0</v>
          </cell>
          <cell r="K79">
            <v>0</v>
          </cell>
          <cell r="L79">
            <v>0</v>
          </cell>
          <cell r="M79">
            <v>0</v>
          </cell>
          <cell r="N79">
            <v>0</v>
          </cell>
          <cell r="O79">
            <v>0</v>
          </cell>
          <cell r="P79">
            <v>0</v>
          </cell>
        </row>
        <row r="80">
          <cell r="A80">
            <v>79</v>
          </cell>
          <cell r="B80">
            <v>0</v>
          </cell>
          <cell r="C80" t="str">
            <v>02.04.01</v>
          </cell>
          <cell r="E80">
            <v>4005201</v>
          </cell>
          <cell r="F80" t="str">
            <v>ESCAV.ROCHA BASALTO-VERTEDOURO</v>
          </cell>
          <cell r="G80" t="str">
            <v>M3</v>
          </cell>
          <cell r="H80">
            <v>383735</v>
          </cell>
          <cell r="I80">
            <v>1</v>
          </cell>
          <cell r="J80">
            <v>1</v>
          </cell>
          <cell r="K80">
            <v>1</v>
          </cell>
          <cell r="L80">
            <v>1</v>
          </cell>
          <cell r="M80">
            <v>8.0299999999999994</v>
          </cell>
          <cell r="N80">
            <v>3081392.05</v>
          </cell>
          <cell r="O80">
            <v>8.0299999999999994</v>
          </cell>
          <cell r="P80">
            <v>3081392.05</v>
          </cell>
        </row>
        <row r="81">
          <cell r="A81">
            <v>80</v>
          </cell>
          <cell r="B81">
            <v>0</v>
          </cell>
          <cell r="C81" t="str">
            <v>02.04.03</v>
          </cell>
          <cell r="E81">
            <v>4005405</v>
          </cell>
          <cell r="F81" t="str">
            <v>ESCAV.ROCHA BASALTO-C.FORCA/T.DAGUA</v>
          </cell>
          <cell r="G81" t="str">
            <v>M3</v>
          </cell>
          <cell r="H81">
            <v>107180</v>
          </cell>
          <cell r="I81">
            <v>1</v>
          </cell>
          <cell r="J81">
            <v>1</v>
          </cell>
          <cell r="K81">
            <v>1</v>
          </cell>
          <cell r="L81">
            <v>1</v>
          </cell>
          <cell r="M81">
            <v>8.0399999999999991</v>
          </cell>
          <cell r="N81">
            <v>861727.2</v>
          </cell>
          <cell r="O81">
            <v>8.0399999999999991</v>
          </cell>
          <cell r="P81">
            <v>861727.2</v>
          </cell>
        </row>
        <row r="82">
          <cell r="A82">
            <v>81</v>
          </cell>
          <cell r="B82">
            <v>0</v>
          </cell>
          <cell r="C82" t="str">
            <v>02.04.04</v>
          </cell>
          <cell r="E82">
            <v>4005502</v>
          </cell>
          <cell r="F82" t="str">
            <v>ESCAV.ROCHA - PEDREIRA - BASALTO-MD</v>
          </cell>
          <cell r="G82" t="str">
            <v>M3</v>
          </cell>
          <cell r="H82">
            <v>658000</v>
          </cell>
          <cell r="I82">
            <v>1</v>
          </cell>
          <cell r="J82">
            <v>1</v>
          </cell>
          <cell r="K82">
            <v>1</v>
          </cell>
          <cell r="L82">
            <v>1</v>
          </cell>
          <cell r="M82">
            <v>7.9</v>
          </cell>
          <cell r="N82">
            <v>5198200</v>
          </cell>
          <cell r="O82">
            <v>7.9</v>
          </cell>
          <cell r="P82">
            <v>5198200</v>
          </cell>
        </row>
        <row r="83">
          <cell r="A83">
            <v>82</v>
          </cell>
          <cell r="B83">
            <v>8</v>
          </cell>
          <cell r="E83">
            <v>0</v>
          </cell>
          <cell r="H83">
            <v>0</v>
          </cell>
          <cell r="I83">
            <v>0</v>
          </cell>
          <cell r="J83">
            <v>0</v>
          </cell>
          <cell r="K83">
            <v>0</v>
          </cell>
          <cell r="L83">
            <v>0</v>
          </cell>
          <cell r="M83">
            <v>0</v>
          </cell>
          <cell r="N83">
            <v>0</v>
          </cell>
          <cell r="O83">
            <v>0</v>
          </cell>
          <cell r="P83">
            <v>0</v>
          </cell>
        </row>
        <row r="84">
          <cell r="A84">
            <v>83</v>
          </cell>
          <cell r="B84">
            <v>4</v>
          </cell>
          <cell r="C84" t="str">
            <v>02.05</v>
          </cell>
          <cell r="E84">
            <v>0</v>
          </cell>
          <cell r="F84" t="str">
            <v>* ESCAVACAO EM ROCHA ARENITO</v>
          </cell>
          <cell r="H84">
            <v>0</v>
          </cell>
          <cell r="I84">
            <v>0</v>
          </cell>
          <cell r="J84">
            <v>0</v>
          </cell>
          <cell r="K84">
            <v>0</v>
          </cell>
          <cell r="L84">
            <v>0</v>
          </cell>
          <cell r="M84">
            <v>0</v>
          </cell>
          <cell r="N84">
            <v>0</v>
          </cell>
          <cell r="O84">
            <v>0</v>
          </cell>
          <cell r="P84">
            <v>0</v>
          </cell>
        </row>
        <row r="85">
          <cell r="A85">
            <v>84</v>
          </cell>
          <cell r="B85">
            <v>0</v>
          </cell>
          <cell r="C85" t="str">
            <v>02.05.01</v>
          </cell>
          <cell r="E85">
            <v>4005609</v>
          </cell>
          <cell r="F85" t="str">
            <v>ESCAV.ROCHA ARENITO-VERTEDOURO</v>
          </cell>
          <cell r="G85" t="str">
            <v>M3</v>
          </cell>
          <cell r="H85">
            <v>956380</v>
          </cell>
          <cell r="I85">
            <v>1</v>
          </cell>
          <cell r="J85">
            <v>1</v>
          </cell>
          <cell r="K85">
            <v>1</v>
          </cell>
          <cell r="L85">
            <v>1</v>
          </cell>
          <cell r="M85">
            <v>6.99</v>
          </cell>
          <cell r="N85">
            <v>6685096.2000000002</v>
          </cell>
          <cell r="O85">
            <v>6.99</v>
          </cell>
          <cell r="P85">
            <v>6685096.2000000002</v>
          </cell>
        </row>
        <row r="86">
          <cell r="A86">
            <v>85</v>
          </cell>
          <cell r="B86">
            <v>0</v>
          </cell>
          <cell r="C86" t="str">
            <v>02.05.03</v>
          </cell>
          <cell r="E86">
            <v>4005803</v>
          </cell>
          <cell r="F86" t="str">
            <v>ESCAV.ROCHA ARENITO-C.FORCA/T.DAGUA</v>
          </cell>
          <cell r="G86" t="str">
            <v>M3</v>
          </cell>
          <cell r="H86">
            <v>1547600</v>
          </cell>
          <cell r="I86">
            <v>1</v>
          </cell>
          <cell r="J86">
            <v>1</v>
          </cell>
          <cell r="K86">
            <v>1</v>
          </cell>
          <cell r="L86">
            <v>1</v>
          </cell>
          <cell r="M86">
            <v>7.14</v>
          </cell>
          <cell r="N86">
            <v>11049864</v>
          </cell>
          <cell r="O86">
            <v>7.14</v>
          </cell>
          <cell r="P86">
            <v>11049864</v>
          </cell>
        </row>
        <row r="87">
          <cell r="A87">
            <v>86</v>
          </cell>
          <cell r="C87" t="str">
            <v>02.05.03</v>
          </cell>
          <cell r="E87">
            <v>4005825</v>
          </cell>
          <cell r="F87" t="str">
            <v>ESCAV.ROCHA ARENITO-SEPTO-CANAL DE FUGA-MD</v>
          </cell>
          <cell r="G87" t="str">
            <v>M3</v>
          </cell>
          <cell r="H87">
            <v>62300</v>
          </cell>
          <cell r="I87">
            <v>1</v>
          </cell>
          <cell r="J87">
            <v>1</v>
          </cell>
          <cell r="K87">
            <v>1</v>
          </cell>
          <cell r="L87">
            <v>1</v>
          </cell>
          <cell r="M87">
            <v>9.01</v>
          </cell>
          <cell r="N87">
            <v>561323</v>
          </cell>
          <cell r="O87">
            <v>9.01</v>
          </cell>
          <cell r="P87">
            <v>561323</v>
          </cell>
        </row>
        <row r="88">
          <cell r="A88">
            <v>87</v>
          </cell>
          <cell r="C88" t="str">
            <v>02.05.04</v>
          </cell>
          <cell r="E88">
            <v>4005847</v>
          </cell>
          <cell r="F88" t="str">
            <v>ESCAV.ROCHA ARENITO-SEPTO-CANAL RESTIT.-ME</v>
          </cell>
          <cell r="G88" t="str">
            <v>M3</v>
          </cell>
          <cell r="H88">
            <v>14300</v>
          </cell>
          <cell r="I88">
            <v>1</v>
          </cell>
          <cell r="J88">
            <v>1</v>
          </cell>
          <cell r="K88">
            <v>1</v>
          </cell>
          <cell r="L88">
            <v>1</v>
          </cell>
          <cell r="M88">
            <v>9.01</v>
          </cell>
          <cell r="N88">
            <v>128843</v>
          </cell>
          <cell r="O88">
            <v>9.01</v>
          </cell>
          <cell r="P88">
            <v>128843</v>
          </cell>
        </row>
        <row r="89">
          <cell r="A89">
            <v>88</v>
          </cell>
          <cell r="B89">
            <v>8</v>
          </cell>
          <cell r="E89">
            <v>0</v>
          </cell>
          <cell r="H89">
            <v>0</v>
          </cell>
          <cell r="I89">
            <v>0</v>
          </cell>
          <cell r="J89">
            <v>0</v>
          </cell>
          <cell r="K89">
            <v>0</v>
          </cell>
          <cell r="L89">
            <v>0</v>
          </cell>
          <cell r="M89">
            <v>0</v>
          </cell>
          <cell r="N89">
            <v>0</v>
          </cell>
          <cell r="O89">
            <v>0</v>
          </cell>
          <cell r="P89">
            <v>0</v>
          </cell>
        </row>
        <row r="90">
          <cell r="A90">
            <v>89</v>
          </cell>
          <cell r="B90">
            <v>4</v>
          </cell>
          <cell r="C90" t="str">
            <v>02.06</v>
          </cell>
          <cell r="E90">
            <v>0</v>
          </cell>
          <cell r="F90" t="str">
            <v>* PRE-FISSURAMENTO</v>
          </cell>
          <cell r="H90">
            <v>0</v>
          </cell>
          <cell r="I90">
            <v>0</v>
          </cell>
          <cell r="J90">
            <v>0</v>
          </cell>
          <cell r="K90">
            <v>0</v>
          </cell>
          <cell r="L90">
            <v>0</v>
          </cell>
          <cell r="M90">
            <v>0</v>
          </cell>
          <cell r="N90">
            <v>0</v>
          </cell>
          <cell r="O90">
            <v>0</v>
          </cell>
          <cell r="P90">
            <v>0</v>
          </cell>
        </row>
        <row r="91">
          <cell r="A91">
            <v>90</v>
          </cell>
          <cell r="B91">
            <v>0</v>
          </cell>
          <cell r="C91" t="str">
            <v>02.06.01</v>
          </cell>
          <cell r="E91">
            <v>4005900</v>
          </cell>
          <cell r="F91" t="str">
            <v>PRE-FISSURAMENTO-VERTEDOURO</v>
          </cell>
          <cell r="G91" t="str">
            <v>M2</v>
          </cell>
          <cell r="H91">
            <v>11200</v>
          </cell>
          <cell r="I91">
            <v>1</v>
          </cell>
          <cell r="J91">
            <v>1</v>
          </cell>
          <cell r="K91">
            <v>1</v>
          </cell>
          <cell r="L91">
            <v>1</v>
          </cell>
          <cell r="M91">
            <v>19.12</v>
          </cell>
          <cell r="N91">
            <v>214144</v>
          </cell>
          <cell r="O91">
            <v>19.12</v>
          </cell>
          <cell r="P91">
            <v>214144</v>
          </cell>
        </row>
        <row r="92">
          <cell r="A92">
            <v>91</v>
          </cell>
          <cell r="B92">
            <v>0</v>
          </cell>
          <cell r="C92" t="str">
            <v>02.06.02</v>
          </cell>
          <cell r="E92">
            <v>4006000</v>
          </cell>
          <cell r="F92" t="str">
            <v>PRE-FISSURAMENTO-CANAIS ADUCAO/RESTITUICAO</v>
          </cell>
          <cell r="G92" t="str">
            <v>M2</v>
          </cell>
          <cell r="H92">
            <v>11200</v>
          </cell>
          <cell r="I92">
            <v>1</v>
          </cell>
          <cell r="J92">
            <v>1</v>
          </cell>
          <cell r="K92">
            <v>1</v>
          </cell>
          <cell r="L92">
            <v>1</v>
          </cell>
          <cell r="M92">
            <v>16.350000000000001</v>
          </cell>
          <cell r="N92">
            <v>183120</v>
          </cell>
          <cell r="O92">
            <v>16.350000000000001</v>
          </cell>
          <cell r="P92">
            <v>183120</v>
          </cell>
        </row>
        <row r="93">
          <cell r="A93">
            <v>92</v>
          </cell>
          <cell r="B93">
            <v>0</v>
          </cell>
          <cell r="C93" t="str">
            <v>02.06.03</v>
          </cell>
          <cell r="E93">
            <v>4006107</v>
          </cell>
          <cell r="F93" t="str">
            <v>PRE-FISSURAMENTO-C.FORCA/T.DAGUA</v>
          </cell>
          <cell r="G93" t="str">
            <v>M2</v>
          </cell>
          <cell r="H93">
            <v>6500</v>
          </cell>
          <cell r="I93">
            <v>1</v>
          </cell>
          <cell r="J93">
            <v>1</v>
          </cell>
          <cell r="K93">
            <v>1</v>
          </cell>
          <cell r="L93">
            <v>1</v>
          </cell>
          <cell r="M93">
            <v>19.82</v>
          </cell>
          <cell r="N93">
            <v>128830</v>
          </cell>
          <cell r="O93">
            <v>19.82</v>
          </cell>
          <cell r="P93">
            <v>128830</v>
          </cell>
        </row>
        <row r="94">
          <cell r="A94">
            <v>93</v>
          </cell>
          <cell r="B94">
            <v>8</v>
          </cell>
          <cell r="E94">
            <v>0</v>
          </cell>
          <cell r="H94">
            <v>0</v>
          </cell>
          <cell r="I94">
            <v>0</v>
          </cell>
          <cell r="J94">
            <v>0</v>
          </cell>
          <cell r="K94">
            <v>0</v>
          </cell>
          <cell r="L94">
            <v>0</v>
          </cell>
          <cell r="M94">
            <v>0</v>
          </cell>
          <cell r="N94">
            <v>0</v>
          </cell>
          <cell r="O94">
            <v>0</v>
          </cell>
          <cell r="P94">
            <v>0</v>
          </cell>
        </row>
        <row r="95">
          <cell r="A95">
            <v>94</v>
          </cell>
          <cell r="B95">
            <v>4</v>
          </cell>
          <cell r="C95" t="str">
            <v>02.07</v>
          </cell>
          <cell r="E95">
            <v>0</v>
          </cell>
          <cell r="F95" t="str">
            <v>* REESCAVACAO/TRANSPORTE DE ESTOQUES (MED.CAVA)</v>
          </cell>
          <cell r="H95">
            <v>0</v>
          </cell>
          <cell r="I95">
            <v>0</v>
          </cell>
          <cell r="J95">
            <v>0</v>
          </cell>
          <cell r="K95">
            <v>0</v>
          </cell>
          <cell r="L95">
            <v>0</v>
          </cell>
          <cell r="M95">
            <v>0</v>
          </cell>
          <cell r="N95">
            <v>0</v>
          </cell>
          <cell r="O95">
            <v>0</v>
          </cell>
          <cell r="P95">
            <v>0</v>
          </cell>
        </row>
        <row r="96">
          <cell r="A96">
            <v>95</v>
          </cell>
          <cell r="B96">
            <v>0</v>
          </cell>
          <cell r="C96" t="str">
            <v>02.07.01</v>
          </cell>
          <cell r="E96">
            <v>4006204</v>
          </cell>
          <cell r="F96" t="str">
            <v>CARGA DE ROCHA DE OVER BREAK</v>
          </cell>
          <cell r="G96" t="str">
            <v>M3</v>
          </cell>
          <cell r="H96">
            <v>127000</v>
          </cell>
          <cell r="I96">
            <v>1</v>
          </cell>
          <cell r="J96">
            <v>1</v>
          </cell>
          <cell r="K96">
            <v>1</v>
          </cell>
          <cell r="L96">
            <v>1</v>
          </cell>
          <cell r="M96">
            <v>3.11</v>
          </cell>
          <cell r="N96">
            <v>394970</v>
          </cell>
          <cell r="O96">
            <v>3.11</v>
          </cell>
          <cell r="P96">
            <v>394970</v>
          </cell>
        </row>
        <row r="97">
          <cell r="A97">
            <v>96</v>
          </cell>
          <cell r="B97">
            <v>0</v>
          </cell>
          <cell r="C97" t="str">
            <v>02.07.02</v>
          </cell>
          <cell r="E97">
            <v>4006301</v>
          </cell>
          <cell r="F97" t="str">
            <v>RECARGA ROCHA BRITAGEM - DTM=600M (MED.CAVA)-MD</v>
          </cell>
          <cell r="G97" t="str">
            <v>M3</v>
          </cell>
          <cell r="H97">
            <v>79600</v>
          </cell>
          <cell r="I97">
            <v>1</v>
          </cell>
          <cell r="J97">
            <v>1</v>
          </cell>
          <cell r="K97">
            <v>1</v>
          </cell>
          <cell r="L97">
            <v>1</v>
          </cell>
          <cell r="M97">
            <v>3.25</v>
          </cell>
          <cell r="N97">
            <v>258700</v>
          </cell>
          <cell r="O97">
            <v>3.25</v>
          </cell>
          <cell r="P97">
            <v>258700</v>
          </cell>
        </row>
        <row r="98">
          <cell r="A98">
            <v>97</v>
          </cell>
          <cell r="C98" t="str">
            <v>02.07.03</v>
          </cell>
          <cell r="E98">
            <v>4006356</v>
          </cell>
          <cell r="F98" t="str">
            <v>RECARGA ROCHA BRITAGEM - DMT 600M - ME</v>
          </cell>
          <cell r="G98" t="str">
            <v>M3</v>
          </cell>
          <cell r="H98">
            <v>259000</v>
          </cell>
          <cell r="I98">
            <v>1</v>
          </cell>
          <cell r="J98">
            <v>1</v>
          </cell>
          <cell r="K98">
            <v>1</v>
          </cell>
          <cell r="L98">
            <v>1</v>
          </cell>
          <cell r="M98">
            <v>3.25</v>
          </cell>
          <cell r="N98">
            <v>841750</v>
          </cell>
          <cell r="O98">
            <v>3.25</v>
          </cell>
          <cell r="P98">
            <v>841750</v>
          </cell>
        </row>
        <row r="99">
          <cell r="A99">
            <v>98</v>
          </cell>
          <cell r="B99">
            <v>0</v>
          </cell>
          <cell r="C99" t="str">
            <v>02.07.03</v>
          </cell>
          <cell r="E99">
            <v>4006408</v>
          </cell>
          <cell r="F99" t="str">
            <v>RECARGA ROCHA P/ ENROCAMENTO - ARENITO - MD</v>
          </cell>
          <cell r="G99" t="str">
            <v>M3</v>
          </cell>
          <cell r="H99">
            <v>116600</v>
          </cell>
          <cell r="I99">
            <v>1</v>
          </cell>
          <cell r="J99">
            <v>1</v>
          </cell>
          <cell r="K99">
            <v>1</v>
          </cell>
          <cell r="L99">
            <v>1</v>
          </cell>
          <cell r="M99">
            <v>3.18</v>
          </cell>
          <cell r="N99">
            <v>370788</v>
          </cell>
          <cell r="O99">
            <v>3.18</v>
          </cell>
          <cell r="P99">
            <v>370788</v>
          </cell>
        </row>
        <row r="100">
          <cell r="A100">
            <v>99</v>
          </cell>
          <cell r="B100">
            <v>8</v>
          </cell>
          <cell r="E100">
            <v>0</v>
          </cell>
          <cell r="H100">
            <v>0</v>
          </cell>
          <cell r="I100">
            <v>0</v>
          </cell>
          <cell r="J100">
            <v>0</v>
          </cell>
          <cell r="K100">
            <v>0</v>
          </cell>
          <cell r="L100">
            <v>0</v>
          </cell>
          <cell r="M100">
            <v>0</v>
          </cell>
          <cell r="N100">
            <v>0</v>
          </cell>
          <cell r="O100">
            <v>0</v>
          </cell>
          <cell r="P100">
            <v>0</v>
          </cell>
        </row>
        <row r="101">
          <cell r="A101">
            <v>100</v>
          </cell>
          <cell r="B101">
            <v>4</v>
          </cell>
          <cell r="C101" t="str">
            <v>02.08</v>
          </cell>
          <cell r="E101">
            <v>0</v>
          </cell>
          <cell r="F101" t="str">
            <v>* PREPARO DE FUNDACAO EM ROCHA</v>
          </cell>
          <cell r="H101">
            <v>0</v>
          </cell>
          <cell r="I101">
            <v>0</v>
          </cell>
          <cell r="J101">
            <v>0</v>
          </cell>
          <cell r="K101">
            <v>0</v>
          </cell>
          <cell r="L101">
            <v>0</v>
          </cell>
          <cell r="M101">
            <v>0</v>
          </cell>
          <cell r="N101">
            <v>0</v>
          </cell>
          <cell r="O101">
            <v>0</v>
          </cell>
          <cell r="P101">
            <v>0</v>
          </cell>
        </row>
        <row r="102">
          <cell r="A102">
            <v>101</v>
          </cell>
          <cell r="B102">
            <v>0</v>
          </cell>
          <cell r="C102" t="str">
            <v>02.08.01</v>
          </cell>
          <cell r="E102">
            <v>4006505</v>
          </cell>
          <cell r="F102" t="str">
            <v>PREPARO FUNDACAO-VERTEDOURO</v>
          </cell>
          <cell r="G102" t="str">
            <v>M2</v>
          </cell>
          <cell r="H102">
            <v>71700</v>
          </cell>
          <cell r="I102">
            <v>1</v>
          </cell>
          <cell r="J102">
            <v>1</v>
          </cell>
          <cell r="K102">
            <v>1</v>
          </cell>
          <cell r="L102">
            <v>1</v>
          </cell>
          <cell r="M102">
            <v>22.34</v>
          </cell>
          <cell r="N102">
            <v>1601778</v>
          </cell>
          <cell r="O102">
            <v>22.34</v>
          </cell>
          <cell r="P102">
            <v>1601778</v>
          </cell>
        </row>
        <row r="103">
          <cell r="A103">
            <v>102</v>
          </cell>
          <cell r="B103">
            <v>0</v>
          </cell>
          <cell r="C103" t="str">
            <v>02.08.02</v>
          </cell>
          <cell r="E103">
            <v>4006602</v>
          </cell>
          <cell r="F103" t="str">
            <v>PREPARO FUNDACAO-BARRAGEM CCR</v>
          </cell>
          <cell r="G103" t="str">
            <v>M2</v>
          </cell>
          <cell r="H103">
            <v>16500</v>
          </cell>
          <cell r="I103">
            <v>1</v>
          </cell>
          <cell r="J103">
            <v>1</v>
          </cell>
          <cell r="K103">
            <v>1</v>
          </cell>
          <cell r="L103">
            <v>1</v>
          </cell>
          <cell r="M103">
            <v>39.5</v>
          </cell>
          <cell r="N103">
            <v>651750</v>
          </cell>
          <cell r="O103">
            <v>39.5</v>
          </cell>
          <cell r="P103">
            <v>651750</v>
          </cell>
        </row>
        <row r="104">
          <cell r="A104">
            <v>103</v>
          </cell>
          <cell r="B104">
            <v>0</v>
          </cell>
          <cell r="C104" t="str">
            <v>02.08.03</v>
          </cell>
          <cell r="E104">
            <v>4006709</v>
          </cell>
          <cell r="F104" t="str">
            <v>PREPARO FUNDACAO-C.FORCA/T.DAGUA</v>
          </cell>
          <cell r="G104" t="str">
            <v>M2</v>
          </cell>
          <cell r="H104">
            <v>33500</v>
          </cell>
          <cell r="I104">
            <v>1</v>
          </cell>
          <cell r="J104">
            <v>1</v>
          </cell>
          <cell r="K104">
            <v>1</v>
          </cell>
          <cell r="L104">
            <v>1</v>
          </cell>
          <cell r="M104">
            <v>22.34</v>
          </cell>
          <cell r="N104">
            <v>748390</v>
          </cell>
          <cell r="O104">
            <v>22.34</v>
          </cell>
          <cell r="P104">
            <v>748390</v>
          </cell>
        </row>
        <row r="105">
          <cell r="A105">
            <v>104</v>
          </cell>
          <cell r="B105">
            <v>0</v>
          </cell>
          <cell r="C105" t="str">
            <v>02.08.04</v>
          </cell>
          <cell r="E105">
            <v>4006806</v>
          </cell>
          <cell r="F105" t="str">
            <v>PREPARO FUNDACAO-ATERROS</v>
          </cell>
          <cell r="G105" t="str">
            <v>M2</v>
          </cell>
          <cell r="H105">
            <v>7900</v>
          </cell>
          <cell r="I105">
            <v>1</v>
          </cell>
          <cell r="J105">
            <v>1</v>
          </cell>
          <cell r="K105">
            <v>1</v>
          </cell>
          <cell r="L105">
            <v>1</v>
          </cell>
          <cell r="M105">
            <v>1.47</v>
          </cell>
          <cell r="N105">
            <v>11613</v>
          </cell>
          <cell r="O105">
            <v>1.47</v>
          </cell>
          <cell r="P105">
            <v>11613</v>
          </cell>
        </row>
        <row r="106">
          <cell r="A106">
            <v>105</v>
          </cell>
          <cell r="B106">
            <v>8</v>
          </cell>
          <cell r="E106">
            <v>0</v>
          </cell>
          <cell r="H106">
            <v>0</v>
          </cell>
          <cell r="I106">
            <v>0</v>
          </cell>
          <cell r="J106">
            <v>0</v>
          </cell>
          <cell r="K106">
            <v>0</v>
          </cell>
          <cell r="L106">
            <v>0</v>
          </cell>
          <cell r="M106">
            <v>0</v>
          </cell>
          <cell r="N106">
            <v>0</v>
          </cell>
          <cell r="O106">
            <v>0</v>
          </cell>
          <cell r="P106">
            <v>0</v>
          </cell>
        </row>
        <row r="107">
          <cell r="A107">
            <v>106</v>
          </cell>
          <cell r="B107">
            <v>2</v>
          </cell>
          <cell r="C107" t="str">
            <v>03</v>
          </cell>
          <cell r="E107">
            <v>0</v>
          </cell>
          <cell r="F107" t="str">
            <v>** PERFURACOES, INJECOES E INVESTIG. GEOLOGICAS</v>
          </cell>
          <cell r="H107">
            <v>0</v>
          </cell>
          <cell r="I107">
            <v>0</v>
          </cell>
          <cell r="J107">
            <v>0</v>
          </cell>
          <cell r="K107">
            <v>0</v>
          </cell>
          <cell r="L107">
            <v>0</v>
          </cell>
          <cell r="M107">
            <v>0</v>
          </cell>
          <cell r="N107">
            <v>0</v>
          </cell>
          <cell r="O107">
            <v>0</v>
          </cell>
          <cell r="P107">
            <v>0</v>
          </cell>
        </row>
        <row r="108">
          <cell r="A108">
            <v>107</v>
          </cell>
          <cell r="B108">
            <v>4</v>
          </cell>
          <cell r="C108" t="str">
            <v>03.01</v>
          </cell>
          <cell r="E108">
            <v>0</v>
          </cell>
          <cell r="F108" t="str">
            <v>* CORTINA DE INJECAO</v>
          </cell>
          <cell r="H108">
            <v>0</v>
          </cell>
          <cell r="I108">
            <v>0</v>
          </cell>
          <cell r="J108">
            <v>0</v>
          </cell>
          <cell r="K108">
            <v>0</v>
          </cell>
          <cell r="L108">
            <v>0</v>
          </cell>
          <cell r="M108">
            <v>0</v>
          </cell>
          <cell r="N108">
            <v>0</v>
          </cell>
          <cell r="O108">
            <v>0</v>
          </cell>
          <cell r="P108">
            <v>0</v>
          </cell>
        </row>
        <row r="109">
          <cell r="A109">
            <v>108</v>
          </cell>
          <cell r="B109">
            <v>0</v>
          </cell>
          <cell r="C109" t="str">
            <v>03.01.01</v>
          </cell>
          <cell r="E109">
            <v>4006903</v>
          </cell>
          <cell r="F109" t="str">
            <v>INSTALACAO DE SONDA ROTATIVA</v>
          </cell>
          <cell r="G109" t="str">
            <v>UN</v>
          </cell>
          <cell r="H109">
            <v>212</v>
          </cell>
          <cell r="I109">
            <v>1</v>
          </cell>
          <cell r="J109">
            <v>1</v>
          </cell>
          <cell r="K109">
            <v>1</v>
          </cell>
          <cell r="L109">
            <v>1</v>
          </cell>
          <cell r="M109">
            <v>350</v>
          </cell>
          <cell r="N109">
            <v>74200</v>
          </cell>
          <cell r="O109">
            <v>350</v>
          </cell>
          <cell r="P109">
            <v>74200</v>
          </cell>
        </row>
        <row r="110">
          <cell r="A110">
            <v>109</v>
          </cell>
          <cell r="B110">
            <v>0</v>
          </cell>
          <cell r="C110" t="str">
            <v>03.01.02</v>
          </cell>
          <cell r="E110">
            <v>4007003</v>
          </cell>
          <cell r="F110" t="str">
            <v>PERFURACAO ROTOPERCUSSIVA ROCHA-DN 76MM-CEU ABERTO</v>
          </cell>
          <cell r="G110" t="str">
            <v>M</v>
          </cell>
          <cell r="H110">
            <v>635</v>
          </cell>
          <cell r="I110">
            <v>1</v>
          </cell>
          <cell r="J110">
            <v>1</v>
          </cell>
          <cell r="K110">
            <v>1</v>
          </cell>
          <cell r="L110">
            <v>1</v>
          </cell>
          <cell r="M110">
            <v>44</v>
          </cell>
          <cell r="N110">
            <v>27940</v>
          </cell>
          <cell r="O110">
            <v>44</v>
          </cell>
          <cell r="P110">
            <v>27940</v>
          </cell>
        </row>
        <row r="111">
          <cell r="A111">
            <v>110</v>
          </cell>
          <cell r="B111">
            <v>0</v>
          </cell>
          <cell r="C111" t="str">
            <v>03.01.03</v>
          </cell>
          <cell r="E111">
            <v>4007100</v>
          </cell>
          <cell r="F111" t="str">
            <v>PERFURACAO ROTOPERCUSSIVA ROCHA-DN 76MM-SUBTERRANEA</v>
          </cell>
          <cell r="G111" t="str">
            <v>M</v>
          </cell>
          <cell r="H111">
            <v>5715</v>
          </cell>
          <cell r="I111">
            <v>1</v>
          </cell>
          <cell r="J111">
            <v>1</v>
          </cell>
          <cell r="K111">
            <v>1</v>
          </cell>
          <cell r="L111">
            <v>1</v>
          </cell>
          <cell r="M111">
            <v>50</v>
          </cell>
          <cell r="N111">
            <v>285750</v>
          </cell>
          <cell r="O111">
            <v>50</v>
          </cell>
          <cell r="P111">
            <v>285750</v>
          </cell>
        </row>
        <row r="112">
          <cell r="A112">
            <v>111</v>
          </cell>
          <cell r="B112">
            <v>0</v>
          </cell>
          <cell r="C112" t="str">
            <v>03.01.04</v>
          </cell>
          <cell r="E112">
            <v>4007207</v>
          </cell>
          <cell r="F112" t="str">
            <v>INJECAO DE CALDA DE CIMENTO A CEU ABERTO</v>
          </cell>
          <cell r="G112" t="str">
            <v>T</v>
          </cell>
          <cell r="H112">
            <v>16</v>
          </cell>
          <cell r="I112">
            <v>1</v>
          </cell>
          <cell r="J112">
            <v>1</v>
          </cell>
          <cell r="K112">
            <v>1</v>
          </cell>
          <cell r="L112">
            <v>1</v>
          </cell>
          <cell r="M112">
            <v>615</v>
          </cell>
          <cell r="N112">
            <v>9840</v>
          </cell>
          <cell r="O112">
            <v>615</v>
          </cell>
          <cell r="P112">
            <v>9840</v>
          </cell>
        </row>
        <row r="113">
          <cell r="A113">
            <v>112</v>
          </cell>
          <cell r="B113">
            <v>0</v>
          </cell>
          <cell r="C113" t="str">
            <v>03.01.05</v>
          </cell>
          <cell r="E113">
            <v>4007304</v>
          </cell>
          <cell r="F113" t="str">
            <v>INJECAO DE CALDA DE CIMENTO EM GALERIAS</v>
          </cell>
          <cell r="G113" t="str">
            <v>T</v>
          </cell>
          <cell r="H113">
            <v>144</v>
          </cell>
          <cell r="I113">
            <v>1</v>
          </cell>
          <cell r="J113">
            <v>1</v>
          </cell>
          <cell r="K113">
            <v>1</v>
          </cell>
          <cell r="L113">
            <v>1</v>
          </cell>
          <cell r="M113">
            <v>615</v>
          </cell>
          <cell r="N113">
            <v>88560</v>
          </cell>
          <cell r="O113">
            <v>615</v>
          </cell>
          <cell r="P113">
            <v>88560</v>
          </cell>
        </row>
        <row r="114">
          <cell r="A114">
            <v>113</v>
          </cell>
          <cell r="B114">
            <v>0</v>
          </cell>
          <cell r="C114" t="str">
            <v>03.01.06</v>
          </cell>
          <cell r="E114">
            <v>4007401</v>
          </cell>
          <cell r="F114" t="str">
            <v>INJECAO DE ARGAMASSA</v>
          </cell>
          <cell r="G114" t="str">
            <v>T</v>
          </cell>
          <cell r="H114">
            <v>10</v>
          </cell>
          <cell r="I114">
            <v>1</v>
          </cell>
          <cell r="J114">
            <v>1</v>
          </cell>
          <cell r="K114">
            <v>1</v>
          </cell>
          <cell r="L114">
            <v>1</v>
          </cell>
          <cell r="M114">
            <v>525</v>
          </cell>
          <cell r="N114">
            <v>5250</v>
          </cell>
          <cell r="O114">
            <v>525</v>
          </cell>
          <cell r="P114">
            <v>5250</v>
          </cell>
        </row>
        <row r="115">
          <cell r="A115">
            <v>114</v>
          </cell>
          <cell r="B115">
            <v>0</v>
          </cell>
          <cell r="C115" t="str">
            <v>03.01.07</v>
          </cell>
          <cell r="E115">
            <v>4007508</v>
          </cell>
          <cell r="F115" t="str">
            <v>CONEXOES AOS FUROS DE INJECAO</v>
          </cell>
          <cell r="G115" t="str">
            <v>UN</v>
          </cell>
          <cell r="H115">
            <v>1140</v>
          </cell>
          <cell r="I115">
            <v>1</v>
          </cell>
          <cell r="J115">
            <v>1</v>
          </cell>
          <cell r="K115">
            <v>1</v>
          </cell>
          <cell r="L115">
            <v>1</v>
          </cell>
          <cell r="M115">
            <v>21</v>
          </cell>
          <cell r="N115">
            <v>23940</v>
          </cell>
          <cell r="O115">
            <v>21</v>
          </cell>
          <cell r="P115">
            <v>23940</v>
          </cell>
        </row>
        <row r="116">
          <cell r="A116">
            <v>115</v>
          </cell>
          <cell r="B116">
            <v>8</v>
          </cell>
          <cell r="E116">
            <v>0</v>
          </cell>
          <cell r="H116">
            <v>0</v>
          </cell>
          <cell r="I116">
            <v>0</v>
          </cell>
          <cell r="J116">
            <v>0</v>
          </cell>
          <cell r="K116">
            <v>0</v>
          </cell>
          <cell r="L116">
            <v>0</v>
          </cell>
          <cell r="M116">
            <v>0</v>
          </cell>
          <cell r="N116">
            <v>0</v>
          </cell>
          <cell r="O116">
            <v>0</v>
          </cell>
          <cell r="P116">
            <v>0</v>
          </cell>
        </row>
        <row r="117">
          <cell r="A117">
            <v>116</v>
          </cell>
          <cell r="B117">
            <v>4</v>
          </cell>
          <cell r="C117" t="str">
            <v>03.02</v>
          </cell>
          <cell r="E117">
            <v>0</v>
          </cell>
          <cell r="F117" t="str">
            <v>* CORTINA DE DRENAGEM</v>
          </cell>
          <cell r="H117">
            <v>0</v>
          </cell>
          <cell r="I117">
            <v>0</v>
          </cell>
          <cell r="J117">
            <v>0</v>
          </cell>
          <cell r="K117">
            <v>0</v>
          </cell>
          <cell r="L117">
            <v>0</v>
          </cell>
          <cell r="M117">
            <v>0</v>
          </cell>
          <cell r="N117">
            <v>0</v>
          </cell>
          <cell r="O117">
            <v>0</v>
          </cell>
          <cell r="P117">
            <v>0</v>
          </cell>
        </row>
        <row r="118">
          <cell r="A118">
            <v>117</v>
          </cell>
          <cell r="B118">
            <v>0</v>
          </cell>
          <cell r="C118" t="str">
            <v>03.02.01</v>
          </cell>
          <cell r="E118">
            <v>4007605</v>
          </cell>
          <cell r="F118" t="str">
            <v>PERFURACAO ROTOPERCUSSIVA ROCHA-DN 76MM SUBTERRANEA</v>
          </cell>
          <cell r="G118" t="str">
            <v>M</v>
          </cell>
          <cell r="H118">
            <v>10800</v>
          </cell>
          <cell r="I118">
            <v>1</v>
          </cell>
          <cell r="J118">
            <v>1</v>
          </cell>
          <cell r="K118">
            <v>1</v>
          </cell>
          <cell r="L118">
            <v>1</v>
          </cell>
          <cell r="M118">
            <v>50</v>
          </cell>
          <cell r="N118">
            <v>540000</v>
          </cell>
          <cell r="O118">
            <v>50</v>
          </cell>
          <cell r="P118">
            <v>540000</v>
          </cell>
        </row>
        <row r="119">
          <cell r="A119">
            <v>118</v>
          </cell>
          <cell r="B119">
            <v>0</v>
          </cell>
          <cell r="C119" t="str">
            <v>03.02.02</v>
          </cell>
          <cell r="E119">
            <v>4007702</v>
          </cell>
          <cell r="F119" t="str">
            <v>PERFURACAO ROTOPERCUSSIVA ROCHA-DN 76MM CEU ABERTO</v>
          </cell>
          <cell r="G119" t="str">
            <v>M</v>
          </cell>
          <cell r="H119">
            <v>1200</v>
          </cell>
          <cell r="I119">
            <v>1</v>
          </cell>
          <cell r="J119">
            <v>1</v>
          </cell>
          <cell r="K119">
            <v>1</v>
          </cell>
          <cell r="L119">
            <v>1</v>
          </cell>
          <cell r="M119">
            <v>44</v>
          </cell>
          <cell r="N119">
            <v>52800</v>
          </cell>
          <cell r="O119">
            <v>44</v>
          </cell>
          <cell r="P119">
            <v>52800</v>
          </cell>
        </row>
        <row r="120">
          <cell r="A120">
            <v>119</v>
          </cell>
          <cell r="B120">
            <v>8</v>
          </cell>
          <cell r="E120">
            <v>0</v>
          </cell>
          <cell r="H120">
            <v>0</v>
          </cell>
          <cell r="I120">
            <v>0</v>
          </cell>
          <cell r="J120">
            <v>0</v>
          </cell>
          <cell r="K120">
            <v>0</v>
          </cell>
          <cell r="L120">
            <v>0</v>
          </cell>
          <cell r="M120">
            <v>0</v>
          </cell>
          <cell r="N120">
            <v>0</v>
          </cell>
          <cell r="O120">
            <v>0</v>
          </cell>
          <cell r="P120">
            <v>0</v>
          </cell>
        </row>
        <row r="121">
          <cell r="A121">
            <v>120</v>
          </cell>
          <cell r="B121">
            <v>4</v>
          </cell>
          <cell r="C121" t="str">
            <v>03.03</v>
          </cell>
          <cell r="E121">
            <v>0</v>
          </cell>
          <cell r="F121" t="str">
            <v>* INVESTIGACAO E ENSAIOS ESPECIAIS</v>
          </cell>
          <cell r="H121">
            <v>0</v>
          </cell>
          <cell r="I121">
            <v>0</v>
          </cell>
          <cell r="J121">
            <v>0</v>
          </cell>
          <cell r="K121">
            <v>0</v>
          </cell>
          <cell r="L121">
            <v>0</v>
          </cell>
          <cell r="M121">
            <v>0</v>
          </cell>
          <cell r="N121">
            <v>0</v>
          </cell>
          <cell r="O121">
            <v>0</v>
          </cell>
          <cell r="P121">
            <v>0</v>
          </cell>
        </row>
        <row r="122">
          <cell r="A122">
            <v>121</v>
          </cell>
          <cell r="B122">
            <v>0</v>
          </cell>
          <cell r="C122" t="str">
            <v>03.03.01</v>
          </cell>
          <cell r="E122">
            <v>4007809</v>
          </cell>
          <cell r="F122" t="str">
            <v>INSTALACAO DE EQUIPAMENTO P/ PESQUISA GEOLOGICA</v>
          </cell>
          <cell r="G122" t="str">
            <v>UN</v>
          </cell>
          <cell r="H122">
            <v>20</v>
          </cell>
          <cell r="I122">
            <v>1</v>
          </cell>
          <cell r="J122">
            <v>1</v>
          </cell>
          <cell r="K122">
            <v>1</v>
          </cell>
          <cell r="L122">
            <v>1</v>
          </cell>
          <cell r="M122">
            <v>350</v>
          </cell>
          <cell r="N122">
            <v>7000</v>
          </cell>
          <cell r="O122">
            <v>350</v>
          </cell>
          <cell r="P122">
            <v>7000</v>
          </cell>
        </row>
        <row r="123">
          <cell r="A123">
            <v>122</v>
          </cell>
          <cell r="B123">
            <v>0</v>
          </cell>
          <cell r="C123" t="str">
            <v>03.03.02</v>
          </cell>
          <cell r="E123">
            <v>4007906</v>
          </cell>
          <cell r="F123" t="str">
            <v>SONDAGEM A PERCUSAO COM ENSAIO SPT</v>
          </cell>
          <cell r="G123" t="str">
            <v>M</v>
          </cell>
          <cell r="H123">
            <v>100</v>
          </cell>
          <cell r="I123">
            <v>1</v>
          </cell>
          <cell r="J123">
            <v>1</v>
          </cell>
          <cell r="K123">
            <v>1</v>
          </cell>
          <cell r="L123">
            <v>1</v>
          </cell>
          <cell r="M123">
            <v>48</v>
          </cell>
          <cell r="N123">
            <v>4800</v>
          </cell>
          <cell r="O123">
            <v>48</v>
          </cell>
          <cell r="P123">
            <v>4800</v>
          </cell>
        </row>
        <row r="124">
          <cell r="A124">
            <v>123</v>
          </cell>
          <cell r="B124">
            <v>0</v>
          </cell>
          <cell r="C124" t="str">
            <v>03.03.03</v>
          </cell>
          <cell r="E124">
            <v>4008006</v>
          </cell>
          <cell r="F124" t="str">
            <v>SONDAGEM ROTATIVA EM SOLO DN NX</v>
          </cell>
          <cell r="G124" t="str">
            <v>M</v>
          </cell>
          <cell r="H124">
            <v>100</v>
          </cell>
          <cell r="I124">
            <v>1</v>
          </cell>
          <cell r="J124">
            <v>1</v>
          </cell>
          <cell r="K124">
            <v>1</v>
          </cell>
          <cell r="L124">
            <v>1</v>
          </cell>
          <cell r="M124">
            <v>85</v>
          </cell>
          <cell r="N124">
            <v>8500</v>
          </cell>
          <cell r="O124">
            <v>85</v>
          </cell>
          <cell r="P124">
            <v>8500</v>
          </cell>
        </row>
        <row r="125">
          <cell r="A125">
            <v>124</v>
          </cell>
          <cell r="B125">
            <v>0</v>
          </cell>
          <cell r="C125" t="str">
            <v>03.03.04</v>
          </cell>
          <cell r="E125">
            <v>4008103</v>
          </cell>
          <cell r="F125" t="str">
            <v>SONDAGEM ROTATIVA EM ROCHA DN NX - INSTUMENTACAO</v>
          </cell>
          <cell r="G125" t="str">
            <v>M</v>
          </cell>
          <cell r="H125">
            <v>300</v>
          </cell>
          <cell r="I125">
            <v>1</v>
          </cell>
          <cell r="J125">
            <v>1</v>
          </cell>
          <cell r="K125">
            <v>1</v>
          </cell>
          <cell r="L125">
            <v>1</v>
          </cell>
          <cell r="M125">
            <v>210</v>
          </cell>
          <cell r="N125">
            <v>63000</v>
          </cell>
          <cell r="O125">
            <v>210</v>
          </cell>
          <cell r="P125">
            <v>63000</v>
          </cell>
        </row>
        <row r="126">
          <cell r="A126">
            <v>125</v>
          </cell>
          <cell r="B126">
            <v>0</v>
          </cell>
          <cell r="C126" t="str">
            <v>03.03.05</v>
          </cell>
          <cell r="E126">
            <v>4008200</v>
          </cell>
          <cell r="F126" t="str">
            <v>SONDAGEM ROTATIVA EM ROCHA DN NX</v>
          </cell>
          <cell r="G126" t="str">
            <v>M</v>
          </cell>
          <cell r="H126">
            <v>780</v>
          </cell>
          <cell r="I126">
            <v>1</v>
          </cell>
          <cell r="J126">
            <v>1</v>
          </cell>
          <cell r="K126">
            <v>1</v>
          </cell>
          <cell r="L126">
            <v>1</v>
          </cell>
          <cell r="M126">
            <v>210</v>
          </cell>
          <cell r="N126">
            <v>163800</v>
          </cell>
          <cell r="O126">
            <v>210</v>
          </cell>
          <cell r="P126">
            <v>163800</v>
          </cell>
        </row>
        <row r="127">
          <cell r="A127">
            <v>126</v>
          </cell>
          <cell r="B127">
            <v>0</v>
          </cell>
          <cell r="C127" t="str">
            <v>03.03.06</v>
          </cell>
          <cell r="E127">
            <v>4008307</v>
          </cell>
          <cell r="F127" t="str">
            <v>ENSAIOS DE PERDA DAGUA COM 5 ESTAGIO DE PRESSAO</v>
          </cell>
          <cell r="G127" t="str">
            <v>UN</v>
          </cell>
          <cell r="H127">
            <v>500</v>
          </cell>
          <cell r="I127">
            <v>1</v>
          </cell>
          <cell r="J127">
            <v>1</v>
          </cell>
          <cell r="K127">
            <v>1</v>
          </cell>
          <cell r="L127">
            <v>1</v>
          </cell>
          <cell r="M127">
            <v>380</v>
          </cell>
          <cell r="N127">
            <v>190000</v>
          </cell>
          <cell r="O127">
            <v>380</v>
          </cell>
          <cell r="P127">
            <v>190000</v>
          </cell>
        </row>
        <row r="128">
          <cell r="A128">
            <v>127</v>
          </cell>
          <cell r="B128">
            <v>0</v>
          </cell>
          <cell r="C128" t="str">
            <v>03.03.07</v>
          </cell>
          <cell r="E128">
            <v>4008404</v>
          </cell>
          <cell r="F128" t="str">
            <v>ENSAIOS LABORATORIO EM GOIANIA</v>
          </cell>
          <cell r="G128" t="str">
            <v>R$</v>
          </cell>
          <cell r="H128">
            <v>210000</v>
          </cell>
          <cell r="I128">
            <v>1</v>
          </cell>
          <cell r="J128">
            <v>1</v>
          </cell>
          <cell r="K128">
            <v>1</v>
          </cell>
          <cell r="L128">
            <v>1</v>
          </cell>
          <cell r="M128">
            <v>1</v>
          </cell>
          <cell r="N128">
            <v>210000</v>
          </cell>
          <cell r="O128">
            <v>1</v>
          </cell>
          <cell r="P128">
            <v>210000</v>
          </cell>
        </row>
        <row r="129">
          <cell r="A129">
            <v>128</v>
          </cell>
          <cell r="B129">
            <v>8</v>
          </cell>
          <cell r="E129">
            <v>0</v>
          </cell>
          <cell r="H129">
            <v>0</v>
          </cell>
          <cell r="I129">
            <v>0</v>
          </cell>
          <cell r="J129">
            <v>0</v>
          </cell>
          <cell r="K129">
            <v>0</v>
          </cell>
          <cell r="L129">
            <v>0</v>
          </cell>
          <cell r="M129">
            <v>0</v>
          </cell>
          <cell r="N129">
            <v>0</v>
          </cell>
          <cell r="O129">
            <v>0</v>
          </cell>
          <cell r="P129">
            <v>0</v>
          </cell>
        </row>
        <row r="130">
          <cell r="A130">
            <v>129</v>
          </cell>
          <cell r="B130">
            <v>2</v>
          </cell>
          <cell r="C130" t="str">
            <v>04</v>
          </cell>
          <cell r="E130">
            <v>0</v>
          </cell>
          <cell r="F130" t="str">
            <v>** ATERROS -  BARRAGENS E ENSECADEIRAS</v>
          </cell>
          <cell r="H130">
            <v>0</v>
          </cell>
          <cell r="I130">
            <v>0</v>
          </cell>
          <cell r="J130">
            <v>0</v>
          </cell>
          <cell r="K130">
            <v>0</v>
          </cell>
          <cell r="L130">
            <v>0</v>
          </cell>
          <cell r="M130">
            <v>0</v>
          </cell>
          <cell r="N130">
            <v>0</v>
          </cell>
          <cell r="O130">
            <v>0</v>
          </cell>
          <cell r="P130">
            <v>0</v>
          </cell>
        </row>
        <row r="131">
          <cell r="A131">
            <v>130</v>
          </cell>
          <cell r="B131">
            <v>4</v>
          </cell>
          <cell r="C131" t="str">
            <v>04.01</v>
          </cell>
          <cell r="E131">
            <v>0</v>
          </cell>
          <cell r="F131" t="str">
            <v>* ENSECADEIRA DA USINA - MD 1A. FASE</v>
          </cell>
          <cell r="H131">
            <v>0</v>
          </cell>
          <cell r="I131">
            <v>0</v>
          </cell>
          <cell r="J131">
            <v>0</v>
          </cell>
          <cell r="K131">
            <v>0</v>
          </cell>
          <cell r="L131">
            <v>0</v>
          </cell>
          <cell r="M131">
            <v>0</v>
          </cell>
          <cell r="N131">
            <v>0</v>
          </cell>
          <cell r="O131">
            <v>0</v>
          </cell>
          <cell r="P131">
            <v>0</v>
          </cell>
        </row>
        <row r="132">
          <cell r="A132">
            <v>131</v>
          </cell>
          <cell r="B132">
            <v>0</v>
          </cell>
          <cell r="C132" t="str">
            <v>04.01.01</v>
          </cell>
          <cell r="E132">
            <v>4009106</v>
          </cell>
          <cell r="F132" t="str">
            <v>ENSEC. DA USINA - MD 1A.FASE - ENROCAMENTO</v>
          </cell>
          <cell r="G132" t="str">
            <v>M3</v>
          </cell>
          <cell r="H132">
            <v>15850</v>
          </cell>
          <cell r="I132">
            <v>1</v>
          </cell>
          <cell r="J132">
            <v>1</v>
          </cell>
          <cell r="K132">
            <v>1</v>
          </cell>
          <cell r="L132">
            <v>1</v>
          </cell>
          <cell r="M132">
            <v>0.74</v>
          </cell>
          <cell r="N132">
            <v>11729</v>
          </cell>
          <cell r="O132">
            <v>0.74</v>
          </cell>
          <cell r="P132">
            <v>11729</v>
          </cell>
        </row>
        <row r="133">
          <cell r="A133">
            <v>132</v>
          </cell>
          <cell r="B133">
            <v>0</v>
          </cell>
          <cell r="C133" t="str">
            <v>04.01.02</v>
          </cell>
          <cell r="E133">
            <v>4009151</v>
          </cell>
          <cell r="F133" t="str">
            <v>ENSEC. DA USINA - MD 1A.FASE - SOLO</v>
          </cell>
          <cell r="G133" t="str">
            <v>M3</v>
          </cell>
          <cell r="H133">
            <v>341242</v>
          </cell>
          <cell r="I133">
            <v>1</v>
          </cell>
          <cell r="J133">
            <v>1</v>
          </cell>
          <cell r="K133">
            <v>1</v>
          </cell>
          <cell r="L133">
            <v>1</v>
          </cell>
          <cell r="M133">
            <v>1.29</v>
          </cell>
          <cell r="N133">
            <v>440202.18</v>
          </cell>
          <cell r="O133">
            <v>1.29</v>
          </cell>
          <cell r="P133">
            <v>440202.18</v>
          </cell>
        </row>
        <row r="134">
          <cell r="A134">
            <v>133</v>
          </cell>
          <cell r="B134">
            <v>0</v>
          </cell>
          <cell r="C134" t="str">
            <v>04.01.02</v>
          </cell>
          <cell r="E134">
            <v>4009203</v>
          </cell>
          <cell r="F134" t="str">
            <v>ENSEC. DA USINA - MD 1A.FASE - TRANSICAO</v>
          </cell>
          <cell r="G134" t="str">
            <v>M3</v>
          </cell>
          <cell r="H134">
            <v>23700</v>
          </cell>
          <cell r="I134">
            <v>1</v>
          </cell>
          <cell r="J134">
            <v>1</v>
          </cell>
          <cell r="K134">
            <v>1</v>
          </cell>
          <cell r="L134">
            <v>1</v>
          </cell>
          <cell r="M134">
            <v>1.41</v>
          </cell>
          <cell r="N134">
            <v>33417</v>
          </cell>
          <cell r="O134">
            <v>1.41</v>
          </cell>
          <cell r="P134">
            <v>33417</v>
          </cell>
        </row>
        <row r="135">
          <cell r="A135">
            <v>134</v>
          </cell>
          <cell r="B135">
            <v>0</v>
          </cell>
          <cell r="C135" t="str">
            <v>04.01.03</v>
          </cell>
          <cell r="E135">
            <v>4009225</v>
          </cell>
          <cell r="F135" t="str">
            <v>ENSEC. DA USINA - MD 1A.FASE - RIP RAP</v>
          </cell>
          <cell r="G135" t="str">
            <v>M3</v>
          </cell>
          <cell r="H135">
            <v>47400</v>
          </cell>
          <cell r="I135">
            <v>1</v>
          </cell>
          <cell r="J135">
            <v>1</v>
          </cell>
          <cell r="K135">
            <v>1</v>
          </cell>
          <cell r="L135">
            <v>1</v>
          </cell>
          <cell r="M135">
            <v>1.82</v>
          </cell>
          <cell r="N135">
            <v>86268</v>
          </cell>
          <cell r="O135">
            <v>1.82</v>
          </cell>
          <cell r="P135">
            <v>86268</v>
          </cell>
        </row>
        <row r="136">
          <cell r="A136">
            <v>135</v>
          </cell>
          <cell r="B136">
            <v>8</v>
          </cell>
          <cell r="E136">
            <v>0</v>
          </cell>
          <cell r="H136">
            <v>0</v>
          </cell>
          <cell r="I136">
            <v>0</v>
          </cell>
          <cell r="J136">
            <v>0</v>
          </cell>
          <cell r="K136">
            <v>0</v>
          </cell>
          <cell r="L136">
            <v>0</v>
          </cell>
          <cell r="M136">
            <v>0</v>
          </cell>
          <cell r="N136">
            <v>0</v>
          </cell>
          <cell r="O136">
            <v>0</v>
          </cell>
          <cell r="P136">
            <v>0</v>
          </cell>
        </row>
        <row r="137">
          <cell r="A137">
            <v>136</v>
          </cell>
          <cell r="B137">
            <v>4</v>
          </cell>
          <cell r="C137" t="str">
            <v>04.02</v>
          </cell>
          <cell r="E137">
            <v>0</v>
          </cell>
          <cell r="F137" t="str">
            <v>* ENSECADEIRA DA USINA - MD-JUSANTE 2A.FASE</v>
          </cell>
          <cell r="H137">
            <v>0</v>
          </cell>
          <cell r="I137">
            <v>0</v>
          </cell>
          <cell r="J137">
            <v>0</v>
          </cell>
          <cell r="K137">
            <v>0</v>
          </cell>
          <cell r="L137">
            <v>0</v>
          </cell>
          <cell r="M137">
            <v>0</v>
          </cell>
          <cell r="N137">
            <v>0</v>
          </cell>
          <cell r="O137">
            <v>0</v>
          </cell>
          <cell r="P137">
            <v>0</v>
          </cell>
        </row>
        <row r="138">
          <cell r="A138">
            <v>137</v>
          </cell>
          <cell r="B138">
            <v>0</v>
          </cell>
          <cell r="C138" t="str">
            <v>04.02.01</v>
          </cell>
          <cell r="E138">
            <v>4009247</v>
          </cell>
          <cell r="F138" t="str">
            <v>ENSEC. DA USINA - MD-JUSANTE-2A.FASE - ENROCAMENTO</v>
          </cell>
          <cell r="G138" t="str">
            <v>M3</v>
          </cell>
          <cell r="H138">
            <v>0</v>
          </cell>
          <cell r="I138">
            <v>1</v>
          </cell>
          <cell r="J138">
            <v>1</v>
          </cell>
          <cell r="K138">
            <v>1</v>
          </cell>
          <cell r="L138">
            <v>1</v>
          </cell>
          <cell r="M138">
            <v>1.47</v>
          </cell>
          <cell r="N138">
            <v>0</v>
          </cell>
          <cell r="O138">
            <v>1.47</v>
          </cell>
          <cell r="P138">
            <v>0</v>
          </cell>
        </row>
        <row r="139">
          <cell r="A139">
            <v>138</v>
          </cell>
          <cell r="B139">
            <v>0</v>
          </cell>
          <cell r="C139" t="str">
            <v>04.02.02</v>
          </cell>
          <cell r="E139">
            <v>4009269</v>
          </cell>
          <cell r="F139" t="str">
            <v>ENSEC. DA USINA - MD-JUSANTE 2A.FASE - SOLO</v>
          </cell>
          <cell r="G139" t="str">
            <v>M3</v>
          </cell>
          <cell r="H139">
            <v>412726</v>
          </cell>
          <cell r="I139">
            <v>1</v>
          </cell>
          <cell r="J139">
            <v>1</v>
          </cell>
          <cell r="K139">
            <v>1</v>
          </cell>
          <cell r="L139">
            <v>1</v>
          </cell>
          <cell r="M139">
            <v>1.29</v>
          </cell>
          <cell r="N139">
            <v>532416.54</v>
          </cell>
          <cell r="O139">
            <v>1.29</v>
          </cell>
          <cell r="P139">
            <v>532416.54</v>
          </cell>
        </row>
        <row r="140">
          <cell r="A140">
            <v>139</v>
          </cell>
          <cell r="B140">
            <v>0</v>
          </cell>
          <cell r="C140" t="str">
            <v>04.02.03</v>
          </cell>
          <cell r="E140">
            <v>4009281</v>
          </cell>
          <cell r="F140" t="str">
            <v>ENSEC. DA USINA - MD-JUSANTE 2A.FASE - TRANSICAO</v>
          </cell>
          <cell r="G140" t="str">
            <v>M3</v>
          </cell>
          <cell r="H140">
            <v>19000</v>
          </cell>
          <cell r="I140">
            <v>1</v>
          </cell>
          <cell r="J140">
            <v>1</v>
          </cell>
          <cell r="K140">
            <v>1</v>
          </cell>
          <cell r="L140">
            <v>1</v>
          </cell>
          <cell r="M140">
            <v>1.41</v>
          </cell>
          <cell r="N140">
            <v>26790</v>
          </cell>
          <cell r="O140">
            <v>1.41</v>
          </cell>
          <cell r="P140">
            <v>26790</v>
          </cell>
        </row>
        <row r="141">
          <cell r="A141">
            <v>140</v>
          </cell>
          <cell r="B141">
            <v>0</v>
          </cell>
          <cell r="C141" t="str">
            <v>04.02.04</v>
          </cell>
          <cell r="E141">
            <v>4009300</v>
          </cell>
          <cell r="F141" t="str">
            <v>ENSEC. DA USINA - MD-JUSANTE 2A.FASE - RIP RAP</v>
          </cell>
          <cell r="G141" t="str">
            <v>M3</v>
          </cell>
          <cell r="H141">
            <v>39000</v>
          </cell>
          <cell r="I141">
            <v>1</v>
          </cell>
          <cell r="J141">
            <v>1</v>
          </cell>
          <cell r="K141">
            <v>1</v>
          </cell>
          <cell r="L141">
            <v>1</v>
          </cell>
          <cell r="M141">
            <v>1.58</v>
          </cell>
          <cell r="N141">
            <v>61620</v>
          </cell>
          <cell r="O141">
            <v>1.58</v>
          </cell>
          <cell r="P141">
            <v>61620</v>
          </cell>
        </row>
        <row r="142">
          <cell r="A142">
            <v>141</v>
          </cell>
          <cell r="B142">
            <v>8</v>
          </cell>
          <cell r="E142">
            <v>0</v>
          </cell>
          <cell r="H142">
            <v>0</v>
          </cell>
          <cell r="I142">
            <v>0</v>
          </cell>
          <cell r="J142">
            <v>0</v>
          </cell>
          <cell r="K142">
            <v>0</v>
          </cell>
          <cell r="L142">
            <v>0</v>
          </cell>
          <cell r="M142">
            <v>0</v>
          </cell>
          <cell r="N142">
            <v>0</v>
          </cell>
          <cell r="O142">
            <v>0</v>
          </cell>
          <cell r="P142">
            <v>0</v>
          </cell>
        </row>
        <row r="143">
          <cell r="A143">
            <v>142</v>
          </cell>
          <cell r="B143">
            <v>4</v>
          </cell>
          <cell r="C143" t="str">
            <v>04.03</v>
          </cell>
          <cell r="E143">
            <v>0</v>
          </cell>
          <cell r="F143" t="str">
            <v>* CONSTRUCAO DE DIQUES - ME</v>
          </cell>
          <cell r="H143">
            <v>0</v>
          </cell>
          <cell r="I143">
            <v>0</v>
          </cell>
          <cell r="J143">
            <v>0</v>
          </cell>
          <cell r="K143">
            <v>0</v>
          </cell>
          <cell r="L143">
            <v>0</v>
          </cell>
          <cell r="M143">
            <v>0</v>
          </cell>
          <cell r="N143">
            <v>0</v>
          </cell>
          <cell r="O143">
            <v>0</v>
          </cell>
          <cell r="P143">
            <v>0</v>
          </cell>
        </row>
        <row r="144">
          <cell r="A144">
            <v>143</v>
          </cell>
          <cell r="B144">
            <v>0</v>
          </cell>
          <cell r="C144" t="str">
            <v>04.03.01</v>
          </cell>
          <cell r="E144">
            <v>4009407</v>
          </cell>
          <cell r="F144" t="str">
            <v>CONSTRUCAO DE DIQUES - ME - ENROCAMENTO</v>
          </cell>
          <cell r="G144" t="str">
            <v>M3</v>
          </cell>
          <cell r="H144">
            <v>0</v>
          </cell>
          <cell r="I144">
            <v>1</v>
          </cell>
          <cell r="J144">
            <v>1</v>
          </cell>
          <cell r="K144">
            <v>1</v>
          </cell>
          <cell r="L144">
            <v>1</v>
          </cell>
          <cell r="M144">
            <v>1.47</v>
          </cell>
          <cell r="N144">
            <v>0</v>
          </cell>
          <cell r="O144">
            <v>1.47</v>
          </cell>
          <cell r="P144">
            <v>0</v>
          </cell>
        </row>
        <row r="145">
          <cell r="A145">
            <v>144</v>
          </cell>
          <cell r="B145">
            <v>0</v>
          </cell>
          <cell r="C145" t="str">
            <v>04.03.02</v>
          </cell>
          <cell r="E145">
            <v>4009504</v>
          </cell>
          <cell r="F145" t="str">
            <v>CONSTRUCAO DE DIQUES - ME - SOLO</v>
          </cell>
          <cell r="G145" t="str">
            <v>M3</v>
          </cell>
          <cell r="H145">
            <v>103810</v>
          </cell>
          <cell r="I145">
            <v>1</v>
          </cell>
          <cell r="J145">
            <v>1</v>
          </cell>
          <cell r="K145">
            <v>1</v>
          </cell>
          <cell r="L145">
            <v>1</v>
          </cell>
          <cell r="M145">
            <v>1.29</v>
          </cell>
          <cell r="N145">
            <v>133914.9</v>
          </cell>
          <cell r="O145">
            <v>1.29</v>
          </cell>
          <cell r="P145">
            <v>133914.9</v>
          </cell>
        </row>
        <row r="146">
          <cell r="A146">
            <v>145</v>
          </cell>
          <cell r="B146">
            <v>0</v>
          </cell>
          <cell r="C146" t="str">
            <v>04.03.03</v>
          </cell>
          <cell r="E146">
            <v>4009601</v>
          </cell>
          <cell r="F146" t="str">
            <v>CONSTRUCAO DE DIQUES - ME - TRANSICAO</v>
          </cell>
          <cell r="G146" t="str">
            <v>M3</v>
          </cell>
          <cell r="H146">
            <v>9700</v>
          </cell>
          <cell r="I146">
            <v>1</v>
          </cell>
          <cell r="J146">
            <v>1</v>
          </cell>
          <cell r="K146">
            <v>1</v>
          </cell>
          <cell r="L146">
            <v>1</v>
          </cell>
          <cell r="M146">
            <v>2.4900000000000002</v>
          </cell>
          <cell r="N146">
            <v>24153</v>
          </cell>
          <cell r="O146">
            <v>2.4900000000000002</v>
          </cell>
          <cell r="P146">
            <v>24153</v>
          </cell>
        </row>
        <row r="147">
          <cell r="A147">
            <v>146</v>
          </cell>
          <cell r="B147">
            <v>0</v>
          </cell>
          <cell r="C147" t="str">
            <v>04.03.04</v>
          </cell>
          <cell r="E147">
            <v>4009708</v>
          </cell>
          <cell r="F147" t="str">
            <v>CONSTRUCAO DE DIQUES - ME - RIP RAP</v>
          </cell>
          <cell r="G147" t="str">
            <v>M3</v>
          </cell>
          <cell r="H147">
            <v>19400</v>
          </cell>
          <cell r="I147">
            <v>1</v>
          </cell>
          <cell r="J147">
            <v>1</v>
          </cell>
          <cell r="K147">
            <v>1</v>
          </cell>
          <cell r="L147">
            <v>1</v>
          </cell>
          <cell r="M147">
            <v>1.58</v>
          </cell>
          <cell r="N147">
            <v>30652</v>
          </cell>
          <cell r="O147">
            <v>1.58</v>
          </cell>
          <cell r="P147">
            <v>30652</v>
          </cell>
        </row>
        <row r="148">
          <cell r="A148">
            <v>147</v>
          </cell>
          <cell r="B148">
            <v>8</v>
          </cell>
          <cell r="E148">
            <v>0</v>
          </cell>
          <cell r="H148">
            <v>0</v>
          </cell>
          <cell r="I148">
            <v>0</v>
          </cell>
          <cell r="J148">
            <v>0</v>
          </cell>
          <cell r="K148">
            <v>0</v>
          </cell>
          <cell r="L148">
            <v>0</v>
          </cell>
          <cell r="M148">
            <v>0</v>
          </cell>
          <cell r="N148">
            <v>0</v>
          </cell>
          <cell r="O148">
            <v>0</v>
          </cell>
          <cell r="P148">
            <v>0</v>
          </cell>
        </row>
        <row r="149">
          <cell r="A149">
            <v>148</v>
          </cell>
          <cell r="B149">
            <v>4</v>
          </cell>
          <cell r="C149" t="str">
            <v>04.04</v>
          </cell>
          <cell r="E149">
            <v>0</v>
          </cell>
          <cell r="F149" t="str">
            <v>* ENSECADEIRA VERTEDOURO - ME - 1A. FASE</v>
          </cell>
          <cell r="H149">
            <v>0</v>
          </cell>
          <cell r="I149">
            <v>0</v>
          </cell>
          <cell r="J149">
            <v>0</v>
          </cell>
          <cell r="K149">
            <v>0</v>
          </cell>
          <cell r="L149">
            <v>0</v>
          </cell>
          <cell r="M149">
            <v>0</v>
          </cell>
          <cell r="N149">
            <v>0</v>
          </cell>
          <cell r="O149">
            <v>0</v>
          </cell>
          <cell r="P149">
            <v>0</v>
          </cell>
        </row>
        <row r="150">
          <cell r="A150">
            <v>149</v>
          </cell>
          <cell r="B150">
            <v>0</v>
          </cell>
          <cell r="C150" t="str">
            <v>04.04.01</v>
          </cell>
          <cell r="E150">
            <v>4009720</v>
          </cell>
          <cell r="F150" t="str">
            <v>ENSEC. VERTEDOURO - ME - 1A. FASE - ENROCAMENTO</v>
          </cell>
          <cell r="G150" t="str">
            <v>M3</v>
          </cell>
          <cell r="H150">
            <v>11610</v>
          </cell>
          <cell r="I150">
            <v>1</v>
          </cell>
          <cell r="J150">
            <v>1</v>
          </cell>
          <cell r="K150">
            <v>1</v>
          </cell>
          <cell r="L150">
            <v>1</v>
          </cell>
          <cell r="M150">
            <v>0.74</v>
          </cell>
          <cell r="N150">
            <v>8591.4</v>
          </cell>
          <cell r="O150">
            <v>0.74</v>
          </cell>
          <cell r="P150">
            <v>8591.4</v>
          </cell>
        </row>
        <row r="151">
          <cell r="A151">
            <v>150</v>
          </cell>
          <cell r="B151">
            <v>0</v>
          </cell>
          <cell r="C151" t="str">
            <v>04.04.02</v>
          </cell>
          <cell r="E151">
            <v>4009742</v>
          </cell>
          <cell r="F151" t="str">
            <v>ENSEC. VERTEDOURO - ME - 1A. FASE - SOLO</v>
          </cell>
          <cell r="G151" t="str">
            <v>M3</v>
          </cell>
          <cell r="H151">
            <v>449100</v>
          </cell>
          <cell r="I151">
            <v>1</v>
          </cell>
          <cell r="J151">
            <v>1</v>
          </cell>
          <cell r="K151">
            <v>1</v>
          </cell>
          <cell r="L151">
            <v>1</v>
          </cell>
          <cell r="M151">
            <v>1.29</v>
          </cell>
          <cell r="N151">
            <v>579339</v>
          </cell>
          <cell r="O151">
            <v>1.29</v>
          </cell>
          <cell r="P151">
            <v>579339</v>
          </cell>
        </row>
        <row r="152">
          <cell r="A152">
            <v>151</v>
          </cell>
          <cell r="B152">
            <v>0</v>
          </cell>
          <cell r="C152" t="str">
            <v>04.04.03</v>
          </cell>
          <cell r="E152">
            <v>4009764</v>
          </cell>
          <cell r="F152" t="str">
            <v>ENSEC. VERTEDOURO - ME - 1A. FASE - TRANSICAO</v>
          </cell>
          <cell r="G152" t="str">
            <v>M3</v>
          </cell>
          <cell r="H152">
            <v>29000</v>
          </cell>
          <cell r="I152">
            <v>1</v>
          </cell>
          <cell r="J152">
            <v>1</v>
          </cell>
          <cell r="K152">
            <v>1</v>
          </cell>
          <cell r="L152">
            <v>1</v>
          </cell>
          <cell r="M152">
            <v>2.5099999999999998</v>
          </cell>
          <cell r="N152">
            <v>72790</v>
          </cell>
          <cell r="O152">
            <v>2.5099999999999998</v>
          </cell>
          <cell r="P152">
            <v>72790</v>
          </cell>
        </row>
        <row r="153">
          <cell r="A153">
            <v>152</v>
          </cell>
          <cell r="B153">
            <v>0</v>
          </cell>
          <cell r="C153" t="str">
            <v>04.04.04</v>
          </cell>
          <cell r="E153">
            <v>4009786</v>
          </cell>
          <cell r="F153" t="str">
            <v>ENSEC. VERTEDOURO - ME - 1A. FASE - RIP RAP</v>
          </cell>
          <cell r="G153" t="str">
            <v>M3</v>
          </cell>
          <cell r="H153">
            <v>58000</v>
          </cell>
          <cell r="I153">
            <v>1</v>
          </cell>
          <cell r="J153">
            <v>1</v>
          </cell>
          <cell r="K153">
            <v>1</v>
          </cell>
          <cell r="L153">
            <v>1</v>
          </cell>
          <cell r="M153">
            <v>1.58</v>
          </cell>
          <cell r="N153">
            <v>91640</v>
          </cell>
          <cell r="O153">
            <v>1.58</v>
          </cell>
          <cell r="P153">
            <v>91640</v>
          </cell>
        </row>
        <row r="154">
          <cell r="A154">
            <v>153</v>
          </cell>
          <cell r="B154">
            <v>8</v>
          </cell>
          <cell r="E154">
            <v>0</v>
          </cell>
          <cell r="H154">
            <v>0</v>
          </cell>
          <cell r="I154">
            <v>0</v>
          </cell>
          <cell r="J154">
            <v>0</v>
          </cell>
          <cell r="K154">
            <v>0</v>
          </cell>
          <cell r="L154">
            <v>0</v>
          </cell>
          <cell r="M154">
            <v>0</v>
          </cell>
          <cell r="N154">
            <v>0</v>
          </cell>
          <cell r="O154">
            <v>0</v>
          </cell>
          <cell r="P154">
            <v>0</v>
          </cell>
        </row>
        <row r="155">
          <cell r="A155">
            <v>154</v>
          </cell>
          <cell r="B155">
            <v>4</v>
          </cell>
          <cell r="C155" t="str">
            <v>04.05</v>
          </cell>
          <cell r="E155">
            <v>0</v>
          </cell>
          <cell r="F155" t="str">
            <v>* ENSECADEIRA VERTEDOURO - ME - 2A. FASE</v>
          </cell>
          <cell r="H155">
            <v>0</v>
          </cell>
          <cell r="I155">
            <v>0</v>
          </cell>
          <cell r="J155">
            <v>0</v>
          </cell>
          <cell r="K155">
            <v>0</v>
          </cell>
          <cell r="L155">
            <v>0</v>
          </cell>
          <cell r="M155">
            <v>0</v>
          </cell>
          <cell r="N155">
            <v>0</v>
          </cell>
          <cell r="O155">
            <v>0</v>
          </cell>
          <cell r="P155">
            <v>0</v>
          </cell>
        </row>
        <row r="156">
          <cell r="A156">
            <v>155</v>
          </cell>
          <cell r="B156">
            <v>0</v>
          </cell>
          <cell r="C156" t="str">
            <v>04.05.01</v>
          </cell>
          <cell r="E156">
            <v>4009805</v>
          </cell>
          <cell r="F156" t="str">
            <v>ENSEC. VERTEDOURO - ME - 2A. FASE - ENROCAMENTO</v>
          </cell>
          <cell r="G156" t="str">
            <v>M3</v>
          </cell>
          <cell r="H156">
            <v>0</v>
          </cell>
          <cell r="I156">
            <v>1</v>
          </cell>
          <cell r="J156">
            <v>1</v>
          </cell>
          <cell r="K156">
            <v>1</v>
          </cell>
          <cell r="L156">
            <v>1</v>
          </cell>
          <cell r="M156">
            <v>1.47</v>
          </cell>
          <cell r="N156">
            <v>0</v>
          </cell>
          <cell r="O156">
            <v>1.47</v>
          </cell>
          <cell r="P156">
            <v>0</v>
          </cell>
        </row>
        <row r="157">
          <cell r="A157">
            <v>156</v>
          </cell>
          <cell r="B157">
            <v>0</v>
          </cell>
          <cell r="C157" t="str">
            <v>04.05.02</v>
          </cell>
          <cell r="E157">
            <v>4009827</v>
          </cell>
          <cell r="F157" t="str">
            <v>ENSEC. VERTEDOURO - ME - 2A. FASE - SOLO</v>
          </cell>
          <cell r="G157" t="str">
            <v>M3</v>
          </cell>
          <cell r="H157">
            <v>185770</v>
          </cell>
          <cell r="I157">
            <v>1</v>
          </cell>
          <cell r="J157">
            <v>1</v>
          </cell>
          <cell r="K157">
            <v>1</v>
          </cell>
          <cell r="L157">
            <v>1</v>
          </cell>
          <cell r="M157">
            <v>1.29</v>
          </cell>
          <cell r="N157">
            <v>239643.3</v>
          </cell>
          <cell r="O157">
            <v>1.29</v>
          </cell>
          <cell r="P157">
            <v>239643.3</v>
          </cell>
        </row>
        <row r="158">
          <cell r="A158">
            <v>157</v>
          </cell>
          <cell r="B158">
            <v>0</v>
          </cell>
          <cell r="C158" t="str">
            <v>04.05.03</v>
          </cell>
          <cell r="E158">
            <v>4009849</v>
          </cell>
          <cell r="F158" t="str">
            <v>ENSEC. VERTEDOURO - ME - 2A. FASE - TRANSICAO</v>
          </cell>
          <cell r="G158" t="str">
            <v>M3</v>
          </cell>
          <cell r="H158">
            <v>11500</v>
          </cell>
          <cell r="I158">
            <v>1</v>
          </cell>
          <cell r="J158">
            <v>1</v>
          </cell>
          <cell r="K158">
            <v>1</v>
          </cell>
          <cell r="L158">
            <v>1</v>
          </cell>
          <cell r="M158">
            <v>2.5099999999999998</v>
          </cell>
          <cell r="N158">
            <v>28865</v>
          </cell>
          <cell r="O158">
            <v>2.5099999999999998</v>
          </cell>
          <cell r="P158">
            <v>28865</v>
          </cell>
        </row>
        <row r="159">
          <cell r="A159">
            <v>158</v>
          </cell>
          <cell r="B159">
            <v>0</v>
          </cell>
          <cell r="C159" t="str">
            <v>04.05.04</v>
          </cell>
          <cell r="E159">
            <v>4009861</v>
          </cell>
          <cell r="F159" t="str">
            <v>ENSEC. VERTEDOURO - ME - 2A. FASE - RIP RAP</v>
          </cell>
          <cell r="G159" t="str">
            <v>M3</v>
          </cell>
          <cell r="H159">
            <v>23000</v>
          </cell>
          <cell r="I159">
            <v>1</v>
          </cell>
          <cell r="J159">
            <v>1</v>
          </cell>
          <cell r="K159">
            <v>1</v>
          </cell>
          <cell r="L159">
            <v>1</v>
          </cell>
          <cell r="M159">
            <v>1.58</v>
          </cell>
          <cell r="N159">
            <v>36340</v>
          </cell>
          <cell r="O159">
            <v>1.58</v>
          </cell>
          <cell r="P159">
            <v>36340</v>
          </cell>
        </row>
        <row r="160">
          <cell r="A160">
            <v>159</v>
          </cell>
          <cell r="B160">
            <v>8</v>
          </cell>
          <cell r="E160">
            <v>0</v>
          </cell>
          <cell r="H160">
            <v>0</v>
          </cell>
          <cell r="I160">
            <v>0</v>
          </cell>
          <cell r="J160">
            <v>0</v>
          </cell>
          <cell r="K160">
            <v>0</v>
          </cell>
          <cell r="L160">
            <v>0</v>
          </cell>
          <cell r="M160">
            <v>0</v>
          </cell>
          <cell r="N160">
            <v>0</v>
          </cell>
          <cell r="O160">
            <v>0</v>
          </cell>
          <cell r="P160">
            <v>0</v>
          </cell>
        </row>
        <row r="161">
          <cell r="A161">
            <v>160</v>
          </cell>
          <cell r="B161">
            <v>4</v>
          </cell>
          <cell r="C161" t="str">
            <v>04.06</v>
          </cell>
          <cell r="E161">
            <v>0</v>
          </cell>
          <cell r="F161" t="str">
            <v>* ENSECADEIRA MONTANTE (MD) - FASE 1AA</v>
          </cell>
          <cell r="H161">
            <v>0</v>
          </cell>
          <cell r="I161">
            <v>0</v>
          </cell>
          <cell r="J161">
            <v>0</v>
          </cell>
          <cell r="K161">
            <v>0</v>
          </cell>
          <cell r="L161">
            <v>0</v>
          </cell>
          <cell r="M161">
            <v>0</v>
          </cell>
          <cell r="N161">
            <v>0</v>
          </cell>
          <cell r="O161">
            <v>0</v>
          </cell>
          <cell r="P161">
            <v>0</v>
          </cell>
        </row>
        <row r="162">
          <cell r="A162">
            <v>161</v>
          </cell>
          <cell r="B162">
            <v>0</v>
          </cell>
          <cell r="C162" t="str">
            <v>04.06.01</v>
          </cell>
          <cell r="E162">
            <v>4009902</v>
          </cell>
          <cell r="F162" t="str">
            <v>ENSEC. MONTANTE (MD) - FASE 1AA - ENROCAMENTO</v>
          </cell>
          <cell r="G162" t="str">
            <v>M3</v>
          </cell>
          <cell r="H162">
            <v>0</v>
          </cell>
          <cell r="I162">
            <v>1</v>
          </cell>
          <cell r="J162">
            <v>1</v>
          </cell>
          <cell r="K162">
            <v>1</v>
          </cell>
          <cell r="L162">
            <v>1</v>
          </cell>
          <cell r="M162">
            <v>1.47</v>
          </cell>
          <cell r="N162">
            <v>0</v>
          </cell>
          <cell r="O162">
            <v>1.47</v>
          </cell>
          <cell r="P162">
            <v>0</v>
          </cell>
        </row>
        <row r="163">
          <cell r="A163">
            <v>162</v>
          </cell>
          <cell r="B163">
            <v>0</v>
          </cell>
          <cell r="C163" t="str">
            <v>04.06.02</v>
          </cell>
          <cell r="E163">
            <v>4009924</v>
          </cell>
          <cell r="F163" t="str">
            <v>ENSEC. MONTANTE (MD) - FASE 1AA - SOLO</v>
          </cell>
          <cell r="G163" t="str">
            <v>M3</v>
          </cell>
          <cell r="H163">
            <v>0</v>
          </cell>
          <cell r="I163">
            <v>1</v>
          </cell>
          <cell r="J163">
            <v>1</v>
          </cell>
          <cell r="K163">
            <v>1</v>
          </cell>
          <cell r="L163">
            <v>1</v>
          </cell>
          <cell r="M163">
            <v>1.18</v>
          </cell>
          <cell r="N163">
            <v>0</v>
          </cell>
          <cell r="O163">
            <v>1.18</v>
          </cell>
          <cell r="P163">
            <v>0</v>
          </cell>
        </row>
        <row r="164">
          <cell r="A164">
            <v>163</v>
          </cell>
          <cell r="B164">
            <v>0</v>
          </cell>
          <cell r="C164" t="str">
            <v>04.06.03</v>
          </cell>
          <cell r="E164">
            <v>4009946</v>
          </cell>
          <cell r="F164" t="str">
            <v>ENSEC. MONTANTE (MD) - FASE 1AA - TRANSICAO</v>
          </cell>
          <cell r="G164" t="str">
            <v>M3</v>
          </cell>
          <cell r="H164">
            <v>0</v>
          </cell>
          <cell r="I164">
            <v>1</v>
          </cell>
          <cell r="J164">
            <v>1</v>
          </cell>
          <cell r="K164">
            <v>1</v>
          </cell>
          <cell r="L164">
            <v>1</v>
          </cell>
          <cell r="M164">
            <v>2.09</v>
          </cell>
          <cell r="N164">
            <v>0</v>
          </cell>
          <cell r="O164">
            <v>2.09</v>
          </cell>
          <cell r="P164">
            <v>0</v>
          </cell>
        </row>
        <row r="165">
          <cell r="A165">
            <v>164</v>
          </cell>
          <cell r="B165">
            <v>0</v>
          </cell>
          <cell r="C165" t="str">
            <v>04.06.04</v>
          </cell>
          <cell r="E165">
            <v>4009968</v>
          </cell>
          <cell r="F165" t="str">
            <v>ENSEC. MONTANTE (MD) - FASE 1AA - RIP RAP</v>
          </cell>
          <cell r="G165" t="str">
            <v>M3</v>
          </cell>
          <cell r="H165">
            <v>0</v>
          </cell>
          <cell r="I165">
            <v>1</v>
          </cell>
          <cell r="J165">
            <v>1</v>
          </cell>
          <cell r="K165">
            <v>1</v>
          </cell>
          <cell r="L165">
            <v>1</v>
          </cell>
          <cell r="M165">
            <v>4.1500000000000004</v>
          </cell>
          <cell r="N165">
            <v>0</v>
          </cell>
          <cell r="O165">
            <v>4.1500000000000004</v>
          </cell>
          <cell r="P165">
            <v>0</v>
          </cell>
        </row>
        <row r="166">
          <cell r="A166">
            <v>165</v>
          </cell>
          <cell r="B166">
            <v>8</v>
          </cell>
          <cell r="E166">
            <v>0</v>
          </cell>
          <cell r="H166">
            <v>0</v>
          </cell>
          <cell r="I166">
            <v>0</v>
          </cell>
          <cell r="J166">
            <v>0</v>
          </cell>
          <cell r="K166">
            <v>0</v>
          </cell>
          <cell r="L166">
            <v>0</v>
          </cell>
          <cell r="M166">
            <v>0</v>
          </cell>
          <cell r="N166">
            <v>0</v>
          </cell>
          <cell r="O166">
            <v>0</v>
          </cell>
          <cell r="P166">
            <v>0</v>
          </cell>
        </row>
        <row r="167">
          <cell r="A167">
            <v>166</v>
          </cell>
          <cell r="B167">
            <v>4</v>
          </cell>
          <cell r="C167" t="str">
            <v>04.07</v>
          </cell>
          <cell r="E167">
            <v>0</v>
          </cell>
          <cell r="F167" t="str">
            <v>* ENSECADEIRA MONTANTE (ME) - FASE 1D</v>
          </cell>
          <cell r="H167">
            <v>0</v>
          </cell>
          <cell r="I167">
            <v>0</v>
          </cell>
          <cell r="J167">
            <v>0</v>
          </cell>
          <cell r="K167">
            <v>0</v>
          </cell>
          <cell r="L167">
            <v>0</v>
          </cell>
          <cell r="M167">
            <v>0</v>
          </cell>
          <cell r="N167">
            <v>0</v>
          </cell>
          <cell r="O167">
            <v>0</v>
          </cell>
          <cell r="P167">
            <v>0</v>
          </cell>
        </row>
        <row r="168">
          <cell r="A168">
            <v>167</v>
          </cell>
          <cell r="B168">
            <v>0</v>
          </cell>
          <cell r="C168" t="str">
            <v>04.07.01</v>
          </cell>
          <cell r="E168">
            <v>4010003</v>
          </cell>
          <cell r="F168" t="str">
            <v>ENSEC. MONTANTE (ME) - FASE 1D - ENROCAMENTO</v>
          </cell>
          <cell r="G168" t="str">
            <v>M3</v>
          </cell>
          <cell r="H168">
            <v>0</v>
          </cell>
          <cell r="I168">
            <v>1</v>
          </cell>
          <cell r="J168">
            <v>1</v>
          </cell>
          <cell r="K168">
            <v>1</v>
          </cell>
          <cell r="L168">
            <v>1</v>
          </cell>
          <cell r="M168">
            <v>1.47</v>
          </cell>
          <cell r="N168">
            <v>0</v>
          </cell>
          <cell r="O168">
            <v>1.47</v>
          </cell>
          <cell r="P168">
            <v>0</v>
          </cell>
        </row>
        <row r="169">
          <cell r="A169">
            <v>168</v>
          </cell>
          <cell r="B169">
            <v>0</v>
          </cell>
          <cell r="C169" t="str">
            <v>04.07.02</v>
          </cell>
          <cell r="E169">
            <v>4010025</v>
          </cell>
          <cell r="F169" t="str">
            <v>ENSEC. MONTANTE (ME) - FASE 1D - SOLO</v>
          </cell>
          <cell r="G169" t="str">
            <v>M3</v>
          </cell>
          <cell r="H169">
            <v>0</v>
          </cell>
          <cell r="I169">
            <v>1</v>
          </cell>
          <cell r="J169">
            <v>1</v>
          </cell>
          <cell r="K169">
            <v>1</v>
          </cell>
          <cell r="L169">
            <v>1</v>
          </cell>
          <cell r="M169">
            <v>1.18</v>
          </cell>
          <cell r="N169">
            <v>0</v>
          </cell>
          <cell r="O169">
            <v>1.18</v>
          </cell>
          <cell r="P169">
            <v>0</v>
          </cell>
        </row>
        <row r="170">
          <cell r="A170">
            <v>169</v>
          </cell>
          <cell r="B170">
            <v>0</v>
          </cell>
          <cell r="C170" t="str">
            <v>04.07.03</v>
          </cell>
          <cell r="E170">
            <v>4010047</v>
          </cell>
          <cell r="F170" t="str">
            <v>ENSEC. MONTANTE (ME) - FASE 1D - TRANSICAO</v>
          </cell>
          <cell r="G170" t="str">
            <v>M3</v>
          </cell>
          <cell r="H170">
            <v>0</v>
          </cell>
          <cell r="I170">
            <v>1</v>
          </cell>
          <cell r="J170">
            <v>1</v>
          </cell>
          <cell r="K170">
            <v>1</v>
          </cell>
          <cell r="L170">
            <v>1</v>
          </cell>
          <cell r="M170">
            <v>2.09</v>
          </cell>
          <cell r="N170">
            <v>0</v>
          </cell>
          <cell r="O170">
            <v>2.09</v>
          </cell>
          <cell r="P170">
            <v>0</v>
          </cell>
        </row>
        <row r="171">
          <cell r="A171">
            <v>170</v>
          </cell>
          <cell r="B171">
            <v>0</v>
          </cell>
          <cell r="C171" t="str">
            <v>04.07.04</v>
          </cell>
          <cell r="E171">
            <v>4010069</v>
          </cell>
          <cell r="F171" t="str">
            <v>ENSEC. MONTANTE (ME) - FASE 1D - RIP RAP</v>
          </cell>
          <cell r="G171" t="str">
            <v>M3</v>
          </cell>
          <cell r="H171">
            <v>0</v>
          </cell>
          <cell r="I171">
            <v>1</v>
          </cell>
          <cell r="J171">
            <v>1</v>
          </cell>
          <cell r="K171">
            <v>1</v>
          </cell>
          <cell r="L171">
            <v>1</v>
          </cell>
          <cell r="M171">
            <v>4.1500000000000004</v>
          </cell>
          <cell r="N171">
            <v>0</v>
          </cell>
          <cell r="O171">
            <v>4.1500000000000004</v>
          </cell>
          <cell r="P171">
            <v>0</v>
          </cell>
        </row>
        <row r="172">
          <cell r="A172">
            <v>171</v>
          </cell>
          <cell r="B172">
            <v>8</v>
          </cell>
          <cell r="E172">
            <v>0</v>
          </cell>
          <cell r="H172">
            <v>0</v>
          </cell>
          <cell r="I172">
            <v>0</v>
          </cell>
          <cell r="J172">
            <v>0</v>
          </cell>
          <cell r="K172">
            <v>0</v>
          </cell>
          <cell r="L172">
            <v>0</v>
          </cell>
          <cell r="M172">
            <v>0</v>
          </cell>
          <cell r="N172">
            <v>0</v>
          </cell>
          <cell r="O172">
            <v>0</v>
          </cell>
          <cell r="P172">
            <v>0</v>
          </cell>
        </row>
        <row r="173">
          <cell r="A173">
            <v>172</v>
          </cell>
          <cell r="B173">
            <v>4</v>
          </cell>
          <cell r="C173" t="str">
            <v>04.08</v>
          </cell>
          <cell r="E173">
            <v>0</v>
          </cell>
          <cell r="F173" t="str">
            <v>* PRE-ENSECADEIRA MONTANTE (LR) - ELEV.136</v>
          </cell>
          <cell r="H173">
            <v>0</v>
          </cell>
          <cell r="I173">
            <v>0</v>
          </cell>
          <cell r="J173">
            <v>0</v>
          </cell>
          <cell r="K173">
            <v>0</v>
          </cell>
          <cell r="L173">
            <v>0</v>
          </cell>
          <cell r="M173">
            <v>0</v>
          </cell>
          <cell r="N173">
            <v>0</v>
          </cell>
          <cell r="O173">
            <v>0</v>
          </cell>
          <cell r="P173">
            <v>0</v>
          </cell>
        </row>
        <row r="174">
          <cell r="A174">
            <v>173</v>
          </cell>
          <cell r="B174">
            <v>0</v>
          </cell>
          <cell r="C174" t="str">
            <v>04.08.01</v>
          </cell>
          <cell r="E174">
            <v>4010100</v>
          </cell>
          <cell r="F174" t="str">
            <v>PRE-ENSEC. MONT.(LR) - ELEV.136 - ENROCAMENTO</v>
          </cell>
          <cell r="G174" t="str">
            <v>M3</v>
          </cell>
          <cell r="H174">
            <v>273450</v>
          </cell>
          <cell r="I174">
            <v>1</v>
          </cell>
          <cell r="J174">
            <v>1</v>
          </cell>
          <cell r="K174">
            <v>1</v>
          </cell>
          <cell r="L174">
            <v>1</v>
          </cell>
          <cell r="M174">
            <v>0.75</v>
          </cell>
          <cell r="N174">
            <v>205087.5</v>
          </cell>
          <cell r="O174">
            <v>0.75</v>
          </cell>
          <cell r="P174">
            <v>205087.5</v>
          </cell>
        </row>
        <row r="175">
          <cell r="A175">
            <v>174</v>
          </cell>
          <cell r="B175">
            <v>0</v>
          </cell>
          <cell r="C175" t="str">
            <v>04.08.02</v>
          </cell>
          <cell r="E175">
            <v>4010122</v>
          </cell>
          <cell r="F175" t="str">
            <v>PRE-ENSEC. MONT.(LR) - ELEV.136 - SOLO</v>
          </cell>
          <cell r="G175" t="str">
            <v>M3</v>
          </cell>
          <cell r="H175">
            <v>418800</v>
          </cell>
          <cell r="I175">
            <v>1</v>
          </cell>
          <cell r="J175">
            <v>1</v>
          </cell>
          <cell r="K175">
            <v>1</v>
          </cell>
          <cell r="L175">
            <v>1</v>
          </cell>
          <cell r="M175">
            <v>0.81</v>
          </cell>
          <cell r="N175">
            <v>339228</v>
          </cell>
          <cell r="O175">
            <v>0.81</v>
          </cell>
          <cell r="P175">
            <v>339228</v>
          </cell>
        </row>
        <row r="176">
          <cell r="A176">
            <v>175</v>
          </cell>
          <cell r="B176">
            <v>0</v>
          </cell>
          <cell r="C176" t="str">
            <v>04.08.03</v>
          </cell>
          <cell r="E176">
            <v>4010144</v>
          </cell>
          <cell r="F176" t="str">
            <v>PRE-ENSEC. MONT.(LR) - ELEV.136 - TRANSICAO</v>
          </cell>
          <cell r="G176" t="str">
            <v>M3</v>
          </cell>
          <cell r="H176">
            <v>7900</v>
          </cell>
          <cell r="I176">
            <v>1</v>
          </cell>
          <cell r="J176">
            <v>1</v>
          </cell>
          <cell r="K176">
            <v>1</v>
          </cell>
          <cell r="L176">
            <v>1</v>
          </cell>
          <cell r="M176">
            <v>1.02</v>
          </cell>
          <cell r="N176">
            <v>8058</v>
          </cell>
          <cell r="O176">
            <v>1.02</v>
          </cell>
          <cell r="P176">
            <v>8058</v>
          </cell>
        </row>
        <row r="177">
          <cell r="A177">
            <v>176</v>
          </cell>
          <cell r="B177">
            <v>0</v>
          </cell>
          <cell r="C177" t="str">
            <v>04.08.04</v>
          </cell>
          <cell r="E177">
            <v>4010166</v>
          </cell>
          <cell r="F177" t="str">
            <v>PRE-ENSEC. MONT.(LR) - ELEV.136 - RIP RAP</v>
          </cell>
          <cell r="G177" t="str">
            <v>M3</v>
          </cell>
          <cell r="H177">
            <v>0</v>
          </cell>
          <cell r="I177">
            <v>1</v>
          </cell>
          <cell r="J177">
            <v>1</v>
          </cell>
          <cell r="K177">
            <v>1</v>
          </cell>
          <cell r="L177">
            <v>1</v>
          </cell>
          <cell r="M177">
            <v>4.3899999999999997</v>
          </cell>
          <cell r="N177">
            <v>0</v>
          </cell>
          <cell r="O177">
            <v>4.3899999999999997</v>
          </cell>
          <cell r="P177">
            <v>0</v>
          </cell>
        </row>
        <row r="178">
          <cell r="A178">
            <v>177</v>
          </cell>
          <cell r="B178">
            <v>8</v>
          </cell>
          <cell r="E178">
            <v>0</v>
          </cell>
          <cell r="H178">
            <v>0</v>
          </cell>
          <cell r="I178">
            <v>0</v>
          </cell>
          <cell r="J178">
            <v>0</v>
          </cell>
          <cell r="K178">
            <v>0</v>
          </cell>
          <cell r="L178">
            <v>0</v>
          </cell>
          <cell r="M178">
            <v>0</v>
          </cell>
          <cell r="N178">
            <v>0</v>
          </cell>
          <cell r="O178">
            <v>0</v>
          </cell>
          <cell r="P178">
            <v>0</v>
          </cell>
        </row>
        <row r="179">
          <cell r="A179">
            <v>178</v>
          </cell>
          <cell r="B179">
            <v>4</v>
          </cell>
          <cell r="C179" t="str">
            <v>04.09</v>
          </cell>
          <cell r="E179">
            <v>0</v>
          </cell>
          <cell r="F179" t="str">
            <v>* ENSECADEIRA MONTANTE (LR ALT 151) - TR 100</v>
          </cell>
          <cell r="H179">
            <v>0</v>
          </cell>
          <cell r="I179">
            <v>0</v>
          </cell>
          <cell r="J179">
            <v>0</v>
          </cell>
          <cell r="K179">
            <v>0</v>
          </cell>
          <cell r="L179">
            <v>0</v>
          </cell>
          <cell r="M179">
            <v>0</v>
          </cell>
          <cell r="N179">
            <v>0</v>
          </cell>
          <cell r="O179">
            <v>0</v>
          </cell>
          <cell r="P179">
            <v>0</v>
          </cell>
        </row>
        <row r="180">
          <cell r="A180">
            <v>179</v>
          </cell>
          <cell r="B180">
            <v>0</v>
          </cell>
          <cell r="C180" t="str">
            <v>04.09.01</v>
          </cell>
          <cell r="E180">
            <v>4010207</v>
          </cell>
          <cell r="F180" t="str">
            <v>ENSEC. MONTANTE (LR ALT 151) - TR 100 - ENROCAMENTO</v>
          </cell>
          <cell r="G180" t="str">
            <v>M3</v>
          </cell>
          <cell r="H180">
            <v>0</v>
          </cell>
          <cell r="I180">
            <v>1</v>
          </cell>
          <cell r="J180">
            <v>1</v>
          </cell>
          <cell r="K180">
            <v>1</v>
          </cell>
          <cell r="L180">
            <v>1</v>
          </cell>
          <cell r="M180">
            <v>4.26</v>
          </cell>
          <cell r="N180">
            <v>0</v>
          </cell>
          <cell r="O180">
            <v>4.26</v>
          </cell>
          <cell r="P180">
            <v>0</v>
          </cell>
        </row>
        <row r="181">
          <cell r="A181">
            <v>180</v>
          </cell>
          <cell r="B181">
            <v>0</v>
          </cell>
          <cell r="C181" t="str">
            <v>04.09.02</v>
          </cell>
          <cell r="E181">
            <v>4010229</v>
          </cell>
          <cell r="F181" t="str">
            <v>ENSEC. MONTANTE (LR ALT 151) - TR 100 - SOLO</v>
          </cell>
          <cell r="G181" t="str">
            <v>M3</v>
          </cell>
          <cell r="H181">
            <v>216320</v>
          </cell>
          <cell r="I181">
            <v>1</v>
          </cell>
          <cell r="J181">
            <v>1</v>
          </cell>
          <cell r="K181">
            <v>1</v>
          </cell>
          <cell r="L181">
            <v>1</v>
          </cell>
          <cell r="M181">
            <v>1.29</v>
          </cell>
          <cell r="N181">
            <v>279052.79999999999</v>
          </cell>
          <cell r="O181">
            <v>1.29</v>
          </cell>
          <cell r="P181">
            <v>279052.79999999999</v>
          </cell>
        </row>
        <row r="182">
          <cell r="A182">
            <v>181</v>
          </cell>
          <cell r="B182">
            <v>0</v>
          </cell>
          <cell r="C182" t="str">
            <v>04.09.03</v>
          </cell>
          <cell r="E182">
            <v>4010241</v>
          </cell>
          <cell r="F182" t="str">
            <v>ENSEC. MONTANTE (LR ALT 151) - TR 100 - TRANSICAO</v>
          </cell>
          <cell r="G182" t="str">
            <v>M3</v>
          </cell>
          <cell r="H182">
            <v>16660</v>
          </cell>
          <cell r="I182">
            <v>1</v>
          </cell>
          <cell r="J182">
            <v>1</v>
          </cell>
          <cell r="K182">
            <v>1</v>
          </cell>
          <cell r="L182">
            <v>1</v>
          </cell>
          <cell r="M182">
            <v>2.5099999999999998</v>
          </cell>
          <cell r="N182">
            <v>41816.6</v>
          </cell>
          <cell r="O182">
            <v>2.5099999999999998</v>
          </cell>
          <cell r="P182">
            <v>41816.6</v>
          </cell>
        </row>
        <row r="183">
          <cell r="A183">
            <v>182</v>
          </cell>
          <cell r="B183">
            <v>0</v>
          </cell>
          <cell r="C183" t="str">
            <v>04.09.04</v>
          </cell>
          <cell r="E183">
            <v>4010263</v>
          </cell>
          <cell r="F183" t="str">
            <v>ENSEC. MONTANTE (LR ALT 151) - TR 100 - RIP RAP</v>
          </cell>
          <cell r="G183" t="str">
            <v>M3</v>
          </cell>
          <cell r="H183">
            <v>33320</v>
          </cell>
          <cell r="I183">
            <v>1</v>
          </cell>
          <cell r="J183">
            <v>1</v>
          </cell>
          <cell r="K183">
            <v>1</v>
          </cell>
          <cell r="L183">
            <v>1</v>
          </cell>
          <cell r="M183">
            <v>1.58</v>
          </cell>
          <cell r="N183">
            <v>52645.599999999999</v>
          </cell>
          <cell r="O183">
            <v>1.58</v>
          </cell>
          <cell r="P183">
            <v>52645.599999999999</v>
          </cell>
        </row>
        <row r="184">
          <cell r="A184">
            <v>183</v>
          </cell>
          <cell r="B184">
            <v>8</v>
          </cell>
          <cell r="E184">
            <v>0</v>
          </cell>
          <cell r="H184">
            <v>0</v>
          </cell>
          <cell r="I184">
            <v>0</v>
          </cell>
          <cell r="J184">
            <v>0</v>
          </cell>
          <cell r="K184">
            <v>0</v>
          </cell>
          <cell r="L184">
            <v>0</v>
          </cell>
          <cell r="M184">
            <v>0</v>
          </cell>
          <cell r="N184">
            <v>0</v>
          </cell>
          <cell r="O184">
            <v>0</v>
          </cell>
          <cell r="P184">
            <v>0</v>
          </cell>
        </row>
        <row r="185">
          <cell r="A185">
            <v>184</v>
          </cell>
          <cell r="B185">
            <v>4</v>
          </cell>
          <cell r="C185" t="str">
            <v>04.10</v>
          </cell>
          <cell r="E185">
            <v>0</v>
          </cell>
          <cell r="F185" t="str">
            <v>* ENSECADEIRA JUSANTE (MD) - FASE 1C</v>
          </cell>
          <cell r="H185">
            <v>0</v>
          </cell>
          <cell r="I185">
            <v>0</v>
          </cell>
          <cell r="J185">
            <v>0</v>
          </cell>
          <cell r="K185">
            <v>0</v>
          </cell>
          <cell r="L185">
            <v>0</v>
          </cell>
          <cell r="M185">
            <v>0</v>
          </cell>
          <cell r="N185">
            <v>0</v>
          </cell>
          <cell r="O185">
            <v>0</v>
          </cell>
          <cell r="P185">
            <v>0</v>
          </cell>
        </row>
        <row r="186">
          <cell r="A186">
            <v>185</v>
          </cell>
          <cell r="B186">
            <v>0</v>
          </cell>
          <cell r="C186" t="str">
            <v>04.10.01</v>
          </cell>
          <cell r="E186">
            <v>4010304</v>
          </cell>
          <cell r="F186" t="str">
            <v>ENSEC. JUSANTE (MD) - FASE 1C - ENROCAMENTO</v>
          </cell>
          <cell r="G186" t="str">
            <v>M3</v>
          </cell>
          <cell r="H186">
            <v>0</v>
          </cell>
          <cell r="I186">
            <v>1</v>
          </cell>
          <cell r="J186">
            <v>1</v>
          </cell>
          <cell r="K186">
            <v>1</v>
          </cell>
          <cell r="L186">
            <v>1</v>
          </cell>
          <cell r="M186">
            <v>1.47</v>
          </cell>
          <cell r="N186">
            <v>0</v>
          </cell>
          <cell r="O186">
            <v>1.47</v>
          </cell>
          <cell r="P186">
            <v>0</v>
          </cell>
        </row>
        <row r="187">
          <cell r="A187">
            <v>186</v>
          </cell>
          <cell r="B187">
            <v>0</v>
          </cell>
          <cell r="C187" t="str">
            <v>04.10.02</v>
          </cell>
          <cell r="E187">
            <v>4010326</v>
          </cell>
          <cell r="F187" t="str">
            <v>ENSEC. JUSANTE (MD) - FASE 1C - SOLO</v>
          </cell>
          <cell r="G187" t="str">
            <v>M3</v>
          </cell>
          <cell r="H187">
            <v>0</v>
          </cell>
          <cell r="I187">
            <v>1</v>
          </cell>
          <cell r="J187">
            <v>1</v>
          </cell>
          <cell r="K187">
            <v>1</v>
          </cell>
          <cell r="L187">
            <v>1</v>
          </cell>
          <cell r="M187">
            <v>1.18</v>
          </cell>
          <cell r="N187">
            <v>0</v>
          </cell>
          <cell r="O187">
            <v>1.18</v>
          </cell>
          <cell r="P187">
            <v>0</v>
          </cell>
        </row>
        <row r="188">
          <cell r="A188">
            <v>187</v>
          </cell>
          <cell r="B188">
            <v>0</v>
          </cell>
          <cell r="C188" t="str">
            <v>04.10.03</v>
          </cell>
          <cell r="E188">
            <v>4010348</v>
          </cell>
          <cell r="F188" t="str">
            <v>ENSEC. JUSANTE (MD) - FASE 1C - TRANSICAO</v>
          </cell>
          <cell r="G188" t="str">
            <v>M3</v>
          </cell>
          <cell r="H188">
            <v>0</v>
          </cell>
          <cell r="I188">
            <v>1</v>
          </cell>
          <cell r="J188">
            <v>1</v>
          </cell>
          <cell r="K188">
            <v>1</v>
          </cell>
          <cell r="L188">
            <v>1</v>
          </cell>
          <cell r="M188">
            <v>2.09</v>
          </cell>
          <cell r="N188">
            <v>0</v>
          </cell>
          <cell r="O188">
            <v>2.09</v>
          </cell>
          <cell r="P188">
            <v>0</v>
          </cell>
        </row>
        <row r="189">
          <cell r="A189">
            <v>188</v>
          </cell>
          <cell r="B189">
            <v>0</v>
          </cell>
          <cell r="C189" t="str">
            <v>04.10.04</v>
          </cell>
          <cell r="E189">
            <v>4010360</v>
          </cell>
          <cell r="F189" t="str">
            <v>ENSEC. JUSANTE (MD) - FASE 1C - RIP RAP</v>
          </cell>
          <cell r="G189" t="str">
            <v>M3</v>
          </cell>
          <cell r="H189">
            <v>0</v>
          </cell>
          <cell r="I189">
            <v>1</v>
          </cell>
          <cell r="J189">
            <v>1</v>
          </cell>
          <cell r="K189">
            <v>1</v>
          </cell>
          <cell r="L189">
            <v>1</v>
          </cell>
          <cell r="M189">
            <v>4.1500000000000004</v>
          </cell>
          <cell r="N189">
            <v>0</v>
          </cell>
          <cell r="O189">
            <v>4.1500000000000004</v>
          </cell>
          <cell r="P189">
            <v>0</v>
          </cell>
        </row>
        <row r="190">
          <cell r="A190">
            <v>189</v>
          </cell>
          <cell r="B190">
            <v>8</v>
          </cell>
          <cell r="E190">
            <v>0</v>
          </cell>
          <cell r="H190">
            <v>0</v>
          </cell>
          <cell r="I190">
            <v>0</v>
          </cell>
          <cell r="J190">
            <v>0</v>
          </cell>
          <cell r="K190">
            <v>0</v>
          </cell>
          <cell r="L190">
            <v>0</v>
          </cell>
          <cell r="M190">
            <v>0</v>
          </cell>
          <cell r="N190">
            <v>0</v>
          </cell>
          <cell r="O190">
            <v>0</v>
          </cell>
          <cell r="P190">
            <v>0</v>
          </cell>
        </row>
        <row r="191">
          <cell r="A191">
            <v>190</v>
          </cell>
          <cell r="B191">
            <v>4</v>
          </cell>
          <cell r="C191" t="str">
            <v>04.11</v>
          </cell>
          <cell r="E191">
            <v>0</v>
          </cell>
          <cell r="F191" t="str">
            <v>* ENSECADEIRA JUSANTE (ME) - FASE 1D</v>
          </cell>
          <cell r="H191">
            <v>0</v>
          </cell>
          <cell r="I191">
            <v>0</v>
          </cell>
          <cell r="J191">
            <v>0</v>
          </cell>
          <cell r="K191">
            <v>0</v>
          </cell>
          <cell r="L191">
            <v>0</v>
          </cell>
          <cell r="M191">
            <v>0</v>
          </cell>
          <cell r="N191">
            <v>0</v>
          </cell>
          <cell r="O191">
            <v>0</v>
          </cell>
          <cell r="P191">
            <v>0</v>
          </cell>
        </row>
        <row r="192">
          <cell r="A192">
            <v>191</v>
          </cell>
          <cell r="B192">
            <v>0</v>
          </cell>
          <cell r="C192" t="str">
            <v>04.11.01</v>
          </cell>
          <cell r="E192">
            <v>4010401</v>
          </cell>
          <cell r="F192" t="str">
            <v>ENSEC. JUSANTE (ME) - FASE 1D - ENROCAMENTO</v>
          </cell>
          <cell r="G192" t="str">
            <v>M3</v>
          </cell>
          <cell r="H192">
            <v>0</v>
          </cell>
          <cell r="I192">
            <v>1</v>
          </cell>
          <cell r="J192">
            <v>1</v>
          </cell>
          <cell r="K192">
            <v>1</v>
          </cell>
          <cell r="L192">
            <v>1</v>
          </cell>
          <cell r="M192">
            <v>0.67</v>
          </cell>
          <cell r="N192">
            <v>0</v>
          </cell>
          <cell r="O192">
            <v>0.67</v>
          </cell>
          <cell r="P192">
            <v>0</v>
          </cell>
        </row>
        <row r="193">
          <cell r="A193">
            <v>192</v>
          </cell>
          <cell r="B193">
            <v>0</v>
          </cell>
          <cell r="C193" t="str">
            <v>04.11.02</v>
          </cell>
          <cell r="E193">
            <v>4010423</v>
          </cell>
          <cell r="F193" t="str">
            <v>ENSEC. JUSANTE (ME) - FASE 1D - SOLO</v>
          </cell>
          <cell r="G193" t="str">
            <v>M3</v>
          </cell>
          <cell r="H193">
            <v>0</v>
          </cell>
          <cell r="I193">
            <v>1</v>
          </cell>
          <cell r="J193">
            <v>1</v>
          </cell>
          <cell r="K193">
            <v>1</v>
          </cell>
          <cell r="L193">
            <v>1</v>
          </cell>
          <cell r="M193">
            <v>1.18</v>
          </cell>
          <cell r="N193">
            <v>0</v>
          </cell>
          <cell r="O193">
            <v>1.18</v>
          </cell>
          <cell r="P193">
            <v>0</v>
          </cell>
        </row>
        <row r="194">
          <cell r="A194">
            <v>193</v>
          </cell>
          <cell r="B194">
            <v>0</v>
          </cell>
          <cell r="C194" t="str">
            <v>04.11.03</v>
          </cell>
          <cell r="E194">
            <v>4010445</v>
          </cell>
          <cell r="F194" t="str">
            <v>ENSEC. JUSANTE (ME) - FASE 1D - TRANSICAO</v>
          </cell>
          <cell r="G194" t="str">
            <v>M3</v>
          </cell>
          <cell r="H194">
            <v>0</v>
          </cell>
          <cell r="I194">
            <v>1</v>
          </cell>
          <cell r="J194">
            <v>1</v>
          </cell>
          <cell r="K194">
            <v>1</v>
          </cell>
          <cell r="L194">
            <v>1</v>
          </cell>
          <cell r="M194">
            <v>2.09</v>
          </cell>
          <cell r="N194">
            <v>0</v>
          </cell>
          <cell r="O194">
            <v>2.09</v>
          </cell>
          <cell r="P194">
            <v>0</v>
          </cell>
        </row>
        <row r="195">
          <cell r="A195">
            <v>194</v>
          </cell>
          <cell r="B195">
            <v>0</v>
          </cell>
          <cell r="C195" t="str">
            <v>04.11.04</v>
          </cell>
          <cell r="E195">
            <v>4010467</v>
          </cell>
          <cell r="F195" t="str">
            <v>ENSEC. JUSANTE (ME) - FASE 1D - RIP RAP</v>
          </cell>
          <cell r="G195" t="str">
            <v>M3</v>
          </cell>
          <cell r="H195">
            <v>0</v>
          </cell>
          <cell r="I195">
            <v>1</v>
          </cell>
          <cell r="J195">
            <v>1</v>
          </cell>
          <cell r="K195">
            <v>1</v>
          </cell>
          <cell r="L195">
            <v>1</v>
          </cell>
          <cell r="M195">
            <v>4.1500000000000004</v>
          </cell>
          <cell r="N195">
            <v>0</v>
          </cell>
          <cell r="O195">
            <v>4.1500000000000004</v>
          </cell>
          <cell r="P195">
            <v>0</v>
          </cell>
        </row>
        <row r="196">
          <cell r="A196">
            <v>195</v>
          </cell>
          <cell r="B196">
            <v>8</v>
          </cell>
          <cell r="E196">
            <v>0</v>
          </cell>
          <cell r="H196">
            <v>0</v>
          </cell>
          <cell r="I196">
            <v>0</v>
          </cell>
          <cell r="J196">
            <v>0</v>
          </cell>
          <cell r="K196">
            <v>0</v>
          </cell>
          <cell r="L196">
            <v>0</v>
          </cell>
          <cell r="M196">
            <v>0</v>
          </cell>
          <cell r="N196">
            <v>0</v>
          </cell>
          <cell r="O196">
            <v>0</v>
          </cell>
          <cell r="P196">
            <v>0</v>
          </cell>
        </row>
        <row r="197">
          <cell r="A197">
            <v>196</v>
          </cell>
          <cell r="B197">
            <v>4</v>
          </cell>
          <cell r="C197" t="str">
            <v>04.12</v>
          </cell>
          <cell r="E197">
            <v>0</v>
          </cell>
          <cell r="F197" t="str">
            <v>* PRE-ENSECADEIRA JUSANTE (LR) - ELEV.133</v>
          </cell>
          <cell r="H197">
            <v>0</v>
          </cell>
          <cell r="I197">
            <v>0</v>
          </cell>
          <cell r="J197">
            <v>0</v>
          </cell>
          <cell r="K197">
            <v>0</v>
          </cell>
          <cell r="L197">
            <v>0</v>
          </cell>
          <cell r="M197">
            <v>0</v>
          </cell>
          <cell r="N197">
            <v>0</v>
          </cell>
          <cell r="O197">
            <v>0</v>
          </cell>
          <cell r="P197">
            <v>0</v>
          </cell>
        </row>
        <row r="198">
          <cell r="A198">
            <v>197</v>
          </cell>
          <cell r="B198">
            <v>0</v>
          </cell>
          <cell r="C198" t="str">
            <v>04.12.01</v>
          </cell>
          <cell r="E198">
            <v>4010508</v>
          </cell>
          <cell r="F198" t="str">
            <v>PRE-ENSEC. JUSANTE (LR) - ELEV.133 - ENROCAMENTO</v>
          </cell>
          <cell r="G198" t="str">
            <v>M3</v>
          </cell>
          <cell r="H198">
            <v>253350</v>
          </cell>
          <cell r="I198">
            <v>1</v>
          </cell>
          <cell r="J198">
            <v>1</v>
          </cell>
          <cell r="K198">
            <v>1</v>
          </cell>
          <cell r="L198">
            <v>1</v>
          </cell>
          <cell r="M198">
            <v>0.75</v>
          </cell>
          <cell r="N198">
            <v>190012.5</v>
          </cell>
          <cell r="O198">
            <v>0.75</v>
          </cell>
          <cell r="P198">
            <v>190012.5</v>
          </cell>
        </row>
        <row r="199">
          <cell r="A199">
            <v>198</v>
          </cell>
          <cell r="B199">
            <v>0</v>
          </cell>
          <cell r="C199" t="str">
            <v>04.12.02</v>
          </cell>
          <cell r="E199">
            <v>4010520</v>
          </cell>
          <cell r="F199" t="str">
            <v>PRE-ENSEC. JUSANTE (LR) - ELEV.133 - SOLO</v>
          </cell>
          <cell r="G199" t="str">
            <v>M3</v>
          </cell>
          <cell r="H199">
            <v>361629</v>
          </cell>
          <cell r="I199">
            <v>1</v>
          </cell>
          <cell r="J199">
            <v>1</v>
          </cell>
          <cell r="K199">
            <v>1</v>
          </cell>
          <cell r="L199">
            <v>1</v>
          </cell>
          <cell r="M199">
            <v>0.81</v>
          </cell>
          <cell r="N199">
            <v>292919.49</v>
          </cell>
          <cell r="O199">
            <v>0.81</v>
          </cell>
          <cell r="P199">
            <v>292919.49</v>
          </cell>
        </row>
        <row r="200">
          <cell r="A200">
            <v>199</v>
          </cell>
          <cell r="B200">
            <v>0</v>
          </cell>
          <cell r="C200" t="str">
            <v>04.12.03</v>
          </cell>
          <cell r="E200">
            <v>4010542</v>
          </cell>
          <cell r="F200" t="str">
            <v>PRE-ENSEC. JUSANTE (LR) - ELEV.133 - TRANSICAO</v>
          </cell>
          <cell r="G200" t="str">
            <v>M3</v>
          </cell>
          <cell r="H200">
            <v>6900</v>
          </cell>
          <cell r="I200">
            <v>1</v>
          </cell>
          <cell r="J200">
            <v>1</v>
          </cell>
          <cell r="K200">
            <v>1</v>
          </cell>
          <cell r="L200">
            <v>1</v>
          </cell>
          <cell r="M200">
            <v>1.02</v>
          </cell>
          <cell r="N200">
            <v>7038</v>
          </cell>
          <cell r="O200">
            <v>1.02</v>
          </cell>
          <cell r="P200">
            <v>7038</v>
          </cell>
        </row>
        <row r="201">
          <cell r="A201">
            <v>200</v>
          </cell>
          <cell r="B201">
            <v>0</v>
          </cell>
          <cell r="C201" t="str">
            <v>04.12.04</v>
          </cell>
          <cell r="E201">
            <v>4010564</v>
          </cell>
          <cell r="F201" t="str">
            <v>PRE-ENSEC. JUSANTE (LR) - ELEV.133 - RIP RAP</v>
          </cell>
          <cell r="G201" t="str">
            <v>M3</v>
          </cell>
          <cell r="H201">
            <v>0</v>
          </cell>
          <cell r="I201">
            <v>1</v>
          </cell>
          <cell r="J201">
            <v>1</v>
          </cell>
          <cell r="K201">
            <v>1</v>
          </cell>
          <cell r="L201">
            <v>1</v>
          </cell>
          <cell r="M201">
            <v>4.3899999999999997</v>
          </cell>
          <cell r="N201">
            <v>0</v>
          </cell>
          <cell r="O201">
            <v>4.3899999999999997</v>
          </cell>
          <cell r="P201">
            <v>0</v>
          </cell>
        </row>
        <row r="202">
          <cell r="A202">
            <v>201</v>
          </cell>
          <cell r="B202">
            <v>8</v>
          </cell>
          <cell r="E202">
            <v>0</v>
          </cell>
          <cell r="H202">
            <v>0</v>
          </cell>
          <cell r="I202">
            <v>0</v>
          </cell>
          <cell r="J202">
            <v>0</v>
          </cell>
          <cell r="K202">
            <v>0</v>
          </cell>
          <cell r="L202">
            <v>0</v>
          </cell>
          <cell r="M202">
            <v>0</v>
          </cell>
          <cell r="N202">
            <v>0</v>
          </cell>
          <cell r="O202">
            <v>0</v>
          </cell>
          <cell r="P202">
            <v>0</v>
          </cell>
        </row>
        <row r="203">
          <cell r="A203">
            <v>202</v>
          </cell>
          <cell r="B203">
            <v>4</v>
          </cell>
          <cell r="C203" t="str">
            <v>04.13</v>
          </cell>
          <cell r="E203">
            <v>0</v>
          </cell>
          <cell r="F203" t="str">
            <v>* ENSECADEIRA JUSANTE (LR ALT 148.5) - TR 100</v>
          </cell>
          <cell r="H203">
            <v>0</v>
          </cell>
          <cell r="I203">
            <v>0</v>
          </cell>
          <cell r="J203">
            <v>0</v>
          </cell>
          <cell r="K203">
            <v>0</v>
          </cell>
          <cell r="L203">
            <v>0</v>
          </cell>
          <cell r="M203">
            <v>0</v>
          </cell>
          <cell r="N203">
            <v>0</v>
          </cell>
          <cell r="O203">
            <v>0</v>
          </cell>
          <cell r="P203">
            <v>0</v>
          </cell>
        </row>
        <row r="204">
          <cell r="A204">
            <v>203</v>
          </cell>
          <cell r="B204">
            <v>0</v>
          </cell>
          <cell r="C204" t="str">
            <v>04.13.01</v>
          </cell>
          <cell r="E204">
            <v>4010605</v>
          </cell>
          <cell r="F204" t="str">
            <v>ENSEC. JUSANTE (LR ALT 148.5) - TR 100 - ENROCAMENTO</v>
          </cell>
          <cell r="G204" t="str">
            <v>M3</v>
          </cell>
          <cell r="H204">
            <v>0</v>
          </cell>
          <cell r="I204">
            <v>1</v>
          </cell>
          <cell r="J204">
            <v>1</v>
          </cell>
          <cell r="K204">
            <v>1</v>
          </cell>
          <cell r="L204">
            <v>1</v>
          </cell>
          <cell r="M204">
            <v>4.26</v>
          </cell>
          <cell r="N204">
            <v>0</v>
          </cell>
          <cell r="O204">
            <v>4.26</v>
          </cell>
          <cell r="P204">
            <v>0</v>
          </cell>
        </row>
        <row r="205">
          <cell r="A205">
            <v>204</v>
          </cell>
          <cell r="B205">
            <v>0</v>
          </cell>
          <cell r="C205" t="str">
            <v>04.13.02</v>
          </cell>
          <cell r="E205">
            <v>4010627</v>
          </cell>
          <cell r="F205" t="str">
            <v>ENSEC. JUSANTE (LR ALT 148.5) - TR 100 - SOLO</v>
          </cell>
          <cell r="G205" t="str">
            <v>M3</v>
          </cell>
          <cell r="H205">
            <v>229124</v>
          </cell>
          <cell r="I205">
            <v>1</v>
          </cell>
          <cell r="J205">
            <v>1</v>
          </cell>
          <cell r="K205">
            <v>1</v>
          </cell>
          <cell r="L205">
            <v>1</v>
          </cell>
          <cell r="M205">
            <v>1.29</v>
          </cell>
          <cell r="N205">
            <v>295569.96000000002</v>
          </cell>
          <cell r="O205">
            <v>1.29</v>
          </cell>
          <cell r="P205">
            <v>295569.96000000002</v>
          </cell>
        </row>
        <row r="206">
          <cell r="A206">
            <v>205</v>
          </cell>
          <cell r="B206">
            <v>0</v>
          </cell>
          <cell r="C206" t="str">
            <v>04.13.03</v>
          </cell>
          <cell r="E206">
            <v>4010649</v>
          </cell>
          <cell r="F206" t="str">
            <v>ENSEC. JUSANTE (LR ALT 148.5) - TR 100 - TRANSICAO</v>
          </cell>
          <cell r="G206" t="str">
            <v>M3</v>
          </cell>
          <cell r="H206">
            <v>12000</v>
          </cell>
          <cell r="I206">
            <v>1</v>
          </cell>
          <cell r="J206">
            <v>1</v>
          </cell>
          <cell r="K206">
            <v>1</v>
          </cell>
          <cell r="L206">
            <v>1</v>
          </cell>
          <cell r="M206">
            <v>2.5099999999999998</v>
          </cell>
          <cell r="N206">
            <v>30120</v>
          </cell>
          <cell r="O206">
            <v>2.5099999999999998</v>
          </cell>
          <cell r="P206">
            <v>30120</v>
          </cell>
        </row>
        <row r="207">
          <cell r="A207">
            <v>206</v>
          </cell>
          <cell r="B207">
            <v>0</v>
          </cell>
          <cell r="C207" t="str">
            <v>04.13.04</v>
          </cell>
          <cell r="E207">
            <v>4010661</v>
          </cell>
          <cell r="F207" t="str">
            <v>ENSEC. JUSANTE (LR ALT 148.5) - TR 100 - RIP RAP</v>
          </cell>
          <cell r="G207" t="str">
            <v>M3</v>
          </cell>
          <cell r="H207">
            <v>24000</v>
          </cell>
          <cell r="I207">
            <v>1</v>
          </cell>
          <cell r="J207">
            <v>1</v>
          </cell>
          <cell r="K207">
            <v>1</v>
          </cell>
          <cell r="L207">
            <v>1</v>
          </cell>
          <cell r="M207">
            <v>1.82</v>
          </cell>
          <cell r="N207">
            <v>43680</v>
          </cell>
          <cell r="O207">
            <v>1.82</v>
          </cell>
          <cell r="P207">
            <v>43680</v>
          </cell>
        </row>
        <row r="208">
          <cell r="A208">
            <v>207</v>
          </cell>
          <cell r="B208">
            <v>8</v>
          </cell>
          <cell r="E208">
            <v>0</v>
          </cell>
          <cell r="H208">
            <v>0</v>
          </cell>
          <cell r="I208">
            <v>0</v>
          </cell>
          <cell r="J208">
            <v>0</v>
          </cell>
          <cell r="K208">
            <v>0</v>
          </cell>
          <cell r="L208">
            <v>0</v>
          </cell>
          <cell r="M208">
            <v>0</v>
          </cell>
          <cell r="N208">
            <v>0</v>
          </cell>
          <cell r="O208">
            <v>0</v>
          </cell>
          <cell r="P208">
            <v>0</v>
          </cell>
        </row>
        <row r="209">
          <cell r="A209">
            <v>208</v>
          </cell>
          <cell r="B209">
            <v>4</v>
          </cell>
          <cell r="C209" t="str">
            <v>04.14</v>
          </cell>
          <cell r="E209">
            <v>0</v>
          </cell>
          <cell r="F209" t="str">
            <v>* BARRAGEM OMBREIRA DIREITA</v>
          </cell>
          <cell r="H209">
            <v>0</v>
          </cell>
          <cell r="I209">
            <v>0</v>
          </cell>
          <cell r="J209">
            <v>0</v>
          </cell>
          <cell r="K209">
            <v>0</v>
          </cell>
          <cell r="L209">
            <v>0</v>
          </cell>
          <cell r="M209">
            <v>0</v>
          </cell>
          <cell r="N209">
            <v>0</v>
          </cell>
          <cell r="O209">
            <v>0</v>
          </cell>
          <cell r="P209">
            <v>0</v>
          </cell>
        </row>
        <row r="210">
          <cell r="A210">
            <v>209</v>
          </cell>
          <cell r="B210">
            <v>0</v>
          </cell>
          <cell r="C210" t="str">
            <v>04.14.01</v>
          </cell>
          <cell r="E210">
            <v>4010702</v>
          </cell>
          <cell r="F210" t="str">
            <v>BARRAGEM OMBREIRA DIREITA - SOLO</v>
          </cell>
          <cell r="G210" t="str">
            <v>M3</v>
          </cell>
          <cell r="H210">
            <v>2500</v>
          </cell>
          <cell r="I210">
            <v>1</v>
          </cell>
          <cell r="J210">
            <v>1</v>
          </cell>
          <cell r="K210">
            <v>1</v>
          </cell>
          <cell r="L210">
            <v>1</v>
          </cell>
          <cell r="M210">
            <v>2.0299999999999998</v>
          </cell>
          <cell r="N210">
            <v>5075</v>
          </cell>
          <cell r="O210">
            <v>2.0299999999999998</v>
          </cell>
          <cell r="P210">
            <v>5075</v>
          </cell>
        </row>
        <row r="211">
          <cell r="A211">
            <v>210</v>
          </cell>
          <cell r="B211">
            <v>0</v>
          </cell>
          <cell r="C211" t="str">
            <v>04.14.02</v>
          </cell>
          <cell r="E211">
            <v>4010809</v>
          </cell>
          <cell r="F211" t="str">
            <v>BARRAGEM OMBREIRA DIREITA - ENROCAMENTO</v>
          </cell>
          <cell r="G211" t="str">
            <v>M3</v>
          </cell>
          <cell r="H211">
            <v>0</v>
          </cell>
          <cell r="I211">
            <v>1</v>
          </cell>
          <cell r="J211">
            <v>1</v>
          </cell>
          <cell r="K211">
            <v>1</v>
          </cell>
          <cell r="L211">
            <v>1</v>
          </cell>
          <cell r="M211">
            <v>4.37</v>
          </cell>
          <cell r="N211">
            <v>0</v>
          </cell>
          <cell r="O211">
            <v>4.37</v>
          </cell>
          <cell r="P211">
            <v>0</v>
          </cell>
        </row>
        <row r="212">
          <cell r="A212">
            <v>211</v>
          </cell>
          <cell r="B212">
            <v>0</v>
          </cell>
          <cell r="C212" t="str">
            <v>04.14.03</v>
          </cell>
          <cell r="E212">
            <v>4010906</v>
          </cell>
          <cell r="F212" t="str">
            <v>BARRAGEM OMBREIRA DIREITA - FILTRO E TRANSICAO</v>
          </cell>
          <cell r="G212" t="str">
            <v>M3</v>
          </cell>
          <cell r="H212">
            <v>0</v>
          </cell>
          <cell r="I212">
            <v>1</v>
          </cell>
          <cell r="J212">
            <v>1</v>
          </cell>
          <cell r="K212">
            <v>1</v>
          </cell>
          <cell r="L212">
            <v>1</v>
          </cell>
          <cell r="M212">
            <v>4.6399999999999997</v>
          </cell>
          <cell r="N212">
            <v>0</v>
          </cell>
          <cell r="O212">
            <v>4.6399999999999997</v>
          </cell>
          <cell r="P212">
            <v>0</v>
          </cell>
        </row>
        <row r="213">
          <cell r="A213">
            <v>212</v>
          </cell>
          <cell r="B213">
            <v>8</v>
          </cell>
          <cell r="E213">
            <v>0</v>
          </cell>
          <cell r="H213">
            <v>0</v>
          </cell>
          <cell r="I213">
            <v>0</v>
          </cell>
          <cell r="J213">
            <v>0</v>
          </cell>
          <cell r="K213">
            <v>0</v>
          </cell>
          <cell r="L213">
            <v>0</v>
          </cell>
          <cell r="M213">
            <v>0</v>
          </cell>
          <cell r="N213">
            <v>0</v>
          </cell>
          <cell r="O213">
            <v>0</v>
          </cell>
          <cell r="P213">
            <v>0</v>
          </cell>
        </row>
        <row r="214">
          <cell r="A214">
            <v>213</v>
          </cell>
          <cell r="B214">
            <v>4</v>
          </cell>
          <cell r="C214" t="str">
            <v>04.15</v>
          </cell>
          <cell r="E214">
            <v>0</v>
          </cell>
          <cell r="F214" t="str">
            <v>* BARRAGEM OMBREIRA ESQUERDA</v>
          </cell>
          <cell r="H214">
            <v>0</v>
          </cell>
          <cell r="I214">
            <v>0</v>
          </cell>
          <cell r="J214">
            <v>0</v>
          </cell>
          <cell r="K214">
            <v>0</v>
          </cell>
          <cell r="L214">
            <v>0</v>
          </cell>
          <cell r="M214">
            <v>0</v>
          </cell>
          <cell r="N214">
            <v>0</v>
          </cell>
          <cell r="O214">
            <v>0</v>
          </cell>
          <cell r="P214">
            <v>0</v>
          </cell>
        </row>
        <row r="215">
          <cell r="A215">
            <v>214</v>
          </cell>
          <cell r="B215">
            <v>0</v>
          </cell>
          <cell r="C215" t="str">
            <v>04.15.01</v>
          </cell>
          <cell r="E215">
            <v>4011006</v>
          </cell>
          <cell r="F215" t="str">
            <v>BARRAGEM OMBREIRA ESQUERDA - SOLO</v>
          </cell>
          <cell r="G215" t="str">
            <v>M3</v>
          </cell>
          <cell r="H215">
            <v>8500</v>
          </cell>
          <cell r="I215">
            <v>1</v>
          </cell>
          <cell r="J215">
            <v>1</v>
          </cell>
          <cell r="K215">
            <v>1</v>
          </cell>
          <cell r="L215">
            <v>1</v>
          </cell>
          <cell r="M215">
            <v>1.79</v>
          </cell>
          <cell r="N215">
            <v>15215</v>
          </cell>
          <cell r="O215">
            <v>1.79</v>
          </cell>
          <cell r="P215">
            <v>15215</v>
          </cell>
        </row>
        <row r="216">
          <cell r="A216">
            <v>215</v>
          </cell>
          <cell r="B216">
            <v>0</v>
          </cell>
          <cell r="C216" t="str">
            <v>04.15.02</v>
          </cell>
          <cell r="E216">
            <v>4011103</v>
          </cell>
          <cell r="F216" t="str">
            <v>BARRAGEM OMBREIRA ESQUERDA - ENROCAMENTO</v>
          </cell>
          <cell r="G216" t="str">
            <v>M3</v>
          </cell>
          <cell r="H216">
            <v>0</v>
          </cell>
          <cell r="I216">
            <v>1</v>
          </cell>
          <cell r="J216">
            <v>1</v>
          </cell>
          <cell r="K216">
            <v>1</v>
          </cell>
          <cell r="L216">
            <v>1</v>
          </cell>
          <cell r="M216">
            <v>4.37</v>
          </cell>
          <cell r="N216">
            <v>0</v>
          </cell>
          <cell r="O216">
            <v>4.37</v>
          </cell>
          <cell r="P216">
            <v>0</v>
          </cell>
        </row>
        <row r="217">
          <cell r="A217">
            <v>216</v>
          </cell>
          <cell r="B217">
            <v>0</v>
          </cell>
          <cell r="C217" t="str">
            <v>04.15.03</v>
          </cell>
          <cell r="E217">
            <v>4011200</v>
          </cell>
          <cell r="F217" t="str">
            <v>BARRAGEM OMBREIRA ESQUERDA - FILTRO E TRANSICAO</v>
          </cell>
          <cell r="G217" t="str">
            <v>M3</v>
          </cell>
          <cell r="H217">
            <v>0</v>
          </cell>
          <cell r="I217">
            <v>1</v>
          </cell>
          <cell r="J217">
            <v>1</v>
          </cell>
          <cell r="K217">
            <v>1</v>
          </cell>
          <cell r="L217">
            <v>1</v>
          </cell>
          <cell r="M217">
            <v>4.6399999999999997</v>
          </cell>
          <cell r="N217">
            <v>0</v>
          </cell>
          <cell r="O217">
            <v>4.6399999999999997</v>
          </cell>
          <cell r="P217">
            <v>0</v>
          </cell>
        </row>
        <row r="218">
          <cell r="A218">
            <v>217</v>
          </cell>
          <cell r="B218">
            <v>0</v>
          </cell>
          <cell r="C218" t="str">
            <v>04.15.04</v>
          </cell>
          <cell r="E218">
            <v>4011307</v>
          </cell>
          <cell r="F218" t="str">
            <v>ATERRO ACESSO AREA MONTAGEM - ENROCAMENTO</v>
          </cell>
          <cell r="G218" t="str">
            <v>M3</v>
          </cell>
          <cell r="H218">
            <v>47300</v>
          </cell>
          <cell r="I218">
            <v>1</v>
          </cell>
          <cell r="J218">
            <v>1</v>
          </cell>
          <cell r="K218">
            <v>1</v>
          </cell>
          <cell r="L218">
            <v>1</v>
          </cell>
          <cell r="M218">
            <v>1.1100000000000001</v>
          </cell>
          <cell r="N218">
            <v>52503</v>
          </cell>
          <cell r="O218">
            <v>1.1100000000000001</v>
          </cell>
          <cell r="P218">
            <v>52503</v>
          </cell>
        </row>
        <row r="219">
          <cell r="A219">
            <v>218</v>
          </cell>
          <cell r="C219" t="str">
            <v>04.15.05</v>
          </cell>
          <cell r="E219">
            <v>4011352</v>
          </cell>
          <cell r="F219" t="str">
            <v>RECONSTRUCAO ENSECADEIRA MD - BARRAGEM CCR</v>
          </cell>
          <cell r="G219" t="str">
            <v>M3</v>
          </cell>
          <cell r="H219">
            <v>61400</v>
          </cell>
          <cell r="I219">
            <v>1</v>
          </cell>
          <cell r="J219">
            <v>1</v>
          </cell>
          <cell r="K219">
            <v>1</v>
          </cell>
          <cell r="L219">
            <v>1</v>
          </cell>
          <cell r="M219">
            <v>1.29</v>
          </cell>
          <cell r="N219">
            <v>79206</v>
          </cell>
          <cell r="O219">
            <v>1.29</v>
          </cell>
          <cell r="P219">
            <v>79206</v>
          </cell>
        </row>
        <row r="220">
          <cell r="A220">
            <v>219</v>
          </cell>
          <cell r="B220">
            <v>8</v>
          </cell>
          <cell r="E220">
            <v>0</v>
          </cell>
          <cell r="H220">
            <v>0</v>
          </cell>
          <cell r="I220">
            <v>0</v>
          </cell>
          <cell r="J220">
            <v>0</v>
          </cell>
          <cell r="K220">
            <v>0</v>
          </cell>
          <cell r="L220">
            <v>0</v>
          </cell>
          <cell r="M220">
            <v>0</v>
          </cell>
          <cell r="N220">
            <v>0</v>
          </cell>
          <cell r="O220">
            <v>0</v>
          </cell>
          <cell r="P220">
            <v>0</v>
          </cell>
        </row>
        <row r="221">
          <cell r="A221">
            <v>220</v>
          </cell>
          <cell r="B221">
            <v>4</v>
          </cell>
          <cell r="C221" t="str">
            <v>04.16</v>
          </cell>
          <cell r="E221">
            <v>0</v>
          </cell>
          <cell r="F221" t="str">
            <v>* REMOCAO DA ENSECADEIRAS</v>
          </cell>
          <cell r="H221">
            <v>0</v>
          </cell>
          <cell r="I221">
            <v>0</v>
          </cell>
          <cell r="J221">
            <v>0</v>
          </cell>
          <cell r="K221">
            <v>0</v>
          </cell>
          <cell r="L221">
            <v>0</v>
          </cell>
          <cell r="M221">
            <v>0</v>
          </cell>
          <cell r="N221">
            <v>0</v>
          </cell>
          <cell r="O221">
            <v>0</v>
          </cell>
          <cell r="P221">
            <v>0</v>
          </cell>
        </row>
        <row r="222">
          <cell r="A222">
            <v>221</v>
          </cell>
          <cell r="B222">
            <v>0</v>
          </cell>
          <cell r="C222" t="str">
            <v>04.16.01</v>
          </cell>
          <cell r="E222">
            <v>4011404</v>
          </cell>
          <cell r="F222" t="str">
            <v>REMOCAO ENSEC. DA USINA - MD - JUSANTE</v>
          </cell>
          <cell r="G222" t="str">
            <v>M3</v>
          </cell>
          <cell r="H222">
            <v>72000</v>
          </cell>
          <cell r="I222">
            <v>1</v>
          </cell>
          <cell r="J222">
            <v>1</v>
          </cell>
          <cell r="K222">
            <v>1</v>
          </cell>
          <cell r="L222">
            <v>1</v>
          </cell>
          <cell r="M222">
            <v>2.84</v>
          </cell>
          <cell r="N222">
            <v>204480</v>
          </cell>
          <cell r="O222">
            <v>2.84</v>
          </cell>
          <cell r="P222">
            <v>204480</v>
          </cell>
        </row>
        <row r="223">
          <cell r="A223">
            <v>222</v>
          </cell>
          <cell r="B223">
            <v>0</v>
          </cell>
          <cell r="C223" t="str">
            <v>04.16.02</v>
          </cell>
          <cell r="E223">
            <v>4011501</v>
          </cell>
          <cell r="F223" t="str">
            <v>REMOCAO ENSEC. JUS. PARCIAL - ELEV. 135 (SECO)</v>
          </cell>
          <cell r="G223" t="str">
            <v>M3</v>
          </cell>
          <cell r="H223">
            <v>194850</v>
          </cell>
          <cell r="I223">
            <v>1</v>
          </cell>
          <cell r="J223">
            <v>1</v>
          </cell>
          <cell r="K223">
            <v>1</v>
          </cell>
          <cell r="L223">
            <v>1</v>
          </cell>
          <cell r="M223">
            <v>2.96</v>
          </cell>
          <cell r="N223">
            <v>576756</v>
          </cell>
          <cell r="O223">
            <v>2.96</v>
          </cell>
          <cell r="P223">
            <v>576756</v>
          </cell>
        </row>
        <row r="224">
          <cell r="A224">
            <v>223</v>
          </cell>
          <cell r="B224">
            <v>0</v>
          </cell>
          <cell r="C224" t="str">
            <v>04.16.03</v>
          </cell>
          <cell r="E224">
            <v>4011608</v>
          </cell>
          <cell r="F224" t="str">
            <v>REMOCAO ENSEC. DO VERTED. 1A.FASE-PARCIAL (SECO)</v>
          </cell>
          <cell r="G224" t="str">
            <v>M3</v>
          </cell>
          <cell r="H224">
            <v>31600</v>
          </cell>
          <cell r="I224">
            <v>1</v>
          </cell>
          <cell r="J224">
            <v>1</v>
          </cell>
          <cell r="K224">
            <v>1</v>
          </cell>
          <cell r="L224">
            <v>1</v>
          </cell>
          <cell r="M224">
            <v>3.06</v>
          </cell>
          <cell r="N224">
            <v>96696</v>
          </cell>
          <cell r="O224">
            <v>3.06</v>
          </cell>
          <cell r="P224">
            <v>96696</v>
          </cell>
        </row>
        <row r="225">
          <cell r="A225">
            <v>224</v>
          </cell>
          <cell r="B225">
            <v>0</v>
          </cell>
          <cell r="C225" t="str">
            <v>04.16.04</v>
          </cell>
          <cell r="E225">
            <v>4011705</v>
          </cell>
          <cell r="F225" t="str">
            <v>REMOCAO ENSEC. DO VERTEDOURO - ME - SUBMERSA</v>
          </cell>
          <cell r="G225" t="str">
            <v>M3</v>
          </cell>
          <cell r="H225">
            <v>198700</v>
          </cell>
          <cell r="I225">
            <v>1</v>
          </cell>
          <cell r="J225">
            <v>1</v>
          </cell>
          <cell r="K225">
            <v>1</v>
          </cell>
          <cell r="L225">
            <v>1</v>
          </cell>
          <cell r="M225">
            <v>5.55</v>
          </cell>
          <cell r="N225">
            <v>1102785</v>
          </cell>
          <cell r="O225">
            <v>5.55</v>
          </cell>
          <cell r="P225">
            <v>1102785</v>
          </cell>
        </row>
        <row r="226">
          <cell r="A226">
            <v>225</v>
          </cell>
          <cell r="C226" t="str">
            <v>04.16.05</v>
          </cell>
          <cell r="E226">
            <v>4011750</v>
          </cell>
          <cell r="F226" t="str">
            <v>REMOCAO ENSEC. DO VERTEDOURO - ME - SECO</v>
          </cell>
          <cell r="G226" t="str">
            <v>M3</v>
          </cell>
          <cell r="H226">
            <v>537680</v>
          </cell>
          <cell r="I226">
            <v>1</v>
          </cell>
          <cell r="J226">
            <v>1</v>
          </cell>
          <cell r="K226">
            <v>1</v>
          </cell>
          <cell r="L226">
            <v>1</v>
          </cell>
          <cell r="M226">
            <v>4.2300000000000004</v>
          </cell>
          <cell r="N226">
            <v>2274386.4</v>
          </cell>
          <cell r="O226">
            <v>4.2300000000000004</v>
          </cell>
          <cell r="P226">
            <v>2274386.4</v>
          </cell>
        </row>
        <row r="227">
          <cell r="A227">
            <v>226</v>
          </cell>
          <cell r="B227">
            <v>0</v>
          </cell>
          <cell r="C227" t="str">
            <v>04.16.06</v>
          </cell>
          <cell r="E227">
            <v>4011802</v>
          </cell>
          <cell r="F227" t="str">
            <v>REMOCAO ENSEC. PARCIAL-MD-TRECHO CCR - SECO</v>
          </cell>
          <cell r="G227" t="str">
            <v>M3</v>
          </cell>
          <cell r="H227">
            <v>73550</v>
          </cell>
          <cell r="I227">
            <v>1</v>
          </cell>
          <cell r="J227">
            <v>1</v>
          </cell>
          <cell r="K227">
            <v>1</v>
          </cell>
          <cell r="L227">
            <v>1</v>
          </cell>
          <cell r="M227">
            <v>3.19</v>
          </cell>
          <cell r="N227">
            <v>234624.5</v>
          </cell>
          <cell r="O227">
            <v>3.19</v>
          </cell>
          <cell r="P227">
            <v>234624.5</v>
          </cell>
        </row>
        <row r="228">
          <cell r="A228">
            <v>227</v>
          </cell>
          <cell r="B228">
            <v>0</v>
          </cell>
          <cell r="C228" t="str">
            <v>04.16.07</v>
          </cell>
          <cell r="E228">
            <v>4011909</v>
          </cell>
          <cell r="F228" t="str">
            <v>REMOCAO ENSEC. DE MONTANTE - PARCIAL - ATE ELEV.140</v>
          </cell>
          <cell r="G228" t="str">
            <v>M3</v>
          </cell>
          <cell r="H228">
            <v>137900</v>
          </cell>
          <cell r="I228">
            <v>1</v>
          </cell>
          <cell r="J228">
            <v>1</v>
          </cell>
          <cell r="K228">
            <v>1</v>
          </cell>
          <cell r="L228">
            <v>1</v>
          </cell>
          <cell r="M228">
            <v>2.9</v>
          </cell>
          <cell r="N228">
            <v>399910</v>
          </cell>
          <cell r="O228">
            <v>2.9</v>
          </cell>
          <cell r="P228">
            <v>399910</v>
          </cell>
        </row>
        <row r="229">
          <cell r="A229">
            <v>228</v>
          </cell>
          <cell r="B229">
            <v>0</v>
          </cell>
          <cell r="C229" t="str">
            <v>04.16.08</v>
          </cell>
          <cell r="E229">
            <v>4012009</v>
          </cell>
          <cell r="F229" t="str">
            <v>REMOCAO ENSEC. 2A. FASE - SUBMERSA</v>
          </cell>
          <cell r="G229" t="str">
            <v>M3</v>
          </cell>
          <cell r="H229">
            <v>69000</v>
          </cell>
          <cell r="I229">
            <v>1</v>
          </cell>
          <cell r="J229">
            <v>1</v>
          </cell>
          <cell r="K229">
            <v>1</v>
          </cell>
          <cell r="L229">
            <v>1</v>
          </cell>
          <cell r="M229">
            <v>5.34</v>
          </cell>
          <cell r="N229">
            <v>368460</v>
          </cell>
          <cell r="O229">
            <v>5.34</v>
          </cell>
          <cell r="P229">
            <v>368460</v>
          </cell>
        </row>
        <row r="230">
          <cell r="A230">
            <v>229</v>
          </cell>
          <cell r="C230" t="str">
            <v>04.16.09</v>
          </cell>
          <cell r="E230">
            <v>4012021</v>
          </cell>
          <cell r="F230" t="str">
            <v>REMOCAO ENSEC. 2A. FASE -ATE NA - SECO</v>
          </cell>
          <cell r="G230" t="str">
            <v>M3</v>
          </cell>
          <cell r="H230">
            <v>320000</v>
          </cell>
          <cell r="I230">
            <v>1</v>
          </cell>
          <cell r="J230">
            <v>1</v>
          </cell>
          <cell r="K230">
            <v>1</v>
          </cell>
          <cell r="L230">
            <v>1</v>
          </cell>
          <cell r="M230">
            <v>2.96</v>
          </cell>
          <cell r="N230">
            <v>947200</v>
          </cell>
          <cell r="O230">
            <v>2.96</v>
          </cell>
          <cell r="P230">
            <v>947200</v>
          </cell>
        </row>
        <row r="231">
          <cell r="A231">
            <v>230</v>
          </cell>
          <cell r="B231">
            <v>8</v>
          </cell>
          <cell r="E231">
            <v>0</v>
          </cell>
          <cell r="H231">
            <v>0</v>
          </cell>
          <cell r="I231">
            <v>0</v>
          </cell>
          <cell r="J231">
            <v>0</v>
          </cell>
          <cell r="K231">
            <v>0</v>
          </cell>
          <cell r="L231">
            <v>0</v>
          </cell>
          <cell r="M231">
            <v>0</v>
          </cell>
          <cell r="N231">
            <v>0</v>
          </cell>
          <cell r="O231">
            <v>0</v>
          </cell>
          <cell r="P231">
            <v>0</v>
          </cell>
        </row>
        <row r="232">
          <cell r="A232">
            <v>231</v>
          </cell>
          <cell r="B232">
            <v>4</v>
          </cell>
          <cell r="C232" t="str">
            <v>04.17</v>
          </cell>
          <cell r="E232">
            <v>0</v>
          </cell>
          <cell r="F232" t="str">
            <v>* VEDACAO E ESGOTAMENTO DE ENSECADEIRA</v>
          </cell>
          <cell r="H232">
            <v>0</v>
          </cell>
          <cell r="I232">
            <v>0</v>
          </cell>
          <cell r="J232">
            <v>0</v>
          </cell>
          <cell r="K232">
            <v>0</v>
          </cell>
          <cell r="L232">
            <v>0</v>
          </cell>
          <cell r="M232">
            <v>0</v>
          </cell>
          <cell r="N232">
            <v>0</v>
          </cell>
          <cell r="O232">
            <v>0</v>
          </cell>
          <cell r="P232">
            <v>0</v>
          </cell>
        </row>
        <row r="233">
          <cell r="A233">
            <v>232</v>
          </cell>
          <cell r="B233">
            <v>0</v>
          </cell>
          <cell r="C233" t="str">
            <v>04.17.01</v>
          </cell>
          <cell r="E233">
            <v>4012106</v>
          </cell>
          <cell r="F233" t="str">
            <v>PAREDE DIAFRAGMA / JET GROUTING</v>
          </cell>
          <cell r="G233" t="str">
            <v>M2</v>
          </cell>
          <cell r="H233">
            <v>18000</v>
          </cell>
          <cell r="I233">
            <v>1</v>
          </cell>
          <cell r="J233">
            <v>1</v>
          </cell>
          <cell r="K233">
            <v>1</v>
          </cell>
          <cell r="L233">
            <v>1</v>
          </cell>
          <cell r="M233">
            <v>200</v>
          </cell>
          <cell r="N233">
            <v>3600000</v>
          </cell>
          <cell r="O233">
            <v>200</v>
          </cell>
          <cell r="P233">
            <v>3600000</v>
          </cell>
        </row>
        <row r="234">
          <cell r="A234">
            <v>233</v>
          </cell>
          <cell r="B234">
            <v>0</v>
          </cell>
          <cell r="C234" t="str">
            <v>04.17.02</v>
          </cell>
          <cell r="E234">
            <v>4012203</v>
          </cell>
          <cell r="F234" t="str">
            <v>ESGOTAMENTO E MANUTENCAO DE ENSECADEIRA</v>
          </cell>
          <cell r="G234" t="str">
            <v>VB</v>
          </cell>
          <cell r="H234">
            <v>1</v>
          </cell>
          <cell r="I234">
            <v>1</v>
          </cell>
          <cell r="J234">
            <v>1</v>
          </cell>
          <cell r="K234">
            <v>1</v>
          </cell>
          <cell r="L234">
            <v>1</v>
          </cell>
          <cell r="M234">
            <v>0.01</v>
          </cell>
          <cell r="N234">
            <v>0.01</v>
          </cell>
          <cell r="O234">
            <v>0.01</v>
          </cell>
          <cell r="P234">
            <v>0.01</v>
          </cell>
        </row>
        <row r="235">
          <cell r="A235">
            <v>234</v>
          </cell>
          <cell r="B235">
            <v>8</v>
          </cell>
          <cell r="E235">
            <v>0</v>
          </cell>
          <cell r="H235">
            <v>0</v>
          </cell>
          <cell r="I235">
            <v>0</v>
          </cell>
          <cell r="J235">
            <v>0</v>
          </cell>
          <cell r="K235">
            <v>0</v>
          </cell>
          <cell r="L235">
            <v>0</v>
          </cell>
          <cell r="M235">
            <v>0</v>
          </cell>
          <cell r="N235">
            <v>0</v>
          </cell>
          <cell r="O235">
            <v>0</v>
          </cell>
          <cell r="P235">
            <v>0</v>
          </cell>
        </row>
        <row r="236">
          <cell r="A236">
            <v>235</v>
          </cell>
          <cell r="B236">
            <v>2</v>
          </cell>
          <cell r="C236" t="str">
            <v>05</v>
          </cell>
          <cell r="E236">
            <v>0</v>
          </cell>
          <cell r="F236" t="str">
            <v>** CONCRETO</v>
          </cell>
          <cell r="H236">
            <v>0</v>
          </cell>
          <cell r="I236">
            <v>0</v>
          </cell>
          <cell r="J236">
            <v>0</v>
          </cell>
          <cell r="K236">
            <v>0</v>
          </cell>
          <cell r="L236">
            <v>0</v>
          </cell>
          <cell r="M236">
            <v>0</v>
          </cell>
          <cell r="N236">
            <v>0</v>
          </cell>
          <cell r="O236">
            <v>0</v>
          </cell>
          <cell r="P236">
            <v>0</v>
          </cell>
        </row>
        <row r="237">
          <cell r="A237">
            <v>236</v>
          </cell>
          <cell r="B237">
            <v>3</v>
          </cell>
          <cell r="C237" t="str">
            <v>05.01</v>
          </cell>
          <cell r="E237">
            <v>0</v>
          </cell>
          <cell r="F237" t="str">
            <v>*PREPARO E LANCAMENTO DE CONCRETO CONVENCIONAL</v>
          </cell>
          <cell r="H237">
            <v>0</v>
          </cell>
          <cell r="I237">
            <v>0</v>
          </cell>
          <cell r="J237">
            <v>0</v>
          </cell>
          <cell r="K237">
            <v>0</v>
          </cell>
          <cell r="L237">
            <v>0</v>
          </cell>
          <cell r="M237">
            <v>0</v>
          </cell>
          <cell r="N237">
            <v>0</v>
          </cell>
          <cell r="O237">
            <v>0</v>
          </cell>
          <cell r="P237">
            <v>0</v>
          </cell>
        </row>
        <row r="238">
          <cell r="A238">
            <v>237</v>
          </cell>
          <cell r="B238">
            <v>4</v>
          </cell>
          <cell r="C238" t="str">
            <v>05.01.01</v>
          </cell>
          <cell r="E238">
            <v>0</v>
          </cell>
          <cell r="F238" t="str">
            <v>CONCRETO VERTEDOURO</v>
          </cell>
          <cell r="H238">
            <v>0</v>
          </cell>
          <cell r="I238">
            <v>0</v>
          </cell>
          <cell r="J238">
            <v>0</v>
          </cell>
          <cell r="K238">
            <v>0</v>
          </cell>
          <cell r="L238">
            <v>0</v>
          </cell>
          <cell r="M238">
            <v>0</v>
          </cell>
          <cell r="N238">
            <v>0</v>
          </cell>
          <cell r="O238">
            <v>0</v>
          </cell>
          <cell r="P238">
            <v>0</v>
          </cell>
        </row>
        <row r="239">
          <cell r="A239">
            <v>238</v>
          </cell>
          <cell r="B239">
            <v>0</v>
          </cell>
          <cell r="C239" t="str">
            <v>05.01.01.01</v>
          </cell>
          <cell r="E239">
            <v>4012300</v>
          </cell>
          <cell r="F239" t="str">
            <v>CONCRETO P/REGULARIZACAO DE FUNDACOES/OVER BREAK</v>
          </cell>
          <cell r="G239" t="str">
            <v>M3</v>
          </cell>
          <cell r="H239">
            <v>17240</v>
          </cell>
          <cell r="I239">
            <v>1</v>
          </cell>
          <cell r="J239">
            <v>1</v>
          </cell>
          <cell r="K239">
            <v>1</v>
          </cell>
          <cell r="L239">
            <v>1</v>
          </cell>
          <cell r="M239">
            <v>166.01</v>
          </cell>
          <cell r="N239">
            <v>2862012.4</v>
          </cell>
          <cell r="O239">
            <v>166.01</v>
          </cell>
          <cell r="P239">
            <v>2862012.4</v>
          </cell>
        </row>
        <row r="240">
          <cell r="A240">
            <v>239</v>
          </cell>
          <cell r="B240">
            <v>0</v>
          </cell>
          <cell r="C240" t="str">
            <v>05.01.01.02</v>
          </cell>
          <cell r="E240">
            <v>4012407</v>
          </cell>
          <cell r="F240" t="str">
            <v>CONCRETO VERTEDOURO - OGIVA</v>
          </cell>
          <cell r="G240" t="str">
            <v>M3</v>
          </cell>
          <cell r="H240">
            <v>85285</v>
          </cell>
          <cell r="I240">
            <v>1</v>
          </cell>
          <cell r="J240">
            <v>1</v>
          </cell>
          <cell r="K240">
            <v>1</v>
          </cell>
          <cell r="L240">
            <v>1</v>
          </cell>
          <cell r="M240">
            <v>107.12</v>
          </cell>
          <cell r="N240">
            <v>9135729.1999999993</v>
          </cell>
          <cell r="O240">
            <v>107.12</v>
          </cell>
          <cell r="P240">
            <v>9135729.1999999993</v>
          </cell>
        </row>
        <row r="241">
          <cell r="A241">
            <v>240</v>
          </cell>
          <cell r="B241">
            <v>0</v>
          </cell>
          <cell r="C241" t="str">
            <v>05.01.01.03</v>
          </cell>
          <cell r="E241">
            <v>4012504</v>
          </cell>
          <cell r="F241" t="str">
            <v>CONCRETO VERTEDOURO - OGIVA - SUPERF.HIDRAULICA</v>
          </cell>
          <cell r="G241" t="str">
            <v>M3</v>
          </cell>
          <cell r="H241">
            <v>5313</v>
          </cell>
          <cell r="I241">
            <v>1</v>
          </cell>
          <cell r="J241">
            <v>1</v>
          </cell>
          <cell r="K241">
            <v>1</v>
          </cell>
          <cell r="L241">
            <v>1</v>
          </cell>
          <cell r="M241">
            <v>197.67</v>
          </cell>
          <cell r="N241">
            <v>1050220.71</v>
          </cell>
          <cell r="O241">
            <v>197.67</v>
          </cell>
          <cell r="P241">
            <v>1050220.71</v>
          </cell>
        </row>
        <row r="242">
          <cell r="A242">
            <v>241</v>
          </cell>
          <cell r="B242">
            <v>0</v>
          </cell>
          <cell r="C242" t="str">
            <v>05.01.01.04</v>
          </cell>
          <cell r="E242">
            <v>4012601</v>
          </cell>
          <cell r="F242" t="str">
            <v>CONCRETO VERTEDOURO - PILARES</v>
          </cell>
          <cell r="G242" t="str">
            <v>M3</v>
          </cell>
          <cell r="H242">
            <v>95599</v>
          </cell>
          <cell r="I242">
            <v>1</v>
          </cell>
          <cell r="J242">
            <v>1</v>
          </cell>
          <cell r="K242">
            <v>1</v>
          </cell>
          <cell r="L242">
            <v>1</v>
          </cell>
          <cell r="M242">
            <v>116.41</v>
          </cell>
          <cell r="N242">
            <v>11128679.59</v>
          </cell>
          <cell r="O242">
            <v>116.41</v>
          </cell>
          <cell r="P242">
            <v>11128679.59</v>
          </cell>
        </row>
        <row r="243">
          <cell r="A243">
            <v>242</v>
          </cell>
          <cell r="C243" t="str">
            <v>05.01.01.05</v>
          </cell>
          <cell r="E243">
            <v>4012623</v>
          </cell>
          <cell r="F243" t="str">
            <v>CONCRETO VERTEDOURO - PILARES - REGIAO PROTENSAO</v>
          </cell>
          <cell r="G243" t="str">
            <v>M3</v>
          </cell>
          <cell r="H243">
            <v>7244</v>
          </cell>
          <cell r="I243">
            <v>1</v>
          </cell>
          <cell r="J243">
            <v>1</v>
          </cell>
          <cell r="K243">
            <v>1</v>
          </cell>
          <cell r="L243">
            <v>1</v>
          </cell>
          <cell r="M243">
            <v>215.29</v>
          </cell>
          <cell r="N243">
            <v>1559560.76</v>
          </cell>
          <cell r="O243">
            <v>215.29</v>
          </cell>
          <cell r="P243">
            <v>1559560.76</v>
          </cell>
        </row>
        <row r="244">
          <cell r="A244">
            <v>243</v>
          </cell>
          <cell r="C244" t="str">
            <v>05.01.01.06</v>
          </cell>
          <cell r="E244">
            <v>4012645</v>
          </cell>
          <cell r="F244" t="str">
            <v>CONCRETO VERTEDOURO - PILARES - SUPERF.HIDR.</v>
          </cell>
          <cell r="G244" t="str">
            <v>M3</v>
          </cell>
          <cell r="H244">
            <v>15438</v>
          </cell>
          <cell r="I244">
            <v>1</v>
          </cell>
          <cell r="J244">
            <v>1</v>
          </cell>
          <cell r="K244">
            <v>1</v>
          </cell>
          <cell r="L244">
            <v>1</v>
          </cell>
          <cell r="M244">
            <v>191.55</v>
          </cell>
          <cell r="N244">
            <v>2957148.9</v>
          </cell>
          <cell r="O244">
            <v>191.55</v>
          </cell>
          <cell r="P244">
            <v>2957148.9</v>
          </cell>
        </row>
        <row r="245">
          <cell r="A245">
            <v>244</v>
          </cell>
          <cell r="B245">
            <v>0</v>
          </cell>
          <cell r="C245" t="str">
            <v>05.01.01.07</v>
          </cell>
          <cell r="E245">
            <v>4012708</v>
          </cell>
          <cell r="F245" t="str">
            <v>CONCRETO VERTEDOURO - PONTE COROAMENTO - TABULEIRO</v>
          </cell>
          <cell r="G245" t="str">
            <v>M3</v>
          </cell>
          <cell r="H245">
            <v>1313</v>
          </cell>
          <cell r="I245">
            <v>1</v>
          </cell>
          <cell r="J245">
            <v>1</v>
          </cell>
          <cell r="K245">
            <v>1</v>
          </cell>
          <cell r="L245">
            <v>1</v>
          </cell>
          <cell r="M245">
            <v>159.37</v>
          </cell>
          <cell r="N245">
            <v>209252.81</v>
          </cell>
          <cell r="O245">
            <v>159.37</v>
          </cell>
          <cell r="P245">
            <v>209252.81</v>
          </cell>
        </row>
        <row r="246">
          <cell r="A246">
            <v>245</v>
          </cell>
          <cell r="C246" t="str">
            <v>05.01.01.08</v>
          </cell>
          <cell r="E246">
            <v>4012720</v>
          </cell>
          <cell r="F246" t="str">
            <v>CONCRETO VERTEDOURO - PONTE COROAMENTO - PRE-MOLDADOS</v>
          </cell>
          <cell r="G246" t="str">
            <v>M3</v>
          </cell>
          <cell r="H246">
            <v>1770</v>
          </cell>
          <cell r="I246">
            <v>1</v>
          </cell>
          <cell r="J246">
            <v>1</v>
          </cell>
          <cell r="K246">
            <v>1</v>
          </cell>
          <cell r="L246">
            <v>1</v>
          </cell>
          <cell r="M246">
            <v>354.64</v>
          </cell>
          <cell r="N246">
            <v>627712.80000000005</v>
          </cell>
          <cell r="O246">
            <v>354.64</v>
          </cell>
          <cell r="P246">
            <v>627712.80000000005</v>
          </cell>
        </row>
        <row r="247">
          <cell r="A247">
            <v>246</v>
          </cell>
          <cell r="B247">
            <v>0</v>
          </cell>
          <cell r="C247" t="str">
            <v>05.01.01.09</v>
          </cell>
          <cell r="E247">
            <v>4012805</v>
          </cell>
          <cell r="F247" t="str">
            <v>CONCRETO VERTEDOURO - PONTE AUXILIAR JUSANTE</v>
          </cell>
          <cell r="G247" t="str">
            <v>M3</v>
          </cell>
          <cell r="H247">
            <v>816</v>
          </cell>
          <cell r="I247">
            <v>1</v>
          </cell>
          <cell r="J247">
            <v>1</v>
          </cell>
          <cell r="K247">
            <v>1</v>
          </cell>
          <cell r="L247">
            <v>1</v>
          </cell>
          <cell r="M247">
            <v>160.19</v>
          </cell>
          <cell r="N247">
            <v>130715.04</v>
          </cell>
          <cell r="O247">
            <v>160.19</v>
          </cell>
          <cell r="P247">
            <v>130715.04</v>
          </cell>
        </row>
        <row r="248">
          <cell r="A248">
            <v>247</v>
          </cell>
          <cell r="B248">
            <v>0</v>
          </cell>
          <cell r="C248" t="str">
            <v>05.01.01.10</v>
          </cell>
          <cell r="E248">
            <v>4012902</v>
          </cell>
          <cell r="F248" t="str">
            <v>CONCRETO VERTEDOURO - VIGA MUNHAO/PROTENDIDO</v>
          </cell>
          <cell r="G248" t="str">
            <v>M3</v>
          </cell>
          <cell r="H248">
            <v>3258</v>
          </cell>
          <cell r="I248">
            <v>1</v>
          </cell>
          <cell r="J248">
            <v>1</v>
          </cell>
          <cell r="K248">
            <v>1</v>
          </cell>
          <cell r="L248">
            <v>1</v>
          </cell>
          <cell r="M248">
            <v>218.59</v>
          </cell>
          <cell r="N248">
            <v>712166.22</v>
          </cell>
          <cell r="O248">
            <v>218.59</v>
          </cell>
          <cell r="P248">
            <v>712166.22</v>
          </cell>
        </row>
        <row r="249">
          <cell r="A249">
            <v>248</v>
          </cell>
          <cell r="B249">
            <v>0</v>
          </cell>
          <cell r="C249" t="str">
            <v>05.01.01.11</v>
          </cell>
          <cell r="E249">
            <v>4013002</v>
          </cell>
          <cell r="F249" t="str">
            <v>CONCRETO VERTEDOURO - SEGUNDO ESTAGIO</v>
          </cell>
          <cell r="G249" t="str">
            <v>M3</v>
          </cell>
          <cell r="H249">
            <v>1178</v>
          </cell>
          <cell r="I249">
            <v>1</v>
          </cell>
          <cell r="J249">
            <v>1</v>
          </cell>
          <cell r="K249">
            <v>1</v>
          </cell>
          <cell r="L249">
            <v>1</v>
          </cell>
          <cell r="M249">
            <v>162.96</v>
          </cell>
          <cell r="N249">
            <v>191966.88</v>
          </cell>
          <cell r="O249">
            <v>162.96</v>
          </cell>
          <cell r="P249">
            <v>191966.88</v>
          </cell>
        </row>
        <row r="250">
          <cell r="A250">
            <v>249</v>
          </cell>
          <cell r="B250">
            <v>0</v>
          </cell>
          <cell r="C250" t="str">
            <v>05.01.01.12</v>
          </cell>
          <cell r="E250">
            <v>4013109</v>
          </cell>
          <cell r="F250" t="str">
            <v>CONCRETO VERTEDOURO - VAOS REBAIXADOS-OGIVA</v>
          </cell>
          <cell r="G250" t="str">
            <v>M3</v>
          </cell>
          <cell r="H250">
            <v>7026</v>
          </cell>
          <cell r="I250">
            <v>1</v>
          </cell>
          <cell r="J250">
            <v>1</v>
          </cell>
          <cell r="K250">
            <v>1</v>
          </cell>
          <cell r="L250">
            <v>1</v>
          </cell>
          <cell r="M250">
            <v>154.82</v>
          </cell>
          <cell r="N250">
            <v>1087765.32</v>
          </cell>
          <cell r="O250">
            <v>154.82</v>
          </cell>
          <cell r="P250">
            <v>1087765.32</v>
          </cell>
        </row>
        <row r="251">
          <cell r="A251">
            <v>250</v>
          </cell>
          <cell r="B251">
            <v>0</v>
          </cell>
          <cell r="C251" t="str">
            <v>05.01.01.13</v>
          </cell>
          <cell r="E251">
            <v>4013206</v>
          </cell>
          <cell r="F251" t="str">
            <v>CONCRETO VERTEDOURO - VAOS REBAIXADOS-SUP.HIDR.</v>
          </cell>
          <cell r="G251" t="str">
            <v>M3</v>
          </cell>
          <cell r="H251">
            <v>631</v>
          </cell>
          <cell r="I251">
            <v>1</v>
          </cell>
          <cell r="J251">
            <v>1</v>
          </cell>
          <cell r="K251">
            <v>1</v>
          </cell>
          <cell r="L251">
            <v>1</v>
          </cell>
          <cell r="M251">
            <v>204.48</v>
          </cell>
          <cell r="N251">
            <v>129026.88</v>
          </cell>
          <cell r="O251">
            <v>204.48</v>
          </cell>
          <cell r="P251">
            <v>129026.88</v>
          </cell>
        </row>
        <row r="252">
          <cell r="A252">
            <v>251</v>
          </cell>
          <cell r="B252">
            <v>0</v>
          </cell>
          <cell r="C252" t="str">
            <v>05.01.01.14</v>
          </cell>
          <cell r="E252">
            <v>4013303</v>
          </cell>
          <cell r="F252" t="str">
            <v>CONCRETO VERTEDOURO - MUROS DE APROXIMACAO</v>
          </cell>
          <cell r="G252" t="str">
            <v>M3</v>
          </cell>
          <cell r="H252">
            <v>15100</v>
          </cell>
          <cell r="I252">
            <v>1</v>
          </cell>
          <cell r="J252">
            <v>1</v>
          </cell>
          <cell r="K252">
            <v>1</v>
          </cell>
          <cell r="L252">
            <v>1</v>
          </cell>
          <cell r="M252">
            <v>94.74</v>
          </cell>
          <cell r="N252">
            <v>1430574</v>
          </cell>
          <cell r="O252">
            <v>94.74</v>
          </cell>
          <cell r="P252">
            <v>1430574</v>
          </cell>
        </row>
        <row r="253">
          <cell r="A253">
            <v>252</v>
          </cell>
          <cell r="B253">
            <v>0</v>
          </cell>
          <cell r="C253" t="str">
            <v>05.01.01.15</v>
          </cell>
          <cell r="E253">
            <v>4013400</v>
          </cell>
          <cell r="F253" t="str">
            <v>CONCRETO BACIA VERT.- PARTE INFERIOR LAJE</v>
          </cell>
          <cell r="G253" t="str">
            <v>M3</v>
          </cell>
          <cell r="H253">
            <v>25063</v>
          </cell>
          <cell r="I253">
            <v>1</v>
          </cell>
          <cell r="J253">
            <v>1</v>
          </cell>
          <cell r="K253">
            <v>1</v>
          </cell>
          <cell r="L253">
            <v>1</v>
          </cell>
          <cell r="M253">
            <v>97.55</v>
          </cell>
          <cell r="N253">
            <v>2444895.65</v>
          </cell>
          <cell r="O253">
            <v>97.55</v>
          </cell>
          <cell r="P253">
            <v>2444895.65</v>
          </cell>
        </row>
        <row r="254">
          <cell r="A254">
            <v>253</v>
          </cell>
          <cell r="C254" t="str">
            <v>05.01.01.16</v>
          </cell>
          <cell r="E254">
            <v>4013422</v>
          </cell>
          <cell r="F254" t="str">
            <v>CONCRETO BACIA VERT.- MUROS</v>
          </cell>
          <cell r="G254" t="str">
            <v>M3</v>
          </cell>
          <cell r="H254">
            <v>3903</v>
          </cell>
          <cell r="I254">
            <v>1</v>
          </cell>
          <cell r="J254">
            <v>1</v>
          </cell>
          <cell r="K254">
            <v>1</v>
          </cell>
          <cell r="L254">
            <v>1</v>
          </cell>
          <cell r="M254">
            <v>104.53</v>
          </cell>
          <cell r="N254">
            <v>407980.59</v>
          </cell>
          <cell r="O254">
            <v>104.53</v>
          </cell>
          <cell r="P254">
            <v>407980.59</v>
          </cell>
        </row>
        <row r="255">
          <cell r="A255">
            <v>254</v>
          </cell>
          <cell r="B255">
            <v>0</v>
          </cell>
          <cell r="C255" t="str">
            <v>05.01.01.17</v>
          </cell>
          <cell r="E255">
            <v>4013507</v>
          </cell>
          <cell r="F255" t="str">
            <v>CONCRETO BACIA VERT.- SUPERFICIE HIDRAULICA</v>
          </cell>
          <cell r="G255" t="str">
            <v>M3</v>
          </cell>
          <cell r="H255">
            <v>8834</v>
          </cell>
          <cell r="I255">
            <v>1</v>
          </cell>
          <cell r="J255">
            <v>1</v>
          </cell>
          <cell r="K255">
            <v>1</v>
          </cell>
          <cell r="L255">
            <v>1</v>
          </cell>
          <cell r="M255">
            <v>194.72</v>
          </cell>
          <cell r="N255">
            <v>1720156.48</v>
          </cell>
          <cell r="O255">
            <v>194.72</v>
          </cell>
          <cell r="P255">
            <v>1720156.48</v>
          </cell>
        </row>
        <row r="256">
          <cell r="A256">
            <v>255</v>
          </cell>
          <cell r="B256">
            <v>0</v>
          </cell>
          <cell r="C256" t="str">
            <v>05.01.01.18</v>
          </cell>
          <cell r="E256">
            <v>4013604</v>
          </cell>
          <cell r="F256" t="str">
            <v>CONCRETO VERTEDOURO - PROTECAO MONTANTE/JUSANTE</v>
          </cell>
          <cell r="G256" t="str">
            <v>M3</v>
          </cell>
          <cell r="H256">
            <v>23400</v>
          </cell>
          <cell r="I256">
            <v>1</v>
          </cell>
          <cell r="J256">
            <v>1</v>
          </cell>
          <cell r="K256">
            <v>1</v>
          </cell>
          <cell r="L256">
            <v>1</v>
          </cell>
          <cell r="M256">
            <v>114.41</v>
          </cell>
          <cell r="N256">
            <v>2677194</v>
          </cell>
          <cell r="O256">
            <v>114.41</v>
          </cell>
          <cell r="P256">
            <v>2677194</v>
          </cell>
        </row>
        <row r="257">
          <cell r="A257">
            <v>256</v>
          </cell>
          <cell r="B257">
            <v>0</v>
          </cell>
          <cell r="C257" t="str">
            <v>05.01.01.19</v>
          </cell>
          <cell r="E257">
            <v>4013701</v>
          </cell>
          <cell r="F257" t="str">
            <v>CONCRETO VERTEDOURO - SUBSTITUICAO SAPROLITO</v>
          </cell>
          <cell r="G257" t="str">
            <v>M3</v>
          </cell>
          <cell r="H257">
            <v>2500</v>
          </cell>
          <cell r="I257">
            <v>1</v>
          </cell>
          <cell r="J257">
            <v>1</v>
          </cell>
          <cell r="K257">
            <v>1</v>
          </cell>
          <cell r="L257">
            <v>1</v>
          </cell>
          <cell r="M257">
            <v>145.5</v>
          </cell>
          <cell r="N257">
            <v>363750</v>
          </cell>
          <cell r="O257">
            <v>145.5</v>
          </cell>
          <cell r="P257">
            <v>363750</v>
          </cell>
        </row>
        <row r="258">
          <cell r="A258">
            <v>257</v>
          </cell>
          <cell r="B258">
            <v>8</v>
          </cell>
          <cell r="E258">
            <v>0</v>
          </cell>
          <cell r="H258">
            <v>0</v>
          </cell>
          <cell r="I258">
            <v>0</v>
          </cell>
          <cell r="J258">
            <v>0</v>
          </cell>
          <cell r="K258">
            <v>0</v>
          </cell>
          <cell r="L258">
            <v>0</v>
          </cell>
          <cell r="M258">
            <v>0</v>
          </cell>
          <cell r="N258">
            <v>0</v>
          </cell>
          <cell r="O258">
            <v>0</v>
          </cell>
          <cell r="P258">
            <v>0</v>
          </cell>
        </row>
        <row r="259">
          <cell r="A259">
            <v>258</v>
          </cell>
          <cell r="B259">
            <v>4</v>
          </cell>
          <cell r="C259" t="str">
            <v>05.01.02</v>
          </cell>
          <cell r="E259">
            <v>0</v>
          </cell>
          <cell r="F259" t="str">
            <v>CONCRETO CASA FORCA/TOMADA DAGUA/ AREA MONTAGEM</v>
          </cell>
          <cell r="H259">
            <v>0</v>
          </cell>
          <cell r="I259">
            <v>0</v>
          </cell>
          <cell r="J259">
            <v>0</v>
          </cell>
          <cell r="K259">
            <v>0</v>
          </cell>
          <cell r="L259">
            <v>0</v>
          </cell>
          <cell r="M259">
            <v>0</v>
          </cell>
          <cell r="N259">
            <v>0</v>
          </cell>
          <cell r="O259">
            <v>0</v>
          </cell>
          <cell r="P259">
            <v>0</v>
          </cell>
        </row>
        <row r="260">
          <cell r="A260">
            <v>259</v>
          </cell>
          <cell r="B260">
            <v>0</v>
          </cell>
          <cell r="C260" t="str">
            <v>05.01.02.01</v>
          </cell>
          <cell r="E260">
            <v>4013808</v>
          </cell>
          <cell r="F260" t="str">
            <v>CONCRETO P/REGULARIZACAO DE FUNDACOES/OVER BREAK</v>
          </cell>
          <cell r="G260" t="str">
            <v>M3</v>
          </cell>
          <cell r="H260">
            <v>11350</v>
          </cell>
          <cell r="I260">
            <v>1</v>
          </cell>
          <cell r="J260">
            <v>1</v>
          </cell>
          <cell r="K260">
            <v>1</v>
          </cell>
          <cell r="L260">
            <v>1</v>
          </cell>
          <cell r="M260">
            <v>128.97</v>
          </cell>
          <cell r="N260">
            <v>1463809.5</v>
          </cell>
          <cell r="O260">
            <v>128.97</v>
          </cell>
          <cell r="P260">
            <v>1463809.5</v>
          </cell>
        </row>
        <row r="261">
          <cell r="A261">
            <v>260</v>
          </cell>
          <cell r="B261">
            <v>0</v>
          </cell>
          <cell r="C261" t="str">
            <v>05.01.02.02</v>
          </cell>
          <cell r="E261">
            <v>4013905</v>
          </cell>
          <cell r="F261" t="str">
            <v>CONCRETO CF/TD/AM - T.DAGUA-SUP HIDRAULICA</v>
          </cell>
          <cell r="G261" t="str">
            <v>M3</v>
          </cell>
          <cell r="H261">
            <v>15960</v>
          </cell>
          <cell r="I261">
            <v>1</v>
          </cell>
          <cell r="J261">
            <v>1</v>
          </cell>
          <cell r="K261">
            <v>1</v>
          </cell>
          <cell r="L261">
            <v>1</v>
          </cell>
          <cell r="M261">
            <v>190.29</v>
          </cell>
          <cell r="N261">
            <v>3037028.4</v>
          </cell>
          <cell r="O261">
            <v>190.29</v>
          </cell>
          <cell r="P261">
            <v>3037028.4</v>
          </cell>
        </row>
        <row r="262">
          <cell r="A262">
            <v>261</v>
          </cell>
          <cell r="B262">
            <v>0</v>
          </cell>
          <cell r="C262" t="str">
            <v>05.01.02.03</v>
          </cell>
          <cell r="E262">
            <v>4014005</v>
          </cell>
          <cell r="F262" t="str">
            <v>CONCRETO CF/TD/AM - T.DAGUA-PAREDES</v>
          </cell>
          <cell r="G262" t="str">
            <v>M3</v>
          </cell>
          <cell r="H262">
            <v>128387</v>
          </cell>
          <cell r="I262">
            <v>1</v>
          </cell>
          <cell r="J262">
            <v>1</v>
          </cell>
          <cell r="K262">
            <v>1</v>
          </cell>
          <cell r="L262">
            <v>1</v>
          </cell>
          <cell r="M262">
            <v>112.2</v>
          </cell>
          <cell r="N262">
            <v>14405021.4</v>
          </cell>
          <cell r="O262">
            <v>112.2</v>
          </cell>
          <cell r="P262">
            <v>14405021.4</v>
          </cell>
        </row>
        <row r="263">
          <cell r="A263">
            <v>262</v>
          </cell>
          <cell r="B263">
            <v>0</v>
          </cell>
          <cell r="C263" t="str">
            <v>05.01.02.04</v>
          </cell>
          <cell r="E263">
            <v>4014027</v>
          </cell>
          <cell r="F263" t="str">
            <v>CONCRETO CF/TD/AM - T.DAGUA-PILARES</v>
          </cell>
          <cell r="G263" t="str">
            <v>M3</v>
          </cell>
          <cell r="H263">
            <v>2023</v>
          </cell>
          <cell r="I263">
            <v>1</v>
          </cell>
          <cell r="J263">
            <v>1</v>
          </cell>
          <cell r="K263">
            <v>1</v>
          </cell>
          <cell r="L263">
            <v>1</v>
          </cell>
          <cell r="M263">
            <v>150.5</v>
          </cell>
          <cell r="N263">
            <v>304461.5</v>
          </cell>
          <cell r="O263">
            <v>150.5</v>
          </cell>
          <cell r="P263">
            <v>304461.5</v>
          </cell>
        </row>
        <row r="264">
          <cell r="A264">
            <v>263</v>
          </cell>
          <cell r="B264">
            <v>0</v>
          </cell>
          <cell r="C264" t="str">
            <v>05.01.02.05</v>
          </cell>
          <cell r="E264">
            <v>4014102</v>
          </cell>
          <cell r="F264" t="str">
            <v>CONCRETO CF/TD/AM - T.DAGUA-LAJES</v>
          </cell>
          <cell r="G264" t="str">
            <v>M3</v>
          </cell>
          <cell r="H264">
            <v>9625</v>
          </cell>
          <cell r="I264">
            <v>1</v>
          </cell>
          <cell r="J264">
            <v>1</v>
          </cell>
          <cell r="K264">
            <v>1</v>
          </cell>
          <cell r="L264">
            <v>1</v>
          </cell>
          <cell r="M264">
            <v>134.79</v>
          </cell>
          <cell r="N264">
            <v>1297353.75</v>
          </cell>
          <cell r="O264">
            <v>134.79</v>
          </cell>
          <cell r="P264">
            <v>1297353.75</v>
          </cell>
        </row>
        <row r="265">
          <cell r="A265">
            <v>264</v>
          </cell>
          <cell r="B265">
            <v>0</v>
          </cell>
          <cell r="C265" t="str">
            <v>05.01.02.06</v>
          </cell>
          <cell r="E265">
            <v>4014209</v>
          </cell>
          <cell r="F265" t="str">
            <v>CONCRETO CF/TD/AM - T.DAGUA-PRE MOLDADOS</v>
          </cell>
          <cell r="G265" t="str">
            <v>M3</v>
          </cell>
          <cell r="H265">
            <v>805</v>
          </cell>
          <cell r="I265">
            <v>1</v>
          </cell>
          <cell r="J265">
            <v>1</v>
          </cell>
          <cell r="K265">
            <v>1</v>
          </cell>
          <cell r="L265">
            <v>1</v>
          </cell>
          <cell r="M265">
            <v>354.04</v>
          </cell>
          <cell r="N265">
            <v>285002.2</v>
          </cell>
          <cell r="O265">
            <v>354.04</v>
          </cell>
          <cell r="P265">
            <v>285002.2</v>
          </cell>
        </row>
        <row r="266">
          <cell r="A266">
            <v>265</v>
          </cell>
          <cell r="B266">
            <v>0</v>
          </cell>
          <cell r="C266" t="str">
            <v>05.01.02.07</v>
          </cell>
          <cell r="E266">
            <v>4014306</v>
          </cell>
          <cell r="F266" t="str">
            <v>CONCRETO CF/TD/AM - T.DAGUA-SEGUNDO ESTAGIO</v>
          </cell>
          <cell r="G266" t="str">
            <v>M3</v>
          </cell>
          <cell r="H266">
            <v>3903</v>
          </cell>
          <cell r="I266">
            <v>1</v>
          </cell>
          <cell r="J266">
            <v>1</v>
          </cell>
          <cell r="K266">
            <v>1</v>
          </cell>
          <cell r="L266">
            <v>1</v>
          </cell>
          <cell r="M266">
            <v>160.53</v>
          </cell>
          <cell r="N266">
            <v>626548.59</v>
          </cell>
          <cell r="O266">
            <v>160.53</v>
          </cell>
          <cell r="P266">
            <v>626548.59</v>
          </cell>
        </row>
        <row r="267">
          <cell r="A267">
            <v>266</v>
          </cell>
          <cell r="B267">
            <v>0</v>
          </cell>
          <cell r="C267" t="str">
            <v>05.01.02.08</v>
          </cell>
          <cell r="E267">
            <v>4014403</v>
          </cell>
          <cell r="F267" t="str">
            <v>CONCRETO CF/TD/AM - C.FORTE-SUP.HIDRAULICA</v>
          </cell>
          <cell r="G267" t="str">
            <v>M3</v>
          </cell>
          <cell r="H267">
            <v>13970</v>
          </cell>
          <cell r="I267">
            <v>1</v>
          </cell>
          <cell r="J267">
            <v>1</v>
          </cell>
          <cell r="K267">
            <v>1</v>
          </cell>
          <cell r="L267">
            <v>1</v>
          </cell>
          <cell r="M267">
            <v>186.53</v>
          </cell>
          <cell r="N267">
            <v>2605824.1</v>
          </cell>
          <cell r="O267">
            <v>186.53</v>
          </cell>
          <cell r="P267">
            <v>2605824.1</v>
          </cell>
        </row>
        <row r="268">
          <cell r="A268">
            <v>267</v>
          </cell>
          <cell r="B268">
            <v>0</v>
          </cell>
          <cell r="C268" t="str">
            <v>05.01.02.09</v>
          </cell>
          <cell r="E268">
            <v>4014500</v>
          </cell>
          <cell r="F268" t="str">
            <v>CONCRETO CF/TD/AM - C.FORTE-PAREDES</v>
          </cell>
          <cell r="G268" t="str">
            <v>M3</v>
          </cell>
          <cell r="H268">
            <v>109641</v>
          </cell>
          <cell r="I268">
            <v>1</v>
          </cell>
          <cell r="J268">
            <v>1</v>
          </cell>
          <cell r="K268">
            <v>1</v>
          </cell>
          <cell r="L268">
            <v>1</v>
          </cell>
          <cell r="M268">
            <v>113.51</v>
          </cell>
          <cell r="N268">
            <v>12445349.91</v>
          </cell>
          <cell r="O268">
            <v>113.51</v>
          </cell>
          <cell r="P268">
            <v>12445349.91</v>
          </cell>
        </row>
        <row r="269">
          <cell r="A269">
            <v>268</v>
          </cell>
          <cell r="B269">
            <v>0</v>
          </cell>
          <cell r="C269" t="str">
            <v>05.01.02.10</v>
          </cell>
          <cell r="E269">
            <v>4014522</v>
          </cell>
          <cell r="F269" t="str">
            <v>CONCRETO CF/TD/AM - C.FORTE-PILARES</v>
          </cell>
          <cell r="G269" t="str">
            <v>M3</v>
          </cell>
          <cell r="H269">
            <v>3847</v>
          </cell>
          <cell r="I269">
            <v>1</v>
          </cell>
          <cell r="J269">
            <v>1</v>
          </cell>
          <cell r="K269">
            <v>1</v>
          </cell>
          <cell r="L269">
            <v>1</v>
          </cell>
          <cell r="M269">
            <v>147.81</v>
          </cell>
          <cell r="N269">
            <v>568625.06999999995</v>
          </cell>
          <cell r="O269">
            <v>147.81</v>
          </cell>
          <cell r="P269">
            <v>568625.06999999995</v>
          </cell>
        </row>
        <row r="270">
          <cell r="A270">
            <v>269</v>
          </cell>
          <cell r="B270">
            <v>0</v>
          </cell>
          <cell r="C270" t="str">
            <v>05.01.02.11</v>
          </cell>
          <cell r="E270">
            <v>4014607</v>
          </cell>
          <cell r="F270" t="str">
            <v>CONCRETO CF/TD/AM - C.FORTE-LAJES</v>
          </cell>
          <cell r="G270" t="str">
            <v>M3</v>
          </cell>
          <cell r="H270">
            <v>14231</v>
          </cell>
          <cell r="I270">
            <v>1</v>
          </cell>
          <cell r="J270">
            <v>1</v>
          </cell>
          <cell r="K270">
            <v>1</v>
          </cell>
          <cell r="L270">
            <v>1</v>
          </cell>
          <cell r="M270">
            <v>136.27000000000001</v>
          </cell>
          <cell r="N270">
            <v>1939258.37</v>
          </cell>
          <cell r="O270">
            <v>136.27000000000001</v>
          </cell>
          <cell r="P270">
            <v>1939258.37</v>
          </cell>
        </row>
        <row r="271">
          <cell r="A271">
            <v>270</v>
          </cell>
          <cell r="B271">
            <v>0</v>
          </cell>
          <cell r="C271" t="str">
            <v>05.01.02.12</v>
          </cell>
          <cell r="E271">
            <v>4014704</v>
          </cell>
          <cell r="F271" t="str">
            <v>CONCRETO CF/TD/AM - C.FORTE-PRE MOLDADOS</v>
          </cell>
          <cell r="G271" t="str">
            <v>M3</v>
          </cell>
          <cell r="H271">
            <v>3105</v>
          </cell>
          <cell r="I271">
            <v>1</v>
          </cell>
          <cell r="J271">
            <v>1</v>
          </cell>
          <cell r="K271">
            <v>1</v>
          </cell>
          <cell r="L271">
            <v>1</v>
          </cell>
          <cell r="M271">
            <v>363.3</v>
          </cell>
          <cell r="N271">
            <v>1128046.5</v>
          </cell>
          <cell r="O271">
            <v>363.3</v>
          </cell>
          <cell r="P271">
            <v>1128046.5</v>
          </cell>
        </row>
        <row r="272">
          <cell r="A272">
            <v>271</v>
          </cell>
          <cell r="B272">
            <v>0</v>
          </cell>
          <cell r="C272" t="str">
            <v>05.01.02.13</v>
          </cell>
          <cell r="E272">
            <v>4014801</v>
          </cell>
          <cell r="F272" t="str">
            <v>CONCRETO CF/TD/AM - C.FORTE-2O.ESTAGIO</v>
          </cell>
          <cell r="G272" t="str">
            <v>M3</v>
          </cell>
          <cell r="H272">
            <v>2249</v>
          </cell>
          <cell r="I272">
            <v>1</v>
          </cell>
          <cell r="J272">
            <v>1</v>
          </cell>
          <cell r="K272">
            <v>1</v>
          </cell>
          <cell r="L272">
            <v>1</v>
          </cell>
          <cell r="M272">
            <v>158.01</v>
          </cell>
          <cell r="N272">
            <v>355364.49</v>
          </cell>
          <cell r="O272">
            <v>158.01</v>
          </cell>
          <cell r="P272">
            <v>355364.49</v>
          </cell>
        </row>
        <row r="273">
          <cell r="A273">
            <v>272</v>
          </cell>
          <cell r="B273">
            <v>0</v>
          </cell>
          <cell r="C273" t="str">
            <v>05.01.02.14</v>
          </cell>
          <cell r="E273">
            <v>4014908</v>
          </cell>
          <cell r="F273" t="str">
            <v>CONCRETO CF/TD/AM - NAVE-1O.ESTAGIO</v>
          </cell>
          <cell r="G273" t="str">
            <v>M3</v>
          </cell>
          <cell r="H273">
            <v>56497</v>
          </cell>
          <cell r="I273">
            <v>1</v>
          </cell>
          <cell r="J273">
            <v>1</v>
          </cell>
          <cell r="K273">
            <v>1</v>
          </cell>
          <cell r="L273">
            <v>1</v>
          </cell>
          <cell r="M273">
            <v>112.45</v>
          </cell>
          <cell r="N273">
            <v>6353087.6500000004</v>
          </cell>
          <cell r="O273">
            <v>112.45</v>
          </cell>
          <cell r="P273">
            <v>6353087.6500000004</v>
          </cell>
        </row>
        <row r="274">
          <cell r="A274">
            <v>273</v>
          </cell>
          <cell r="B274">
            <v>0</v>
          </cell>
          <cell r="C274" t="str">
            <v>05.01.02.15</v>
          </cell>
          <cell r="E274">
            <v>4015008</v>
          </cell>
          <cell r="F274" t="str">
            <v>CONCRETO CF/TD/AM - NAVE-2O.ESTAGIO</v>
          </cell>
          <cell r="G274" t="str">
            <v>M3</v>
          </cell>
          <cell r="H274">
            <v>92232</v>
          </cell>
          <cell r="I274">
            <v>1</v>
          </cell>
          <cell r="J274">
            <v>1</v>
          </cell>
          <cell r="K274">
            <v>1</v>
          </cell>
          <cell r="L274">
            <v>1</v>
          </cell>
          <cell r="M274">
            <v>184.3</v>
          </cell>
          <cell r="N274">
            <v>16998357.600000001</v>
          </cell>
          <cell r="O274">
            <v>184.3</v>
          </cell>
          <cell r="P274">
            <v>16998357.600000001</v>
          </cell>
        </row>
        <row r="275">
          <cell r="A275">
            <v>274</v>
          </cell>
          <cell r="B275">
            <v>0</v>
          </cell>
          <cell r="C275" t="str">
            <v>05.01.02.16</v>
          </cell>
          <cell r="E275">
            <v>4015105</v>
          </cell>
          <cell r="F275" t="str">
            <v>CONCRETO CF/TD/AM - NAVE-3O.ESTAGIO</v>
          </cell>
          <cell r="G275" t="str">
            <v>M3</v>
          </cell>
          <cell r="H275">
            <v>16989</v>
          </cell>
          <cell r="I275">
            <v>1</v>
          </cell>
          <cell r="J275">
            <v>1</v>
          </cell>
          <cell r="K275">
            <v>1</v>
          </cell>
          <cell r="L275">
            <v>1</v>
          </cell>
          <cell r="M275">
            <v>193.98</v>
          </cell>
          <cell r="N275">
            <v>3295526.22</v>
          </cell>
          <cell r="O275">
            <v>193.98</v>
          </cell>
          <cell r="P275">
            <v>3295526.22</v>
          </cell>
        </row>
        <row r="276">
          <cell r="A276">
            <v>275</v>
          </cell>
          <cell r="B276">
            <v>0</v>
          </cell>
          <cell r="C276" t="str">
            <v>05.01.02.17</v>
          </cell>
          <cell r="E276">
            <v>4015202</v>
          </cell>
          <cell r="F276" t="str">
            <v>CONCRETO CF/TD/AM - BLOCO LATERAL</v>
          </cell>
          <cell r="G276" t="str">
            <v>M3</v>
          </cell>
          <cell r="H276">
            <v>12066</v>
          </cell>
          <cell r="I276">
            <v>1</v>
          </cell>
          <cell r="J276">
            <v>1</v>
          </cell>
          <cell r="K276">
            <v>1</v>
          </cell>
          <cell r="L276">
            <v>1</v>
          </cell>
          <cell r="M276">
            <v>115.64</v>
          </cell>
          <cell r="N276">
            <v>1395312.24</v>
          </cell>
          <cell r="O276">
            <v>115.64</v>
          </cell>
          <cell r="P276">
            <v>1395312.24</v>
          </cell>
        </row>
        <row r="277">
          <cell r="A277">
            <v>276</v>
          </cell>
          <cell r="B277">
            <v>0</v>
          </cell>
          <cell r="C277" t="str">
            <v>05.01.02.18</v>
          </cell>
          <cell r="E277">
            <v>4015309</v>
          </cell>
          <cell r="F277" t="str">
            <v>CONCRETO CF/TD/AM - AREA DE MONTAGEM</v>
          </cell>
          <cell r="G277" t="str">
            <v>M3</v>
          </cell>
          <cell r="H277">
            <v>19477</v>
          </cell>
          <cell r="I277">
            <v>1</v>
          </cell>
          <cell r="J277">
            <v>1</v>
          </cell>
          <cell r="K277">
            <v>1</v>
          </cell>
          <cell r="L277">
            <v>1</v>
          </cell>
          <cell r="M277">
            <v>114.84</v>
          </cell>
          <cell r="N277">
            <v>2236738.6800000002</v>
          </cell>
          <cell r="O277">
            <v>114.84</v>
          </cell>
          <cell r="P277">
            <v>2236738.6800000002</v>
          </cell>
        </row>
        <row r="278">
          <cell r="A278">
            <v>277</v>
          </cell>
          <cell r="B278">
            <v>0</v>
          </cell>
          <cell r="C278" t="str">
            <v>05.01.02.19</v>
          </cell>
          <cell r="E278">
            <v>4015406</v>
          </cell>
          <cell r="F278" t="str">
            <v>CONCRETO CF/TD/AM - SUBSTITUICAO SAPROLITO</v>
          </cell>
          <cell r="G278" t="str">
            <v>M3</v>
          </cell>
          <cell r="H278">
            <v>1300</v>
          </cell>
          <cell r="I278">
            <v>1</v>
          </cell>
          <cell r="J278">
            <v>1</v>
          </cell>
          <cell r="K278">
            <v>1</v>
          </cell>
          <cell r="L278">
            <v>1</v>
          </cell>
          <cell r="M278">
            <v>117.65</v>
          </cell>
          <cell r="N278">
            <v>152945</v>
          </cell>
          <cell r="O278">
            <v>117.65</v>
          </cell>
          <cell r="P278">
            <v>152945</v>
          </cell>
        </row>
        <row r="279">
          <cell r="A279">
            <v>278</v>
          </cell>
          <cell r="B279">
            <v>8</v>
          </cell>
          <cell r="E279">
            <v>0</v>
          </cell>
          <cell r="H279">
            <v>0</v>
          </cell>
          <cell r="I279">
            <v>0</v>
          </cell>
          <cell r="J279">
            <v>0</v>
          </cell>
          <cell r="K279">
            <v>0</v>
          </cell>
          <cell r="L279">
            <v>0</v>
          </cell>
          <cell r="M279">
            <v>0</v>
          </cell>
          <cell r="N279">
            <v>0</v>
          </cell>
          <cell r="O279">
            <v>0</v>
          </cell>
          <cell r="P279">
            <v>0</v>
          </cell>
        </row>
        <row r="280">
          <cell r="A280">
            <v>279</v>
          </cell>
          <cell r="B280">
            <v>4</v>
          </cell>
          <cell r="C280" t="str">
            <v>05.01.03</v>
          </cell>
          <cell r="E280">
            <v>0</v>
          </cell>
          <cell r="F280" t="str">
            <v>CONCRETO BARRAGEM/ BLOCOS EM CCR</v>
          </cell>
          <cell r="H280">
            <v>0</v>
          </cell>
          <cell r="I280">
            <v>0</v>
          </cell>
          <cell r="J280">
            <v>0</v>
          </cell>
          <cell r="K280">
            <v>0</v>
          </cell>
          <cell r="L280">
            <v>0</v>
          </cell>
          <cell r="M280">
            <v>0</v>
          </cell>
          <cell r="N280">
            <v>0</v>
          </cell>
          <cell r="O280">
            <v>0</v>
          </cell>
          <cell r="P280">
            <v>0</v>
          </cell>
        </row>
        <row r="281">
          <cell r="A281">
            <v>280</v>
          </cell>
          <cell r="B281">
            <v>0</v>
          </cell>
          <cell r="C281" t="str">
            <v>05.01.03.01</v>
          </cell>
          <cell r="E281">
            <v>4015503</v>
          </cell>
          <cell r="F281" t="str">
            <v>CONCRETO P/REGULARIZACAO FUNDACAO/OVER BREAK</v>
          </cell>
          <cell r="G281" t="str">
            <v>M3</v>
          </cell>
          <cell r="H281">
            <v>2596</v>
          </cell>
          <cell r="I281">
            <v>1</v>
          </cell>
          <cell r="J281">
            <v>1</v>
          </cell>
          <cell r="K281">
            <v>1</v>
          </cell>
          <cell r="L281">
            <v>1</v>
          </cell>
          <cell r="M281">
            <v>124.89</v>
          </cell>
          <cell r="N281">
            <v>324214.44</v>
          </cell>
          <cell r="O281">
            <v>124.89</v>
          </cell>
          <cell r="P281">
            <v>324214.44</v>
          </cell>
        </row>
        <row r="282">
          <cell r="A282">
            <v>281</v>
          </cell>
          <cell r="B282">
            <v>0</v>
          </cell>
          <cell r="C282" t="str">
            <v>05.01.03.02</v>
          </cell>
          <cell r="E282">
            <v>4015600</v>
          </cell>
          <cell r="F282" t="str">
            <v>CONCRETO FACE - BARRAGEM CCR</v>
          </cell>
          <cell r="G282" t="str">
            <v>M3</v>
          </cell>
          <cell r="H282">
            <v>25114</v>
          </cell>
          <cell r="I282">
            <v>1</v>
          </cell>
          <cell r="J282">
            <v>1</v>
          </cell>
          <cell r="K282">
            <v>1</v>
          </cell>
          <cell r="L282">
            <v>1</v>
          </cell>
          <cell r="M282">
            <v>111.06</v>
          </cell>
          <cell r="N282">
            <v>2789160.84</v>
          </cell>
          <cell r="O282">
            <v>111.06</v>
          </cell>
          <cell r="P282">
            <v>2789160.84</v>
          </cell>
        </row>
        <row r="283">
          <cell r="A283">
            <v>282</v>
          </cell>
          <cell r="B283">
            <v>0</v>
          </cell>
          <cell r="C283" t="str">
            <v>05.01.03.03</v>
          </cell>
          <cell r="E283">
            <v>4015707</v>
          </cell>
          <cell r="F283" t="str">
            <v>CONCRETO COROAMENTO - BARRAGEM CCR</v>
          </cell>
          <cell r="G283" t="str">
            <v>M3</v>
          </cell>
          <cell r="H283">
            <v>2249</v>
          </cell>
          <cell r="I283">
            <v>1</v>
          </cell>
          <cell r="J283">
            <v>1</v>
          </cell>
          <cell r="K283">
            <v>1</v>
          </cell>
          <cell r="L283">
            <v>1</v>
          </cell>
          <cell r="M283">
            <v>172.86</v>
          </cell>
          <cell r="N283">
            <v>388762.14</v>
          </cell>
          <cell r="O283">
            <v>172.86</v>
          </cell>
          <cell r="P283">
            <v>388762.14</v>
          </cell>
        </row>
        <row r="284">
          <cell r="A284">
            <v>283</v>
          </cell>
          <cell r="B284">
            <v>0</v>
          </cell>
          <cell r="C284" t="str">
            <v>05.01.03.04</v>
          </cell>
          <cell r="E284">
            <v>4015804</v>
          </cell>
          <cell r="F284" t="str">
            <v>CONCRETO FACE BLOCOS MONTANTE AREA MONTAGEM</v>
          </cell>
          <cell r="G284" t="str">
            <v>M3</v>
          </cell>
          <cell r="H284">
            <v>2010</v>
          </cell>
          <cell r="I284">
            <v>1</v>
          </cell>
          <cell r="J284">
            <v>1</v>
          </cell>
          <cell r="K284">
            <v>1</v>
          </cell>
          <cell r="L284">
            <v>1</v>
          </cell>
          <cell r="M284">
            <v>164.75</v>
          </cell>
          <cell r="N284">
            <v>331147.5</v>
          </cell>
          <cell r="O284">
            <v>164.75</v>
          </cell>
          <cell r="P284">
            <v>331147.5</v>
          </cell>
        </row>
        <row r="285">
          <cell r="A285">
            <v>284</v>
          </cell>
          <cell r="B285">
            <v>0</v>
          </cell>
          <cell r="C285" t="str">
            <v>05.01.03.05</v>
          </cell>
          <cell r="E285">
            <v>4015901</v>
          </cell>
          <cell r="F285" t="str">
            <v>CONCRETO COROAMENTO - BLOCO MONTAGEM AREA DE MONTAGEM</v>
          </cell>
          <cell r="G285" t="str">
            <v>M3</v>
          </cell>
          <cell r="H285">
            <v>542</v>
          </cell>
          <cell r="I285">
            <v>1</v>
          </cell>
          <cell r="J285">
            <v>1</v>
          </cell>
          <cell r="K285">
            <v>1</v>
          </cell>
          <cell r="L285">
            <v>1</v>
          </cell>
          <cell r="M285">
            <v>172.86</v>
          </cell>
          <cell r="N285">
            <v>93690.12</v>
          </cell>
          <cell r="O285">
            <v>172.86</v>
          </cell>
          <cell r="P285">
            <v>93690.12</v>
          </cell>
        </row>
        <row r="286">
          <cell r="A286">
            <v>285</v>
          </cell>
          <cell r="B286">
            <v>0</v>
          </cell>
          <cell r="C286" t="str">
            <v>05.01.03.06</v>
          </cell>
          <cell r="E286">
            <v>4016001</v>
          </cell>
          <cell r="F286" t="str">
            <v>CONCRETO FACE BLOCOS - MONTAGEM DO BLOCO LATERAL</v>
          </cell>
          <cell r="G286" t="str">
            <v>M3</v>
          </cell>
          <cell r="H286">
            <v>381</v>
          </cell>
          <cell r="I286">
            <v>1</v>
          </cell>
          <cell r="J286">
            <v>1</v>
          </cell>
          <cell r="K286">
            <v>1</v>
          </cell>
          <cell r="L286">
            <v>1</v>
          </cell>
          <cell r="M286">
            <v>111.06</v>
          </cell>
          <cell r="N286">
            <v>42313.86</v>
          </cell>
          <cell r="O286">
            <v>111.06</v>
          </cell>
          <cell r="P286">
            <v>42313.86</v>
          </cell>
        </row>
        <row r="287">
          <cell r="A287">
            <v>286</v>
          </cell>
          <cell r="B287">
            <v>0</v>
          </cell>
          <cell r="C287" t="str">
            <v>05.01.03.07</v>
          </cell>
          <cell r="E287">
            <v>4016108</v>
          </cell>
          <cell r="F287" t="str">
            <v>CONCRETO COROAMENTO - BLOCO MONTANTE DO BLOCO LATERAL</v>
          </cell>
          <cell r="G287" t="str">
            <v>M3</v>
          </cell>
          <cell r="H287">
            <v>45</v>
          </cell>
          <cell r="I287">
            <v>1</v>
          </cell>
          <cell r="J287">
            <v>1</v>
          </cell>
          <cell r="K287">
            <v>1</v>
          </cell>
          <cell r="L287">
            <v>1</v>
          </cell>
          <cell r="M287">
            <v>172.86</v>
          </cell>
          <cell r="N287">
            <v>7778.7</v>
          </cell>
          <cell r="O287">
            <v>172.86</v>
          </cell>
          <cell r="P287">
            <v>7778.7</v>
          </cell>
        </row>
        <row r="288">
          <cell r="A288">
            <v>287</v>
          </cell>
          <cell r="B288">
            <v>8</v>
          </cell>
          <cell r="E288">
            <v>0</v>
          </cell>
          <cell r="H288">
            <v>0</v>
          </cell>
          <cell r="I288">
            <v>0</v>
          </cell>
          <cell r="J288">
            <v>0</v>
          </cell>
          <cell r="K288">
            <v>0</v>
          </cell>
          <cell r="L288">
            <v>0</v>
          </cell>
          <cell r="M288">
            <v>0</v>
          </cell>
          <cell r="N288">
            <v>0</v>
          </cell>
          <cell r="O288">
            <v>0</v>
          </cell>
          <cell r="P288">
            <v>0</v>
          </cell>
        </row>
        <row r="289">
          <cell r="A289">
            <v>288</v>
          </cell>
          <cell r="B289">
            <v>4</v>
          </cell>
          <cell r="C289" t="str">
            <v>05.01.04</v>
          </cell>
          <cell r="E289">
            <v>0</v>
          </cell>
          <cell r="F289" t="str">
            <v>CONCRETO PECAS PRE MOLDADAS</v>
          </cell>
          <cell r="H289">
            <v>0</v>
          </cell>
          <cell r="I289">
            <v>0</v>
          </cell>
          <cell r="J289">
            <v>0</v>
          </cell>
          <cell r="K289">
            <v>0</v>
          </cell>
          <cell r="L289">
            <v>0</v>
          </cell>
          <cell r="M289">
            <v>0</v>
          </cell>
          <cell r="N289">
            <v>0</v>
          </cell>
          <cell r="O289">
            <v>0</v>
          </cell>
          <cell r="P289">
            <v>0</v>
          </cell>
        </row>
        <row r="290">
          <cell r="A290">
            <v>289</v>
          </cell>
          <cell r="B290">
            <v>0</v>
          </cell>
          <cell r="C290" t="str">
            <v>05.01.04.01</v>
          </cell>
          <cell r="E290">
            <v>4016205</v>
          </cell>
          <cell r="F290" t="str">
            <v>CONCRETO PECAS PRE MOLDADAS - TOMADA DE AGUA</v>
          </cell>
          <cell r="G290" t="str">
            <v>M3</v>
          </cell>
          <cell r="H290">
            <v>1000</v>
          </cell>
          <cell r="I290">
            <v>1</v>
          </cell>
          <cell r="J290">
            <v>1</v>
          </cell>
          <cell r="K290">
            <v>1</v>
          </cell>
          <cell r="L290">
            <v>1</v>
          </cell>
          <cell r="M290">
            <v>353.54</v>
          </cell>
          <cell r="N290">
            <v>353540</v>
          </cell>
          <cell r="O290">
            <v>353.54</v>
          </cell>
          <cell r="P290">
            <v>353540</v>
          </cell>
        </row>
        <row r="291">
          <cell r="A291">
            <v>290</v>
          </cell>
          <cell r="B291">
            <v>0</v>
          </cell>
          <cell r="C291" t="str">
            <v>05.01.04.02</v>
          </cell>
          <cell r="E291">
            <v>4016302</v>
          </cell>
          <cell r="F291" t="str">
            <v>CONCRETO PECAS PRE MOLDADAS - CASA DE FORCA</v>
          </cell>
          <cell r="G291" t="str">
            <v>M3</v>
          </cell>
          <cell r="H291">
            <v>2000</v>
          </cell>
          <cell r="I291">
            <v>1</v>
          </cell>
          <cell r="J291">
            <v>1</v>
          </cell>
          <cell r="K291">
            <v>1</v>
          </cell>
          <cell r="L291">
            <v>1</v>
          </cell>
          <cell r="M291">
            <v>362.8</v>
          </cell>
          <cell r="N291">
            <v>725600</v>
          </cell>
          <cell r="O291">
            <v>362.8</v>
          </cell>
          <cell r="P291">
            <v>725600</v>
          </cell>
        </row>
        <row r="292">
          <cell r="A292">
            <v>291</v>
          </cell>
          <cell r="B292">
            <v>0</v>
          </cell>
          <cell r="C292" t="str">
            <v>05.01.04.03</v>
          </cell>
          <cell r="E292">
            <v>4016409</v>
          </cell>
          <cell r="F292" t="str">
            <v>CONCRETO PECAS PRE MOLDADAS - AREA DE MONTAGEM</v>
          </cell>
          <cell r="G292" t="str">
            <v>M3</v>
          </cell>
          <cell r="H292">
            <v>300</v>
          </cell>
          <cell r="I292">
            <v>1</v>
          </cell>
          <cell r="J292">
            <v>1</v>
          </cell>
          <cell r="K292">
            <v>1</v>
          </cell>
          <cell r="L292">
            <v>1</v>
          </cell>
          <cell r="M292">
            <v>356.2</v>
          </cell>
          <cell r="N292">
            <v>106860</v>
          </cell>
          <cell r="O292">
            <v>356.2</v>
          </cell>
          <cell r="P292">
            <v>106860</v>
          </cell>
        </row>
        <row r="293">
          <cell r="A293">
            <v>292</v>
          </cell>
          <cell r="B293">
            <v>0</v>
          </cell>
          <cell r="C293" t="str">
            <v>05.01.04.04</v>
          </cell>
          <cell r="E293">
            <v>4016506</v>
          </cell>
          <cell r="F293" t="str">
            <v>CONCRETO PECAS PRE MOLDADAS - GALERIAS DRENAGEM</v>
          </cell>
          <cell r="G293" t="str">
            <v>M3</v>
          </cell>
          <cell r="H293">
            <v>700</v>
          </cell>
          <cell r="I293">
            <v>1</v>
          </cell>
          <cell r="J293">
            <v>1</v>
          </cell>
          <cell r="K293">
            <v>1</v>
          </cell>
          <cell r="L293">
            <v>1</v>
          </cell>
          <cell r="M293">
            <v>410.27</v>
          </cell>
          <cell r="N293">
            <v>287189</v>
          </cell>
          <cell r="O293">
            <v>410.27</v>
          </cell>
          <cell r="P293">
            <v>287189</v>
          </cell>
        </row>
        <row r="294">
          <cell r="A294">
            <v>293</v>
          </cell>
          <cell r="B294">
            <v>0</v>
          </cell>
          <cell r="C294" t="str">
            <v>05.01.04.05</v>
          </cell>
          <cell r="E294">
            <v>4016603</v>
          </cell>
          <cell r="F294" t="str">
            <v>CONCRETO PECAS PRE MOLDADAS - GALERIAS CCR</v>
          </cell>
          <cell r="G294" t="str">
            <v>M3</v>
          </cell>
          <cell r="H294">
            <v>1000</v>
          </cell>
          <cell r="I294">
            <v>1</v>
          </cell>
          <cell r="J294">
            <v>1</v>
          </cell>
          <cell r="K294">
            <v>1</v>
          </cell>
          <cell r="L294">
            <v>1</v>
          </cell>
          <cell r="M294">
            <v>410.27</v>
          </cell>
          <cell r="N294">
            <v>410270</v>
          </cell>
          <cell r="O294">
            <v>410.27</v>
          </cell>
          <cell r="P294">
            <v>410270</v>
          </cell>
        </row>
        <row r="295">
          <cell r="A295">
            <v>294</v>
          </cell>
          <cell r="B295">
            <v>0</v>
          </cell>
          <cell r="C295" t="str">
            <v>05.01.04.06</v>
          </cell>
          <cell r="E295">
            <v>4016700</v>
          </cell>
          <cell r="F295" t="str">
            <v>CONCRETO PECAS PRE MOLDADAS - VERTEDOURO</v>
          </cell>
          <cell r="G295" t="str">
            <v>M3</v>
          </cell>
          <cell r="H295">
            <v>1000</v>
          </cell>
          <cell r="I295">
            <v>1</v>
          </cell>
          <cell r="J295">
            <v>1</v>
          </cell>
          <cell r="K295">
            <v>1</v>
          </cell>
          <cell r="L295">
            <v>1</v>
          </cell>
          <cell r="M295">
            <v>360.89</v>
          </cell>
          <cell r="N295">
            <v>360890</v>
          </cell>
          <cell r="O295">
            <v>360.89</v>
          </cell>
          <cell r="P295">
            <v>360890</v>
          </cell>
        </row>
        <row r="296">
          <cell r="A296">
            <v>295</v>
          </cell>
          <cell r="B296">
            <v>8</v>
          </cell>
          <cell r="E296">
            <v>0</v>
          </cell>
          <cell r="H296">
            <v>0</v>
          </cell>
          <cell r="I296">
            <v>0</v>
          </cell>
          <cell r="J296">
            <v>0</v>
          </cell>
          <cell r="K296">
            <v>0</v>
          </cell>
          <cell r="L296">
            <v>0</v>
          </cell>
          <cell r="M296">
            <v>0</v>
          </cell>
          <cell r="N296">
            <v>0</v>
          </cell>
          <cell r="O296">
            <v>0</v>
          </cell>
          <cell r="P296">
            <v>0</v>
          </cell>
        </row>
        <row r="297">
          <cell r="A297">
            <v>296</v>
          </cell>
          <cell r="B297">
            <v>3</v>
          </cell>
          <cell r="C297" t="str">
            <v>05.02</v>
          </cell>
          <cell r="E297">
            <v>0</v>
          </cell>
          <cell r="F297" t="str">
            <v>* PREPARO E LANCAMENTO CONCRETO CCR</v>
          </cell>
          <cell r="H297">
            <v>0</v>
          </cell>
          <cell r="I297">
            <v>0</v>
          </cell>
          <cell r="J297">
            <v>0</v>
          </cell>
          <cell r="K297">
            <v>0</v>
          </cell>
          <cell r="L297">
            <v>0</v>
          </cell>
          <cell r="M297">
            <v>0</v>
          </cell>
          <cell r="N297">
            <v>0</v>
          </cell>
          <cell r="O297">
            <v>0</v>
          </cell>
          <cell r="P297">
            <v>0</v>
          </cell>
        </row>
        <row r="298">
          <cell r="A298">
            <v>297</v>
          </cell>
          <cell r="B298">
            <v>0</v>
          </cell>
          <cell r="C298" t="str">
            <v>05.02.01</v>
          </cell>
          <cell r="E298">
            <v>4016807</v>
          </cell>
          <cell r="F298" t="str">
            <v>CONCRETO CCR - VERTEDOURO - OGIVA</v>
          </cell>
          <cell r="G298" t="str">
            <v>M3</v>
          </cell>
          <cell r="H298">
            <v>21487</v>
          </cell>
          <cell r="I298">
            <v>1</v>
          </cell>
          <cell r="J298">
            <v>1</v>
          </cell>
          <cell r="K298">
            <v>1</v>
          </cell>
          <cell r="L298">
            <v>1</v>
          </cell>
          <cell r="M298">
            <v>54.36</v>
          </cell>
          <cell r="N298">
            <v>1168033.32</v>
          </cell>
          <cell r="O298">
            <v>54.36</v>
          </cell>
          <cell r="P298">
            <v>1168033.32</v>
          </cell>
        </row>
        <row r="299">
          <cell r="A299">
            <v>298</v>
          </cell>
          <cell r="B299">
            <v>0</v>
          </cell>
          <cell r="C299" t="str">
            <v>05.02.02</v>
          </cell>
          <cell r="E299">
            <v>4016904</v>
          </cell>
          <cell r="F299" t="str">
            <v>CONCRETO CCR - VERTEDOURO - MURO BACIA DISSIPACAO</v>
          </cell>
          <cell r="G299" t="str">
            <v>M3</v>
          </cell>
          <cell r="H299">
            <v>7145</v>
          </cell>
          <cell r="I299">
            <v>1</v>
          </cell>
          <cell r="J299">
            <v>1</v>
          </cell>
          <cell r="K299">
            <v>1</v>
          </cell>
          <cell r="L299">
            <v>1</v>
          </cell>
          <cell r="M299">
            <v>54.36</v>
          </cell>
          <cell r="N299">
            <v>388402.2</v>
          </cell>
          <cell r="O299">
            <v>54.36</v>
          </cell>
          <cell r="P299">
            <v>388402.2</v>
          </cell>
        </row>
        <row r="300">
          <cell r="A300">
            <v>299</v>
          </cell>
          <cell r="B300">
            <v>0</v>
          </cell>
          <cell r="C300" t="str">
            <v>05.02.03</v>
          </cell>
          <cell r="E300">
            <v>4017004</v>
          </cell>
          <cell r="F300" t="str">
            <v>CONCRETO CCR - BARRAGEM CCR</v>
          </cell>
          <cell r="G300" t="str">
            <v>M3</v>
          </cell>
          <cell r="H300">
            <v>331147</v>
          </cell>
          <cell r="I300">
            <v>1</v>
          </cell>
          <cell r="J300">
            <v>1</v>
          </cell>
          <cell r="K300">
            <v>1</v>
          </cell>
          <cell r="L300">
            <v>1</v>
          </cell>
          <cell r="M300">
            <v>53.73</v>
          </cell>
          <cell r="N300">
            <v>17792528.309999999</v>
          </cell>
          <cell r="O300">
            <v>53.73</v>
          </cell>
          <cell r="P300">
            <v>17792528.309999999</v>
          </cell>
        </row>
        <row r="301">
          <cell r="A301">
            <v>300</v>
          </cell>
          <cell r="B301">
            <v>0</v>
          </cell>
          <cell r="C301" t="str">
            <v>05.02.04</v>
          </cell>
          <cell r="E301">
            <v>4017101</v>
          </cell>
          <cell r="F301" t="str">
            <v>CONCRETO CCR - BLOCOS MONTANTE AREA MONTAGEM</v>
          </cell>
          <cell r="G301" t="str">
            <v>M3</v>
          </cell>
          <cell r="H301">
            <v>14185</v>
          </cell>
          <cell r="I301">
            <v>1</v>
          </cell>
          <cell r="J301">
            <v>1</v>
          </cell>
          <cell r="K301">
            <v>1</v>
          </cell>
          <cell r="L301">
            <v>1</v>
          </cell>
          <cell r="M301">
            <v>54.36</v>
          </cell>
          <cell r="N301">
            <v>771096.6</v>
          </cell>
          <cell r="O301">
            <v>54.36</v>
          </cell>
          <cell r="P301">
            <v>771096.6</v>
          </cell>
        </row>
        <row r="302">
          <cell r="A302">
            <v>301</v>
          </cell>
          <cell r="B302">
            <v>0</v>
          </cell>
          <cell r="C302" t="str">
            <v>05.02.05</v>
          </cell>
          <cell r="E302">
            <v>4017208</v>
          </cell>
          <cell r="F302" t="str">
            <v>CONCRETO CCR - BLOCOS MONTANTE DO BLOCO LATERAL</v>
          </cell>
          <cell r="G302" t="str">
            <v>M3</v>
          </cell>
          <cell r="H302">
            <v>3674</v>
          </cell>
          <cell r="I302">
            <v>1</v>
          </cell>
          <cell r="J302">
            <v>1</v>
          </cell>
          <cell r="K302">
            <v>1</v>
          </cell>
          <cell r="L302">
            <v>1</v>
          </cell>
          <cell r="M302">
            <v>54.36</v>
          </cell>
          <cell r="N302">
            <v>199718.64</v>
          </cell>
          <cell r="O302">
            <v>54.36</v>
          </cell>
          <cell r="P302">
            <v>199718.64</v>
          </cell>
        </row>
        <row r="303">
          <cell r="A303">
            <v>302</v>
          </cell>
          <cell r="B303">
            <v>0</v>
          </cell>
          <cell r="C303" t="str">
            <v>05.02.06</v>
          </cell>
          <cell r="E303">
            <v>4017305</v>
          </cell>
          <cell r="F303" t="str">
            <v>ARGAMASSA DE LIGACAO PARA CCR</v>
          </cell>
          <cell r="G303" t="str">
            <v>M3</v>
          </cell>
          <cell r="H303">
            <v>3776</v>
          </cell>
          <cell r="I303">
            <v>1</v>
          </cell>
          <cell r="J303">
            <v>1</v>
          </cell>
          <cell r="K303">
            <v>1</v>
          </cell>
          <cell r="L303">
            <v>1</v>
          </cell>
          <cell r="M303">
            <v>193.24</v>
          </cell>
          <cell r="N303">
            <v>729674.23999999999</v>
          </cell>
          <cell r="O303">
            <v>193.24</v>
          </cell>
          <cell r="P303">
            <v>729674.23999999999</v>
          </cell>
        </row>
        <row r="304">
          <cell r="A304">
            <v>303</v>
          </cell>
          <cell r="B304">
            <v>0</v>
          </cell>
          <cell r="C304" t="str">
            <v>05.02.07</v>
          </cell>
          <cell r="E304">
            <v>4017402</v>
          </cell>
          <cell r="F304" t="str">
            <v>JUNTAS DE CONTRACAO PARA CCR</v>
          </cell>
          <cell r="G304" t="str">
            <v>M2</v>
          </cell>
          <cell r="H304">
            <v>25435</v>
          </cell>
          <cell r="I304">
            <v>1</v>
          </cell>
          <cell r="J304">
            <v>1</v>
          </cell>
          <cell r="K304">
            <v>1</v>
          </cell>
          <cell r="L304">
            <v>1</v>
          </cell>
          <cell r="M304">
            <v>12.48</v>
          </cell>
          <cell r="N304">
            <v>317428.8</v>
          </cell>
          <cell r="O304">
            <v>12.48</v>
          </cell>
          <cell r="P304">
            <v>317428.8</v>
          </cell>
        </row>
        <row r="305">
          <cell r="A305">
            <v>304</v>
          </cell>
          <cell r="B305">
            <v>8</v>
          </cell>
          <cell r="E305">
            <v>0</v>
          </cell>
          <cell r="H305">
            <v>0</v>
          </cell>
          <cell r="I305">
            <v>0</v>
          </cell>
          <cell r="J305">
            <v>0</v>
          </cell>
          <cell r="K305">
            <v>0</v>
          </cell>
          <cell r="L305">
            <v>0</v>
          </cell>
          <cell r="M305">
            <v>0</v>
          </cell>
          <cell r="N305">
            <v>0</v>
          </cell>
          <cell r="O305">
            <v>0</v>
          </cell>
          <cell r="P305">
            <v>0</v>
          </cell>
        </row>
        <row r="306">
          <cell r="A306">
            <v>305</v>
          </cell>
          <cell r="B306">
            <v>3</v>
          </cell>
          <cell r="C306" t="str">
            <v>05.03</v>
          </cell>
          <cell r="E306">
            <v>0</v>
          </cell>
          <cell r="F306" t="str">
            <v>* PREPARO E LANC CONCRETO PROJETADO A CEU ABERTO</v>
          </cell>
          <cell r="H306">
            <v>0</v>
          </cell>
          <cell r="I306">
            <v>0</v>
          </cell>
          <cell r="J306">
            <v>0</v>
          </cell>
          <cell r="K306">
            <v>0</v>
          </cell>
          <cell r="L306">
            <v>0</v>
          </cell>
          <cell r="M306">
            <v>0</v>
          </cell>
          <cell r="N306">
            <v>0</v>
          </cell>
          <cell r="O306">
            <v>0</v>
          </cell>
          <cell r="P306">
            <v>0</v>
          </cell>
        </row>
        <row r="307">
          <cell r="A307">
            <v>306</v>
          </cell>
          <cell r="B307">
            <v>0</v>
          </cell>
          <cell r="C307" t="str">
            <v>05.03.01</v>
          </cell>
          <cell r="E307">
            <v>4017509</v>
          </cell>
          <cell r="F307" t="str">
            <v>PREP E LANC CONCR PROJ CEU ABERTO -COM FIBRAS</v>
          </cell>
          <cell r="G307" t="str">
            <v>M3</v>
          </cell>
          <cell r="H307">
            <v>350</v>
          </cell>
          <cell r="I307">
            <v>1</v>
          </cell>
          <cell r="J307">
            <v>1</v>
          </cell>
          <cell r="K307">
            <v>1</v>
          </cell>
          <cell r="L307">
            <v>1</v>
          </cell>
          <cell r="M307">
            <v>455.54</v>
          </cell>
          <cell r="N307">
            <v>159439</v>
          </cell>
          <cell r="O307">
            <v>455.54</v>
          </cell>
          <cell r="P307">
            <v>159439</v>
          </cell>
        </row>
        <row r="308">
          <cell r="A308">
            <v>307</v>
          </cell>
          <cell r="B308">
            <v>8</v>
          </cell>
          <cell r="E308">
            <v>0</v>
          </cell>
          <cell r="H308">
            <v>0</v>
          </cell>
          <cell r="I308">
            <v>0</v>
          </cell>
          <cell r="J308">
            <v>0</v>
          </cell>
          <cell r="K308">
            <v>0</v>
          </cell>
          <cell r="L308">
            <v>0</v>
          </cell>
          <cell r="M308">
            <v>0</v>
          </cell>
          <cell r="N308">
            <v>0</v>
          </cell>
          <cell r="O308">
            <v>0</v>
          </cell>
          <cell r="P308">
            <v>0</v>
          </cell>
        </row>
        <row r="309">
          <cell r="A309">
            <v>308</v>
          </cell>
          <cell r="B309">
            <v>3</v>
          </cell>
          <cell r="C309" t="str">
            <v>05.04</v>
          </cell>
          <cell r="E309">
            <v>0</v>
          </cell>
          <cell r="F309" t="str">
            <v>* ARMADURAS PARA CONCRETO</v>
          </cell>
          <cell r="H309">
            <v>0</v>
          </cell>
          <cell r="I309">
            <v>0</v>
          </cell>
          <cell r="J309">
            <v>0</v>
          </cell>
          <cell r="K309">
            <v>0</v>
          </cell>
          <cell r="L309">
            <v>0</v>
          </cell>
          <cell r="M309">
            <v>0</v>
          </cell>
          <cell r="N309">
            <v>0</v>
          </cell>
          <cell r="O309">
            <v>0</v>
          </cell>
          <cell r="P309">
            <v>0</v>
          </cell>
        </row>
        <row r="310">
          <cell r="A310">
            <v>309</v>
          </cell>
          <cell r="B310">
            <v>0</v>
          </cell>
          <cell r="C310" t="str">
            <v>05.04.01</v>
          </cell>
          <cell r="E310">
            <v>4017606</v>
          </cell>
          <cell r="F310" t="str">
            <v>ARMADURAS VERTED.-OGIVA/MUROS/PILARES</v>
          </cell>
          <cell r="G310" t="str">
            <v>T</v>
          </cell>
          <cell r="H310">
            <v>6448</v>
          </cell>
          <cell r="I310">
            <v>1</v>
          </cell>
          <cell r="J310">
            <v>1</v>
          </cell>
          <cell r="K310">
            <v>1</v>
          </cell>
          <cell r="L310">
            <v>1</v>
          </cell>
          <cell r="M310">
            <v>1898.99</v>
          </cell>
          <cell r="N310">
            <v>12244687.52</v>
          </cell>
          <cell r="O310">
            <v>1898.99</v>
          </cell>
          <cell r="P310">
            <v>12244687.52</v>
          </cell>
        </row>
        <row r="311">
          <cell r="A311">
            <v>310</v>
          </cell>
          <cell r="B311">
            <v>0</v>
          </cell>
          <cell r="C311" t="str">
            <v>05.04.02</v>
          </cell>
          <cell r="E311">
            <v>4017703</v>
          </cell>
          <cell r="F311" t="str">
            <v>ARMADURAS VERTED.-BACIA DISSIPACAO</v>
          </cell>
          <cell r="G311" t="str">
            <v>T</v>
          </cell>
          <cell r="H311">
            <v>907</v>
          </cell>
          <cell r="I311">
            <v>1</v>
          </cell>
          <cell r="J311">
            <v>1</v>
          </cell>
          <cell r="K311">
            <v>1</v>
          </cell>
          <cell r="L311">
            <v>1</v>
          </cell>
          <cell r="M311">
            <v>1898.99</v>
          </cell>
          <cell r="N311">
            <v>1722383.93</v>
          </cell>
          <cell r="O311">
            <v>1898.99</v>
          </cell>
          <cell r="P311">
            <v>1722383.93</v>
          </cell>
        </row>
        <row r="312">
          <cell r="A312">
            <v>311</v>
          </cell>
          <cell r="B312">
            <v>0</v>
          </cell>
          <cell r="C312" t="str">
            <v>05.04.03</v>
          </cell>
          <cell r="E312">
            <v>4017800</v>
          </cell>
          <cell r="F312" t="str">
            <v>ARMADURAS VERTED.-COMPLEM.VAOS REBAIXADOS</v>
          </cell>
          <cell r="G312" t="str">
            <v>T</v>
          </cell>
          <cell r="H312">
            <v>207</v>
          </cell>
          <cell r="I312">
            <v>1</v>
          </cell>
          <cell r="J312">
            <v>1</v>
          </cell>
          <cell r="K312">
            <v>1</v>
          </cell>
          <cell r="L312">
            <v>1</v>
          </cell>
          <cell r="M312">
            <v>1898.99</v>
          </cell>
          <cell r="N312">
            <v>393090.93</v>
          </cell>
          <cell r="O312">
            <v>1898.99</v>
          </cell>
          <cell r="P312">
            <v>393090.93</v>
          </cell>
        </row>
        <row r="313">
          <cell r="A313">
            <v>312</v>
          </cell>
          <cell r="B313">
            <v>0</v>
          </cell>
          <cell r="C313" t="str">
            <v>05.04.04</v>
          </cell>
          <cell r="E313">
            <v>4017907</v>
          </cell>
          <cell r="F313" t="str">
            <v>ARMADURAS VERTED.-PONTE AUXILIAR JUSANTE</v>
          </cell>
          <cell r="G313" t="str">
            <v>T</v>
          </cell>
          <cell r="H313">
            <v>82</v>
          </cell>
          <cell r="I313">
            <v>1</v>
          </cell>
          <cell r="J313">
            <v>1</v>
          </cell>
          <cell r="K313">
            <v>1</v>
          </cell>
          <cell r="L313">
            <v>1</v>
          </cell>
          <cell r="M313">
            <v>1898.99</v>
          </cell>
          <cell r="N313">
            <v>155717.18</v>
          </cell>
          <cell r="O313">
            <v>1898.99</v>
          </cell>
          <cell r="P313">
            <v>155717.18</v>
          </cell>
        </row>
        <row r="314">
          <cell r="A314">
            <v>313</v>
          </cell>
          <cell r="B314">
            <v>0</v>
          </cell>
          <cell r="C314" t="str">
            <v>05.04.05</v>
          </cell>
          <cell r="E314">
            <v>4018007</v>
          </cell>
          <cell r="F314" t="str">
            <v>ARMADURAS PROTECAO VERTEDOURO</v>
          </cell>
          <cell r="G314" t="str">
            <v>T</v>
          </cell>
          <cell r="H314">
            <v>177</v>
          </cell>
          <cell r="I314">
            <v>1</v>
          </cell>
          <cell r="J314">
            <v>1</v>
          </cell>
          <cell r="K314">
            <v>1</v>
          </cell>
          <cell r="L314">
            <v>1</v>
          </cell>
          <cell r="M314">
            <v>1898.99</v>
          </cell>
          <cell r="N314">
            <v>336121.23</v>
          </cell>
          <cell r="O314">
            <v>1898.99</v>
          </cell>
          <cell r="P314">
            <v>336121.23</v>
          </cell>
        </row>
        <row r="315">
          <cell r="A315">
            <v>314</v>
          </cell>
          <cell r="B315">
            <v>0</v>
          </cell>
          <cell r="C315" t="str">
            <v>05.04.06</v>
          </cell>
          <cell r="E315">
            <v>4018104</v>
          </cell>
          <cell r="F315" t="str">
            <v>ARMADURAS CASA DE FORCA/TOMADA D`AGUA</v>
          </cell>
          <cell r="G315" t="str">
            <v>T</v>
          </cell>
          <cell r="H315">
            <v>31740</v>
          </cell>
          <cell r="I315">
            <v>1</v>
          </cell>
          <cell r="J315">
            <v>1</v>
          </cell>
          <cell r="K315">
            <v>1</v>
          </cell>
          <cell r="L315">
            <v>1</v>
          </cell>
          <cell r="M315">
            <v>1925.34</v>
          </cell>
          <cell r="N315">
            <v>61110291.600000001</v>
          </cell>
          <cell r="O315">
            <v>1925.34</v>
          </cell>
          <cell r="P315">
            <v>61110291.600000001</v>
          </cell>
        </row>
        <row r="316">
          <cell r="A316">
            <v>315</v>
          </cell>
          <cell r="B316">
            <v>0</v>
          </cell>
          <cell r="C316" t="str">
            <v>05.04.07</v>
          </cell>
          <cell r="E316">
            <v>4018201</v>
          </cell>
          <cell r="F316" t="str">
            <v>ARMADURAS AREA DE MONTAGEM</v>
          </cell>
          <cell r="G316" t="str">
            <v>T</v>
          </cell>
          <cell r="H316">
            <v>1123</v>
          </cell>
          <cell r="I316">
            <v>1</v>
          </cell>
          <cell r="J316">
            <v>1</v>
          </cell>
          <cell r="K316">
            <v>1</v>
          </cell>
          <cell r="L316">
            <v>1</v>
          </cell>
          <cell r="M316">
            <v>1978.04</v>
          </cell>
          <cell r="N316">
            <v>2221338.92</v>
          </cell>
          <cell r="O316">
            <v>1978.04</v>
          </cell>
          <cell r="P316">
            <v>2221338.92</v>
          </cell>
        </row>
        <row r="317">
          <cell r="A317">
            <v>316</v>
          </cell>
          <cell r="B317">
            <v>0</v>
          </cell>
          <cell r="C317" t="str">
            <v>05.04.08</v>
          </cell>
          <cell r="E317">
            <v>4018308</v>
          </cell>
          <cell r="F317" t="str">
            <v>ARMADURAS BLOCO LATERAL DIREITO/MURO</v>
          </cell>
          <cell r="G317" t="str">
            <v>T</v>
          </cell>
          <cell r="H317">
            <v>784</v>
          </cell>
          <cell r="I317">
            <v>1</v>
          </cell>
          <cell r="J317">
            <v>1</v>
          </cell>
          <cell r="K317">
            <v>1</v>
          </cell>
          <cell r="L317">
            <v>1</v>
          </cell>
          <cell r="M317">
            <v>1925.34</v>
          </cell>
          <cell r="N317">
            <v>1509466.56</v>
          </cell>
          <cell r="O317">
            <v>1925.34</v>
          </cell>
          <cell r="P317">
            <v>1509466.56</v>
          </cell>
        </row>
        <row r="318">
          <cell r="A318">
            <v>317</v>
          </cell>
          <cell r="B318">
            <v>0</v>
          </cell>
          <cell r="C318" t="str">
            <v>05.04.09</v>
          </cell>
          <cell r="E318">
            <v>4018405</v>
          </cell>
          <cell r="F318" t="str">
            <v>ARMADURAS BARRAGEM CCR</v>
          </cell>
          <cell r="G318" t="str">
            <v>T</v>
          </cell>
          <cell r="H318">
            <v>132</v>
          </cell>
          <cell r="I318">
            <v>1</v>
          </cell>
          <cell r="J318">
            <v>1</v>
          </cell>
          <cell r="K318">
            <v>1</v>
          </cell>
          <cell r="L318">
            <v>1</v>
          </cell>
          <cell r="M318">
            <v>1925.34</v>
          </cell>
          <cell r="N318">
            <v>254144.88</v>
          </cell>
          <cell r="O318">
            <v>1925.34</v>
          </cell>
          <cell r="P318">
            <v>254144.88</v>
          </cell>
        </row>
        <row r="319">
          <cell r="A319">
            <v>318</v>
          </cell>
          <cell r="B319">
            <v>0</v>
          </cell>
          <cell r="C319" t="str">
            <v>05.04.10</v>
          </cell>
          <cell r="E319">
            <v>4018502</v>
          </cell>
          <cell r="F319" t="str">
            <v>ARMADURAS BLOCOS MONTANTE AREA MONTAGEM</v>
          </cell>
          <cell r="G319" t="str">
            <v>T</v>
          </cell>
          <cell r="H319">
            <v>26</v>
          </cell>
          <cell r="I319">
            <v>1</v>
          </cell>
          <cell r="J319">
            <v>1</v>
          </cell>
          <cell r="K319">
            <v>1</v>
          </cell>
          <cell r="L319">
            <v>1</v>
          </cell>
          <cell r="M319">
            <v>1925.34</v>
          </cell>
          <cell r="N319">
            <v>50058.84</v>
          </cell>
          <cell r="O319">
            <v>1925.34</v>
          </cell>
          <cell r="P319">
            <v>50058.84</v>
          </cell>
        </row>
        <row r="320">
          <cell r="A320">
            <v>319</v>
          </cell>
          <cell r="B320">
            <v>0</v>
          </cell>
          <cell r="C320" t="str">
            <v>05.04.11</v>
          </cell>
          <cell r="E320">
            <v>4018609</v>
          </cell>
          <cell r="F320" t="str">
            <v>ARMADURAS MURO ACESSO AREA DE MONTAGEM</v>
          </cell>
          <cell r="G320" t="str">
            <v>T</v>
          </cell>
          <cell r="H320">
            <v>143</v>
          </cell>
          <cell r="I320">
            <v>1</v>
          </cell>
          <cell r="J320">
            <v>1</v>
          </cell>
          <cell r="K320">
            <v>1</v>
          </cell>
          <cell r="L320">
            <v>1</v>
          </cell>
          <cell r="M320">
            <v>1925.34</v>
          </cell>
          <cell r="N320">
            <v>275323.62</v>
          </cell>
          <cell r="O320">
            <v>1925.34</v>
          </cell>
          <cell r="P320">
            <v>275323.62</v>
          </cell>
        </row>
        <row r="321">
          <cell r="A321">
            <v>320</v>
          </cell>
          <cell r="B321">
            <v>0</v>
          </cell>
          <cell r="C321" t="str">
            <v>05.04.12</v>
          </cell>
          <cell r="E321">
            <v>4018706</v>
          </cell>
          <cell r="F321" t="str">
            <v>ARMADURAS BLOCO DE MONTANTE DO BLOCO LATERAL</v>
          </cell>
          <cell r="G321" t="str">
            <v>T</v>
          </cell>
          <cell r="H321">
            <v>4</v>
          </cell>
          <cell r="I321">
            <v>1</v>
          </cell>
          <cell r="J321">
            <v>1</v>
          </cell>
          <cell r="K321">
            <v>1</v>
          </cell>
          <cell r="L321">
            <v>1</v>
          </cell>
          <cell r="M321">
            <v>1925.34</v>
          </cell>
          <cell r="N321">
            <v>7701.36</v>
          </cell>
          <cell r="O321">
            <v>1925.34</v>
          </cell>
          <cell r="P321">
            <v>7701.36</v>
          </cell>
        </row>
        <row r="322">
          <cell r="A322">
            <v>321</v>
          </cell>
          <cell r="B322">
            <v>0</v>
          </cell>
          <cell r="C322" t="str">
            <v>05.04.13</v>
          </cell>
          <cell r="E322">
            <v>4018803</v>
          </cell>
          <cell r="F322" t="str">
            <v>ARMADURAS PARA PREMOLDADOS</v>
          </cell>
          <cell r="G322" t="str">
            <v>T</v>
          </cell>
          <cell r="H322">
            <v>600</v>
          </cell>
          <cell r="I322">
            <v>1</v>
          </cell>
          <cell r="J322">
            <v>1</v>
          </cell>
          <cell r="K322">
            <v>1</v>
          </cell>
          <cell r="L322">
            <v>1</v>
          </cell>
          <cell r="M322">
            <v>2030.74</v>
          </cell>
          <cell r="N322">
            <v>1218444</v>
          </cell>
          <cell r="O322">
            <v>2030.74</v>
          </cell>
          <cell r="P322">
            <v>1218444</v>
          </cell>
        </row>
        <row r="323">
          <cell r="A323">
            <v>322</v>
          </cell>
          <cell r="B323">
            <v>8</v>
          </cell>
          <cell r="E323">
            <v>0</v>
          </cell>
          <cell r="H323">
            <v>0</v>
          </cell>
          <cell r="I323">
            <v>0</v>
          </cell>
          <cell r="J323">
            <v>0</v>
          </cell>
          <cell r="K323">
            <v>0</v>
          </cell>
          <cell r="L323">
            <v>0</v>
          </cell>
          <cell r="M323">
            <v>0</v>
          </cell>
          <cell r="N323">
            <v>0</v>
          </cell>
          <cell r="O323">
            <v>0</v>
          </cell>
          <cell r="P323">
            <v>0</v>
          </cell>
        </row>
        <row r="324">
          <cell r="A324">
            <v>323</v>
          </cell>
          <cell r="B324">
            <v>3</v>
          </cell>
          <cell r="C324" t="str">
            <v>05.05</v>
          </cell>
          <cell r="E324">
            <v>0</v>
          </cell>
          <cell r="F324" t="str">
            <v>* ACO DE PROTENSAO</v>
          </cell>
          <cell r="H324">
            <v>0</v>
          </cell>
          <cell r="I324">
            <v>0</v>
          </cell>
          <cell r="J324">
            <v>0</v>
          </cell>
          <cell r="K324">
            <v>0</v>
          </cell>
          <cell r="L324">
            <v>0</v>
          </cell>
          <cell r="M324">
            <v>0</v>
          </cell>
          <cell r="N324">
            <v>0</v>
          </cell>
          <cell r="O324">
            <v>0</v>
          </cell>
          <cell r="P324">
            <v>0</v>
          </cell>
        </row>
        <row r="325">
          <cell r="A325">
            <v>324</v>
          </cell>
          <cell r="B325">
            <v>0</v>
          </cell>
          <cell r="C325" t="str">
            <v>05.05.01</v>
          </cell>
          <cell r="E325">
            <v>4018900</v>
          </cell>
          <cell r="F325" t="str">
            <v>ACO CP PARA PROTENSAO DO VERTEDOURO</v>
          </cell>
          <cell r="G325" t="str">
            <v>T</v>
          </cell>
          <cell r="H325">
            <v>561</v>
          </cell>
          <cell r="I325">
            <v>1</v>
          </cell>
          <cell r="J325">
            <v>1</v>
          </cell>
          <cell r="K325">
            <v>1</v>
          </cell>
          <cell r="L325">
            <v>1</v>
          </cell>
          <cell r="M325">
            <v>8363.16</v>
          </cell>
          <cell r="N325">
            <v>4691732.76</v>
          </cell>
          <cell r="O325">
            <v>8363.16</v>
          </cell>
          <cell r="P325">
            <v>4691732.76</v>
          </cell>
        </row>
        <row r="326">
          <cell r="A326">
            <v>325</v>
          </cell>
          <cell r="B326">
            <v>8</v>
          </cell>
          <cell r="E326">
            <v>0</v>
          </cell>
          <cell r="H326">
            <v>0</v>
          </cell>
          <cell r="I326">
            <v>0</v>
          </cell>
          <cell r="J326">
            <v>0</v>
          </cell>
          <cell r="K326">
            <v>0</v>
          </cell>
          <cell r="L326">
            <v>0</v>
          </cell>
          <cell r="M326">
            <v>0</v>
          </cell>
          <cell r="N326">
            <v>0</v>
          </cell>
          <cell r="O326">
            <v>0</v>
          </cell>
          <cell r="P326">
            <v>0</v>
          </cell>
        </row>
        <row r="327">
          <cell r="A327">
            <v>326</v>
          </cell>
          <cell r="B327">
            <v>3</v>
          </cell>
          <cell r="C327" t="str">
            <v>05.06</v>
          </cell>
          <cell r="E327">
            <v>0</v>
          </cell>
          <cell r="F327" t="str">
            <v>* FORNECIMENTO E MONTAGEM DE FORMAS</v>
          </cell>
          <cell r="H327">
            <v>0</v>
          </cell>
          <cell r="I327">
            <v>0</v>
          </cell>
          <cell r="J327">
            <v>0</v>
          </cell>
          <cell r="K327">
            <v>0</v>
          </cell>
          <cell r="L327">
            <v>0</v>
          </cell>
          <cell r="M327">
            <v>0</v>
          </cell>
          <cell r="N327">
            <v>0</v>
          </cell>
          <cell r="O327">
            <v>0</v>
          </cell>
          <cell r="P327">
            <v>0</v>
          </cell>
        </row>
        <row r="328">
          <cell r="A328">
            <v>327</v>
          </cell>
          <cell r="B328">
            <v>4</v>
          </cell>
          <cell r="C328" t="str">
            <v>05.06.01</v>
          </cell>
          <cell r="E328">
            <v>0</v>
          </cell>
          <cell r="F328" t="str">
            <v>FORMAS VERTEDOURO</v>
          </cell>
          <cell r="H328">
            <v>0</v>
          </cell>
          <cell r="I328">
            <v>0</v>
          </cell>
          <cell r="J328">
            <v>0</v>
          </cell>
          <cell r="K328">
            <v>0</v>
          </cell>
          <cell r="L328">
            <v>0</v>
          </cell>
          <cell r="M328">
            <v>0</v>
          </cell>
          <cell r="N328">
            <v>0</v>
          </cell>
          <cell r="O328">
            <v>0</v>
          </cell>
          <cell r="P328">
            <v>0</v>
          </cell>
        </row>
        <row r="329">
          <cell r="A329">
            <v>328</v>
          </cell>
          <cell r="B329">
            <v>0</v>
          </cell>
          <cell r="C329" t="str">
            <v>05.06.01.01</v>
          </cell>
          <cell r="E329">
            <v>4019000</v>
          </cell>
          <cell r="F329" t="str">
            <v>FORMAS VERTEDOURO - MADEIRA IN LOCO</v>
          </cell>
          <cell r="G329" t="str">
            <v>M2</v>
          </cell>
          <cell r="H329">
            <v>2445</v>
          </cell>
          <cell r="I329">
            <v>1</v>
          </cell>
          <cell r="J329">
            <v>1</v>
          </cell>
          <cell r="K329">
            <v>1</v>
          </cell>
          <cell r="L329">
            <v>1</v>
          </cell>
          <cell r="M329">
            <v>96.15</v>
          </cell>
          <cell r="N329">
            <v>235086.75</v>
          </cell>
          <cell r="O329">
            <v>96.15</v>
          </cell>
          <cell r="P329">
            <v>235086.75</v>
          </cell>
        </row>
        <row r="330">
          <cell r="A330">
            <v>329</v>
          </cell>
          <cell r="B330">
            <v>0</v>
          </cell>
          <cell r="C330" t="str">
            <v>05.06.01.02</v>
          </cell>
          <cell r="E330">
            <v>4019107</v>
          </cell>
          <cell r="F330" t="str">
            <v>FORMAS VERTEDOURO - PLANA DE MADEIRA</v>
          </cell>
          <cell r="G330" t="str">
            <v>M2</v>
          </cell>
          <cell r="H330">
            <v>15016</v>
          </cell>
          <cell r="I330">
            <v>1</v>
          </cell>
          <cell r="J330">
            <v>1</v>
          </cell>
          <cell r="K330">
            <v>1</v>
          </cell>
          <cell r="L330">
            <v>1</v>
          </cell>
          <cell r="M330">
            <v>104.88</v>
          </cell>
          <cell r="N330">
            <v>1574878.08</v>
          </cell>
          <cell r="O330">
            <v>104.88</v>
          </cell>
          <cell r="P330">
            <v>1574878.08</v>
          </cell>
        </row>
        <row r="331">
          <cell r="A331">
            <v>330</v>
          </cell>
          <cell r="B331">
            <v>0</v>
          </cell>
          <cell r="C331" t="str">
            <v>05.06.01.03</v>
          </cell>
          <cell r="E331">
            <v>4019204</v>
          </cell>
          <cell r="F331" t="str">
            <v>FORMAS VERTEDOURO - PLANA METALICA</v>
          </cell>
          <cell r="G331" t="str">
            <v>M2</v>
          </cell>
          <cell r="H331">
            <v>32714</v>
          </cell>
          <cell r="I331">
            <v>1</v>
          </cell>
          <cell r="J331">
            <v>1</v>
          </cell>
          <cell r="K331">
            <v>1</v>
          </cell>
          <cell r="L331">
            <v>1</v>
          </cell>
          <cell r="M331">
            <v>81.430000000000007</v>
          </cell>
          <cell r="N331">
            <v>2663901.02</v>
          </cell>
          <cell r="O331">
            <v>81.430000000000007</v>
          </cell>
          <cell r="P331">
            <v>2663901.02</v>
          </cell>
        </row>
        <row r="332">
          <cell r="A332">
            <v>331</v>
          </cell>
          <cell r="B332">
            <v>0</v>
          </cell>
          <cell r="C332" t="str">
            <v>05.06.01.04</v>
          </cell>
          <cell r="E332">
            <v>4019301</v>
          </cell>
          <cell r="F332" t="str">
            <v>FORMAS VERTEDOURO - REGUA DESLIZANTE</v>
          </cell>
          <cell r="G332" t="str">
            <v>M2</v>
          </cell>
          <cell r="H332">
            <v>14691</v>
          </cell>
          <cell r="I332">
            <v>1</v>
          </cell>
          <cell r="J332">
            <v>1</v>
          </cell>
          <cell r="K332">
            <v>1</v>
          </cell>
          <cell r="L332">
            <v>1</v>
          </cell>
          <cell r="M332">
            <v>23.72</v>
          </cell>
          <cell r="N332">
            <v>348470.52</v>
          </cell>
          <cell r="O332">
            <v>23.72</v>
          </cell>
          <cell r="P332">
            <v>348470.52</v>
          </cell>
        </row>
        <row r="333">
          <cell r="A333">
            <v>332</v>
          </cell>
          <cell r="B333">
            <v>0</v>
          </cell>
          <cell r="C333" t="str">
            <v>05.06.01.05</v>
          </cell>
          <cell r="E333">
            <v>4019408</v>
          </cell>
          <cell r="F333" t="str">
            <v>FORMAS VERTEDOUTO - PRE MOLDADA</v>
          </cell>
          <cell r="G333" t="str">
            <v>M2</v>
          </cell>
          <cell r="H333">
            <v>4345</v>
          </cell>
          <cell r="I333">
            <v>1</v>
          </cell>
          <cell r="J333">
            <v>1</v>
          </cell>
          <cell r="K333">
            <v>1</v>
          </cell>
          <cell r="L333">
            <v>1</v>
          </cell>
          <cell r="M333">
            <v>63.86</v>
          </cell>
          <cell r="N333">
            <v>277471.7</v>
          </cell>
          <cell r="O333">
            <v>63.86</v>
          </cell>
          <cell r="P333">
            <v>277471.7</v>
          </cell>
        </row>
        <row r="334">
          <cell r="A334">
            <v>333</v>
          </cell>
          <cell r="B334">
            <v>0</v>
          </cell>
          <cell r="C334" t="str">
            <v>05.06.01.06</v>
          </cell>
          <cell r="E334">
            <v>4019505</v>
          </cell>
          <cell r="F334" t="str">
            <v>FORMAS VERTEDOUTO - DESLIZANTE</v>
          </cell>
          <cell r="G334" t="str">
            <v>M2</v>
          </cell>
          <cell r="H334">
            <v>21500</v>
          </cell>
          <cell r="I334">
            <v>1</v>
          </cell>
          <cell r="J334">
            <v>1</v>
          </cell>
          <cell r="K334">
            <v>1</v>
          </cell>
          <cell r="L334">
            <v>1</v>
          </cell>
          <cell r="M334">
            <v>83.4</v>
          </cell>
          <cell r="N334">
            <v>1793100</v>
          </cell>
          <cell r="O334">
            <v>83.4</v>
          </cell>
          <cell r="P334">
            <v>1793100</v>
          </cell>
        </row>
        <row r="335">
          <cell r="A335">
            <v>334</v>
          </cell>
          <cell r="B335">
            <v>0</v>
          </cell>
          <cell r="C335" t="str">
            <v>05.06.01.07</v>
          </cell>
          <cell r="E335">
            <v>4019602</v>
          </cell>
          <cell r="F335" t="str">
            <v>FORMAS VERTEDOURO - TELA EXPANDIDA</v>
          </cell>
          <cell r="G335" t="str">
            <v>M2</v>
          </cell>
          <cell r="H335">
            <v>8890</v>
          </cell>
          <cell r="I335">
            <v>1</v>
          </cell>
          <cell r="J335">
            <v>1</v>
          </cell>
          <cell r="K335">
            <v>1</v>
          </cell>
          <cell r="L335">
            <v>1</v>
          </cell>
          <cell r="M335">
            <v>84.74</v>
          </cell>
          <cell r="N335">
            <v>753338.6</v>
          </cell>
          <cell r="O335">
            <v>84.74</v>
          </cell>
          <cell r="P335">
            <v>753338.6</v>
          </cell>
        </row>
        <row r="336">
          <cell r="A336">
            <v>335</v>
          </cell>
          <cell r="B336">
            <v>0</v>
          </cell>
          <cell r="C336" t="str">
            <v>05.06.01.08</v>
          </cell>
          <cell r="E336">
            <v>4019709</v>
          </cell>
          <cell r="F336" t="str">
            <v>FORMAS VRT BACIA - MADEIRA IN LOCO</v>
          </cell>
          <cell r="G336" t="str">
            <v>M2</v>
          </cell>
          <cell r="H336">
            <v>736</v>
          </cell>
          <cell r="I336">
            <v>1</v>
          </cell>
          <cell r="J336">
            <v>1</v>
          </cell>
          <cell r="K336">
            <v>1</v>
          </cell>
          <cell r="L336">
            <v>1</v>
          </cell>
          <cell r="M336">
            <v>95.39</v>
          </cell>
          <cell r="N336">
            <v>70207.039999999994</v>
          </cell>
          <cell r="O336">
            <v>95.39</v>
          </cell>
          <cell r="P336">
            <v>70207.039999999994</v>
          </cell>
        </row>
        <row r="337">
          <cell r="A337">
            <v>336</v>
          </cell>
          <cell r="B337">
            <v>0</v>
          </cell>
          <cell r="C337" t="str">
            <v>05.06.01.09</v>
          </cell>
          <cell r="E337">
            <v>4019806</v>
          </cell>
          <cell r="F337" t="str">
            <v>FORMAS VRT BACIA - PLANA DE MADEIRA</v>
          </cell>
          <cell r="G337" t="str">
            <v>M2</v>
          </cell>
          <cell r="H337">
            <v>1455</v>
          </cell>
          <cell r="I337">
            <v>1</v>
          </cell>
          <cell r="J337">
            <v>1</v>
          </cell>
          <cell r="K337">
            <v>1</v>
          </cell>
          <cell r="L337">
            <v>1</v>
          </cell>
          <cell r="M337">
            <v>104.22</v>
          </cell>
          <cell r="N337">
            <v>151640.1</v>
          </cell>
          <cell r="O337">
            <v>104.22</v>
          </cell>
          <cell r="P337">
            <v>151640.1</v>
          </cell>
        </row>
        <row r="338">
          <cell r="A338">
            <v>337</v>
          </cell>
          <cell r="B338">
            <v>0</v>
          </cell>
          <cell r="C338" t="str">
            <v>05.06.01.10</v>
          </cell>
          <cell r="E338">
            <v>4019903</v>
          </cell>
          <cell r="F338" t="str">
            <v>FORMAS VRT BACIA - PLANA METALICA</v>
          </cell>
          <cell r="G338" t="str">
            <v>M2</v>
          </cell>
          <cell r="H338">
            <v>3948</v>
          </cell>
          <cell r="I338">
            <v>1</v>
          </cell>
          <cell r="J338">
            <v>1</v>
          </cell>
          <cell r="K338">
            <v>1</v>
          </cell>
          <cell r="L338">
            <v>1</v>
          </cell>
          <cell r="M338">
            <v>82.75</v>
          </cell>
          <cell r="N338">
            <v>326697</v>
          </cell>
          <cell r="O338">
            <v>82.75</v>
          </cell>
          <cell r="P338">
            <v>326697</v>
          </cell>
        </row>
        <row r="339">
          <cell r="A339">
            <v>338</v>
          </cell>
          <cell r="B339">
            <v>0</v>
          </cell>
          <cell r="C339" t="str">
            <v>05.06.01.11</v>
          </cell>
          <cell r="E339">
            <v>4020004</v>
          </cell>
          <cell r="F339" t="str">
            <v>FORMAS VRT BACIA - REGUA DESLIZANTE</v>
          </cell>
          <cell r="G339" t="str">
            <v>M2</v>
          </cell>
          <cell r="H339">
            <v>3975</v>
          </cell>
          <cell r="I339">
            <v>1</v>
          </cell>
          <cell r="J339">
            <v>1</v>
          </cell>
          <cell r="K339">
            <v>1</v>
          </cell>
          <cell r="L339">
            <v>1</v>
          </cell>
          <cell r="M339">
            <v>23.7</v>
          </cell>
          <cell r="N339">
            <v>94207.5</v>
          </cell>
          <cell r="O339">
            <v>23.7</v>
          </cell>
          <cell r="P339">
            <v>94207.5</v>
          </cell>
        </row>
        <row r="340">
          <cell r="A340">
            <v>339</v>
          </cell>
          <cell r="B340">
            <v>0</v>
          </cell>
          <cell r="C340" t="str">
            <v>05.06.01.12</v>
          </cell>
          <cell r="E340">
            <v>4020101</v>
          </cell>
          <cell r="F340" t="str">
            <v>FORMAS VRT BACIA - DESLIZANTE</v>
          </cell>
          <cell r="G340" t="str">
            <v>M2</v>
          </cell>
          <cell r="H340">
            <v>2477</v>
          </cell>
          <cell r="I340">
            <v>1</v>
          </cell>
          <cell r="J340">
            <v>1</v>
          </cell>
          <cell r="K340">
            <v>1</v>
          </cell>
          <cell r="L340">
            <v>1</v>
          </cell>
          <cell r="M340">
            <v>83</v>
          </cell>
          <cell r="N340">
            <v>205591</v>
          </cell>
          <cell r="O340">
            <v>83</v>
          </cell>
          <cell r="P340">
            <v>205591</v>
          </cell>
        </row>
        <row r="341">
          <cell r="A341">
            <v>340</v>
          </cell>
          <cell r="B341">
            <v>0</v>
          </cell>
          <cell r="C341" t="str">
            <v>05.06.01.13</v>
          </cell>
          <cell r="E341">
            <v>4020208</v>
          </cell>
          <cell r="F341" t="str">
            <v>FORMAS VRT BACIA - REGUA DESLIZANTE HORIZONTAL</v>
          </cell>
          <cell r="G341" t="str">
            <v>GL</v>
          </cell>
          <cell r="H341">
            <v>1</v>
          </cell>
          <cell r="I341">
            <v>1</v>
          </cell>
          <cell r="J341">
            <v>1</v>
          </cell>
          <cell r="K341">
            <v>1</v>
          </cell>
          <cell r="L341">
            <v>1</v>
          </cell>
          <cell r="M341">
            <v>80000</v>
          </cell>
          <cell r="N341">
            <v>80000</v>
          </cell>
          <cell r="O341">
            <v>80000</v>
          </cell>
          <cell r="P341">
            <v>80000</v>
          </cell>
        </row>
        <row r="342">
          <cell r="A342">
            <v>341</v>
          </cell>
          <cell r="B342">
            <v>8</v>
          </cell>
          <cell r="E342">
            <v>0</v>
          </cell>
          <cell r="H342">
            <v>0</v>
          </cell>
          <cell r="I342">
            <v>0</v>
          </cell>
          <cell r="J342">
            <v>0</v>
          </cell>
          <cell r="K342">
            <v>0</v>
          </cell>
          <cell r="L342">
            <v>0</v>
          </cell>
          <cell r="M342">
            <v>0</v>
          </cell>
          <cell r="N342">
            <v>0</v>
          </cell>
          <cell r="O342">
            <v>0</v>
          </cell>
          <cell r="P342">
            <v>0</v>
          </cell>
        </row>
        <row r="343">
          <cell r="A343">
            <v>342</v>
          </cell>
          <cell r="B343">
            <v>4</v>
          </cell>
          <cell r="C343" t="str">
            <v>05.06.02</v>
          </cell>
          <cell r="E343">
            <v>0</v>
          </cell>
          <cell r="F343" t="str">
            <v>FORMAS TD/CF/AM</v>
          </cell>
          <cell r="H343">
            <v>0</v>
          </cell>
          <cell r="I343">
            <v>0</v>
          </cell>
          <cell r="J343">
            <v>0</v>
          </cell>
          <cell r="K343">
            <v>0</v>
          </cell>
          <cell r="L343">
            <v>0</v>
          </cell>
          <cell r="M343">
            <v>0</v>
          </cell>
          <cell r="N343">
            <v>0</v>
          </cell>
          <cell r="O343">
            <v>0</v>
          </cell>
          <cell r="P343">
            <v>0</v>
          </cell>
        </row>
        <row r="344">
          <cell r="A344">
            <v>343</v>
          </cell>
          <cell r="B344">
            <v>0</v>
          </cell>
          <cell r="C344" t="str">
            <v>05.06.02.01</v>
          </cell>
          <cell r="E344">
            <v>4020305</v>
          </cell>
          <cell r="F344" t="str">
            <v>FORMAS TD/CF - MADEIRA IN LOCO</v>
          </cell>
          <cell r="G344" t="str">
            <v>M2</v>
          </cell>
          <cell r="H344">
            <v>345</v>
          </cell>
          <cell r="I344">
            <v>1</v>
          </cell>
          <cell r="J344">
            <v>1</v>
          </cell>
          <cell r="K344">
            <v>1</v>
          </cell>
          <cell r="L344">
            <v>1</v>
          </cell>
          <cell r="M344">
            <v>95.09</v>
          </cell>
          <cell r="N344">
            <v>32806.050000000003</v>
          </cell>
          <cell r="O344">
            <v>95.09</v>
          </cell>
          <cell r="P344">
            <v>32806.050000000003</v>
          </cell>
        </row>
        <row r="345">
          <cell r="A345">
            <v>344</v>
          </cell>
          <cell r="B345">
            <v>0</v>
          </cell>
          <cell r="C345" t="str">
            <v>05.06.02.02</v>
          </cell>
          <cell r="E345">
            <v>4020402</v>
          </cell>
          <cell r="F345" t="str">
            <v>FORMAS TD/CF - PLANA DE MADEIRA</v>
          </cell>
          <cell r="G345" t="str">
            <v>M2</v>
          </cell>
          <cell r="H345">
            <v>15116</v>
          </cell>
          <cell r="I345">
            <v>1</v>
          </cell>
          <cell r="J345">
            <v>1</v>
          </cell>
          <cell r="K345">
            <v>1</v>
          </cell>
          <cell r="L345">
            <v>1</v>
          </cell>
          <cell r="M345">
            <v>86.05</v>
          </cell>
          <cell r="N345">
            <v>1300731.8</v>
          </cell>
          <cell r="O345">
            <v>86.05</v>
          </cell>
          <cell r="P345">
            <v>1300731.8</v>
          </cell>
        </row>
        <row r="346">
          <cell r="A346">
            <v>345</v>
          </cell>
          <cell r="B346">
            <v>0</v>
          </cell>
          <cell r="C346" t="str">
            <v>05.06.02.03</v>
          </cell>
          <cell r="E346">
            <v>4020509</v>
          </cell>
          <cell r="F346" t="str">
            <v>FORMAS TD/CF - PLANA METALICA</v>
          </cell>
          <cell r="G346" t="str">
            <v>M2</v>
          </cell>
          <cell r="H346">
            <v>6609</v>
          </cell>
          <cell r="I346">
            <v>1</v>
          </cell>
          <cell r="J346">
            <v>1</v>
          </cell>
          <cell r="K346">
            <v>1</v>
          </cell>
          <cell r="L346">
            <v>1</v>
          </cell>
          <cell r="M346">
            <v>82.39</v>
          </cell>
          <cell r="N346">
            <v>544515.51</v>
          </cell>
          <cell r="O346">
            <v>82.39</v>
          </cell>
          <cell r="P346">
            <v>544515.51</v>
          </cell>
        </row>
        <row r="347">
          <cell r="A347">
            <v>346</v>
          </cell>
          <cell r="B347">
            <v>0</v>
          </cell>
          <cell r="C347" t="str">
            <v>05.06.02.04</v>
          </cell>
          <cell r="E347">
            <v>4020606</v>
          </cell>
          <cell r="F347" t="str">
            <v>FORMAS TD/CF - REGUA DESLIZANTE</v>
          </cell>
          <cell r="G347" t="str">
            <v>M2</v>
          </cell>
          <cell r="H347">
            <v>14472</v>
          </cell>
          <cell r="I347">
            <v>1</v>
          </cell>
          <cell r="J347">
            <v>1</v>
          </cell>
          <cell r="K347">
            <v>1</v>
          </cell>
          <cell r="L347">
            <v>1</v>
          </cell>
          <cell r="M347">
            <v>22.99</v>
          </cell>
          <cell r="N347">
            <v>332711.28000000003</v>
          </cell>
          <cell r="O347">
            <v>22.99</v>
          </cell>
          <cell r="P347">
            <v>332711.28000000003</v>
          </cell>
        </row>
        <row r="348">
          <cell r="A348">
            <v>347</v>
          </cell>
          <cell r="B348">
            <v>0</v>
          </cell>
          <cell r="C348" t="str">
            <v>05.06.02.05</v>
          </cell>
          <cell r="E348">
            <v>4020703</v>
          </cell>
          <cell r="F348" t="str">
            <v>FORMAS TD/CF - PRE MOLDADA</v>
          </cell>
          <cell r="G348" t="str">
            <v>M2</v>
          </cell>
          <cell r="H348">
            <v>13260</v>
          </cell>
          <cell r="I348">
            <v>1</v>
          </cell>
          <cell r="J348">
            <v>1</v>
          </cell>
          <cell r="K348">
            <v>1</v>
          </cell>
          <cell r="L348">
            <v>1</v>
          </cell>
          <cell r="M348">
            <v>64.78</v>
          </cell>
          <cell r="N348">
            <v>858982.8</v>
          </cell>
          <cell r="O348">
            <v>64.78</v>
          </cell>
          <cell r="P348">
            <v>858982.8</v>
          </cell>
        </row>
        <row r="349">
          <cell r="A349">
            <v>348</v>
          </cell>
          <cell r="B349">
            <v>0</v>
          </cell>
          <cell r="C349" t="str">
            <v>05.06.02.06</v>
          </cell>
          <cell r="E349">
            <v>4020800</v>
          </cell>
          <cell r="F349" t="str">
            <v>FORMAS TD/CF - DESLIZANTE</v>
          </cell>
          <cell r="G349" t="str">
            <v>M2</v>
          </cell>
          <cell r="H349">
            <v>166055</v>
          </cell>
          <cell r="I349">
            <v>1</v>
          </cell>
          <cell r="J349">
            <v>1</v>
          </cell>
          <cell r="K349">
            <v>1</v>
          </cell>
          <cell r="L349">
            <v>1</v>
          </cell>
          <cell r="M349">
            <v>79.73</v>
          </cell>
          <cell r="N349">
            <v>13239565.15</v>
          </cell>
          <cell r="O349">
            <v>79.73</v>
          </cell>
          <cell r="P349">
            <v>13239565.15</v>
          </cell>
        </row>
        <row r="350">
          <cell r="A350">
            <v>349</v>
          </cell>
          <cell r="B350">
            <v>0</v>
          </cell>
          <cell r="C350" t="str">
            <v>05.06.02.07</v>
          </cell>
          <cell r="E350">
            <v>4020907</v>
          </cell>
          <cell r="F350" t="str">
            <v>FORMAS TD/CF - TELA EXPANDIDA</v>
          </cell>
          <cell r="G350" t="str">
            <v>M2</v>
          </cell>
          <cell r="H350">
            <v>34819</v>
          </cell>
          <cell r="I350">
            <v>1</v>
          </cell>
          <cell r="J350">
            <v>1</v>
          </cell>
          <cell r="K350">
            <v>1</v>
          </cell>
          <cell r="L350">
            <v>1</v>
          </cell>
          <cell r="M350">
            <v>81.27</v>
          </cell>
          <cell r="N350">
            <v>2829740.13</v>
          </cell>
          <cell r="O350">
            <v>81.27</v>
          </cell>
          <cell r="P350">
            <v>2829740.13</v>
          </cell>
        </row>
        <row r="351">
          <cell r="A351">
            <v>350</v>
          </cell>
          <cell r="B351">
            <v>0</v>
          </cell>
          <cell r="C351" t="str">
            <v>05.06.02.08</v>
          </cell>
          <cell r="E351">
            <v>4021007</v>
          </cell>
          <cell r="F351" t="str">
            <v>FORMAS TD/CF - LAJES</v>
          </cell>
          <cell r="G351" t="str">
            <v>M2</v>
          </cell>
          <cell r="H351">
            <v>11139</v>
          </cell>
          <cell r="I351">
            <v>1</v>
          </cell>
          <cell r="J351">
            <v>1</v>
          </cell>
          <cell r="K351">
            <v>1</v>
          </cell>
          <cell r="L351">
            <v>1</v>
          </cell>
          <cell r="M351">
            <v>47.96</v>
          </cell>
          <cell r="N351">
            <v>534226.43999999994</v>
          </cell>
          <cell r="O351">
            <v>47.96</v>
          </cell>
          <cell r="P351">
            <v>534226.43999999994</v>
          </cell>
        </row>
        <row r="352">
          <cell r="A352">
            <v>351</v>
          </cell>
          <cell r="B352">
            <v>0</v>
          </cell>
          <cell r="C352" t="str">
            <v>05.06.02.09</v>
          </cell>
          <cell r="E352">
            <v>4021104</v>
          </cell>
          <cell r="F352" t="str">
            <v>FORMAS TD/CF - ESPECIAL DE MADEIRA</v>
          </cell>
          <cell r="G352" t="str">
            <v>M2</v>
          </cell>
          <cell r="H352">
            <v>13095</v>
          </cell>
          <cell r="I352">
            <v>1</v>
          </cell>
          <cell r="J352">
            <v>1</v>
          </cell>
          <cell r="K352">
            <v>1</v>
          </cell>
          <cell r="L352">
            <v>1</v>
          </cell>
          <cell r="M352">
            <v>225.87</v>
          </cell>
          <cell r="N352">
            <v>2957767.65</v>
          </cell>
          <cell r="O352">
            <v>225.87</v>
          </cell>
          <cell r="P352">
            <v>2957767.65</v>
          </cell>
        </row>
        <row r="353">
          <cell r="A353">
            <v>352</v>
          </cell>
          <cell r="B353">
            <v>0</v>
          </cell>
          <cell r="C353" t="str">
            <v>05.06.02.10</v>
          </cell>
          <cell r="E353">
            <v>4021201</v>
          </cell>
          <cell r="F353" t="str">
            <v>FORMAS TD/CF - CURVA DE MADEIRA</v>
          </cell>
          <cell r="G353" t="str">
            <v>M2</v>
          </cell>
          <cell r="H353">
            <v>14777</v>
          </cell>
          <cell r="I353">
            <v>1</v>
          </cell>
          <cell r="J353">
            <v>1</v>
          </cell>
          <cell r="K353">
            <v>1</v>
          </cell>
          <cell r="L353">
            <v>1</v>
          </cell>
          <cell r="M353">
            <v>138.56</v>
          </cell>
          <cell r="N353">
            <v>2047501.12</v>
          </cell>
          <cell r="O353">
            <v>138.56</v>
          </cell>
          <cell r="P353">
            <v>2047501.12</v>
          </cell>
        </row>
        <row r="354">
          <cell r="A354">
            <v>353</v>
          </cell>
          <cell r="B354">
            <v>8</v>
          </cell>
          <cell r="E354">
            <v>0</v>
          </cell>
          <cell r="H354">
            <v>0</v>
          </cell>
          <cell r="I354">
            <v>0</v>
          </cell>
          <cell r="J354">
            <v>0</v>
          </cell>
          <cell r="K354">
            <v>0</v>
          </cell>
          <cell r="L354">
            <v>0</v>
          </cell>
          <cell r="M354">
            <v>0</v>
          </cell>
          <cell r="N354">
            <v>0</v>
          </cell>
          <cell r="O354">
            <v>0</v>
          </cell>
          <cell r="P354">
            <v>0</v>
          </cell>
        </row>
        <row r="355">
          <cell r="A355">
            <v>354</v>
          </cell>
          <cell r="B355">
            <v>4</v>
          </cell>
          <cell r="C355" t="str">
            <v>05.06.03</v>
          </cell>
          <cell r="E355">
            <v>0</v>
          </cell>
          <cell r="F355" t="str">
            <v>FORMAS AM</v>
          </cell>
          <cell r="H355">
            <v>0</v>
          </cell>
          <cell r="I355">
            <v>0</v>
          </cell>
          <cell r="J355">
            <v>0</v>
          </cell>
          <cell r="K355">
            <v>0</v>
          </cell>
          <cell r="L355">
            <v>0</v>
          </cell>
          <cell r="M355">
            <v>0</v>
          </cell>
          <cell r="N355">
            <v>0</v>
          </cell>
          <cell r="O355">
            <v>0</v>
          </cell>
          <cell r="P355">
            <v>0</v>
          </cell>
        </row>
        <row r="356">
          <cell r="A356">
            <v>355</v>
          </cell>
          <cell r="B356">
            <v>0</v>
          </cell>
          <cell r="C356" t="str">
            <v>05.06.03.01</v>
          </cell>
          <cell r="E356">
            <v>4021308</v>
          </cell>
          <cell r="F356" t="str">
            <v>FORMAS AM - MADEIRA IN LOCO</v>
          </cell>
          <cell r="G356" t="str">
            <v>M2</v>
          </cell>
          <cell r="H356">
            <v>270</v>
          </cell>
          <cell r="I356">
            <v>1</v>
          </cell>
          <cell r="J356">
            <v>1</v>
          </cell>
          <cell r="K356">
            <v>1</v>
          </cell>
          <cell r="L356">
            <v>1</v>
          </cell>
          <cell r="M356">
            <v>95.1</v>
          </cell>
          <cell r="N356">
            <v>25677</v>
          </cell>
          <cell r="O356">
            <v>95.1</v>
          </cell>
          <cell r="P356">
            <v>25677</v>
          </cell>
        </row>
        <row r="357">
          <cell r="A357">
            <v>356</v>
          </cell>
          <cell r="B357">
            <v>0</v>
          </cell>
          <cell r="C357" t="str">
            <v>05.06.03.02</v>
          </cell>
          <cell r="E357">
            <v>4021405</v>
          </cell>
          <cell r="F357" t="str">
            <v>FORMAS AM - PLANA DE MADEIRA</v>
          </cell>
          <cell r="G357" t="str">
            <v>M2</v>
          </cell>
          <cell r="H357">
            <v>2170</v>
          </cell>
          <cell r="I357">
            <v>1</v>
          </cell>
          <cell r="J357">
            <v>1</v>
          </cell>
          <cell r="K357">
            <v>1</v>
          </cell>
          <cell r="L357">
            <v>1</v>
          </cell>
          <cell r="M357">
            <v>89.91</v>
          </cell>
          <cell r="N357">
            <v>195104.7</v>
          </cell>
          <cell r="O357">
            <v>89.91</v>
          </cell>
          <cell r="P357">
            <v>195104.7</v>
          </cell>
        </row>
        <row r="358">
          <cell r="A358">
            <v>357</v>
          </cell>
          <cell r="B358">
            <v>0</v>
          </cell>
          <cell r="C358" t="str">
            <v>05.06.03.03</v>
          </cell>
          <cell r="E358">
            <v>4021502</v>
          </cell>
          <cell r="F358" t="str">
            <v>FORMAS AM - PLANA METALICA</v>
          </cell>
          <cell r="G358" t="str">
            <v>M2</v>
          </cell>
          <cell r="H358">
            <v>1373</v>
          </cell>
          <cell r="I358">
            <v>1</v>
          </cell>
          <cell r="J358">
            <v>1</v>
          </cell>
          <cell r="K358">
            <v>1</v>
          </cell>
          <cell r="L358">
            <v>1</v>
          </cell>
          <cell r="M358">
            <v>75.349999999999994</v>
          </cell>
          <cell r="N358">
            <v>103455.55</v>
          </cell>
          <cell r="O358">
            <v>75.349999999999994</v>
          </cell>
          <cell r="P358">
            <v>103455.55</v>
          </cell>
        </row>
        <row r="359">
          <cell r="A359">
            <v>358</v>
          </cell>
          <cell r="B359">
            <v>0</v>
          </cell>
          <cell r="C359" t="str">
            <v>05.06.03.04</v>
          </cell>
          <cell r="E359">
            <v>4021609</v>
          </cell>
          <cell r="F359" t="str">
            <v>FORMAS AM - REGUA DESLIZANTE</v>
          </cell>
          <cell r="G359" t="str">
            <v>M2</v>
          </cell>
          <cell r="H359">
            <v>680</v>
          </cell>
          <cell r="I359">
            <v>1</v>
          </cell>
          <cell r="J359">
            <v>1</v>
          </cell>
          <cell r="K359">
            <v>1</v>
          </cell>
          <cell r="L359">
            <v>1</v>
          </cell>
          <cell r="M359">
            <v>22.92</v>
          </cell>
          <cell r="N359">
            <v>15585.6</v>
          </cell>
          <cell r="O359">
            <v>22.92</v>
          </cell>
          <cell r="P359">
            <v>15585.6</v>
          </cell>
        </row>
        <row r="360">
          <cell r="A360">
            <v>359</v>
          </cell>
          <cell r="B360">
            <v>0</v>
          </cell>
          <cell r="C360" t="str">
            <v>05.06.03.05</v>
          </cell>
          <cell r="E360">
            <v>4021706</v>
          </cell>
          <cell r="F360" t="str">
            <v>FORMAS AM - PRE MOLDADA</v>
          </cell>
          <cell r="G360" t="str">
            <v>M2</v>
          </cell>
          <cell r="H360">
            <v>640</v>
          </cell>
          <cell r="I360">
            <v>1</v>
          </cell>
          <cell r="J360">
            <v>1</v>
          </cell>
          <cell r="K360">
            <v>1</v>
          </cell>
          <cell r="L360">
            <v>1</v>
          </cell>
          <cell r="M360">
            <v>51.78</v>
          </cell>
          <cell r="N360">
            <v>33139.199999999997</v>
          </cell>
          <cell r="O360">
            <v>51.78</v>
          </cell>
          <cell r="P360">
            <v>33139.199999999997</v>
          </cell>
        </row>
        <row r="361">
          <cell r="A361">
            <v>360</v>
          </cell>
          <cell r="B361">
            <v>0</v>
          </cell>
          <cell r="C361" t="str">
            <v>05.06.03.06</v>
          </cell>
          <cell r="E361">
            <v>4021803</v>
          </cell>
          <cell r="F361" t="str">
            <v>FORMAS AM - DESLIZANTE</v>
          </cell>
          <cell r="G361" t="str">
            <v>M2</v>
          </cell>
          <cell r="H361">
            <v>6815</v>
          </cell>
          <cell r="I361">
            <v>1</v>
          </cell>
          <cell r="J361">
            <v>1</v>
          </cell>
          <cell r="K361">
            <v>1</v>
          </cell>
          <cell r="L361">
            <v>1</v>
          </cell>
          <cell r="M361">
            <v>75</v>
          </cell>
          <cell r="N361">
            <v>511125</v>
          </cell>
          <cell r="O361">
            <v>75</v>
          </cell>
          <cell r="P361">
            <v>511125</v>
          </cell>
        </row>
        <row r="362">
          <cell r="A362">
            <v>361</v>
          </cell>
          <cell r="B362">
            <v>0</v>
          </cell>
          <cell r="C362" t="str">
            <v>05.06.03.07</v>
          </cell>
          <cell r="E362">
            <v>4021900</v>
          </cell>
          <cell r="F362" t="str">
            <v>FORMAS AM - LAJES</v>
          </cell>
          <cell r="G362" t="str">
            <v>M2</v>
          </cell>
          <cell r="H362">
            <v>1320</v>
          </cell>
          <cell r="I362">
            <v>1</v>
          </cell>
          <cell r="J362">
            <v>1</v>
          </cell>
          <cell r="K362">
            <v>1</v>
          </cell>
          <cell r="L362">
            <v>1</v>
          </cell>
          <cell r="M362">
            <v>43.5</v>
          </cell>
          <cell r="N362">
            <v>57420</v>
          </cell>
          <cell r="O362">
            <v>43.5</v>
          </cell>
          <cell r="P362">
            <v>57420</v>
          </cell>
        </row>
        <row r="363">
          <cell r="A363">
            <v>362</v>
          </cell>
          <cell r="B363">
            <v>8</v>
          </cell>
          <cell r="E363">
            <v>0</v>
          </cell>
          <cell r="H363">
            <v>0</v>
          </cell>
          <cell r="I363">
            <v>0</v>
          </cell>
          <cell r="J363">
            <v>0</v>
          </cell>
          <cell r="K363">
            <v>0</v>
          </cell>
          <cell r="L363">
            <v>0</v>
          </cell>
          <cell r="M363">
            <v>0</v>
          </cell>
          <cell r="N363">
            <v>0</v>
          </cell>
          <cell r="O363">
            <v>0</v>
          </cell>
          <cell r="P363">
            <v>0</v>
          </cell>
        </row>
        <row r="364">
          <cell r="A364">
            <v>363</v>
          </cell>
          <cell r="B364">
            <v>4</v>
          </cell>
          <cell r="C364" t="str">
            <v>05.06.04</v>
          </cell>
          <cell r="E364">
            <v>0</v>
          </cell>
          <cell r="F364" t="str">
            <v>FORMAS BLOCO LATERAL</v>
          </cell>
          <cell r="H364">
            <v>0</v>
          </cell>
          <cell r="I364">
            <v>0</v>
          </cell>
          <cell r="J364">
            <v>0</v>
          </cell>
          <cell r="K364">
            <v>0</v>
          </cell>
          <cell r="L364">
            <v>0</v>
          </cell>
          <cell r="M364">
            <v>0</v>
          </cell>
          <cell r="N364">
            <v>0</v>
          </cell>
          <cell r="O364">
            <v>0</v>
          </cell>
          <cell r="P364">
            <v>0</v>
          </cell>
        </row>
        <row r="365">
          <cell r="A365">
            <v>364</v>
          </cell>
          <cell r="B365">
            <v>0</v>
          </cell>
          <cell r="C365" t="str">
            <v>05.06.04.01</v>
          </cell>
          <cell r="E365">
            <v>4022000</v>
          </cell>
          <cell r="F365" t="str">
            <v>FORMAS BLOCO LATERAL - MADEIRA IN LOCO</v>
          </cell>
          <cell r="G365" t="str">
            <v>M2</v>
          </cell>
          <cell r="H365">
            <v>89</v>
          </cell>
          <cell r="I365">
            <v>1</v>
          </cell>
          <cell r="J365">
            <v>1</v>
          </cell>
          <cell r="K365">
            <v>1</v>
          </cell>
          <cell r="L365">
            <v>1</v>
          </cell>
          <cell r="M365">
            <v>94.97</v>
          </cell>
          <cell r="N365">
            <v>8452.33</v>
          </cell>
          <cell r="O365">
            <v>94.97</v>
          </cell>
          <cell r="P365">
            <v>8452.33</v>
          </cell>
        </row>
        <row r="366">
          <cell r="A366">
            <v>365</v>
          </cell>
          <cell r="B366">
            <v>0</v>
          </cell>
          <cell r="C366" t="str">
            <v>05.06.04.02</v>
          </cell>
          <cell r="E366">
            <v>4022107</v>
          </cell>
          <cell r="F366" t="str">
            <v>FORMAS BLOCO LATERAL - PLANA DE MADEIRA</v>
          </cell>
          <cell r="G366" t="str">
            <v>M2</v>
          </cell>
          <cell r="H366">
            <v>1991</v>
          </cell>
          <cell r="I366">
            <v>1</v>
          </cell>
          <cell r="J366">
            <v>1</v>
          </cell>
          <cell r="K366">
            <v>1</v>
          </cell>
          <cell r="L366">
            <v>1</v>
          </cell>
          <cell r="M366">
            <v>89</v>
          </cell>
          <cell r="N366">
            <v>177199</v>
          </cell>
          <cell r="O366">
            <v>89</v>
          </cell>
          <cell r="P366">
            <v>177199</v>
          </cell>
        </row>
        <row r="367">
          <cell r="A367">
            <v>366</v>
          </cell>
          <cell r="B367">
            <v>0</v>
          </cell>
          <cell r="C367" t="str">
            <v>05.06.04.03</v>
          </cell>
          <cell r="E367">
            <v>4022204</v>
          </cell>
          <cell r="F367" t="str">
            <v>FORMAS BLOCO LATERAL - PLANA METALICA</v>
          </cell>
          <cell r="G367" t="str">
            <v>M2</v>
          </cell>
          <cell r="H367">
            <v>1300</v>
          </cell>
          <cell r="I367">
            <v>1</v>
          </cell>
          <cell r="J367">
            <v>1</v>
          </cell>
          <cell r="K367">
            <v>1</v>
          </cell>
          <cell r="L367">
            <v>1</v>
          </cell>
          <cell r="M367">
            <v>75.349999999999994</v>
          </cell>
          <cell r="N367">
            <v>97955</v>
          </cell>
          <cell r="O367">
            <v>75.349999999999994</v>
          </cell>
          <cell r="P367">
            <v>97955</v>
          </cell>
        </row>
        <row r="368">
          <cell r="A368">
            <v>367</v>
          </cell>
          <cell r="B368">
            <v>0</v>
          </cell>
          <cell r="C368" t="str">
            <v>05.06.04.04</v>
          </cell>
          <cell r="E368">
            <v>4022301</v>
          </cell>
          <cell r="F368" t="str">
            <v>FORMAS BLOCO LATERAL - DESLIZANTE</v>
          </cell>
          <cell r="G368" t="str">
            <v>M2</v>
          </cell>
          <cell r="H368">
            <v>9766</v>
          </cell>
          <cell r="I368">
            <v>1</v>
          </cell>
          <cell r="J368">
            <v>1</v>
          </cell>
          <cell r="K368">
            <v>1</v>
          </cell>
          <cell r="L368">
            <v>1</v>
          </cell>
          <cell r="M368">
            <v>75</v>
          </cell>
          <cell r="N368">
            <v>732450</v>
          </cell>
          <cell r="O368">
            <v>75</v>
          </cell>
          <cell r="P368">
            <v>732450</v>
          </cell>
        </row>
        <row r="369">
          <cell r="A369">
            <v>368</v>
          </cell>
          <cell r="B369">
            <v>0</v>
          </cell>
          <cell r="C369" t="str">
            <v>05.06.04.05</v>
          </cell>
          <cell r="E369">
            <v>4022408</v>
          </cell>
          <cell r="F369" t="str">
            <v>FORMAS BLOCO LATERAL - LAJES</v>
          </cell>
          <cell r="G369" t="str">
            <v>M2</v>
          </cell>
          <cell r="H369">
            <v>739</v>
          </cell>
          <cell r="I369">
            <v>1</v>
          </cell>
          <cell r="J369">
            <v>1</v>
          </cell>
          <cell r="K369">
            <v>1</v>
          </cell>
          <cell r="L369">
            <v>1</v>
          </cell>
          <cell r="M369">
            <v>43.5</v>
          </cell>
          <cell r="N369">
            <v>32146.5</v>
          </cell>
          <cell r="O369">
            <v>43.5</v>
          </cell>
          <cell r="P369">
            <v>32146.5</v>
          </cell>
        </row>
        <row r="370">
          <cell r="A370">
            <v>369</v>
          </cell>
          <cell r="B370">
            <v>8</v>
          </cell>
          <cell r="E370">
            <v>0</v>
          </cell>
          <cell r="H370">
            <v>0</v>
          </cell>
          <cell r="I370">
            <v>0</v>
          </cell>
          <cell r="J370">
            <v>0</v>
          </cell>
          <cell r="K370">
            <v>0</v>
          </cell>
          <cell r="L370">
            <v>0</v>
          </cell>
          <cell r="M370">
            <v>0</v>
          </cell>
          <cell r="N370">
            <v>0</v>
          </cell>
          <cell r="O370">
            <v>0</v>
          </cell>
          <cell r="P370">
            <v>0</v>
          </cell>
        </row>
        <row r="371">
          <cell r="A371">
            <v>370</v>
          </cell>
          <cell r="B371">
            <v>4</v>
          </cell>
          <cell r="C371" t="str">
            <v>05.06.05</v>
          </cell>
          <cell r="E371">
            <v>0</v>
          </cell>
          <cell r="F371" t="str">
            <v>FORMAS MACICO CCR</v>
          </cell>
          <cell r="H371">
            <v>0</v>
          </cell>
          <cell r="I371">
            <v>0</v>
          </cell>
          <cell r="J371">
            <v>0</v>
          </cell>
          <cell r="K371">
            <v>0</v>
          </cell>
          <cell r="L371">
            <v>0</v>
          </cell>
          <cell r="M371">
            <v>0</v>
          </cell>
          <cell r="N371">
            <v>0</v>
          </cell>
          <cell r="O371">
            <v>0</v>
          </cell>
          <cell r="P371">
            <v>0</v>
          </cell>
        </row>
        <row r="372">
          <cell r="A372">
            <v>371</v>
          </cell>
          <cell r="B372">
            <v>0</v>
          </cell>
          <cell r="C372" t="str">
            <v>05.06.05.01</v>
          </cell>
          <cell r="E372">
            <v>4022505</v>
          </cell>
          <cell r="F372" t="str">
            <v>FORMAS BARRAGEM CCR</v>
          </cell>
          <cell r="G372" t="str">
            <v>M2</v>
          </cell>
          <cell r="H372">
            <v>43248</v>
          </cell>
          <cell r="I372">
            <v>1</v>
          </cell>
          <cell r="J372">
            <v>1</v>
          </cell>
          <cell r="K372">
            <v>1</v>
          </cell>
          <cell r="L372">
            <v>1</v>
          </cell>
          <cell r="M372">
            <v>57.68</v>
          </cell>
          <cell r="N372">
            <v>2494544.64</v>
          </cell>
          <cell r="O372">
            <v>57.68</v>
          </cell>
          <cell r="P372">
            <v>2494544.64</v>
          </cell>
        </row>
        <row r="373">
          <cell r="A373">
            <v>372</v>
          </cell>
          <cell r="B373">
            <v>0</v>
          </cell>
          <cell r="C373" t="str">
            <v>05.06.05.02</v>
          </cell>
          <cell r="E373">
            <v>4022602</v>
          </cell>
          <cell r="F373" t="str">
            <v>FORMAS BARRAGEM CCR - GUARDA RODAS</v>
          </cell>
          <cell r="G373" t="str">
            <v>M2</v>
          </cell>
          <cell r="H373">
            <v>2209</v>
          </cell>
          <cell r="I373">
            <v>1</v>
          </cell>
          <cell r="J373">
            <v>1</v>
          </cell>
          <cell r="K373">
            <v>1</v>
          </cell>
          <cell r="L373">
            <v>1</v>
          </cell>
          <cell r="M373">
            <v>53.04</v>
          </cell>
          <cell r="N373">
            <v>117165.36</v>
          </cell>
          <cell r="O373">
            <v>53.04</v>
          </cell>
          <cell r="P373">
            <v>117165.36</v>
          </cell>
        </row>
        <row r="374">
          <cell r="A374">
            <v>373</v>
          </cell>
          <cell r="B374">
            <v>0</v>
          </cell>
          <cell r="C374" t="str">
            <v>05.06.05.03</v>
          </cell>
          <cell r="E374">
            <v>4022709</v>
          </cell>
          <cell r="F374" t="str">
            <v>FORMAS BLOCOS MONTANTE AREA MONTAGEM</v>
          </cell>
          <cell r="G374" t="str">
            <v>M2</v>
          </cell>
          <cell r="H374">
            <v>4188</v>
          </cell>
          <cell r="I374">
            <v>1</v>
          </cell>
          <cell r="J374">
            <v>1</v>
          </cell>
          <cell r="K374">
            <v>1</v>
          </cell>
          <cell r="L374">
            <v>1</v>
          </cell>
          <cell r="M374">
            <v>59.25</v>
          </cell>
          <cell r="N374">
            <v>248139</v>
          </cell>
          <cell r="O374">
            <v>59.25</v>
          </cell>
          <cell r="P374">
            <v>248139</v>
          </cell>
        </row>
        <row r="375">
          <cell r="A375">
            <v>374</v>
          </cell>
          <cell r="B375">
            <v>0</v>
          </cell>
          <cell r="C375" t="str">
            <v>05.06.05.04</v>
          </cell>
          <cell r="E375">
            <v>4022806</v>
          </cell>
          <cell r="F375" t="str">
            <v>FORMAS COROAMENTO BARRAGEM CCR</v>
          </cell>
          <cell r="G375" t="str">
            <v>M2</v>
          </cell>
          <cell r="H375">
            <v>0</v>
          </cell>
          <cell r="I375">
            <v>1</v>
          </cell>
          <cell r="J375">
            <v>1</v>
          </cell>
          <cell r="K375">
            <v>1</v>
          </cell>
          <cell r="L375">
            <v>1</v>
          </cell>
          <cell r="M375">
            <v>55.57</v>
          </cell>
          <cell r="N375">
            <v>0</v>
          </cell>
          <cell r="O375">
            <v>55.57</v>
          </cell>
          <cell r="P375">
            <v>0</v>
          </cell>
        </row>
        <row r="376">
          <cell r="A376">
            <v>375</v>
          </cell>
          <cell r="B376">
            <v>8</v>
          </cell>
          <cell r="E376">
            <v>0</v>
          </cell>
          <cell r="H376">
            <v>0</v>
          </cell>
          <cell r="I376">
            <v>0</v>
          </cell>
          <cell r="J376">
            <v>0</v>
          </cell>
          <cell r="K376">
            <v>0</v>
          </cell>
          <cell r="L376">
            <v>0</v>
          </cell>
          <cell r="M376">
            <v>0</v>
          </cell>
          <cell r="N376">
            <v>0</v>
          </cell>
          <cell r="O376">
            <v>0</v>
          </cell>
          <cell r="P376">
            <v>0</v>
          </cell>
        </row>
        <row r="377">
          <cell r="A377">
            <v>376</v>
          </cell>
          <cell r="B377">
            <v>4</v>
          </cell>
          <cell r="C377" t="str">
            <v>05.06.06</v>
          </cell>
          <cell r="E377">
            <v>0</v>
          </cell>
          <cell r="F377" t="str">
            <v>CIMBRAMENTO</v>
          </cell>
          <cell r="H377">
            <v>0</v>
          </cell>
          <cell r="I377">
            <v>0</v>
          </cell>
          <cell r="J377">
            <v>0</v>
          </cell>
          <cell r="K377">
            <v>0</v>
          </cell>
          <cell r="L377">
            <v>0</v>
          </cell>
          <cell r="M377">
            <v>0</v>
          </cell>
          <cell r="N377">
            <v>0</v>
          </cell>
          <cell r="O377">
            <v>0</v>
          </cell>
          <cell r="P377">
            <v>0</v>
          </cell>
        </row>
        <row r="378">
          <cell r="A378">
            <v>377</v>
          </cell>
          <cell r="B378">
            <v>0</v>
          </cell>
          <cell r="C378" t="str">
            <v>05.06.06.01</v>
          </cell>
          <cell r="E378">
            <v>4022903</v>
          </cell>
          <cell r="F378" t="str">
            <v>CIMBRAMENTOS DAS ESTRUTURAS</v>
          </cell>
          <cell r="G378" t="str">
            <v>M3</v>
          </cell>
          <cell r="H378">
            <v>125000</v>
          </cell>
          <cell r="I378">
            <v>1</v>
          </cell>
          <cell r="J378">
            <v>1</v>
          </cell>
          <cell r="K378">
            <v>1</v>
          </cell>
          <cell r="L378">
            <v>1</v>
          </cell>
          <cell r="M378">
            <v>30.14</v>
          </cell>
          <cell r="N378">
            <v>3767500</v>
          </cell>
          <cell r="O378">
            <v>30.14</v>
          </cell>
          <cell r="P378">
            <v>3767500</v>
          </cell>
        </row>
        <row r="379">
          <cell r="A379">
            <v>378</v>
          </cell>
          <cell r="B379">
            <v>8</v>
          </cell>
          <cell r="E379">
            <v>0</v>
          </cell>
          <cell r="H379">
            <v>0</v>
          </cell>
          <cell r="I379">
            <v>0</v>
          </cell>
          <cell r="J379">
            <v>0</v>
          </cell>
          <cell r="K379">
            <v>0</v>
          </cell>
          <cell r="L379">
            <v>0</v>
          </cell>
          <cell r="M379">
            <v>0</v>
          </cell>
          <cell r="N379">
            <v>0</v>
          </cell>
          <cell r="O379">
            <v>0</v>
          </cell>
          <cell r="P379">
            <v>0</v>
          </cell>
        </row>
        <row r="380">
          <cell r="A380">
            <v>379</v>
          </cell>
          <cell r="B380">
            <v>2</v>
          </cell>
          <cell r="C380" t="str">
            <v>06</v>
          </cell>
          <cell r="E380">
            <v>0</v>
          </cell>
          <cell r="F380" t="str">
            <v>** DIVERSOS</v>
          </cell>
          <cell r="H380">
            <v>0</v>
          </cell>
          <cell r="I380">
            <v>0</v>
          </cell>
          <cell r="J380">
            <v>0</v>
          </cell>
          <cell r="K380">
            <v>0</v>
          </cell>
          <cell r="L380">
            <v>0</v>
          </cell>
          <cell r="M380">
            <v>0</v>
          </cell>
          <cell r="N380">
            <v>0</v>
          </cell>
          <cell r="O380">
            <v>0</v>
          </cell>
          <cell r="P380">
            <v>0</v>
          </cell>
        </row>
        <row r="381">
          <cell r="A381">
            <v>380</v>
          </cell>
          <cell r="B381">
            <v>3</v>
          </cell>
          <cell r="C381" t="str">
            <v>06.01</v>
          </cell>
          <cell r="E381">
            <v>0</v>
          </cell>
          <cell r="F381" t="str">
            <v>* FORNEC.INSTAL.TUBOS E MEIA CANA</v>
          </cell>
          <cell r="H381">
            <v>0</v>
          </cell>
          <cell r="I381">
            <v>0</v>
          </cell>
          <cell r="J381">
            <v>0</v>
          </cell>
          <cell r="K381">
            <v>0</v>
          </cell>
          <cell r="L381">
            <v>0</v>
          </cell>
          <cell r="M381">
            <v>0</v>
          </cell>
          <cell r="N381">
            <v>0</v>
          </cell>
          <cell r="O381">
            <v>0</v>
          </cell>
          <cell r="P381">
            <v>0</v>
          </cell>
        </row>
        <row r="382">
          <cell r="A382">
            <v>381</v>
          </cell>
          <cell r="B382">
            <v>0</v>
          </cell>
          <cell r="C382" t="str">
            <v>06.01.01</v>
          </cell>
          <cell r="E382">
            <v>4023003</v>
          </cell>
          <cell r="F382" t="str">
            <v>FORNEC.INSTAL.TUBO CONCRETO P/DRENAG DN=80CM</v>
          </cell>
          <cell r="G382" t="str">
            <v>M</v>
          </cell>
          <cell r="H382">
            <v>120</v>
          </cell>
          <cell r="I382">
            <v>1</v>
          </cell>
          <cell r="J382">
            <v>1</v>
          </cell>
          <cell r="K382">
            <v>1</v>
          </cell>
          <cell r="L382">
            <v>1</v>
          </cell>
          <cell r="M382">
            <v>230.37</v>
          </cell>
          <cell r="N382">
            <v>27644.400000000001</v>
          </cell>
          <cell r="O382">
            <v>230.37</v>
          </cell>
          <cell r="P382">
            <v>27644.400000000001</v>
          </cell>
        </row>
        <row r="383">
          <cell r="A383">
            <v>382</v>
          </cell>
          <cell r="B383">
            <v>0</v>
          </cell>
          <cell r="C383" t="str">
            <v>06.01.02</v>
          </cell>
          <cell r="E383">
            <v>4023100</v>
          </cell>
          <cell r="F383" t="str">
            <v>FORNEC.INSTAL.TUBO CONCRETO PERFURADO DN=40CM</v>
          </cell>
          <cell r="G383" t="str">
            <v>M</v>
          </cell>
          <cell r="H383">
            <v>80</v>
          </cell>
          <cell r="I383">
            <v>1</v>
          </cell>
          <cell r="J383">
            <v>1</v>
          </cell>
          <cell r="K383">
            <v>1</v>
          </cell>
          <cell r="L383">
            <v>1</v>
          </cell>
          <cell r="M383">
            <v>108.6</v>
          </cell>
          <cell r="N383">
            <v>8688</v>
          </cell>
          <cell r="O383">
            <v>108.6</v>
          </cell>
          <cell r="P383">
            <v>8688</v>
          </cell>
        </row>
        <row r="384">
          <cell r="A384">
            <v>383</v>
          </cell>
          <cell r="B384">
            <v>0</v>
          </cell>
          <cell r="C384" t="str">
            <v>06.01.03</v>
          </cell>
          <cell r="E384">
            <v>4023207</v>
          </cell>
          <cell r="F384" t="str">
            <v>FORNEC.INSTAL.MEIA CANA CONCRETO DN=30CM</v>
          </cell>
          <cell r="G384" t="str">
            <v>M</v>
          </cell>
          <cell r="H384">
            <v>500</v>
          </cell>
          <cell r="I384">
            <v>1</v>
          </cell>
          <cell r="J384">
            <v>1</v>
          </cell>
          <cell r="K384">
            <v>1</v>
          </cell>
          <cell r="L384">
            <v>1</v>
          </cell>
          <cell r="M384">
            <v>18.91</v>
          </cell>
          <cell r="N384">
            <v>9455</v>
          </cell>
          <cell r="O384">
            <v>18.91</v>
          </cell>
          <cell r="P384">
            <v>9455</v>
          </cell>
        </row>
        <row r="385">
          <cell r="A385">
            <v>384</v>
          </cell>
          <cell r="B385">
            <v>0</v>
          </cell>
          <cell r="C385" t="str">
            <v>06.01.04</v>
          </cell>
          <cell r="E385">
            <v>4023304</v>
          </cell>
          <cell r="F385" t="str">
            <v>FORNEC.INATAL.MEIA CANA CONCRETO DN=40CM</v>
          </cell>
          <cell r="G385" t="str">
            <v>M</v>
          </cell>
          <cell r="H385">
            <v>450</v>
          </cell>
          <cell r="I385">
            <v>1</v>
          </cell>
          <cell r="J385">
            <v>1</v>
          </cell>
          <cell r="K385">
            <v>1</v>
          </cell>
          <cell r="L385">
            <v>1</v>
          </cell>
          <cell r="M385">
            <v>25.26</v>
          </cell>
          <cell r="N385">
            <v>11367</v>
          </cell>
          <cell r="O385">
            <v>25.26</v>
          </cell>
          <cell r="P385">
            <v>11367</v>
          </cell>
        </row>
        <row r="386">
          <cell r="A386">
            <v>385</v>
          </cell>
          <cell r="B386">
            <v>8</v>
          </cell>
          <cell r="E386">
            <v>0</v>
          </cell>
          <cell r="H386">
            <v>0</v>
          </cell>
          <cell r="I386">
            <v>0</v>
          </cell>
          <cell r="J386">
            <v>0</v>
          </cell>
          <cell r="K386">
            <v>0</v>
          </cell>
          <cell r="L386">
            <v>0</v>
          </cell>
          <cell r="M386">
            <v>0</v>
          </cell>
          <cell r="N386">
            <v>0</v>
          </cell>
          <cell r="O386">
            <v>0</v>
          </cell>
          <cell r="P386">
            <v>0</v>
          </cell>
        </row>
        <row r="387">
          <cell r="A387">
            <v>386</v>
          </cell>
          <cell r="B387">
            <v>3</v>
          </cell>
          <cell r="C387" t="str">
            <v>06.02</v>
          </cell>
          <cell r="E387">
            <v>0</v>
          </cell>
          <cell r="F387" t="str">
            <v>* ANCORAGEM-DIVERSAS PARTES DA OBRA</v>
          </cell>
          <cell r="H387">
            <v>0</v>
          </cell>
          <cell r="I387">
            <v>0</v>
          </cell>
          <cell r="J387">
            <v>0</v>
          </cell>
          <cell r="K387">
            <v>0</v>
          </cell>
          <cell r="L387">
            <v>0</v>
          </cell>
          <cell r="M387">
            <v>0</v>
          </cell>
          <cell r="N387">
            <v>0</v>
          </cell>
          <cell r="O387">
            <v>0</v>
          </cell>
          <cell r="P387">
            <v>0</v>
          </cell>
        </row>
        <row r="388">
          <cell r="A388">
            <v>387</v>
          </cell>
          <cell r="B388">
            <v>0</v>
          </cell>
          <cell r="C388" t="str">
            <v>06.02.01</v>
          </cell>
          <cell r="E388">
            <v>4023401</v>
          </cell>
          <cell r="F388" t="str">
            <v>PERF.ROTOPERCUSSIVA ROCHA DN 76MM CEU ABERTO</v>
          </cell>
          <cell r="G388" t="str">
            <v>M</v>
          </cell>
          <cell r="H388">
            <v>57200</v>
          </cell>
          <cell r="I388">
            <v>1</v>
          </cell>
          <cell r="J388">
            <v>1</v>
          </cell>
          <cell r="K388">
            <v>1</v>
          </cell>
          <cell r="L388">
            <v>1</v>
          </cell>
          <cell r="M388">
            <v>17.39</v>
          </cell>
          <cell r="N388">
            <v>994708</v>
          </cell>
          <cell r="O388">
            <v>17.39</v>
          </cell>
          <cell r="P388">
            <v>994708</v>
          </cell>
        </row>
        <row r="389">
          <cell r="A389">
            <v>388</v>
          </cell>
          <cell r="B389">
            <v>0</v>
          </cell>
          <cell r="C389" t="str">
            <v>06.02.02</v>
          </cell>
          <cell r="E389">
            <v>4023508</v>
          </cell>
          <cell r="F389" t="str">
            <v>BARRAS ANCORAGEM DN 32MM</v>
          </cell>
          <cell r="G389" t="str">
            <v>T</v>
          </cell>
          <cell r="H389">
            <v>469</v>
          </cell>
          <cell r="I389">
            <v>1</v>
          </cell>
          <cell r="J389">
            <v>1</v>
          </cell>
          <cell r="K389">
            <v>1</v>
          </cell>
          <cell r="L389">
            <v>1</v>
          </cell>
          <cell r="M389">
            <v>1890.86</v>
          </cell>
          <cell r="N389">
            <v>886813.34</v>
          </cell>
          <cell r="O389">
            <v>1890.86</v>
          </cell>
          <cell r="P389">
            <v>886813.34</v>
          </cell>
        </row>
        <row r="390">
          <cell r="A390">
            <v>389</v>
          </cell>
          <cell r="B390">
            <v>8</v>
          </cell>
          <cell r="E390">
            <v>0</v>
          </cell>
          <cell r="H390">
            <v>0</v>
          </cell>
          <cell r="I390">
            <v>0</v>
          </cell>
          <cell r="J390">
            <v>0</v>
          </cell>
          <cell r="K390">
            <v>0</v>
          </cell>
          <cell r="L390">
            <v>0</v>
          </cell>
          <cell r="M390">
            <v>0</v>
          </cell>
          <cell r="N390">
            <v>0</v>
          </cell>
          <cell r="O390">
            <v>0</v>
          </cell>
          <cell r="P390">
            <v>0</v>
          </cell>
        </row>
        <row r="391">
          <cell r="A391">
            <v>390</v>
          </cell>
          <cell r="B391">
            <v>3</v>
          </cell>
          <cell r="C391" t="str">
            <v>06.03</v>
          </cell>
          <cell r="E391">
            <v>0</v>
          </cell>
          <cell r="F391" t="str">
            <v>* DIVERSOS</v>
          </cell>
          <cell r="H391">
            <v>0</v>
          </cell>
          <cell r="I391">
            <v>0</v>
          </cell>
          <cell r="J391">
            <v>0</v>
          </cell>
          <cell r="K391">
            <v>0</v>
          </cell>
          <cell r="L391">
            <v>0</v>
          </cell>
          <cell r="M391">
            <v>0</v>
          </cell>
          <cell r="N391">
            <v>0</v>
          </cell>
          <cell r="O391">
            <v>0</v>
          </cell>
          <cell r="P391">
            <v>0</v>
          </cell>
        </row>
        <row r="392">
          <cell r="A392">
            <v>391</v>
          </cell>
          <cell r="B392">
            <v>0</v>
          </cell>
          <cell r="C392" t="str">
            <v>06.03.01</v>
          </cell>
          <cell r="E392">
            <v>4023605</v>
          </cell>
          <cell r="F392" t="str">
            <v>PONTE AUXILIAR JUSANTE ESTR.METALICA (4VAOS)</v>
          </cell>
          <cell r="G392" t="str">
            <v>TON</v>
          </cell>
          <cell r="H392">
            <v>106</v>
          </cell>
          <cell r="I392">
            <v>1</v>
          </cell>
          <cell r="J392">
            <v>1</v>
          </cell>
          <cell r="K392">
            <v>1</v>
          </cell>
          <cell r="L392">
            <v>1</v>
          </cell>
          <cell r="M392">
            <v>4700</v>
          </cell>
          <cell r="N392">
            <v>498200</v>
          </cell>
          <cell r="O392">
            <v>4700</v>
          </cell>
          <cell r="P392">
            <v>498200</v>
          </cell>
        </row>
        <row r="393">
          <cell r="A393">
            <v>392</v>
          </cell>
          <cell r="B393">
            <v>0</v>
          </cell>
          <cell r="C393" t="str">
            <v>06.03.02</v>
          </cell>
          <cell r="E393">
            <v>4023702</v>
          </cell>
          <cell r="F393" t="str">
            <v>REMOCAO PONTE AUXILIAR - JUSANTE</v>
          </cell>
          <cell r="G393" t="str">
            <v>GL</v>
          </cell>
          <cell r="H393">
            <v>1</v>
          </cell>
          <cell r="I393">
            <v>1</v>
          </cell>
          <cell r="J393">
            <v>1</v>
          </cell>
          <cell r="K393">
            <v>1</v>
          </cell>
          <cell r="L393">
            <v>1</v>
          </cell>
          <cell r="M393">
            <v>1</v>
          </cell>
          <cell r="N393">
            <v>1</v>
          </cell>
          <cell r="O393">
            <v>1</v>
          </cell>
          <cell r="P393">
            <v>1</v>
          </cell>
        </row>
        <row r="394">
          <cell r="A394">
            <v>393</v>
          </cell>
          <cell r="B394">
            <v>0</v>
          </cell>
          <cell r="C394" t="str">
            <v>06.03.03</v>
          </cell>
          <cell r="E394">
            <v>4023809</v>
          </cell>
          <cell r="F394" t="str">
            <v>OPERACAO DE FECHAMENTO VAOS REBAIXADOS</v>
          </cell>
          <cell r="G394" t="str">
            <v>UN</v>
          </cell>
          <cell r="H394">
            <v>1</v>
          </cell>
          <cell r="I394">
            <v>1</v>
          </cell>
          <cell r="J394">
            <v>1</v>
          </cell>
          <cell r="K394">
            <v>1</v>
          </cell>
          <cell r="L394">
            <v>1</v>
          </cell>
          <cell r="M394">
            <v>100000</v>
          </cell>
          <cell r="N394">
            <v>100000</v>
          </cell>
          <cell r="O394">
            <v>100000</v>
          </cell>
          <cell r="P394">
            <v>100000</v>
          </cell>
        </row>
        <row r="395">
          <cell r="A395">
            <v>394</v>
          </cell>
          <cell r="B395">
            <v>0</v>
          </cell>
          <cell r="C395" t="str">
            <v>06.03.04</v>
          </cell>
          <cell r="E395">
            <v>4023906</v>
          </cell>
          <cell r="F395" t="str">
            <v>BOIAS DE SINALIZACAO (SW 3.12.4)</v>
          </cell>
          <cell r="G395" t="str">
            <v>GB</v>
          </cell>
          <cell r="H395">
            <v>1</v>
          </cell>
          <cell r="I395">
            <v>1</v>
          </cell>
          <cell r="J395">
            <v>1</v>
          </cell>
          <cell r="K395">
            <v>1</v>
          </cell>
          <cell r="L395">
            <v>1</v>
          </cell>
          <cell r="M395">
            <v>100000</v>
          </cell>
          <cell r="N395">
            <v>100000</v>
          </cell>
          <cell r="O395">
            <v>100000</v>
          </cell>
          <cell r="P395">
            <v>100000</v>
          </cell>
        </row>
        <row r="396">
          <cell r="A396">
            <v>395</v>
          </cell>
          <cell r="B396">
            <v>8</v>
          </cell>
          <cell r="E396">
            <v>0</v>
          </cell>
          <cell r="H396">
            <v>0</v>
          </cell>
          <cell r="I396">
            <v>0</v>
          </cell>
          <cell r="J396">
            <v>0</v>
          </cell>
          <cell r="K396">
            <v>0</v>
          </cell>
          <cell r="L396">
            <v>0</v>
          </cell>
          <cell r="M396">
            <v>0</v>
          </cell>
          <cell r="N396">
            <v>0</v>
          </cell>
          <cell r="O396">
            <v>0</v>
          </cell>
          <cell r="P396">
            <v>0</v>
          </cell>
        </row>
        <row r="397">
          <cell r="A397">
            <v>396</v>
          </cell>
          <cell r="B397">
            <v>2</v>
          </cell>
          <cell r="C397" t="str">
            <v>07</v>
          </cell>
          <cell r="E397">
            <v>0</v>
          </cell>
          <cell r="F397" t="str">
            <v>** EMBUTIDOS, ELEMENTOS MET. SIST.ATERR.ANCORAGENS</v>
          </cell>
          <cell r="H397">
            <v>0</v>
          </cell>
          <cell r="I397">
            <v>0</v>
          </cell>
          <cell r="J397">
            <v>0</v>
          </cell>
          <cell r="K397">
            <v>0</v>
          </cell>
          <cell r="L397">
            <v>0</v>
          </cell>
          <cell r="M397">
            <v>0</v>
          </cell>
          <cell r="N397">
            <v>0</v>
          </cell>
          <cell r="O397">
            <v>0</v>
          </cell>
          <cell r="P397">
            <v>0</v>
          </cell>
        </row>
        <row r="398">
          <cell r="A398">
            <v>397</v>
          </cell>
          <cell r="B398">
            <v>4</v>
          </cell>
          <cell r="C398" t="str">
            <v>07.01</v>
          </cell>
          <cell r="E398">
            <v>0</v>
          </cell>
          <cell r="F398" t="str">
            <v>* ESTR. E COBERTURA CASA DE FORCA</v>
          </cell>
          <cell r="H398">
            <v>0</v>
          </cell>
          <cell r="I398">
            <v>0</v>
          </cell>
          <cell r="J398">
            <v>0</v>
          </cell>
          <cell r="K398">
            <v>0</v>
          </cell>
          <cell r="L398">
            <v>0</v>
          </cell>
          <cell r="M398">
            <v>0</v>
          </cell>
          <cell r="N398">
            <v>0</v>
          </cell>
          <cell r="O398">
            <v>0</v>
          </cell>
          <cell r="P398">
            <v>0</v>
          </cell>
        </row>
        <row r="399">
          <cell r="A399">
            <v>398</v>
          </cell>
          <cell r="B399">
            <v>0</v>
          </cell>
          <cell r="C399" t="str">
            <v>07.01.01</v>
          </cell>
          <cell r="E399">
            <v>4024006</v>
          </cell>
          <cell r="F399" t="str">
            <v>ESTRUTURA METALICA - CASA DE FORCA</v>
          </cell>
          <cell r="G399" t="str">
            <v>T</v>
          </cell>
          <cell r="H399">
            <v>305</v>
          </cell>
          <cell r="I399">
            <v>1</v>
          </cell>
          <cell r="J399">
            <v>1</v>
          </cell>
          <cell r="K399">
            <v>1</v>
          </cell>
          <cell r="L399">
            <v>1</v>
          </cell>
          <cell r="M399">
            <v>4230</v>
          </cell>
          <cell r="N399">
            <v>1290150</v>
          </cell>
          <cell r="O399">
            <v>4230</v>
          </cell>
          <cell r="P399">
            <v>1290150</v>
          </cell>
        </row>
        <row r="400">
          <cell r="A400">
            <v>399</v>
          </cell>
          <cell r="B400">
            <v>0</v>
          </cell>
          <cell r="C400" t="str">
            <v>07.01.02</v>
          </cell>
          <cell r="E400">
            <v>4024103</v>
          </cell>
          <cell r="F400" t="str">
            <v>COBERTURA DA CASA DE FORCA</v>
          </cell>
          <cell r="G400" t="str">
            <v>M2</v>
          </cell>
          <cell r="H400">
            <v>11880</v>
          </cell>
          <cell r="I400">
            <v>1</v>
          </cell>
          <cell r="J400">
            <v>1</v>
          </cell>
          <cell r="K400">
            <v>1</v>
          </cell>
          <cell r="L400">
            <v>1</v>
          </cell>
          <cell r="M400">
            <v>52</v>
          </cell>
          <cell r="N400">
            <v>617760</v>
          </cell>
          <cell r="O400">
            <v>52</v>
          </cell>
          <cell r="P400">
            <v>617760</v>
          </cell>
        </row>
        <row r="401">
          <cell r="A401">
            <v>400</v>
          </cell>
          <cell r="B401">
            <v>8</v>
          </cell>
          <cell r="E401">
            <v>0</v>
          </cell>
          <cell r="H401">
            <v>0</v>
          </cell>
          <cell r="I401">
            <v>0</v>
          </cell>
          <cell r="J401">
            <v>0</v>
          </cell>
          <cell r="K401">
            <v>0</v>
          </cell>
          <cell r="L401">
            <v>0</v>
          </cell>
          <cell r="M401">
            <v>0</v>
          </cell>
          <cell r="N401">
            <v>0</v>
          </cell>
          <cell r="O401">
            <v>0</v>
          </cell>
          <cell r="P401">
            <v>0</v>
          </cell>
        </row>
        <row r="402">
          <cell r="A402">
            <v>401</v>
          </cell>
          <cell r="B402">
            <v>4</v>
          </cell>
          <cell r="C402" t="str">
            <v>07.02</v>
          </cell>
          <cell r="E402">
            <v>0</v>
          </cell>
          <cell r="F402" t="str">
            <v>* TUBOS EMBUTIDOS NO CONCRETO 1. ESTAGIO</v>
          </cell>
          <cell r="H402">
            <v>0</v>
          </cell>
          <cell r="I402">
            <v>0</v>
          </cell>
          <cell r="J402">
            <v>0</v>
          </cell>
          <cell r="K402">
            <v>0</v>
          </cell>
          <cell r="L402">
            <v>0</v>
          </cell>
          <cell r="M402">
            <v>0</v>
          </cell>
          <cell r="N402">
            <v>0</v>
          </cell>
          <cell r="O402">
            <v>0</v>
          </cell>
          <cell r="P402">
            <v>0</v>
          </cell>
        </row>
        <row r="403">
          <cell r="A403">
            <v>402</v>
          </cell>
          <cell r="B403">
            <v>0</v>
          </cell>
          <cell r="C403" t="str">
            <v>07.02.01</v>
          </cell>
          <cell r="E403">
            <v>4024200</v>
          </cell>
          <cell r="F403" t="str">
            <v>TUBOS E CONEXOES DE FERRO FUNDIDO</v>
          </cell>
          <cell r="G403" t="str">
            <v>KG</v>
          </cell>
          <cell r="H403">
            <v>390000</v>
          </cell>
          <cell r="I403">
            <v>1</v>
          </cell>
          <cell r="J403">
            <v>1</v>
          </cell>
          <cell r="K403">
            <v>1</v>
          </cell>
          <cell r="L403">
            <v>1</v>
          </cell>
          <cell r="M403">
            <v>8.43</v>
          </cell>
          <cell r="N403">
            <v>3287700</v>
          </cell>
          <cell r="O403">
            <v>8.43</v>
          </cell>
          <cell r="P403">
            <v>3287700</v>
          </cell>
        </row>
        <row r="404">
          <cell r="A404">
            <v>403</v>
          </cell>
          <cell r="B404">
            <v>0</v>
          </cell>
          <cell r="C404" t="str">
            <v>07.02.02</v>
          </cell>
          <cell r="E404">
            <v>4024307</v>
          </cell>
          <cell r="F404" t="str">
            <v>TUBOS E CONEXOES DE ACO</v>
          </cell>
          <cell r="G404" t="str">
            <v>KG</v>
          </cell>
          <cell r="H404">
            <v>210000</v>
          </cell>
          <cell r="I404">
            <v>1</v>
          </cell>
          <cell r="J404">
            <v>1</v>
          </cell>
          <cell r="K404">
            <v>1</v>
          </cell>
          <cell r="L404">
            <v>1</v>
          </cell>
          <cell r="M404">
            <v>4.8899999999999997</v>
          </cell>
          <cell r="N404">
            <v>1026900</v>
          </cell>
          <cell r="O404">
            <v>4.8899999999999997</v>
          </cell>
          <cell r="P404">
            <v>1026900</v>
          </cell>
        </row>
        <row r="405">
          <cell r="A405">
            <v>404</v>
          </cell>
          <cell r="B405">
            <v>0</v>
          </cell>
          <cell r="C405" t="str">
            <v>07.02.03</v>
          </cell>
          <cell r="E405">
            <v>4024404</v>
          </cell>
          <cell r="F405" t="str">
            <v>ELETRODUTOS DE ACO GALVANIZADO</v>
          </cell>
          <cell r="G405" t="str">
            <v>KG</v>
          </cell>
          <cell r="H405">
            <v>31000</v>
          </cell>
          <cell r="I405">
            <v>1</v>
          </cell>
          <cell r="J405">
            <v>1</v>
          </cell>
          <cell r="K405">
            <v>1</v>
          </cell>
          <cell r="L405">
            <v>1</v>
          </cell>
          <cell r="M405">
            <v>36.799999999999997</v>
          </cell>
          <cell r="N405">
            <v>1140800</v>
          </cell>
          <cell r="O405">
            <v>36.799999999999997</v>
          </cell>
          <cell r="P405">
            <v>1140800</v>
          </cell>
        </row>
        <row r="406">
          <cell r="A406">
            <v>405</v>
          </cell>
          <cell r="B406">
            <v>0</v>
          </cell>
          <cell r="C406" t="str">
            <v>07.02.04</v>
          </cell>
          <cell r="E406">
            <v>4024501</v>
          </cell>
          <cell r="F406" t="str">
            <v>EMBUTIDOS ELETRICOS - MISCELANEOS</v>
          </cell>
          <cell r="G406" t="str">
            <v>GB</v>
          </cell>
          <cell r="H406">
            <v>1</v>
          </cell>
          <cell r="I406">
            <v>1</v>
          </cell>
          <cell r="J406">
            <v>1</v>
          </cell>
          <cell r="K406">
            <v>1</v>
          </cell>
          <cell r="L406">
            <v>1</v>
          </cell>
          <cell r="M406">
            <v>500000</v>
          </cell>
          <cell r="N406">
            <v>500000</v>
          </cell>
          <cell r="O406">
            <v>500000</v>
          </cell>
          <cell r="P406">
            <v>500000</v>
          </cell>
        </row>
        <row r="407">
          <cell r="A407">
            <v>406</v>
          </cell>
          <cell r="B407">
            <v>0</v>
          </cell>
          <cell r="C407" t="str">
            <v>07.02.05</v>
          </cell>
          <cell r="E407">
            <v>4024556</v>
          </cell>
          <cell r="F407" t="str">
            <v>FORNEC/INSTAL. TUBO PVC RIGIDO - DN 1100 MM</v>
          </cell>
          <cell r="G407" t="str">
            <v>M</v>
          </cell>
          <cell r="H407">
            <v>5500</v>
          </cell>
          <cell r="I407">
            <v>1</v>
          </cell>
          <cell r="J407">
            <v>1</v>
          </cell>
          <cell r="K407">
            <v>1</v>
          </cell>
          <cell r="L407">
            <v>1</v>
          </cell>
          <cell r="M407">
            <v>33.729999999999997</v>
          </cell>
          <cell r="N407">
            <v>185515</v>
          </cell>
          <cell r="O407">
            <v>33.729999999999997</v>
          </cell>
          <cell r="P407">
            <v>185515</v>
          </cell>
        </row>
        <row r="408">
          <cell r="A408">
            <v>407</v>
          </cell>
          <cell r="B408">
            <v>8</v>
          </cell>
          <cell r="E408">
            <v>0</v>
          </cell>
          <cell r="H408">
            <v>0</v>
          </cell>
          <cell r="I408">
            <v>0</v>
          </cell>
          <cell r="J408">
            <v>0</v>
          </cell>
          <cell r="K408">
            <v>0</v>
          </cell>
          <cell r="L408">
            <v>0</v>
          </cell>
          <cell r="M408">
            <v>0</v>
          </cell>
          <cell r="N408">
            <v>0</v>
          </cell>
          <cell r="O408">
            <v>0</v>
          </cell>
          <cell r="P408">
            <v>0</v>
          </cell>
        </row>
        <row r="409">
          <cell r="A409">
            <v>408</v>
          </cell>
          <cell r="B409">
            <v>4</v>
          </cell>
          <cell r="C409" t="str">
            <v>07.04</v>
          </cell>
          <cell r="E409">
            <v>0</v>
          </cell>
          <cell r="F409" t="str">
            <v>* PECAS FIXAS EMBUTIDAS NO CONCRETO DE 1. ESTAGIO</v>
          </cell>
          <cell r="H409">
            <v>0</v>
          </cell>
          <cell r="I409">
            <v>0</v>
          </cell>
          <cell r="J409">
            <v>0</v>
          </cell>
          <cell r="K409">
            <v>0</v>
          </cell>
          <cell r="L409">
            <v>0</v>
          </cell>
          <cell r="M409">
            <v>0</v>
          </cell>
          <cell r="N409">
            <v>0</v>
          </cell>
          <cell r="O409">
            <v>0</v>
          </cell>
          <cell r="P409">
            <v>0</v>
          </cell>
        </row>
        <row r="410">
          <cell r="A410">
            <v>409</v>
          </cell>
          <cell r="B410">
            <v>0</v>
          </cell>
          <cell r="C410" t="str">
            <v>07.04.01</v>
          </cell>
          <cell r="E410">
            <v>4024608</v>
          </cell>
          <cell r="F410" t="str">
            <v>PECAS FIXAS EMBUTIDAS - HIDROMECANICOS</v>
          </cell>
          <cell r="G410" t="str">
            <v>KG</v>
          </cell>
          <cell r="H410">
            <v>310000</v>
          </cell>
          <cell r="I410">
            <v>1</v>
          </cell>
          <cell r="J410">
            <v>1</v>
          </cell>
          <cell r="K410">
            <v>1</v>
          </cell>
          <cell r="L410">
            <v>1</v>
          </cell>
          <cell r="M410">
            <v>6.16</v>
          </cell>
          <cell r="N410">
            <v>1909600</v>
          </cell>
          <cell r="O410">
            <v>6.16</v>
          </cell>
          <cell r="P410">
            <v>1909600</v>
          </cell>
        </row>
        <row r="411">
          <cell r="A411">
            <v>410</v>
          </cell>
          <cell r="B411">
            <v>0</v>
          </cell>
          <cell r="C411" t="str">
            <v>07.04.02</v>
          </cell>
          <cell r="E411">
            <v>4024705</v>
          </cell>
          <cell r="F411" t="str">
            <v>PECAS FIXAS EMBUTIDAS - ICAMENTO</v>
          </cell>
          <cell r="G411" t="str">
            <v>KG</v>
          </cell>
          <cell r="H411">
            <v>120000</v>
          </cell>
          <cell r="I411">
            <v>1</v>
          </cell>
          <cell r="J411">
            <v>1</v>
          </cell>
          <cell r="K411">
            <v>1</v>
          </cell>
          <cell r="L411">
            <v>1</v>
          </cell>
          <cell r="M411">
            <v>6.16</v>
          </cell>
          <cell r="N411">
            <v>739200</v>
          </cell>
          <cell r="O411">
            <v>6.16</v>
          </cell>
          <cell r="P411">
            <v>739200</v>
          </cell>
        </row>
        <row r="412">
          <cell r="A412">
            <v>411</v>
          </cell>
          <cell r="B412">
            <v>8</v>
          </cell>
          <cell r="E412">
            <v>0</v>
          </cell>
          <cell r="H412">
            <v>0</v>
          </cell>
          <cell r="I412">
            <v>0</v>
          </cell>
          <cell r="J412">
            <v>0</v>
          </cell>
          <cell r="K412">
            <v>0</v>
          </cell>
          <cell r="L412">
            <v>0</v>
          </cell>
          <cell r="M412">
            <v>0</v>
          </cell>
          <cell r="N412">
            <v>0</v>
          </cell>
          <cell r="O412">
            <v>0</v>
          </cell>
          <cell r="P412">
            <v>0</v>
          </cell>
        </row>
        <row r="413">
          <cell r="A413">
            <v>412</v>
          </cell>
          <cell r="B413">
            <v>4</v>
          </cell>
          <cell r="C413" t="str">
            <v>07.05</v>
          </cell>
          <cell r="E413">
            <v>0</v>
          </cell>
          <cell r="F413" t="str">
            <v>* ESCADAS E CORRIMAO</v>
          </cell>
          <cell r="H413">
            <v>0</v>
          </cell>
          <cell r="I413">
            <v>0</v>
          </cell>
          <cell r="J413">
            <v>0</v>
          </cell>
          <cell r="K413">
            <v>0</v>
          </cell>
          <cell r="L413">
            <v>0</v>
          </cell>
          <cell r="M413">
            <v>0</v>
          </cell>
          <cell r="N413">
            <v>0</v>
          </cell>
          <cell r="O413">
            <v>0</v>
          </cell>
          <cell r="P413">
            <v>0</v>
          </cell>
        </row>
        <row r="414">
          <cell r="A414">
            <v>413</v>
          </cell>
          <cell r="B414">
            <v>0</v>
          </cell>
          <cell r="C414" t="str">
            <v>07.05.01</v>
          </cell>
          <cell r="E414">
            <v>4024802</v>
          </cell>
          <cell r="F414" t="str">
            <v>TAMPA MET.ESCOTILHA,GRADE,ESQUAD,CORR E ESCADAS</v>
          </cell>
          <cell r="G414" t="str">
            <v>KG</v>
          </cell>
          <cell r="H414">
            <v>250000</v>
          </cell>
          <cell r="I414">
            <v>1</v>
          </cell>
          <cell r="J414">
            <v>1</v>
          </cell>
          <cell r="K414">
            <v>1</v>
          </cell>
          <cell r="L414">
            <v>1</v>
          </cell>
          <cell r="M414">
            <v>6.96</v>
          </cell>
          <cell r="N414">
            <v>1740000</v>
          </cell>
          <cell r="O414">
            <v>6.96</v>
          </cell>
          <cell r="P414">
            <v>1740000</v>
          </cell>
        </row>
        <row r="415">
          <cell r="A415">
            <v>414</v>
          </cell>
          <cell r="B415">
            <v>8</v>
          </cell>
          <cell r="E415">
            <v>0</v>
          </cell>
          <cell r="H415">
            <v>0</v>
          </cell>
          <cell r="I415">
            <v>0</v>
          </cell>
          <cell r="J415">
            <v>0</v>
          </cell>
          <cell r="K415">
            <v>0</v>
          </cell>
          <cell r="L415">
            <v>0</v>
          </cell>
          <cell r="M415">
            <v>0</v>
          </cell>
          <cell r="N415">
            <v>0</v>
          </cell>
          <cell r="O415">
            <v>0</v>
          </cell>
          <cell r="P415">
            <v>0</v>
          </cell>
        </row>
        <row r="416">
          <cell r="A416">
            <v>415</v>
          </cell>
          <cell r="B416">
            <v>4</v>
          </cell>
          <cell r="C416" t="str">
            <v>07.06</v>
          </cell>
          <cell r="E416">
            <v>0</v>
          </cell>
          <cell r="F416" t="str">
            <v>* FORNECIMENTO E INSTALACAO DE JUNTAS</v>
          </cell>
          <cell r="H416">
            <v>0</v>
          </cell>
          <cell r="I416">
            <v>0</v>
          </cell>
          <cell r="J416">
            <v>0</v>
          </cell>
          <cell r="K416">
            <v>0</v>
          </cell>
          <cell r="L416">
            <v>0</v>
          </cell>
          <cell r="M416">
            <v>0</v>
          </cell>
          <cell r="N416">
            <v>0</v>
          </cell>
          <cell r="O416">
            <v>0</v>
          </cell>
          <cell r="P416">
            <v>0</v>
          </cell>
        </row>
        <row r="417">
          <cell r="A417">
            <v>416</v>
          </cell>
          <cell r="B417">
            <v>0</v>
          </cell>
          <cell r="C417" t="str">
            <v>07.06.01</v>
          </cell>
          <cell r="E417">
            <v>4024909</v>
          </cell>
          <cell r="F417" t="str">
            <v>FORNEC E INSTAL JUNTAS O-35</v>
          </cell>
          <cell r="G417" t="str">
            <v>M</v>
          </cell>
          <cell r="H417">
            <v>8323</v>
          </cell>
          <cell r="I417">
            <v>1</v>
          </cell>
          <cell r="J417">
            <v>1</v>
          </cell>
          <cell r="K417">
            <v>1</v>
          </cell>
          <cell r="L417">
            <v>1</v>
          </cell>
          <cell r="M417">
            <v>68.81</v>
          </cell>
          <cell r="N417">
            <v>572705.63</v>
          </cell>
          <cell r="O417">
            <v>68.81</v>
          </cell>
          <cell r="P417">
            <v>572705.63</v>
          </cell>
        </row>
        <row r="418">
          <cell r="A418">
            <v>417</v>
          </cell>
          <cell r="B418">
            <v>0</v>
          </cell>
          <cell r="C418" t="str">
            <v>07.06.02</v>
          </cell>
          <cell r="E418">
            <v>4025009</v>
          </cell>
          <cell r="F418" t="str">
            <v>FORNEC E INSTAL JUNTAS O-22</v>
          </cell>
          <cell r="G418" t="str">
            <v>M</v>
          </cell>
          <cell r="H418">
            <v>200</v>
          </cell>
          <cell r="I418">
            <v>1</v>
          </cell>
          <cell r="J418">
            <v>1</v>
          </cell>
          <cell r="K418">
            <v>1</v>
          </cell>
          <cell r="L418">
            <v>1</v>
          </cell>
          <cell r="M418">
            <v>58.3</v>
          </cell>
          <cell r="N418">
            <v>11660</v>
          </cell>
          <cell r="O418">
            <v>58.3</v>
          </cell>
          <cell r="P418">
            <v>11660</v>
          </cell>
        </row>
        <row r="419">
          <cell r="A419">
            <v>418</v>
          </cell>
          <cell r="B419">
            <v>8</v>
          </cell>
          <cell r="E419">
            <v>0</v>
          </cell>
          <cell r="H419">
            <v>0</v>
          </cell>
          <cell r="I419">
            <v>0</v>
          </cell>
          <cell r="J419">
            <v>0</v>
          </cell>
          <cell r="K419">
            <v>0</v>
          </cell>
          <cell r="L419">
            <v>0</v>
          </cell>
          <cell r="M419">
            <v>0</v>
          </cell>
          <cell r="N419">
            <v>0</v>
          </cell>
          <cell r="O419">
            <v>0</v>
          </cell>
          <cell r="P419">
            <v>0</v>
          </cell>
        </row>
        <row r="420">
          <cell r="A420">
            <v>419</v>
          </cell>
          <cell r="B420">
            <v>4</v>
          </cell>
          <cell r="C420" t="str">
            <v>07.07</v>
          </cell>
          <cell r="E420">
            <v>0</v>
          </cell>
          <cell r="F420" t="str">
            <v>* SISTEMA DE ATERRAMENTO DIVERSAS PARTES DA OBRA</v>
          </cell>
          <cell r="H420">
            <v>0</v>
          </cell>
          <cell r="I420">
            <v>0</v>
          </cell>
          <cell r="J420">
            <v>0</v>
          </cell>
          <cell r="K420">
            <v>0</v>
          </cell>
          <cell r="L420">
            <v>0</v>
          </cell>
          <cell r="M420">
            <v>0</v>
          </cell>
          <cell r="N420">
            <v>0</v>
          </cell>
          <cell r="O420">
            <v>0</v>
          </cell>
          <cell r="P420">
            <v>0</v>
          </cell>
        </row>
        <row r="421">
          <cell r="A421">
            <v>420</v>
          </cell>
          <cell r="B421">
            <v>0</v>
          </cell>
          <cell r="C421" t="str">
            <v>07.07.01</v>
          </cell>
          <cell r="E421">
            <v>4025106</v>
          </cell>
          <cell r="F421" t="str">
            <v>CABO DE COBRE NU, COM A SECCAO DE  35 MM2</v>
          </cell>
          <cell r="G421" t="str">
            <v>M</v>
          </cell>
          <cell r="H421">
            <v>5500</v>
          </cell>
          <cell r="I421">
            <v>1</v>
          </cell>
          <cell r="J421">
            <v>1</v>
          </cell>
          <cell r="K421">
            <v>1</v>
          </cell>
          <cell r="L421">
            <v>1</v>
          </cell>
          <cell r="M421">
            <v>7.17</v>
          </cell>
          <cell r="N421">
            <v>39435</v>
          </cell>
          <cell r="O421">
            <v>7.17</v>
          </cell>
          <cell r="P421">
            <v>39435</v>
          </cell>
        </row>
        <row r="422">
          <cell r="A422">
            <v>421</v>
          </cell>
          <cell r="B422">
            <v>0</v>
          </cell>
          <cell r="C422" t="str">
            <v>07.07.02</v>
          </cell>
          <cell r="E422">
            <v>4025203</v>
          </cell>
          <cell r="F422" t="str">
            <v>CABO DE COBRE NU, COM A SECCAO DE  95 MM2</v>
          </cell>
          <cell r="G422" t="str">
            <v>M</v>
          </cell>
          <cell r="H422">
            <v>1000</v>
          </cell>
          <cell r="I422">
            <v>1</v>
          </cell>
          <cell r="J422">
            <v>1</v>
          </cell>
          <cell r="K422">
            <v>1</v>
          </cell>
          <cell r="L422">
            <v>1</v>
          </cell>
          <cell r="M422">
            <v>12.74</v>
          </cell>
          <cell r="N422">
            <v>12740</v>
          </cell>
          <cell r="O422">
            <v>12.74</v>
          </cell>
          <cell r="P422">
            <v>12740</v>
          </cell>
        </row>
        <row r="423">
          <cell r="A423">
            <v>422</v>
          </cell>
          <cell r="B423">
            <v>0</v>
          </cell>
          <cell r="C423" t="str">
            <v>07.07.03</v>
          </cell>
          <cell r="E423">
            <v>4025300</v>
          </cell>
          <cell r="F423" t="str">
            <v>CABO DE COBRA NU, COM A SECCAO DE 185 MM2</v>
          </cell>
          <cell r="G423" t="str">
            <v>M</v>
          </cell>
          <cell r="H423">
            <v>50000</v>
          </cell>
          <cell r="I423">
            <v>1</v>
          </cell>
          <cell r="J423">
            <v>1</v>
          </cell>
          <cell r="K423">
            <v>1</v>
          </cell>
          <cell r="L423">
            <v>1</v>
          </cell>
          <cell r="M423">
            <v>24.08</v>
          </cell>
          <cell r="N423">
            <v>1204000</v>
          </cell>
          <cell r="O423">
            <v>24.08</v>
          </cell>
          <cell r="P423">
            <v>1204000</v>
          </cell>
        </row>
        <row r="424">
          <cell r="A424">
            <v>423</v>
          </cell>
          <cell r="B424">
            <v>0</v>
          </cell>
          <cell r="C424" t="str">
            <v>07.07.04</v>
          </cell>
          <cell r="E424">
            <v>4025407</v>
          </cell>
          <cell r="F424" t="str">
            <v>MOLDE DE CONEXAO EXOTERMICA</v>
          </cell>
          <cell r="G424" t="str">
            <v>UN</v>
          </cell>
          <cell r="H424">
            <v>190</v>
          </cell>
          <cell r="I424">
            <v>1</v>
          </cell>
          <cell r="J424">
            <v>1</v>
          </cell>
          <cell r="K424">
            <v>1</v>
          </cell>
          <cell r="L424">
            <v>1</v>
          </cell>
          <cell r="M424">
            <v>120</v>
          </cell>
          <cell r="N424">
            <v>22800</v>
          </cell>
          <cell r="O424">
            <v>120</v>
          </cell>
          <cell r="P424">
            <v>22800</v>
          </cell>
        </row>
        <row r="425">
          <cell r="A425">
            <v>424</v>
          </cell>
          <cell r="B425">
            <v>0</v>
          </cell>
          <cell r="C425" t="str">
            <v>07.07.05</v>
          </cell>
          <cell r="E425">
            <v>4025504</v>
          </cell>
          <cell r="F425" t="str">
            <v>CARTUCHO PARA SOLDA 250</v>
          </cell>
          <cell r="G425" t="str">
            <v>UN</v>
          </cell>
          <cell r="H425">
            <v>8400</v>
          </cell>
          <cell r="I425">
            <v>1</v>
          </cell>
          <cell r="J425">
            <v>1</v>
          </cell>
          <cell r="K425">
            <v>1</v>
          </cell>
          <cell r="L425">
            <v>1</v>
          </cell>
          <cell r="M425">
            <v>13.54</v>
          </cell>
          <cell r="N425">
            <v>113736</v>
          </cell>
          <cell r="O425">
            <v>13.54</v>
          </cell>
          <cell r="P425">
            <v>113736</v>
          </cell>
        </row>
        <row r="426">
          <cell r="A426">
            <v>425</v>
          </cell>
          <cell r="B426">
            <v>0</v>
          </cell>
          <cell r="C426" t="str">
            <v>07.07.06</v>
          </cell>
          <cell r="E426">
            <v>4025601</v>
          </cell>
          <cell r="F426" t="str">
            <v>HASTE PARA ATERRAMENTO</v>
          </cell>
          <cell r="G426" t="str">
            <v>UN</v>
          </cell>
          <cell r="H426">
            <v>140</v>
          </cell>
          <cell r="I426">
            <v>1</v>
          </cell>
          <cell r="J426">
            <v>1</v>
          </cell>
          <cell r="K426">
            <v>1</v>
          </cell>
          <cell r="L426">
            <v>1</v>
          </cell>
          <cell r="M426">
            <v>128</v>
          </cell>
          <cell r="N426">
            <v>17920</v>
          </cell>
          <cell r="O426">
            <v>128</v>
          </cell>
          <cell r="P426">
            <v>17920</v>
          </cell>
        </row>
        <row r="427">
          <cell r="A427">
            <v>426</v>
          </cell>
          <cell r="B427">
            <v>0</v>
          </cell>
          <cell r="C427" t="str">
            <v>07.07.07</v>
          </cell>
          <cell r="E427">
            <v>4025708</v>
          </cell>
          <cell r="F427" t="str">
            <v>MATERIAIS PARA ATERRAMENTO - DIVERSOS</v>
          </cell>
          <cell r="G427" t="str">
            <v>GB</v>
          </cell>
          <cell r="H427">
            <v>1</v>
          </cell>
          <cell r="I427">
            <v>1</v>
          </cell>
          <cell r="J427">
            <v>1</v>
          </cell>
          <cell r="K427">
            <v>1</v>
          </cell>
          <cell r="L427">
            <v>1</v>
          </cell>
          <cell r="M427">
            <v>40000</v>
          </cell>
          <cell r="N427">
            <v>40000</v>
          </cell>
          <cell r="O427">
            <v>40000</v>
          </cell>
          <cell r="P427">
            <v>40000</v>
          </cell>
        </row>
        <row r="428">
          <cell r="A428">
            <v>427</v>
          </cell>
          <cell r="B428">
            <v>8</v>
          </cell>
          <cell r="E428">
            <v>0</v>
          </cell>
          <cell r="H428">
            <v>0</v>
          </cell>
          <cell r="I428">
            <v>0</v>
          </cell>
          <cell r="J428">
            <v>0</v>
          </cell>
          <cell r="K428">
            <v>0</v>
          </cell>
          <cell r="L428">
            <v>0</v>
          </cell>
          <cell r="M428">
            <v>0</v>
          </cell>
          <cell r="N428">
            <v>0</v>
          </cell>
          <cell r="O428">
            <v>0</v>
          </cell>
          <cell r="P428">
            <v>0</v>
          </cell>
        </row>
        <row r="429">
          <cell r="A429">
            <v>428</v>
          </cell>
          <cell r="B429">
            <v>4</v>
          </cell>
          <cell r="C429" t="str">
            <v>07.08</v>
          </cell>
          <cell r="E429">
            <v>0</v>
          </cell>
          <cell r="F429" t="str">
            <v>* ACABAMENTOS</v>
          </cell>
          <cell r="H429">
            <v>0</v>
          </cell>
          <cell r="I429">
            <v>0</v>
          </cell>
          <cell r="J429">
            <v>0</v>
          </cell>
          <cell r="K429">
            <v>0</v>
          </cell>
          <cell r="L429">
            <v>0</v>
          </cell>
          <cell r="M429">
            <v>0</v>
          </cell>
          <cell r="N429">
            <v>0</v>
          </cell>
          <cell r="O429">
            <v>0</v>
          </cell>
          <cell r="P429">
            <v>0</v>
          </cell>
        </row>
        <row r="430">
          <cell r="A430">
            <v>429</v>
          </cell>
          <cell r="B430">
            <v>0</v>
          </cell>
          <cell r="C430" t="str">
            <v>07.08.01</v>
          </cell>
          <cell r="E430">
            <v>4025805</v>
          </cell>
          <cell r="F430" t="str">
            <v>ACABAMENTOS GERAIS</v>
          </cell>
          <cell r="G430" t="str">
            <v>R$</v>
          </cell>
          <cell r="H430">
            <v>2400000</v>
          </cell>
          <cell r="I430">
            <v>1</v>
          </cell>
          <cell r="J430">
            <v>1</v>
          </cell>
          <cell r="K430">
            <v>1</v>
          </cell>
          <cell r="L430">
            <v>1</v>
          </cell>
          <cell r="M430">
            <v>1.25</v>
          </cell>
          <cell r="N430">
            <v>3000000</v>
          </cell>
          <cell r="O430">
            <v>1.25</v>
          </cell>
          <cell r="P430">
            <v>3000000</v>
          </cell>
        </row>
        <row r="431">
          <cell r="A431">
            <v>430</v>
          </cell>
          <cell r="B431">
            <v>0</v>
          </cell>
          <cell r="C431" t="str">
            <v>07.08.02</v>
          </cell>
          <cell r="E431">
            <v>4025902</v>
          </cell>
          <cell r="F431" t="str">
            <v>IMPERMEABILIZACOES</v>
          </cell>
          <cell r="G431" t="str">
            <v>R$</v>
          </cell>
          <cell r="H431">
            <v>400000</v>
          </cell>
          <cell r="I431">
            <v>1</v>
          </cell>
          <cell r="J431">
            <v>1</v>
          </cell>
          <cell r="K431">
            <v>1</v>
          </cell>
          <cell r="L431">
            <v>1</v>
          </cell>
          <cell r="M431">
            <v>1.25</v>
          </cell>
          <cell r="N431">
            <v>500000</v>
          </cell>
          <cell r="O431">
            <v>1.25</v>
          </cell>
          <cell r="P431">
            <v>500000</v>
          </cell>
        </row>
        <row r="432">
          <cell r="A432">
            <v>431</v>
          </cell>
          <cell r="B432">
            <v>0</v>
          </cell>
          <cell r="C432" t="str">
            <v>07.08.03</v>
          </cell>
          <cell r="E432">
            <v>4026002</v>
          </cell>
          <cell r="F432" t="str">
            <v>PISOS</v>
          </cell>
          <cell r="G432" t="str">
            <v>R$</v>
          </cell>
          <cell r="H432">
            <v>750000</v>
          </cell>
          <cell r="I432">
            <v>1</v>
          </cell>
          <cell r="J432">
            <v>1</v>
          </cell>
          <cell r="K432">
            <v>1</v>
          </cell>
          <cell r="L432">
            <v>1</v>
          </cell>
          <cell r="M432">
            <v>1.25</v>
          </cell>
          <cell r="N432">
            <v>937500</v>
          </cell>
          <cell r="O432">
            <v>1.25</v>
          </cell>
          <cell r="P432">
            <v>937500</v>
          </cell>
        </row>
        <row r="433">
          <cell r="A433">
            <v>432</v>
          </cell>
          <cell r="B433">
            <v>0</v>
          </cell>
          <cell r="C433" t="str">
            <v>07.08.04</v>
          </cell>
          <cell r="E433">
            <v>4026109</v>
          </cell>
          <cell r="F433" t="str">
            <v>ALVENARIAS</v>
          </cell>
          <cell r="G433" t="str">
            <v>R$</v>
          </cell>
          <cell r="H433">
            <v>150000</v>
          </cell>
          <cell r="I433">
            <v>1</v>
          </cell>
          <cell r="J433">
            <v>1</v>
          </cell>
          <cell r="K433">
            <v>1</v>
          </cell>
          <cell r="L433">
            <v>1</v>
          </cell>
          <cell r="M433">
            <v>1.25</v>
          </cell>
          <cell r="N433">
            <v>187500</v>
          </cell>
          <cell r="O433">
            <v>1.25</v>
          </cell>
          <cell r="P433">
            <v>187500</v>
          </cell>
        </row>
        <row r="434">
          <cell r="A434">
            <v>433</v>
          </cell>
          <cell r="B434">
            <v>0</v>
          </cell>
          <cell r="C434" t="str">
            <v>07.08.05</v>
          </cell>
          <cell r="E434">
            <v>4026206</v>
          </cell>
          <cell r="F434" t="str">
            <v>ESQUADRIAS METALICAS</v>
          </cell>
          <cell r="G434" t="str">
            <v>R$</v>
          </cell>
          <cell r="H434">
            <v>300000</v>
          </cell>
          <cell r="I434">
            <v>1</v>
          </cell>
          <cell r="J434">
            <v>1</v>
          </cell>
          <cell r="K434">
            <v>1</v>
          </cell>
          <cell r="L434">
            <v>1</v>
          </cell>
          <cell r="M434">
            <v>1.25</v>
          </cell>
          <cell r="N434">
            <v>375000</v>
          </cell>
          <cell r="O434">
            <v>1.25</v>
          </cell>
          <cell r="P434">
            <v>375000</v>
          </cell>
        </row>
        <row r="435">
          <cell r="A435">
            <v>434</v>
          </cell>
          <cell r="B435">
            <v>8</v>
          </cell>
          <cell r="E435">
            <v>0</v>
          </cell>
          <cell r="H435">
            <v>0</v>
          </cell>
          <cell r="I435">
            <v>0</v>
          </cell>
          <cell r="J435">
            <v>0</v>
          </cell>
          <cell r="K435">
            <v>0</v>
          </cell>
          <cell r="L435">
            <v>0</v>
          </cell>
          <cell r="M435">
            <v>0</v>
          </cell>
          <cell r="N435">
            <v>0</v>
          </cell>
          <cell r="O435">
            <v>0</v>
          </cell>
          <cell r="P435">
            <v>0</v>
          </cell>
        </row>
        <row r="436">
          <cell r="A436">
            <v>435</v>
          </cell>
          <cell r="B436">
            <v>2</v>
          </cell>
          <cell r="C436" t="str">
            <v>08</v>
          </cell>
          <cell r="E436">
            <v>0</v>
          </cell>
          <cell r="F436" t="str">
            <v>** SUBESTACAO OBRAS CIVIS</v>
          </cell>
          <cell r="H436">
            <v>0</v>
          </cell>
          <cell r="I436">
            <v>0</v>
          </cell>
          <cell r="J436">
            <v>0</v>
          </cell>
          <cell r="K436">
            <v>0</v>
          </cell>
          <cell r="L436">
            <v>0</v>
          </cell>
          <cell r="M436">
            <v>0</v>
          </cell>
          <cell r="N436">
            <v>0</v>
          </cell>
          <cell r="O436">
            <v>0</v>
          </cell>
          <cell r="P436">
            <v>0</v>
          </cell>
        </row>
        <row r="437">
          <cell r="A437">
            <v>436</v>
          </cell>
          <cell r="B437">
            <v>4</v>
          </cell>
          <cell r="C437" t="str">
            <v>08.01</v>
          </cell>
          <cell r="E437">
            <v>0</v>
          </cell>
          <cell r="F437" t="str">
            <v>* SE - OBRAS CIVIS</v>
          </cell>
          <cell r="H437">
            <v>0</v>
          </cell>
          <cell r="I437">
            <v>0</v>
          </cell>
          <cell r="J437">
            <v>0</v>
          </cell>
          <cell r="K437">
            <v>0</v>
          </cell>
          <cell r="L437">
            <v>0</v>
          </cell>
          <cell r="M437">
            <v>0</v>
          </cell>
          <cell r="N437">
            <v>0</v>
          </cell>
          <cell r="O437">
            <v>0</v>
          </cell>
          <cell r="P437">
            <v>0</v>
          </cell>
        </row>
        <row r="438">
          <cell r="A438">
            <v>437</v>
          </cell>
          <cell r="B438">
            <v>0</v>
          </cell>
          <cell r="C438" t="str">
            <v>08.01.01</v>
          </cell>
          <cell r="E438">
            <v>4026303</v>
          </cell>
          <cell r="F438" t="str">
            <v>SE - COMCRETO ESTRUTURAL FCK= 16MPA</v>
          </cell>
          <cell r="G438" t="str">
            <v>M3</v>
          </cell>
          <cell r="H438">
            <v>2765</v>
          </cell>
          <cell r="I438">
            <v>1</v>
          </cell>
          <cell r="J438">
            <v>1</v>
          </cell>
          <cell r="K438">
            <v>1</v>
          </cell>
          <cell r="L438">
            <v>1</v>
          </cell>
          <cell r="M438">
            <v>116.26</v>
          </cell>
          <cell r="N438">
            <v>321458.90000000002</v>
          </cell>
          <cell r="O438">
            <v>116.26</v>
          </cell>
          <cell r="P438">
            <v>321458.90000000002</v>
          </cell>
        </row>
        <row r="439">
          <cell r="A439">
            <v>438</v>
          </cell>
          <cell r="B439">
            <v>0</v>
          </cell>
          <cell r="C439" t="str">
            <v>08.01.02</v>
          </cell>
          <cell r="E439">
            <v>4026400</v>
          </cell>
          <cell r="F439" t="str">
            <v>SE - CONCRETO ESTRUTURAL FCK=  9MPA</v>
          </cell>
          <cell r="G439" t="str">
            <v>M3</v>
          </cell>
          <cell r="H439">
            <v>180</v>
          </cell>
          <cell r="I439">
            <v>1</v>
          </cell>
          <cell r="J439">
            <v>1</v>
          </cell>
          <cell r="K439">
            <v>1</v>
          </cell>
          <cell r="L439">
            <v>1</v>
          </cell>
          <cell r="M439">
            <v>102.12</v>
          </cell>
          <cell r="N439">
            <v>18381.599999999999</v>
          </cell>
          <cell r="O439">
            <v>102.12</v>
          </cell>
          <cell r="P439">
            <v>18381.599999999999</v>
          </cell>
        </row>
        <row r="440">
          <cell r="A440">
            <v>439</v>
          </cell>
          <cell r="B440">
            <v>0</v>
          </cell>
          <cell r="C440" t="str">
            <v>08.01.03</v>
          </cell>
          <cell r="E440">
            <v>4026507</v>
          </cell>
          <cell r="F440" t="str">
            <v>SE - FORMA PARA CONCRETO</v>
          </cell>
          <cell r="G440" t="str">
            <v>M2</v>
          </cell>
          <cell r="H440">
            <v>8670</v>
          </cell>
          <cell r="I440">
            <v>1</v>
          </cell>
          <cell r="J440">
            <v>1</v>
          </cell>
          <cell r="K440">
            <v>1</v>
          </cell>
          <cell r="L440">
            <v>1</v>
          </cell>
          <cell r="M440">
            <v>55.32</v>
          </cell>
          <cell r="N440">
            <v>479624.4</v>
          </cell>
          <cell r="O440">
            <v>55.32</v>
          </cell>
          <cell r="P440">
            <v>479624.4</v>
          </cell>
        </row>
        <row r="441">
          <cell r="A441">
            <v>440</v>
          </cell>
          <cell r="B441">
            <v>0</v>
          </cell>
          <cell r="C441" t="str">
            <v>08.01.04</v>
          </cell>
          <cell r="E441">
            <v>4026604</v>
          </cell>
          <cell r="F441" t="str">
            <v>SE - ARMADURA PARA CONCRETO</v>
          </cell>
          <cell r="G441" t="str">
            <v>T</v>
          </cell>
          <cell r="H441">
            <v>180</v>
          </cell>
          <cell r="I441">
            <v>1</v>
          </cell>
          <cell r="J441">
            <v>1</v>
          </cell>
          <cell r="K441">
            <v>1</v>
          </cell>
          <cell r="L441">
            <v>1</v>
          </cell>
          <cell r="M441">
            <v>1925.34</v>
          </cell>
          <cell r="N441">
            <v>346561.2</v>
          </cell>
          <cell r="O441">
            <v>1925.34</v>
          </cell>
          <cell r="P441">
            <v>346561.2</v>
          </cell>
        </row>
        <row r="442">
          <cell r="A442">
            <v>441</v>
          </cell>
          <cell r="B442">
            <v>0</v>
          </cell>
          <cell r="C442" t="str">
            <v>08.01.05</v>
          </cell>
          <cell r="E442">
            <v>4026701</v>
          </cell>
          <cell r="F442" t="str">
            <v>SE - ESCAVACAO MECANICA</v>
          </cell>
          <cell r="G442" t="str">
            <v>M3</v>
          </cell>
          <cell r="H442">
            <v>16185</v>
          </cell>
          <cell r="I442">
            <v>1</v>
          </cell>
          <cell r="J442">
            <v>1</v>
          </cell>
          <cell r="K442">
            <v>1</v>
          </cell>
          <cell r="L442">
            <v>1</v>
          </cell>
          <cell r="M442">
            <v>3.18</v>
          </cell>
          <cell r="N442">
            <v>51468.3</v>
          </cell>
          <cell r="O442">
            <v>3.18</v>
          </cell>
          <cell r="P442">
            <v>51468.3</v>
          </cell>
        </row>
        <row r="443">
          <cell r="A443">
            <v>442</v>
          </cell>
          <cell r="B443">
            <v>0</v>
          </cell>
          <cell r="C443" t="str">
            <v>08.01.06</v>
          </cell>
          <cell r="E443">
            <v>4026808</v>
          </cell>
          <cell r="F443" t="str">
            <v>SE - REATERRO COMPACTADO</v>
          </cell>
          <cell r="G443" t="str">
            <v>M3</v>
          </cell>
          <cell r="H443">
            <v>13000</v>
          </cell>
          <cell r="I443">
            <v>1</v>
          </cell>
          <cell r="J443">
            <v>1</v>
          </cell>
          <cell r="K443">
            <v>1</v>
          </cell>
          <cell r="L443">
            <v>1</v>
          </cell>
          <cell r="M443">
            <v>1</v>
          </cell>
          <cell r="N443">
            <v>13000</v>
          </cell>
          <cell r="O443">
            <v>1</v>
          </cell>
          <cell r="P443">
            <v>13000</v>
          </cell>
        </row>
        <row r="444">
          <cell r="A444">
            <v>443</v>
          </cell>
          <cell r="B444">
            <v>8</v>
          </cell>
          <cell r="E444">
            <v>0</v>
          </cell>
          <cell r="H444">
            <v>0</v>
          </cell>
          <cell r="I444">
            <v>0</v>
          </cell>
          <cell r="J444">
            <v>0</v>
          </cell>
          <cell r="K444">
            <v>0</v>
          </cell>
          <cell r="L444">
            <v>0</v>
          </cell>
          <cell r="M444">
            <v>0</v>
          </cell>
          <cell r="N444">
            <v>0</v>
          </cell>
          <cell r="O444">
            <v>0</v>
          </cell>
          <cell r="P444">
            <v>0</v>
          </cell>
        </row>
        <row r="445">
          <cell r="A445">
            <v>444</v>
          </cell>
          <cell r="B445">
            <v>4</v>
          </cell>
          <cell r="C445" t="str">
            <v>08.02</v>
          </cell>
          <cell r="E445">
            <v>0</v>
          </cell>
          <cell r="F445" t="str">
            <v>* SE - DRENAGEM</v>
          </cell>
          <cell r="H445">
            <v>0</v>
          </cell>
          <cell r="I445">
            <v>0</v>
          </cell>
          <cell r="J445">
            <v>0</v>
          </cell>
          <cell r="K445">
            <v>0</v>
          </cell>
          <cell r="L445">
            <v>0</v>
          </cell>
          <cell r="M445">
            <v>0</v>
          </cell>
          <cell r="N445">
            <v>0</v>
          </cell>
          <cell r="O445">
            <v>0</v>
          </cell>
          <cell r="P445">
            <v>0</v>
          </cell>
        </row>
        <row r="446">
          <cell r="A446">
            <v>445</v>
          </cell>
          <cell r="B446">
            <v>0</v>
          </cell>
          <cell r="C446" t="str">
            <v>08.02.01</v>
          </cell>
          <cell r="E446">
            <v>4026905</v>
          </cell>
          <cell r="F446" t="str">
            <v>SE - ESCAVACAO MEC DAS VALAS</v>
          </cell>
          <cell r="G446" t="str">
            <v>M3</v>
          </cell>
          <cell r="H446">
            <v>4820</v>
          </cell>
          <cell r="I446">
            <v>1</v>
          </cell>
          <cell r="J446">
            <v>1</v>
          </cell>
          <cell r="K446">
            <v>1</v>
          </cell>
          <cell r="L446">
            <v>1</v>
          </cell>
          <cell r="M446">
            <v>5.67</v>
          </cell>
          <cell r="N446">
            <v>27329.4</v>
          </cell>
          <cell r="O446">
            <v>5.67</v>
          </cell>
          <cell r="P446">
            <v>27329.4</v>
          </cell>
        </row>
        <row r="447">
          <cell r="A447">
            <v>446</v>
          </cell>
          <cell r="B447">
            <v>0</v>
          </cell>
          <cell r="C447" t="str">
            <v>08.02.02</v>
          </cell>
          <cell r="E447">
            <v>4027005</v>
          </cell>
          <cell r="F447" t="str">
            <v>SE - BRITA N. 03 PREENCHIMENTO DAS VALAS</v>
          </cell>
          <cell r="G447" t="str">
            <v>M3</v>
          </cell>
          <cell r="H447">
            <v>3965</v>
          </cell>
          <cell r="I447">
            <v>1</v>
          </cell>
          <cell r="J447">
            <v>1</v>
          </cell>
          <cell r="K447">
            <v>1</v>
          </cell>
          <cell r="L447">
            <v>1</v>
          </cell>
          <cell r="M447">
            <v>10.37</v>
          </cell>
          <cell r="N447">
            <v>41117.050000000003</v>
          </cell>
          <cell r="O447">
            <v>10.37</v>
          </cell>
          <cell r="P447">
            <v>41117.050000000003</v>
          </cell>
        </row>
        <row r="448">
          <cell r="A448">
            <v>447</v>
          </cell>
          <cell r="B448">
            <v>0</v>
          </cell>
          <cell r="C448" t="str">
            <v>08.02.03</v>
          </cell>
          <cell r="E448">
            <v>4027102</v>
          </cell>
          <cell r="F448" t="str">
            <v>SE - CARGA E TRANSPORTE DE MAT EXCEDENTE</v>
          </cell>
          <cell r="G448" t="str">
            <v>M3</v>
          </cell>
          <cell r="H448">
            <v>860</v>
          </cell>
          <cell r="I448">
            <v>1</v>
          </cell>
          <cell r="J448">
            <v>1</v>
          </cell>
          <cell r="K448">
            <v>1</v>
          </cell>
          <cell r="L448">
            <v>1</v>
          </cell>
          <cell r="M448">
            <v>2.83</v>
          </cell>
          <cell r="N448">
            <v>2433.8000000000002</v>
          </cell>
          <cell r="O448">
            <v>2.83</v>
          </cell>
          <cell r="P448">
            <v>2433.8000000000002</v>
          </cell>
        </row>
        <row r="449">
          <cell r="A449">
            <v>448</v>
          </cell>
          <cell r="B449">
            <v>0</v>
          </cell>
          <cell r="C449" t="str">
            <v>08.02.04</v>
          </cell>
          <cell r="E449">
            <v>4027209</v>
          </cell>
          <cell r="F449" t="str">
            <v>SE - FORNEC E ASSENT TUBO PVC 0,10M</v>
          </cell>
          <cell r="G449" t="str">
            <v>ML</v>
          </cell>
          <cell r="H449">
            <v>110</v>
          </cell>
          <cell r="I449">
            <v>1</v>
          </cell>
          <cell r="J449">
            <v>1</v>
          </cell>
          <cell r="K449">
            <v>1</v>
          </cell>
          <cell r="L449">
            <v>1</v>
          </cell>
          <cell r="M449">
            <v>2.21</v>
          </cell>
          <cell r="N449">
            <v>243.1</v>
          </cell>
          <cell r="O449">
            <v>2.21</v>
          </cell>
          <cell r="P449">
            <v>243.1</v>
          </cell>
        </row>
        <row r="450">
          <cell r="A450">
            <v>449</v>
          </cell>
          <cell r="B450">
            <v>0</v>
          </cell>
          <cell r="C450" t="str">
            <v>08.02.05</v>
          </cell>
          <cell r="E450">
            <v>4027306</v>
          </cell>
          <cell r="F450" t="str">
            <v>SE - FORNEC E ASSENT TUBO CONC SIMPLES D=0.20M</v>
          </cell>
          <cell r="G450" t="str">
            <v>ML</v>
          </cell>
          <cell r="H450">
            <v>175</v>
          </cell>
          <cell r="I450">
            <v>1</v>
          </cell>
          <cell r="J450">
            <v>1</v>
          </cell>
          <cell r="K450">
            <v>1</v>
          </cell>
          <cell r="L450">
            <v>1</v>
          </cell>
          <cell r="M450">
            <v>93.15</v>
          </cell>
          <cell r="N450">
            <v>16301.25</v>
          </cell>
          <cell r="O450">
            <v>93.15</v>
          </cell>
          <cell r="P450">
            <v>16301.25</v>
          </cell>
        </row>
        <row r="451">
          <cell r="A451">
            <v>450</v>
          </cell>
          <cell r="B451">
            <v>0</v>
          </cell>
          <cell r="C451" t="str">
            <v>08.02.06</v>
          </cell>
          <cell r="E451">
            <v>4027403</v>
          </cell>
          <cell r="F451" t="str">
            <v>SE - FORNEC E ASSENT TUBO CONC POROSO D=0.20M</v>
          </cell>
          <cell r="G451" t="str">
            <v>ML</v>
          </cell>
          <cell r="H451">
            <v>400</v>
          </cell>
          <cell r="I451">
            <v>1</v>
          </cell>
          <cell r="J451">
            <v>1</v>
          </cell>
          <cell r="K451">
            <v>1</v>
          </cell>
          <cell r="L451">
            <v>1</v>
          </cell>
          <cell r="M451">
            <v>93.65</v>
          </cell>
          <cell r="N451">
            <v>37460</v>
          </cell>
          <cell r="O451">
            <v>93.65</v>
          </cell>
          <cell r="P451">
            <v>37460</v>
          </cell>
        </row>
        <row r="452">
          <cell r="A452">
            <v>451</v>
          </cell>
          <cell r="B452">
            <v>0</v>
          </cell>
          <cell r="C452" t="str">
            <v>08.02.07</v>
          </cell>
          <cell r="E452">
            <v>4027500</v>
          </cell>
          <cell r="F452" t="str">
            <v>SE - FORNEC E ASSENT TUBO CONC POROSO D=0.30M</v>
          </cell>
          <cell r="G452" t="str">
            <v>ML</v>
          </cell>
          <cell r="H452">
            <v>1800</v>
          </cell>
          <cell r="I452">
            <v>1</v>
          </cell>
          <cell r="J452">
            <v>1</v>
          </cell>
          <cell r="K452">
            <v>1</v>
          </cell>
          <cell r="L452">
            <v>1</v>
          </cell>
          <cell r="M452">
            <v>122.89</v>
          </cell>
          <cell r="N452">
            <v>221202</v>
          </cell>
          <cell r="O452">
            <v>122.89</v>
          </cell>
          <cell r="P452">
            <v>221202</v>
          </cell>
        </row>
        <row r="453">
          <cell r="A453">
            <v>452</v>
          </cell>
          <cell r="B453">
            <v>0</v>
          </cell>
          <cell r="C453" t="str">
            <v>08.02.08</v>
          </cell>
          <cell r="E453">
            <v>4027607</v>
          </cell>
          <cell r="F453" t="str">
            <v>SE - FORNEC E ASSENT TUBO CONC ARMADO CA2 D=0.40M</v>
          </cell>
          <cell r="G453" t="str">
            <v>ML</v>
          </cell>
          <cell r="H453">
            <v>185</v>
          </cell>
          <cell r="I453">
            <v>1</v>
          </cell>
          <cell r="J453">
            <v>1</v>
          </cell>
          <cell r="K453">
            <v>1</v>
          </cell>
          <cell r="L453">
            <v>1</v>
          </cell>
          <cell r="M453">
            <v>108.6</v>
          </cell>
          <cell r="N453">
            <v>20091</v>
          </cell>
          <cell r="O453">
            <v>108.6</v>
          </cell>
          <cell r="P453">
            <v>20091</v>
          </cell>
        </row>
        <row r="454">
          <cell r="A454">
            <v>453</v>
          </cell>
          <cell r="B454">
            <v>0</v>
          </cell>
          <cell r="C454" t="str">
            <v>08.02.09</v>
          </cell>
          <cell r="E454">
            <v>4027704</v>
          </cell>
          <cell r="F454" t="str">
            <v>SE - FORNEC E ASSENT TUBO CONC ARMADO CA2 D=0.60M</v>
          </cell>
          <cell r="G454" t="str">
            <v>ML</v>
          </cell>
          <cell r="H454">
            <v>620</v>
          </cell>
          <cell r="I454">
            <v>1</v>
          </cell>
          <cell r="J454">
            <v>1</v>
          </cell>
          <cell r="K454">
            <v>1</v>
          </cell>
          <cell r="L454">
            <v>1</v>
          </cell>
          <cell r="M454">
            <v>298.29000000000002</v>
          </cell>
          <cell r="N454">
            <v>184939.8</v>
          </cell>
          <cell r="O454">
            <v>298.29000000000002</v>
          </cell>
          <cell r="P454">
            <v>184939.8</v>
          </cell>
        </row>
        <row r="455">
          <cell r="A455">
            <v>454</v>
          </cell>
          <cell r="B455">
            <v>0</v>
          </cell>
          <cell r="C455" t="str">
            <v>08.02.10</v>
          </cell>
          <cell r="E455">
            <v>4027801</v>
          </cell>
          <cell r="F455" t="str">
            <v>SE - FORNEC E ASSENT TUBO CONC ARMADO CA2 D=0.80M</v>
          </cell>
          <cell r="G455" t="str">
            <v>ML</v>
          </cell>
          <cell r="H455">
            <v>195</v>
          </cell>
          <cell r="I455">
            <v>1</v>
          </cell>
          <cell r="J455">
            <v>1</v>
          </cell>
          <cell r="K455">
            <v>1</v>
          </cell>
          <cell r="L455">
            <v>1</v>
          </cell>
          <cell r="M455">
            <v>232.29</v>
          </cell>
          <cell r="N455">
            <v>45296.55</v>
          </cell>
          <cell r="O455">
            <v>232.29</v>
          </cell>
          <cell r="P455">
            <v>45296.55</v>
          </cell>
        </row>
        <row r="456">
          <cell r="A456">
            <v>455</v>
          </cell>
          <cell r="B456">
            <v>0</v>
          </cell>
          <cell r="C456" t="str">
            <v>08.02.11</v>
          </cell>
          <cell r="E456">
            <v>4027908</v>
          </cell>
          <cell r="F456" t="str">
            <v>SE - BOCA DE LOBO COM CANTONEIRA, QUADRO E GRELHA</v>
          </cell>
          <cell r="G456" t="str">
            <v>UN</v>
          </cell>
          <cell r="H456">
            <v>36</v>
          </cell>
          <cell r="I456">
            <v>1</v>
          </cell>
          <cell r="J456">
            <v>1</v>
          </cell>
          <cell r="K456">
            <v>1</v>
          </cell>
          <cell r="L456">
            <v>1</v>
          </cell>
          <cell r="M456">
            <v>1865.19</v>
          </cell>
          <cell r="N456">
            <v>67146.84</v>
          </cell>
          <cell r="O456">
            <v>1865.19</v>
          </cell>
          <cell r="P456">
            <v>67146.84</v>
          </cell>
        </row>
        <row r="457">
          <cell r="A457">
            <v>456</v>
          </cell>
          <cell r="B457">
            <v>0</v>
          </cell>
          <cell r="C457" t="str">
            <v>08.02.12</v>
          </cell>
          <cell r="E457">
            <v>4028008</v>
          </cell>
          <cell r="F457" t="str">
            <v>SE - BUEIRO SIMPLES TUB CONC (ABA SAIDA) P/ TUBO 0.80M</v>
          </cell>
          <cell r="G457" t="str">
            <v>UN</v>
          </cell>
          <cell r="H457">
            <v>2</v>
          </cell>
          <cell r="I457">
            <v>1</v>
          </cell>
          <cell r="J457">
            <v>1</v>
          </cell>
          <cell r="K457">
            <v>1</v>
          </cell>
          <cell r="L457">
            <v>1</v>
          </cell>
          <cell r="M457">
            <v>864.92</v>
          </cell>
          <cell r="N457">
            <v>1729.84</v>
          </cell>
          <cell r="O457">
            <v>864.92</v>
          </cell>
          <cell r="P457">
            <v>1729.84</v>
          </cell>
        </row>
        <row r="458">
          <cell r="A458">
            <v>457</v>
          </cell>
          <cell r="B458">
            <v>0</v>
          </cell>
          <cell r="C458" t="str">
            <v>08.02.13</v>
          </cell>
          <cell r="E458">
            <v>4028105</v>
          </cell>
          <cell r="F458" t="str">
            <v>SE - MANTA POLIESTER</v>
          </cell>
          <cell r="G458" t="str">
            <v>M2</v>
          </cell>
          <cell r="H458">
            <v>8570</v>
          </cell>
          <cell r="I458">
            <v>1</v>
          </cell>
          <cell r="J458">
            <v>1</v>
          </cell>
          <cell r="K458">
            <v>1</v>
          </cell>
          <cell r="L458">
            <v>1</v>
          </cell>
          <cell r="M458">
            <v>4.91</v>
          </cell>
          <cell r="N458">
            <v>42078.7</v>
          </cell>
          <cell r="O458">
            <v>4.91</v>
          </cell>
          <cell r="P458">
            <v>42078.7</v>
          </cell>
        </row>
        <row r="459">
          <cell r="A459">
            <v>458</v>
          </cell>
          <cell r="B459">
            <v>8</v>
          </cell>
          <cell r="E459">
            <v>0</v>
          </cell>
          <cell r="H459">
            <v>0</v>
          </cell>
          <cell r="I459">
            <v>0</v>
          </cell>
          <cell r="J459">
            <v>0</v>
          </cell>
          <cell r="K459">
            <v>0</v>
          </cell>
          <cell r="L459">
            <v>0</v>
          </cell>
          <cell r="M459">
            <v>0</v>
          </cell>
          <cell r="N459">
            <v>0</v>
          </cell>
          <cell r="O459">
            <v>0</v>
          </cell>
          <cell r="P459">
            <v>0</v>
          </cell>
        </row>
        <row r="460">
          <cell r="A460">
            <v>459</v>
          </cell>
          <cell r="B460">
            <v>4</v>
          </cell>
          <cell r="C460" t="str">
            <v>08.03</v>
          </cell>
          <cell r="E460">
            <v>0</v>
          </cell>
          <cell r="F460" t="str">
            <v>* SE - CONSTRUCAO DE ATERRO</v>
          </cell>
          <cell r="H460">
            <v>0</v>
          </cell>
          <cell r="I460">
            <v>0</v>
          </cell>
          <cell r="J460">
            <v>0</v>
          </cell>
          <cell r="K460">
            <v>0</v>
          </cell>
          <cell r="L460">
            <v>0</v>
          </cell>
          <cell r="M460">
            <v>0</v>
          </cell>
          <cell r="N460">
            <v>0</v>
          </cell>
          <cell r="O460">
            <v>0</v>
          </cell>
          <cell r="P460">
            <v>0</v>
          </cell>
        </row>
        <row r="461">
          <cell r="A461">
            <v>460</v>
          </cell>
          <cell r="B461">
            <v>0</v>
          </cell>
          <cell r="C461" t="str">
            <v>08.03.01</v>
          </cell>
          <cell r="E461">
            <v>4028202</v>
          </cell>
          <cell r="F461" t="str">
            <v>SUBESTACAO - SOLO COMPACTADO</v>
          </cell>
          <cell r="G461" t="str">
            <v>M3</v>
          </cell>
          <cell r="H461">
            <v>0</v>
          </cell>
          <cell r="I461">
            <v>1</v>
          </cell>
          <cell r="J461">
            <v>1</v>
          </cell>
          <cell r="K461">
            <v>1</v>
          </cell>
          <cell r="L461">
            <v>1</v>
          </cell>
          <cell r="M461">
            <v>1.1599999999999999</v>
          </cell>
          <cell r="N461">
            <v>0</v>
          </cell>
          <cell r="O461">
            <v>1.1599999999999999</v>
          </cell>
          <cell r="P461">
            <v>0</v>
          </cell>
        </row>
        <row r="462">
          <cell r="A462">
            <v>461</v>
          </cell>
          <cell r="B462">
            <v>0</v>
          </cell>
          <cell r="C462" t="str">
            <v>08.03.02</v>
          </cell>
          <cell r="E462">
            <v>4028309</v>
          </cell>
          <cell r="F462" t="str">
            <v>SUBESTACAO - ENROCAMENTO COMPACTADO</v>
          </cell>
          <cell r="G462" t="str">
            <v>M3</v>
          </cell>
          <cell r="H462">
            <v>660000</v>
          </cell>
          <cell r="I462">
            <v>1</v>
          </cell>
          <cell r="J462">
            <v>1</v>
          </cell>
          <cell r="K462">
            <v>1</v>
          </cell>
          <cell r="L462">
            <v>1</v>
          </cell>
          <cell r="M462">
            <v>0.67</v>
          </cell>
          <cell r="N462">
            <v>442200</v>
          </cell>
          <cell r="O462">
            <v>0.67</v>
          </cell>
          <cell r="P462">
            <v>442200</v>
          </cell>
        </row>
        <row r="463">
          <cell r="A463">
            <v>462</v>
          </cell>
          <cell r="B463">
            <v>0</v>
          </cell>
          <cell r="C463" t="str">
            <v>08.03.03</v>
          </cell>
          <cell r="E463">
            <v>4028406</v>
          </cell>
          <cell r="F463" t="str">
            <v>SUBESTACAO - PROTECAO TALUDE (GRAMA)</v>
          </cell>
          <cell r="G463" t="str">
            <v>M2</v>
          </cell>
          <cell r="H463">
            <v>19300</v>
          </cell>
          <cell r="I463">
            <v>1</v>
          </cell>
          <cell r="J463">
            <v>1</v>
          </cell>
          <cell r="K463">
            <v>1</v>
          </cell>
          <cell r="L463">
            <v>1</v>
          </cell>
          <cell r="M463">
            <v>6.08</v>
          </cell>
          <cell r="N463">
            <v>117344</v>
          </cell>
          <cell r="O463">
            <v>6.08</v>
          </cell>
          <cell r="P463">
            <v>117344</v>
          </cell>
        </row>
        <row r="464">
          <cell r="A464">
            <v>463</v>
          </cell>
          <cell r="B464">
            <v>0</v>
          </cell>
          <cell r="C464" t="str">
            <v>08.03.04</v>
          </cell>
          <cell r="E464">
            <v>4028503</v>
          </cell>
          <cell r="F464" t="str">
            <v>SUBESTACAO - BRITA N. 2 PARA O PATIO</v>
          </cell>
          <cell r="G464" t="str">
            <v>M3</v>
          </cell>
          <cell r="H464">
            <v>4200</v>
          </cell>
          <cell r="I464">
            <v>1</v>
          </cell>
          <cell r="J464">
            <v>1</v>
          </cell>
          <cell r="K464">
            <v>1</v>
          </cell>
          <cell r="L464">
            <v>1</v>
          </cell>
          <cell r="M464">
            <v>4.68</v>
          </cell>
          <cell r="N464">
            <v>19656</v>
          </cell>
          <cell r="O464">
            <v>4.68</v>
          </cell>
          <cell r="P464">
            <v>19656</v>
          </cell>
        </row>
        <row r="465">
          <cell r="A465">
            <v>464</v>
          </cell>
          <cell r="B465">
            <v>8</v>
          </cell>
          <cell r="E465">
            <v>0</v>
          </cell>
          <cell r="H465">
            <v>0</v>
          </cell>
          <cell r="I465">
            <v>0</v>
          </cell>
          <cell r="J465">
            <v>0</v>
          </cell>
          <cell r="K465">
            <v>0</v>
          </cell>
          <cell r="L465">
            <v>0</v>
          </cell>
          <cell r="M465">
            <v>0</v>
          </cell>
          <cell r="N465">
            <v>0</v>
          </cell>
          <cell r="O465">
            <v>0</v>
          </cell>
          <cell r="P465">
            <v>0</v>
          </cell>
        </row>
        <row r="466">
          <cell r="A466">
            <v>465</v>
          </cell>
          <cell r="B466">
            <v>2</v>
          </cell>
          <cell r="C466" t="str">
            <v>09</v>
          </cell>
          <cell r="E466">
            <v>0</v>
          </cell>
          <cell r="F466" t="str">
            <v>** INSTRUMENTACAO</v>
          </cell>
          <cell r="H466">
            <v>0</v>
          </cell>
          <cell r="I466">
            <v>0</v>
          </cell>
          <cell r="J466">
            <v>0</v>
          </cell>
          <cell r="K466">
            <v>0</v>
          </cell>
          <cell r="L466">
            <v>0</v>
          </cell>
          <cell r="M466">
            <v>0</v>
          </cell>
          <cell r="N466">
            <v>0</v>
          </cell>
          <cell r="O466">
            <v>0</v>
          </cell>
          <cell r="P466">
            <v>0</v>
          </cell>
        </row>
        <row r="467">
          <cell r="A467">
            <v>466</v>
          </cell>
          <cell r="B467">
            <v>4</v>
          </cell>
          <cell r="C467" t="str">
            <v>09.01</v>
          </cell>
          <cell r="E467">
            <v>0</v>
          </cell>
          <cell r="F467" t="str">
            <v>* INSTRUMENTACAO NAS DIVERSAS ESTRUTURAS</v>
          </cell>
          <cell r="H467">
            <v>0</v>
          </cell>
          <cell r="I467">
            <v>0</v>
          </cell>
          <cell r="J467">
            <v>0</v>
          </cell>
          <cell r="K467">
            <v>0</v>
          </cell>
          <cell r="L467">
            <v>0</v>
          </cell>
          <cell r="M467">
            <v>0</v>
          </cell>
          <cell r="N467">
            <v>0</v>
          </cell>
          <cell r="O467">
            <v>0</v>
          </cell>
          <cell r="P467">
            <v>0</v>
          </cell>
        </row>
        <row r="468">
          <cell r="A468">
            <v>467</v>
          </cell>
          <cell r="B468">
            <v>0</v>
          </cell>
          <cell r="C468" t="str">
            <v>09.01.01</v>
          </cell>
          <cell r="E468">
            <v>4028600</v>
          </cell>
          <cell r="F468" t="str">
            <v>AREA DE MONTAGEM</v>
          </cell>
          <cell r="G468" t="str">
            <v>R$</v>
          </cell>
          <cell r="H468">
            <v>5000</v>
          </cell>
          <cell r="I468">
            <v>1</v>
          </cell>
          <cell r="J468">
            <v>1</v>
          </cell>
          <cell r="K468">
            <v>1</v>
          </cell>
          <cell r="L468">
            <v>1</v>
          </cell>
          <cell r="M468">
            <v>1</v>
          </cell>
          <cell r="N468">
            <v>5000</v>
          </cell>
          <cell r="O468">
            <v>1</v>
          </cell>
          <cell r="P468">
            <v>5000</v>
          </cell>
        </row>
        <row r="469">
          <cell r="A469">
            <v>468</v>
          </cell>
          <cell r="B469">
            <v>0</v>
          </cell>
          <cell r="C469" t="str">
            <v>09.01.02</v>
          </cell>
          <cell r="E469">
            <v>4028707</v>
          </cell>
          <cell r="F469" t="str">
            <v>TOMADA D AGUA</v>
          </cell>
          <cell r="G469" t="str">
            <v>R$</v>
          </cell>
          <cell r="H469">
            <v>115000</v>
          </cell>
          <cell r="I469">
            <v>1</v>
          </cell>
          <cell r="J469">
            <v>1</v>
          </cell>
          <cell r="K469">
            <v>1</v>
          </cell>
          <cell r="L469">
            <v>1</v>
          </cell>
          <cell r="M469">
            <v>1</v>
          </cell>
          <cell r="N469">
            <v>115000</v>
          </cell>
          <cell r="O469">
            <v>1</v>
          </cell>
          <cell r="P469">
            <v>115000</v>
          </cell>
        </row>
        <row r="470">
          <cell r="A470">
            <v>469</v>
          </cell>
          <cell r="B470">
            <v>0</v>
          </cell>
          <cell r="C470" t="str">
            <v>09.01.03</v>
          </cell>
          <cell r="E470">
            <v>4028804</v>
          </cell>
          <cell r="F470" t="str">
            <v>CASA DE FORCA</v>
          </cell>
          <cell r="G470" t="str">
            <v>R$</v>
          </cell>
          <cell r="H470">
            <v>35000</v>
          </cell>
          <cell r="I470">
            <v>1</v>
          </cell>
          <cell r="J470">
            <v>1</v>
          </cell>
          <cell r="K470">
            <v>1</v>
          </cell>
          <cell r="L470">
            <v>1</v>
          </cell>
          <cell r="M470">
            <v>1</v>
          </cell>
          <cell r="N470">
            <v>35000</v>
          </cell>
          <cell r="O470">
            <v>1</v>
          </cell>
          <cell r="P470">
            <v>35000</v>
          </cell>
        </row>
        <row r="471">
          <cell r="A471">
            <v>470</v>
          </cell>
          <cell r="B471">
            <v>0</v>
          </cell>
          <cell r="C471" t="str">
            <v>09.01.04</v>
          </cell>
          <cell r="E471">
            <v>4028901</v>
          </cell>
          <cell r="F471" t="str">
            <v>BARRAGEM CCR</v>
          </cell>
          <cell r="G471" t="str">
            <v>R$</v>
          </cell>
          <cell r="H471">
            <v>245000</v>
          </cell>
          <cell r="I471">
            <v>1</v>
          </cell>
          <cell r="J471">
            <v>1</v>
          </cell>
          <cell r="K471">
            <v>1</v>
          </cell>
          <cell r="L471">
            <v>1</v>
          </cell>
          <cell r="M471">
            <v>1</v>
          </cell>
          <cell r="N471">
            <v>245000</v>
          </cell>
          <cell r="O471">
            <v>1</v>
          </cell>
          <cell r="P471">
            <v>245000</v>
          </cell>
        </row>
        <row r="472">
          <cell r="A472">
            <v>471</v>
          </cell>
          <cell r="B472">
            <v>0</v>
          </cell>
          <cell r="C472" t="str">
            <v>09.01.05</v>
          </cell>
          <cell r="E472">
            <v>4029001</v>
          </cell>
          <cell r="F472" t="str">
            <v>VERTEDOURO</v>
          </cell>
          <cell r="G472" t="str">
            <v>R$</v>
          </cell>
          <cell r="H472">
            <v>65000</v>
          </cell>
          <cell r="I472">
            <v>1</v>
          </cell>
          <cell r="J472">
            <v>1</v>
          </cell>
          <cell r="K472">
            <v>1</v>
          </cell>
          <cell r="L472">
            <v>1</v>
          </cell>
          <cell r="M472">
            <v>1</v>
          </cell>
          <cell r="N472">
            <v>65000</v>
          </cell>
          <cell r="O472">
            <v>1</v>
          </cell>
          <cell r="P472">
            <v>65000</v>
          </cell>
        </row>
        <row r="473">
          <cell r="A473">
            <v>472</v>
          </cell>
          <cell r="B473">
            <v>0</v>
          </cell>
          <cell r="C473" t="str">
            <v>09.01.06</v>
          </cell>
          <cell r="E473">
            <v>4029108</v>
          </cell>
          <cell r="F473" t="str">
            <v>INSTRUMENTACAO - DIVERSOS</v>
          </cell>
          <cell r="G473" t="str">
            <v>R$</v>
          </cell>
          <cell r="H473">
            <v>280000</v>
          </cell>
          <cell r="I473">
            <v>1</v>
          </cell>
          <cell r="J473">
            <v>1</v>
          </cell>
          <cell r="K473">
            <v>1</v>
          </cell>
          <cell r="L473">
            <v>1</v>
          </cell>
          <cell r="M473">
            <v>1</v>
          </cell>
          <cell r="N473">
            <v>280000</v>
          </cell>
          <cell r="O473">
            <v>1</v>
          </cell>
          <cell r="P473">
            <v>280000</v>
          </cell>
        </row>
        <row r="474">
          <cell r="A474">
            <v>473</v>
          </cell>
          <cell r="B474">
            <v>8</v>
          </cell>
          <cell r="E474">
            <v>0</v>
          </cell>
          <cell r="H474">
            <v>0</v>
          </cell>
          <cell r="I474">
            <v>0</v>
          </cell>
          <cell r="J474">
            <v>0</v>
          </cell>
          <cell r="K474">
            <v>0</v>
          </cell>
          <cell r="L474">
            <v>0</v>
          </cell>
          <cell r="M474">
            <v>0</v>
          </cell>
          <cell r="N474">
            <v>0</v>
          </cell>
          <cell r="O474">
            <v>0</v>
          </cell>
          <cell r="P474">
            <v>0</v>
          </cell>
        </row>
        <row r="475">
          <cell r="A475">
            <v>474</v>
          </cell>
          <cell r="B475">
            <v>2</v>
          </cell>
          <cell r="C475" t="str">
            <v>10</v>
          </cell>
          <cell r="E475">
            <v>0</v>
          </cell>
          <cell r="F475" t="str">
            <v>** ESCADA DE PEIXE</v>
          </cell>
          <cell r="H475">
            <v>0</v>
          </cell>
          <cell r="I475">
            <v>0</v>
          </cell>
          <cell r="J475">
            <v>0</v>
          </cell>
          <cell r="K475">
            <v>0</v>
          </cell>
          <cell r="L475">
            <v>0</v>
          </cell>
          <cell r="M475">
            <v>0</v>
          </cell>
          <cell r="N475">
            <v>0</v>
          </cell>
          <cell r="O475">
            <v>0</v>
          </cell>
          <cell r="P475">
            <v>0</v>
          </cell>
        </row>
        <row r="476">
          <cell r="A476">
            <v>475</v>
          </cell>
          <cell r="B476">
            <v>4</v>
          </cell>
          <cell r="C476" t="str">
            <v>10.01</v>
          </cell>
          <cell r="E476">
            <v>0</v>
          </cell>
          <cell r="F476" t="str">
            <v>* OBRAS CIVIS</v>
          </cell>
          <cell r="H476">
            <v>0</v>
          </cell>
          <cell r="I476">
            <v>0</v>
          </cell>
          <cell r="J476">
            <v>0</v>
          </cell>
          <cell r="K476">
            <v>0</v>
          </cell>
          <cell r="L476">
            <v>0</v>
          </cell>
          <cell r="M476">
            <v>0</v>
          </cell>
          <cell r="N476">
            <v>0</v>
          </cell>
          <cell r="O476">
            <v>0</v>
          </cell>
          <cell r="P476">
            <v>0</v>
          </cell>
        </row>
        <row r="477">
          <cell r="A477">
            <v>476</v>
          </cell>
          <cell r="B477">
            <v>0</v>
          </cell>
          <cell r="C477" t="str">
            <v>10.01.01</v>
          </cell>
          <cell r="E477">
            <v>4030005</v>
          </cell>
          <cell r="F477" t="str">
            <v>EP - ESCAVACAO EM ROCHA</v>
          </cell>
          <cell r="G477" t="str">
            <v>M3</v>
          </cell>
          <cell r="H477">
            <v>0</v>
          </cell>
          <cell r="I477">
            <v>1</v>
          </cell>
          <cell r="J477">
            <v>1</v>
          </cell>
          <cell r="K477">
            <v>1</v>
          </cell>
          <cell r="L477">
            <v>1</v>
          </cell>
          <cell r="M477">
            <v>9.09</v>
          </cell>
          <cell r="N477">
            <v>0</v>
          </cell>
          <cell r="O477">
            <v>9.09</v>
          </cell>
          <cell r="P477">
            <v>0</v>
          </cell>
        </row>
        <row r="478">
          <cell r="A478">
            <v>477</v>
          </cell>
          <cell r="B478">
            <v>0</v>
          </cell>
          <cell r="C478" t="str">
            <v>10.01.02</v>
          </cell>
          <cell r="E478">
            <v>4030102</v>
          </cell>
          <cell r="F478" t="str">
            <v>EP - CONCRETO</v>
          </cell>
          <cell r="G478" t="str">
            <v>M3</v>
          </cell>
          <cell r="H478">
            <v>3500</v>
          </cell>
          <cell r="I478">
            <v>1</v>
          </cell>
          <cell r="J478">
            <v>1</v>
          </cell>
          <cell r="K478">
            <v>1</v>
          </cell>
          <cell r="L478">
            <v>1</v>
          </cell>
          <cell r="M478">
            <v>126.41</v>
          </cell>
          <cell r="N478">
            <v>442435</v>
          </cell>
          <cell r="O478">
            <v>126.41</v>
          </cell>
          <cell r="P478">
            <v>442435</v>
          </cell>
        </row>
        <row r="479">
          <cell r="A479">
            <v>478</v>
          </cell>
          <cell r="B479">
            <v>0</v>
          </cell>
          <cell r="C479" t="str">
            <v>10.01.03</v>
          </cell>
          <cell r="E479">
            <v>4030209</v>
          </cell>
          <cell r="F479" t="str">
            <v>EP - CONCRETO PRE MOLDADO</v>
          </cell>
          <cell r="G479" t="str">
            <v>M3</v>
          </cell>
          <cell r="H479">
            <v>0</v>
          </cell>
          <cell r="I479">
            <v>1</v>
          </cell>
          <cell r="J479">
            <v>1</v>
          </cell>
          <cell r="K479">
            <v>1</v>
          </cell>
          <cell r="L479">
            <v>1</v>
          </cell>
          <cell r="M479">
            <v>353.54</v>
          </cell>
          <cell r="N479">
            <v>0</v>
          </cell>
          <cell r="O479">
            <v>353.54</v>
          </cell>
          <cell r="P479">
            <v>0</v>
          </cell>
        </row>
        <row r="480">
          <cell r="A480">
            <v>479</v>
          </cell>
          <cell r="B480">
            <v>0</v>
          </cell>
          <cell r="C480" t="str">
            <v>10.01.04</v>
          </cell>
          <cell r="E480">
            <v>4030306</v>
          </cell>
          <cell r="F480" t="str">
            <v>EP - FORMAS PARA CONCRETO</v>
          </cell>
          <cell r="G480" t="str">
            <v>M2</v>
          </cell>
          <cell r="H480">
            <v>4900</v>
          </cell>
          <cell r="I480">
            <v>1</v>
          </cell>
          <cell r="J480">
            <v>1</v>
          </cell>
          <cell r="K480">
            <v>1</v>
          </cell>
          <cell r="L480">
            <v>1</v>
          </cell>
          <cell r="M480">
            <v>41.98</v>
          </cell>
          <cell r="N480">
            <v>205702</v>
          </cell>
          <cell r="O480">
            <v>41.98</v>
          </cell>
          <cell r="P480">
            <v>205702</v>
          </cell>
        </row>
        <row r="481">
          <cell r="A481">
            <v>480</v>
          </cell>
          <cell r="B481">
            <v>0</v>
          </cell>
          <cell r="C481" t="str">
            <v>10.01.05</v>
          </cell>
          <cell r="E481">
            <v>4030403</v>
          </cell>
          <cell r="F481" t="str">
            <v>EP - CIMBRAMENTO</v>
          </cell>
          <cell r="G481" t="str">
            <v>M3</v>
          </cell>
          <cell r="H481">
            <v>0</v>
          </cell>
          <cell r="I481">
            <v>1</v>
          </cell>
          <cell r="J481">
            <v>1</v>
          </cell>
          <cell r="K481">
            <v>1</v>
          </cell>
          <cell r="L481">
            <v>1</v>
          </cell>
          <cell r="M481">
            <v>30.14</v>
          </cell>
          <cell r="N481">
            <v>0</v>
          </cell>
          <cell r="O481">
            <v>30.14</v>
          </cell>
          <cell r="P481">
            <v>0</v>
          </cell>
        </row>
        <row r="482">
          <cell r="A482">
            <v>481</v>
          </cell>
          <cell r="B482">
            <v>0</v>
          </cell>
          <cell r="C482" t="str">
            <v>10.01.06</v>
          </cell>
          <cell r="E482">
            <v>4030500</v>
          </cell>
          <cell r="F482" t="str">
            <v>EP - ARMADURA</v>
          </cell>
          <cell r="G482" t="str">
            <v>T</v>
          </cell>
          <cell r="H482">
            <v>175</v>
          </cell>
          <cell r="I482">
            <v>1</v>
          </cell>
          <cell r="J482">
            <v>1</v>
          </cell>
          <cell r="K482">
            <v>1</v>
          </cell>
          <cell r="L482">
            <v>1</v>
          </cell>
          <cell r="M482">
            <v>3508.13</v>
          </cell>
          <cell r="N482">
            <v>613922.75</v>
          </cell>
          <cell r="O482">
            <v>3508.13</v>
          </cell>
          <cell r="P482">
            <v>613922.75</v>
          </cell>
        </row>
        <row r="483">
          <cell r="A483">
            <v>482</v>
          </cell>
          <cell r="B483">
            <v>0</v>
          </cell>
          <cell r="C483" t="str">
            <v>10.01.07</v>
          </cell>
          <cell r="E483">
            <v>4030607</v>
          </cell>
          <cell r="F483" t="str">
            <v>EP - FORNEC. E INST. JUNTA 0-22</v>
          </cell>
          <cell r="G483" t="str">
            <v>M</v>
          </cell>
          <cell r="H483">
            <v>0</v>
          </cell>
          <cell r="I483">
            <v>1</v>
          </cell>
          <cell r="J483">
            <v>1</v>
          </cell>
          <cell r="K483">
            <v>1</v>
          </cell>
          <cell r="L483">
            <v>1</v>
          </cell>
          <cell r="M483">
            <v>58.3</v>
          </cell>
          <cell r="N483">
            <v>0</v>
          </cell>
          <cell r="O483">
            <v>58.3</v>
          </cell>
          <cell r="P483">
            <v>0</v>
          </cell>
        </row>
        <row r="484">
          <cell r="A484">
            <v>483</v>
          </cell>
          <cell r="B484">
            <v>0</v>
          </cell>
          <cell r="C484" t="str">
            <v>10.01.08</v>
          </cell>
          <cell r="E484">
            <v>4030704</v>
          </cell>
          <cell r="F484" t="str">
            <v>HIDROMECANICOS PARA ESCADA DE PEIXE</v>
          </cell>
          <cell r="G484" t="str">
            <v>VB</v>
          </cell>
          <cell r="H484">
            <v>0</v>
          </cell>
          <cell r="I484">
            <v>1</v>
          </cell>
          <cell r="J484">
            <v>1</v>
          </cell>
          <cell r="K484">
            <v>1</v>
          </cell>
          <cell r="L484">
            <v>1</v>
          </cell>
          <cell r="M484">
            <v>1</v>
          </cell>
          <cell r="N484">
            <v>0</v>
          </cell>
          <cell r="O484">
            <v>1</v>
          </cell>
          <cell r="P484">
            <v>0</v>
          </cell>
        </row>
        <row r="485">
          <cell r="A485">
            <v>484</v>
          </cell>
          <cell r="B485">
            <v>8</v>
          </cell>
          <cell r="E485">
            <v>0</v>
          </cell>
          <cell r="H485">
            <v>0</v>
          </cell>
          <cell r="I485">
            <v>0</v>
          </cell>
          <cell r="J485">
            <v>0</v>
          </cell>
          <cell r="K485">
            <v>0</v>
          </cell>
          <cell r="L485">
            <v>0</v>
          </cell>
          <cell r="M485">
            <v>0</v>
          </cell>
          <cell r="N485">
            <v>0</v>
          </cell>
          <cell r="O485">
            <v>0</v>
          </cell>
          <cell r="P485">
            <v>0</v>
          </cell>
        </row>
        <row r="486">
          <cell r="A486">
            <v>485</v>
          </cell>
          <cell r="B486">
            <v>2</v>
          </cell>
          <cell r="C486" t="str">
            <v>11</v>
          </cell>
          <cell r="E486">
            <v>0</v>
          </cell>
          <cell r="F486" t="str">
            <v>** OFICINAS</v>
          </cell>
          <cell r="H486">
            <v>0</v>
          </cell>
          <cell r="I486">
            <v>0</v>
          </cell>
          <cell r="J486">
            <v>0</v>
          </cell>
          <cell r="K486">
            <v>0</v>
          </cell>
          <cell r="L486">
            <v>0</v>
          </cell>
          <cell r="M486">
            <v>0</v>
          </cell>
          <cell r="N486">
            <v>0</v>
          </cell>
          <cell r="O486">
            <v>0</v>
          </cell>
          <cell r="P486">
            <v>0</v>
          </cell>
        </row>
        <row r="487">
          <cell r="A487">
            <v>486</v>
          </cell>
          <cell r="B487">
            <v>0</v>
          </cell>
          <cell r="C487" t="str">
            <v>11.01</v>
          </cell>
          <cell r="E487">
            <v>4030801</v>
          </cell>
          <cell r="F487" t="str">
            <v>OFICINA LUBRIFICACAO/BORRACHARIA</v>
          </cell>
          <cell r="G487" t="str">
            <v>GL</v>
          </cell>
          <cell r="H487">
            <v>1</v>
          </cell>
          <cell r="I487">
            <v>1</v>
          </cell>
          <cell r="J487">
            <v>1</v>
          </cell>
          <cell r="K487">
            <v>1</v>
          </cell>
          <cell r="L487">
            <v>1</v>
          </cell>
          <cell r="M487">
            <v>4396006</v>
          </cell>
          <cell r="N487">
            <v>4396006</v>
          </cell>
          <cell r="O487">
            <v>4396006</v>
          </cell>
          <cell r="P487">
            <v>4396006</v>
          </cell>
        </row>
        <row r="488">
          <cell r="A488">
            <v>487</v>
          </cell>
          <cell r="B488">
            <v>0</v>
          </cell>
          <cell r="C488" t="str">
            <v>11.02</v>
          </cell>
          <cell r="E488">
            <v>4030908</v>
          </cell>
          <cell r="F488" t="str">
            <v>OFICINA MECANICA</v>
          </cell>
          <cell r="G488" t="str">
            <v>GL</v>
          </cell>
          <cell r="H488">
            <v>1</v>
          </cell>
          <cell r="I488">
            <v>1</v>
          </cell>
          <cell r="J488">
            <v>1</v>
          </cell>
          <cell r="K488">
            <v>1</v>
          </cell>
          <cell r="L488">
            <v>1</v>
          </cell>
          <cell r="M488">
            <v>3917696.8</v>
          </cell>
          <cell r="N488">
            <v>3917696.8</v>
          </cell>
          <cell r="O488">
            <v>3917696.8</v>
          </cell>
          <cell r="P488">
            <v>3917696.8</v>
          </cell>
        </row>
        <row r="489">
          <cell r="A489">
            <v>488</v>
          </cell>
          <cell r="B489">
            <v>0</v>
          </cell>
          <cell r="C489" t="str">
            <v>11.03</v>
          </cell>
          <cell r="E489">
            <v>4031008</v>
          </cell>
          <cell r="F489" t="str">
            <v>OFICINA INDUSTRIAL</v>
          </cell>
          <cell r="G489" t="str">
            <v>GL</v>
          </cell>
          <cell r="H489">
            <v>1</v>
          </cell>
          <cell r="I489">
            <v>1</v>
          </cell>
          <cell r="J489">
            <v>1</v>
          </cell>
          <cell r="K489">
            <v>1</v>
          </cell>
          <cell r="L489">
            <v>1</v>
          </cell>
          <cell r="M489">
            <v>1437871.9</v>
          </cell>
          <cell r="N489">
            <v>1437871.9</v>
          </cell>
          <cell r="O489">
            <v>1437871.9</v>
          </cell>
          <cell r="P489">
            <v>1437871.9</v>
          </cell>
        </row>
        <row r="490">
          <cell r="A490">
            <v>489</v>
          </cell>
          <cell r="B490">
            <v>8</v>
          </cell>
          <cell r="E490">
            <v>0</v>
          </cell>
          <cell r="H490">
            <v>0</v>
          </cell>
          <cell r="I490">
            <v>0</v>
          </cell>
          <cell r="J490">
            <v>0</v>
          </cell>
          <cell r="K490">
            <v>0</v>
          </cell>
          <cell r="L490">
            <v>0</v>
          </cell>
          <cell r="M490">
            <v>0</v>
          </cell>
          <cell r="N490">
            <v>0</v>
          </cell>
          <cell r="O490">
            <v>0</v>
          </cell>
          <cell r="P490">
            <v>0</v>
          </cell>
        </row>
        <row r="491">
          <cell r="A491">
            <v>488</v>
          </cell>
          <cell r="B491">
            <v>0</v>
          </cell>
          <cell r="C491" t="str">
            <v>10.01.05</v>
          </cell>
          <cell r="E491">
            <v>4030403</v>
          </cell>
          <cell r="F491" t="str">
            <v>EP - CIMBRAMENTO</v>
          </cell>
          <cell r="G491" t="str">
            <v>M3</v>
          </cell>
          <cell r="H491">
            <v>1342</v>
          </cell>
          <cell r="I491">
            <v>1</v>
          </cell>
          <cell r="J491">
            <v>1</v>
          </cell>
          <cell r="K491">
            <v>1</v>
          </cell>
          <cell r="L491">
            <v>1</v>
          </cell>
          <cell r="M491">
            <v>27.41</v>
          </cell>
          <cell r="N491">
            <v>36784.22</v>
          </cell>
          <cell r="O491">
            <v>27.41</v>
          </cell>
          <cell r="P491">
            <v>36784.22</v>
          </cell>
        </row>
        <row r="492">
          <cell r="A492">
            <v>489</v>
          </cell>
          <cell r="B492">
            <v>0</v>
          </cell>
          <cell r="C492" t="str">
            <v>10.01.06</v>
          </cell>
          <cell r="E492">
            <v>4030500</v>
          </cell>
          <cell r="F492" t="str">
            <v>EP - ARMADURA</v>
          </cell>
          <cell r="G492" t="str">
            <v>T</v>
          </cell>
          <cell r="H492">
            <v>237</v>
          </cell>
          <cell r="I492">
            <v>1</v>
          </cell>
          <cell r="J492">
            <v>1</v>
          </cell>
          <cell r="K492">
            <v>1</v>
          </cell>
          <cell r="L492">
            <v>1</v>
          </cell>
          <cell r="M492">
            <v>1991.43</v>
          </cell>
          <cell r="N492">
            <v>471968.91</v>
          </cell>
          <cell r="O492">
            <v>1991.43</v>
          </cell>
          <cell r="P492">
            <v>471968.91</v>
          </cell>
        </row>
        <row r="493">
          <cell r="A493">
            <v>490</v>
          </cell>
          <cell r="B493">
            <v>0</v>
          </cell>
          <cell r="C493" t="str">
            <v>10.01.07</v>
          </cell>
          <cell r="E493">
            <v>4030607</v>
          </cell>
          <cell r="F493" t="str">
            <v>EP - FORNEC. E INST. JUNTA 0-22</v>
          </cell>
          <cell r="G493" t="str">
            <v>M</v>
          </cell>
          <cell r="H493">
            <v>175</v>
          </cell>
          <cell r="I493">
            <v>1</v>
          </cell>
          <cell r="J493">
            <v>1</v>
          </cell>
          <cell r="K493">
            <v>1</v>
          </cell>
          <cell r="L493">
            <v>1</v>
          </cell>
          <cell r="M493">
            <v>41.02</v>
          </cell>
          <cell r="N493">
            <v>7178.5</v>
          </cell>
          <cell r="O493">
            <v>41.02</v>
          </cell>
          <cell r="P493">
            <v>7178.5</v>
          </cell>
        </row>
        <row r="494">
          <cell r="A494">
            <v>491</v>
          </cell>
          <cell r="B494">
            <v>0</v>
          </cell>
          <cell r="C494" t="str">
            <v>10.01.08</v>
          </cell>
          <cell r="E494">
            <v>4030704</v>
          </cell>
          <cell r="F494" t="str">
            <v>HIDROMECANICOS PARA ESCADA DE PEIXE</v>
          </cell>
          <cell r="G494" t="str">
            <v>VB</v>
          </cell>
          <cell r="H494">
            <v>1</v>
          </cell>
          <cell r="I494">
            <v>1</v>
          </cell>
          <cell r="J494">
            <v>1</v>
          </cell>
          <cell r="K494">
            <v>1</v>
          </cell>
          <cell r="L494">
            <v>1</v>
          </cell>
          <cell r="M494">
            <v>500000</v>
          </cell>
          <cell r="N494">
            <v>500000</v>
          </cell>
          <cell r="O494">
            <v>500000</v>
          </cell>
          <cell r="P494">
            <v>500000</v>
          </cell>
        </row>
        <row r="495">
          <cell r="A495">
            <v>492</v>
          </cell>
          <cell r="B495">
            <v>8</v>
          </cell>
          <cell r="E495">
            <v>0</v>
          </cell>
          <cell r="H495">
            <v>0</v>
          </cell>
          <cell r="I495">
            <v>0</v>
          </cell>
          <cell r="J495">
            <v>0</v>
          </cell>
          <cell r="K495">
            <v>0</v>
          </cell>
          <cell r="L495">
            <v>0</v>
          </cell>
          <cell r="M495">
            <v>0</v>
          </cell>
          <cell r="N495">
            <v>0</v>
          </cell>
          <cell r="O495">
            <v>0</v>
          </cell>
          <cell r="P495">
            <v>0</v>
          </cell>
        </row>
        <row r="496">
          <cell r="A496">
            <v>493</v>
          </cell>
          <cell r="B496">
            <v>2</v>
          </cell>
          <cell r="C496" t="str">
            <v>11</v>
          </cell>
          <cell r="E496">
            <v>0</v>
          </cell>
          <cell r="F496" t="str">
            <v>** OFICINAS</v>
          </cell>
          <cell r="H496">
            <v>0</v>
          </cell>
          <cell r="I496">
            <v>0</v>
          </cell>
          <cell r="J496">
            <v>0</v>
          </cell>
          <cell r="K496">
            <v>0</v>
          </cell>
          <cell r="L496">
            <v>0</v>
          </cell>
          <cell r="M496">
            <v>0</v>
          </cell>
          <cell r="N496">
            <v>0</v>
          </cell>
          <cell r="O496">
            <v>0</v>
          </cell>
          <cell r="P496">
            <v>0</v>
          </cell>
        </row>
        <row r="497">
          <cell r="A497">
            <v>494</v>
          </cell>
          <cell r="B497">
            <v>0</v>
          </cell>
          <cell r="C497" t="str">
            <v>11.01</v>
          </cell>
          <cell r="E497">
            <v>4030801</v>
          </cell>
          <cell r="F497" t="str">
            <v>OFICINA LUBRIFICACAO/BORRACHARIA</v>
          </cell>
          <cell r="G497" t="str">
            <v>GL</v>
          </cell>
          <cell r="H497">
            <v>1</v>
          </cell>
          <cell r="I497">
            <v>1</v>
          </cell>
          <cell r="J497">
            <v>1</v>
          </cell>
          <cell r="K497">
            <v>1</v>
          </cell>
          <cell r="L497">
            <v>1</v>
          </cell>
          <cell r="M497">
            <v>3955598</v>
          </cell>
          <cell r="N497">
            <v>3955598</v>
          </cell>
          <cell r="O497">
            <v>3955598</v>
          </cell>
          <cell r="P497">
            <v>3955598</v>
          </cell>
        </row>
        <row r="498">
          <cell r="A498">
            <v>495</v>
          </cell>
          <cell r="B498">
            <v>0</v>
          </cell>
          <cell r="C498" t="str">
            <v>11.02</v>
          </cell>
          <cell r="E498">
            <v>4030908</v>
          </cell>
          <cell r="F498" t="str">
            <v>OFICINA MECANICA</v>
          </cell>
          <cell r="G498" t="str">
            <v>GL</v>
          </cell>
          <cell r="H498">
            <v>1</v>
          </cell>
          <cell r="I498">
            <v>1</v>
          </cell>
          <cell r="J498">
            <v>1</v>
          </cell>
          <cell r="K498">
            <v>1</v>
          </cell>
          <cell r="L498">
            <v>1</v>
          </cell>
          <cell r="M498">
            <v>3777428.8</v>
          </cell>
          <cell r="N498">
            <v>3777428.8</v>
          </cell>
          <cell r="O498">
            <v>3777428.8</v>
          </cell>
          <cell r="P498">
            <v>3777428.8</v>
          </cell>
        </row>
        <row r="499">
          <cell r="A499">
            <v>496</v>
          </cell>
          <cell r="B499">
            <v>0</v>
          </cell>
          <cell r="C499" t="str">
            <v>11.03</v>
          </cell>
          <cell r="E499">
            <v>4031008</v>
          </cell>
          <cell r="F499" t="str">
            <v>OFICINA INDUSTRIAL</v>
          </cell>
          <cell r="G499" t="str">
            <v>GL</v>
          </cell>
          <cell r="H499">
            <v>1</v>
          </cell>
          <cell r="I499">
            <v>1</v>
          </cell>
          <cell r="J499">
            <v>1</v>
          </cell>
          <cell r="K499">
            <v>1</v>
          </cell>
          <cell r="L499">
            <v>1</v>
          </cell>
          <cell r="M499">
            <v>1358667.85</v>
          </cell>
          <cell r="N499">
            <v>1358667.85</v>
          </cell>
          <cell r="O499">
            <v>1358667.85</v>
          </cell>
          <cell r="P499">
            <v>1358667.85</v>
          </cell>
        </row>
        <row r="500">
          <cell r="A500">
            <v>497</v>
          </cell>
          <cell r="B500">
            <v>8</v>
          </cell>
          <cell r="E500">
            <v>0</v>
          </cell>
          <cell r="H500">
            <v>0</v>
          </cell>
          <cell r="I500">
            <v>0</v>
          </cell>
          <cell r="J500">
            <v>0</v>
          </cell>
          <cell r="K500">
            <v>0</v>
          </cell>
          <cell r="L500">
            <v>0</v>
          </cell>
          <cell r="M500">
            <v>0</v>
          </cell>
          <cell r="N500">
            <v>0</v>
          </cell>
          <cell r="O500">
            <v>0</v>
          </cell>
          <cell r="P500">
            <v>0</v>
          </cell>
        </row>
      </sheetData>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DE MEDIÇÃO"/>
      <sheetName val="0. INSTRUÇÕES"/>
      <sheetName val="1. PLANILHA RESUMO"/>
      <sheetName val="2. PLANILHA SINTÉTICA"/>
      <sheetName val="3. BDI"/>
      <sheetName val="4. CRONOGRAMA FÍSICO FINANCEIRO"/>
      <sheetName val="5. CCU ADMINISTRAÇÃO LOCAL"/>
      <sheetName val="6. CCU MOBILIZAÇÃO EQUIPTOS"/>
      <sheetName val="7. CCU SINALIZAÇÃO DE OBRA"/>
      <sheetName val="8. CCU PLACA DE OBRA"/>
      <sheetName val="9. CCU'S GERAIS AMEP"/>
      <sheetName val="11. CCU DESMOBILIZAÇÃO EQPTO"/>
      <sheetName val="12. CCU - PAVIMENTAÇÃO"/>
      <sheetName val="15. CUSTOS DER - SERVIÇOS"/>
      <sheetName val="16. CUSTOS DER - MATERIAIS"/>
      <sheetName val="17. CUSTOS DER - MÃO DE OBRA"/>
      <sheetName val="18. CUSTOS DER - TRANSPORTES"/>
      <sheetName val="19. CUSTOS DER - EQUIPAMENTOS"/>
      <sheetName val="20. CUSTOS DNIT - SERVIÇOS"/>
      <sheetName val="21. CUSTOS DNIT - MATERIAIS"/>
      <sheetName val="22. CUSTOS DNIT - EQUIPAMENTOS"/>
      <sheetName val="23. CUSTOS SINAPI - SERVIÇOS"/>
      <sheetName val="24. CUSTOS SINAPI - MATERIAIS"/>
      <sheetName val="25. CUSTOS COTAÇÕES DE MERCADO"/>
      <sheetName val="10. CCU TRANSPORTE"/>
      <sheetName val="26. CÁLCULO DAS DISTÂNCIAS"/>
    </sheetNames>
    <sheetDataSet>
      <sheetData sheetId="0" refreshError="1"/>
      <sheetData sheetId="1" refreshError="1"/>
      <sheetData sheetId="2" refreshError="1"/>
      <sheetData sheetId="3" refreshError="1">
        <row r="2">
          <cell r="E2">
            <v>0</v>
          </cell>
        </row>
        <row r="3">
          <cell r="C3">
            <v>0</v>
          </cell>
          <cell r="D3">
            <v>0</v>
          </cell>
          <cell r="E3">
            <v>0</v>
          </cell>
          <cell r="F3">
            <v>0</v>
          </cell>
        </row>
        <row r="4">
          <cell r="C4">
            <v>0</v>
          </cell>
          <cell r="D4">
            <v>0</v>
          </cell>
          <cell r="E4">
            <v>0</v>
          </cell>
          <cell r="F4">
            <v>0</v>
          </cell>
        </row>
        <row r="5">
          <cell r="C5">
            <v>0</v>
          </cell>
          <cell r="D5">
            <v>0</v>
          </cell>
          <cell r="E5">
            <v>0</v>
          </cell>
          <cell r="F5">
            <v>0</v>
          </cell>
        </row>
        <row r="6">
          <cell r="C6">
            <v>0</v>
          </cell>
          <cell r="D6">
            <v>0</v>
          </cell>
          <cell r="E6">
            <v>0</v>
          </cell>
          <cell r="F6">
            <v>0</v>
          </cell>
        </row>
        <row r="7">
          <cell r="C7">
            <v>0</v>
          </cell>
          <cell r="D7">
            <v>0</v>
          </cell>
          <cell r="E7">
            <v>0</v>
          </cell>
          <cell r="F7">
            <v>0</v>
          </cell>
        </row>
        <row r="8">
          <cell r="C8">
            <v>0</v>
          </cell>
          <cell r="D8">
            <v>0</v>
          </cell>
          <cell r="E8">
            <v>0</v>
          </cell>
          <cell r="F8">
            <v>0</v>
          </cell>
        </row>
        <row r="9">
          <cell r="C9">
            <v>0</v>
          </cell>
          <cell r="D9">
            <v>0</v>
          </cell>
          <cell r="E9">
            <v>0</v>
          </cell>
          <cell r="F9">
            <v>0</v>
          </cell>
        </row>
        <row r="10">
          <cell r="C10">
            <v>0</v>
          </cell>
          <cell r="D10">
            <v>0</v>
          </cell>
          <cell r="E10">
            <v>0</v>
          </cell>
          <cell r="F10">
            <v>0</v>
          </cell>
        </row>
        <row r="11">
          <cell r="C11" t="str">
            <v>CÓDIGO</v>
          </cell>
          <cell r="D11" t="str">
            <v>DESCRIÇÃO</v>
          </cell>
          <cell r="E11" t="str">
            <v>QTDE</v>
          </cell>
          <cell r="F11" t="str">
            <v>UNIDADE</v>
          </cell>
        </row>
        <row r="12">
          <cell r="C12">
            <v>0</v>
          </cell>
          <cell r="D12">
            <v>0</v>
          </cell>
          <cell r="E12">
            <v>0</v>
          </cell>
          <cell r="F12">
            <v>0</v>
          </cell>
        </row>
        <row r="13">
          <cell r="C13">
            <v>0</v>
          </cell>
          <cell r="D13" t="str">
            <v>ADMINISTRAÇÃO LOCAL</v>
          </cell>
          <cell r="E13">
            <v>0</v>
          </cell>
          <cell r="F13" t="str">
            <v/>
          </cell>
        </row>
        <row r="14">
          <cell r="C14" t="str">
            <v>CCU-001</v>
          </cell>
          <cell r="D14" t="str">
            <v>EQUIPE TÉCNICA GERENCIAL</v>
          </cell>
          <cell r="E14">
            <v>1</v>
          </cell>
          <cell r="F14" t="str">
            <v>UN</v>
          </cell>
        </row>
        <row r="15">
          <cell r="C15" t="str">
            <v>CCU-002</v>
          </cell>
          <cell r="D15" t="str">
            <v>EQUIPE TÉCNICA OPERACIONAL</v>
          </cell>
          <cell r="E15">
            <v>1</v>
          </cell>
          <cell r="F15" t="str">
            <v>UN</v>
          </cell>
        </row>
        <row r="16">
          <cell r="C16" t="str">
            <v>CCU-003</v>
          </cell>
          <cell r="D16" t="str">
            <v>EQUIPE ADMINISTRATIVA</v>
          </cell>
          <cell r="E16">
            <v>1</v>
          </cell>
          <cell r="F16" t="str">
            <v>UN</v>
          </cell>
        </row>
        <row r="17">
          <cell r="C17" t="str">
            <v>CCU-004</v>
          </cell>
          <cell r="D17" t="str">
            <v>EQUIPE DE SEGURANÇA DO TRABALHO</v>
          </cell>
          <cell r="E17">
            <v>1</v>
          </cell>
          <cell r="F17" t="str">
            <v>UN</v>
          </cell>
        </row>
        <row r="18">
          <cell r="C18" t="str">
            <v>CCU-005</v>
          </cell>
          <cell r="D18" t="str">
            <v>EQUIPE DE SEGURANÇA PATRIMONIAL</v>
          </cell>
          <cell r="E18">
            <v>1</v>
          </cell>
          <cell r="F18" t="str">
            <v>UN</v>
          </cell>
        </row>
        <row r="19">
          <cell r="C19" t="str">
            <v>CCU-006</v>
          </cell>
          <cell r="D19" t="str">
            <v>EQUIPE DE CONTROLE TECNOLÓGICO DE CAMPO</v>
          </cell>
          <cell r="E19">
            <v>2</v>
          </cell>
          <cell r="F19" t="str">
            <v>UN</v>
          </cell>
        </row>
        <row r="20">
          <cell r="C20" t="str">
            <v>CCU-007</v>
          </cell>
          <cell r="D20" t="str">
            <v>EQUIPE DE CONTROLE TECNOLÓGICO DE LABORATÓRIO</v>
          </cell>
          <cell r="E20">
            <v>1</v>
          </cell>
          <cell r="F20" t="str">
            <v>UN</v>
          </cell>
        </row>
        <row r="21">
          <cell r="C21" t="str">
            <v>CCU-008</v>
          </cell>
          <cell r="D21" t="str">
            <v>EQUIPE DE TOPOGRAFIA</v>
          </cell>
          <cell r="E21">
            <v>2</v>
          </cell>
          <cell r="F21" t="str">
            <v>UN</v>
          </cell>
        </row>
        <row r="22">
          <cell r="C22" t="str">
            <v>CCU-009</v>
          </cell>
          <cell r="D22" t="str">
            <v xml:space="preserve">DESPESAS COM TRANSPORTE </v>
          </cell>
          <cell r="E22">
            <v>1</v>
          </cell>
          <cell r="F22" t="str">
            <v>UN</v>
          </cell>
        </row>
        <row r="23">
          <cell r="C23">
            <v>0</v>
          </cell>
          <cell r="D23" t="str">
            <v>PROGRAMAS AMBIENTAIS</v>
          </cell>
          <cell r="E23">
            <v>0</v>
          </cell>
          <cell r="F23" t="str">
            <v/>
          </cell>
        </row>
        <row r="24">
          <cell r="C24" t="str">
            <v>COT-09</v>
          </cell>
          <cell r="D24" t="str">
            <v>LICENÇA AMBIENTAL SIMPLIFICADA</v>
          </cell>
          <cell r="E24">
            <v>1</v>
          </cell>
          <cell r="F24" t="str">
            <v>UN</v>
          </cell>
        </row>
        <row r="25">
          <cell r="C25" t="str">
            <v>COT-10</v>
          </cell>
          <cell r="D25" t="str">
            <v>PROGRAMA AMBIENTAL PARA FAUNA</v>
          </cell>
          <cell r="E25">
            <v>1</v>
          </cell>
          <cell r="F25" t="str">
            <v>UN</v>
          </cell>
        </row>
        <row r="26">
          <cell r="C26" t="str">
            <v>COT-11</v>
          </cell>
          <cell r="D26" t="str">
            <v>PROGRAMA AMBIENTAL PARA SUPRESSÃO DE VEGETAÇÃO</v>
          </cell>
          <cell r="E26">
            <v>1</v>
          </cell>
          <cell r="F26" t="str">
            <v>UN</v>
          </cell>
        </row>
        <row r="27">
          <cell r="C27" t="str">
            <v>COT-12</v>
          </cell>
          <cell r="D27" t="str">
            <v>PROGRAMA AMBIENTAL PARA PLANO DE CONTROLE AMBIENTAL</v>
          </cell>
          <cell r="E27">
            <v>1</v>
          </cell>
          <cell r="F27" t="str">
            <v>UN</v>
          </cell>
        </row>
        <row r="28">
          <cell r="C28" t="str">
            <v>CCU-056</v>
          </cell>
          <cell r="D28" t="str">
            <v>CORTE/LIMPEZA, CLASSIFICAÇÃO, ENLEIRAMENTO, CARGA E TRANSPORTE DE ÁRVORES (VOLUME ESTÉREO) COM DISTÂNCIA DE 20KM</v>
          </cell>
          <cell r="E28">
            <v>141.01</v>
          </cell>
          <cell r="F28" t="str">
            <v>M³</v>
          </cell>
        </row>
        <row r="29">
          <cell r="C29">
            <v>98510</v>
          </cell>
          <cell r="D29" t="str">
            <v>PLANTIO DE ÁRVORE COM ALTURA DE MUDA MAIOR QUE 1,00M</v>
          </cell>
          <cell r="E29">
            <v>5750</v>
          </cell>
          <cell r="F29" t="str">
            <v>UNID</v>
          </cell>
        </row>
        <row r="30">
          <cell r="C30">
            <v>0</v>
          </cell>
          <cell r="D30" t="str">
            <v>MOBILIZAÇÃO</v>
          </cell>
          <cell r="E30">
            <v>0</v>
          </cell>
          <cell r="F30">
            <v>0</v>
          </cell>
        </row>
        <row r="31">
          <cell r="C31" t="str">
            <v>CCU-010</v>
          </cell>
          <cell r="D31" t="str">
            <v>MOBILIZAÇÃO DE VEÍCULOS LEVES E CAMINHÕES COMUNS</v>
          </cell>
          <cell r="E31">
            <v>1</v>
          </cell>
          <cell r="F31" t="str">
            <v>UN</v>
          </cell>
        </row>
        <row r="32">
          <cell r="C32" t="str">
            <v>CCU-011</v>
          </cell>
          <cell r="D32" t="str">
            <v>MOBILIZAÇÃO DE EQUIPAMENTOS DE GRANDE PORTE</v>
          </cell>
          <cell r="E32">
            <v>1</v>
          </cell>
          <cell r="F32" t="str">
            <v>UN</v>
          </cell>
        </row>
        <row r="33">
          <cell r="C33">
            <v>0</v>
          </cell>
          <cell r="D33" t="str">
            <v>CANTEIRO DE OBRAS</v>
          </cell>
          <cell r="E33">
            <v>0</v>
          </cell>
          <cell r="F33" t="str">
            <v/>
          </cell>
        </row>
        <row r="34">
          <cell r="C34">
            <v>0</v>
          </cell>
          <cell r="D34" t="str">
            <v>PLACA DE OBRA</v>
          </cell>
          <cell r="E34">
            <v>0</v>
          </cell>
          <cell r="F34" t="str">
            <v/>
          </cell>
        </row>
        <row r="35">
          <cell r="C35" t="str">
            <v>CCU-017</v>
          </cell>
          <cell r="D35" t="str">
            <v>PLACA DE OBRA</v>
          </cell>
          <cell r="E35">
            <v>90</v>
          </cell>
          <cell r="F35" t="str">
            <v>M2</v>
          </cell>
        </row>
        <row r="36">
          <cell r="C36">
            <v>0</v>
          </cell>
          <cell r="D36" t="str">
            <v>TAPUME</v>
          </cell>
          <cell r="E36">
            <v>0</v>
          </cell>
          <cell r="F36" t="str">
            <v/>
          </cell>
        </row>
        <row r="37">
          <cell r="C37">
            <v>98459</v>
          </cell>
          <cell r="D37" t="str">
            <v>TAPUME COM TELHA METÁLICA. AF_05/2018</v>
          </cell>
          <cell r="E37">
            <v>342</v>
          </cell>
          <cell r="F37" t="str">
            <v>M2</v>
          </cell>
        </row>
        <row r="38">
          <cell r="C38">
            <v>0</v>
          </cell>
          <cell r="D38" t="str">
            <v>SERVIÇOS PRELIMINARES</v>
          </cell>
          <cell r="E38">
            <v>0</v>
          </cell>
          <cell r="F38" t="str">
            <v/>
          </cell>
        </row>
        <row r="39">
          <cell r="C39">
            <v>98525</v>
          </cell>
          <cell r="D39" t="str">
            <v>LIMPEZA MECANIZADA DE CAMADA VEGETAL, VEGETAÇÃO E PEQUENAS ÁRVORES (DIÂMETRO DE TRONCO MENOR QUE 0,20 M), COM TRATOR DE ESTEIRAS.AF_05/2018</v>
          </cell>
          <cell r="E39">
            <v>2456.73</v>
          </cell>
          <cell r="F39" t="str">
            <v>M2</v>
          </cell>
        </row>
        <row r="40">
          <cell r="C40">
            <v>531500</v>
          </cell>
          <cell r="D40" t="str">
            <v>MACADAME SECO BRITADO PREENCHIDO C/PÓ DE PEDRA</v>
          </cell>
          <cell r="E40">
            <v>245.673</v>
          </cell>
          <cell r="F40" t="str">
            <v>M3</v>
          </cell>
        </row>
        <row r="41">
          <cell r="C41">
            <v>0</v>
          </cell>
          <cell r="D41" t="str">
            <v>ESCRITÓRIOS DAS EMPRESAS CONTRATADAS: EXECUTORA E FISCALIZADORA TERC.</v>
          </cell>
          <cell r="E41">
            <v>0</v>
          </cell>
          <cell r="F41" t="str">
            <v/>
          </cell>
        </row>
        <row r="42">
          <cell r="C42">
            <v>93207</v>
          </cell>
          <cell r="D42" t="str">
            <v>EXECUÇÃO DE ESCRITÓRIO EM CANTEIRO DE OBRA EM CHAPA DE MADEIRA COMPENSADA, NÃO INCLUSO MOBILIÁRIO E EQUIPAMENTOS. AF_02/2016</v>
          </cell>
          <cell r="E42">
            <v>75.62</v>
          </cell>
          <cell r="F42" t="str">
            <v>M2</v>
          </cell>
        </row>
        <row r="43">
          <cell r="C43">
            <v>0</v>
          </cell>
          <cell r="D43" t="str">
            <v>ESCRITÓRIO DA EQUIPE CONTRATANTE: AMEP</v>
          </cell>
          <cell r="E43">
            <v>0</v>
          </cell>
          <cell r="F43" t="str">
            <v/>
          </cell>
        </row>
        <row r="44">
          <cell r="C44">
            <v>93207</v>
          </cell>
          <cell r="D44" t="str">
            <v>EXECUÇÃO DE ESCRITÓRIO EM CANTEIRO DE OBRA EM CHAPA DE MADEIRA COMPENSADA, NÃO INCLUSO MOBILIÁRIO E EQUIPAMENTOS. AF_02/2016</v>
          </cell>
          <cell r="E44">
            <v>28.14</v>
          </cell>
          <cell r="F44" t="str">
            <v>M2</v>
          </cell>
        </row>
        <row r="45">
          <cell r="C45">
            <v>0</v>
          </cell>
          <cell r="D45" t="str">
            <v>ALMOXARIFADO</v>
          </cell>
          <cell r="E45">
            <v>0</v>
          </cell>
          <cell r="F45" t="str">
            <v/>
          </cell>
        </row>
        <row r="46">
          <cell r="C46">
            <v>93208</v>
          </cell>
          <cell r="D46" t="str">
            <v>EXECUÇÃO DE ALMOXARIFADO EM CANTEIRO DE OBRA EM CHAPA DE MADEIRA COMPENSADA, INCLUSO PRATELEIRAS. AF_02/2016</v>
          </cell>
          <cell r="E46">
            <v>59.4</v>
          </cell>
          <cell r="F46" t="str">
            <v>M2</v>
          </cell>
        </row>
        <row r="47">
          <cell r="C47">
            <v>0</v>
          </cell>
          <cell r="D47" t="str">
            <v>DEPÓSITO</v>
          </cell>
          <cell r="E47">
            <v>0</v>
          </cell>
          <cell r="F47" t="str">
            <v/>
          </cell>
        </row>
        <row r="48">
          <cell r="C48">
            <v>93584</v>
          </cell>
          <cell r="D48" t="str">
            <v>EXECUÇÃO DE DEPÓSITO EM CANTEIRO DE OBRA EM CHAPA DE MADEIRA COMPENSADA, NÃO INCLUSO MOBILIÁRIO. AF_04/2016</v>
          </cell>
          <cell r="E48">
            <v>29.72</v>
          </cell>
          <cell r="F48" t="str">
            <v>M2</v>
          </cell>
        </row>
        <row r="49">
          <cell r="C49">
            <v>0</v>
          </cell>
          <cell r="D49" t="str">
            <v>REFEITÓRIO</v>
          </cell>
          <cell r="E49">
            <v>0</v>
          </cell>
          <cell r="F49" t="str">
            <v/>
          </cell>
        </row>
        <row r="50">
          <cell r="C50">
            <v>93210</v>
          </cell>
          <cell r="D50" t="str">
            <v>EXECUÇÃO DE REFEITÓRIO EM CANTEIRO DE OBRA EM CHAPA DE MADEIRA COMPENSADA, NÃO INCLUSO MOBILIÁRIO E EQUIPAMENTOS. AF_02/2016</v>
          </cell>
          <cell r="E50">
            <v>62.96</v>
          </cell>
          <cell r="F50" t="str">
            <v>M2</v>
          </cell>
        </row>
        <row r="51">
          <cell r="C51">
            <v>0</v>
          </cell>
          <cell r="D51" t="str">
            <v>VESTIÁRIOS MASCULINO E FEMININO</v>
          </cell>
          <cell r="E51">
            <v>0</v>
          </cell>
          <cell r="F51" t="str">
            <v/>
          </cell>
        </row>
        <row r="52">
          <cell r="C52">
            <v>93212</v>
          </cell>
          <cell r="D52" t="str">
            <v>EXECUÇÃO DE SANITÁRIO E VESTIÁRIO EM CANTEIRO DE OBRA EM CHAPA DE MADEIRA COMPENSADA, NÃO INCLUSO MOBILIÁRIO. AF_02/2016</v>
          </cell>
          <cell r="E52">
            <v>65.59</v>
          </cell>
          <cell r="F52" t="str">
            <v>M2</v>
          </cell>
        </row>
        <row r="53">
          <cell r="C53">
            <v>0</v>
          </cell>
          <cell r="D53" t="str">
            <v>OFICINA</v>
          </cell>
          <cell r="E53">
            <v>0</v>
          </cell>
          <cell r="F53" t="str">
            <v/>
          </cell>
        </row>
        <row r="54">
          <cell r="C54">
            <v>93584</v>
          </cell>
          <cell r="D54" t="str">
            <v>EXECUÇÃO DE OFICINA EM CANTEIRO DE OBRA EM CHAPA DE MADEIRA COMPENSADA, NÃO INCLUSO MOBILIÁRIO. AF_04/2016</v>
          </cell>
          <cell r="E54">
            <v>118.36</v>
          </cell>
          <cell r="F54" t="str">
            <v>M2</v>
          </cell>
        </row>
        <row r="55">
          <cell r="C55">
            <v>0</v>
          </cell>
          <cell r="D55" t="str">
            <v>SALA DE TOPOGRAFIA</v>
          </cell>
          <cell r="E55">
            <v>0</v>
          </cell>
          <cell r="F55" t="str">
            <v/>
          </cell>
        </row>
        <row r="56">
          <cell r="C56">
            <v>93207</v>
          </cell>
          <cell r="D56" t="str">
            <v>EXECUÇÃO DE ESCRITÓRIO EM CANTEIRO DE OBRA EM CHAPA DE MADEIRA COMPENSADA, NÃO INCLUSO MOBILIÁRIO E EQUIPAMENTOS. AF_02/2016</v>
          </cell>
          <cell r="E56">
            <v>18</v>
          </cell>
          <cell r="F56" t="str">
            <v>M2</v>
          </cell>
        </row>
        <row r="57">
          <cell r="C57">
            <v>0</v>
          </cell>
          <cell r="D57" t="str">
            <v>LABORATÓRIO DA CONTRATADA EXECUTORA</v>
          </cell>
          <cell r="E57">
            <v>0</v>
          </cell>
          <cell r="F57" t="str">
            <v/>
          </cell>
        </row>
        <row r="58">
          <cell r="C58">
            <v>93584</v>
          </cell>
          <cell r="D58" t="str">
            <v>EXECUÇÃO DE LABORATÓRIO EM CANTEIRO DE OBRA EM CHAPA DE MADEIRA COMPENSADA, NÃO INCLUSO MOBILIÁRIO. AF_04/2016</v>
          </cell>
          <cell r="E58">
            <v>110</v>
          </cell>
          <cell r="F58" t="str">
            <v>M2</v>
          </cell>
        </row>
        <row r="59">
          <cell r="C59">
            <v>0</v>
          </cell>
          <cell r="D59" t="str">
            <v xml:space="preserve">LABORATÓRIO DA CONTRATADA FISCALIZADORA </v>
          </cell>
          <cell r="E59">
            <v>0</v>
          </cell>
          <cell r="F59" t="str">
            <v/>
          </cell>
        </row>
        <row r="60">
          <cell r="C60">
            <v>93584</v>
          </cell>
          <cell r="D60" t="str">
            <v>EXECUÇÃO DE LABORATÓRIO EM CANTEIRO DE OBRA EM CHAPA DE MADEIRA COMPENSADA, NÃO INCLUSO MOBILIÁRIO. AF_04/2016</v>
          </cell>
          <cell r="E60">
            <v>55</v>
          </cell>
          <cell r="F60" t="str">
            <v>M2</v>
          </cell>
        </row>
        <row r="61">
          <cell r="C61">
            <v>0</v>
          </cell>
          <cell r="D61" t="str">
            <v xml:space="preserve">LABORATÓRIO DA CONTRATADA FISCALIZADORA </v>
          </cell>
          <cell r="E61">
            <v>0</v>
          </cell>
          <cell r="F61" t="str">
            <v/>
          </cell>
        </row>
        <row r="62">
          <cell r="C62">
            <v>93585</v>
          </cell>
          <cell r="D62" t="str">
            <v>EXECUÇÃO DE GUARITA EM CANTEIRO DE OBRA EM CHAPA DE MADEIRA COMPENSADA, NÃO INCLUSO MOBILIÁRIO. AF_04/2016</v>
          </cell>
          <cell r="E62">
            <v>6.1</v>
          </cell>
          <cell r="F62" t="str">
            <v>M2</v>
          </cell>
        </row>
        <row r="63">
          <cell r="C63">
            <v>0</v>
          </cell>
          <cell r="D63" t="str">
            <v>BANHEIROS QUÍMICOS</v>
          </cell>
          <cell r="E63">
            <v>0</v>
          </cell>
          <cell r="F63" t="str">
            <v/>
          </cell>
        </row>
        <row r="64">
          <cell r="C64">
            <v>10389</v>
          </cell>
          <cell r="D64" t="str">
            <v>ALUGUEL DE BANHEIRO QUÍMICO, COM 03 LIMPEZAS SEMANAIS</v>
          </cell>
          <cell r="E64">
            <v>190</v>
          </cell>
          <cell r="F64" t="str">
            <v>MÊS</v>
          </cell>
        </row>
        <row r="65">
          <cell r="C65">
            <v>0</v>
          </cell>
          <cell r="D65" t="str">
            <v>INSTALAÇÕES DE ÁGUA E ESGOTO</v>
          </cell>
          <cell r="E65">
            <v>0</v>
          </cell>
          <cell r="F65" t="str">
            <v/>
          </cell>
        </row>
        <row r="66">
          <cell r="C66">
            <v>98053</v>
          </cell>
          <cell r="D66" t="str">
            <v>TANQUE SÉPTICO CIRCULAR, EM CONCRETO PRÉ-MOLDADO, DIÂMETRO INTERNO = 1,40 M, ALTURA INTERNA = 2,50 M, VOLUME ÚTIL: 3463,6 L (PARA 13 CONTRIBUINTES). AF_12/2020_PA</v>
          </cell>
          <cell r="E66">
            <v>4</v>
          </cell>
          <cell r="F66" t="str">
            <v>UN</v>
          </cell>
        </row>
        <row r="67">
          <cell r="C67">
            <v>98059</v>
          </cell>
          <cell r="D67" t="str">
            <v>FILTRO ANAERÓBIO CIRCULAR, EM CONCRETO PRÉ-MOLDADO, DIÂMETRO INTERNO = 1,88 M, ALTURA INTERNA = 1,50 M, VOLUME ÚTIL: 3331,1 L (PARA 19 CONTRIBUINTES). AF_12/2020_PA</v>
          </cell>
          <cell r="E67">
            <v>3</v>
          </cell>
          <cell r="F67" t="str">
            <v>UN</v>
          </cell>
        </row>
        <row r="68">
          <cell r="C68">
            <v>98064</v>
          </cell>
          <cell r="D68" t="str">
            <v>SUMIDOURO CIRCULAR, EM CONCRETO PRÉ-MOLDADO, DIÂMETRO INTERNO = 2,38 M, ALTURA INTERNA = 3,0 M, ÁREA DE INFILTRAÇÃO: 25 M² (PARA 10 CONTRIBUINTES). AF_12/2020_PA</v>
          </cell>
          <cell r="E68">
            <v>5</v>
          </cell>
          <cell r="F68" t="str">
            <v>UN</v>
          </cell>
        </row>
        <row r="69">
          <cell r="C69" t="str">
            <v>CCU-067</v>
          </cell>
          <cell r="D69" t="str">
            <v>EXECUÇÃO DE RESERVATÓRIO ELEVADO DE ÁGUA DE 5.000 LITROS EM CANTEIRO DE OBRAS, APOIADO SOBRE ESTURUTRA DE MADEIRA</v>
          </cell>
          <cell r="E69">
            <v>1</v>
          </cell>
          <cell r="F69" t="str">
            <v>UN</v>
          </cell>
        </row>
        <row r="70">
          <cell r="C70">
            <v>0</v>
          </cell>
          <cell r="D70" t="str">
            <v>SINALIZAÇÃO DE OBRA</v>
          </cell>
          <cell r="E70">
            <v>0</v>
          </cell>
          <cell r="F70" t="str">
            <v/>
          </cell>
        </row>
        <row r="71">
          <cell r="C71" t="str">
            <v>CCU-014</v>
          </cell>
          <cell r="D71" t="str">
            <v>SINALIZAÇÃO DE OBRA - TIPO 1</v>
          </cell>
          <cell r="E71">
            <v>4</v>
          </cell>
          <cell r="F71" t="str">
            <v>UN</v>
          </cell>
        </row>
        <row r="72">
          <cell r="C72" t="str">
            <v>CCU-015</v>
          </cell>
          <cell r="D72" t="str">
            <v>SINALIZAÇÃO DE OBRA - TIPO 2</v>
          </cell>
          <cell r="E72">
            <v>4</v>
          </cell>
          <cell r="F72" t="str">
            <v>UN</v>
          </cell>
        </row>
        <row r="73">
          <cell r="C73" t="str">
            <v>CCU-016</v>
          </cell>
          <cell r="D73" t="str">
            <v>SINALIZAÇÃO DE OBRA - TIPO 3</v>
          </cell>
          <cell r="E73">
            <v>4</v>
          </cell>
          <cell r="F73" t="str">
            <v>UN</v>
          </cell>
        </row>
        <row r="74">
          <cell r="C74">
            <v>0</v>
          </cell>
          <cell r="D74" t="str">
            <v>TERRAPLENAGEM</v>
          </cell>
          <cell r="E74">
            <v>0</v>
          </cell>
          <cell r="F74" t="str">
            <v/>
          </cell>
        </row>
        <row r="75">
          <cell r="C75">
            <v>0</v>
          </cell>
          <cell r="D75" t="str">
            <v>TRECHO 01</v>
          </cell>
          <cell r="E75">
            <v>0</v>
          </cell>
          <cell r="F75" t="str">
            <v/>
          </cell>
        </row>
        <row r="76">
          <cell r="C76">
            <v>0</v>
          </cell>
          <cell r="D76" t="str">
            <v>LIMPEZA</v>
          </cell>
          <cell r="E76">
            <v>0</v>
          </cell>
          <cell r="F76">
            <v>0</v>
          </cell>
        </row>
        <row r="77">
          <cell r="C77">
            <v>401010</v>
          </cell>
          <cell r="D77" t="str">
            <v>DESTOCAMENTO ÁRVORES DIAM. &gt; 30CM</v>
          </cell>
          <cell r="E77">
            <v>106</v>
          </cell>
          <cell r="F77" t="str">
            <v>UD</v>
          </cell>
        </row>
        <row r="78">
          <cell r="C78">
            <v>400000</v>
          </cell>
          <cell r="D78" t="str">
            <v>DESMATAMENTO E LIMPEZA DIAM. ATÉ 30CM</v>
          </cell>
          <cell r="E78">
            <v>26548.499999999996</v>
          </cell>
          <cell r="F78" t="str">
            <v>M2</v>
          </cell>
        </row>
        <row r="79">
          <cell r="C79">
            <v>0</v>
          </cell>
          <cell r="D79" t="str">
            <v>CORTE</v>
          </cell>
          <cell r="E79">
            <v>0</v>
          </cell>
          <cell r="F79">
            <v>0</v>
          </cell>
        </row>
        <row r="80">
          <cell r="C80">
            <v>411200</v>
          </cell>
          <cell r="D80" t="str">
            <v>ESC. CARGA E TRANSP. 1A. CAT.  1000-1200M</v>
          </cell>
          <cell r="E80">
            <v>2742.31</v>
          </cell>
          <cell r="F80" t="str">
            <v>M3</v>
          </cell>
        </row>
        <row r="81">
          <cell r="C81">
            <v>421200</v>
          </cell>
          <cell r="D81" t="str">
            <v>ESC. CARGA E TRANSP. 2A. CAT.  1000-1200M</v>
          </cell>
          <cell r="E81">
            <v>3302.2</v>
          </cell>
          <cell r="F81" t="str">
            <v>M3</v>
          </cell>
        </row>
        <row r="82">
          <cell r="C82">
            <v>0</v>
          </cell>
          <cell r="D82" t="str">
            <v>EMPRÉSTIMO</v>
          </cell>
          <cell r="E82">
            <v>0</v>
          </cell>
          <cell r="F82">
            <v>0</v>
          </cell>
        </row>
        <row r="83">
          <cell r="C83" t="str">
            <v>CCU-023</v>
          </cell>
          <cell r="D83" t="str">
            <v xml:space="preserve">EMPRÉSTIMO DE 1A CAT 6000-8000M PARA ATERRO (INCLUSIVE FORNECIMENTO, AQUISIÇÃO, CARGA, DESCARGA E TRANSPORTE) </v>
          </cell>
          <cell r="E83">
            <v>45861.36</v>
          </cell>
          <cell r="F83" t="str">
            <v>M³</v>
          </cell>
        </row>
        <row r="84">
          <cell r="C84">
            <v>0</v>
          </cell>
          <cell r="D84" t="str">
            <v>ATERRO</v>
          </cell>
          <cell r="E84">
            <v>0</v>
          </cell>
          <cell r="F84">
            <v>0</v>
          </cell>
        </row>
        <row r="85">
          <cell r="C85">
            <v>401100</v>
          </cell>
          <cell r="D85" t="str">
            <v>COMPACTAÇÃO DE ATERROS 100% PN (B)</v>
          </cell>
          <cell r="E85">
            <v>33503.980000000003</v>
          </cell>
          <cell r="F85" t="str">
            <v>M3</v>
          </cell>
        </row>
        <row r="86">
          <cell r="C86">
            <v>401950</v>
          </cell>
          <cell r="D86" t="str">
            <v>COMPACTAÇÃO DE ATERROS  95% PN (B)</v>
          </cell>
          <cell r="E86">
            <v>4443.18</v>
          </cell>
          <cell r="F86" t="str">
            <v>M3</v>
          </cell>
        </row>
        <row r="87">
          <cell r="C87">
            <v>402000</v>
          </cell>
          <cell r="D87" t="str">
            <v>COMPACTAÇÃO DE ATERROS EM 2A. CAT.</v>
          </cell>
          <cell r="E87">
            <v>2751.83</v>
          </cell>
          <cell r="F87" t="str">
            <v>M3</v>
          </cell>
        </row>
        <row r="88">
          <cell r="C88">
            <v>0</v>
          </cell>
          <cell r="D88" t="str">
            <v>BOTA FORA</v>
          </cell>
          <cell r="E88">
            <v>0</v>
          </cell>
          <cell r="F88">
            <v>0</v>
          </cell>
        </row>
        <row r="89">
          <cell r="C89" t="str">
            <v>CCU-018</v>
          </cell>
          <cell r="D89" t="str">
            <v>ESC. CARGA E TRANSP. 1A. CAT.  12000-14000M (BOTA FORA)</v>
          </cell>
          <cell r="E89">
            <v>17965.990000000002</v>
          </cell>
          <cell r="F89" t="str">
            <v>M³</v>
          </cell>
        </row>
        <row r="90">
          <cell r="C90">
            <v>404300</v>
          </cell>
          <cell r="D90" t="str">
            <v>ESPALHAMENTO E CONFORMAÇÃO DE BOTA-FORA</v>
          </cell>
          <cell r="E90">
            <v>17965.990000000002</v>
          </cell>
          <cell r="F90" t="str">
            <v>M3</v>
          </cell>
        </row>
        <row r="91">
          <cell r="C91">
            <v>0</v>
          </cell>
          <cell r="D91" t="str">
            <v>TRECHO 02</v>
          </cell>
          <cell r="E91">
            <v>0</v>
          </cell>
          <cell r="F91" t="str">
            <v/>
          </cell>
        </row>
        <row r="92">
          <cell r="C92">
            <v>0</v>
          </cell>
          <cell r="D92" t="str">
            <v>LIMPEZA</v>
          </cell>
          <cell r="E92">
            <v>0</v>
          </cell>
          <cell r="F92">
            <v>0</v>
          </cell>
        </row>
        <row r="93">
          <cell r="C93">
            <v>401010</v>
          </cell>
          <cell r="D93" t="str">
            <v>DESTOCAMENTO ÁRVORES DIAM. &gt; 30CM</v>
          </cell>
          <cell r="E93">
            <v>35</v>
          </cell>
          <cell r="F93" t="str">
            <v>UD</v>
          </cell>
        </row>
        <row r="94">
          <cell r="C94">
            <v>400000</v>
          </cell>
          <cell r="D94" t="str">
            <v>DESMATAMENTO E LIMPEZA DIAM. ATÉ 30CM</v>
          </cell>
          <cell r="E94">
            <v>2321.8000000000002</v>
          </cell>
          <cell r="F94" t="str">
            <v>M2</v>
          </cell>
        </row>
        <row r="95">
          <cell r="C95">
            <v>0</v>
          </cell>
          <cell r="D95" t="str">
            <v>CORTE</v>
          </cell>
          <cell r="E95">
            <v>0</v>
          </cell>
          <cell r="F95">
            <v>0</v>
          </cell>
        </row>
        <row r="96">
          <cell r="C96">
            <v>410800</v>
          </cell>
          <cell r="D96" t="str">
            <v>ESC. CARGA E TRANSP. 1A. CAT.   600-800M</v>
          </cell>
          <cell r="E96">
            <v>137.05000000000001</v>
          </cell>
          <cell r="F96" t="str">
            <v>M3</v>
          </cell>
        </row>
        <row r="97">
          <cell r="C97">
            <v>0</v>
          </cell>
          <cell r="D97" t="str">
            <v>ATERRO</v>
          </cell>
          <cell r="E97">
            <v>0</v>
          </cell>
          <cell r="F97">
            <v>0</v>
          </cell>
        </row>
        <row r="98">
          <cell r="C98">
            <v>401100</v>
          </cell>
          <cell r="D98" t="str">
            <v>COMPACTAÇÃO DE ATERROS 100% PN (B)</v>
          </cell>
          <cell r="E98">
            <v>107.07</v>
          </cell>
          <cell r="F98" t="str">
            <v>M3</v>
          </cell>
        </row>
        <row r="99">
          <cell r="C99">
            <v>0</v>
          </cell>
          <cell r="D99" t="str">
            <v>BOTA FORA</v>
          </cell>
          <cell r="E99">
            <v>0</v>
          </cell>
          <cell r="F99">
            <v>0</v>
          </cell>
        </row>
        <row r="100">
          <cell r="C100" t="str">
            <v>CCU-018</v>
          </cell>
          <cell r="D100" t="str">
            <v>ESC. CARGA E TRANSP. 1A. CAT.  12000-14000M (BOTA FORA)</v>
          </cell>
          <cell r="E100">
            <v>2739.03</v>
          </cell>
          <cell r="F100" t="str">
            <v>M³</v>
          </cell>
        </row>
        <row r="101">
          <cell r="C101">
            <v>404300</v>
          </cell>
          <cell r="D101" t="str">
            <v>ESPALHAMENTO E CONFORMAÇÃO DE BOTA-FORA</v>
          </cell>
          <cell r="E101">
            <v>2739.03</v>
          </cell>
          <cell r="F101" t="str">
            <v>M3</v>
          </cell>
        </row>
        <row r="102">
          <cell r="C102">
            <v>0</v>
          </cell>
          <cell r="D102" t="str">
            <v>TRECHO 03</v>
          </cell>
          <cell r="E102">
            <v>0</v>
          </cell>
          <cell r="F102" t="str">
            <v/>
          </cell>
        </row>
        <row r="103">
          <cell r="C103">
            <v>0</v>
          </cell>
          <cell r="D103" t="str">
            <v>LIMPEZA</v>
          </cell>
          <cell r="E103">
            <v>0</v>
          </cell>
          <cell r="F103">
            <v>0</v>
          </cell>
        </row>
        <row r="104">
          <cell r="C104">
            <v>401010</v>
          </cell>
          <cell r="D104" t="str">
            <v>DESTOCAMENTO ÁRVORES DIAM. &gt; 30CM</v>
          </cell>
          <cell r="E104">
            <v>115</v>
          </cell>
          <cell r="F104" t="str">
            <v>UD</v>
          </cell>
        </row>
        <row r="105">
          <cell r="C105">
            <v>400000</v>
          </cell>
          <cell r="D105" t="str">
            <v>DESMATAMENTO E LIMPEZA DIAM. ATÉ 30CM</v>
          </cell>
          <cell r="E105">
            <v>27157.1</v>
          </cell>
          <cell r="F105" t="str">
            <v>M2</v>
          </cell>
        </row>
        <row r="106">
          <cell r="C106">
            <v>0</v>
          </cell>
          <cell r="D106" t="str">
            <v>CORTE</v>
          </cell>
          <cell r="E106">
            <v>0</v>
          </cell>
          <cell r="F106">
            <v>0</v>
          </cell>
        </row>
        <row r="107">
          <cell r="C107">
            <v>411400</v>
          </cell>
          <cell r="D107" t="str">
            <v>ESC. CARGA E TRANSP. 1A. CAT.  1200-1400M</v>
          </cell>
          <cell r="E107">
            <v>6753.26</v>
          </cell>
          <cell r="F107" t="str">
            <v>M3</v>
          </cell>
        </row>
        <row r="108">
          <cell r="C108">
            <v>421400</v>
          </cell>
          <cell r="D108" t="str">
            <v>ESC. CARGA E TRANSP. 2A. CAT.  1200-1400M</v>
          </cell>
          <cell r="E108">
            <v>3308.5</v>
          </cell>
          <cell r="F108" t="str">
            <v>M3</v>
          </cell>
        </row>
        <row r="109">
          <cell r="C109">
            <v>0</v>
          </cell>
          <cell r="D109" t="str">
            <v>EMPRÉSTIMO</v>
          </cell>
          <cell r="E109">
            <v>0</v>
          </cell>
          <cell r="F109">
            <v>0</v>
          </cell>
        </row>
        <row r="110">
          <cell r="C110" t="str">
            <v>CCU-022</v>
          </cell>
          <cell r="D110" t="str">
            <v xml:space="preserve">EMPRÉSTIMO DE 1A CAT 4000-5000M PARA ATERRO (INCLUSIVE FORNECIMENTO, AQUISIÇÃO, CARGA, DESCARGA E TRANSPORTE) </v>
          </cell>
          <cell r="E110">
            <v>48251.38</v>
          </cell>
          <cell r="F110" t="str">
            <v>M³</v>
          </cell>
        </row>
        <row r="111">
          <cell r="C111" t="str">
            <v>CCU-025</v>
          </cell>
          <cell r="D111" t="str">
            <v>EMPRÉSTIMO DE 3A CAT 4000-5000M PARA ENROCAMENTO (INCLUSIVE FORNECIMENTO, AQUISIÇÃO, CARGA, DESCARGA E TRANSPORTE)</v>
          </cell>
          <cell r="E111">
            <v>896</v>
          </cell>
          <cell r="F111" t="str">
            <v>M³</v>
          </cell>
        </row>
        <row r="112">
          <cell r="C112">
            <v>0</v>
          </cell>
          <cell r="D112" t="str">
            <v>ATERRO</v>
          </cell>
          <cell r="E112">
            <v>0</v>
          </cell>
          <cell r="F112">
            <v>0</v>
          </cell>
        </row>
        <row r="113">
          <cell r="C113">
            <v>401100</v>
          </cell>
          <cell r="D113" t="str">
            <v>COMPACTAÇÃO DE ATERROS 100% PN (B)</v>
          </cell>
          <cell r="E113">
            <v>35583.089999999997</v>
          </cell>
          <cell r="F113" t="str">
            <v>M3</v>
          </cell>
        </row>
        <row r="114">
          <cell r="C114">
            <v>401950</v>
          </cell>
          <cell r="D114" t="str">
            <v>COMPACTAÇÃO DE ATERROS  95% PN (B)</v>
          </cell>
          <cell r="E114">
            <v>7389.28</v>
          </cell>
          <cell r="F114" t="str">
            <v>M3</v>
          </cell>
        </row>
        <row r="115">
          <cell r="C115">
            <v>402000</v>
          </cell>
          <cell r="D115" t="str">
            <v>COMPACTAÇÃO DE ATERROS EM 2A. CAT.</v>
          </cell>
          <cell r="E115">
            <v>2757.08</v>
          </cell>
          <cell r="F115" t="str">
            <v>M3</v>
          </cell>
        </row>
        <row r="116">
          <cell r="C116">
            <v>403000</v>
          </cell>
          <cell r="D116" t="str">
            <v>COMPACTAÇÃO DE ATERROS EM 3A. CAT.</v>
          </cell>
          <cell r="E116">
            <v>896</v>
          </cell>
          <cell r="F116" t="str">
            <v>M3</v>
          </cell>
        </row>
        <row r="117">
          <cell r="C117">
            <v>0</v>
          </cell>
          <cell r="D117" t="str">
            <v>BOTA FORA</v>
          </cell>
          <cell r="E117">
            <v>0</v>
          </cell>
          <cell r="F117">
            <v>0</v>
          </cell>
        </row>
        <row r="118">
          <cell r="C118" t="str">
            <v>CCU-019</v>
          </cell>
          <cell r="D118" t="str">
            <v>ESC. CARGA E TRANSP. 1A. CAT.  16000-18000M (BOTA FORA)</v>
          </cell>
          <cell r="E118">
            <v>11538.48</v>
          </cell>
          <cell r="F118" t="str">
            <v>M³</v>
          </cell>
        </row>
        <row r="119">
          <cell r="C119">
            <v>404300</v>
          </cell>
          <cell r="D119" t="str">
            <v>ESPALHAMENTO E CONFORMAÇÃO DE BOTA-FORA</v>
          </cell>
          <cell r="E119">
            <v>11538.48</v>
          </cell>
          <cell r="F119" t="str">
            <v>M3</v>
          </cell>
        </row>
        <row r="120">
          <cell r="C120">
            <v>0</v>
          </cell>
          <cell r="D120" t="str">
            <v>TRECHO 04</v>
          </cell>
          <cell r="E120">
            <v>0</v>
          </cell>
          <cell r="F120" t="str">
            <v/>
          </cell>
        </row>
        <row r="121">
          <cell r="C121">
            <v>0</v>
          </cell>
          <cell r="D121" t="str">
            <v>LIMPEZA</v>
          </cell>
          <cell r="E121">
            <v>0</v>
          </cell>
          <cell r="F121">
            <v>0</v>
          </cell>
        </row>
        <row r="122">
          <cell r="C122">
            <v>401010</v>
          </cell>
          <cell r="D122" t="str">
            <v>DESTOCAMENTO ÁRVORES DIAM. &gt; 30CM</v>
          </cell>
          <cell r="E122">
            <v>26</v>
          </cell>
          <cell r="F122" t="str">
            <v>UD</v>
          </cell>
        </row>
        <row r="123">
          <cell r="C123">
            <v>400000</v>
          </cell>
          <cell r="D123" t="str">
            <v>DESMATAMENTO E LIMPEZA DIAM. ATÉ 30CM</v>
          </cell>
          <cell r="E123">
            <v>11305</v>
          </cell>
          <cell r="F123" t="str">
            <v>M2</v>
          </cell>
        </row>
        <row r="124">
          <cell r="C124">
            <v>0</v>
          </cell>
          <cell r="D124" t="str">
            <v>CORTE</v>
          </cell>
          <cell r="E124">
            <v>0</v>
          </cell>
          <cell r="F124">
            <v>0</v>
          </cell>
        </row>
        <row r="125">
          <cell r="C125">
            <v>411000</v>
          </cell>
          <cell r="D125" t="str">
            <v>ESC. CARGA E TRANSP. 1A. CAT.   800-1000M</v>
          </cell>
          <cell r="E125">
            <v>228.07</v>
          </cell>
          <cell r="F125" t="str">
            <v>M3</v>
          </cell>
        </row>
        <row r="126">
          <cell r="C126">
            <v>0</v>
          </cell>
          <cell r="D126" t="str">
            <v>EMPRÉSTIMO</v>
          </cell>
          <cell r="E126">
            <v>0</v>
          </cell>
          <cell r="F126">
            <v>0</v>
          </cell>
        </row>
        <row r="127">
          <cell r="C127" t="str">
            <v>CCU-026</v>
          </cell>
          <cell r="D127" t="str">
            <v>EMPRÉSTIMO DE 3A CAT 8000-10000M PARA ENROCAMENTO (INCLUSIVE FORNECIMENTO, AQUISIÇÃO, CARGA, DESCARGA E TRANSPORTE)</v>
          </cell>
          <cell r="E127">
            <v>84</v>
          </cell>
          <cell r="F127" t="str">
            <v>M³</v>
          </cell>
        </row>
        <row r="128">
          <cell r="C128">
            <v>0</v>
          </cell>
          <cell r="D128" t="str">
            <v>ATERRO</v>
          </cell>
          <cell r="E128">
            <v>0</v>
          </cell>
          <cell r="F128">
            <v>0</v>
          </cell>
        </row>
        <row r="129">
          <cell r="C129">
            <v>401100</v>
          </cell>
          <cell r="D129" t="str">
            <v>COMPACTAÇÃO DE ATERROS 100% PN (B)</v>
          </cell>
          <cell r="E129">
            <v>178.18</v>
          </cell>
          <cell r="F129" t="str">
            <v>M3</v>
          </cell>
        </row>
        <row r="130">
          <cell r="C130">
            <v>403000</v>
          </cell>
          <cell r="D130" t="str">
            <v>COMPACTAÇÃO DE ATERROS EM 3A. CAT.</v>
          </cell>
          <cell r="E130">
            <v>84</v>
          </cell>
          <cell r="F130" t="str">
            <v>M3</v>
          </cell>
        </row>
        <row r="131">
          <cell r="C131">
            <v>0</v>
          </cell>
          <cell r="D131" t="str">
            <v>BOTA FORA</v>
          </cell>
          <cell r="E131">
            <v>0</v>
          </cell>
          <cell r="F131">
            <v>0</v>
          </cell>
        </row>
        <row r="132">
          <cell r="C132" t="str">
            <v>CCU-020</v>
          </cell>
          <cell r="D132" t="str">
            <v>ESC. CARGA E TRANSP. 1A. CAT.  20000-22000M (BOTA FORA)</v>
          </cell>
          <cell r="E132">
            <v>3186.77</v>
          </cell>
          <cell r="F132" t="str">
            <v>M³</v>
          </cell>
        </row>
        <row r="133">
          <cell r="C133">
            <v>404300</v>
          </cell>
          <cell r="D133" t="str">
            <v>ESPALHAMENTO E CONFORMAÇÃO DE BOTA-FORA</v>
          </cell>
          <cell r="E133">
            <v>3186.77</v>
          </cell>
          <cell r="F133" t="str">
            <v>M3</v>
          </cell>
        </row>
        <row r="134">
          <cell r="C134">
            <v>0</v>
          </cell>
          <cell r="D134" t="str">
            <v>TRECHO 05</v>
          </cell>
          <cell r="E134">
            <v>0</v>
          </cell>
          <cell r="F134" t="str">
            <v/>
          </cell>
        </row>
        <row r="135">
          <cell r="C135">
            <v>0</v>
          </cell>
          <cell r="D135" t="str">
            <v>LIMPEZA</v>
          </cell>
          <cell r="E135">
            <v>0</v>
          </cell>
          <cell r="F135">
            <v>0</v>
          </cell>
        </row>
        <row r="136">
          <cell r="C136">
            <v>401010</v>
          </cell>
          <cell r="D136" t="str">
            <v>DESTOCAMENTO ÁRVORES DIAM. &gt; 30CM</v>
          </cell>
          <cell r="E136">
            <v>52</v>
          </cell>
          <cell r="F136" t="str">
            <v>UD</v>
          </cell>
        </row>
        <row r="137">
          <cell r="C137">
            <v>400000</v>
          </cell>
          <cell r="D137" t="str">
            <v>DESMATAMENTO E LIMPEZA DIAM. ATÉ 30CM</v>
          </cell>
          <cell r="E137">
            <v>64509.75</v>
          </cell>
          <cell r="F137" t="str">
            <v>M2</v>
          </cell>
        </row>
        <row r="138">
          <cell r="C138">
            <v>0</v>
          </cell>
          <cell r="D138" t="str">
            <v>CORTE</v>
          </cell>
          <cell r="E138">
            <v>0</v>
          </cell>
          <cell r="F138">
            <v>0</v>
          </cell>
        </row>
        <row r="139">
          <cell r="C139">
            <v>413000</v>
          </cell>
          <cell r="D139" t="str">
            <v>ESC. CARGA E TRANSP. 1A. CAT.  2000-3000M</v>
          </cell>
          <cell r="E139">
            <v>15507.57</v>
          </cell>
          <cell r="F139" t="str">
            <v>M3</v>
          </cell>
        </row>
        <row r="140">
          <cell r="C140">
            <v>423000</v>
          </cell>
          <cell r="D140" t="str">
            <v>ESC. CARGA E TRANSP. 2A. CAT.  2000-3000M</v>
          </cell>
          <cell r="E140">
            <v>5716.22</v>
          </cell>
          <cell r="F140" t="str">
            <v>M3</v>
          </cell>
        </row>
        <row r="141">
          <cell r="C141">
            <v>0</v>
          </cell>
          <cell r="D141" t="str">
            <v>EMPRÉSTIMO</v>
          </cell>
          <cell r="E141">
            <v>0</v>
          </cell>
          <cell r="F141">
            <v>0</v>
          </cell>
        </row>
        <row r="142">
          <cell r="C142" t="str">
            <v>CCU-024</v>
          </cell>
          <cell r="D142" t="str">
            <v xml:space="preserve">EMPRÉSTIMO DE 1A CAT 14000-16000M PARA ATERRO (INCLUSIVE FORNECIMENTO, AQUISIÇÃO, CARGA, DESCARGA E TRANSPORTE) </v>
          </cell>
          <cell r="E142">
            <v>95484.07</v>
          </cell>
          <cell r="F142" t="str">
            <v>M³</v>
          </cell>
        </row>
        <row r="143">
          <cell r="C143" t="str">
            <v>CCU-027</v>
          </cell>
          <cell r="D143" t="str">
            <v xml:space="preserve">EMPRÉSTIMO DE 3A CAT 14000-16000M PARA ENROCAMENTO (INCLUSIVE FORNECIMENTO, AQUISIÇÃO, CARGA, DESCARGA E TRANSPORTE) </v>
          </cell>
          <cell r="E143">
            <v>1092</v>
          </cell>
          <cell r="F143" t="str">
            <v>M³</v>
          </cell>
        </row>
        <row r="144">
          <cell r="C144">
            <v>0</v>
          </cell>
          <cell r="D144" t="str">
            <v>ATERRO</v>
          </cell>
          <cell r="E144">
            <v>0</v>
          </cell>
          <cell r="F144">
            <v>0</v>
          </cell>
        </row>
        <row r="145">
          <cell r="C145">
            <v>401100</v>
          </cell>
          <cell r="D145" t="str">
            <v>COMPACTAÇÃO DE ATERROS 100% PN (B)</v>
          </cell>
          <cell r="E145">
            <v>76423.539999999994</v>
          </cell>
          <cell r="F145" t="str">
            <v>M3</v>
          </cell>
        </row>
        <row r="146">
          <cell r="C146">
            <v>401950</v>
          </cell>
          <cell r="D146" t="str">
            <v>COMPACTAÇÃO DE ATERROS  95% PN (B)</v>
          </cell>
          <cell r="E146">
            <v>10288.68</v>
          </cell>
          <cell r="F146" t="str">
            <v>M3</v>
          </cell>
        </row>
        <row r="147">
          <cell r="C147">
            <v>402000</v>
          </cell>
          <cell r="D147" t="str">
            <v>COMPACTAÇÃO DE ATERROS EM 2A. CAT.</v>
          </cell>
          <cell r="E147">
            <v>4763.51</v>
          </cell>
          <cell r="F147" t="str">
            <v>M3</v>
          </cell>
        </row>
        <row r="148">
          <cell r="C148">
            <v>403000</v>
          </cell>
          <cell r="D148" t="str">
            <v>COMPACTAÇÃO DE ATERROS EM 3A. CAT.</v>
          </cell>
          <cell r="E148">
            <v>1092</v>
          </cell>
          <cell r="F148" t="str">
            <v>M3</v>
          </cell>
        </row>
        <row r="149">
          <cell r="C149">
            <v>0</v>
          </cell>
          <cell r="D149" t="str">
            <v>BOTA FORA</v>
          </cell>
          <cell r="E149">
            <v>0</v>
          </cell>
          <cell r="F149">
            <v>0</v>
          </cell>
        </row>
        <row r="150">
          <cell r="C150" t="str">
            <v>CCU-021</v>
          </cell>
          <cell r="D150" t="str">
            <v>ESC. CARGA E TRANSP. 1A. CAT.  26000-28000M (BOTA FORA)</v>
          </cell>
          <cell r="E150">
            <v>44348.29</v>
          </cell>
          <cell r="F150" t="str">
            <v>M³</v>
          </cell>
        </row>
        <row r="151">
          <cell r="C151">
            <v>404300</v>
          </cell>
          <cell r="D151" t="str">
            <v>ESPALHAMENTO E CONFORMAÇÃO DE BOTA-FORA</v>
          </cell>
          <cell r="E151">
            <v>44348.29</v>
          </cell>
          <cell r="F151" t="str">
            <v>M3</v>
          </cell>
        </row>
        <row r="152">
          <cell r="C152">
            <v>0</v>
          </cell>
          <cell r="D152" t="str">
            <v xml:space="preserve">DRENAGEM </v>
          </cell>
          <cell r="E152">
            <v>0</v>
          </cell>
          <cell r="F152" t="str">
            <v/>
          </cell>
        </row>
        <row r="153">
          <cell r="C153">
            <v>0</v>
          </cell>
          <cell r="D153" t="str">
            <v>TRECHO 01</v>
          </cell>
          <cell r="E153">
            <v>0</v>
          </cell>
          <cell r="F153" t="str">
            <v/>
          </cell>
        </row>
        <row r="154">
          <cell r="C154">
            <v>0</v>
          </cell>
          <cell r="D154" t="str">
            <v>DRENO LONGITUDINAL PROFUNDO EM SOLO (DPS)</v>
          </cell>
          <cell r="E154">
            <v>0</v>
          </cell>
          <cell r="F154">
            <v>0</v>
          </cell>
        </row>
        <row r="155">
          <cell r="C155" t="str">
            <v>CCU-030</v>
          </cell>
          <cell r="D155" t="str">
            <v>DRENO PROFUNDO H = 1,5 M - COM GEOCOMPOSTO DRENANTE - DPS 09</v>
          </cell>
          <cell r="E155">
            <v>5017</v>
          </cell>
          <cell r="F155" t="str">
            <v>M</v>
          </cell>
        </row>
        <row r="156">
          <cell r="C156">
            <v>0</v>
          </cell>
          <cell r="D156" t="str">
            <v>DRENO DE REBAIXO(DR)</v>
          </cell>
          <cell r="E156">
            <v>0</v>
          </cell>
          <cell r="F156">
            <v>0</v>
          </cell>
        </row>
        <row r="157">
          <cell r="C157" t="str">
            <v>CCU-033</v>
          </cell>
          <cell r="D157" t="str">
            <v>DRENO DE REBAIXO DR</v>
          </cell>
          <cell r="E157">
            <v>659</v>
          </cell>
          <cell r="F157" t="str">
            <v>M</v>
          </cell>
        </row>
        <row r="158">
          <cell r="C158">
            <v>0</v>
          </cell>
          <cell r="D158" t="str">
            <v>DRENO SUB SUPERFICIAL DE PAVIMENTO (DSSP)</v>
          </cell>
          <cell r="E158">
            <v>0</v>
          </cell>
          <cell r="F158">
            <v>0</v>
          </cell>
        </row>
        <row r="159">
          <cell r="C159" t="str">
            <v>CCU-032</v>
          </cell>
          <cell r="D159" t="str">
            <v>DRENO SUBSUPERFICIAL DE PAVIMENTO DSSP</v>
          </cell>
          <cell r="E159">
            <v>1311</v>
          </cell>
          <cell r="F159" t="str">
            <v>M</v>
          </cell>
        </row>
        <row r="160">
          <cell r="C160">
            <v>0</v>
          </cell>
          <cell r="D160" t="str">
            <v>BOCA DE SAÍDA DE DRENO (BSD)</v>
          </cell>
          <cell r="E160">
            <v>0</v>
          </cell>
          <cell r="F160">
            <v>0</v>
          </cell>
        </row>
        <row r="161">
          <cell r="C161">
            <v>622100</v>
          </cell>
          <cell r="D161" t="str">
            <v>BOCA DE SAÍDA DRENO PROFUNDO - TIPO 2</v>
          </cell>
          <cell r="E161">
            <v>17</v>
          </cell>
          <cell r="F161" t="str">
            <v>UD</v>
          </cell>
        </row>
        <row r="162">
          <cell r="C162">
            <v>0</v>
          </cell>
          <cell r="D162" t="str">
            <v>DISSIPADOR DE ENERGIA (DES / DEB) - 2 UNIDADES DEB-10</v>
          </cell>
          <cell r="E162">
            <v>0</v>
          </cell>
          <cell r="F162">
            <v>0</v>
          </cell>
        </row>
        <row r="163">
          <cell r="C163">
            <v>600000</v>
          </cell>
          <cell r="D163" t="str">
            <v>ESCAVAÇÃO MANUAL DE VALA 1A. CAT.</v>
          </cell>
          <cell r="E163">
            <v>18.920000000000002</v>
          </cell>
          <cell r="F163" t="str">
            <v>M3</v>
          </cell>
        </row>
        <row r="164">
          <cell r="C164">
            <v>1506055</v>
          </cell>
          <cell r="D164" t="str">
            <v>PEDRA ARGAMASSADA COM CIMENTO E AREIA 1:3 - AREIA E PEDRA DE MÃO COMERCIAL - FORNECIMENTO E ASSENTAMENTO</v>
          </cell>
          <cell r="E164">
            <v>14</v>
          </cell>
          <cell r="F164" t="str">
            <v>M³</v>
          </cell>
        </row>
        <row r="165">
          <cell r="C165">
            <v>601100</v>
          </cell>
          <cell r="D165" t="str">
            <v>APILOAMENTO MANUAL</v>
          </cell>
          <cell r="E165">
            <v>1.2</v>
          </cell>
          <cell r="F165" t="str">
            <v>M3</v>
          </cell>
        </row>
        <row r="166">
          <cell r="C166">
            <v>602100</v>
          </cell>
          <cell r="D166" t="str">
            <v>FORMAS DE MADEIRA COMPENSADA  RESINADA</v>
          </cell>
          <cell r="E166">
            <v>40.56</v>
          </cell>
          <cell r="F166" t="str">
            <v>M2</v>
          </cell>
        </row>
        <row r="167">
          <cell r="C167">
            <v>605500</v>
          </cell>
          <cell r="D167" t="str">
            <v>CONCRETO FCK = 20 MPA, PREPARO EM BETONEIRA E LANÇ.</v>
          </cell>
          <cell r="E167">
            <v>9.32</v>
          </cell>
          <cell r="F167" t="str">
            <v>M3</v>
          </cell>
        </row>
        <row r="168">
          <cell r="C168">
            <v>0</v>
          </cell>
          <cell r="D168" t="str">
            <v>CAIXA COLETORA DE SARJETA (CCS) - 5 UNIDADES CCS-01</v>
          </cell>
          <cell r="E168">
            <v>0</v>
          </cell>
          <cell r="F168">
            <v>0</v>
          </cell>
        </row>
        <row r="169">
          <cell r="C169">
            <v>600000</v>
          </cell>
          <cell r="D169" t="str">
            <v>ESCAVAÇÃO MANUAL DE VALA 1A. CAT.</v>
          </cell>
          <cell r="E169">
            <v>75</v>
          </cell>
          <cell r="F169" t="str">
            <v>M3</v>
          </cell>
        </row>
        <row r="170">
          <cell r="C170">
            <v>601100</v>
          </cell>
          <cell r="D170" t="str">
            <v>APILOAMENTO MANUAL</v>
          </cell>
          <cell r="E170">
            <v>25</v>
          </cell>
          <cell r="F170" t="str">
            <v>M3</v>
          </cell>
        </row>
        <row r="171">
          <cell r="C171">
            <v>602100</v>
          </cell>
          <cell r="D171" t="str">
            <v>FORMAS DE MADEIRA COMPENSADA  RESINADA</v>
          </cell>
          <cell r="E171">
            <v>101.5</v>
          </cell>
          <cell r="F171" t="str">
            <v>M2</v>
          </cell>
        </row>
        <row r="172">
          <cell r="C172">
            <v>603000</v>
          </cell>
          <cell r="D172" t="str">
            <v>AÇO CA-50 FORNEC. DOBR. COLOCAÇÃO</v>
          </cell>
          <cell r="E172">
            <v>35</v>
          </cell>
          <cell r="F172" t="str">
            <v>KG</v>
          </cell>
        </row>
        <row r="173">
          <cell r="C173">
            <v>605500</v>
          </cell>
          <cell r="D173" t="str">
            <v>CONCRETO FCK = 20 MPA, PREPARO EM BETONEIRA E LANÇ.</v>
          </cell>
          <cell r="E173">
            <v>11</v>
          </cell>
          <cell r="F173" t="str">
            <v>M3</v>
          </cell>
        </row>
        <row r="174">
          <cell r="C174">
            <v>0</v>
          </cell>
          <cell r="D174" t="str">
            <v>CAIXA COLETORA DE SARJETA (CCS) - 5 UNIDADES CCS-02</v>
          </cell>
          <cell r="E174">
            <v>0</v>
          </cell>
          <cell r="F174">
            <v>0</v>
          </cell>
        </row>
        <row r="175">
          <cell r="C175">
            <v>600000</v>
          </cell>
          <cell r="D175" t="str">
            <v>ESCAVAÇÃO MANUAL DE VALA 1A. CAT.</v>
          </cell>
          <cell r="E175">
            <v>95</v>
          </cell>
          <cell r="F175" t="str">
            <v>M3</v>
          </cell>
        </row>
        <row r="176">
          <cell r="C176">
            <v>601100</v>
          </cell>
          <cell r="D176" t="str">
            <v>APILOAMENTO MANUAL</v>
          </cell>
          <cell r="E176">
            <v>30</v>
          </cell>
          <cell r="F176" t="str">
            <v>M3</v>
          </cell>
        </row>
        <row r="177">
          <cell r="C177">
            <v>602100</v>
          </cell>
          <cell r="D177" t="str">
            <v>FORMAS DE MADEIRA COMPENSADA  RESINADA</v>
          </cell>
          <cell r="E177">
            <v>128</v>
          </cell>
          <cell r="F177" t="str">
            <v>M2</v>
          </cell>
        </row>
        <row r="178">
          <cell r="C178">
            <v>603000</v>
          </cell>
          <cell r="D178" t="str">
            <v>AÇO CA-50 FORNEC. DOBR. COLOCAÇÃO</v>
          </cell>
          <cell r="E178">
            <v>40</v>
          </cell>
          <cell r="F178" t="str">
            <v>KG</v>
          </cell>
        </row>
        <row r="179">
          <cell r="C179">
            <v>605500</v>
          </cell>
          <cell r="D179" t="str">
            <v>CONCRETO FCK = 20 MPA, PREPARO EM BETONEIRA E LANÇ.</v>
          </cell>
          <cell r="E179">
            <v>10.5</v>
          </cell>
          <cell r="F179" t="str">
            <v>M3</v>
          </cell>
        </row>
        <row r="180">
          <cell r="C180">
            <v>0</v>
          </cell>
          <cell r="D180" t="str">
            <v>BOCA DE LOBO PROJETADA(BLC) - 2 UNIDADES BLC-02</v>
          </cell>
          <cell r="E180">
            <v>0</v>
          </cell>
          <cell r="F180">
            <v>0</v>
          </cell>
        </row>
        <row r="181">
          <cell r="C181">
            <v>600000</v>
          </cell>
          <cell r="D181" t="str">
            <v>ESCAVAÇÃO MANUAL DE VALA 1A. CAT.</v>
          </cell>
          <cell r="E181">
            <v>6</v>
          </cell>
          <cell r="F181" t="str">
            <v>M3</v>
          </cell>
        </row>
        <row r="182">
          <cell r="C182">
            <v>601100</v>
          </cell>
          <cell r="D182" t="str">
            <v>APILOAMENTO MANUAL</v>
          </cell>
          <cell r="E182">
            <v>2</v>
          </cell>
          <cell r="F182" t="str">
            <v>M3</v>
          </cell>
        </row>
        <row r="183">
          <cell r="C183">
            <v>602100</v>
          </cell>
          <cell r="D183" t="str">
            <v>FORMAS DE MADEIRA COMPENSADA  RESINADA</v>
          </cell>
          <cell r="E183">
            <v>6.2</v>
          </cell>
          <cell r="F183" t="str">
            <v>M2</v>
          </cell>
        </row>
        <row r="184">
          <cell r="C184">
            <v>603000</v>
          </cell>
          <cell r="D184" t="str">
            <v>AÇO CA-50 FORNEC. DOBR. COLOCAÇÃO</v>
          </cell>
          <cell r="E184">
            <v>8.1999999999999993</v>
          </cell>
          <cell r="F184" t="str">
            <v>KG</v>
          </cell>
        </row>
        <row r="185">
          <cell r="C185">
            <v>605500</v>
          </cell>
          <cell r="D185" t="str">
            <v>CONCRETO FCK = 20 MPA, PREPARO EM BETONEIRA E LANÇ.</v>
          </cell>
          <cell r="E185">
            <v>0.62</v>
          </cell>
          <cell r="F185" t="str">
            <v>M3</v>
          </cell>
        </row>
        <row r="186">
          <cell r="C186" t="str">
            <v>CCU-028</v>
          </cell>
          <cell r="D186" t="str">
            <v>ALVENARIA DE BLOCOS DE CONCRETO (10X20CM)</v>
          </cell>
          <cell r="E186">
            <v>11.36</v>
          </cell>
          <cell r="F186" t="str">
            <v>M²</v>
          </cell>
        </row>
        <row r="187">
          <cell r="C187">
            <v>604000</v>
          </cell>
          <cell r="D187" t="str">
            <v>ARGAMASSA CIMENTO E AREIA 1:3</v>
          </cell>
          <cell r="E187">
            <v>0.18</v>
          </cell>
          <cell r="F187" t="str">
            <v>M3</v>
          </cell>
        </row>
        <row r="188">
          <cell r="C188">
            <v>0</v>
          </cell>
          <cell r="D188" t="str">
            <v>CAIXA DE LIGAÇÃO E PASSAGEM- 4 UNIDADES CLP-02</v>
          </cell>
          <cell r="E188">
            <v>0</v>
          </cell>
          <cell r="F188">
            <v>0</v>
          </cell>
        </row>
        <row r="189">
          <cell r="C189">
            <v>600000</v>
          </cell>
          <cell r="D189" t="str">
            <v>ESCAVAÇÃO MANUAL DE VALA 1A. CAT.</v>
          </cell>
          <cell r="E189">
            <v>32</v>
          </cell>
          <cell r="F189" t="str">
            <v>M3</v>
          </cell>
        </row>
        <row r="190">
          <cell r="C190">
            <v>601100</v>
          </cell>
          <cell r="D190" t="str">
            <v>APILOAMENTO MANUAL</v>
          </cell>
          <cell r="E190">
            <v>12</v>
          </cell>
          <cell r="F190" t="str">
            <v>M3</v>
          </cell>
        </row>
        <row r="191">
          <cell r="C191">
            <v>602100</v>
          </cell>
          <cell r="D191" t="str">
            <v>FORMAS DE MADEIRA COMPENSADA  RESINADA</v>
          </cell>
          <cell r="E191">
            <v>108.96</v>
          </cell>
          <cell r="F191" t="str">
            <v>M2</v>
          </cell>
        </row>
        <row r="192">
          <cell r="C192">
            <v>603000</v>
          </cell>
          <cell r="D192" t="str">
            <v>AÇO CA-50 FORNEC. DOBR. COLOCAÇÃO</v>
          </cell>
          <cell r="E192">
            <v>80</v>
          </cell>
          <cell r="F192" t="str">
            <v>KG</v>
          </cell>
        </row>
        <row r="193">
          <cell r="C193">
            <v>603300</v>
          </cell>
          <cell r="D193" t="str">
            <v>AÇO CA-60 FORNEC. DOBR. COLOCAÇÃO</v>
          </cell>
          <cell r="E193">
            <v>852</v>
          </cell>
          <cell r="F193" t="str">
            <v>KG</v>
          </cell>
        </row>
        <row r="194">
          <cell r="C194">
            <v>605500</v>
          </cell>
          <cell r="D194" t="str">
            <v>CONCRETO FCK = 20 MPA, PREPARO EM BETONEIRA E LANÇ.</v>
          </cell>
          <cell r="E194">
            <v>8.9600000000000009</v>
          </cell>
          <cell r="F194" t="str">
            <v>M3</v>
          </cell>
        </row>
        <row r="195">
          <cell r="C195" t="str">
            <v>CCU-031</v>
          </cell>
          <cell r="D195" t="str">
            <v>CONCRETO MAGRO USINADO, EXCLUSIVE BOMBEAMENTO</v>
          </cell>
          <cell r="E195">
            <v>0.72</v>
          </cell>
          <cell r="F195" t="str">
            <v>M³</v>
          </cell>
        </row>
        <row r="196">
          <cell r="C196">
            <v>0</v>
          </cell>
          <cell r="D196" t="str">
            <v>TRAVESSIA SOBRE SARJETA (TSS)</v>
          </cell>
          <cell r="E196">
            <v>0</v>
          </cell>
          <cell r="F196">
            <v>0</v>
          </cell>
        </row>
        <row r="197">
          <cell r="C197" t="str">
            <v>CCU-029</v>
          </cell>
          <cell r="D197" t="str">
            <v>TRANSPOSIÇÃO DE SEGMENTO DE SARJETA - TIPO - 2 C/TUBO 0,40M</v>
          </cell>
          <cell r="E197">
            <v>358</v>
          </cell>
          <cell r="F197" t="str">
            <v>M</v>
          </cell>
        </row>
        <row r="198">
          <cell r="C198">
            <v>0</v>
          </cell>
          <cell r="D198" t="str">
            <v>BOCA DE BUEIRO SIMPLES TUBULAR DE CONCRETO - 0,60M</v>
          </cell>
          <cell r="E198">
            <v>0</v>
          </cell>
          <cell r="F198">
            <v>0</v>
          </cell>
        </row>
        <row r="199">
          <cell r="C199">
            <v>620100</v>
          </cell>
          <cell r="D199" t="str">
            <v>BOCA DE BSTC 0,60M</v>
          </cell>
          <cell r="E199">
            <v>7</v>
          </cell>
          <cell r="F199" t="str">
            <v>UD</v>
          </cell>
        </row>
        <row r="200">
          <cell r="C200">
            <v>0</v>
          </cell>
          <cell r="D200" t="str">
            <v>BOCA DE BUEIRO SIMPLES TUBULAR DE CONCRETO - 0,80M</v>
          </cell>
          <cell r="E200">
            <v>0</v>
          </cell>
          <cell r="F200">
            <v>0</v>
          </cell>
        </row>
        <row r="201">
          <cell r="C201">
            <v>620200</v>
          </cell>
          <cell r="D201" t="str">
            <v>BOCA DE BSTC 0,80M</v>
          </cell>
          <cell r="E201">
            <v>8</v>
          </cell>
          <cell r="F201" t="str">
            <v>UD</v>
          </cell>
        </row>
        <row r="202">
          <cell r="C202">
            <v>0</v>
          </cell>
          <cell r="D202" t="str">
            <v>BOCA DE BUEIRO SIMPLES TUBULAR DE CONCRETO - 1,50M</v>
          </cell>
          <cell r="E202">
            <v>0</v>
          </cell>
          <cell r="F202">
            <v>0</v>
          </cell>
        </row>
        <row r="203">
          <cell r="C203">
            <v>620500</v>
          </cell>
          <cell r="D203" t="str">
            <v>BOCA DE BSTC 1,50M</v>
          </cell>
          <cell r="E203">
            <v>1</v>
          </cell>
          <cell r="F203" t="str">
            <v>UD</v>
          </cell>
        </row>
        <row r="204">
          <cell r="C204">
            <v>0</v>
          </cell>
          <cell r="D204" t="str">
            <v>BOCA DE BUEIRO SIMPLES CELULAR DE CONCRETO - 1,50M</v>
          </cell>
          <cell r="E204">
            <v>0</v>
          </cell>
          <cell r="F204">
            <v>0</v>
          </cell>
        </row>
        <row r="205">
          <cell r="C205">
            <v>705224</v>
          </cell>
          <cell r="D205" t="str">
            <v>BOCA DE BSCC 1,50 X 1,50 M - ESCONSIDADE 0° - AREIA EXTRAÍDA E BRITA PRODUZIDA</v>
          </cell>
          <cell r="E205">
            <v>3</v>
          </cell>
          <cell r="F205" t="str">
            <v>UN</v>
          </cell>
        </row>
        <row r="206">
          <cell r="C206">
            <v>0</v>
          </cell>
          <cell r="D206" t="str">
            <v>BOCA DE BUEIRO SIMPLES CELULAR DE CONCRETO - 2,50M</v>
          </cell>
          <cell r="E206">
            <v>0</v>
          </cell>
          <cell r="F206">
            <v>0</v>
          </cell>
        </row>
        <row r="207">
          <cell r="C207">
            <v>705240</v>
          </cell>
          <cell r="D207" t="str">
            <v>BOCA DE BSCC 2,50 X 2,50 M - ESCONSIDADE 0° - AREIA EXTRAÍDA E BRITA PRODUZIDA</v>
          </cell>
          <cell r="E207">
            <v>1</v>
          </cell>
          <cell r="F207" t="str">
            <v>UN</v>
          </cell>
        </row>
        <row r="208">
          <cell r="C208">
            <v>0</v>
          </cell>
          <cell r="D208" t="str">
            <v>BOCA DE BUEIRO DUPLO CELULAR DE CONCRETO - 2,50M</v>
          </cell>
          <cell r="E208">
            <v>0</v>
          </cell>
          <cell r="F208">
            <v>0</v>
          </cell>
        </row>
        <row r="209">
          <cell r="C209">
            <v>705329</v>
          </cell>
          <cell r="D209" t="str">
            <v>BOCA DE BDCC 2,50 X 2,50 M - ESCONSIDADE 0° - AREIA EXTRAÍDA E BRITA PRODUZIDA</v>
          </cell>
          <cell r="E209">
            <v>1</v>
          </cell>
          <cell r="F209" t="str">
            <v>UN</v>
          </cell>
        </row>
        <row r="210">
          <cell r="C210">
            <v>0</v>
          </cell>
          <cell r="D210" t="str">
            <v>VALA PROJETADA - 55 METROS - VALA 01</v>
          </cell>
          <cell r="E210">
            <v>0</v>
          </cell>
          <cell r="F210">
            <v>0</v>
          </cell>
        </row>
        <row r="211">
          <cell r="C211">
            <v>600600</v>
          </cell>
          <cell r="D211" t="str">
            <v>ESCAVAÇÃO VALAS DE DRENAGEM 1A. CAT.</v>
          </cell>
          <cell r="E211">
            <v>110</v>
          </cell>
          <cell r="F211" t="str">
            <v>M3</v>
          </cell>
        </row>
        <row r="212">
          <cell r="C212">
            <v>800000</v>
          </cell>
          <cell r="D212" t="str">
            <v>ENLEIVAMENTO</v>
          </cell>
          <cell r="E212">
            <v>210.595</v>
          </cell>
          <cell r="F212" t="str">
            <v>M2</v>
          </cell>
        </row>
        <row r="213">
          <cell r="C213">
            <v>0</v>
          </cell>
          <cell r="D213" t="str">
            <v>VALA PROJETADA - 20 METROS - VALA 02</v>
          </cell>
          <cell r="E213">
            <v>0</v>
          </cell>
          <cell r="F213">
            <v>0</v>
          </cell>
        </row>
        <row r="214">
          <cell r="C214">
            <v>600600</v>
          </cell>
          <cell r="D214" t="str">
            <v>ESCAVAÇÃO VALAS DE DRENAGEM 1A. CAT.</v>
          </cell>
          <cell r="E214">
            <v>80</v>
          </cell>
          <cell r="F214" t="str">
            <v>M3</v>
          </cell>
        </row>
        <row r="215">
          <cell r="C215">
            <v>800000</v>
          </cell>
          <cell r="D215" t="str">
            <v>ENLEIVAMENTO</v>
          </cell>
          <cell r="E215">
            <v>116.58</v>
          </cell>
          <cell r="F215" t="str">
            <v>M2</v>
          </cell>
        </row>
        <row r="216">
          <cell r="C216">
            <v>0</v>
          </cell>
          <cell r="D216" t="str">
            <v>SARJETA TRIANGULAR DE CONCRETO TIPO 01 (STC 01)</v>
          </cell>
          <cell r="E216">
            <v>0</v>
          </cell>
          <cell r="F216">
            <v>0</v>
          </cell>
        </row>
        <row r="217">
          <cell r="C217">
            <v>650000</v>
          </cell>
          <cell r="D217" t="str">
            <v>SARJETA TRIANGULAR CONCRETO - TIPO  1</v>
          </cell>
          <cell r="E217">
            <v>3652</v>
          </cell>
          <cell r="F217" t="str">
            <v>M</v>
          </cell>
        </row>
        <row r="218">
          <cell r="C218">
            <v>0</v>
          </cell>
          <cell r="D218" t="str">
            <v>SARJETA TRIANGULAR DE CONCRETO TIPO 01A (STC 01A)</v>
          </cell>
          <cell r="E218">
            <v>0</v>
          </cell>
          <cell r="F218">
            <v>0</v>
          </cell>
        </row>
        <row r="219">
          <cell r="C219" t="str">
            <v>CCU-034</v>
          </cell>
          <cell r="D219" t="str">
            <v>SARJETA TRIANGULAR CONCRETO - TIPO 1 - STC 01A</v>
          </cell>
          <cell r="E219">
            <v>3336</v>
          </cell>
          <cell r="F219" t="str">
            <v>M</v>
          </cell>
        </row>
        <row r="220">
          <cell r="C220">
            <v>0</v>
          </cell>
          <cell r="D220" t="str">
            <v>VALETA DE PROTEÇÃO DE ATERRO (VPA)</v>
          </cell>
          <cell r="E220">
            <v>0</v>
          </cell>
          <cell r="F220">
            <v>0</v>
          </cell>
        </row>
        <row r="221">
          <cell r="C221">
            <v>660500</v>
          </cell>
          <cell r="D221" t="str">
            <v>VALETA CONCRETO PROTEÇÃO ATERRO - TIPO 7A</v>
          </cell>
          <cell r="E221">
            <v>1248</v>
          </cell>
          <cell r="F221" t="str">
            <v>M</v>
          </cell>
        </row>
        <row r="222">
          <cell r="C222">
            <v>0</v>
          </cell>
          <cell r="D222" t="str">
            <v>ESCAVAÇÕES E REATERROS PARA BUEIROS TUBULARES</v>
          </cell>
          <cell r="E222">
            <v>0</v>
          </cell>
          <cell r="F222">
            <v>0</v>
          </cell>
        </row>
        <row r="223">
          <cell r="C223">
            <v>600300</v>
          </cell>
          <cell r="D223" t="str">
            <v>ESCAVAÇÃO DE BUEIROS EM 1A. CAT.</v>
          </cell>
          <cell r="E223">
            <v>1249.44</v>
          </cell>
          <cell r="F223" t="str">
            <v>M3</v>
          </cell>
        </row>
        <row r="224">
          <cell r="C224">
            <v>601200</v>
          </cell>
          <cell r="D224" t="str">
            <v>REATERRO E APILOAMENTO MECÂNICO</v>
          </cell>
          <cell r="E224">
            <v>914.56</v>
          </cell>
          <cell r="F224" t="str">
            <v>M3</v>
          </cell>
        </row>
        <row r="225">
          <cell r="C225">
            <v>0</v>
          </cell>
          <cell r="D225" t="str">
            <v>ESCAVAÇÕES E REATERROS PARA BUEIROS CELULARES</v>
          </cell>
          <cell r="E225">
            <v>0</v>
          </cell>
          <cell r="F225">
            <v>0</v>
          </cell>
        </row>
        <row r="226">
          <cell r="C226">
            <v>701100</v>
          </cell>
          <cell r="D226" t="str">
            <v>ESCAVAÇÃO 1A. CAT. P/GALERIAS CELULARES</v>
          </cell>
          <cell r="E226">
            <v>1302.75</v>
          </cell>
          <cell r="F226" t="str">
            <v>M3</v>
          </cell>
        </row>
        <row r="227">
          <cell r="C227">
            <v>705000</v>
          </cell>
          <cell r="D227" t="str">
            <v>REATERRO E APILOAMENTO MECÂNICO</v>
          </cell>
          <cell r="E227">
            <v>538.39</v>
          </cell>
          <cell r="F227" t="str">
            <v>M3</v>
          </cell>
        </row>
        <row r="228">
          <cell r="C228">
            <v>0</v>
          </cell>
          <cell r="D228" t="str">
            <v>REMOÇÕES</v>
          </cell>
          <cell r="E228">
            <v>0</v>
          </cell>
          <cell r="F228">
            <v>0</v>
          </cell>
        </row>
        <row r="229">
          <cell r="C229">
            <v>630400</v>
          </cell>
          <cell r="D229" t="str">
            <v>REMOÇÃO DE BUEIRO 0,40M</v>
          </cell>
          <cell r="E229">
            <v>50.5</v>
          </cell>
          <cell r="F229" t="str">
            <v>M</v>
          </cell>
        </row>
        <row r="230">
          <cell r="C230">
            <v>630600</v>
          </cell>
          <cell r="D230" t="str">
            <v>REMOÇÃO DE BUEIRO 0,60M</v>
          </cell>
          <cell r="E230">
            <v>25</v>
          </cell>
          <cell r="F230" t="str">
            <v>M</v>
          </cell>
        </row>
        <row r="231">
          <cell r="C231">
            <v>631200</v>
          </cell>
          <cell r="D231" t="str">
            <v>REMOÇÃO DE BUEIRO 1,20M</v>
          </cell>
          <cell r="E231">
            <v>16</v>
          </cell>
          <cell r="F231" t="str">
            <v>M</v>
          </cell>
        </row>
        <row r="232">
          <cell r="C232">
            <v>631500</v>
          </cell>
          <cell r="D232" t="str">
            <v>REMOÇÃO DE BUEIRO 1,50M</v>
          </cell>
          <cell r="E232">
            <v>24.5</v>
          </cell>
          <cell r="F232" t="str">
            <v>M</v>
          </cell>
        </row>
        <row r="233">
          <cell r="C233">
            <v>610200</v>
          </cell>
          <cell r="D233" t="str">
            <v>LIMPEZA MANUAL DE VALETA</v>
          </cell>
          <cell r="E233">
            <v>13</v>
          </cell>
          <cell r="F233" t="str">
            <v>M</v>
          </cell>
        </row>
        <row r="234">
          <cell r="C234">
            <v>0</v>
          </cell>
          <cell r="D234" t="str">
            <v>COMPONENTE AMBIENTAL</v>
          </cell>
          <cell r="E234">
            <v>0</v>
          </cell>
          <cell r="F234">
            <v>0</v>
          </cell>
        </row>
        <row r="235">
          <cell r="C235" t="str">
            <v>CCU-055</v>
          </cell>
          <cell r="D235" t="str">
            <v>BARREIRA DE SILTAGEM</v>
          </cell>
          <cell r="E235">
            <v>1322.25</v>
          </cell>
          <cell r="F235" t="str">
            <v>M</v>
          </cell>
        </row>
        <row r="236">
          <cell r="C236">
            <v>0</v>
          </cell>
          <cell r="D236" t="str">
            <v>TRECHO 02</v>
          </cell>
          <cell r="E236">
            <v>0</v>
          </cell>
          <cell r="F236" t="str">
            <v/>
          </cell>
        </row>
        <row r="237">
          <cell r="C237">
            <v>0</v>
          </cell>
          <cell r="D237" t="str">
            <v>CAIXA COLETORA DE SARJETA (CCS) - 2 UNIDADES CCS-01</v>
          </cell>
          <cell r="E237">
            <v>0</v>
          </cell>
          <cell r="F237">
            <v>0</v>
          </cell>
        </row>
        <row r="238">
          <cell r="C238">
            <v>600000</v>
          </cell>
          <cell r="D238" t="str">
            <v>ESCAVAÇÃO MANUAL DE VALA 1A. CAT.</v>
          </cell>
          <cell r="E238">
            <v>30</v>
          </cell>
          <cell r="F238" t="str">
            <v>M3</v>
          </cell>
        </row>
        <row r="239">
          <cell r="C239">
            <v>601100</v>
          </cell>
          <cell r="D239" t="str">
            <v>APILOAMENTO MANUAL</v>
          </cell>
          <cell r="E239">
            <v>10</v>
          </cell>
          <cell r="F239" t="str">
            <v>M3</v>
          </cell>
        </row>
        <row r="240">
          <cell r="C240">
            <v>602100</v>
          </cell>
          <cell r="D240" t="str">
            <v>FORMAS DE MADEIRA COMPENSADA  RESINADA</v>
          </cell>
          <cell r="E240">
            <v>40.6</v>
          </cell>
          <cell r="F240" t="str">
            <v>M2</v>
          </cell>
        </row>
        <row r="241">
          <cell r="C241">
            <v>603000</v>
          </cell>
          <cell r="D241" t="str">
            <v>AÇO CA-50 FORNEC. DOBR. COLOCAÇÃO</v>
          </cell>
          <cell r="E241">
            <v>14</v>
          </cell>
          <cell r="F241" t="str">
            <v>KG</v>
          </cell>
        </row>
        <row r="242">
          <cell r="C242">
            <v>605500</v>
          </cell>
          <cell r="D242" t="str">
            <v>CONCRETO FCK = 20 MPA, PREPARO EM BETONEIRA E LANÇ.</v>
          </cell>
          <cell r="E242">
            <v>4.4000000000000004</v>
          </cell>
          <cell r="F242" t="str">
            <v>M3</v>
          </cell>
        </row>
        <row r="243">
          <cell r="C243">
            <v>0</v>
          </cell>
          <cell r="D243" t="str">
            <v>CAIXA COLETORA DE SARJETA (CCS) - 2 UNIDADES CCS-02</v>
          </cell>
          <cell r="E243">
            <v>0</v>
          </cell>
          <cell r="F243">
            <v>0</v>
          </cell>
        </row>
        <row r="244">
          <cell r="C244">
            <v>600000</v>
          </cell>
          <cell r="D244" t="str">
            <v>ESCAVAÇÃO MANUAL DE VALA 1A. CAT.</v>
          </cell>
          <cell r="E244">
            <v>38</v>
          </cell>
          <cell r="F244" t="str">
            <v>M3</v>
          </cell>
        </row>
        <row r="245">
          <cell r="C245">
            <v>601100</v>
          </cell>
          <cell r="D245" t="str">
            <v>APILOAMENTO MANUAL</v>
          </cell>
          <cell r="E245">
            <v>12</v>
          </cell>
          <cell r="F245" t="str">
            <v>M3</v>
          </cell>
        </row>
        <row r="246">
          <cell r="C246">
            <v>602100</v>
          </cell>
          <cell r="D246" t="str">
            <v>FORMAS DE MADEIRA COMPENSADA  RESINADA</v>
          </cell>
          <cell r="E246">
            <v>51.2</v>
          </cell>
          <cell r="F246" t="str">
            <v>M2</v>
          </cell>
        </row>
        <row r="247">
          <cell r="C247">
            <v>603000</v>
          </cell>
          <cell r="D247" t="str">
            <v>AÇO CA-50 FORNEC. DOBR. COLOCAÇÃO</v>
          </cell>
          <cell r="E247">
            <v>16</v>
          </cell>
          <cell r="F247" t="str">
            <v>KG</v>
          </cell>
        </row>
        <row r="248">
          <cell r="C248">
            <v>605500</v>
          </cell>
          <cell r="D248" t="str">
            <v>CONCRETO FCK = 20 MPA, PREPARO EM BETONEIRA E LANÇ.</v>
          </cell>
          <cell r="E248">
            <v>4.2</v>
          </cell>
          <cell r="F248" t="str">
            <v>M3</v>
          </cell>
        </row>
        <row r="249">
          <cell r="C249">
            <v>0</v>
          </cell>
          <cell r="D249" t="str">
            <v>BOCA DE LOBO PROJETADA(BLC) - 5 UNIDADES BLC-02</v>
          </cell>
          <cell r="E249">
            <v>0</v>
          </cell>
          <cell r="F249">
            <v>0</v>
          </cell>
        </row>
        <row r="250">
          <cell r="C250">
            <v>600000</v>
          </cell>
          <cell r="D250" t="str">
            <v>ESCAVAÇÃO MANUAL DE VALA 1A. CAT.</v>
          </cell>
          <cell r="E250">
            <v>15</v>
          </cell>
          <cell r="F250" t="str">
            <v>M3</v>
          </cell>
        </row>
        <row r="251">
          <cell r="C251">
            <v>601100</v>
          </cell>
          <cell r="D251" t="str">
            <v>APILOAMENTO MANUAL</v>
          </cell>
          <cell r="E251">
            <v>5</v>
          </cell>
          <cell r="F251" t="str">
            <v>M3</v>
          </cell>
        </row>
        <row r="252">
          <cell r="C252">
            <v>602100</v>
          </cell>
          <cell r="D252" t="str">
            <v>FORMAS DE MADEIRA COMPENSADA  RESINADA</v>
          </cell>
          <cell r="E252">
            <v>15.5</v>
          </cell>
          <cell r="F252" t="str">
            <v>M2</v>
          </cell>
        </row>
        <row r="253">
          <cell r="C253">
            <v>603000</v>
          </cell>
          <cell r="D253" t="str">
            <v>AÇO CA-50 FORNEC. DOBR. COLOCAÇÃO</v>
          </cell>
          <cell r="E253">
            <v>20.5</v>
          </cell>
          <cell r="F253" t="str">
            <v>KG</v>
          </cell>
        </row>
        <row r="254">
          <cell r="C254">
            <v>605500</v>
          </cell>
          <cell r="D254" t="str">
            <v>CONCRETO FCK = 20 MPA, PREPARO EM BETONEIRA E LANÇ.</v>
          </cell>
          <cell r="E254">
            <v>1.55</v>
          </cell>
          <cell r="F254" t="str">
            <v>M3</v>
          </cell>
        </row>
        <row r="255">
          <cell r="C255" t="str">
            <v>CCU-028</v>
          </cell>
          <cell r="D255" t="str">
            <v>ALVENARIA DE BLOCOS DE CONCRETO (10X20CM)</v>
          </cell>
          <cell r="E255">
            <v>28.4</v>
          </cell>
          <cell r="F255" t="str">
            <v>M²</v>
          </cell>
        </row>
        <row r="256">
          <cell r="C256">
            <v>604000</v>
          </cell>
          <cell r="D256" t="str">
            <v>ARGAMASSA CIMENTO E AREIA 1:3</v>
          </cell>
          <cell r="E256">
            <v>0.44999999999999996</v>
          </cell>
          <cell r="F256" t="str">
            <v>M3</v>
          </cell>
        </row>
        <row r="257">
          <cell r="C257">
            <v>0</v>
          </cell>
          <cell r="D257" t="str">
            <v>BOCA DE LOBO PROJETADA(BLC) - 2 UNIDADES BLC-03</v>
          </cell>
          <cell r="E257">
            <v>0</v>
          </cell>
          <cell r="F257">
            <v>0</v>
          </cell>
        </row>
        <row r="258">
          <cell r="C258">
            <v>600000</v>
          </cell>
          <cell r="D258" t="str">
            <v>ESCAVAÇÃO MANUAL DE VALA 1A. CAT.</v>
          </cell>
          <cell r="E258">
            <v>8</v>
          </cell>
          <cell r="F258" t="str">
            <v>M3</v>
          </cell>
        </row>
        <row r="259">
          <cell r="C259">
            <v>601100</v>
          </cell>
          <cell r="D259" t="str">
            <v>APILOAMENTO MANUAL</v>
          </cell>
          <cell r="E259">
            <v>4</v>
          </cell>
          <cell r="F259" t="str">
            <v>M3</v>
          </cell>
        </row>
        <row r="260">
          <cell r="C260">
            <v>602100</v>
          </cell>
          <cell r="D260" t="str">
            <v>FORMAS DE MADEIRA COMPENSADA  RESINADA</v>
          </cell>
          <cell r="E260">
            <v>6.2</v>
          </cell>
          <cell r="F260" t="str">
            <v>M2</v>
          </cell>
        </row>
        <row r="261">
          <cell r="C261">
            <v>603000</v>
          </cell>
          <cell r="D261" t="str">
            <v>AÇO CA-50 FORNEC. DOBR. COLOCAÇÃO</v>
          </cell>
          <cell r="E261">
            <v>8.1999999999999993</v>
          </cell>
          <cell r="F261" t="str">
            <v>KG</v>
          </cell>
        </row>
        <row r="262">
          <cell r="C262">
            <v>605500</v>
          </cell>
          <cell r="D262" t="str">
            <v>CONCRETO FCK = 20 MPA, PREPARO EM BETONEIRA E LANÇ.</v>
          </cell>
          <cell r="E262">
            <v>0.62</v>
          </cell>
          <cell r="F262" t="str">
            <v>M3</v>
          </cell>
        </row>
        <row r="263">
          <cell r="C263" t="str">
            <v>CCU-028</v>
          </cell>
          <cell r="D263" t="str">
            <v>ALVENARIA DE BLOCOS DE CONCRETO (10X20CM)</v>
          </cell>
          <cell r="E263">
            <v>15.1</v>
          </cell>
          <cell r="F263" t="str">
            <v>M²</v>
          </cell>
        </row>
        <row r="264">
          <cell r="C264">
            <v>604000</v>
          </cell>
          <cell r="D264" t="str">
            <v>ARGAMASSA CIMENTO E AREIA 1:3</v>
          </cell>
          <cell r="E264">
            <v>0.24</v>
          </cell>
          <cell r="F264" t="str">
            <v>M3</v>
          </cell>
        </row>
        <row r="265">
          <cell r="C265">
            <v>0</v>
          </cell>
          <cell r="D265" t="str">
            <v>TRAVESSIA SOBRE SARJETA (TSS)</v>
          </cell>
          <cell r="E265">
            <v>0</v>
          </cell>
          <cell r="F265">
            <v>0</v>
          </cell>
        </row>
        <row r="266">
          <cell r="C266" t="str">
            <v>CCU-029</v>
          </cell>
          <cell r="D266" t="str">
            <v>TRANSPOSIÇÃO DE SEGMENTO DE SARJETA - TIPO - 2 C/TUBO 0,40M</v>
          </cell>
          <cell r="E266">
            <v>190</v>
          </cell>
          <cell r="F266" t="str">
            <v>M</v>
          </cell>
        </row>
        <row r="267">
          <cell r="C267">
            <v>0</v>
          </cell>
          <cell r="D267" t="str">
            <v>BOCA DE BUEIRO SIMPLES TUBULAR DE CONCRETO - 0,60M</v>
          </cell>
          <cell r="E267">
            <v>0</v>
          </cell>
          <cell r="F267">
            <v>0</v>
          </cell>
        </row>
        <row r="268">
          <cell r="C268">
            <v>620100</v>
          </cell>
          <cell r="D268" t="str">
            <v>BOCA DE BSTC 0,60M</v>
          </cell>
          <cell r="E268">
            <v>3</v>
          </cell>
          <cell r="F268" t="str">
            <v>UD</v>
          </cell>
        </row>
        <row r="269">
          <cell r="C269">
            <v>0</v>
          </cell>
          <cell r="D269" t="str">
            <v>BOCA DE BUEIRO SIMPLES TUBULAR DE CONCRETO - 0,80M</v>
          </cell>
          <cell r="E269">
            <v>0</v>
          </cell>
          <cell r="F269">
            <v>0</v>
          </cell>
        </row>
        <row r="270">
          <cell r="C270">
            <v>620200</v>
          </cell>
          <cell r="D270" t="str">
            <v>BOCA DE BSTC 0,80M</v>
          </cell>
          <cell r="E270">
            <v>4</v>
          </cell>
          <cell r="F270" t="str">
            <v>UD</v>
          </cell>
        </row>
        <row r="271">
          <cell r="C271">
            <v>0</v>
          </cell>
          <cell r="D271" t="str">
            <v>VALA PROJETADA - 53 METROS - VALA 01</v>
          </cell>
          <cell r="E271">
            <v>0</v>
          </cell>
          <cell r="F271">
            <v>0</v>
          </cell>
        </row>
        <row r="272">
          <cell r="C272">
            <v>600600</v>
          </cell>
          <cell r="D272" t="str">
            <v>ESCAVAÇÃO VALAS DE DRENAGEM 1A. CAT.</v>
          </cell>
          <cell r="E272">
            <v>106</v>
          </cell>
          <cell r="F272" t="str">
            <v>M3</v>
          </cell>
        </row>
        <row r="273">
          <cell r="C273">
            <v>800000</v>
          </cell>
          <cell r="D273" t="str">
            <v>ENLEIVAMENTO</v>
          </cell>
          <cell r="E273">
            <v>202.93700000000001</v>
          </cell>
          <cell r="F273" t="str">
            <v>M2</v>
          </cell>
        </row>
        <row r="274">
          <cell r="C274">
            <v>0</v>
          </cell>
          <cell r="D274" t="str">
            <v>SARJETA TRIANGULAR DE CONCRETO TIPO 01 (STC 01)</v>
          </cell>
          <cell r="E274">
            <v>0</v>
          </cell>
          <cell r="F274">
            <v>0</v>
          </cell>
        </row>
        <row r="275">
          <cell r="C275">
            <v>650000</v>
          </cell>
          <cell r="D275" t="str">
            <v>SARJETA TRIANGULAR CONCRETO - TIPO  1</v>
          </cell>
          <cell r="E275">
            <v>10</v>
          </cell>
          <cell r="F275" t="str">
            <v>M</v>
          </cell>
        </row>
        <row r="276">
          <cell r="C276">
            <v>0</v>
          </cell>
          <cell r="D276" t="str">
            <v>SARJETA TRIANGULAR DE CONCRETO TIPO 01A (STC 01A)</v>
          </cell>
          <cell r="E276">
            <v>0</v>
          </cell>
          <cell r="F276">
            <v>0</v>
          </cell>
        </row>
        <row r="277">
          <cell r="C277" t="str">
            <v>CCU-034</v>
          </cell>
          <cell r="D277" t="str">
            <v>SARJETA TRIANGULAR CONCRETO - TIPO 1 - STC 01A</v>
          </cell>
          <cell r="E277">
            <v>1636</v>
          </cell>
          <cell r="F277" t="str">
            <v>M</v>
          </cell>
        </row>
        <row r="278">
          <cell r="C278">
            <v>0</v>
          </cell>
          <cell r="D278" t="str">
            <v>ESCAVAÇÕES E REATERROS PARA BUEIROS TUBULARES</v>
          </cell>
          <cell r="E278">
            <v>0</v>
          </cell>
          <cell r="F278">
            <v>0</v>
          </cell>
        </row>
        <row r="279">
          <cell r="C279">
            <v>600300</v>
          </cell>
          <cell r="D279" t="str">
            <v>ESCAVAÇÃO DE BUEIROS EM 1A. CAT.</v>
          </cell>
          <cell r="E279">
            <v>454.91</v>
          </cell>
          <cell r="F279" t="str">
            <v>M3</v>
          </cell>
        </row>
        <row r="280">
          <cell r="C280">
            <v>601200</v>
          </cell>
          <cell r="D280" t="str">
            <v>REATERRO E APILOAMENTO MECÂNICO</v>
          </cell>
          <cell r="E280">
            <v>337.83</v>
          </cell>
          <cell r="F280" t="str">
            <v>M3</v>
          </cell>
        </row>
        <row r="281">
          <cell r="C281">
            <v>0</v>
          </cell>
          <cell r="D281" t="str">
            <v>REMOÇÕES</v>
          </cell>
          <cell r="E281">
            <v>0</v>
          </cell>
          <cell r="F281">
            <v>0</v>
          </cell>
        </row>
        <row r="282">
          <cell r="C282">
            <v>630300</v>
          </cell>
          <cell r="D282" t="str">
            <v>REMOÇÃO DE BUEIRO 0,30M</v>
          </cell>
          <cell r="E282">
            <v>8</v>
          </cell>
          <cell r="F282" t="str">
            <v>M</v>
          </cell>
        </row>
        <row r="283">
          <cell r="C283">
            <v>630400</v>
          </cell>
          <cell r="D283" t="str">
            <v>REMOÇÃO DE BUEIRO 0,40M</v>
          </cell>
          <cell r="E283">
            <v>55</v>
          </cell>
          <cell r="F283" t="str">
            <v>M</v>
          </cell>
        </row>
        <row r="284">
          <cell r="C284">
            <v>610200</v>
          </cell>
          <cell r="D284" t="str">
            <v>LIMPEZA MANUAL DE VALETA</v>
          </cell>
          <cell r="E284">
            <v>50</v>
          </cell>
          <cell r="F284" t="str">
            <v>M</v>
          </cell>
        </row>
        <row r="285">
          <cell r="C285">
            <v>633000</v>
          </cell>
          <cell r="D285" t="str">
            <v>LIMPEZA E DESOBSTRUÇÃO DE BUEIROS SIMPLES</v>
          </cell>
          <cell r="E285">
            <v>80</v>
          </cell>
          <cell r="F285" t="str">
            <v>M</v>
          </cell>
        </row>
        <row r="286">
          <cell r="C286">
            <v>0</v>
          </cell>
          <cell r="D286" t="str">
            <v>TRECHO 03</v>
          </cell>
          <cell r="E286">
            <v>0</v>
          </cell>
          <cell r="F286" t="str">
            <v/>
          </cell>
        </row>
        <row r="287">
          <cell r="C287">
            <v>0</v>
          </cell>
          <cell r="D287" t="str">
            <v>DRENO LONGITUDINAL PROFUNDO EM SOLO (DPS)</v>
          </cell>
          <cell r="E287">
            <v>0</v>
          </cell>
          <cell r="F287">
            <v>0</v>
          </cell>
        </row>
        <row r="288">
          <cell r="C288" t="str">
            <v>CCU-030</v>
          </cell>
          <cell r="D288" t="str">
            <v>DRENO PROFUNDO H = 1,5 M - COM GEOCOMPOSTO DRENANTE - DPS 09</v>
          </cell>
          <cell r="E288">
            <v>6162</v>
          </cell>
          <cell r="F288" t="str">
            <v>M</v>
          </cell>
        </row>
        <row r="289">
          <cell r="C289">
            <v>0</v>
          </cell>
          <cell r="D289" t="str">
            <v>DRENO DE REBAIXO(DR)</v>
          </cell>
          <cell r="E289">
            <v>0</v>
          </cell>
          <cell r="F289">
            <v>0</v>
          </cell>
        </row>
        <row r="290">
          <cell r="C290" t="str">
            <v>CCU-033</v>
          </cell>
          <cell r="D290" t="str">
            <v>DRENO DE REBAIXO DR</v>
          </cell>
          <cell r="E290">
            <v>710</v>
          </cell>
          <cell r="F290" t="str">
            <v>M</v>
          </cell>
        </row>
        <row r="291">
          <cell r="C291">
            <v>0</v>
          </cell>
          <cell r="D291" t="str">
            <v>DRENO SUB SUPERFICIAL DE PAVIMENTO (DSSP)</v>
          </cell>
          <cell r="E291">
            <v>0</v>
          </cell>
          <cell r="F291">
            <v>0</v>
          </cell>
        </row>
        <row r="292">
          <cell r="C292" t="str">
            <v>CCU-032</v>
          </cell>
          <cell r="D292" t="str">
            <v>DRENO SUBSUPERFICIAL DE PAVIMENTO DSSP</v>
          </cell>
          <cell r="E292">
            <v>654</v>
          </cell>
          <cell r="F292" t="str">
            <v>M</v>
          </cell>
        </row>
        <row r="293">
          <cell r="C293">
            <v>0</v>
          </cell>
          <cell r="D293" t="str">
            <v>BOCA DE SAÍDA DE DRENO (BSD)</v>
          </cell>
          <cell r="E293">
            <v>0</v>
          </cell>
          <cell r="F293">
            <v>0</v>
          </cell>
        </row>
        <row r="294">
          <cell r="C294">
            <v>622100</v>
          </cell>
          <cell r="D294" t="str">
            <v>BOCA DE SAÍDA DRENO PROFUNDO - TIPO 2</v>
          </cell>
          <cell r="E294">
            <v>27</v>
          </cell>
          <cell r="F294" t="str">
            <v>UD</v>
          </cell>
        </row>
        <row r="295">
          <cell r="C295">
            <v>0</v>
          </cell>
          <cell r="D295" t="str">
            <v>DISSIPADOR DE ENERGIA (DES / DEB) - 1 UNIDADE DEB-02</v>
          </cell>
          <cell r="E295">
            <v>0</v>
          </cell>
          <cell r="F295">
            <v>0</v>
          </cell>
        </row>
        <row r="296">
          <cell r="C296">
            <v>600000</v>
          </cell>
          <cell r="D296" t="str">
            <v>ESCAVAÇÃO MANUAL DE VALA 1A. CAT.</v>
          </cell>
          <cell r="E296">
            <v>2.42</v>
          </cell>
          <cell r="F296" t="str">
            <v>M3</v>
          </cell>
        </row>
        <row r="297">
          <cell r="C297">
            <v>1506055</v>
          </cell>
          <cell r="D297" t="str">
            <v>PEDRA ARGAMASSADA COM CIMENTO E AREIA 1:3 - AREIA E PEDRA DE MÃO COMERCIAL - FORNECIMENTO E ASSENTAMENTO</v>
          </cell>
          <cell r="E297">
            <v>1.53</v>
          </cell>
          <cell r="F297" t="str">
            <v>M³</v>
          </cell>
        </row>
        <row r="298">
          <cell r="C298">
            <v>601100</v>
          </cell>
          <cell r="D298" t="str">
            <v>APILOAMENTO MANUAL</v>
          </cell>
          <cell r="E298">
            <v>0.3</v>
          </cell>
          <cell r="F298" t="str">
            <v>M3</v>
          </cell>
        </row>
        <row r="299">
          <cell r="C299">
            <v>602100</v>
          </cell>
          <cell r="D299" t="str">
            <v>FORMAS DE MADEIRA COMPENSADA  RESINADA</v>
          </cell>
          <cell r="E299">
            <v>8.15</v>
          </cell>
          <cell r="F299" t="str">
            <v>M2</v>
          </cell>
        </row>
        <row r="300">
          <cell r="C300">
            <v>605500</v>
          </cell>
          <cell r="D300" t="str">
            <v>CONCRETO FCK = 20 MPA, PREPARO EM BETONEIRA E LANÇ.</v>
          </cell>
          <cell r="E300">
            <v>1.1850000000000001</v>
          </cell>
          <cell r="F300" t="str">
            <v>M3</v>
          </cell>
        </row>
        <row r="301">
          <cell r="C301">
            <v>0</v>
          </cell>
          <cell r="D301" t="str">
            <v>DISSIPADOR DE ENERGIA (DES / DEB) - 5 UNIDADES DEB-04</v>
          </cell>
          <cell r="E301">
            <v>0</v>
          </cell>
          <cell r="F301">
            <v>0</v>
          </cell>
        </row>
        <row r="302">
          <cell r="C302">
            <v>600000</v>
          </cell>
          <cell r="D302" t="str">
            <v>ESCAVAÇÃO MANUAL DE VALA 1A. CAT.</v>
          </cell>
          <cell r="E302">
            <v>26.5</v>
          </cell>
          <cell r="F302" t="str">
            <v>M3</v>
          </cell>
        </row>
        <row r="303">
          <cell r="C303">
            <v>1506055</v>
          </cell>
          <cell r="D303" t="str">
            <v>PEDRA ARGAMASSADA COM CIMENTO E AREIA 1:3 - AREIA E PEDRA DE MÃO COMERCIAL - FORNECIMENTO E ASSENTAMENTO</v>
          </cell>
          <cell r="E303">
            <v>18.5</v>
          </cell>
          <cell r="F303" t="str">
            <v>M³</v>
          </cell>
        </row>
        <row r="304">
          <cell r="C304">
            <v>601100</v>
          </cell>
          <cell r="D304" t="str">
            <v>APILOAMENTO MANUAL</v>
          </cell>
          <cell r="E304">
            <v>2.5</v>
          </cell>
          <cell r="F304" t="str">
            <v>M3</v>
          </cell>
        </row>
        <row r="305">
          <cell r="C305">
            <v>602100</v>
          </cell>
          <cell r="D305" t="str">
            <v>FORMAS DE MADEIRA COMPENSADA  RESINADA</v>
          </cell>
          <cell r="E305">
            <v>70.25</v>
          </cell>
          <cell r="F305" t="str">
            <v>M2</v>
          </cell>
        </row>
        <row r="306">
          <cell r="C306">
            <v>605500</v>
          </cell>
          <cell r="D306" t="str">
            <v>CONCRETO FCK = 20 MPA, PREPARO EM BETONEIRA E LANÇ.</v>
          </cell>
          <cell r="E306">
            <v>13.315</v>
          </cell>
          <cell r="F306" t="str">
            <v>M3</v>
          </cell>
        </row>
        <row r="307">
          <cell r="C307">
            <v>0</v>
          </cell>
          <cell r="D307" t="str">
            <v>DISSIPADOR DE ENERGIA (DES / DEB) - 1 UNIDADE DEB-07</v>
          </cell>
          <cell r="E307">
            <v>0</v>
          </cell>
          <cell r="F307">
            <v>0</v>
          </cell>
        </row>
        <row r="308">
          <cell r="C308">
            <v>600000</v>
          </cell>
          <cell r="D308" t="str">
            <v>ESCAVAÇÃO MANUAL DE VALA 1A. CAT.</v>
          </cell>
          <cell r="E308">
            <v>7.38</v>
          </cell>
          <cell r="F308" t="str">
            <v>M3</v>
          </cell>
        </row>
        <row r="309">
          <cell r="C309">
            <v>1506055</v>
          </cell>
          <cell r="D309" t="str">
            <v>PEDRA ARGAMASSADA COM CIMENTO E AREIA 1:3 - AREIA E PEDRA DE MÃO COMERCIAL - FORNECIMENTO E ASSENTAMENTO</v>
          </cell>
          <cell r="E309">
            <v>5.36</v>
          </cell>
          <cell r="F309" t="str">
            <v>M³</v>
          </cell>
        </row>
        <row r="310">
          <cell r="C310">
            <v>601100</v>
          </cell>
          <cell r="D310" t="str">
            <v>APILOAMENTO MANUAL</v>
          </cell>
          <cell r="E310">
            <v>0.5</v>
          </cell>
          <cell r="F310" t="str">
            <v>M3</v>
          </cell>
        </row>
        <row r="311">
          <cell r="C311">
            <v>602100</v>
          </cell>
          <cell r="D311" t="str">
            <v>FORMAS DE MADEIRA COMPENSADA  RESINADA</v>
          </cell>
          <cell r="E311">
            <v>17.149999999999999</v>
          </cell>
          <cell r="F311" t="str">
            <v>M2</v>
          </cell>
        </row>
        <row r="312">
          <cell r="C312">
            <v>605500</v>
          </cell>
          <cell r="D312" t="str">
            <v>CONCRETO FCK = 20 MPA, PREPARO EM BETONEIRA E LANÇ.</v>
          </cell>
          <cell r="E312">
            <v>3.661</v>
          </cell>
          <cell r="F312" t="str">
            <v>M3</v>
          </cell>
        </row>
        <row r="313">
          <cell r="C313">
            <v>0</v>
          </cell>
          <cell r="D313" t="str">
            <v>DISSIPADOR DE ENERGIA (DES / DEB) - 1 UNIDADE DES-02</v>
          </cell>
          <cell r="E313">
            <v>0</v>
          </cell>
          <cell r="F313">
            <v>0</v>
          </cell>
        </row>
        <row r="314">
          <cell r="C314">
            <v>600000</v>
          </cell>
          <cell r="D314" t="str">
            <v>ESCAVAÇÃO MANUAL DE VALA 1A. CAT.</v>
          </cell>
          <cell r="E314">
            <v>0.78</v>
          </cell>
          <cell r="F314" t="str">
            <v>M3</v>
          </cell>
        </row>
        <row r="315">
          <cell r="C315">
            <v>1506055</v>
          </cell>
          <cell r="D315" t="str">
            <v>PEDRA ARGAMASSADA COM CIMENTO E AREIA 1:3 - AREIA E PEDRA DE MÃO COMERCIAL - FORNECIMENTO E ASSENTAMENTO</v>
          </cell>
          <cell r="E315">
            <v>0.39600000000000002</v>
          </cell>
          <cell r="F315" t="str">
            <v>M³</v>
          </cell>
        </row>
        <row r="316">
          <cell r="C316">
            <v>601100</v>
          </cell>
          <cell r="D316" t="str">
            <v>APILOAMENTO MANUAL</v>
          </cell>
          <cell r="E316">
            <v>0.14000000000000001</v>
          </cell>
          <cell r="F316" t="str">
            <v>M3</v>
          </cell>
        </row>
        <row r="317">
          <cell r="C317">
            <v>602100</v>
          </cell>
          <cell r="D317" t="str">
            <v>FORMAS DE MADEIRA COMPENSADA  RESINADA</v>
          </cell>
          <cell r="E317">
            <v>5</v>
          </cell>
          <cell r="F317" t="str">
            <v>M2</v>
          </cell>
        </row>
        <row r="318">
          <cell r="C318">
            <v>605500</v>
          </cell>
          <cell r="D318" t="str">
            <v>CONCRETO FCK = 20 MPA, PREPARO EM BETONEIRA E LANÇ.</v>
          </cell>
          <cell r="E318">
            <v>0.57899999999999996</v>
          </cell>
          <cell r="F318" t="str">
            <v>M3</v>
          </cell>
        </row>
        <row r="319">
          <cell r="C319">
            <v>0</v>
          </cell>
          <cell r="D319" t="str">
            <v>CAIXA COLETORA DE SARJETA (CCS) - 1 UNIDADE CCS-01</v>
          </cell>
          <cell r="E319">
            <v>0</v>
          </cell>
          <cell r="F319">
            <v>0</v>
          </cell>
        </row>
        <row r="320">
          <cell r="C320">
            <v>600000</v>
          </cell>
          <cell r="D320" t="str">
            <v>ESCAVAÇÃO MANUAL DE VALA 1A. CAT.</v>
          </cell>
          <cell r="E320">
            <v>15</v>
          </cell>
          <cell r="F320" t="str">
            <v>M3</v>
          </cell>
        </row>
        <row r="321">
          <cell r="C321">
            <v>601100</v>
          </cell>
          <cell r="D321" t="str">
            <v>APILOAMENTO MANUAL</v>
          </cell>
          <cell r="E321">
            <v>5</v>
          </cell>
          <cell r="F321" t="str">
            <v>M3</v>
          </cell>
        </row>
        <row r="322">
          <cell r="C322">
            <v>602100</v>
          </cell>
          <cell r="D322" t="str">
            <v>FORMAS DE MADEIRA COMPENSADA  RESINADA</v>
          </cell>
          <cell r="E322">
            <v>20.3</v>
          </cell>
          <cell r="F322" t="str">
            <v>M2</v>
          </cell>
        </row>
        <row r="323">
          <cell r="C323">
            <v>603000</v>
          </cell>
          <cell r="D323" t="str">
            <v>AÇO CA-50 FORNEC. DOBR. COLOCAÇÃO</v>
          </cell>
          <cell r="E323">
            <v>7</v>
          </cell>
          <cell r="F323" t="str">
            <v>KG</v>
          </cell>
        </row>
        <row r="324">
          <cell r="C324">
            <v>605500</v>
          </cell>
          <cell r="D324" t="str">
            <v>CONCRETO FCK = 20 MPA, PREPARO EM BETONEIRA E LANÇ.</v>
          </cell>
          <cell r="E324">
            <v>2.2000000000000002</v>
          </cell>
          <cell r="F324" t="str">
            <v>M3</v>
          </cell>
        </row>
        <row r="325">
          <cell r="C325">
            <v>0</v>
          </cell>
          <cell r="D325" t="str">
            <v>CAIXA COLETORA DE SARJETA (CCS) - 21 UNIDADES CCS-02</v>
          </cell>
          <cell r="E325">
            <v>0</v>
          </cell>
          <cell r="F325">
            <v>0</v>
          </cell>
        </row>
        <row r="326">
          <cell r="C326">
            <v>600000</v>
          </cell>
          <cell r="D326" t="str">
            <v>ESCAVAÇÃO MANUAL DE VALA 1A. CAT.</v>
          </cell>
          <cell r="E326">
            <v>399</v>
          </cell>
          <cell r="F326" t="str">
            <v>M3</v>
          </cell>
        </row>
        <row r="327">
          <cell r="C327">
            <v>601100</v>
          </cell>
          <cell r="D327" t="str">
            <v>APILOAMENTO MANUAL</v>
          </cell>
          <cell r="E327">
            <v>126</v>
          </cell>
          <cell r="F327" t="str">
            <v>M3</v>
          </cell>
        </row>
        <row r="328">
          <cell r="C328">
            <v>602100</v>
          </cell>
          <cell r="D328" t="str">
            <v>FORMAS DE MADEIRA COMPENSADA  RESINADA</v>
          </cell>
          <cell r="E328">
            <v>537.6</v>
          </cell>
          <cell r="F328" t="str">
            <v>M2</v>
          </cell>
        </row>
        <row r="329">
          <cell r="C329">
            <v>603000</v>
          </cell>
          <cell r="D329" t="str">
            <v>AÇO CA-50 FORNEC. DOBR. COLOCAÇÃO</v>
          </cell>
          <cell r="E329">
            <v>168</v>
          </cell>
          <cell r="F329" t="str">
            <v>KG</v>
          </cell>
        </row>
        <row r="330">
          <cell r="C330">
            <v>605500</v>
          </cell>
          <cell r="D330" t="str">
            <v>CONCRETO FCK = 20 MPA, PREPARO EM BETONEIRA E LANÇ.</v>
          </cell>
          <cell r="E330">
            <v>44.1</v>
          </cell>
          <cell r="F330" t="str">
            <v>M3</v>
          </cell>
        </row>
        <row r="331">
          <cell r="C331">
            <v>0</v>
          </cell>
          <cell r="D331" t="str">
            <v>CAIXA COLETORA DE SARJETA (CCS) - 2 UNIDADES CCS-03</v>
          </cell>
          <cell r="E331">
            <v>0</v>
          </cell>
          <cell r="F331">
            <v>0</v>
          </cell>
        </row>
        <row r="332">
          <cell r="C332">
            <v>600000</v>
          </cell>
          <cell r="D332" t="str">
            <v>ESCAVAÇÃO MANUAL DE VALA 1A. CAT.</v>
          </cell>
          <cell r="E332">
            <v>30</v>
          </cell>
          <cell r="F332" t="str">
            <v>M3</v>
          </cell>
        </row>
        <row r="333">
          <cell r="C333">
            <v>601100</v>
          </cell>
          <cell r="D333" t="str">
            <v>APILOAMENTO MANUAL</v>
          </cell>
          <cell r="E333">
            <v>10</v>
          </cell>
          <cell r="F333" t="str">
            <v>M3</v>
          </cell>
        </row>
        <row r="334">
          <cell r="C334">
            <v>602100</v>
          </cell>
          <cell r="D334" t="str">
            <v>FORMAS DE MADEIRA COMPENSADA  RESINADA</v>
          </cell>
          <cell r="E334">
            <v>40.6</v>
          </cell>
          <cell r="F334" t="str">
            <v>M2</v>
          </cell>
        </row>
        <row r="335">
          <cell r="C335">
            <v>603000</v>
          </cell>
          <cell r="D335" t="str">
            <v>AÇO CA-50 FORNEC. DOBR. COLOCAÇÃO</v>
          </cell>
          <cell r="E335">
            <v>14</v>
          </cell>
          <cell r="F335" t="str">
            <v>KG</v>
          </cell>
        </row>
        <row r="336">
          <cell r="C336">
            <v>605500</v>
          </cell>
          <cell r="D336" t="str">
            <v>CONCRETO FCK = 20 MPA, PREPARO EM BETONEIRA E LANÇ.</v>
          </cell>
          <cell r="E336">
            <v>4</v>
          </cell>
          <cell r="F336" t="str">
            <v>M3</v>
          </cell>
        </row>
        <row r="337">
          <cell r="C337">
            <v>0</v>
          </cell>
          <cell r="D337" t="str">
            <v>CAIXA DE LIGAÇÃO E PASSAGEM- 5 UNIDADES CLP-03</v>
          </cell>
          <cell r="E337">
            <v>0</v>
          </cell>
          <cell r="F337">
            <v>0</v>
          </cell>
        </row>
        <row r="338">
          <cell r="C338">
            <v>600000</v>
          </cell>
          <cell r="D338" t="str">
            <v>ESCAVAÇÃO MANUAL DE VALA 1A. CAT.</v>
          </cell>
          <cell r="E338">
            <v>5</v>
          </cell>
          <cell r="F338" t="str">
            <v>M3</v>
          </cell>
        </row>
        <row r="339">
          <cell r="C339">
            <v>601100</v>
          </cell>
          <cell r="D339" t="str">
            <v>APILOAMENTO MANUAL</v>
          </cell>
          <cell r="E339">
            <v>15</v>
          </cell>
          <cell r="F339" t="str">
            <v>M3</v>
          </cell>
        </row>
        <row r="340">
          <cell r="C340">
            <v>602100</v>
          </cell>
          <cell r="D340" t="str">
            <v>FORMAS DE MADEIRA COMPENSADA  RESINADA</v>
          </cell>
          <cell r="E340">
            <v>136.19999999999999</v>
          </cell>
          <cell r="F340" t="str">
            <v>M2</v>
          </cell>
        </row>
        <row r="341">
          <cell r="C341">
            <v>603000</v>
          </cell>
          <cell r="D341" t="str">
            <v>AÇO CA-50 FORNEC. DOBR. COLOCAÇÃO</v>
          </cell>
          <cell r="E341">
            <v>100</v>
          </cell>
          <cell r="F341" t="str">
            <v>KG</v>
          </cell>
        </row>
        <row r="342">
          <cell r="C342">
            <v>603300</v>
          </cell>
          <cell r="D342" t="str">
            <v>AÇO CA-60 FORNEC. DOBR. COLOCAÇÃO</v>
          </cell>
          <cell r="E342">
            <v>1065</v>
          </cell>
          <cell r="F342" t="str">
            <v>KG</v>
          </cell>
        </row>
        <row r="343">
          <cell r="C343">
            <v>605500</v>
          </cell>
          <cell r="D343" t="str">
            <v>CONCRETO FCK = 20 MPA, PREPARO EM BETONEIRA E LANÇ.</v>
          </cell>
          <cell r="E343">
            <v>11.200000000000001</v>
          </cell>
          <cell r="F343" t="str">
            <v>M3</v>
          </cell>
        </row>
        <row r="344">
          <cell r="C344" t="str">
            <v>CCU-031</v>
          </cell>
          <cell r="D344" t="str">
            <v>CONCRETO MAGRO USINADO, EXCLUSIVE BOMBEAMENTO</v>
          </cell>
          <cell r="E344">
            <v>0.89999999999999991</v>
          </cell>
          <cell r="F344" t="str">
            <v>M³</v>
          </cell>
        </row>
        <row r="345">
          <cell r="C345">
            <v>0</v>
          </cell>
          <cell r="D345" t="str">
            <v>TRAVESSIA SOBRE SARJETA (TSS)</v>
          </cell>
          <cell r="E345">
            <v>0</v>
          </cell>
          <cell r="F345">
            <v>0</v>
          </cell>
        </row>
        <row r="346">
          <cell r="C346" t="str">
            <v>CCU-029</v>
          </cell>
          <cell r="D346" t="str">
            <v>TRANSPOSIÇÃO DE SEGMENTO DE SARJETA - TIPO - 2 C/TUBO 0,40M</v>
          </cell>
          <cell r="E346">
            <v>332</v>
          </cell>
          <cell r="F346" t="str">
            <v>M</v>
          </cell>
        </row>
        <row r="347">
          <cell r="C347">
            <v>0</v>
          </cell>
          <cell r="D347" t="str">
            <v>BOCA DE BUEIRO SIMPLES TUBULAR DE CONCRETO - 0,60M</v>
          </cell>
          <cell r="E347">
            <v>0</v>
          </cell>
          <cell r="F347">
            <v>0</v>
          </cell>
        </row>
        <row r="348">
          <cell r="C348">
            <v>620100</v>
          </cell>
          <cell r="D348" t="str">
            <v>BOCA DE BSTC 0,60M</v>
          </cell>
          <cell r="E348">
            <v>2</v>
          </cell>
          <cell r="F348" t="str">
            <v>UD</v>
          </cell>
        </row>
        <row r="349">
          <cell r="C349">
            <v>0</v>
          </cell>
          <cell r="D349" t="str">
            <v>BOCA DE BUEIRO SIMPLES TUBULAR DE CONCRETO - 0,80M</v>
          </cell>
          <cell r="E349">
            <v>0</v>
          </cell>
          <cell r="F349">
            <v>0</v>
          </cell>
        </row>
        <row r="350">
          <cell r="C350">
            <v>620200</v>
          </cell>
          <cell r="D350" t="str">
            <v>BOCA DE BSTC 0,80M</v>
          </cell>
          <cell r="E350">
            <v>17</v>
          </cell>
          <cell r="F350" t="str">
            <v>UD</v>
          </cell>
        </row>
        <row r="351">
          <cell r="C351">
            <v>0</v>
          </cell>
          <cell r="D351" t="str">
            <v>BOCA DE BUEIRO SIMPLES CELULAR DE CONCRETO - 1,50M</v>
          </cell>
          <cell r="E351">
            <v>0</v>
          </cell>
          <cell r="F351">
            <v>0</v>
          </cell>
        </row>
        <row r="352">
          <cell r="C352">
            <v>705224</v>
          </cell>
          <cell r="D352" t="str">
            <v>BOCA DE BSCC 1,50 X 1,50 M - ESCONSIDADE 0° - AREIA EXTRAÍDA E BRITA PRODUZIDA</v>
          </cell>
          <cell r="E352">
            <v>8</v>
          </cell>
          <cell r="F352" t="str">
            <v>UN</v>
          </cell>
        </row>
        <row r="353">
          <cell r="C353">
            <v>0</v>
          </cell>
          <cell r="D353" t="str">
            <v>BOCA DE BUEIRO SIMPLES CELULAR DE CONCRETO - 2,00M</v>
          </cell>
          <cell r="E353">
            <v>0</v>
          </cell>
          <cell r="F353">
            <v>0</v>
          </cell>
        </row>
        <row r="354">
          <cell r="C354">
            <v>705232</v>
          </cell>
          <cell r="D354" t="str">
            <v>BOCA DE BSCC 2,00 X 2,00 M - ESCONSIDADE 0° - AREIA EXTRAÍDA E BRITA PRODUZIDA</v>
          </cell>
          <cell r="E354">
            <v>2</v>
          </cell>
          <cell r="F354" t="str">
            <v>UN</v>
          </cell>
        </row>
        <row r="355">
          <cell r="C355">
            <v>0</v>
          </cell>
          <cell r="D355" t="str">
            <v>VALA PROJETADA - 162 METROS - VALA 01</v>
          </cell>
          <cell r="E355">
            <v>0</v>
          </cell>
          <cell r="F355">
            <v>0</v>
          </cell>
        </row>
        <row r="356">
          <cell r="C356">
            <v>600600</v>
          </cell>
          <cell r="D356" t="str">
            <v>ESCAVAÇÃO VALAS DE DRENAGEM 1A. CAT.</v>
          </cell>
          <cell r="E356">
            <v>324</v>
          </cell>
          <cell r="F356" t="str">
            <v>M3</v>
          </cell>
        </row>
        <row r="357">
          <cell r="C357">
            <v>800000</v>
          </cell>
          <cell r="D357" t="str">
            <v>ENLEIVAMENTO</v>
          </cell>
          <cell r="E357">
            <v>620.298</v>
          </cell>
          <cell r="F357" t="str">
            <v>M2</v>
          </cell>
        </row>
        <row r="358">
          <cell r="C358">
            <v>0</v>
          </cell>
          <cell r="D358" t="str">
            <v>SARJETA TRIANGULAR DE CONCRETO TIPO 01 (STC 01)</v>
          </cell>
          <cell r="E358">
            <v>0</v>
          </cell>
          <cell r="F358">
            <v>0</v>
          </cell>
        </row>
        <row r="359">
          <cell r="C359">
            <v>650000</v>
          </cell>
          <cell r="D359" t="str">
            <v>SARJETA TRIANGULAR CONCRETO - TIPO  1</v>
          </cell>
          <cell r="E359">
            <v>4314</v>
          </cell>
          <cell r="F359" t="str">
            <v>M</v>
          </cell>
        </row>
        <row r="360">
          <cell r="C360">
            <v>0</v>
          </cell>
          <cell r="D360" t="str">
            <v>SARJETA TRIANGULAR DE CONCRETO TIPO 01A (STC 01A)</v>
          </cell>
          <cell r="E360">
            <v>0</v>
          </cell>
          <cell r="F360">
            <v>0</v>
          </cell>
        </row>
        <row r="361">
          <cell r="C361" t="str">
            <v>CCU-034</v>
          </cell>
          <cell r="D361" t="str">
            <v>SARJETA TRIANGULAR CONCRETO - TIPO 1 - STC 01A</v>
          </cell>
          <cell r="E361">
            <v>4577</v>
          </cell>
          <cell r="F361" t="str">
            <v>M</v>
          </cell>
        </row>
        <row r="362">
          <cell r="C362">
            <v>0</v>
          </cell>
          <cell r="D362" t="str">
            <v>VALETA DE PROTEÇÃO DE ATERRO (VPA)</v>
          </cell>
          <cell r="E362">
            <v>0</v>
          </cell>
          <cell r="F362">
            <v>0</v>
          </cell>
        </row>
        <row r="363">
          <cell r="C363">
            <v>660500</v>
          </cell>
          <cell r="D363" t="str">
            <v>VALETA CONCRETO PROTEÇÃO ATERRO - TIPO 7A</v>
          </cell>
          <cell r="E363">
            <v>1792</v>
          </cell>
          <cell r="F363" t="str">
            <v>M</v>
          </cell>
        </row>
        <row r="364">
          <cell r="C364">
            <v>0</v>
          </cell>
          <cell r="D364" t="str">
            <v>VALETA DE PROTEÇÃO DE CORTE (VPC)</v>
          </cell>
          <cell r="E364">
            <v>0</v>
          </cell>
          <cell r="F364">
            <v>0</v>
          </cell>
        </row>
        <row r="365">
          <cell r="C365">
            <v>661500</v>
          </cell>
          <cell r="D365" t="str">
            <v>VALETA CONCRETO PROTEÇÃO CORTE - TIPO 7A</v>
          </cell>
          <cell r="E365">
            <v>101</v>
          </cell>
          <cell r="F365" t="str">
            <v>M</v>
          </cell>
        </row>
        <row r="366">
          <cell r="C366">
            <v>0</v>
          </cell>
          <cell r="D366" t="str">
            <v>DESCIDA D'ÁGUA EM DEGRAUS (DAD)- DAD-04- 21,00M</v>
          </cell>
          <cell r="E366">
            <v>0</v>
          </cell>
          <cell r="F366">
            <v>0</v>
          </cell>
        </row>
        <row r="367">
          <cell r="C367">
            <v>600000</v>
          </cell>
          <cell r="D367" t="str">
            <v>ESCAVAÇÃO MANUAL DE VALA 1A. CAT.</v>
          </cell>
          <cell r="E367">
            <v>24.15</v>
          </cell>
          <cell r="F367" t="str">
            <v>M3</v>
          </cell>
        </row>
        <row r="368">
          <cell r="C368">
            <v>601100</v>
          </cell>
          <cell r="D368" t="str">
            <v>APILOAMENTO MANUAL</v>
          </cell>
          <cell r="E368">
            <v>4.83</v>
          </cell>
          <cell r="F368" t="str">
            <v>M3</v>
          </cell>
        </row>
        <row r="369">
          <cell r="C369">
            <v>602100</v>
          </cell>
          <cell r="D369" t="str">
            <v>FORMAS DE MADEIRA COMPENSADA  RESINADA</v>
          </cell>
          <cell r="E369">
            <v>57.540000000000006</v>
          </cell>
          <cell r="F369" t="str">
            <v>M2</v>
          </cell>
        </row>
        <row r="370">
          <cell r="C370">
            <v>603000</v>
          </cell>
          <cell r="D370" t="str">
            <v>AÇO CA-50 FORNEC. DOBR. COLOCAÇÃO</v>
          </cell>
          <cell r="E370">
            <v>306.59999999999997</v>
          </cell>
          <cell r="F370" t="str">
            <v>KG</v>
          </cell>
        </row>
        <row r="371">
          <cell r="C371">
            <v>605500</v>
          </cell>
          <cell r="D371" t="str">
            <v>CONCRETO FCK = 20 MPA, PREPARO EM BETONEIRA E LANÇ.</v>
          </cell>
          <cell r="E371">
            <v>9.66</v>
          </cell>
          <cell r="F371" t="str">
            <v>M3</v>
          </cell>
        </row>
        <row r="372">
          <cell r="C372">
            <v>0</v>
          </cell>
          <cell r="D372" t="str">
            <v>ESCAVAÇÕES E REATERROS PARA BUEIROS TUBULARES</v>
          </cell>
          <cell r="E372">
            <v>0</v>
          </cell>
          <cell r="F372">
            <v>0</v>
          </cell>
        </row>
        <row r="373">
          <cell r="C373">
            <v>600300</v>
          </cell>
          <cell r="D373" t="str">
            <v>ESCAVAÇÃO DE BUEIROS EM 1A. CAT.</v>
          </cell>
          <cell r="E373">
            <v>1975.54</v>
          </cell>
          <cell r="F373" t="str">
            <v>M3</v>
          </cell>
        </row>
        <row r="374">
          <cell r="C374">
            <v>601200</v>
          </cell>
          <cell r="D374" t="str">
            <v>REATERRO E APILOAMENTO MECÂNICO</v>
          </cell>
          <cell r="E374">
            <v>1449.15</v>
          </cell>
          <cell r="F374" t="str">
            <v>M3</v>
          </cell>
        </row>
        <row r="375">
          <cell r="C375">
            <v>0</v>
          </cell>
          <cell r="D375" t="str">
            <v>ESCAVAÇÕES E REATERROS PARA BUEIROS CELULARES</v>
          </cell>
          <cell r="E375">
            <v>0</v>
          </cell>
          <cell r="F375">
            <v>0</v>
          </cell>
        </row>
        <row r="376">
          <cell r="C376">
            <v>701100</v>
          </cell>
          <cell r="D376" t="str">
            <v>ESCAVAÇÃO 1A. CAT. P/GALERIAS CELULARES</v>
          </cell>
          <cell r="E376">
            <v>2384.6999999999998</v>
          </cell>
          <cell r="F376" t="str">
            <v>M3</v>
          </cell>
        </row>
        <row r="377">
          <cell r="C377">
            <v>705000</v>
          </cell>
          <cell r="D377" t="str">
            <v>REATERRO E APILOAMENTO MECÂNICO</v>
          </cell>
          <cell r="E377">
            <v>1627.91</v>
          </cell>
          <cell r="F377" t="str">
            <v>M3</v>
          </cell>
        </row>
        <row r="378">
          <cell r="C378">
            <v>0</v>
          </cell>
          <cell r="D378" t="str">
            <v>REMOÇÕES</v>
          </cell>
          <cell r="E378">
            <v>0</v>
          </cell>
          <cell r="F378">
            <v>0</v>
          </cell>
        </row>
        <row r="379">
          <cell r="C379">
            <v>630400</v>
          </cell>
          <cell r="D379" t="str">
            <v>REMOÇÃO DE BUEIRO 0,40M</v>
          </cell>
          <cell r="E379">
            <v>36</v>
          </cell>
          <cell r="F379" t="str">
            <v>M</v>
          </cell>
        </row>
        <row r="380">
          <cell r="C380">
            <v>630600</v>
          </cell>
          <cell r="D380" t="str">
            <v>REMOÇÃO DE BUEIRO 0,60M</v>
          </cell>
          <cell r="E380">
            <v>107</v>
          </cell>
          <cell r="F380" t="str">
            <v>M</v>
          </cell>
        </row>
        <row r="381">
          <cell r="C381">
            <v>631200</v>
          </cell>
          <cell r="D381" t="str">
            <v>REMOÇÃO DE BUEIRO 1,20M</v>
          </cell>
          <cell r="E381">
            <v>31</v>
          </cell>
          <cell r="F381" t="str">
            <v>M</v>
          </cell>
        </row>
        <row r="382">
          <cell r="C382">
            <v>610200</v>
          </cell>
          <cell r="D382" t="str">
            <v>LIMPEZA MANUAL DE VALETA</v>
          </cell>
          <cell r="E382">
            <v>50</v>
          </cell>
          <cell r="F382" t="str">
            <v>M</v>
          </cell>
        </row>
        <row r="383">
          <cell r="C383">
            <v>0</v>
          </cell>
          <cell r="D383" t="str">
            <v>COMPONENTE AMBIENTAL</v>
          </cell>
          <cell r="E383">
            <v>0</v>
          </cell>
          <cell r="F383">
            <v>0</v>
          </cell>
        </row>
        <row r="384">
          <cell r="C384" t="str">
            <v>CCU-055</v>
          </cell>
          <cell r="D384" t="str">
            <v>BARREIRA DE SILTAGEM</v>
          </cell>
          <cell r="E384">
            <v>1999.48</v>
          </cell>
          <cell r="F384" t="str">
            <v>M</v>
          </cell>
        </row>
        <row r="385">
          <cell r="C385">
            <v>0</v>
          </cell>
          <cell r="D385" t="str">
            <v>TRECHO 04</v>
          </cell>
          <cell r="E385">
            <v>0</v>
          </cell>
          <cell r="F385" t="str">
            <v/>
          </cell>
        </row>
        <row r="386">
          <cell r="C386">
            <v>0</v>
          </cell>
          <cell r="D386" t="str">
            <v>CAIXA COLETORA DE SARJETA (CCS) - 2 UNIDADES CCS-01</v>
          </cell>
          <cell r="E386">
            <v>0</v>
          </cell>
          <cell r="F386">
            <v>0</v>
          </cell>
        </row>
        <row r="387">
          <cell r="C387">
            <v>600000</v>
          </cell>
          <cell r="D387" t="str">
            <v>ESCAVAÇÃO MANUAL DE VALA 1A. CAT.</v>
          </cell>
          <cell r="E387">
            <v>30</v>
          </cell>
          <cell r="F387" t="str">
            <v>M3</v>
          </cell>
        </row>
        <row r="388">
          <cell r="C388">
            <v>601100</v>
          </cell>
          <cell r="D388" t="str">
            <v>APILOAMENTO MANUAL</v>
          </cell>
          <cell r="E388">
            <v>10</v>
          </cell>
          <cell r="F388" t="str">
            <v>M3</v>
          </cell>
        </row>
        <row r="389">
          <cell r="C389">
            <v>602100</v>
          </cell>
          <cell r="D389" t="str">
            <v>FORMAS DE MADEIRA COMPENSADA  RESINADA</v>
          </cell>
          <cell r="E389">
            <v>40.6</v>
          </cell>
          <cell r="F389" t="str">
            <v>M2</v>
          </cell>
        </row>
        <row r="390">
          <cell r="C390">
            <v>603000</v>
          </cell>
          <cell r="D390" t="str">
            <v>AÇO CA-50 FORNEC. DOBR. COLOCAÇÃO</v>
          </cell>
          <cell r="E390">
            <v>14</v>
          </cell>
          <cell r="F390" t="str">
            <v>KG</v>
          </cell>
        </row>
        <row r="391">
          <cell r="C391">
            <v>605500</v>
          </cell>
          <cell r="D391" t="str">
            <v>CONCRETO FCK = 20 MPA, PREPARO EM BETONEIRA E LANÇ.</v>
          </cell>
          <cell r="E391">
            <v>4.4000000000000004</v>
          </cell>
          <cell r="F391" t="str">
            <v>M3</v>
          </cell>
        </row>
        <row r="392">
          <cell r="C392">
            <v>0</v>
          </cell>
          <cell r="D392" t="str">
            <v>BOCA DE LOBO PROJETADA(BLC) - 4 UNIDADES BLC-02</v>
          </cell>
          <cell r="E392">
            <v>0</v>
          </cell>
          <cell r="F392">
            <v>0</v>
          </cell>
        </row>
        <row r="393">
          <cell r="C393">
            <v>600000</v>
          </cell>
          <cell r="D393" t="str">
            <v>ESCAVAÇÃO MANUAL DE VALA 1A. CAT.</v>
          </cell>
          <cell r="E393">
            <v>12</v>
          </cell>
          <cell r="F393" t="str">
            <v>M3</v>
          </cell>
        </row>
        <row r="394">
          <cell r="C394">
            <v>601100</v>
          </cell>
          <cell r="D394" t="str">
            <v>APILOAMENTO MANUAL</v>
          </cell>
          <cell r="E394">
            <v>4</v>
          </cell>
          <cell r="F394" t="str">
            <v>M3</v>
          </cell>
        </row>
        <row r="395">
          <cell r="C395">
            <v>602100</v>
          </cell>
          <cell r="D395" t="str">
            <v>FORMAS DE MADEIRA COMPENSADA  RESINADA</v>
          </cell>
          <cell r="E395">
            <v>12.4</v>
          </cell>
          <cell r="F395" t="str">
            <v>M2</v>
          </cell>
        </row>
        <row r="396">
          <cell r="C396">
            <v>603000</v>
          </cell>
          <cell r="D396" t="str">
            <v>AÇO CA-50 FORNEC. DOBR. COLOCAÇÃO</v>
          </cell>
          <cell r="E396">
            <v>16.399999999999999</v>
          </cell>
          <cell r="F396" t="str">
            <v>KG</v>
          </cell>
        </row>
        <row r="397">
          <cell r="C397">
            <v>605500</v>
          </cell>
          <cell r="D397" t="str">
            <v>CONCRETO FCK = 20 MPA, PREPARO EM BETONEIRA E LANÇ.</v>
          </cell>
          <cell r="E397">
            <v>1.24</v>
          </cell>
          <cell r="F397" t="str">
            <v>M3</v>
          </cell>
        </row>
        <row r="398">
          <cell r="C398" t="str">
            <v>CCU-028</v>
          </cell>
          <cell r="D398" t="str">
            <v>ALVENARIA DE BLOCOS DE CONCRETO (10X20CM)</v>
          </cell>
          <cell r="E398">
            <v>22.72</v>
          </cell>
          <cell r="F398" t="str">
            <v>M²</v>
          </cell>
        </row>
        <row r="399">
          <cell r="C399">
            <v>604000</v>
          </cell>
          <cell r="D399" t="str">
            <v>ARGAMASSA CIMENTO E AREIA 1:3</v>
          </cell>
          <cell r="E399">
            <v>0.36</v>
          </cell>
          <cell r="F399" t="str">
            <v>M3</v>
          </cell>
        </row>
        <row r="400">
          <cell r="C400">
            <v>0</v>
          </cell>
          <cell r="D400" t="str">
            <v>TRAVESSIA SOBRE SARJETA (TSS)</v>
          </cell>
          <cell r="E400">
            <v>0</v>
          </cell>
          <cell r="F400">
            <v>0</v>
          </cell>
        </row>
        <row r="401">
          <cell r="C401" t="str">
            <v>CCU-029</v>
          </cell>
          <cell r="D401" t="str">
            <v>TRANSPOSIÇÃO DE SEGMENTO DE SARJETA - TIPO - 2 C/TUBO 0,40M</v>
          </cell>
          <cell r="E401">
            <v>226</v>
          </cell>
          <cell r="F401" t="str">
            <v>M</v>
          </cell>
        </row>
        <row r="402">
          <cell r="C402">
            <v>0</v>
          </cell>
          <cell r="D402" t="str">
            <v>BOCA DE BUEIRO SIMPLES TUBULAR DE CONCRETO - 0,80M</v>
          </cell>
          <cell r="E402">
            <v>0</v>
          </cell>
          <cell r="F402">
            <v>0</v>
          </cell>
        </row>
        <row r="403">
          <cell r="C403">
            <v>620200</v>
          </cell>
          <cell r="D403" t="str">
            <v>BOCA DE BSTC 0,80M</v>
          </cell>
          <cell r="E403">
            <v>3</v>
          </cell>
          <cell r="F403" t="str">
            <v>UD</v>
          </cell>
        </row>
        <row r="404">
          <cell r="C404">
            <v>0</v>
          </cell>
          <cell r="D404" t="str">
            <v>BOCA DE BUEIRO SIMPLES TUBULAR DE CONCRETO - 1,50M</v>
          </cell>
          <cell r="E404">
            <v>0</v>
          </cell>
          <cell r="F404">
            <v>0</v>
          </cell>
        </row>
        <row r="405">
          <cell r="C405">
            <v>620500</v>
          </cell>
          <cell r="D405" t="str">
            <v>BOCA DE BSTC 1,50M</v>
          </cell>
          <cell r="E405">
            <v>4</v>
          </cell>
          <cell r="F405" t="str">
            <v>UD</v>
          </cell>
        </row>
        <row r="406">
          <cell r="C406">
            <v>0</v>
          </cell>
          <cell r="D406" t="str">
            <v>BOCA DE BUEIRO DUPLA TUBULAR DE CONCRETO - 1,50M</v>
          </cell>
          <cell r="E406">
            <v>0</v>
          </cell>
          <cell r="F406">
            <v>0</v>
          </cell>
        </row>
        <row r="407">
          <cell r="C407">
            <v>620900</v>
          </cell>
          <cell r="D407" t="str">
            <v>BOCA DE BDTC 1,50M</v>
          </cell>
          <cell r="E407">
            <v>2</v>
          </cell>
          <cell r="F407" t="str">
            <v>UD</v>
          </cell>
        </row>
        <row r="408">
          <cell r="C408">
            <v>0</v>
          </cell>
          <cell r="D408" t="str">
            <v>BOCA DE BUEIRO TRIPLA TUBULAR DE CONCRETO - 1,50M</v>
          </cell>
          <cell r="E408">
            <v>0</v>
          </cell>
          <cell r="F408">
            <v>0</v>
          </cell>
        </row>
        <row r="409">
          <cell r="C409">
            <v>621300</v>
          </cell>
          <cell r="D409" t="str">
            <v>BOCA DE BTTC 1,50M</v>
          </cell>
          <cell r="E409">
            <v>2</v>
          </cell>
          <cell r="F409" t="str">
            <v>UD</v>
          </cell>
        </row>
        <row r="410">
          <cell r="C410">
            <v>0</v>
          </cell>
          <cell r="D410" t="str">
            <v>VALA PROJETADA - 13 METROS - VALA 01</v>
          </cell>
          <cell r="E410">
            <v>0</v>
          </cell>
          <cell r="F410">
            <v>0</v>
          </cell>
        </row>
        <row r="411">
          <cell r="C411">
            <v>600600</v>
          </cell>
          <cell r="D411" t="str">
            <v>ESCAVAÇÃO VALAS DE DRENAGEM 1A. CAT.</v>
          </cell>
          <cell r="E411">
            <v>26</v>
          </cell>
          <cell r="F411" t="str">
            <v>M3</v>
          </cell>
        </row>
        <row r="412">
          <cell r="C412">
            <v>800000</v>
          </cell>
          <cell r="D412" t="str">
            <v>ENLEIVAMENTO</v>
          </cell>
          <cell r="E412">
            <v>49.777000000000001</v>
          </cell>
          <cell r="F412" t="str">
            <v>M2</v>
          </cell>
        </row>
        <row r="413">
          <cell r="C413">
            <v>0</v>
          </cell>
          <cell r="D413" t="str">
            <v>SARJETA TRIANGULAR DE CONCRETO TIPO 01A (STC 01A)</v>
          </cell>
          <cell r="E413">
            <v>0</v>
          </cell>
          <cell r="F413">
            <v>0</v>
          </cell>
        </row>
        <row r="414">
          <cell r="C414" t="str">
            <v>CCU-034</v>
          </cell>
          <cell r="D414" t="str">
            <v>SARJETA TRIANGULAR CONCRETO - TIPO 1 - STC 01A</v>
          </cell>
          <cell r="E414">
            <v>2590</v>
          </cell>
          <cell r="F414" t="str">
            <v>M</v>
          </cell>
        </row>
        <row r="415">
          <cell r="C415">
            <v>0</v>
          </cell>
          <cell r="D415" t="str">
            <v>DISSIPADOR DE ENERGIA (DES / DEB) - 1 UNIDADE DEB-03</v>
          </cell>
          <cell r="E415">
            <v>0</v>
          </cell>
          <cell r="F415">
            <v>0</v>
          </cell>
        </row>
        <row r="416">
          <cell r="C416">
            <v>600000</v>
          </cell>
          <cell r="D416" t="str">
            <v>ESCAVAÇÃO MANUAL DE VALA 1A. CAT.</v>
          </cell>
          <cell r="E416">
            <v>0.9</v>
          </cell>
          <cell r="F416" t="str">
            <v>M3</v>
          </cell>
        </row>
        <row r="417">
          <cell r="C417">
            <v>1506055</v>
          </cell>
          <cell r="D417" t="str">
            <v>PEDRA ARGAMASSADA COM CIMENTO E AREIA 1:3 - AREIA E PEDRA DE MÃO COMERCIAL - FORNECIMENTO E ASSENTAMENTO</v>
          </cell>
          <cell r="E417">
            <v>0.46800000000000003</v>
          </cell>
          <cell r="F417" t="str">
            <v>M³</v>
          </cell>
        </row>
        <row r="418">
          <cell r="C418">
            <v>601100</v>
          </cell>
          <cell r="D418" t="str">
            <v>APILOAMENTO MANUAL</v>
          </cell>
          <cell r="E418">
            <v>0.15</v>
          </cell>
          <cell r="F418" t="str">
            <v>M3</v>
          </cell>
        </row>
        <row r="419">
          <cell r="C419">
            <v>602100</v>
          </cell>
          <cell r="D419" t="str">
            <v>FORMAS DE MADEIRA COMPENSADA  RESINADA</v>
          </cell>
          <cell r="E419">
            <v>5.22</v>
          </cell>
          <cell r="F419" t="str">
            <v>M2</v>
          </cell>
        </row>
        <row r="420">
          <cell r="C420">
            <v>605500</v>
          </cell>
          <cell r="D420" t="str">
            <v>CONCRETO FCK = 20 MPA, PREPARO EM BETONEIRA E LANÇ.</v>
          </cell>
          <cell r="E420">
            <v>0.65500000000000003</v>
          </cell>
          <cell r="F420" t="str">
            <v>M3</v>
          </cell>
        </row>
        <row r="421">
          <cell r="C421">
            <v>0</v>
          </cell>
          <cell r="D421" t="str">
            <v>DISSIPADOR DE ENERGIA (DES / DEB) - 2 UNIDADES DEB-07</v>
          </cell>
          <cell r="E421">
            <v>0</v>
          </cell>
          <cell r="F421">
            <v>0</v>
          </cell>
        </row>
        <row r="422">
          <cell r="C422">
            <v>600000</v>
          </cell>
          <cell r="D422" t="str">
            <v>ESCAVAÇÃO MANUAL DE VALA 1A. CAT.</v>
          </cell>
          <cell r="E422">
            <v>14.76</v>
          </cell>
          <cell r="F422" t="str">
            <v>M3</v>
          </cell>
        </row>
        <row r="423">
          <cell r="C423">
            <v>1506055</v>
          </cell>
          <cell r="D423" t="str">
            <v>PEDRA ARGAMASSADA COM CIMENTO E AREIA 1:3 - AREIA E PEDRA DE MÃO COMERCIAL - FORNECIMENTO E ASSENTAMENTO</v>
          </cell>
          <cell r="E423">
            <v>10.72</v>
          </cell>
          <cell r="F423" t="str">
            <v>M³</v>
          </cell>
        </row>
        <row r="424">
          <cell r="C424">
            <v>601100</v>
          </cell>
          <cell r="D424" t="str">
            <v>APILOAMENTO MANUAL</v>
          </cell>
          <cell r="E424">
            <v>1</v>
          </cell>
          <cell r="F424" t="str">
            <v>M3</v>
          </cell>
        </row>
        <row r="425">
          <cell r="C425">
            <v>602100</v>
          </cell>
          <cell r="D425" t="str">
            <v>FORMAS DE MADEIRA COMPENSADA  RESINADA</v>
          </cell>
          <cell r="E425">
            <v>34.299999999999997</v>
          </cell>
          <cell r="F425" t="str">
            <v>M2</v>
          </cell>
        </row>
        <row r="426">
          <cell r="C426">
            <v>605500</v>
          </cell>
          <cell r="D426" t="str">
            <v>CONCRETO FCK = 20 MPA, PREPARO EM BETONEIRA E LANÇ.</v>
          </cell>
          <cell r="E426">
            <v>7.3220000000000001</v>
          </cell>
          <cell r="F426" t="str">
            <v>M3</v>
          </cell>
        </row>
        <row r="427">
          <cell r="C427">
            <v>0</v>
          </cell>
          <cell r="D427" t="str">
            <v>DISSIPADOR DE ENERGIA (DES / DEB) - 2 UNIDADES DEB-10</v>
          </cell>
          <cell r="E427">
            <v>0</v>
          </cell>
          <cell r="F427">
            <v>0</v>
          </cell>
        </row>
        <row r="428">
          <cell r="C428">
            <v>600000</v>
          </cell>
          <cell r="D428" t="str">
            <v>ESCAVAÇÃO MANUAL DE VALA 1A. CAT.</v>
          </cell>
          <cell r="E428">
            <v>18.920000000000002</v>
          </cell>
          <cell r="F428" t="str">
            <v>M3</v>
          </cell>
        </row>
        <row r="429">
          <cell r="C429">
            <v>1506055</v>
          </cell>
          <cell r="D429" t="str">
            <v>PEDRA ARGAMASSADA COM CIMENTO E AREIA 1:3 - AREIA E PEDRA DE MÃO COMERCIAL - FORNECIMENTO E ASSENTAMENTO</v>
          </cell>
          <cell r="E429">
            <v>14</v>
          </cell>
          <cell r="F429" t="str">
            <v>M³</v>
          </cell>
        </row>
        <row r="430">
          <cell r="C430">
            <v>601100</v>
          </cell>
          <cell r="D430" t="str">
            <v>APILOAMENTO MANUAL</v>
          </cell>
          <cell r="E430">
            <v>1.2</v>
          </cell>
          <cell r="F430" t="str">
            <v>M3</v>
          </cell>
        </row>
        <row r="431">
          <cell r="C431">
            <v>602100</v>
          </cell>
          <cell r="D431" t="str">
            <v>FORMAS DE MADEIRA COMPENSADA  RESINADA</v>
          </cell>
          <cell r="E431">
            <v>40.56</v>
          </cell>
          <cell r="F431" t="str">
            <v>M2</v>
          </cell>
        </row>
        <row r="432">
          <cell r="C432">
            <v>605500</v>
          </cell>
          <cell r="D432" t="str">
            <v>CONCRETO FCK = 20 MPA, PREPARO EM BETONEIRA E LANÇ.</v>
          </cell>
          <cell r="E432">
            <v>9.32</v>
          </cell>
          <cell r="F432" t="str">
            <v>M3</v>
          </cell>
        </row>
        <row r="433">
          <cell r="C433">
            <v>0</v>
          </cell>
          <cell r="D433" t="str">
            <v>ESCAVAÇÕES E REATERROS PARA BUEIROS TUBULARES</v>
          </cell>
          <cell r="E433">
            <v>0</v>
          </cell>
          <cell r="F433">
            <v>0</v>
          </cell>
        </row>
        <row r="434">
          <cell r="C434">
            <v>600300</v>
          </cell>
          <cell r="D434" t="str">
            <v>ESCAVAÇÃO DE BUEIROS EM 1A. CAT.</v>
          </cell>
          <cell r="E434">
            <v>502.19</v>
          </cell>
          <cell r="F434" t="str">
            <v>M3</v>
          </cell>
        </row>
        <row r="435">
          <cell r="C435">
            <v>601200</v>
          </cell>
          <cell r="D435" t="str">
            <v>REATERRO E APILOAMENTO MECÂNICO</v>
          </cell>
          <cell r="E435">
            <v>181.09</v>
          </cell>
          <cell r="F435" t="str">
            <v>M3</v>
          </cell>
        </row>
        <row r="436">
          <cell r="C436">
            <v>0</v>
          </cell>
          <cell r="D436" t="str">
            <v>REMOÇÕES</v>
          </cell>
          <cell r="E436">
            <v>0</v>
          </cell>
          <cell r="F436">
            <v>0</v>
          </cell>
        </row>
        <row r="437">
          <cell r="C437">
            <v>630800</v>
          </cell>
          <cell r="D437" t="str">
            <v>REMOÇÃO DE BUEIRO 0,80M</v>
          </cell>
          <cell r="E437">
            <v>56</v>
          </cell>
          <cell r="F437" t="str">
            <v>M</v>
          </cell>
        </row>
        <row r="438">
          <cell r="C438">
            <v>631200</v>
          </cell>
          <cell r="D438" t="str">
            <v>REMOÇÃO DE BUEIRO 1,20M</v>
          </cell>
          <cell r="E438">
            <v>10</v>
          </cell>
          <cell r="F438" t="str">
            <v>M</v>
          </cell>
        </row>
        <row r="439">
          <cell r="C439">
            <v>610200</v>
          </cell>
          <cell r="D439" t="str">
            <v>LIMPEZA MANUAL DE VALETA</v>
          </cell>
          <cell r="E439">
            <v>75</v>
          </cell>
          <cell r="F439" t="str">
            <v>M</v>
          </cell>
        </row>
        <row r="440">
          <cell r="C440">
            <v>0</v>
          </cell>
          <cell r="D440" t="str">
            <v>COMPONENTE AMBIENTAL</v>
          </cell>
          <cell r="E440">
            <v>0</v>
          </cell>
          <cell r="F440">
            <v>0</v>
          </cell>
        </row>
        <row r="441">
          <cell r="C441" t="str">
            <v>CCU-055</v>
          </cell>
          <cell r="D441" t="str">
            <v>BARREIRA DE SILTAGEM</v>
          </cell>
          <cell r="E441">
            <v>40.64</v>
          </cell>
          <cell r="F441" t="str">
            <v>M</v>
          </cell>
        </row>
        <row r="442">
          <cell r="C442">
            <v>0</v>
          </cell>
          <cell r="D442" t="str">
            <v>TRECHO 05</v>
          </cell>
          <cell r="E442">
            <v>0</v>
          </cell>
          <cell r="F442" t="str">
            <v/>
          </cell>
        </row>
        <row r="443">
          <cell r="C443">
            <v>0</v>
          </cell>
          <cell r="D443" t="str">
            <v>DRENO LONGITUDINAL PROFUNDO EM SOLO (DPS)</v>
          </cell>
          <cell r="E443">
            <v>0</v>
          </cell>
          <cell r="F443">
            <v>0</v>
          </cell>
        </row>
        <row r="444">
          <cell r="C444" t="str">
            <v>CCU-030</v>
          </cell>
          <cell r="D444" t="str">
            <v>DRENO PROFUNDO H = 1,5 M - COM GEOCOMPOSTO DRENANTE - DPS 09</v>
          </cell>
          <cell r="E444">
            <v>11227</v>
          </cell>
          <cell r="F444" t="str">
            <v>M</v>
          </cell>
        </row>
        <row r="445">
          <cell r="C445">
            <v>0</v>
          </cell>
          <cell r="D445" t="str">
            <v>DRENO DE REBAIXO(DR)</v>
          </cell>
          <cell r="E445">
            <v>0</v>
          </cell>
          <cell r="F445">
            <v>0</v>
          </cell>
        </row>
        <row r="446">
          <cell r="C446" t="str">
            <v>CCU-033</v>
          </cell>
          <cell r="D446" t="str">
            <v>DRENO DE REBAIXO DR</v>
          </cell>
          <cell r="E446">
            <v>2135</v>
          </cell>
          <cell r="F446" t="str">
            <v>M</v>
          </cell>
        </row>
        <row r="447">
          <cell r="C447">
            <v>0</v>
          </cell>
          <cell r="D447" t="str">
            <v>DRENO SUB SUPERFICIAL DE PAVIMENTO (DSSP)</v>
          </cell>
          <cell r="E447">
            <v>0</v>
          </cell>
          <cell r="F447">
            <v>0</v>
          </cell>
        </row>
        <row r="448">
          <cell r="C448" t="str">
            <v>CCU-032</v>
          </cell>
          <cell r="D448" t="str">
            <v>DRENO SUBSUPERFICIAL DE PAVIMENTO DSSP</v>
          </cell>
          <cell r="E448">
            <v>1085</v>
          </cell>
          <cell r="F448" t="str">
            <v>M</v>
          </cell>
        </row>
        <row r="449">
          <cell r="C449">
            <v>0</v>
          </cell>
          <cell r="D449" t="str">
            <v>BOCA DE SAÍDA DE DRENO (BSD)</v>
          </cell>
          <cell r="E449">
            <v>0</v>
          </cell>
          <cell r="F449">
            <v>0</v>
          </cell>
        </row>
        <row r="450">
          <cell r="C450">
            <v>622100</v>
          </cell>
          <cell r="D450" t="str">
            <v>BOCA DE SAÍDA DRENO PROFUNDO - TIPO 2</v>
          </cell>
          <cell r="E450">
            <v>29</v>
          </cell>
          <cell r="F450" t="str">
            <v>UD</v>
          </cell>
        </row>
        <row r="451">
          <cell r="C451">
            <v>0</v>
          </cell>
          <cell r="D451" t="str">
            <v>DISSIPADOR DE ENERGIA (DES / DEB) - 6 UNIDADES DEB-10</v>
          </cell>
          <cell r="E451">
            <v>0</v>
          </cell>
          <cell r="F451">
            <v>0</v>
          </cell>
        </row>
        <row r="452">
          <cell r="C452">
            <v>600000</v>
          </cell>
          <cell r="D452" t="str">
            <v>ESCAVAÇÃO MANUAL DE VALA 1A. CAT.</v>
          </cell>
          <cell r="E452">
            <v>56.760000000000005</v>
          </cell>
          <cell r="F452" t="str">
            <v>M3</v>
          </cell>
        </row>
        <row r="453">
          <cell r="C453">
            <v>1506055</v>
          </cell>
          <cell r="D453" t="str">
            <v>PEDRA ARGAMASSADA COM CIMENTO E AREIA 1:3 - AREIA E PEDRA DE MÃO COMERCIAL - FORNECIMENTO E ASSENTAMENTO</v>
          </cell>
          <cell r="E453">
            <v>42</v>
          </cell>
          <cell r="F453" t="str">
            <v>M³</v>
          </cell>
        </row>
        <row r="454">
          <cell r="C454">
            <v>601100</v>
          </cell>
          <cell r="D454" t="str">
            <v>APILOAMENTO MANUAL</v>
          </cell>
          <cell r="E454">
            <v>3.5999999999999996</v>
          </cell>
          <cell r="F454" t="str">
            <v>M3</v>
          </cell>
        </row>
        <row r="455">
          <cell r="C455">
            <v>602100</v>
          </cell>
          <cell r="D455" t="str">
            <v>FORMAS DE MADEIRA COMPENSADA  RESINADA</v>
          </cell>
          <cell r="E455">
            <v>121.68</v>
          </cell>
          <cell r="F455" t="str">
            <v>M2</v>
          </cell>
        </row>
        <row r="456">
          <cell r="C456">
            <v>605500</v>
          </cell>
          <cell r="D456" t="str">
            <v>CONCRETO FCK = 20 MPA, PREPARO EM BETONEIRA E LANÇ.</v>
          </cell>
          <cell r="E456">
            <v>27.96</v>
          </cell>
          <cell r="F456" t="str">
            <v>M3</v>
          </cell>
        </row>
        <row r="457">
          <cell r="C457">
            <v>0</v>
          </cell>
          <cell r="D457" t="str">
            <v>DISSIPADOR DE ENERGIA (DES / DEB) - 12 UNIDADES DEB-03</v>
          </cell>
          <cell r="E457">
            <v>0</v>
          </cell>
          <cell r="F457">
            <v>0</v>
          </cell>
        </row>
        <row r="458">
          <cell r="C458">
            <v>600000</v>
          </cell>
          <cell r="D458" t="str">
            <v>ESCAVAÇÃO MANUAL DE VALA 1A. CAT.</v>
          </cell>
          <cell r="E458">
            <v>10.8</v>
          </cell>
          <cell r="F458" t="str">
            <v>M3</v>
          </cell>
        </row>
        <row r="459">
          <cell r="C459">
            <v>1506055</v>
          </cell>
          <cell r="D459" t="str">
            <v>PEDRA ARGAMASSADA COM CIMENTO E AREIA 1:3 - AREIA E PEDRA DE MÃO COMERCIAL - FORNECIMENTO E ASSENTAMENTO</v>
          </cell>
          <cell r="E459">
            <v>5.6160000000000005</v>
          </cell>
          <cell r="F459" t="str">
            <v>M³</v>
          </cell>
        </row>
        <row r="460">
          <cell r="C460">
            <v>601100</v>
          </cell>
          <cell r="D460" t="str">
            <v>APILOAMENTO MANUAL</v>
          </cell>
          <cell r="E460">
            <v>1.7999999999999998</v>
          </cell>
          <cell r="F460" t="str">
            <v>M3</v>
          </cell>
        </row>
        <row r="461">
          <cell r="C461">
            <v>602100</v>
          </cell>
          <cell r="D461" t="str">
            <v>FORMAS DE MADEIRA COMPENSADA  RESINADA</v>
          </cell>
          <cell r="E461">
            <v>62.64</v>
          </cell>
          <cell r="F461" t="str">
            <v>M2</v>
          </cell>
        </row>
        <row r="462">
          <cell r="C462">
            <v>605500</v>
          </cell>
          <cell r="D462" t="str">
            <v>CONCRETO FCK = 20 MPA, PREPARO EM BETONEIRA E LANÇ.</v>
          </cell>
          <cell r="E462">
            <v>7.86</v>
          </cell>
          <cell r="F462" t="str">
            <v>M3</v>
          </cell>
        </row>
        <row r="463">
          <cell r="C463">
            <v>0</v>
          </cell>
          <cell r="D463" t="str">
            <v>DISSIPADOR DE ENERGIA (DES / DEB) - 8 UNIDADES DEB-04</v>
          </cell>
          <cell r="E463">
            <v>0</v>
          </cell>
          <cell r="F463">
            <v>0</v>
          </cell>
        </row>
        <row r="464">
          <cell r="C464">
            <v>600000</v>
          </cell>
          <cell r="D464" t="str">
            <v>ESCAVAÇÃO MANUAL DE VALA 1A. CAT.</v>
          </cell>
          <cell r="E464">
            <v>42.4</v>
          </cell>
          <cell r="F464" t="str">
            <v>M3</v>
          </cell>
        </row>
        <row r="465">
          <cell r="C465">
            <v>1506055</v>
          </cell>
          <cell r="D465" t="str">
            <v>PEDRA ARGAMASSADA COM CIMENTO E AREIA 1:3 - AREIA E PEDRA DE MÃO COMERCIAL - FORNECIMENTO E ASSENTAMENTO</v>
          </cell>
          <cell r="E465">
            <v>29.6</v>
          </cell>
          <cell r="F465" t="str">
            <v>M³</v>
          </cell>
        </row>
        <row r="466">
          <cell r="C466">
            <v>601100</v>
          </cell>
          <cell r="D466" t="str">
            <v>APILOAMENTO MANUAL</v>
          </cell>
          <cell r="E466">
            <v>4</v>
          </cell>
          <cell r="F466" t="str">
            <v>M3</v>
          </cell>
        </row>
        <row r="467">
          <cell r="C467">
            <v>602100</v>
          </cell>
          <cell r="D467" t="str">
            <v>FORMAS DE MADEIRA COMPENSADA  RESINADA</v>
          </cell>
          <cell r="E467">
            <v>112.4</v>
          </cell>
          <cell r="F467" t="str">
            <v>M2</v>
          </cell>
        </row>
        <row r="468">
          <cell r="C468">
            <v>605500</v>
          </cell>
          <cell r="D468" t="str">
            <v>CONCRETO FCK = 20 MPA, PREPARO EM BETONEIRA E LANÇ.</v>
          </cell>
          <cell r="E468">
            <v>21.303999999999998</v>
          </cell>
          <cell r="F468" t="str">
            <v>M3</v>
          </cell>
        </row>
        <row r="469">
          <cell r="C469">
            <v>0</v>
          </cell>
          <cell r="D469" t="str">
            <v>CAIXA COLETORA DE SARJETA (CCS) - 1 UNIDADE CCS-01</v>
          </cell>
          <cell r="E469">
            <v>0</v>
          </cell>
          <cell r="F469">
            <v>0</v>
          </cell>
        </row>
        <row r="470">
          <cell r="C470">
            <v>600000</v>
          </cell>
          <cell r="D470" t="str">
            <v>ESCAVAÇÃO MANUAL DE VALA 1A. CAT.</v>
          </cell>
          <cell r="E470">
            <v>15</v>
          </cell>
          <cell r="F470" t="str">
            <v>M3</v>
          </cell>
        </row>
        <row r="471">
          <cell r="C471">
            <v>601100</v>
          </cell>
          <cell r="D471" t="str">
            <v>APILOAMENTO MANUAL</v>
          </cell>
          <cell r="E471">
            <v>5</v>
          </cell>
          <cell r="F471" t="str">
            <v>M3</v>
          </cell>
        </row>
        <row r="472">
          <cell r="C472">
            <v>602100</v>
          </cell>
          <cell r="D472" t="str">
            <v>FORMAS DE MADEIRA COMPENSADA  RESINADA</v>
          </cell>
          <cell r="E472">
            <v>20.3</v>
          </cell>
          <cell r="F472" t="str">
            <v>M2</v>
          </cell>
        </row>
        <row r="473">
          <cell r="C473">
            <v>603000</v>
          </cell>
          <cell r="D473" t="str">
            <v>AÇO CA-50 FORNEC. DOBR. COLOCAÇÃO</v>
          </cell>
          <cell r="E473">
            <v>7</v>
          </cell>
          <cell r="F473" t="str">
            <v>KG</v>
          </cell>
        </row>
        <row r="474">
          <cell r="C474">
            <v>605500</v>
          </cell>
          <cell r="D474" t="str">
            <v>CONCRETO FCK = 20 MPA, PREPARO EM BETONEIRA E LANÇ.</v>
          </cell>
          <cell r="E474">
            <v>2.2000000000000002</v>
          </cell>
          <cell r="F474" t="str">
            <v>M3</v>
          </cell>
        </row>
        <row r="475">
          <cell r="C475">
            <v>0</v>
          </cell>
          <cell r="D475" t="str">
            <v>CAIXA COLETORA DE SARJETA (CCS) - 19 UNIDADES CCS-02</v>
          </cell>
          <cell r="E475">
            <v>0</v>
          </cell>
          <cell r="F475">
            <v>0</v>
          </cell>
        </row>
        <row r="476">
          <cell r="C476">
            <v>600000</v>
          </cell>
          <cell r="D476" t="str">
            <v>ESCAVAÇÃO MANUAL DE VALA 1A. CAT.</v>
          </cell>
          <cell r="E476">
            <v>361</v>
          </cell>
          <cell r="F476" t="str">
            <v>M3</v>
          </cell>
        </row>
        <row r="477">
          <cell r="C477">
            <v>601100</v>
          </cell>
          <cell r="D477" t="str">
            <v>APILOAMENTO MANUAL</v>
          </cell>
          <cell r="E477">
            <v>114</v>
          </cell>
          <cell r="F477" t="str">
            <v>M3</v>
          </cell>
        </row>
        <row r="478">
          <cell r="C478">
            <v>602100</v>
          </cell>
          <cell r="D478" t="str">
            <v>FORMAS DE MADEIRA COMPENSADA  RESINADA</v>
          </cell>
          <cell r="E478">
            <v>486.40000000000003</v>
          </cell>
          <cell r="F478" t="str">
            <v>M2</v>
          </cell>
        </row>
        <row r="479">
          <cell r="C479">
            <v>603000</v>
          </cell>
          <cell r="D479" t="str">
            <v>AÇO CA-50 FORNEC. DOBR. COLOCAÇÃO</v>
          </cell>
          <cell r="E479">
            <v>152</v>
          </cell>
          <cell r="F479" t="str">
            <v>KG</v>
          </cell>
        </row>
        <row r="480">
          <cell r="C480">
            <v>605500</v>
          </cell>
          <cell r="D480" t="str">
            <v>CONCRETO FCK = 20 MPA, PREPARO EM BETONEIRA E LANÇ.</v>
          </cell>
          <cell r="E480">
            <v>39.9</v>
          </cell>
          <cell r="F480" t="str">
            <v>M3</v>
          </cell>
        </row>
        <row r="481">
          <cell r="C481">
            <v>0</v>
          </cell>
          <cell r="D481" t="str">
            <v>CAIXA DE LIGAÇÃO E PASSAGEM- 2 UNIDADES CLP-03</v>
          </cell>
          <cell r="E481">
            <v>0</v>
          </cell>
          <cell r="F481">
            <v>0</v>
          </cell>
        </row>
        <row r="482">
          <cell r="C482">
            <v>600000</v>
          </cell>
          <cell r="D482" t="str">
            <v>ESCAVAÇÃO MANUAL DE VALA 1A. CAT.</v>
          </cell>
          <cell r="E482">
            <v>16</v>
          </cell>
          <cell r="F482" t="str">
            <v>M3</v>
          </cell>
        </row>
        <row r="483">
          <cell r="C483">
            <v>601100</v>
          </cell>
          <cell r="D483" t="str">
            <v>APILOAMENTO MANUAL</v>
          </cell>
          <cell r="E483">
            <v>6</v>
          </cell>
          <cell r="F483" t="str">
            <v>M3</v>
          </cell>
        </row>
        <row r="484">
          <cell r="C484">
            <v>602100</v>
          </cell>
          <cell r="D484" t="str">
            <v>FORMAS DE MADEIRA COMPENSADA  RESINADA</v>
          </cell>
          <cell r="E484">
            <v>54.48</v>
          </cell>
          <cell r="F484" t="str">
            <v>M2</v>
          </cell>
        </row>
        <row r="485">
          <cell r="C485">
            <v>603000</v>
          </cell>
          <cell r="D485" t="str">
            <v>AÇO CA-50 FORNEC. DOBR. COLOCAÇÃO</v>
          </cell>
          <cell r="E485">
            <v>40</v>
          </cell>
          <cell r="F485" t="str">
            <v>KG</v>
          </cell>
        </row>
        <row r="486">
          <cell r="C486">
            <v>603300</v>
          </cell>
          <cell r="D486" t="str">
            <v>AÇO CA-60 FORNEC. DOBR. COLOCAÇÃO</v>
          </cell>
          <cell r="E486">
            <v>426</v>
          </cell>
          <cell r="F486" t="str">
            <v>KG</v>
          </cell>
        </row>
        <row r="487">
          <cell r="C487">
            <v>605500</v>
          </cell>
          <cell r="D487" t="str">
            <v>CONCRETO FCK = 20 MPA, PREPARO EM BETONEIRA E LANÇ.</v>
          </cell>
          <cell r="E487">
            <v>4.4800000000000004</v>
          </cell>
          <cell r="F487" t="str">
            <v>M3</v>
          </cell>
        </row>
        <row r="488">
          <cell r="C488" t="str">
            <v>CCU-031</v>
          </cell>
          <cell r="D488" t="str">
            <v>CONCRETO MAGRO USINADO, EXCLUSIVE BOMBEAMENTO</v>
          </cell>
          <cell r="E488">
            <v>0.36</v>
          </cell>
          <cell r="F488" t="str">
            <v>M³</v>
          </cell>
        </row>
        <row r="489">
          <cell r="C489">
            <v>0</v>
          </cell>
          <cell r="D489" t="str">
            <v>TRAVESSIA SOBRE SARJETA (TSS)</v>
          </cell>
          <cell r="E489">
            <v>0</v>
          </cell>
          <cell r="F489">
            <v>0</v>
          </cell>
        </row>
        <row r="490">
          <cell r="C490" t="str">
            <v>CCU-029</v>
          </cell>
          <cell r="D490" t="str">
            <v>TRANSPOSIÇÃO DE SEGMENTO DE SARJETA - TIPO - 2 C/TUBO 0,40M</v>
          </cell>
          <cell r="E490">
            <v>767</v>
          </cell>
          <cell r="F490" t="str">
            <v>M</v>
          </cell>
        </row>
        <row r="491">
          <cell r="C491">
            <v>0</v>
          </cell>
          <cell r="D491" t="str">
            <v>BOCA DE BUEIRO SIMPLES TUBULAR DE CONCRETO - 0,80M</v>
          </cell>
          <cell r="E491">
            <v>0</v>
          </cell>
          <cell r="F491">
            <v>0</v>
          </cell>
        </row>
        <row r="492">
          <cell r="C492">
            <v>620200</v>
          </cell>
          <cell r="D492" t="str">
            <v>BOCA DE BSTC 0,80M</v>
          </cell>
          <cell r="E492">
            <v>21</v>
          </cell>
          <cell r="F492" t="str">
            <v>UD</v>
          </cell>
        </row>
        <row r="493">
          <cell r="C493">
            <v>0</v>
          </cell>
          <cell r="D493" t="str">
            <v>BOCA DE BUEIRO SIMPLES CELULAR DE CONCRETO - 1,50M</v>
          </cell>
          <cell r="E493">
            <v>0</v>
          </cell>
          <cell r="F493">
            <v>0</v>
          </cell>
        </row>
        <row r="494">
          <cell r="C494">
            <v>705224</v>
          </cell>
          <cell r="D494" t="str">
            <v>BOCA DE BSCC 1,50 X 1,50 M - ESCONSIDADE 0° - AREIA EXTRAÍDA E BRITA PRODUZIDA</v>
          </cell>
          <cell r="E494">
            <v>8</v>
          </cell>
          <cell r="F494" t="str">
            <v>UN</v>
          </cell>
        </row>
        <row r="495">
          <cell r="C495">
            <v>0</v>
          </cell>
          <cell r="D495" t="str">
            <v>BOCA DE BUEIRO DUPLA CELULAR DE CONCRETO - 2,00M</v>
          </cell>
          <cell r="E495">
            <v>0</v>
          </cell>
          <cell r="F495">
            <v>0</v>
          </cell>
        </row>
        <row r="496">
          <cell r="C496">
            <v>705321</v>
          </cell>
          <cell r="D496" t="str">
            <v>BOCA DE BDCC 2,00 X 2,00 M - ESCONSIDADE 0° - AREIA EXTRAÍDA E BRITA PRODUZIDA</v>
          </cell>
          <cell r="E496">
            <v>2</v>
          </cell>
          <cell r="F496" t="str">
            <v>UN</v>
          </cell>
        </row>
        <row r="497">
          <cell r="C497">
            <v>0</v>
          </cell>
          <cell r="D497" t="str">
            <v>BOCA DE BUEIRO DUPLA TUBULAR DE CONCRETO - 1,50M</v>
          </cell>
          <cell r="E497">
            <v>0</v>
          </cell>
          <cell r="F497">
            <v>0</v>
          </cell>
        </row>
        <row r="498">
          <cell r="C498">
            <v>620900</v>
          </cell>
          <cell r="D498" t="str">
            <v>BOCA DE BDTC 1,50M</v>
          </cell>
          <cell r="E498">
            <v>10</v>
          </cell>
          <cell r="F498" t="str">
            <v>UD</v>
          </cell>
        </row>
        <row r="499">
          <cell r="C499">
            <v>0</v>
          </cell>
          <cell r="D499" t="str">
            <v>VALA PROJETADA - 130 METROS - VALA 01</v>
          </cell>
          <cell r="E499">
            <v>0</v>
          </cell>
          <cell r="F499">
            <v>0</v>
          </cell>
        </row>
        <row r="500">
          <cell r="C500">
            <v>600600</v>
          </cell>
          <cell r="D500" t="str">
            <v>ESCAVAÇÃO VALAS DE DRENAGEM 1A. CAT.</v>
          </cell>
          <cell r="E500">
            <v>260</v>
          </cell>
          <cell r="F500" t="str">
            <v>M3</v>
          </cell>
        </row>
        <row r="501">
          <cell r="C501">
            <v>800000</v>
          </cell>
          <cell r="D501" t="str">
            <v>ENLEIVAMENTO</v>
          </cell>
          <cell r="E501">
            <v>497.77000000000004</v>
          </cell>
          <cell r="F501" t="str">
            <v>M2</v>
          </cell>
        </row>
        <row r="502">
          <cell r="C502">
            <v>0</v>
          </cell>
          <cell r="D502" t="str">
            <v>SARJETA TRIANGULAR DE CONCRETO TIPO 01 (STC 01)</v>
          </cell>
          <cell r="E502">
            <v>0</v>
          </cell>
          <cell r="F502">
            <v>0</v>
          </cell>
        </row>
        <row r="503">
          <cell r="C503">
            <v>650000</v>
          </cell>
          <cell r="D503" t="str">
            <v>SARJETA TRIANGULAR CONCRETO - TIPO  1</v>
          </cell>
          <cell r="E503">
            <v>7157</v>
          </cell>
          <cell r="F503" t="str">
            <v>M</v>
          </cell>
        </row>
        <row r="504">
          <cell r="C504">
            <v>0</v>
          </cell>
          <cell r="D504" t="str">
            <v>SARJETA TRIANGULAR DE CONCRETO TIPO 01A (STC 01A)</v>
          </cell>
          <cell r="E504">
            <v>0</v>
          </cell>
          <cell r="F504">
            <v>0</v>
          </cell>
        </row>
        <row r="505">
          <cell r="C505" t="str">
            <v>CCU-034</v>
          </cell>
          <cell r="D505" t="str">
            <v>SARJETA TRIANGULAR CONCRETO - TIPO 1 - STC 01A</v>
          </cell>
          <cell r="E505">
            <v>7683</v>
          </cell>
          <cell r="F505" t="str">
            <v>M</v>
          </cell>
        </row>
        <row r="506">
          <cell r="C506">
            <v>0</v>
          </cell>
          <cell r="D506" t="str">
            <v>VALETA DE PROTEÇÃO DE ATERRO (VPA)</v>
          </cell>
          <cell r="E506">
            <v>0</v>
          </cell>
          <cell r="F506">
            <v>0</v>
          </cell>
        </row>
        <row r="507">
          <cell r="C507">
            <v>660500</v>
          </cell>
          <cell r="D507" t="str">
            <v>VALETA CONCRETO PROTEÇÃO ATERRO - TIPO 7A</v>
          </cell>
          <cell r="E507">
            <v>800</v>
          </cell>
          <cell r="F507" t="str">
            <v>M</v>
          </cell>
        </row>
        <row r="508">
          <cell r="C508">
            <v>0</v>
          </cell>
          <cell r="D508" t="str">
            <v>DESCIDA D'ÁGUA EM DEGRAUS (DAD)- DAD-04- 15,00M</v>
          </cell>
          <cell r="E508">
            <v>0</v>
          </cell>
          <cell r="F508">
            <v>0</v>
          </cell>
        </row>
        <row r="509">
          <cell r="C509">
            <v>600000</v>
          </cell>
          <cell r="D509" t="str">
            <v>ESCAVAÇÃO MANUAL DE VALA 1A. CAT.</v>
          </cell>
          <cell r="E509">
            <v>17.25</v>
          </cell>
          <cell r="F509" t="str">
            <v>M3</v>
          </cell>
        </row>
        <row r="510">
          <cell r="C510">
            <v>601100</v>
          </cell>
          <cell r="D510" t="str">
            <v>APILOAMENTO MANUAL</v>
          </cell>
          <cell r="E510">
            <v>3.45</v>
          </cell>
          <cell r="F510" t="str">
            <v>M3</v>
          </cell>
        </row>
        <row r="511">
          <cell r="C511">
            <v>602100</v>
          </cell>
          <cell r="D511" t="str">
            <v>FORMAS DE MADEIRA COMPENSADA  RESINADA</v>
          </cell>
          <cell r="E511">
            <v>41.1</v>
          </cell>
          <cell r="F511" t="str">
            <v>M2</v>
          </cell>
        </row>
        <row r="512">
          <cell r="C512">
            <v>603000</v>
          </cell>
          <cell r="D512" t="str">
            <v>AÇO CA-50 FORNEC. DOBR. COLOCAÇÃO</v>
          </cell>
          <cell r="E512">
            <v>219</v>
          </cell>
          <cell r="F512" t="str">
            <v>KG</v>
          </cell>
        </row>
        <row r="513">
          <cell r="C513">
            <v>605500</v>
          </cell>
          <cell r="D513" t="str">
            <v>CONCRETO FCK = 20 MPA, PREPARO EM BETONEIRA E LANÇ.</v>
          </cell>
          <cell r="E513">
            <v>6.9</v>
          </cell>
          <cell r="F513" t="str">
            <v>M3</v>
          </cell>
        </row>
        <row r="514">
          <cell r="C514">
            <v>0</v>
          </cell>
          <cell r="D514" t="str">
            <v>DESCIDA D'ÁGUA EM DEGRAUS (DAD)- DAD-02- 3,00M</v>
          </cell>
          <cell r="E514">
            <v>0</v>
          </cell>
          <cell r="F514">
            <v>0</v>
          </cell>
        </row>
        <row r="515">
          <cell r="C515">
            <v>600000</v>
          </cell>
          <cell r="D515" t="str">
            <v>ESCAVAÇÃO MANUAL DE VALA 1A. CAT.</v>
          </cell>
          <cell r="E515">
            <v>1.47</v>
          </cell>
          <cell r="F515" t="str">
            <v>M3</v>
          </cell>
        </row>
        <row r="516">
          <cell r="C516">
            <v>601100</v>
          </cell>
          <cell r="D516" t="str">
            <v>APILOAMENTO MANUAL</v>
          </cell>
          <cell r="E516">
            <v>0.69000000000000006</v>
          </cell>
          <cell r="F516" t="str">
            <v>M3</v>
          </cell>
        </row>
        <row r="517">
          <cell r="C517">
            <v>602100</v>
          </cell>
          <cell r="D517" t="str">
            <v>FORMAS DE MADEIRA COMPENSADA  RESINADA</v>
          </cell>
          <cell r="E517">
            <v>0.53400000000000003</v>
          </cell>
          <cell r="F517" t="str">
            <v>M2</v>
          </cell>
        </row>
        <row r="518">
          <cell r="C518">
            <v>603000</v>
          </cell>
          <cell r="D518" t="str">
            <v>AÇO CA-50 FORNEC. DOBR. COLOCAÇÃO</v>
          </cell>
          <cell r="E518">
            <v>18.84</v>
          </cell>
          <cell r="F518" t="str">
            <v>KG</v>
          </cell>
        </row>
        <row r="519">
          <cell r="C519">
            <v>605500</v>
          </cell>
          <cell r="D519" t="str">
            <v>CONCRETO FCK = 20 MPA, PREPARO EM BETONEIRA E LANÇ.</v>
          </cell>
          <cell r="E519">
            <v>0.59400000000000008</v>
          </cell>
          <cell r="F519" t="str">
            <v>M3</v>
          </cell>
        </row>
        <row r="520">
          <cell r="C520">
            <v>0</v>
          </cell>
          <cell r="D520" t="str">
            <v>ESCAVAÇÕES E REATERROS PARA BUEIROS TUBULARES</v>
          </cell>
          <cell r="E520">
            <v>0</v>
          </cell>
          <cell r="F520">
            <v>0</v>
          </cell>
        </row>
        <row r="521">
          <cell r="C521">
            <v>600300</v>
          </cell>
          <cell r="D521" t="str">
            <v>ESCAVAÇÃO DE BUEIROS EM 1A. CAT.</v>
          </cell>
          <cell r="E521">
            <v>1635.81</v>
          </cell>
          <cell r="F521" t="str">
            <v>M3</v>
          </cell>
        </row>
        <row r="522">
          <cell r="C522">
            <v>601200</v>
          </cell>
          <cell r="D522" t="str">
            <v>REATERRO E APILOAMENTO MECÂNICO</v>
          </cell>
          <cell r="E522">
            <v>899.24</v>
          </cell>
          <cell r="F522" t="str">
            <v>M3</v>
          </cell>
        </row>
        <row r="523">
          <cell r="C523">
            <v>0</v>
          </cell>
          <cell r="D523" t="str">
            <v>ESCAVAÇÕES E REATERROS PARA BUEIROS CELULARES</v>
          </cell>
          <cell r="E523">
            <v>0</v>
          </cell>
          <cell r="F523">
            <v>0</v>
          </cell>
        </row>
        <row r="524">
          <cell r="C524">
            <v>701100</v>
          </cell>
          <cell r="D524" t="str">
            <v>ESCAVAÇÃO 1A. CAT. P/GALERIAS CELULARES</v>
          </cell>
          <cell r="E524">
            <v>1187.46</v>
          </cell>
          <cell r="F524" t="str">
            <v>M3</v>
          </cell>
        </row>
        <row r="525">
          <cell r="C525">
            <v>705000</v>
          </cell>
          <cell r="D525" t="str">
            <v>REATERRO E APILOAMENTO MECÂNICO</v>
          </cell>
          <cell r="E525">
            <v>538.37</v>
          </cell>
          <cell r="F525" t="str">
            <v>M3</v>
          </cell>
        </row>
        <row r="526">
          <cell r="C526">
            <v>0</v>
          </cell>
          <cell r="D526" t="str">
            <v>REMOÇÕES</v>
          </cell>
          <cell r="E526">
            <v>0</v>
          </cell>
          <cell r="F526">
            <v>0</v>
          </cell>
        </row>
        <row r="527">
          <cell r="C527">
            <v>630300</v>
          </cell>
          <cell r="D527" t="str">
            <v>REMOÇÃO DE BUEIRO 0,30M</v>
          </cell>
          <cell r="E527">
            <v>36</v>
          </cell>
          <cell r="F527" t="str">
            <v>M</v>
          </cell>
        </row>
        <row r="528">
          <cell r="C528">
            <v>630400</v>
          </cell>
          <cell r="D528" t="str">
            <v>REMOÇÃO DE BUEIRO 0,40M</v>
          </cell>
          <cell r="E528">
            <v>39</v>
          </cell>
          <cell r="F528" t="str">
            <v>M</v>
          </cell>
        </row>
        <row r="529">
          <cell r="C529">
            <v>630600</v>
          </cell>
          <cell r="D529" t="str">
            <v>REMOÇÃO DE BUEIRO 0,60M</v>
          </cell>
          <cell r="E529">
            <v>42.5</v>
          </cell>
          <cell r="F529" t="str">
            <v>M</v>
          </cell>
        </row>
        <row r="530">
          <cell r="C530">
            <v>630800</v>
          </cell>
          <cell r="D530" t="str">
            <v>REMOÇÃO DE BUEIRO 0,80M</v>
          </cell>
          <cell r="E530">
            <v>13</v>
          </cell>
          <cell r="F530" t="str">
            <v>M</v>
          </cell>
        </row>
        <row r="531">
          <cell r="C531">
            <v>631000</v>
          </cell>
          <cell r="D531" t="str">
            <v>REMOÇÃO DE BUEIRO 1,00M</v>
          </cell>
          <cell r="E531">
            <v>8</v>
          </cell>
          <cell r="F531" t="str">
            <v>M</v>
          </cell>
        </row>
        <row r="532">
          <cell r="C532">
            <v>610200</v>
          </cell>
          <cell r="D532" t="str">
            <v>LIMPEZA MANUAL DE VALETA</v>
          </cell>
          <cell r="E532">
            <v>20</v>
          </cell>
          <cell r="F532" t="str">
            <v>M</v>
          </cell>
        </row>
        <row r="533">
          <cell r="C533">
            <v>0</v>
          </cell>
          <cell r="D533" t="str">
            <v>COMPONENTE AMBIENTAL</v>
          </cell>
          <cell r="E533">
            <v>0</v>
          </cell>
          <cell r="F533">
            <v>0</v>
          </cell>
        </row>
        <row r="534">
          <cell r="C534" t="str">
            <v>CCU-055</v>
          </cell>
          <cell r="D534" t="str">
            <v>BARREIRA DE SILTAGEM</v>
          </cell>
          <cell r="E534">
            <v>3346.17</v>
          </cell>
          <cell r="F534" t="str">
            <v>M</v>
          </cell>
        </row>
        <row r="535">
          <cell r="C535">
            <v>0</v>
          </cell>
          <cell r="D535" t="str">
            <v>OBRAS DE ARTES CORRENTES</v>
          </cell>
          <cell r="E535">
            <v>0</v>
          </cell>
          <cell r="F535" t="str">
            <v/>
          </cell>
        </row>
        <row r="536">
          <cell r="C536">
            <v>0</v>
          </cell>
          <cell r="D536" t="str">
            <v>TRECHO 1</v>
          </cell>
          <cell r="E536">
            <v>0</v>
          </cell>
          <cell r="F536" t="str">
            <v/>
          </cell>
        </row>
        <row r="537">
          <cell r="C537">
            <v>0</v>
          </cell>
          <cell r="D537" t="str">
            <v>CORPO DE BUEIRO SIMPLES TUBULAR DE CONCRETO</v>
          </cell>
          <cell r="E537">
            <v>0</v>
          </cell>
          <cell r="F537">
            <v>0</v>
          </cell>
        </row>
        <row r="538">
          <cell r="C538">
            <v>610700</v>
          </cell>
          <cell r="D538" t="str">
            <v>CORPO DE BSTC 0,60M COM BERÇO</v>
          </cell>
          <cell r="E538">
            <v>43</v>
          </cell>
          <cell r="F538" t="str">
            <v>M</v>
          </cell>
        </row>
        <row r="539">
          <cell r="C539">
            <v>610600</v>
          </cell>
          <cell r="D539" t="str">
            <v>CORPO DE BSTC 0,60M SEM BERÇO</v>
          </cell>
          <cell r="E539">
            <v>474</v>
          </cell>
          <cell r="F539" t="str">
            <v>M</v>
          </cell>
        </row>
        <row r="540">
          <cell r="C540">
            <v>610900</v>
          </cell>
          <cell r="D540" t="str">
            <v>CORPO DE BSTC 0,80M COM BERÇO</v>
          </cell>
          <cell r="E540">
            <v>84</v>
          </cell>
          <cell r="F540" t="str">
            <v>M</v>
          </cell>
        </row>
        <row r="541">
          <cell r="C541">
            <v>611500</v>
          </cell>
          <cell r="D541" t="str">
            <v>CORPO DE BSTC 1,50M COM BERÇO</v>
          </cell>
          <cell r="E541">
            <v>15</v>
          </cell>
          <cell r="F541" t="str">
            <v>M</v>
          </cell>
        </row>
        <row r="542">
          <cell r="C542">
            <v>0</v>
          </cell>
          <cell r="D542" t="str">
            <v>CORPO DE BUEIRO SIMPLES CELULAR DE CONCRETO</v>
          </cell>
          <cell r="E542">
            <v>0</v>
          </cell>
          <cell r="F542">
            <v>0</v>
          </cell>
        </row>
        <row r="543">
          <cell r="C543">
            <v>6817833</v>
          </cell>
          <cell r="D543" t="str">
            <v>CORPO DE BSCC - SEÇÃO FECHADA DE 1,5 X 1,5 M - PRÉ-MOLDADO - ALTURA DO ATERRO DE 2,50 A 5,00 M - AREIA E BRITA COMERCIAIS</v>
          </cell>
          <cell r="E543">
            <v>26</v>
          </cell>
          <cell r="F543" t="str">
            <v>M</v>
          </cell>
        </row>
        <row r="544">
          <cell r="C544">
            <v>6817857</v>
          </cell>
          <cell r="D544" t="str">
            <v>CORPO DE BSCC - SEÇÃO FECHADA DE 2,5 X 2,5 M - PRÉ-MOLDADO - ALTURA DO ATERRO DE 0,25 A 1,00 M - AREIA E BRITA COMERCIAIS</v>
          </cell>
          <cell r="E544">
            <v>15</v>
          </cell>
          <cell r="F544" t="str">
            <v>M</v>
          </cell>
        </row>
        <row r="545">
          <cell r="C545">
            <v>0</v>
          </cell>
          <cell r="D545" t="str">
            <v>CORPO DE BUEIRO DUPLO CELULAR DE CONCRETO</v>
          </cell>
          <cell r="E545">
            <v>0</v>
          </cell>
          <cell r="F545">
            <v>0</v>
          </cell>
        </row>
        <row r="546">
          <cell r="C546">
            <v>6817857</v>
          </cell>
          <cell r="D546" t="str">
            <v>CORPO DE BSCC - SEÇÃO FECHADA DE 2,5 X 2,5 M - PRÉ-MOLDADO - ALTURA DO ATERRO DE 0,25 A 1,00 M - AREIA E BRITA COMERCIAIS</v>
          </cell>
          <cell r="E546">
            <v>30</v>
          </cell>
          <cell r="F546" t="str">
            <v>M</v>
          </cell>
        </row>
        <row r="547">
          <cell r="C547">
            <v>0</v>
          </cell>
          <cell r="D547" t="str">
            <v>ASSENTAMENTO DE CORPO DE BUEIRO SIMPLES TUBULAR DE CONCRETO, SEM BERÇO E SEM ENVELOPAMENTO - 0,60M - 450,00M</v>
          </cell>
          <cell r="E547">
            <v>0</v>
          </cell>
          <cell r="F547">
            <v>0</v>
          </cell>
        </row>
        <row r="548">
          <cell r="C548">
            <v>603900</v>
          </cell>
          <cell r="D548" t="str">
            <v>LASTRO DE BRITA</v>
          </cell>
          <cell r="E548">
            <v>81</v>
          </cell>
          <cell r="F548" t="str">
            <v>M3</v>
          </cell>
        </row>
        <row r="549">
          <cell r="C549">
            <v>0</v>
          </cell>
          <cell r="D549" t="str">
            <v>ASSENTAMENTO DE CORPO DE BUEIRO SIMPLES TUBULAR DE CONCRETO, SEM BERÇO E COM ENVELOPAMENTO - 0,60M - 24,00M</v>
          </cell>
          <cell r="E549">
            <v>0</v>
          </cell>
          <cell r="F549">
            <v>0</v>
          </cell>
        </row>
        <row r="550">
          <cell r="C550">
            <v>605500</v>
          </cell>
          <cell r="D550" t="str">
            <v>CONCRETO FCK = 20 MPA, PREPARO EM BETONEIRA E LANÇ.</v>
          </cell>
          <cell r="E550">
            <v>7.3919999999999995</v>
          </cell>
          <cell r="F550" t="str">
            <v>M3</v>
          </cell>
        </row>
        <row r="551">
          <cell r="C551">
            <v>603900</v>
          </cell>
          <cell r="D551" t="str">
            <v>LASTRO DE BRITA</v>
          </cell>
          <cell r="E551">
            <v>7.7279999999999998</v>
          </cell>
          <cell r="F551" t="str">
            <v>M3</v>
          </cell>
        </row>
        <row r="552">
          <cell r="C552">
            <v>0</v>
          </cell>
          <cell r="D552" t="str">
            <v>ASSENTAMENTO DE CORPO DE BUEIRO SIMPLES CELULAR DE CONCRETO, COM LASTRO DE RACHÃO - 1,50X1,50M - 26,00M</v>
          </cell>
          <cell r="E552">
            <v>0</v>
          </cell>
          <cell r="F552">
            <v>0</v>
          </cell>
        </row>
        <row r="553">
          <cell r="C553">
            <v>516100</v>
          </cell>
          <cell r="D553" t="str">
            <v>PREENCHIMENTO REBAIXO C/ RACHÃO</v>
          </cell>
          <cell r="E553">
            <v>78</v>
          </cell>
          <cell r="F553" t="str">
            <v>M3</v>
          </cell>
        </row>
        <row r="554">
          <cell r="C554">
            <v>0</v>
          </cell>
          <cell r="D554" t="str">
            <v>ASSENTAMENTO DE CORPO DE BUEIRO SIMPLES CELULAR DE CONCRETO, COM LASTRO DE RACHÃO - 2,50X2,50M - 15,00M</v>
          </cell>
          <cell r="E554">
            <v>0</v>
          </cell>
          <cell r="F554">
            <v>0</v>
          </cell>
        </row>
        <row r="555">
          <cell r="C555">
            <v>516100</v>
          </cell>
          <cell r="D555" t="str">
            <v>PREENCHIMENTO REBAIXO C/ RACHÃO</v>
          </cell>
          <cell r="E555">
            <v>75</v>
          </cell>
          <cell r="F555" t="str">
            <v>M3</v>
          </cell>
        </row>
        <row r="556">
          <cell r="C556">
            <v>0</v>
          </cell>
          <cell r="D556" t="str">
            <v>ASSENTAMENTO DE CORPO DE BUEIRO DUPLO CELULAR DE CONCRETO, COM LASTRO DE RACHÃO - 2,50X2,50M - 15,00M</v>
          </cell>
          <cell r="E556">
            <v>0</v>
          </cell>
          <cell r="F556">
            <v>0</v>
          </cell>
        </row>
        <row r="557">
          <cell r="C557">
            <v>516100</v>
          </cell>
          <cell r="D557" t="str">
            <v>PREENCHIMENTO REBAIXO C/ RACHÃO</v>
          </cell>
          <cell r="E557">
            <v>112.5</v>
          </cell>
          <cell r="F557" t="str">
            <v>M3</v>
          </cell>
        </row>
        <row r="558">
          <cell r="C558">
            <v>0</v>
          </cell>
          <cell r="D558" t="str">
            <v>LASTRO DE BRITA PARA ASSENTAMENTO DE BUEIROS COM BERÇO</v>
          </cell>
          <cell r="E558">
            <v>0</v>
          </cell>
          <cell r="F558">
            <v>0</v>
          </cell>
        </row>
        <row r="559">
          <cell r="C559">
            <v>603900</v>
          </cell>
          <cell r="D559" t="str">
            <v>LASTRO DE BRITA</v>
          </cell>
          <cell r="E559">
            <v>21.584999999999997</v>
          </cell>
          <cell r="F559" t="str">
            <v>M3</v>
          </cell>
        </row>
        <row r="560">
          <cell r="C560">
            <v>0</v>
          </cell>
          <cell r="D560" t="str">
            <v>TRECHO 2</v>
          </cell>
          <cell r="E560">
            <v>0</v>
          </cell>
          <cell r="F560" t="str">
            <v/>
          </cell>
        </row>
        <row r="561">
          <cell r="C561">
            <v>0</v>
          </cell>
          <cell r="D561" t="str">
            <v>CORPO DE BUEIRO SIMPLES TUBULAR DE CONCRETO</v>
          </cell>
          <cell r="E561">
            <v>0</v>
          </cell>
          <cell r="F561">
            <v>0</v>
          </cell>
        </row>
        <row r="562">
          <cell r="C562">
            <v>610700</v>
          </cell>
          <cell r="D562" t="str">
            <v>CORPO DE BSTC 0,60M COM BERÇO</v>
          </cell>
          <cell r="E562">
            <v>26</v>
          </cell>
          <cell r="F562" t="str">
            <v>M</v>
          </cell>
        </row>
        <row r="563">
          <cell r="C563">
            <v>610600</v>
          </cell>
          <cell r="D563" t="str">
            <v>CORPO DE BSTC 0,60M SEM BERÇO</v>
          </cell>
          <cell r="E563">
            <v>158</v>
          </cell>
          <cell r="F563" t="str">
            <v>M</v>
          </cell>
        </row>
        <row r="564">
          <cell r="C564">
            <v>610900</v>
          </cell>
          <cell r="D564" t="str">
            <v>CORPO DE BSTC 0,80M COM BERÇO</v>
          </cell>
          <cell r="E564">
            <v>43</v>
          </cell>
          <cell r="F564" t="str">
            <v>M</v>
          </cell>
        </row>
        <row r="565">
          <cell r="C565">
            <v>0</v>
          </cell>
          <cell r="D565" t="str">
            <v>ASSENTAMENTO DE CORPO DE BUEIRO SIMPLES TUBULAR DE CONCRETO, SEM BERÇO E SEM ENVELOPAMENTO - 0,60M - 158,00M</v>
          </cell>
          <cell r="E565">
            <v>0</v>
          </cell>
          <cell r="F565">
            <v>0</v>
          </cell>
        </row>
        <row r="566">
          <cell r="C566">
            <v>603900</v>
          </cell>
          <cell r="D566" t="str">
            <v>LASTRO DE BRITA</v>
          </cell>
          <cell r="E566">
            <v>28.439999999999998</v>
          </cell>
          <cell r="F566" t="str">
            <v>M3</v>
          </cell>
        </row>
        <row r="567">
          <cell r="C567">
            <v>0</v>
          </cell>
          <cell r="D567" t="str">
            <v>LASTRO DE BRITA PARA ASSENTAMENTO DE BUEIROS COM BERÇO</v>
          </cell>
          <cell r="E567">
            <v>0</v>
          </cell>
          <cell r="F567">
            <v>0</v>
          </cell>
        </row>
        <row r="568">
          <cell r="C568">
            <v>603900</v>
          </cell>
          <cell r="D568" t="str">
            <v>LASTRO DE BRITA</v>
          </cell>
          <cell r="E568">
            <v>9.57</v>
          </cell>
          <cell r="F568" t="str">
            <v>M3</v>
          </cell>
        </row>
        <row r="569">
          <cell r="C569">
            <v>0</v>
          </cell>
          <cell r="D569" t="str">
            <v>TRECHO 3</v>
          </cell>
          <cell r="E569">
            <v>0</v>
          </cell>
          <cell r="F569" t="str">
            <v/>
          </cell>
        </row>
        <row r="570">
          <cell r="C570">
            <v>0</v>
          </cell>
          <cell r="D570" t="str">
            <v>CORPO DE BUEIRO SIMPLES TUBULAR DE CONCRETO</v>
          </cell>
          <cell r="E570">
            <v>0</v>
          </cell>
          <cell r="F570">
            <v>0</v>
          </cell>
        </row>
        <row r="571">
          <cell r="C571">
            <v>610700</v>
          </cell>
          <cell r="D571" t="str">
            <v>CORPO DE BSTC 0,60M COM BERÇO</v>
          </cell>
          <cell r="E571">
            <v>26</v>
          </cell>
          <cell r="F571" t="str">
            <v>M</v>
          </cell>
        </row>
        <row r="572">
          <cell r="C572">
            <v>610600</v>
          </cell>
          <cell r="D572" t="str">
            <v>CORPO DE BSTC 0,60M SEM BERÇO</v>
          </cell>
          <cell r="E572">
            <v>104</v>
          </cell>
          <cell r="F572" t="str">
            <v>M</v>
          </cell>
        </row>
        <row r="573">
          <cell r="C573">
            <v>610900</v>
          </cell>
          <cell r="D573" t="str">
            <v>CORPO DE BSTC 0,80M COM BERÇO</v>
          </cell>
          <cell r="E573">
            <v>206</v>
          </cell>
          <cell r="F573" t="str">
            <v>M</v>
          </cell>
        </row>
        <row r="574">
          <cell r="C574">
            <v>610800</v>
          </cell>
          <cell r="D574" t="str">
            <v>CORPO DE BSTC 0,80M SEM BERÇO</v>
          </cell>
          <cell r="E574">
            <v>438</v>
          </cell>
          <cell r="F574" t="str">
            <v>M</v>
          </cell>
        </row>
        <row r="575">
          <cell r="C575">
            <v>0</v>
          </cell>
          <cell r="D575" t="str">
            <v>CORPO DE BUEIRO SIMPLES CELULAR DE CONCRETO</v>
          </cell>
          <cell r="E575">
            <v>0</v>
          </cell>
          <cell r="F575">
            <v>0</v>
          </cell>
        </row>
        <row r="576">
          <cell r="C576">
            <v>6817833</v>
          </cell>
          <cell r="D576" t="str">
            <v>CORPO DE BSCC - SEÇÃO FECHADA DE 1,5 X 1,5 M - PRÉ-MOLDADO - ALTURA DO ATERRO DE 2,50 A 5,00 M - AREIA E BRITA COMERCIAIS</v>
          </cell>
          <cell r="E576">
            <v>61</v>
          </cell>
          <cell r="F576" t="str">
            <v>M</v>
          </cell>
        </row>
        <row r="577">
          <cell r="C577">
            <v>6817845</v>
          </cell>
          <cell r="D577" t="str">
            <v>CORPO DE BSCC - SEÇÃO FECHADA DE 2,0 X 2,0 M - PRÉ-MOLDADO - ALTURA DO ATERRO DE 1,00 A 2,50 M - AREIA E BRITA COMERCIAIS</v>
          </cell>
          <cell r="E577">
            <v>33</v>
          </cell>
          <cell r="F577" t="str">
            <v>M</v>
          </cell>
        </row>
        <row r="578">
          <cell r="C578">
            <v>0</v>
          </cell>
          <cell r="D578" t="str">
            <v>ASSENTAMENTO DE CORPO DE BUEIRO SIMPLES TUBULAR DE CONCRETO, SEM BERÇO E SEM ENVELOPAMENTO - 0,60M - 104,00M</v>
          </cell>
          <cell r="E578">
            <v>0</v>
          </cell>
          <cell r="F578">
            <v>0</v>
          </cell>
        </row>
        <row r="579">
          <cell r="C579">
            <v>603900</v>
          </cell>
          <cell r="D579" t="str">
            <v>LASTRO DE BRITA</v>
          </cell>
          <cell r="E579">
            <v>18.72</v>
          </cell>
          <cell r="F579" t="str">
            <v>M3</v>
          </cell>
        </row>
        <row r="580">
          <cell r="C580">
            <v>0</v>
          </cell>
          <cell r="D580" t="str">
            <v>ASSENTAMENTO DE CORPO DE BUEIRO SIMPLES TUBULAR DE CONCRETO, SEM BERÇO E SEM ENVELOPAMENTO - 0,80M - 438,00M</v>
          </cell>
          <cell r="E580">
            <v>0</v>
          </cell>
          <cell r="F580">
            <v>0</v>
          </cell>
        </row>
        <row r="581">
          <cell r="C581">
            <v>603900</v>
          </cell>
          <cell r="D581" t="str">
            <v>LASTRO DE BRITA</v>
          </cell>
          <cell r="E581">
            <v>105.11999999999999</v>
          </cell>
          <cell r="F581" t="str">
            <v>M3</v>
          </cell>
        </row>
        <row r="582">
          <cell r="C582">
            <v>0</v>
          </cell>
          <cell r="D582" t="str">
            <v>ASSENTAMENTO DE CORPO DE BUEIRO SIMPLES CELULAR DE CONCRETO, COM LASTRO DE RACHÃO - 1,50X1,50M - 61,00M</v>
          </cell>
          <cell r="E582">
            <v>0</v>
          </cell>
          <cell r="F582">
            <v>0</v>
          </cell>
        </row>
        <row r="583">
          <cell r="C583">
            <v>516100</v>
          </cell>
          <cell r="D583" t="str">
            <v>PREENCHIMENTO REBAIXO C/ RACHÃO</v>
          </cell>
          <cell r="E583">
            <v>183</v>
          </cell>
          <cell r="F583" t="str">
            <v>M3</v>
          </cell>
        </row>
        <row r="584">
          <cell r="C584">
            <v>0</v>
          </cell>
          <cell r="D584" t="str">
            <v>ASSENTAMENTO DE CORPO DE BUEIRO SIMPLES CELULAR DE CONCRETO, COM LASTRO DE RACHÃO - 2,00X2,00M - 33,00M</v>
          </cell>
          <cell r="E584">
            <v>0</v>
          </cell>
          <cell r="F584">
            <v>0</v>
          </cell>
        </row>
        <row r="585">
          <cell r="C585">
            <v>516100</v>
          </cell>
          <cell r="D585" t="str">
            <v>PREENCHIMENTO REBAIXO C/ RACHÃO</v>
          </cell>
          <cell r="E585">
            <v>132</v>
          </cell>
          <cell r="F585" t="str">
            <v>M3</v>
          </cell>
        </row>
        <row r="586">
          <cell r="C586">
            <v>0</v>
          </cell>
          <cell r="D586" t="str">
            <v>LASTRO DE BRITA PARA ASSENTAMENTO DE BUEIROS COM BERÇO</v>
          </cell>
          <cell r="E586">
            <v>0</v>
          </cell>
          <cell r="F586">
            <v>0</v>
          </cell>
        </row>
        <row r="587">
          <cell r="C587">
            <v>603900</v>
          </cell>
          <cell r="D587" t="str">
            <v>LASTRO DE BRITA</v>
          </cell>
          <cell r="E587">
            <v>34.019999999999996</v>
          </cell>
          <cell r="F587" t="str">
            <v>M3</v>
          </cell>
        </row>
        <row r="588">
          <cell r="C588">
            <v>0</v>
          </cell>
          <cell r="D588" t="str">
            <v>TRECHO 4</v>
          </cell>
          <cell r="E588">
            <v>0</v>
          </cell>
          <cell r="F588" t="str">
            <v/>
          </cell>
        </row>
        <row r="589">
          <cell r="C589">
            <v>0</v>
          </cell>
          <cell r="D589" t="str">
            <v>CORPO DE BUEIRO SIMPLES TUBULAR DE CONCRETO</v>
          </cell>
          <cell r="E589">
            <v>0</v>
          </cell>
          <cell r="F589">
            <v>0</v>
          </cell>
        </row>
        <row r="590">
          <cell r="C590">
            <v>610700</v>
          </cell>
          <cell r="D590" t="str">
            <v>CORPO DE BSTC 0,60M COM BERÇO</v>
          </cell>
          <cell r="E590">
            <v>11</v>
          </cell>
          <cell r="F590" t="str">
            <v>M</v>
          </cell>
        </row>
        <row r="591">
          <cell r="C591">
            <v>610900</v>
          </cell>
          <cell r="D591" t="str">
            <v>CORPO DE BSTC 0,80M COM BERÇO</v>
          </cell>
          <cell r="E591">
            <v>26</v>
          </cell>
          <cell r="F591" t="str">
            <v>M</v>
          </cell>
        </row>
        <row r="592">
          <cell r="C592">
            <v>610800</v>
          </cell>
          <cell r="D592" t="str">
            <v>CORPO DE BSTC 0,80M SEM BERÇO</v>
          </cell>
          <cell r="E592">
            <v>36</v>
          </cell>
          <cell r="F592" t="str">
            <v>M</v>
          </cell>
        </row>
        <row r="593">
          <cell r="C593">
            <v>0</v>
          </cell>
          <cell r="D593" t="str">
            <v>CORPO DE BUEIRO DUPLO TUBULAR DE CONCRETO</v>
          </cell>
          <cell r="E593">
            <v>0</v>
          </cell>
          <cell r="F593">
            <v>0</v>
          </cell>
        </row>
        <row r="594">
          <cell r="C594">
            <v>804205</v>
          </cell>
          <cell r="D594" t="str">
            <v>CORPO DE BDTC D = 1,50 M PA1 - AREIA, BRITA E PEDRA DE MÃO COMERCIAIS</v>
          </cell>
          <cell r="E594">
            <v>14</v>
          </cell>
          <cell r="F594" t="str">
            <v>M</v>
          </cell>
        </row>
        <row r="595">
          <cell r="C595">
            <v>0</v>
          </cell>
          <cell r="D595" t="str">
            <v>CORPO DE BUEIRO TRIPLO TUBULAR DE CONCRETO</v>
          </cell>
          <cell r="E595">
            <v>0</v>
          </cell>
          <cell r="F595">
            <v>0</v>
          </cell>
        </row>
        <row r="596">
          <cell r="C596">
            <v>804309</v>
          </cell>
          <cell r="D596" t="str">
            <v>CORPO DE BTTC D = 1,50 M PA1 - AREIA, BRITA E PEDRA DE MÃO COMERCIAIS</v>
          </cell>
          <cell r="E596">
            <v>16</v>
          </cell>
          <cell r="F596" t="str">
            <v>M</v>
          </cell>
        </row>
        <row r="597">
          <cell r="C597">
            <v>0</v>
          </cell>
          <cell r="D597" t="str">
            <v>ASSENTAMENTO DE CORPO DE BUEIRO SIMPLES TUBULAR DE CONCRETO, SEM BERÇO E SEM ENVELOPAMENTO - 0,80M - 36,00M</v>
          </cell>
          <cell r="E597">
            <v>0</v>
          </cell>
          <cell r="F597">
            <v>0</v>
          </cell>
        </row>
        <row r="598">
          <cell r="C598">
            <v>603900</v>
          </cell>
          <cell r="D598" t="str">
            <v>LASTRO DE BRITA</v>
          </cell>
          <cell r="E598">
            <v>157.68</v>
          </cell>
          <cell r="F598" t="str">
            <v>M3</v>
          </cell>
        </row>
        <row r="599">
          <cell r="C599">
            <v>0</v>
          </cell>
          <cell r="D599" t="str">
            <v>LASTRO DE BRITA PARA ASSENTAMENTO DE BUEIROS COM BERÇO</v>
          </cell>
          <cell r="E599">
            <v>0</v>
          </cell>
          <cell r="F599">
            <v>0</v>
          </cell>
        </row>
        <row r="600">
          <cell r="C600">
            <v>603900</v>
          </cell>
          <cell r="D600" t="str">
            <v>LASTRO DE BRITA</v>
          </cell>
          <cell r="E600">
            <v>5.22</v>
          </cell>
          <cell r="F600" t="str">
            <v>M3</v>
          </cell>
        </row>
        <row r="601">
          <cell r="C601">
            <v>0</v>
          </cell>
          <cell r="D601" t="str">
            <v>TRECHO 5</v>
          </cell>
          <cell r="E601">
            <v>0</v>
          </cell>
          <cell r="F601" t="str">
            <v/>
          </cell>
        </row>
        <row r="602">
          <cell r="C602">
            <v>0</v>
          </cell>
          <cell r="D602" t="str">
            <v>CORPO DE BUEIRO SIMPLES TUBULAR DE CONCRETO</v>
          </cell>
          <cell r="E602">
            <v>0</v>
          </cell>
          <cell r="F602">
            <v>0</v>
          </cell>
        </row>
        <row r="603">
          <cell r="C603">
            <v>610600</v>
          </cell>
          <cell r="D603" t="str">
            <v>CORPO DE BSTC 0,60M SEM BERÇO</v>
          </cell>
          <cell r="E603">
            <v>26</v>
          </cell>
          <cell r="F603" t="str">
            <v>M</v>
          </cell>
        </row>
        <row r="604">
          <cell r="C604">
            <v>610900</v>
          </cell>
          <cell r="D604" t="str">
            <v>CORPO DE BSTC 0,80M COM BERÇO</v>
          </cell>
          <cell r="E604">
            <v>248</v>
          </cell>
          <cell r="F604" t="str">
            <v>M</v>
          </cell>
        </row>
        <row r="605">
          <cell r="C605">
            <v>610800</v>
          </cell>
          <cell r="D605" t="str">
            <v>CORPO DE BSTC 0,80M SEM BERÇO</v>
          </cell>
          <cell r="E605">
            <v>99</v>
          </cell>
          <cell r="F605" t="str">
            <v>M</v>
          </cell>
        </row>
        <row r="606">
          <cell r="C606">
            <v>0</v>
          </cell>
          <cell r="D606" t="str">
            <v>CORPO DE BUEIRO SIMPLES CELULAR DE CONCRETO</v>
          </cell>
          <cell r="E606">
            <v>0</v>
          </cell>
          <cell r="F606">
            <v>0</v>
          </cell>
        </row>
        <row r="607">
          <cell r="C607">
            <v>6817833</v>
          </cell>
          <cell r="D607" t="str">
            <v>CORPO DE BSCC - SEÇÃO FECHADA DE 1,5 X 1,5 M - PRÉ-MOLDADO - ALTURA DO ATERRO DE 2,50 A 5,00 M - AREIA E BRITA COMERCIAIS</v>
          </cell>
          <cell r="E607">
            <v>63</v>
          </cell>
          <cell r="F607" t="str">
            <v>M</v>
          </cell>
        </row>
        <row r="608">
          <cell r="C608">
            <v>0</v>
          </cell>
          <cell r="D608" t="str">
            <v>CORPO DE BUEIRO DUPLO TUBULAR DE CONCRETO</v>
          </cell>
          <cell r="E608">
            <v>0</v>
          </cell>
          <cell r="F608">
            <v>0</v>
          </cell>
        </row>
        <row r="609">
          <cell r="C609">
            <v>804205</v>
          </cell>
          <cell r="D609" t="str">
            <v>CORPO DE BDTC D = 1,50 M PA1 - AREIA, BRITA E PEDRA DE MÃO COMERCIAIS</v>
          </cell>
          <cell r="E609">
            <v>86</v>
          </cell>
          <cell r="F609" t="str">
            <v>M</v>
          </cell>
        </row>
        <row r="610">
          <cell r="C610">
            <v>0</v>
          </cell>
          <cell r="D610" t="str">
            <v>CORPO DE BUEIRO DUPLO CELULAR DE CONCRETO</v>
          </cell>
          <cell r="E610">
            <v>0</v>
          </cell>
          <cell r="F610">
            <v>0</v>
          </cell>
        </row>
        <row r="611">
          <cell r="C611">
            <v>6817845</v>
          </cell>
          <cell r="D611" t="str">
            <v>CORPO DE BSCC - SEÇÃO FECHADA DE 2,0 X 2,0 M - PRÉ-MOLDADO - ALTURA DO ATERRO DE 1,00 A 2,50 M - AREIA E BRITA COMERCIAIS</v>
          </cell>
          <cell r="E611">
            <v>32</v>
          </cell>
          <cell r="F611" t="str">
            <v>M</v>
          </cell>
        </row>
        <row r="612">
          <cell r="C612">
            <v>0</v>
          </cell>
          <cell r="D612" t="str">
            <v>ASSENTAMENTO DE CORPO DE BUEIRO SIMPLES TUBULAR DE CONCRETO, SEM BERÇO E SEM ENVELOPAMENTO - 0,60M - 26,00M</v>
          </cell>
          <cell r="E612">
            <v>0</v>
          </cell>
          <cell r="F612">
            <v>0</v>
          </cell>
        </row>
        <row r="613">
          <cell r="C613">
            <v>603900</v>
          </cell>
          <cell r="D613" t="str">
            <v>LASTRO DE BRITA</v>
          </cell>
          <cell r="E613">
            <v>4.68</v>
          </cell>
          <cell r="F613" t="str">
            <v>M3</v>
          </cell>
        </row>
        <row r="614">
          <cell r="C614">
            <v>0</v>
          </cell>
          <cell r="D614" t="str">
            <v>ASSENTAMENTO DE CORPO DE BUEIRO SIMPLES TUBULAR DE CONCRETO, SEM BERÇO E SEM ENVELOPAMENTO - 0,80M - 99,00M</v>
          </cell>
          <cell r="E614">
            <v>0</v>
          </cell>
          <cell r="F614">
            <v>0</v>
          </cell>
        </row>
        <row r="615">
          <cell r="C615">
            <v>603900</v>
          </cell>
          <cell r="D615" t="str">
            <v>LASTRO DE BRITA</v>
          </cell>
          <cell r="E615">
            <v>433.62</v>
          </cell>
          <cell r="F615" t="str">
            <v>M3</v>
          </cell>
        </row>
        <row r="616">
          <cell r="C616">
            <v>0</v>
          </cell>
          <cell r="D616" t="str">
            <v>ASSENTAMENTO DE CORPO DE BUEIRO SIMPLES CELULAR DE CONCRETO, COM LASTRO DE RACHÃO - 1,50X1,50M - 63,00M</v>
          </cell>
          <cell r="E616">
            <v>0</v>
          </cell>
          <cell r="F616">
            <v>0</v>
          </cell>
        </row>
        <row r="617">
          <cell r="C617">
            <v>516100</v>
          </cell>
          <cell r="D617" t="str">
            <v>PREENCHIMENTO REBAIXO C/ RACHÃO</v>
          </cell>
          <cell r="E617">
            <v>189</v>
          </cell>
          <cell r="F617" t="str">
            <v>M3</v>
          </cell>
        </row>
        <row r="618">
          <cell r="C618">
            <v>0</v>
          </cell>
          <cell r="D618" t="str">
            <v>ASSENTAMENTO DE CORPO DE BUEIRO DUPLO CELULAR DE CONCRETO, COM LASTRO DE RACHÃO - 2,00X2,00M - 16,00M</v>
          </cell>
          <cell r="E618">
            <v>0</v>
          </cell>
          <cell r="F618">
            <v>0</v>
          </cell>
        </row>
        <row r="619">
          <cell r="C619">
            <v>516100</v>
          </cell>
          <cell r="D619" t="str">
            <v>PREENCHIMENTO REBAIXO C/ RACHÃO</v>
          </cell>
          <cell r="E619">
            <v>100.8</v>
          </cell>
          <cell r="F619" t="str">
            <v>M3</v>
          </cell>
        </row>
        <row r="620">
          <cell r="C620">
            <v>0</v>
          </cell>
          <cell r="D620" t="str">
            <v>LASTRO DE BRITA PARA ASSENTAMENTO DE BUEIROS COM BERÇO</v>
          </cell>
          <cell r="E620">
            <v>0</v>
          </cell>
          <cell r="F620">
            <v>0</v>
          </cell>
        </row>
        <row r="621">
          <cell r="C621">
            <v>603900</v>
          </cell>
          <cell r="D621" t="str">
            <v>LASTRO DE BRITA</v>
          </cell>
          <cell r="E621">
            <v>37.199999999999996</v>
          </cell>
          <cell r="F621" t="str">
            <v>M3</v>
          </cell>
        </row>
        <row r="622">
          <cell r="C622">
            <v>0</v>
          </cell>
          <cell r="D622" t="str">
            <v xml:space="preserve">PAVIMENTAÇÃO </v>
          </cell>
          <cell r="E622">
            <v>0</v>
          </cell>
          <cell r="F622" t="str">
            <v/>
          </cell>
        </row>
        <row r="623">
          <cell r="C623">
            <v>0</v>
          </cell>
          <cell r="D623" t="str">
            <v>TRECHO 1</v>
          </cell>
          <cell r="E623">
            <v>0</v>
          </cell>
          <cell r="F623" t="str">
            <v/>
          </cell>
        </row>
        <row r="624">
          <cell r="C624">
            <v>0</v>
          </cell>
          <cell r="D624" t="str">
            <v>PAVIMENTO RÍGIDO</v>
          </cell>
          <cell r="E624">
            <v>0</v>
          </cell>
          <cell r="F624" t="str">
            <v/>
          </cell>
        </row>
        <row r="625">
          <cell r="C625">
            <v>1600441</v>
          </cell>
          <cell r="D625" t="str">
            <v>REMOÇÃO DE PARALELEPÍPEDOS</v>
          </cell>
          <cell r="E625">
            <v>2471.1</v>
          </cell>
          <cell r="F625" t="str">
            <v>M²</v>
          </cell>
        </row>
        <row r="626">
          <cell r="C626">
            <v>511200</v>
          </cell>
          <cell r="D626" t="str">
            <v>REGULARIZAÇÃO COMPAC.SUBLEITO 100% PN (B)</v>
          </cell>
          <cell r="E626">
            <v>46292.27</v>
          </cell>
          <cell r="F626" t="str">
            <v>M2</v>
          </cell>
        </row>
        <row r="627">
          <cell r="C627">
            <v>531000</v>
          </cell>
          <cell r="D627" t="str">
            <v>BRITA GRADUADA 100% PI</v>
          </cell>
          <cell r="E627">
            <v>9069.8700000000008</v>
          </cell>
          <cell r="F627" t="str">
            <v>M3</v>
          </cell>
        </row>
        <row r="628">
          <cell r="C628">
            <v>502615</v>
          </cell>
          <cell r="D628" t="str">
            <v>CONCRETO COMPACTADO A ROLO FCK= 15MPA</v>
          </cell>
          <cell r="E628">
            <v>4393.49</v>
          </cell>
          <cell r="F628" t="str">
            <v>M3</v>
          </cell>
        </row>
        <row r="629">
          <cell r="C629">
            <v>4011538</v>
          </cell>
          <cell r="D629" t="str">
            <v>CURA COM PINTURA ASFÁLTICA PARA PAVIMENTO DE CONCRETO COMPACTADO COM ROLO</v>
          </cell>
          <cell r="E629">
            <v>43463.44</v>
          </cell>
          <cell r="F629" t="str">
            <v>M²</v>
          </cell>
        </row>
        <row r="630">
          <cell r="C630">
            <v>503110</v>
          </cell>
          <cell r="D630" t="str">
            <v>FORNECIMENTO E APLICAÇÃO DE LONA PLÁSTICA PRETA 200 MICRAS</v>
          </cell>
          <cell r="E630">
            <v>43463.44</v>
          </cell>
          <cell r="F630" t="str">
            <v>M2</v>
          </cell>
        </row>
        <row r="631">
          <cell r="C631">
            <v>504920</v>
          </cell>
          <cell r="D631" t="str">
            <v>FORNECIMENTO E COLOCAÇÃO DE TELA TELCON Q-138 OU EQUIVALENTE</v>
          </cell>
          <cell r="E631">
            <v>177.46</v>
          </cell>
          <cell r="F631" t="str">
            <v>KG</v>
          </cell>
        </row>
        <row r="632">
          <cell r="C632">
            <v>507220</v>
          </cell>
          <cell r="D632" t="str">
            <v>FORNECIMENTO E COLOCAÇÃO DE AÇO CA-25 PARA BARRA DE TRANSFERÊNCIA Ø= 20MM</v>
          </cell>
          <cell r="E632">
            <v>975.49802443200008</v>
          </cell>
          <cell r="F632" t="str">
            <v>KG</v>
          </cell>
        </row>
        <row r="633">
          <cell r="C633">
            <v>507210</v>
          </cell>
          <cell r="D633" t="str">
            <v>FORNECIMENTO E COLOCAÇÃO DE AÇO CA 50 PARA BARRAS DE LIGAÇÃO</v>
          </cell>
          <cell r="E633">
            <v>1577.2</v>
          </cell>
          <cell r="F633" t="str">
            <v>KG</v>
          </cell>
        </row>
        <row r="634">
          <cell r="C634">
            <v>407819</v>
          </cell>
          <cell r="D634" t="str">
            <v>ARMAÇÃO EM AÇO CA-50 - FORNECIMENTO, PREPARO E COLOCAÇÃO</v>
          </cell>
          <cell r="E634">
            <v>187.5</v>
          </cell>
          <cell r="F634" t="str">
            <v>KG</v>
          </cell>
        </row>
        <row r="635">
          <cell r="C635">
            <v>0</v>
          </cell>
          <cell r="D635" t="str">
            <v>*** serviço acima previsto para execução de sistema de apoio para as barras de transferências***</v>
          </cell>
          <cell r="E635">
            <v>0</v>
          </cell>
          <cell r="F635">
            <v>0</v>
          </cell>
        </row>
        <row r="636">
          <cell r="C636">
            <v>502646</v>
          </cell>
          <cell r="D636" t="str">
            <v>PAVIMENTO DE CONCRETO FCTMK=4,50MPA EXECUTADO COM RÉGUA VIBRATÓRIA</v>
          </cell>
          <cell r="E636">
            <v>7116.27</v>
          </cell>
          <cell r="F636" t="str">
            <v>M3</v>
          </cell>
        </row>
        <row r="637">
          <cell r="C637">
            <v>505415</v>
          </cell>
          <cell r="D637" t="str">
            <v>CURA QUÍMICA DE PAVIMENTO DE CONCRETO</v>
          </cell>
          <cell r="E637">
            <v>43463.44</v>
          </cell>
          <cell r="F637" t="str">
            <v>M2</v>
          </cell>
        </row>
        <row r="638">
          <cell r="C638">
            <v>505416</v>
          </cell>
          <cell r="D638" t="str">
            <v>CURA ÚMIDA DE PAVIMENTO DE CONCRETO COM MANTA DE CURA</v>
          </cell>
          <cell r="E638">
            <v>43463.44</v>
          </cell>
          <cell r="F638" t="str">
            <v>M2</v>
          </cell>
        </row>
        <row r="639">
          <cell r="C639">
            <v>502680</v>
          </cell>
          <cell r="D639" t="str">
            <v>JUNTA LONGITUDINAL, INCLUSIVE CORTE, SELANTE A BASE DE SILICONE E CORDÃO DE POLIPROPILENO</v>
          </cell>
          <cell r="E639">
            <v>9610.1919999999991</v>
          </cell>
          <cell r="F639" t="str">
            <v>M</v>
          </cell>
        </row>
        <row r="640">
          <cell r="C640">
            <v>502670</v>
          </cell>
          <cell r="D640" t="str">
            <v>JUNTA TRANSVERSAL , INCLUSIVE CORTE, SELANTE A BASE DE SILICONE E CORDÃO DE POLIPROPILENO</v>
          </cell>
          <cell r="E640">
            <v>12899.317999999999</v>
          </cell>
          <cell r="F640" t="str">
            <v>M</v>
          </cell>
        </row>
        <row r="641">
          <cell r="C641">
            <v>0</v>
          </cell>
          <cell r="D641" t="str">
            <v>PAVIMENTO INTERTRAVADO DE TRANSIÇÃO</v>
          </cell>
          <cell r="E641">
            <v>0</v>
          </cell>
          <cell r="F641" t="str">
            <v/>
          </cell>
        </row>
        <row r="642">
          <cell r="C642">
            <v>511200</v>
          </cell>
          <cell r="D642" t="str">
            <v>REGULARIZAÇÃO COMPAC.SUBLEITO 100% PN (B)</v>
          </cell>
          <cell r="E642">
            <v>2654.41</v>
          </cell>
          <cell r="F642" t="str">
            <v>M2</v>
          </cell>
        </row>
        <row r="643">
          <cell r="C643">
            <v>531000</v>
          </cell>
          <cell r="D643" t="str">
            <v>BRITA GRADUADA 100% PI</v>
          </cell>
          <cell r="E643">
            <v>494.97</v>
          </cell>
          <cell r="F643" t="str">
            <v>M3</v>
          </cell>
        </row>
        <row r="644">
          <cell r="C644">
            <v>502615</v>
          </cell>
          <cell r="D644" t="str">
            <v>CONCRETO COMPACTADO A ROLO FCK= 15MPA</v>
          </cell>
          <cell r="E644">
            <v>283.20999999999998</v>
          </cell>
          <cell r="F644" t="str">
            <v>M3</v>
          </cell>
        </row>
        <row r="645">
          <cell r="C645">
            <v>4011538</v>
          </cell>
          <cell r="D645" t="str">
            <v>CURA COM PINTURA ASFÁLTICA PARA PAVIMENTO DE CONCRETO COMPACTADO COM ROLO</v>
          </cell>
          <cell r="E645">
            <v>2061.8216400000001</v>
          </cell>
          <cell r="F645" t="str">
            <v>M²</v>
          </cell>
        </row>
        <row r="646">
          <cell r="C646" t="str">
            <v>CCU-071</v>
          </cell>
          <cell r="D646" t="str">
            <v>VIGA DE CONCRETO 15X14CM, COM BARRA DE 12,5MM</v>
          </cell>
          <cell r="E646">
            <v>347.27800000000002</v>
          </cell>
          <cell r="F646" t="str">
            <v>M</v>
          </cell>
        </row>
        <row r="647">
          <cell r="C647" t="str">
            <v>CCU-072</v>
          </cell>
          <cell r="D647" t="str">
            <v>GUIA DE CONTENÇÃO LATERAL</v>
          </cell>
          <cell r="E647">
            <v>1448.4480000000001</v>
          </cell>
          <cell r="F647" t="str">
            <v>M</v>
          </cell>
        </row>
        <row r="648">
          <cell r="C648">
            <v>532500</v>
          </cell>
          <cell r="D648" t="str">
            <v>COLCHÃO DE AREIA PARA PARALELEPÍPEDO</v>
          </cell>
          <cell r="E648">
            <v>72.416800000000009</v>
          </cell>
          <cell r="F648" t="str">
            <v>M3</v>
          </cell>
        </row>
        <row r="649">
          <cell r="C649">
            <v>92400</v>
          </cell>
          <cell r="D649" t="str">
            <v>EXECUÇÃO DE PAVIMENTO EM PISO INTERTRAVADO, COM BLOCO RETANGULAR DE 20 X 10 CM, ESPESSURA 10 CM. AF_10/2022</v>
          </cell>
          <cell r="E649">
            <v>1810.42</v>
          </cell>
          <cell r="F649" t="str">
            <v>M2</v>
          </cell>
        </row>
        <row r="650">
          <cell r="C650">
            <v>0</v>
          </cell>
          <cell r="D650" t="str">
            <v>PAVIMENTO INTERTRAVADO DE ACESSO</v>
          </cell>
          <cell r="E650">
            <v>0</v>
          </cell>
          <cell r="F650" t="str">
            <v/>
          </cell>
        </row>
        <row r="651">
          <cell r="C651">
            <v>511200</v>
          </cell>
          <cell r="D651" t="str">
            <v>REGULARIZAÇÃO COMPAC.SUBLEITO 100% PN (B)</v>
          </cell>
          <cell r="E651">
            <v>337.57</v>
          </cell>
          <cell r="F651" t="str">
            <v>M2</v>
          </cell>
        </row>
        <row r="652">
          <cell r="C652">
            <v>531000</v>
          </cell>
          <cell r="D652" t="str">
            <v>BRITA GRADUADA 100% PI</v>
          </cell>
          <cell r="E652">
            <v>65.290000000000006</v>
          </cell>
          <cell r="F652" t="str">
            <v>M3</v>
          </cell>
        </row>
        <row r="653">
          <cell r="C653">
            <v>502615</v>
          </cell>
          <cell r="D653" t="str">
            <v>CONCRETO COMPACTADO A ROLO FCK= 15MPA</v>
          </cell>
          <cell r="E653">
            <v>40.049999999999997</v>
          </cell>
          <cell r="F653" t="str">
            <v>M3</v>
          </cell>
        </row>
        <row r="654">
          <cell r="C654">
            <v>4011538</v>
          </cell>
          <cell r="D654" t="str">
            <v>CURA COM PINTURA ASFÁLTICA PARA PAVIMENTO DE CONCRETO COMPACTADO COM ROLO</v>
          </cell>
          <cell r="E654">
            <v>300.86</v>
          </cell>
          <cell r="F654" t="str">
            <v>M²</v>
          </cell>
        </row>
        <row r="655">
          <cell r="C655" t="str">
            <v>CCU-071</v>
          </cell>
          <cell r="D655" t="str">
            <v>VIGA DE CONCRETO 15X14CM, COM BARRA DE 12,5MM</v>
          </cell>
          <cell r="E655">
            <v>6.5</v>
          </cell>
          <cell r="F655" t="str">
            <v>M</v>
          </cell>
        </row>
        <row r="656">
          <cell r="C656" t="str">
            <v>CCU-072</v>
          </cell>
          <cell r="D656" t="str">
            <v>GUIA DE CONTENÇÃO LATERAL</v>
          </cell>
          <cell r="E656">
            <v>104.74</v>
          </cell>
          <cell r="F656" t="str">
            <v>M</v>
          </cell>
        </row>
        <row r="657">
          <cell r="C657">
            <v>532500</v>
          </cell>
          <cell r="D657" t="str">
            <v>COLCHÃO DE AREIA PARA PARALELEPÍPEDO</v>
          </cell>
          <cell r="E657">
            <v>11.411600000000002</v>
          </cell>
          <cell r="F657" t="str">
            <v>M3</v>
          </cell>
        </row>
        <row r="658">
          <cell r="C658">
            <v>92400</v>
          </cell>
          <cell r="D658" t="str">
            <v>EXECUÇÃO DE PAVIMENTO EM PISO INTERTRAVADO, COM BLOCO RETANGULAR DE 20 X 10 CM, ESPESSURA 10 CM. AF_10/2022</v>
          </cell>
          <cell r="E658">
            <v>285.29000000000002</v>
          </cell>
          <cell r="F658" t="str">
            <v>M2</v>
          </cell>
        </row>
        <row r="659">
          <cell r="C659">
            <v>0</v>
          </cell>
          <cell r="D659" t="str">
            <v>TRECHO 2</v>
          </cell>
          <cell r="E659">
            <v>0</v>
          </cell>
          <cell r="F659" t="str">
            <v/>
          </cell>
        </row>
        <row r="660">
          <cell r="C660">
            <v>0</v>
          </cell>
          <cell r="D660" t="str">
            <v>CICLOVIA</v>
          </cell>
          <cell r="E660">
            <v>0</v>
          </cell>
          <cell r="F660" t="str">
            <v/>
          </cell>
        </row>
        <row r="661">
          <cell r="C661">
            <v>706700</v>
          </cell>
          <cell r="D661" t="str">
            <v>DEMOLIÇÃO DE CONCRETO SIMPLES</v>
          </cell>
          <cell r="E661">
            <v>1.78</v>
          </cell>
          <cell r="F661" t="str">
            <v>M3</v>
          </cell>
        </row>
        <row r="662">
          <cell r="C662">
            <v>1600441</v>
          </cell>
          <cell r="D662" t="str">
            <v>REMOÇÃO DE PARALELEPÍPEDOS</v>
          </cell>
          <cell r="E662">
            <v>52.57</v>
          </cell>
          <cell r="F662" t="str">
            <v>M²</v>
          </cell>
        </row>
        <row r="663">
          <cell r="C663">
            <v>511200</v>
          </cell>
          <cell r="D663" t="str">
            <v>REGULARIZAÇÃO COMPAC.SUBLEITO 100% PN (B)</v>
          </cell>
          <cell r="E663">
            <v>6712.8716000000004</v>
          </cell>
          <cell r="F663" t="str">
            <v>M2</v>
          </cell>
        </row>
        <row r="664">
          <cell r="C664">
            <v>531000</v>
          </cell>
          <cell r="D664" t="str">
            <v>BRITA GRADUADA 100% PI</v>
          </cell>
          <cell r="E664">
            <v>656.25156000000015</v>
          </cell>
          <cell r="F664" t="str">
            <v>M3</v>
          </cell>
        </row>
        <row r="665">
          <cell r="C665">
            <v>503110</v>
          </cell>
          <cell r="D665" t="str">
            <v>FORNECIMENTO E APLICAÇÃO DE LONA PLÁSTICA PRETA 200 MICRAS</v>
          </cell>
          <cell r="E665">
            <v>6412.1596</v>
          </cell>
          <cell r="F665" t="str">
            <v>M2</v>
          </cell>
        </row>
        <row r="666">
          <cell r="C666">
            <v>97096</v>
          </cell>
          <cell r="D666" t="str">
            <v>CONCRETAGEM DE RADIER, PISO DE CONCRETO OU LAJE SOBRE SOLO, FCK 30 MPA - LANÇAMENTO, ADENSAMENTO E ACABAMENTO. AF_09/2021</v>
          </cell>
          <cell r="E666">
            <v>493.72720000000004</v>
          </cell>
          <cell r="F666" t="str">
            <v>M3</v>
          </cell>
        </row>
        <row r="667">
          <cell r="C667">
            <v>505415</v>
          </cell>
          <cell r="D667" t="str">
            <v>CURA QUÍMICA DE PAVIMENTO DE CONCRETO</v>
          </cell>
          <cell r="E667">
            <v>6412.1596</v>
          </cell>
          <cell r="F667" t="str">
            <v>M2</v>
          </cell>
        </row>
        <row r="668">
          <cell r="C668">
            <v>505416</v>
          </cell>
          <cell r="D668" t="str">
            <v>CURA ÚMIDA DE PAVIMENTO DE CONCRETO COM MANTA DE CURA</v>
          </cell>
          <cell r="E668">
            <v>6412.1596</v>
          </cell>
          <cell r="F668" t="str">
            <v>M2</v>
          </cell>
        </row>
        <row r="669">
          <cell r="C669">
            <v>502670</v>
          </cell>
          <cell r="D669" t="str">
            <v>JUNTA TRANSVERSAL , INCLUSIVE CORTE, SELANTE A BASE DE SILICONE E CORDÃO DE POLIPROPILENO</v>
          </cell>
          <cell r="E669">
            <v>3373.41</v>
          </cell>
          <cell r="F669" t="str">
            <v>M</v>
          </cell>
        </row>
        <row r="670">
          <cell r="C670">
            <v>0</v>
          </cell>
          <cell r="D670" t="str">
            <v>RETIRADA E REASSENTAMENTO DE PARALELEPÍPEDO (COM REAPROVEITAMENTO)</v>
          </cell>
          <cell r="E670">
            <v>0</v>
          </cell>
          <cell r="F670" t="str">
            <v/>
          </cell>
        </row>
        <row r="671">
          <cell r="C671">
            <v>511200</v>
          </cell>
          <cell r="D671" t="str">
            <v>REGULARIZAÇÃO COMPAC.SUBLEITO 100% PN (B)</v>
          </cell>
          <cell r="E671">
            <v>145.10125714285715</v>
          </cell>
          <cell r="F671" t="str">
            <v>M2</v>
          </cell>
        </row>
        <row r="672">
          <cell r="C672">
            <v>531350</v>
          </cell>
          <cell r="D672" t="str">
            <v>MACADAME SECO BRITADO PREENCHIDO C/BICA CORRIDA</v>
          </cell>
          <cell r="E672">
            <v>28.630194285714289</v>
          </cell>
          <cell r="F672" t="str">
            <v>M3</v>
          </cell>
        </row>
        <row r="673">
          <cell r="C673">
            <v>532500</v>
          </cell>
          <cell r="D673" t="str">
            <v>COLCHÃO DE AREIA PARA PARALELEPÍPEDO</v>
          </cell>
          <cell r="E673">
            <v>13.652000000000001</v>
          </cell>
          <cell r="F673" t="str">
            <v>M3</v>
          </cell>
        </row>
        <row r="674">
          <cell r="C674">
            <v>101850</v>
          </cell>
          <cell r="D674" t="str">
            <v>REASSENTAMENTO DE PARALELEPÍPEDOS, REJUNTAMENTO COM PÓ DE PEDRA, COM REAPROVEITAMENTO DOS PARALELEPÍPEDOS - INCLUSO RETIRADA E COLOCAÇÃO DO MATERIAL. AF_12/2020</v>
          </cell>
          <cell r="E674">
            <v>136.52000000000001</v>
          </cell>
          <cell r="F674" t="str">
            <v>M2</v>
          </cell>
        </row>
        <row r="675">
          <cell r="C675">
            <v>0</v>
          </cell>
          <cell r="D675" t="str">
            <v>TRECHO 3</v>
          </cell>
          <cell r="E675">
            <v>0</v>
          </cell>
          <cell r="F675" t="str">
            <v/>
          </cell>
        </row>
        <row r="676">
          <cell r="C676">
            <v>0</v>
          </cell>
          <cell r="D676" t="str">
            <v>PAVIMENTO RÍGIDO</v>
          </cell>
          <cell r="E676">
            <v>0</v>
          </cell>
          <cell r="F676" t="str">
            <v/>
          </cell>
        </row>
        <row r="677">
          <cell r="C677">
            <v>511200</v>
          </cell>
          <cell r="D677" t="str">
            <v>REGULARIZAÇÃO COMPAC.SUBLEITO 100% PN (B)</v>
          </cell>
          <cell r="E677">
            <v>53787.08</v>
          </cell>
          <cell r="F677" t="str">
            <v>M2</v>
          </cell>
        </row>
        <row r="678">
          <cell r="C678">
            <v>531000</v>
          </cell>
          <cell r="D678" t="str">
            <v>BRITA GRADUADA 100% PI</v>
          </cell>
          <cell r="E678">
            <v>10536.08</v>
          </cell>
          <cell r="F678" t="str">
            <v>M3</v>
          </cell>
        </row>
        <row r="679">
          <cell r="C679">
            <v>502615</v>
          </cell>
          <cell r="D679" t="str">
            <v>CONCRETO COMPACTADO A ROLO FCK= 15MPA</v>
          </cell>
          <cell r="E679">
            <v>5102.03</v>
          </cell>
          <cell r="F679" t="str">
            <v>M3</v>
          </cell>
        </row>
        <row r="680">
          <cell r="C680">
            <v>4011538</v>
          </cell>
          <cell r="D680" t="str">
            <v>CURA COM PINTURA ASFÁLTICA PARA PAVIMENTO DE CONCRETO COMPACTADO COM ROLO</v>
          </cell>
          <cell r="E680">
            <v>50467</v>
          </cell>
          <cell r="F680" t="str">
            <v>M²</v>
          </cell>
        </row>
        <row r="681">
          <cell r="C681">
            <v>503110</v>
          </cell>
          <cell r="D681" t="str">
            <v>FORNECIMENTO E APLICAÇÃO DE LONA PLÁSTICA PRETA 200 MICRAS</v>
          </cell>
          <cell r="E681">
            <v>50467</v>
          </cell>
          <cell r="F681" t="str">
            <v>M2</v>
          </cell>
        </row>
        <row r="682">
          <cell r="C682">
            <v>507220</v>
          </cell>
          <cell r="D682" t="str">
            <v>FORNECIMENTO E COLOCAÇÃO DE AÇO CA-25 PARA BARRA DE TRANSFERÊNCIA Ø= 20MM</v>
          </cell>
          <cell r="E682">
            <v>1129.8712618560003</v>
          </cell>
          <cell r="F682" t="str">
            <v>KG</v>
          </cell>
        </row>
        <row r="683">
          <cell r="C683">
            <v>507210</v>
          </cell>
          <cell r="D683" t="str">
            <v>FORNECIMENTO E COLOCAÇÃO DE AÇO CA 50 PARA BARRAS DE LIGAÇÃO</v>
          </cell>
          <cell r="E683">
            <v>1815.91</v>
          </cell>
          <cell r="F683" t="str">
            <v>KG</v>
          </cell>
        </row>
        <row r="684">
          <cell r="C684">
            <v>407819</v>
          </cell>
          <cell r="D684" t="str">
            <v>ARMAÇÃO EM AÇO CA-50 - FORNECIMENTO, PREPARO E COLOCAÇÃO</v>
          </cell>
          <cell r="E684">
            <v>217.18</v>
          </cell>
          <cell r="F684" t="str">
            <v>KG</v>
          </cell>
        </row>
        <row r="685">
          <cell r="C685">
            <v>0</v>
          </cell>
          <cell r="D685" t="str">
            <v>*** serviço acima previsto para execução de sistema de apoio para as barras de transferências***</v>
          </cell>
          <cell r="E685">
            <v>0</v>
          </cell>
          <cell r="F685">
            <v>0</v>
          </cell>
        </row>
        <row r="686">
          <cell r="C686">
            <v>502646</v>
          </cell>
          <cell r="D686" t="str">
            <v>PAVIMENTO DE CONCRETO FCTMK=4,50MPA EXECUTADO COM RÉGUA VIBRATÓRIA</v>
          </cell>
          <cell r="E686">
            <v>8259.56</v>
          </cell>
          <cell r="F686" t="str">
            <v>M3</v>
          </cell>
        </row>
        <row r="687">
          <cell r="C687">
            <v>505415</v>
          </cell>
          <cell r="D687" t="str">
            <v>CURA QUÍMICA DE PAVIMENTO DE CONCRETO</v>
          </cell>
          <cell r="E687">
            <v>50467</v>
          </cell>
          <cell r="F687" t="str">
            <v>M2</v>
          </cell>
        </row>
        <row r="688">
          <cell r="C688">
            <v>505416</v>
          </cell>
          <cell r="D688" t="str">
            <v>CURA ÚMIDA DE PAVIMENTO DE CONCRETO COM MANTA DE CURA</v>
          </cell>
          <cell r="E688">
            <v>50467</v>
          </cell>
          <cell r="F688" t="str">
            <v>M2</v>
          </cell>
        </row>
        <row r="689">
          <cell r="C689">
            <v>502680</v>
          </cell>
          <cell r="D689" t="str">
            <v>JUNTA LONGITUDINAL, INCLUSIVE CORTE, SELANTE A BASE DE SILICONE E CORDÃO DE POLIPROPILENO</v>
          </cell>
          <cell r="E689">
            <v>11053.498</v>
          </cell>
          <cell r="F689" t="str">
            <v>M</v>
          </cell>
        </row>
        <row r="690">
          <cell r="C690">
            <v>502670</v>
          </cell>
          <cell r="D690" t="str">
            <v>JUNTA TRANSVERSAL , INCLUSIVE CORTE, SELANTE A BASE DE SILICONE E CORDÃO DE POLIPROPILENO</v>
          </cell>
          <cell r="E690">
            <v>14940.644</v>
          </cell>
          <cell r="F690" t="str">
            <v>M</v>
          </cell>
        </row>
        <row r="691">
          <cell r="C691">
            <v>0</v>
          </cell>
          <cell r="D691" t="str">
            <v>PAVIMENTO INTERTRAVADO DE TRANSIÇÃO</v>
          </cell>
          <cell r="E691">
            <v>0</v>
          </cell>
          <cell r="F691" t="str">
            <v/>
          </cell>
        </row>
        <row r="692">
          <cell r="C692">
            <v>706700</v>
          </cell>
          <cell r="D692" t="str">
            <v>DEMOLIÇÃO DE CONCRETO SIMPLES</v>
          </cell>
          <cell r="E692">
            <v>2.3679999999999999</v>
          </cell>
          <cell r="F692" t="str">
            <v>M3</v>
          </cell>
        </row>
        <row r="693">
          <cell r="C693">
            <v>511200</v>
          </cell>
          <cell r="D693" t="str">
            <v>REGULARIZAÇÃO COMPAC.SUBLEITO 100% PN (B)</v>
          </cell>
          <cell r="E693">
            <v>3281.56</v>
          </cell>
          <cell r="F693" t="str">
            <v>M2</v>
          </cell>
        </row>
        <row r="694">
          <cell r="C694">
            <v>531000</v>
          </cell>
          <cell r="D694" t="str">
            <v>BRITA GRADUADA 100% PI</v>
          </cell>
          <cell r="E694">
            <v>615.22</v>
          </cell>
          <cell r="F694" t="str">
            <v>M3</v>
          </cell>
        </row>
        <row r="695">
          <cell r="C695">
            <v>502615</v>
          </cell>
          <cell r="D695" t="str">
            <v>CONCRETO COMPACTADO A ROLO FCK= 15MPA</v>
          </cell>
          <cell r="E695">
            <v>355.83</v>
          </cell>
          <cell r="F695" t="str">
            <v>M3</v>
          </cell>
        </row>
        <row r="696">
          <cell r="C696">
            <v>4011538</v>
          </cell>
          <cell r="D696" t="str">
            <v>CURA COM PINTURA ASFÁLTICA PARA PAVIMENTO DE CONCRETO COMPACTADO COM ROLO</v>
          </cell>
          <cell r="E696">
            <v>2603.5928599999997</v>
          </cell>
          <cell r="F696" t="str">
            <v>M²</v>
          </cell>
        </row>
        <row r="697">
          <cell r="C697" t="str">
            <v>CCU-071</v>
          </cell>
          <cell r="D697" t="str">
            <v>VIGA DE CONCRETO 15X14CM, COM BARRA DE 12,5MM</v>
          </cell>
          <cell r="E697">
            <v>402.541</v>
          </cell>
          <cell r="F697" t="str">
            <v>M</v>
          </cell>
        </row>
        <row r="698">
          <cell r="C698" t="str">
            <v>CCU-072</v>
          </cell>
          <cell r="D698" t="str">
            <v>GUIA DE CONTENÇÃO LATERAL</v>
          </cell>
          <cell r="E698">
            <v>1651.9079999999999</v>
          </cell>
          <cell r="F698" t="str">
            <v>M</v>
          </cell>
        </row>
        <row r="699">
          <cell r="C699">
            <v>532500</v>
          </cell>
          <cell r="D699" t="str">
            <v>COLCHÃO DE AREIA PARA PARALELEPÍPEDO</v>
          </cell>
          <cell r="E699">
            <v>92.638799999999989</v>
          </cell>
          <cell r="F699" t="str">
            <v>M3</v>
          </cell>
        </row>
        <row r="700">
          <cell r="C700">
            <v>92400</v>
          </cell>
          <cell r="D700" t="str">
            <v>EXECUÇÃO DE PAVIMENTO EM PISO INTERTRAVADO, COM BLOCO RETANGULAR DE 20 X 10 CM, ESPESSURA 10 CM. AF_10/2022</v>
          </cell>
          <cell r="E700">
            <v>2315.9699999999998</v>
          </cell>
          <cell r="F700" t="str">
            <v>M2</v>
          </cell>
        </row>
        <row r="701">
          <cell r="C701">
            <v>0</v>
          </cell>
          <cell r="D701" t="str">
            <v>TRECHO 4</v>
          </cell>
          <cell r="E701">
            <v>0</v>
          </cell>
          <cell r="F701" t="str">
            <v/>
          </cell>
        </row>
        <row r="702">
          <cell r="C702">
            <v>0</v>
          </cell>
          <cell r="D702" t="str">
            <v>CICLOVIA</v>
          </cell>
          <cell r="E702">
            <v>0</v>
          </cell>
          <cell r="F702" t="str">
            <v/>
          </cell>
        </row>
        <row r="703">
          <cell r="C703">
            <v>512050</v>
          </cell>
          <cell r="D703" t="str">
            <v>DEMOLIÇÃO MECÂNICA DE PAVIMENTO</v>
          </cell>
          <cell r="E703">
            <v>5.4420000000000002</v>
          </cell>
          <cell r="F703" t="str">
            <v>M3</v>
          </cell>
        </row>
        <row r="704">
          <cell r="C704">
            <v>706700</v>
          </cell>
          <cell r="D704" t="str">
            <v>DEMOLIÇÃO DE CONCRETO SIMPLES</v>
          </cell>
          <cell r="E704">
            <v>4.3570000000000002</v>
          </cell>
          <cell r="F704" t="str">
            <v>M3</v>
          </cell>
        </row>
        <row r="705">
          <cell r="C705">
            <v>511200</v>
          </cell>
          <cell r="D705" t="str">
            <v>REGULARIZAÇÃO COMPAC.SUBLEITO 100% PN (B)</v>
          </cell>
          <cell r="E705">
            <v>7642.64</v>
          </cell>
          <cell r="F705" t="str">
            <v>M2</v>
          </cell>
        </row>
        <row r="706">
          <cell r="C706">
            <v>531000</v>
          </cell>
          <cell r="D706" t="str">
            <v>BRITA GRADUADA 100% PI</v>
          </cell>
          <cell r="E706">
            <v>746.31</v>
          </cell>
          <cell r="F706" t="str">
            <v>M3</v>
          </cell>
        </row>
        <row r="707">
          <cell r="C707">
            <v>503110</v>
          </cell>
          <cell r="D707" t="str">
            <v>FORNECIMENTO E APLICAÇÃO DE LONA PLÁSTICA PRETA 200 MICRAS</v>
          </cell>
          <cell r="E707">
            <v>7283.58</v>
          </cell>
          <cell r="F707" t="str">
            <v>M2</v>
          </cell>
        </row>
        <row r="708">
          <cell r="C708">
            <v>97096</v>
          </cell>
          <cell r="D708" t="str">
            <v>CONCRETAGEM DE RADIER, PISO DE CONCRETO OU LAJE SOBRE SOLO, FCK 30 MPA - LANÇAMENTO, ADENSAMENTO E ACABAMENTO. AF_09/2021</v>
          </cell>
          <cell r="E708">
            <v>559.71</v>
          </cell>
          <cell r="F708" t="str">
            <v>M3</v>
          </cell>
        </row>
        <row r="709">
          <cell r="C709">
            <v>505415</v>
          </cell>
          <cell r="D709" t="str">
            <v>CURA QUÍMICA DE PAVIMENTO DE CONCRETO</v>
          </cell>
          <cell r="E709">
            <v>7283.58</v>
          </cell>
          <cell r="F709" t="str">
            <v>M2</v>
          </cell>
        </row>
        <row r="710">
          <cell r="C710">
            <v>505416</v>
          </cell>
          <cell r="D710" t="str">
            <v>CURA ÚMIDA DE PAVIMENTO DE CONCRETO COM MANTA DE CURA</v>
          </cell>
          <cell r="E710">
            <v>7283.57672</v>
          </cell>
          <cell r="F710" t="str">
            <v>M2</v>
          </cell>
        </row>
        <row r="711">
          <cell r="C711">
            <v>502670</v>
          </cell>
          <cell r="D711" t="str">
            <v>JUNTA TRANSVERSAL , INCLUSIVE CORTE, SELANTE A BASE DE SILICONE E CORDÃO DE POLIPROPILENO</v>
          </cell>
          <cell r="E711">
            <v>3648.59</v>
          </cell>
          <cell r="F711" t="str">
            <v>M</v>
          </cell>
        </row>
        <row r="712">
          <cell r="C712">
            <v>0</v>
          </cell>
          <cell r="D712" t="str">
            <v>RETIRADA E REASSENTAMENTO DE PARALELEPÍPEDO (COM REAPROVEITAMENTO)</v>
          </cell>
          <cell r="E712">
            <v>0</v>
          </cell>
          <cell r="F712" t="str">
            <v/>
          </cell>
        </row>
        <row r="713">
          <cell r="C713">
            <v>511200</v>
          </cell>
          <cell r="D713" t="str">
            <v>REGULARIZAÇÃO COMPAC.SUBLEITO 100% PN (B)</v>
          </cell>
          <cell r="E713">
            <v>40.630000000000003</v>
          </cell>
          <cell r="F713" t="str">
            <v>M2</v>
          </cell>
        </row>
        <row r="714">
          <cell r="C714">
            <v>531350</v>
          </cell>
          <cell r="D714" t="str">
            <v>MACADAME SECO BRITADO PREENCHIDO C/BICA CORRIDA</v>
          </cell>
          <cell r="E714">
            <v>8.02</v>
          </cell>
          <cell r="F714" t="str">
            <v>M3</v>
          </cell>
        </row>
        <row r="715">
          <cell r="C715">
            <v>532500</v>
          </cell>
          <cell r="D715" t="str">
            <v>COLCHÃO DE AREIA PARA PARALELEPÍPEDO</v>
          </cell>
          <cell r="E715">
            <v>5.61</v>
          </cell>
          <cell r="F715" t="str">
            <v>M3</v>
          </cell>
        </row>
        <row r="716">
          <cell r="C716">
            <v>101850</v>
          </cell>
          <cell r="D716" t="str">
            <v>REASSENTAMENTO DE PARALELEPÍPEDOS, REJUNTAMENTO COM PÓ DE PEDRA, COM REAPROVEITAMENTO DOS PARALELEPÍPEDOS - INCLUSO RETIRADA E COLOCAÇÃO DO MATERIAL. AF_12/2020</v>
          </cell>
          <cell r="E716">
            <v>37.42</v>
          </cell>
          <cell r="F716" t="str">
            <v>M2</v>
          </cell>
        </row>
        <row r="717">
          <cell r="C717">
            <v>0</v>
          </cell>
          <cell r="D717" t="str">
            <v>DEMOLIÇÃO E RECONSTRUÇÃO DE PAVIMENTO ASFÁLTICO</v>
          </cell>
          <cell r="E717">
            <v>0</v>
          </cell>
          <cell r="F717" t="str">
            <v/>
          </cell>
        </row>
        <row r="718">
          <cell r="C718">
            <v>512050</v>
          </cell>
          <cell r="D718" t="str">
            <v>DEMOLIÇÃO MECÂNICA DE PAVIMENTO</v>
          </cell>
          <cell r="E718">
            <v>119.961</v>
          </cell>
          <cell r="F718" t="str">
            <v>M3</v>
          </cell>
        </row>
        <row r="719">
          <cell r="C719">
            <v>511200</v>
          </cell>
          <cell r="D719" t="str">
            <v>REGULARIZAÇÃO COMPAC.SUBLEITO 100% PN (B)</v>
          </cell>
          <cell r="E719">
            <v>480.98648571428572</v>
          </cell>
          <cell r="F719" t="str">
            <v>M2</v>
          </cell>
        </row>
        <row r="720">
          <cell r="C720">
            <v>531350</v>
          </cell>
          <cell r="D720" t="str">
            <v>MACADAME SECO BRITADO PREENCHIDO C/BICA CORRIDA</v>
          </cell>
          <cell r="E720">
            <v>139.15476000000001</v>
          </cell>
          <cell r="F720" t="str">
            <v>M3</v>
          </cell>
        </row>
        <row r="721">
          <cell r="C721">
            <v>530200</v>
          </cell>
          <cell r="D721" t="str">
            <v>BICA CORRIDA</v>
          </cell>
          <cell r="E721">
            <v>78.557317714285716</v>
          </cell>
          <cell r="F721" t="str">
            <v>M3</v>
          </cell>
        </row>
        <row r="722">
          <cell r="C722">
            <v>531100</v>
          </cell>
          <cell r="D722" t="str">
            <v>BRITA GRADUADA 100% PM</v>
          </cell>
          <cell r="E722">
            <v>70.794127285714296</v>
          </cell>
          <cell r="F722" t="str">
            <v>M3</v>
          </cell>
        </row>
        <row r="723">
          <cell r="C723">
            <v>560100</v>
          </cell>
          <cell r="D723" t="str">
            <v>IMPRIMAÇÃO IMPERMEAB. EXCLUSIVE FORNEC. DA EMULSÃO</v>
          </cell>
          <cell r="E723">
            <v>406.72491428571431</v>
          </cell>
          <cell r="F723" t="str">
            <v>M2</v>
          </cell>
        </row>
        <row r="724">
          <cell r="C724">
            <v>561100</v>
          </cell>
          <cell r="D724" t="str">
            <v>PINTURA DE LIGAÇÃO EXCLUSIVE FORNEC. DA EMULSÃO</v>
          </cell>
          <cell r="E724">
            <v>406.72491428571431</v>
          </cell>
          <cell r="F724" t="str">
            <v>M2</v>
          </cell>
        </row>
        <row r="725">
          <cell r="C725">
            <v>570000</v>
          </cell>
          <cell r="D725" t="str">
            <v>C.B.U.Q. EXCL. FORNEC. DO CAP (ATÉ 10.000 T)</v>
          </cell>
          <cell r="E725">
            <v>58.074833828571428</v>
          </cell>
          <cell r="F725" t="str">
            <v>T</v>
          </cell>
        </row>
        <row r="726">
          <cell r="C726">
            <v>0</v>
          </cell>
          <cell r="D726" t="str">
            <v>TRECHO 5</v>
          </cell>
          <cell r="E726">
            <v>0</v>
          </cell>
          <cell r="F726" t="str">
            <v/>
          </cell>
        </row>
        <row r="727">
          <cell r="C727">
            <v>0</v>
          </cell>
          <cell r="D727" t="str">
            <v>PAVIMENTO RÍGIDO</v>
          </cell>
          <cell r="E727">
            <v>0</v>
          </cell>
          <cell r="F727" t="str">
            <v/>
          </cell>
        </row>
        <row r="728">
          <cell r="C728">
            <v>512050</v>
          </cell>
          <cell r="D728" t="str">
            <v>DEMOLIÇÃO MECÂNICA DE PAVIMENTO</v>
          </cell>
          <cell r="E728">
            <v>507.96600000000001</v>
          </cell>
          <cell r="F728" t="str">
            <v>M3</v>
          </cell>
        </row>
        <row r="729">
          <cell r="C729">
            <v>511200</v>
          </cell>
          <cell r="D729" t="str">
            <v>REGULARIZAÇÃO COMPAC.SUBLEITO 100% PN (B)</v>
          </cell>
          <cell r="E729">
            <v>97304.16</v>
          </cell>
          <cell r="F729" t="str">
            <v>M2</v>
          </cell>
        </row>
        <row r="730">
          <cell r="C730">
            <v>531000</v>
          </cell>
          <cell r="D730" t="str">
            <v>BRITA GRADUADA 100% PI</v>
          </cell>
          <cell r="E730">
            <v>19073.75</v>
          </cell>
          <cell r="F730" t="str">
            <v>M3</v>
          </cell>
        </row>
        <row r="731">
          <cell r="C731">
            <v>502615</v>
          </cell>
          <cell r="D731" t="str">
            <v>CONCRETO COMPACTADO A ROLO FCK= 15MPA</v>
          </cell>
          <cell r="E731">
            <v>9246.56</v>
          </cell>
          <cell r="F731" t="str">
            <v>M3</v>
          </cell>
        </row>
        <row r="732">
          <cell r="C732">
            <v>4011538</v>
          </cell>
          <cell r="D732" t="str">
            <v>CURA COM PINTURA ASFÁLTICA PARA PAVIMENTO DE CONCRETO COMPACTADO COM ROLO</v>
          </cell>
          <cell r="E732">
            <v>91497.93</v>
          </cell>
          <cell r="F732" t="str">
            <v>M²</v>
          </cell>
        </row>
        <row r="733">
          <cell r="C733">
            <v>503110</v>
          </cell>
          <cell r="D733" t="str">
            <v>FORNECIMENTO E APLICAÇÃO DE LONA PLÁSTICA PRETA 200 MICRAS</v>
          </cell>
          <cell r="E733">
            <v>91497.93</v>
          </cell>
          <cell r="F733" t="str">
            <v>M2</v>
          </cell>
        </row>
        <row r="734">
          <cell r="C734">
            <v>504920</v>
          </cell>
          <cell r="D734" t="str">
            <v>FORNECIMENTO E COLOCAÇÃO DE TELA TELCON Q-138 OU EQUIVALENTE</v>
          </cell>
          <cell r="E734">
            <v>109.37</v>
          </cell>
          <cell r="F734" t="str">
            <v>KG</v>
          </cell>
        </row>
        <row r="735">
          <cell r="C735">
            <v>507210</v>
          </cell>
          <cell r="D735" t="str">
            <v>FORNECIMENTO E COLOCAÇÃO DE AÇO CA 50 PARA BARRAS DE LIGAÇÃO</v>
          </cell>
          <cell r="E735">
            <v>3238.57</v>
          </cell>
          <cell r="F735" t="str">
            <v>KG</v>
          </cell>
        </row>
        <row r="736">
          <cell r="C736">
            <v>407819</v>
          </cell>
          <cell r="D736" t="str">
            <v>ARMAÇÃO EM AÇO CA-50 - FORNECIMENTO, PREPARO E COLOCAÇÃO</v>
          </cell>
          <cell r="E736">
            <v>378.42</v>
          </cell>
          <cell r="F736" t="str">
            <v>KG</v>
          </cell>
        </row>
        <row r="737">
          <cell r="C737">
            <v>507220</v>
          </cell>
          <cell r="D737" t="str">
            <v>FORNECIMENTO E COLOCAÇÃO DE AÇO CA-25 PARA BARRA DE TRANSFERÊNCIA Ø= 20MM</v>
          </cell>
          <cell r="E737">
            <v>1968.7388761200007</v>
          </cell>
          <cell r="F737" t="str">
            <v>KG</v>
          </cell>
        </row>
        <row r="738">
          <cell r="C738">
            <v>502646</v>
          </cell>
          <cell r="D738" t="str">
            <v>PAVIMENTO DE CONCRETO FCTMK=4,50MPA EXECUTADO COM RÉGUA VIBRATÓRIA</v>
          </cell>
          <cell r="E738">
            <v>14995.32</v>
          </cell>
          <cell r="F738" t="str">
            <v>M3</v>
          </cell>
        </row>
        <row r="739">
          <cell r="C739">
            <v>505415</v>
          </cell>
          <cell r="D739" t="str">
            <v>CURA QUÍMICA DE PAVIMENTO DE CONCRETO</v>
          </cell>
          <cell r="E739">
            <v>91497.93</v>
          </cell>
          <cell r="F739" t="str">
            <v>M2</v>
          </cell>
        </row>
        <row r="740">
          <cell r="C740">
            <v>505416</v>
          </cell>
          <cell r="D740" t="str">
            <v>CURA ÚMIDA DE PAVIMENTO DE CONCRETO COM MANTA DE CURA</v>
          </cell>
          <cell r="E740">
            <v>91497.93</v>
          </cell>
          <cell r="F740" t="str">
            <v>M2</v>
          </cell>
        </row>
        <row r="741">
          <cell r="C741">
            <v>502680</v>
          </cell>
          <cell r="D741" t="str">
            <v>JUNTA LONGITUDINAL, INCLUSIVE CORTE, SELANTE A BASE DE SILICONE E CORDÃO DE POLIPROPILENO</v>
          </cell>
          <cell r="E741">
            <v>19352.948</v>
          </cell>
          <cell r="F741" t="str">
            <v>M</v>
          </cell>
        </row>
        <row r="742">
          <cell r="C742">
            <v>502670</v>
          </cell>
          <cell r="D742" t="str">
            <v>JUNTA TRANSVERSAL , INCLUSIVE CORTE, SELANTE A BASE DE SILICONE E CORDÃO DE POLIPROPILENO</v>
          </cell>
          <cell r="E742">
            <v>26033.254999999997</v>
          </cell>
          <cell r="F742" t="str">
            <v>M</v>
          </cell>
        </row>
        <row r="743">
          <cell r="C743">
            <v>0</v>
          </cell>
          <cell r="D743" t="str">
            <v>PAVIMENTO INTERTRAVADO DE TRANSIÇÃO</v>
          </cell>
          <cell r="E743">
            <v>0</v>
          </cell>
          <cell r="F743" t="str">
            <v/>
          </cell>
        </row>
        <row r="744">
          <cell r="C744">
            <v>511200</v>
          </cell>
          <cell r="D744" t="str">
            <v>REGULARIZAÇÃO COMPAC.SUBLEITO 100% PN (B)</v>
          </cell>
          <cell r="E744">
            <v>4583.46</v>
          </cell>
          <cell r="F744" t="str">
            <v>M2</v>
          </cell>
        </row>
        <row r="745">
          <cell r="C745">
            <v>531000</v>
          </cell>
          <cell r="D745" t="str">
            <v>BRITA GRADUADA 100% PI</v>
          </cell>
          <cell r="E745">
            <v>857.6</v>
          </cell>
          <cell r="F745" t="str">
            <v>M3</v>
          </cell>
        </row>
        <row r="746">
          <cell r="C746">
            <v>502615</v>
          </cell>
          <cell r="D746" t="str">
            <v>CONCRETO COMPACTADO A ROLO FCK= 15MPA</v>
          </cell>
          <cell r="E746">
            <v>494.07</v>
          </cell>
          <cell r="F746" t="str">
            <v>M3</v>
          </cell>
        </row>
        <row r="747">
          <cell r="C747">
            <v>4011538</v>
          </cell>
          <cell r="D747" t="str">
            <v>CURA COM PINTURA ASFÁLTICA PARA PAVIMENTO DE CONCRETO COMPACTADO COM ROLO</v>
          </cell>
          <cell r="E747">
            <v>3608.52054</v>
          </cell>
          <cell r="F747" t="str">
            <v>M²</v>
          </cell>
        </row>
        <row r="748">
          <cell r="C748" t="str">
            <v>CCU-071</v>
          </cell>
          <cell r="D748" t="str">
            <v>VIGA DE CONCRETO 15X14CM, COM BARRA DE 12,5MM</v>
          </cell>
          <cell r="E748">
            <v>544.30999999999995</v>
          </cell>
          <cell r="F748" t="str">
            <v>M</v>
          </cell>
        </row>
        <row r="749">
          <cell r="C749" t="str">
            <v>CCU-072</v>
          </cell>
          <cell r="D749" t="str">
            <v>GUIA DE CONTENÇÃO LATERAL</v>
          </cell>
          <cell r="E749">
            <v>2410.0509999999999</v>
          </cell>
          <cell r="F749" t="str">
            <v>M</v>
          </cell>
        </row>
        <row r="750">
          <cell r="C750">
            <v>532500</v>
          </cell>
          <cell r="D750" t="str">
            <v>COLCHÃO DE AREIA PARA PARALELEPÍPEDO</v>
          </cell>
          <cell r="E750">
            <v>127.79639999999999</v>
          </cell>
          <cell r="F750" t="str">
            <v>M3</v>
          </cell>
        </row>
        <row r="751">
          <cell r="C751">
            <v>92400</v>
          </cell>
          <cell r="D751" t="str">
            <v>EXECUÇÃO DE PAVIMENTO EM PISO INTERTRAVADO, COM BLOCO RETANGULAR DE 20 X 10 CM, ESPESSURA 10 CM. AF_10/2022</v>
          </cell>
          <cell r="E751">
            <v>3194.91</v>
          </cell>
          <cell r="F751" t="str">
            <v>M2</v>
          </cell>
        </row>
        <row r="752">
          <cell r="C752">
            <v>0</v>
          </cell>
          <cell r="D752" t="str">
            <v>LIGANTES BETUMINOSOS</v>
          </cell>
          <cell r="E752">
            <v>0</v>
          </cell>
          <cell r="F752" t="str">
            <v/>
          </cell>
        </row>
        <row r="753">
          <cell r="C753">
            <v>0</v>
          </cell>
          <cell r="D753" t="str">
            <v>TRECHO 1</v>
          </cell>
          <cell r="E753">
            <v>0</v>
          </cell>
          <cell r="F753" t="str">
            <v/>
          </cell>
        </row>
        <row r="754">
          <cell r="C754">
            <v>589220</v>
          </cell>
          <cell r="D754" t="str">
            <v>FORNECIMENTO DE EMULSÃO ASFÁLTICA RM-1C</v>
          </cell>
          <cell r="E754">
            <v>22.91</v>
          </cell>
          <cell r="F754" t="str">
            <v>T</v>
          </cell>
        </row>
        <row r="755">
          <cell r="C755">
            <v>0</v>
          </cell>
          <cell r="D755" t="str">
            <v>TRECHO 3</v>
          </cell>
          <cell r="E755">
            <v>0</v>
          </cell>
          <cell r="F755" t="str">
            <v/>
          </cell>
        </row>
        <row r="756">
          <cell r="C756">
            <v>589220</v>
          </cell>
          <cell r="D756" t="str">
            <v>FORNECIMENTO DE EMULSÃO ASFÁLTICA RM-1C</v>
          </cell>
          <cell r="E756">
            <v>26.53</v>
          </cell>
          <cell r="F756" t="str">
            <v>T</v>
          </cell>
        </row>
        <row r="757">
          <cell r="C757">
            <v>0</v>
          </cell>
          <cell r="D757" t="str">
            <v>TRECHO 4</v>
          </cell>
          <cell r="E757">
            <v>0</v>
          </cell>
          <cell r="F757" t="str">
            <v/>
          </cell>
        </row>
        <row r="758">
          <cell r="C758">
            <v>589190</v>
          </cell>
          <cell r="D758" t="str">
            <v>FORNECIMENTO DE EMULSÃO ASFÁLTICA EAI P/IMPRIMAÇÃO</v>
          </cell>
          <cell r="E758">
            <v>0.49</v>
          </cell>
          <cell r="F758" t="str">
            <v>T</v>
          </cell>
        </row>
        <row r="759">
          <cell r="C759">
            <v>589420</v>
          </cell>
          <cell r="D759" t="str">
            <v>FORNECIMENTO DE EMULSÃO ASFÁLTICA RR-1C</v>
          </cell>
          <cell r="E759">
            <v>0.2</v>
          </cell>
          <cell r="F759" t="str">
            <v>T</v>
          </cell>
        </row>
        <row r="760">
          <cell r="C760">
            <v>589000</v>
          </cell>
          <cell r="D760" t="str">
            <v>FORNECIMENTO DE CAP-50/70</v>
          </cell>
          <cell r="E760">
            <v>3.14</v>
          </cell>
          <cell r="F760" t="str">
            <v>T</v>
          </cell>
        </row>
        <row r="761">
          <cell r="C761">
            <v>0</v>
          </cell>
          <cell r="D761" t="str">
            <v>TRECHO 5</v>
          </cell>
          <cell r="E761">
            <v>0</v>
          </cell>
          <cell r="F761" t="str">
            <v/>
          </cell>
        </row>
        <row r="762">
          <cell r="C762">
            <v>589220</v>
          </cell>
          <cell r="D762" t="str">
            <v>FORNECIMENTO DE EMULSÃO ASFÁLTICA RM-1C</v>
          </cell>
          <cell r="E762">
            <v>47.55</v>
          </cell>
          <cell r="F762" t="str">
            <v>T</v>
          </cell>
        </row>
        <row r="763">
          <cell r="C763">
            <v>0</v>
          </cell>
          <cell r="D763" t="str">
            <v>CONTENÇÕES</v>
          </cell>
          <cell r="E763">
            <v>0</v>
          </cell>
          <cell r="F763" t="str">
            <v/>
          </cell>
        </row>
        <row r="764">
          <cell r="C764">
            <v>0</v>
          </cell>
          <cell r="D764" t="str">
            <v>TRECHO 1</v>
          </cell>
          <cell r="E764">
            <v>0</v>
          </cell>
          <cell r="F764" t="str">
            <v/>
          </cell>
        </row>
        <row r="765">
          <cell r="C765">
            <v>0</v>
          </cell>
          <cell r="D765" t="str">
            <v>MURO 01 - EXTENSÃO 20,00M</v>
          </cell>
          <cell r="E765">
            <v>0</v>
          </cell>
          <cell r="F765">
            <v>0</v>
          </cell>
        </row>
        <row r="766">
          <cell r="C766">
            <v>410200</v>
          </cell>
          <cell r="D766" t="str">
            <v>ESC. CARGA E TRANSP. 1A. CAT.     0-200M</v>
          </cell>
          <cell r="E766">
            <v>226.77760000000004</v>
          </cell>
          <cell r="F766" t="str">
            <v>M3</v>
          </cell>
        </row>
        <row r="767">
          <cell r="C767" t="str">
            <v>CCU-018</v>
          </cell>
          <cell r="D767" t="str">
            <v>ESC. CARGA E TRANSP. 1A. CAT.  12000-14000M (BOTA FORA)</v>
          </cell>
          <cell r="E767">
            <v>153.81239999999994</v>
          </cell>
          <cell r="F767" t="str">
            <v>M³</v>
          </cell>
        </row>
        <row r="768">
          <cell r="C768">
            <v>404300</v>
          </cell>
          <cell r="D768" t="str">
            <v>ESPALHAMENTO E CONFORMAÇÃO DE BOTA-FORA</v>
          </cell>
          <cell r="E768">
            <v>153.81239999999994</v>
          </cell>
          <cell r="F768" t="str">
            <v>M3</v>
          </cell>
        </row>
        <row r="769">
          <cell r="C769" t="str">
            <v>CCU-035</v>
          </cell>
          <cell r="D769" t="str">
            <v>LASTRO DE RACHÃO COM BRITAGEM PARA FUNDAÇÃO DO MURO, INCLUSIVE ESPALHAMENTO E COMPACTAÇÃO</v>
          </cell>
          <cell r="E769">
            <v>97.98</v>
          </cell>
          <cell r="F769" t="str">
            <v>M³</v>
          </cell>
        </row>
        <row r="770">
          <cell r="C770">
            <v>860023</v>
          </cell>
          <cell r="D770" t="str">
            <v>GABIÃO TIPO COLCHÃO ZN/AL + PVC E=0,23M (NBR 8964)</v>
          </cell>
          <cell r="E770">
            <v>40</v>
          </cell>
          <cell r="F770" t="str">
            <v>M2</v>
          </cell>
        </row>
        <row r="771">
          <cell r="C771">
            <v>860150</v>
          </cell>
          <cell r="D771" t="str">
            <v>GABIÃO TIPO CAIXA 2X1X1,00M ZN/AL + PVC (NBR 8964)</v>
          </cell>
          <cell r="E771">
            <v>159</v>
          </cell>
          <cell r="F771" t="str">
            <v>M3</v>
          </cell>
        </row>
        <row r="772">
          <cell r="C772">
            <v>401100</v>
          </cell>
          <cell r="D772" t="str">
            <v>COMPACTAÇÃO DE ATERROS 100% PN (B)</v>
          </cell>
          <cell r="E772">
            <v>177.17000000000002</v>
          </cell>
          <cell r="F772" t="str">
            <v>M3</v>
          </cell>
        </row>
        <row r="773">
          <cell r="C773">
            <v>0</v>
          </cell>
          <cell r="D773" t="str">
            <v>MURO 02 - EXTENSÃO 58,00M</v>
          </cell>
          <cell r="E773">
            <v>0</v>
          </cell>
          <cell r="F773">
            <v>0</v>
          </cell>
        </row>
        <row r="774">
          <cell r="C774">
            <v>410200</v>
          </cell>
          <cell r="D774" t="str">
            <v>ESC. CARGA E TRANSP. 1A. CAT.     0-200M</v>
          </cell>
          <cell r="E774">
            <v>362.41408000000001</v>
          </cell>
          <cell r="F774" t="str">
            <v>M3</v>
          </cell>
        </row>
        <row r="775">
          <cell r="C775" t="str">
            <v>CCU-018</v>
          </cell>
          <cell r="D775" t="str">
            <v>ESC. CARGA E TRANSP. 1A. CAT.  12000-14000M (BOTA FORA)</v>
          </cell>
          <cell r="E775">
            <v>411.11091999999996</v>
          </cell>
          <cell r="F775" t="str">
            <v>M³</v>
          </cell>
        </row>
        <row r="776">
          <cell r="C776">
            <v>404300</v>
          </cell>
          <cell r="D776" t="str">
            <v>ESPALHAMENTO E CONFORMAÇÃO DE BOTA-FORA</v>
          </cell>
          <cell r="E776">
            <v>411.11091999999996</v>
          </cell>
          <cell r="F776" t="str">
            <v>M3</v>
          </cell>
        </row>
        <row r="777">
          <cell r="C777" t="str">
            <v>CCU-035</v>
          </cell>
          <cell r="D777" t="str">
            <v>LASTRO DE RACHÃO COM BRITAGEM PARA FUNDAÇÃO DO MURO, INCLUSIVE ESPALHAMENTO E COMPACTAÇÃO</v>
          </cell>
          <cell r="E777">
            <v>262.065</v>
          </cell>
          <cell r="F777" t="str">
            <v>M³</v>
          </cell>
        </row>
        <row r="778">
          <cell r="C778">
            <v>860023</v>
          </cell>
          <cell r="D778" t="str">
            <v>GABIÃO TIPO COLCHÃO ZN/AL + PVC E=0,23M (NBR 8964)</v>
          </cell>
          <cell r="E778">
            <v>116</v>
          </cell>
          <cell r="F778" t="str">
            <v>M2</v>
          </cell>
        </row>
        <row r="779">
          <cell r="C779">
            <v>860150</v>
          </cell>
          <cell r="D779" t="str">
            <v>GABIÃO TIPO CAIXA 2X1X1,00M ZN/AL + PVC (NBR 8964)</v>
          </cell>
          <cell r="E779">
            <v>358.2</v>
          </cell>
          <cell r="F779" t="str">
            <v>M3</v>
          </cell>
        </row>
        <row r="780">
          <cell r="C780">
            <v>401100</v>
          </cell>
          <cell r="D780" t="str">
            <v>COMPACTAÇÃO DE ATERROS 100% PN (B)</v>
          </cell>
          <cell r="E780">
            <v>283.13600000000002</v>
          </cell>
          <cell r="F780" t="str">
            <v>M3</v>
          </cell>
        </row>
        <row r="781">
          <cell r="C781">
            <v>0</v>
          </cell>
          <cell r="D781" t="str">
            <v>SINALIZAÇÃO VIÁRIA</v>
          </cell>
          <cell r="E781">
            <v>0</v>
          </cell>
          <cell r="F781" t="str">
            <v/>
          </cell>
        </row>
        <row r="782">
          <cell r="C782">
            <v>0</v>
          </cell>
          <cell r="D782" t="str">
            <v>TRECHO 1</v>
          </cell>
          <cell r="E782">
            <v>0</v>
          </cell>
          <cell r="F782" t="str">
            <v/>
          </cell>
        </row>
        <row r="783">
          <cell r="C783">
            <v>800900</v>
          </cell>
          <cell r="D783" t="str">
            <v>LIMPEZA E LAVAGEM DE SINALIZAÇÃO VERTICAL</v>
          </cell>
          <cell r="E783">
            <v>0.49</v>
          </cell>
          <cell r="F783" t="str">
            <v>M2</v>
          </cell>
        </row>
        <row r="784">
          <cell r="C784">
            <v>820000</v>
          </cell>
          <cell r="D784" t="str">
            <v>PLACA SINALIZAÇÃO C/ PELÍCULA REFLETIVA</v>
          </cell>
          <cell r="E784">
            <v>47.29</v>
          </cell>
          <cell r="F784" t="str">
            <v>M2</v>
          </cell>
        </row>
        <row r="785">
          <cell r="C785">
            <v>821000</v>
          </cell>
          <cell r="D785" t="str">
            <v>SUPORTE DE MADEIRA 3"X3" P/ PLACA SINALIZAÇÃO, H=3,00M</v>
          </cell>
          <cell r="E785">
            <v>83</v>
          </cell>
          <cell r="F785" t="str">
            <v>UD</v>
          </cell>
        </row>
        <row r="786">
          <cell r="C786">
            <v>822350</v>
          </cell>
          <cell r="D786" t="str">
            <v>FAIXA DE SINALIZAÇÃO HORIZONTAL - TERMOPLÁSTICO POR ASPERSÃO - E=1,5MM</v>
          </cell>
          <cell r="E786">
            <v>4932.8500000000004</v>
          </cell>
          <cell r="F786" t="str">
            <v>M2</v>
          </cell>
        </row>
        <row r="787">
          <cell r="C787">
            <v>823000</v>
          </cell>
          <cell r="D787" t="str">
            <v>DEFENSA SIMPLES SEMI-MALEÁVEL C/ ESPAÇADOR E CALÇO</v>
          </cell>
          <cell r="E787">
            <v>800</v>
          </cell>
          <cell r="F787" t="str">
            <v>M</v>
          </cell>
        </row>
        <row r="788">
          <cell r="C788">
            <v>870000</v>
          </cell>
          <cell r="D788" t="str">
            <v>TACHA REFLETIVA MONODIRECIONAL</v>
          </cell>
          <cell r="E788">
            <v>54</v>
          </cell>
          <cell r="F788" t="str">
            <v>UD</v>
          </cell>
        </row>
        <row r="789">
          <cell r="C789">
            <v>871000</v>
          </cell>
          <cell r="D789" t="str">
            <v>TACHA REFLETIVA BIDIRECIONAL</v>
          </cell>
          <cell r="E789">
            <v>1153</v>
          </cell>
          <cell r="F789" t="str">
            <v>UD</v>
          </cell>
        </row>
        <row r="790">
          <cell r="C790">
            <v>873000</v>
          </cell>
          <cell r="D790" t="str">
            <v>TACHÃO REFLETIVO BIDIRECIONAL</v>
          </cell>
          <cell r="E790">
            <v>2363</v>
          </cell>
          <cell r="F790" t="str">
            <v>UD</v>
          </cell>
        </row>
        <row r="791">
          <cell r="C791" t="str">
            <v>CCU-042</v>
          </cell>
          <cell r="D791" t="str">
            <v>REMOÇÃO DE PLACA DE SINALIZAÇÃO INCLUSIVE SUPORTE SIMPLES</v>
          </cell>
          <cell r="E791">
            <v>4.1399999999999997</v>
          </cell>
          <cell r="F791" t="str">
            <v>M²</v>
          </cell>
        </row>
        <row r="792">
          <cell r="C792" t="str">
            <v>CCU-045</v>
          </cell>
          <cell r="D792" t="str">
            <v>SUPORTE DUPLO DE MADEIRA 3"X3" P/ PLACA SINALIZAÇÃO</v>
          </cell>
          <cell r="E792">
            <v>5</v>
          </cell>
          <cell r="F792" t="str">
            <v>M</v>
          </cell>
        </row>
        <row r="793">
          <cell r="C793">
            <v>0</v>
          </cell>
          <cell r="D793" t="str">
            <v>TRECHO 2</v>
          </cell>
          <cell r="E793">
            <v>0</v>
          </cell>
          <cell r="F793" t="str">
            <v/>
          </cell>
        </row>
        <row r="794">
          <cell r="C794">
            <v>800900</v>
          </cell>
          <cell r="D794" t="str">
            <v>LIMPEZA E LAVAGEM DE SINALIZAÇÃO VERTICAL</v>
          </cell>
          <cell r="E794">
            <v>13.47</v>
          </cell>
          <cell r="F794" t="str">
            <v>M2</v>
          </cell>
        </row>
        <row r="795">
          <cell r="C795">
            <v>820000</v>
          </cell>
          <cell r="D795" t="str">
            <v>PLACA SINALIZAÇÃO C/ PELÍCULA REFLETIVA</v>
          </cell>
          <cell r="E795">
            <v>22.13</v>
          </cell>
          <cell r="F795" t="str">
            <v>M2</v>
          </cell>
        </row>
        <row r="796">
          <cell r="C796">
            <v>821000</v>
          </cell>
          <cell r="D796" t="str">
            <v>SUPORTE DE MADEIRA 3"X3" P/ PLACA SINALIZAÇÃO, H=3,00M</v>
          </cell>
          <cell r="E796">
            <v>53</v>
          </cell>
          <cell r="F796" t="str">
            <v>UD</v>
          </cell>
        </row>
        <row r="797">
          <cell r="C797">
            <v>822350</v>
          </cell>
          <cell r="D797" t="str">
            <v>FAIXA DE SINALIZAÇÃO HORIZONTAL - TERMOPLÁSTICO POR ASPERSÃO - E=1,5MM</v>
          </cell>
          <cell r="E797">
            <v>1190.69</v>
          </cell>
          <cell r="F797" t="str">
            <v>M2</v>
          </cell>
        </row>
        <row r="798">
          <cell r="C798">
            <v>871000</v>
          </cell>
          <cell r="D798" t="str">
            <v>TACHA REFLETIVA BIDIRECIONAL</v>
          </cell>
          <cell r="E798">
            <v>14</v>
          </cell>
          <cell r="F798" t="str">
            <v>UD</v>
          </cell>
        </row>
        <row r="799">
          <cell r="C799">
            <v>873000</v>
          </cell>
          <cell r="D799" t="str">
            <v>TACHÃO REFLETIVO BIDIRECIONAL</v>
          </cell>
          <cell r="E799">
            <v>1437</v>
          </cell>
          <cell r="F799" t="str">
            <v>UD</v>
          </cell>
        </row>
        <row r="800">
          <cell r="C800" t="str">
            <v>CCU-042</v>
          </cell>
          <cell r="D800" t="str">
            <v>REMOÇÃO DE PLACA DE SINALIZAÇÃO INCLUSIVE SUPORTE SIMPLES</v>
          </cell>
          <cell r="E800">
            <v>2.2000000000000002</v>
          </cell>
          <cell r="F800" t="str">
            <v>M²</v>
          </cell>
        </row>
        <row r="801">
          <cell r="C801" t="str">
            <v>CCU-043</v>
          </cell>
          <cell r="D801" t="str">
            <v>RELOCAÇÃO DE PLACA DE SINALIZAÇÃO VERTICAL</v>
          </cell>
          <cell r="E801">
            <v>3.64</v>
          </cell>
          <cell r="F801" t="str">
            <v>M²</v>
          </cell>
        </row>
        <row r="802">
          <cell r="C802">
            <v>0</v>
          </cell>
          <cell r="D802" t="str">
            <v>TRECHO 3</v>
          </cell>
          <cell r="E802">
            <v>0</v>
          </cell>
          <cell r="F802" t="str">
            <v/>
          </cell>
        </row>
        <row r="803">
          <cell r="C803">
            <v>800900</v>
          </cell>
          <cell r="D803" t="str">
            <v>LIMPEZA E LAVAGEM DE SINALIZAÇÃO VERTICAL</v>
          </cell>
          <cell r="E803">
            <v>0.3</v>
          </cell>
          <cell r="F803" t="str">
            <v>M2</v>
          </cell>
        </row>
        <row r="804">
          <cell r="C804">
            <v>820000</v>
          </cell>
          <cell r="D804" t="str">
            <v>PLACA SINALIZAÇÃO C/ PELÍCULA REFLETIVA</v>
          </cell>
          <cell r="E804">
            <v>19.48</v>
          </cell>
          <cell r="F804" t="str">
            <v>M2</v>
          </cell>
        </row>
        <row r="805">
          <cell r="C805">
            <v>821000</v>
          </cell>
          <cell r="D805" t="str">
            <v>SUPORTE DE MADEIRA 3"X3" P/ PLACA SINALIZAÇÃO, H=3,00M</v>
          </cell>
          <cell r="E805">
            <v>71</v>
          </cell>
          <cell r="F805" t="str">
            <v>UD</v>
          </cell>
        </row>
        <row r="806">
          <cell r="C806">
            <v>822350</v>
          </cell>
          <cell r="D806" t="str">
            <v>FAIXA DE SINALIZAÇÃO HORIZONTAL - TERMOPLÁSTICO POR ASPERSÃO - E=1,5MM</v>
          </cell>
          <cell r="E806">
            <v>5647.95</v>
          </cell>
          <cell r="F806" t="str">
            <v>M2</v>
          </cell>
        </row>
        <row r="807">
          <cell r="C807">
            <v>823000</v>
          </cell>
          <cell r="D807" t="str">
            <v>DEFENSA SIMPLES SEMI-MALEÁVEL C/ ESPAÇADOR E CALÇO</v>
          </cell>
          <cell r="E807">
            <v>612</v>
          </cell>
          <cell r="F807" t="str">
            <v>M</v>
          </cell>
        </row>
        <row r="808">
          <cell r="C808">
            <v>871000</v>
          </cell>
          <cell r="D808" t="str">
            <v>TACHA REFLETIVA BIDIRECIONAL</v>
          </cell>
          <cell r="E808">
            <v>1361</v>
          </cell>
          <cell r="F808" t="str">
            <v>UD</v>
          </cell>
        </row>
        <row r="809">
          <cell r="C809">
            <v>873000</v>
          </cell>
          <cell r="D809" t="str">
            <v>TACHÃO REFLETIVO BIDIRECIONAL</v>
          </cell>
          <cell r="E809">
            <v>2724</v>
          </cell>
          <cell r="F809" t="str">
            <v>UD</v>
          </cell>
        </row>
        <row r="810">
          <cell r="C810" t="str">
            <v>CCU-042</v>
          </cell>
          <cell r="D810" t="str">
            <v>REMOÇÃO DE PLACA DE SINALIZAÇÃO INCLUSIVE SUPORTE SIMPLES</v>
          </cell>
          <cell r="E810">
            <v>0.79</v>
          </cell>
          <cell r="F810" t="str">
            <v>M²</v>
          </cell>
        </row>
        <row r="811">
          <cell r="C811" t="str">
            <v>CCU-043</v>
          </cell>
          <cell r="D811" t="str">
            <v>RELOCAÇÃO DE PLACA DE SINALIZAÇÃO VERTICAL</v>
          </cell>
          <cell r="E811">
            <v>12</v>
          </cell>
          <cell r="F811" t="str">
            <v>M²</v>
          </cell>
        </row>
        <row r="812">
          <cell r="C812">
            <v>0</v>
          </cell>
          <cell r="D812" t="str">
            <v>TRECHO 4</v>
          </cell>
          <cell r="E812">
            <v>0</v>
          </cell>
          <cell r="F812" t="str">
            <v/>
          </cell>
        </row>
        <row r="813">
          <cell r="C813">
            <v>800900</v>
          </cell>
          <cell r="D813" t="str">
            <v>LIMPEZA E LAVAGEM DE SINALIZAÇÃO VERTICAL</v>
          </cell>
          <cell r="E813">
            <v>17.12</v>
          </cell>
          <cell r="F813" t="str">
            <v>M2</v>
          </cell>
        </row>
        <row r="814">
          <cell r="C814">
            <v>820000</v>
          </cell>
          <cell r="D814" t="str">
            <v>PLACA SINALIZAÇÃO C/ PELÍCULA REFLETIVA</v>
          </cell>
          <cell r="E814">
            <v>31.94</v>
          </cell>
          <cell r="F814" t="str">
            <v>M2</v>
          </cell>
        </row>
        <row r="815">
          <cell r="C815">
            <v>821000</v>
          </cell>
          <cell r="D815" t="str">
            <v>SUPORTE DE MADEIRA 3"X3" P/ PLACA SINALIZAÇÃO, H=3,00M</v>
          </cell>
          <cell r="E815">
            <v>80</v>
          </cell>
          <cell r="F815" t="str">
            <v>UD</v>
          </cell>
        </row>
        <row r="816">
          <cell r="C816">
            <v>822350</v>
          </cell>
          <cell r="D816" t="str">
            <v>FAIXA DE SINALIZAÇÃO HORIZONTAL - TERMOPLÁSTICO POR ASPERSÃO - E=1,5MM</v>
          </cell>
          <cell r="E816">
            <v>2056.42</v>
          </cell>
          <cell r="F816" t="str">
            <v>M2</v>
          </cell>
        </row>
        <row r="817">
          <cell r="C817">
            <v>823000</v>
          </cell>
          <cell r="D817" t="str">
            <v>DEFENSA SIMPLES SEMI-MALEÁVEL C/ ESPAÇADOR E CALÇO</v>
          </cell>
          <cell r="E817">
            <v>34</v>
          </cell>
          <cell r="F817" t="str">
            <v>M</v>
          </cell>
        </row>
        <row r="818">
          <cell r="C818">
            <v>871000</v>
          </cell>
          <cell r="D818" t="str">
            <v>TACHA REFLETIVA BIDIRECIONAL</v>
          </cell>
          <cell r="E818">
            <v>14</v>
          </cell>
          <cell r="F818" t="str">
            <v>UD</v>
          </cell>
        </row>
        <row r="819">
          <cell r="C819">
            <v>873000</v>
          </cell>
          <cell r="D819" t="str">
            <v>TACHÃO REFLETIVO BIDIRECIONAL</v>
          </cell>
          <cell r="E819">
            <v>1636</v>
          </cell>
          <cell r="F819" t="str">
            <v>UD</v>
          </cell>
        </row>
        <row r="820">
          <cell r="C820" t="str">
            <v>CCU-042</v>
          </cell>
          <cell r="D820" t="str">
            <v>REMOÇÃO DE PLACA DE SINALIZAÇÃO INCLUSIVE SUPORTE SIMPLES</v>
          </cell>
          <cell r="E820">
            <v>6.93</v>
          </cell>
          <cell r="F820" t="str">
            <v>M²</v>
          </cell>
        </row>
        <row r="821">
          <cell r="C821" t="str">
            <v>CCU-043</v>
          </cell>
          <cell r="D821" t="str">
            <v>RELOCAÇÃO DE PLACA DE SINALIZAÇÃO VERTICAL</v>
          </cell>
          <cell r="E821">
            <v>3.2</v>
          </cell>
          <cell r="F821" t="str">
            <v>M²</v>
          </cell>
        </row>
        <row r="822">
          <cell r="C822" t="str">
            <v>CCU-044</v>
          </cell>
          <cell r="D822" t="str">
            <v>DEFENSA METÁLICA A REMOVER</v>
          </cell>
          <cell r="E822">
            <v>17</v>
          </cell>
          <cell r="F822" t="str">
            <v>M</v>
          </cell>
        </row>
        <row r="823">
          <cell r="C823">
            <v>0</v>
          </cell>
          <cell r="D823" t="str">
            <v>TRECHO 5</v>
          </cell>
          <cell r="E823">
            <v>0</v>
          </cell>
          <cell r="F823" t="str">
            <v/>
          </cell>
        </row>
        <row r="824">
          <cell r="C824">
            <v>820000</v>
          </cell>
          <cell r="D824" t="str">
            <v>PLACA SINALIZAÇÃO C/ PELÍCULA REFLETIVA</v>
          </cell>
          <cell r="E824">
            <v>55.48</v>
          </cell>
          <cell r="F824" t="str">
            <v>M2</v>
          </cell>
        </row>
        <row r="825">
          <cell r="C825">
            <v>821000</v>
          </cell>
          <cell r="D825" t="str">
            <v>SUPORTE DE MADEIRA 3"X3" P/ PLACA SINALIZAÇÃO, H=3,00M</v>
          </cell>
          <cell r="E825">
            <v>163</v>
          </cell>
          <cell r="F825" t="str">
            <v>UD</v>
          </cell>
        </row>
        <row r="826">
          <cell r="C826">
            <v>822350</v>
          </cell>
          <cell r="D826" t="str">
            <v>FAIXA DE SINALIZAÇÃO HORIZONTAL - TERMOPLÁSTICO POR ASPERSÃO - E=1,5MM</v>
          </cell>
          <cell r="E826">
            <v>10535.05</v>
          </cell>
          <cell r="F826" t="str">
            <v>M2</v>
          </cell>
        </row>
        <row r="827">
          <cell r="C827">
            <v>823000</v>
          </cell>
          <cell r="D827" t="str">
            <v>DEFENSA SIMPLES SEMI-MALEÁVEL C/ ESPAÇADOR E CALÇO</v>
          </cell>
          <cell r="E827">
            <v>1081</v>
          </cell>
          <cell r="F827" t="str">
            <v>M</v>
          </cell>
        </row>
        <row r="828">
          <cell r="C828">
            <v>871000</v>
          </cell>
          <cell r="D828" t="str">
            <v>TACHA REFLETIVA BIDIRECIONAL</v>
          </cell>
          <cell r="E828">
            <v>2393</v>
          </cell>
          <cell r="F828" t="str">
            <v>UD</v>
          </cell>
        </row>
        <row r="829">
          <cell r="C829">
            <v>873000</v>
          </cell>
          <cell r="D829" t="str">
            <v>TACHÃO REFLETIVO BIDIRECIONAL</v>
          </cell>
          <cell r="E829">
            <v>4800</v>
          </cell>
          <cell r="F829" t="str">
            <v>UD</v>
          </cell>
        </row>
        <row r="830">
          <cell r="C830" t="str">
            <v>CCU-042</v>
          </cell>
          <cell r="D830" t="str">
            <v>REMOÇÃO DE PLACA DE SINALIZAÇÃO INCLUSIVE SUPORTE SIMPLES</v>
          </cell>
          <cell r="E830">
            <v>0.2</v>
          </cell>
          <cell r="F830" t="str">
            <v>M²</v>
          </cell>
        </row>
        <row r="831">
          <cell r="C831" t="str">
            <v>CCU-043</v>
          </cell>
          <cell r="D831" t="str">
            <v>RELOCAÇÃO DE PLACA DE SINALIZAÇÃO VERTICAL</v>
          </cell>
          <cell r="E831">
            <v>3</v>
          </cell>
          <cell r="F831" t="str">
            <v>M²</v>
          </cell>
        </row>
        <row r="832">
          <cell r="C832" t="str">
            <v>CCU-045</v>
          </cell>
          <cell r="D832" t="str">
            <v>SUPORTE DUPLO DE MADEIRA 3"X3" P/ PLACA SINALIZAÇÃO</v>
          </cell>
          <cell r="E832">
            <v>4</v>
          </cell>
          <cell r="F832" t="str">
            <v>M</v>
          </cell>
        </row>
        <row r="833">
          <cell r="C833">
            <v>0</v>
          </cell>
          <cell r="D833" t="str">
            <v>SERVIÇOS COMPLEMENTARES</v>
          </cell>
          <cell r="E833">
            <v>0</v>
          </cell>
          <cell r="F833" t="str">
            <v/>
          </cell>
        </row>
        <row r="834">
          <cell r="C834">
            <v>0</v>
          </cell>
          <cell r="D834" t="str">
            <v>TRECHO 1</v>
          </cell>
          <cell r="E834">
            <v>0</v>
          </cell>
          <cell r="F834" t="str">
            <v/>
          </cell>
        </row>
        <row r="835">
          <cell r="C835">
            <v>606500</v>
          </cell>
          <cell r="D835" t="str">
            <v>DEMOLIÇÃO DE ALVENARIA</v>
          </cell>
          <cell r="E835">
            <v>97.92</v>
          </cell>
          <cell r="F835" t="str">
            <v>M3</v>
          </cell>
        </row>
        <row r="836">
          <cell r="C836">
            <v>606600</v>
          </cell>
          <cell r="D836" t="str">
            <v>DEMOLIÇÃO DE CONCRETO ARMADO</v>
          </cell>
          <cell r="E836">
            <v>22.75</v>
          </cell>
          <cell r="F836" t="str">
            <v>M3</v>
          </cell>
        </row>
        <row r="837">
          <cell r="C837">
            <v>606700</v>
          </cell>
          <cell r="D837" t="str">
            <v>DEMOLIÇÃO DE CONCRETO SIMPLES</v>
          </cell>
          <cell r="E837">
            <v>25.73</v>
          </cell>
          <cell r="F837" t="str">
            <v>M3</v>
          </cell>
        </row>
        <row r="838">
          <cell r="C838">
            <v>800000</v>
          </cell>
          <cell r="D838" t="str">
            <v>ENLEIVAMENTO</v>
          </cell>
          <cell r="E838">
            <v>17522.37</v>
          </cell>
          <cell r="F838" t="str">
            <v>M2</v>
          </cell>
        </row>
        <row r="839">
          <cell r="C839">
            <v>800100</v>
          </cell>
          <cell r="D839" t="str">
            <v>HIDROSSEMEADURA</v>
          </cell>
          <cell r="E839">
            <v>1798.38</v>
          </cell>
          <cell r="F839" t="str">
            <v>M2</v>
          </cell>
        </row>
        <row r="840">
          <cell r="C840">
            <v>831000</v>
          </cell>
          <cell r="D840" t="str">
            <v>CERCA 4 FIOS C/ MOURÕES DE CONCRETO</v>
          </cell>
          <cell r="E840">
            <v>2772.74</v>
          </cell>
          <cell r="F840" t="str">
            <v>M</v>
          </cell>
        </row>
        <row r="841">
          <cell r="C841">
            <v>841000</v>
          </cell>
          <cell r="D841" t="str">
            <v>REMOÇÃO DE CERCAS</v>
          </cell>
          <cell r="E841">
            <v>4196.57</v>
          </cell>
          <cell r="F841" t="str">
            <v>M</v>
          </cell>
        </row>
        <row r="842">
          <cell r="C842">
            <v>850000</v>
          </cell>
          <cell r="D842" t="str">
            <v>ABRIGO EM PARADA DE ÔNIBUS</v>
          </cell>
          <cell r="E842">
            <v>6</v>
          </cell>
          <cell r="F842" t="str">
            <v>UD</v>
          </cell>
        </row>
        <row r="843">
          <cell r="C843" t="str">
            <v>CCU-046</v>
          </cell>
          <cell r="D843" t="str">
            <v>CERCA DE TELA COM MOURÕES DE CONCRETO PARA PASSA FAUNA</v>
          </cell>
          <cell r="E843">
            <v>828.32</v>
          </cell>
          <cell r="F843" t="str">
            <v>M</v>
          </cell>
        </row>
        <row r="844">
          <cell r="C844" t="str">
            <v>CCU-047</v>
          </cell>
          <cell r="D844" t="str">
            <v>CERCA DE TELA COM MOURÕES DE CONCRETO</v>
          </cell>
          <cell r="E844">
            <v>480.23</v>
          </cell>
          <cell r="F844" t="str">
            <v>M</v>
          </cell>
        </row>
        <row r="845">
          <cell r="C845">
            <v>810250</v>
          </cell>
          <cell r="D845" t="str">
            <v>MEIO FIO DE CONCRETO TIPO 3 (PRÉ-MOLDADO)</v>
          </cell>
          <cell r="E845">
            <v>140.49</v>
          </cell>
          <cell r="F845" t="str">
            <v>M</v>
          </cell>
        </row>
        <row r="846">
          <cell r="C846" t="str">
            <v>CCU-048</v>
          </cell>
          <cell r="D846" t="str">
            <v>CALÇADA COM LASTRO DE BRITA E ACABAMENTO EM CONCRETO</v>
          </cell>
          <cell r="E846">
            <v>457.1</v>
          </cell>
          <cell r="F846" t="str">
            <v>M²</v>
          </cell>
        </row>
        <row r="847">
          <cell r="C847" t="str">
            <v>CCU-049</v>
          </cell>
          <cell r="D847" t="str">
            <v>RECOMPOSIÇÃO DE MURO DE ALVENARIA, REBOCADO COM FUNDAÇÃO EM CONCRETO ARMADO E PINGADEIRA (H=2,00M SENDO 1,70M DE ALVENARIA E 0,30M DE VIGA BALDRAME)</v>
          </cell>
          <cell r="E847">
            <v>228</v>
          </cell>
          <cell r="F847" t="str">
            <v>M</v>
          </cell>
        </row>
        <row r="848">
          <cell r="C848" t="str">
            <v>CCU-050</v>
          </cell>
          <cell r="D848" t="str">
            <v>REMANEJAMENTO DE REDE DE ÁGUA</v>
          </cell>
          <cell r="E848">
            <v>200</v>
          </cell>
          <cell r="F848" t="str">
            <v>M</v>
          </cell>
        </row>
        <row r="849">
          <cell r="C849" t="str">
            <v>CCU-051</v>
          </cell>
          <cell r="D849" t="str">
            <v>PROLONGAMENTO DA CAIXA DA ADUTORA</v>
          </cell>
          <cell r="E849">
            <v>2</v>
          </cell>
          <cell r="F849" t="str">
            <v>UN</v>
          </cell>
        </row>
        <row r="850">
          <cell r="C850" t="str">
            <v>CCU-052</v>
          </cell>
          <cell r="D850" t="str">
            <v>REMOÇÃO E RECOLOCAÇÃO DE PORTÕES</v>
          </cell>
          <cell r="E850">
            <v>6.2</v>
          </cell>
          <cell r="F850" t="str">
            <v>M</v>
          </cell>
        </row>
        <row r="851">
          <cell r="C851" t="str">
            <v>CCU-053</v>
          </cell>
          <cell r="D851" t="str">
            <v>CARGA E TRANSPORTE DE ENTULHOS - 15.000M</v>
          </cell>
          <cell r="E851">
            <v>230.33</v>
          </cell>
          <cell r="F851" t="str">
            <v>M³</v>
          </cell>
        </row>
        <row r="852">
          <cell r="C852" t="str">
            <v>CCU-054</v>
          </cell>
          <cell r="D852" t="str">
            <v>REATERRO DE BORDO DE PAVIMENTO</v>
          </cell>
          <cell r="E852">
            <v>4181.96</v>
          </cell>
          <cell r="F852" t="str">
            <v>M³</v>
          </cell>
        </row>
        <row r="853">
          <cell r="C853">
            <v>0</v>
          </cell>
          <cell r="D853" t="str">
            <v>TRECHO 2</v>
          </cell>
          <cell r="E853">
            <v>0</v>
          </cell>
          <cell r="F853" t="str">
            <v/>
          </cell>
        </row>
        <row r="854">
          <cell r="C854">
            <v>606500</v>
          </cell>
          <cell r="D854" t="str">
            <v>DEMOLIÇÃO DE ALVENARIA</v>
          </cell>
          <cell r="E854">
            <v>47.85</v>
          </cell>
          <cell r="F854" t="str">
            <v>M3</v>
          </cell>
        </row>
        <row r="855">
          <cell r="C855">
            <v>606600</v>
          </cell>
          <cell r="D855" t="str">
            <v>DEMOLIÇÃO DE CONCRETO ARMADO</v>
          </cell>
          <cell r="E855">
            <v>10.89</v>
          </cell>
          <cell r="F855" t="str">
            <v>M3</v>
          </cell>
        </row>
        <row r="856">
          <cell r="C856">
            <v>606700</v>
          </cell>
          <cell r="D856" t="str">
            <v>DEMOLIÇÃO DE CONCRETO SIMPLES</v>
          </cell>
          <cell r="E856">
            <v>1.08</v>
          </cell>
          <cell r="F856" t="str">
            <v>M3</v>
          </cell>
        </row>
        <row r="857">
          <cell r="C857">
            <v>800000</v>
          </cell>
          <cell r="D857" t="str">
            <v>ENLEIVAMENTO</v>
          </cell>
          <cell r="E857">
            <v>2442.59</v>
          </cell>
          <cell r="F857" t="str">
            <v>M2</v>
          </cell>
        </row>
        <row r="858">
          <cell r="C858">
            <v>800100</v>
          </cell>
          <cell r="D858" t="str">
            <v>HIDROSSEMEADURA</v>
          </cell>
          <cell r="E858">
            <v>1129.05</v>
          </cell>
          <cell r="F858" t="str">
            <v>M2</v>
          </cell>
        </row>
        <row r="859">
          <cell r="C859">
            <v>831000</v>
          </cell>
          <cell r="D859" t="str">
            <v>CERCA 4 FIOS C/ MOURÕES DE CONCRETO</v>
          </cell>
          <cell r="E859">
            <v>986.74</v>
          </cell>
          <cell r="F859" t="str">
            <v>M</v>
          </cell>
        </row>
        <row r="860">
          <cell r="C860">
            <v>841000</v>
          </cell>
          <cell r="D860" t="str">
            <v>REMOÇÃO DE CERCAS</v>
          </cell>
          <cell r="E860">
            <v>1094.1400000000001</v>
          </cell>
          <cell r="F860" t="str">
            <v>M</v>
          </cell>
        </row>
        <row r="861">
          <cell r="C861">
            <v>850000</v>
          </cell>
          <cell r="D861" t="str">
            <v>ABRIGO EM PARADA DE ÔNIBUS</v>
          </cell>
          <cell r="E861">
            <v>1</v>
          </cell>
          <cell r="F861" t="str">
            <v>UD</v>
          </cell>
        </row>
        <row r="862">
          <cell r="C862" t="str">
            <v>CCU-047</v>
          </cell>
          <cell r="D862" t="str">
            <v>CERCA DE TELA COM MOURÕES DE CONCRETO</v>
          </cell>
          <cell r="E862">
            <v>165.61</v>
          </cell>
          <cell r="F862" t="str">
            <v>M</v>
          </cell>
        </row>
        <row r="863">
          <cell r="C863" t="str">
            <v>CCU-049</v>
          </cell>
          <cell r="D863" t="str">
            <v>RECOMPOSIÇÃO DE MURO DE ALVENARIA, REBOCADO COM FUNDAÇÃO EM CONCRETO ARMADO E PINGADEIRA (H=2,00M SENDO 1,70M DE ALVENARIA E 0,30M DE VIGA BALDRAME)</v>
          </cell>
          <cell r="E863">
            <v>112.06</v>
          </cell>
          <cell r="F863" t="str">
            <v>M</v>
          </cell>
        </row>
        <row r="864">
          <cell r="C864" t="str">
            <v>CCU-052</v>
          </cell>
          <cell r="D864" t="str">
            <v>REMOÇÃO E RECOLOCAÇÃO DE PORTÕES</v>
          </cell>
          <cell r="E864">
            <v>13.6</v>
          </cell>
          <cell r="F864" t="str">
            <v>M</v>
          </cell>
        </row>
        <row r="865">
          <cell r="C865" t="str">
            <v>CCU-053</v>
          </cell>
          <cell r="D865" t="str">
            <v>CARGA E TRANSPORTE DE ENTULHOS - 15.000M</v>
          </cell>
          <cell r="E865">
            <v>81.7</v>
          </cell>
          <cell r="F865" t="str">
            <v>M³</v>
          </cell>
        </row>
        <row r="866">
          <cell r="C866" t="str">
            <v>CCU-054</v>
          </cell>
          <cell r="D866" t="str">
            <v>REATERRO DE BORDO DE PAVIMENTO</v>
          </cell>
          <cell r="E866">
            <v>2667.32</v>
          </cell>
          <cell r="F866" t="str">
            <v>M³</v>
          </cell>
        </row>
        <row r="867">
          <cell r="C867">
            <v>0</v>
          </cell>
          <cell r="D867" t="str">
            <v>TRECHO 3</v>
          </cell>
          <cell r="E867">
            <v>0</v>
          </cell>
          <cell r="F867" t="str">
            <v/>
          </cell>
        </row>
        <row r="868">
          <cell r="C868">
            <v>606500</v>
          </cell>
          <cell r="D868" t="str">
            <v>DEMOLIÇÃO DE ALVENARIA</v>
          </cell>
          <cell r="E868">
            <v>4.88</v>
          </cell>
          <cell r="F868" t="str">
            <v>M3</v>
          </cell>
        </row>
        <row r="869">
          <cell r="C869">
            <v>606600</v>
          </cell>
          <cell r="D869" t="str">
            <v>DEMOLIÇÃO DE CONCRETO ARMADO</v>
          </cell>
          <cell r="E869">
            <v>1.94</v>
          </cell>
          <cell r="F869" t="str">
            <v>M3</v>
          </cell>
        </row>
        <row r="870">
          <cell r="C870">
            <v>606700</v>
          </cell>
          <cell r="D870" t="str">
            <v>DEMOLIÇÃO DE CONCRETO SIMPLES</v>
          </cell>
          <cell r="E870">
            <v>2.37</v>
          </cell>
          <cell r="F870" t="str">
            <v>M3</v>
          </cell>
        </row>
        <row r="871">
          <cell r="C871">
            <v>800000</v>
          </cell>
          <cell r="D871" t="str">
            <v>ENLEIVAMENTO</v>
          </cell>
          <cell r="E871">
            <v>22252.86</v>
          </cell>
          <cell r="F871" t="str">
            <v>M2</v>
          </cell>
        </row>
        <row r="872">
          <cell r="C872">
            <v>800100</v>
          </cell>
          <cell r="D872" t="str">
            <v>HIDROSSEMEADURA</v>
          </cell>
          <cell r="E872">
            <v>3829.29</v>
          </cell>
          <cell r="F872" t="str">
            <v>M2</v>
          </cell>
        </row>
        <row r="873">
          <cell r="C873">
            <v>831000</v>
          </cell>
          <cell r="D873" t="str">
            <v>CERCA 4 FIOS C/ MOURÕES DE CONCRETO</v>
          </cell>
          <cell r="E873">
            <v>1314.36</v>
          </cell>
          <cell r="F873" t="str">
            <v>M</v>
          </cell>
        </row>
        <row r="874">
          <cell r="C874">
            <v>841000</v>
          </cell>
          <cell r="D874" t="str">
            <v>REMOÇÃO DE CERCAS</v>
          </cell>
          <cell r="E874">
            <v>1932.1</v>
          </cell>
          <cell r="F874" t="str">
            <v>M</v>
          </cell>
        </row>
        <row r="875">
          <cell r="C875">
            <v>850000</v>
          </cell>
          <cell r="D875" t="str">
            <v>ABRIGO EM PARADA DE ÔNIBUS</v>
          </cell>
          <cell r="E875">
            <v>7</v>
          </cell>
          <cell r="F875" t="str">
            <v>UD</v>
          </cell>
        </row>
        <row r="876">
          <cell r="C876" t="str">
            <v>CCU-046</v>
          </cell>
          <cell r="D876" t="str">
            <v>CERCA DE TELA COM MOURÕES DE CONCRETO PARA PASSA FAUNA</v>
          </cell>
          <cell r="E876">
            <v>1731.94</v>
          </cell>
          <cell r="F876" t="str">
            <v>M</v>
          </cell>
        </row>
        <row r="877">
          <cell r="C877" t="str">
            <v>CCU-047</v>
          </cell>
          <cell r="D877" t="str">
            <v>CERCA DE TELA COM MOURÕES DE CONCRETO</v>
          </cell>
          <cell r="E877">
            <v>375.41</v>
          </cell>
          <cell r="F877" t="str">
            <v>M</v>
          </cell>
        </row>
        <row r="878">
          <cell r="C878" t="str">
            <v>CCU-049</v>
          </cell>
          <cell r="D878" t="str">
            <v>RECOMPOSIÇÃO DE MURO DE ALVENARIA, REBOCADO COM FUNDAÇÃO EM CONCRETO ARMADO E PINGADEIRA (H=2,00M SENDO 1,70M DE ALVENARIA E 0,30M DE VIGA BALDRAME)</v>
          </cell>
          <cell r="E878">
            <v>7.4</v>
          </cell>
          <cell r="F878" t="str">
            <v>M</v>
          </cell>
        </row>
        <row r="879">
          <cell r="C879" t="str">
            <v>CCU-052</v>
          </cell>
          <cell r="D879" t="str">
            <v>REMOÇÃO E RECOLOCAÇÃO DE PORTÕES</v>
          </cell>
          <cell r="E879">
            <v>45</v>
          </cell>
          <cell r="F879" t="str">
            <v>M</v>
          </cell>
        </row>
        <row r="880">
          <cell r="C880" t="str">
            <v>CCU-053</v>
          </cell>
          <cell r="D880" t="str">
            <v>CARGA E TRANSPORTE DE ENTULHOS - 15.000M</v>
          </cell>
          <cell r="E880">
            <v>47.83</v>
          </cell>
          <cell r="F880" t="str">
            <v>M³</v>
          </cell>
        </row>
        <row r="881">
          <cell r="C881" t="str">
            <v>CCU-054</v>
          </cell>
          <cell r="D881" t="str">
            <v>REATERRO DE BORDO DE PAVIMENTO</v>
          </cell>
          <cell r="E881">
            <v>4908.17</v>
          </cell>
          <cell r="F881" t="str">
            <v>M³</v>
          </cell>
        </row>
        <row r="882">
          <cell r="C882">
            <v>0</v>
          </cell>
          <cell r="D882" t="str">
            <v>TRECHO 4</v>
          </cell>
          <cell r="E882">
            <v>0</v>
          </cell>
          <cell r="F882" t="str">
            <v/>
          </cell>
        </row>
        <row r="883">
          <cell r="C883">
            <v>606500</v>
          </cell>
          <cell r="D883" t="str">
            <v>DEMOLIÇÃO DE ALVENARIA</v>
          </cell>
          <cell r="E883">
            <v>7.14</v>
          </cell>
          <cell r="F883" t="str">
            <v>M3</v>
          </cell>
        </row>
        <row r="884">
          <cell r="C884">
            <v>606600</v>
          </cell>
          <cell r="D884" t="str">
            <v>DEMOLIÇÃO DE CONCRETO ARMADO</v>
          </cell>
          <cell r="E884">
            <v>1.49</v>
          </cell>
          <cell r="F884" t="str">
            <v>M3</v>
          </cell>
        </row>
        <row r="885">
          <cell r="C885">
            <v>606700</v>
          </cell>
          <cell r="D885" t="str">
            <v>DEMOLIÇÃO DE CONCRETO SIMPLES</v>
          </cell>
          <cell r="E885">
            <v>8.4</v>
          </cell>
          <cell r="F885" t="str">
            <v>M3</v>
          </cell>
        </row>
        <row r="886">
          <cell r="C886">
            <v>800000</v>
          </cell>
          <cell r="D886" t="str">
            <v>ENLEIVAMENTO</v>
          </cell>
          <cell r="E886">
            <v>2728.7</v>
          </cell>
          <cell r="F886" t="str">
            <v>M2</v>
          </cell>
        </row>
        <row r="887">
          <cell r="C887">
            <v>800100</v>
          </cell>
          <cell r="D887" t="str">
            <v>HIDROSSEMEADURA</v>
          </cell>
          <cell r="E887">
            <v>1250.03</v>
          </cell>
          <cell r="F887" t="str">
            <v>M2</v>
          </cell>
        </row>
        <row r="888">
          <cell r="C888">
            <v>831000</v>
          </cell>
          <cell r="D888" t="str">
            <v>CERCA 4 FIOS C/ MOURÕES DE CONCRETO</v>
          </cell>
          <cell r="E888">
            <v>239.88</v>
          </cell>
          <cell r="F888" t="str">
            <v>M</v>
          </cell>
        </row>
        <row r="889">
          <cell r="C889">
            <v>841000</v>
          </cell>
          <cell r="D889" t="str">
            <v>REMOÇÃO DE CERCAS</v>
          </cell>
          <cell r="E889">
            <v>838.8</v>
          </cell>
          <cell r="F889" t="str">
            <v>M</v>
          </cell>
        </row>
        <row r="890">
          <cell r="C890">
            <v>843000</v>
          </cell>
          <cell r="D890" t="str">
            <v>REMOÇÃO DE CASA DE ALVENARIA</v>
          </cell>
          <cell r="E890">
            <v>13.75</v>
          </cell>
          <cell r="F890" t="str">
            <v>M2</v>
          </cell>
        </row>
        <row r="891">
          <cell r="C891">
            <v>850000</v>
          </cell>
          <cell r="D891" t="str">
            <v>ABRIGO EM PARADA DE ÔNIBUS</v>
          </cell>
          <cell r="E891">
            <v>2</v>
          </cell>
          <cell r="F891" t="str">
            <v>UD</v>
          </cell>
        </row>
        <row r="892">
          <cell r="C892" t="str">
            <v>CCU-047</v>
          </cell>
          <cell r="D892" t="str">
            <v>CERCA DE TELA COM MOURÕES DE CONCRETO</v>
          </cell>
          <cell r="E892">
            <v>598.91999999999996</v>
          </cell>
          <cell r="F892" t="str">
            <v>M</v>
          </cell>
        </row>
        <row r="893">
          <cell r="C893" t="str">
            <v>CCU-049</v>
          </cell>
          <cell r="D893" t="str">
            <v>RECOMPOSIÇÃO DE MURO DE ALVENARIA, REBOCADO COM FUNDAÇÃO EM CONCRETO ARMADO E PINGADEIRA (H=2,00M SENDO 1,70M DE ALVENARIA E 0,30M DE VIGA BALDRAME)</v>
          </cell>
          <cell r="E893">
            <v>17.850000000000001</v>
          </cell>
          <cell r="F893" t="str">
            <v>M</v>
          </cell>
        </row>
        <row r="894">
          <cell r="C894" t="str">
            <v>CCU-052</v>
          </cell>
          <cell r="D894" t="str">
            <v>REMOÇÃO E RECOLOCAÇÃO DE PORTÕES</v>
          </cell>
          <cell r="E894">
            <v>15.95</v>
          </cell>
          <cell r="F894" t="str">
            <v>M</v>
          </cell>
        </row>
        <row r="895">
          <cell r="C895" t="str">
            <v>CCU-053</v>
          </cell>
          <cell r="D895" t="str">
            <v>CARGA E TRANSPORTE DE ENTULHOS - 15.000M</v>
          </cell>
          <cell r="E895">
            <v>33.81</v>
          </cell>
          <cell r="F895" t="str">
            <v>M³</v>
          </cell>
        </row>
        <row r="896">
          <cell r="C896" t="str">
            <v>CCU-054</v>
          </cell>
          <cell r="D896" t="str">
            <v>REATERRO DE BORDO DE PAVIMENTO</v>
          </cell>
          <cell r="E896">
            <v>3184.84</v>
          </cell>
          <cell r="F896" t="str">
            <v>M³</v>
          </cell>
        </row>
        <row r="897">
          <cell r="C897">
            <v>0</v>
          </cell>
          <cell r="D897" t="str">
            <v>TRECHO 5</v>
          </cell>
          <cell r="E897">
            <v>0</v>
          </cell>
          <cell r="F897" t="str">
            <v/>
          </cell>
        </row>
        <row r="898">
          <cell r="C898">
            <v>606500</v>
          </cell>
          <cell r="D898" t="str">
            <v>DEMOLIÇÃO DE ALVENARIA</v>
          </cell>
          <cell r="E898">
            <v>77.040000000000006</v>
          </cell>
          <cell r="F898" t="str">
            <v>M3</v>
          </cell>
        </row>
        <row r="899">
          <cell r="C899">
            <v>606600</v>
          </cell>
          <cell r="D899" t="str">
            <v>DEMOLIÇÃO DE CONCRETO ARMADO</v>
          </cell>
          <cell r="E899">
            <v>17.45</v>
          </cell>
          <cell r="F899" t="str">
            <v>M3</v>
          </cell>
        </row>
        <row r="900">
          <cell r="C900">
            <v>800000</v>
          </cell>
          <cell r="D900" t="str">
            <v>ENLEIVAMENTO</v>
          </cell>
          <cell r="E900">
            <v>37442.35</v>
          </cell>
          <cell r="F900" t="str">
            <v>M2</v>
          </cell>
        </row>
        <row r="901">
          <cell r="C901">
            <v>800100</v>
          </cell>
          <cell r="D901" t="str">
            <v>HIDROSSEMEADURA</v>
          </cell>
          <cell r="E901">
            <v>6091.91</v>
          </cell>
          <cell r="F901" t="str">
            <v>M2</v>
          </cell>
        </row>
        <row r="902">
          <cell r="C902">
            <v>831000</v>
          </cell>
          <cell r="D902" t="str">
            <v>CERCA 4 FIOS C/ MOURÕES DE CONCRETO</v>
          </cell>
          <cell r="E902">
            <v>2633.59</v>
          </cell>
          <cell r="F902" t="str">
            <v>M</v>
          </cell>
        </row>
        <row r="903">
          <cell r="C903">
            <v>841000</v>
          </cell>
          <cell r="D903" t="str">
            <v>REMOÇÃO DE CERCAS</v>
          </cell>
          <cell r="E903">
            <v>4198.07</v>
          </cell>
          <cell r="F903" t="str">
            <v>M</v>
          </cell>
        </row>
        <row r="904">
          <cell r="C904">
            <v>843000</v>
          </cell>
          <cell r="D904" t="str">
            <v>REMOÇÃO DE CASA DE ALVENARIA</v>
          </cell>
          <cell r="E904">
            <v>25.92</v>
          </cell>
          <cell r="F904" t="str">
            <v>M2</v>
          </cell>
        </row>
        <row r="905">
          <cell r="C905">
            <v>850000</v>
          </cell>
          <cell r="D905" t="str">
            <v>ABRIGO EM PARADA DE ÔNIBUS</v>
          </cell>
          <cell r="E905">
            <v>1</v>
          </cell>
          <cell r="F905" t="str">
            <v>UD</v>
          </cell>
        </row>
        <row r="906">
          <cell r="C906" t="str">
            <v>CCU-046</v>
          </cell>
          <cell r="D906" t="str">
            <v>CERCA DE TELA COM MOURÕES DE CONCRETO PARA PASSA FAUNA</v>
          </cell>
          <cell r="E906">
            <v>1691.57</v>
          </cell>
          <cell r="F906" t="str">
            <v>M</v>
          </cell>
        </row>
        <row r="907">
          <cell r="C907" t="str">
            <v>CCU-047</v>
          </cell>
          <cell r="D907" t="str">
            <v>CERCA DE TELA COM MOURÕES DE CONCRETO</v>
          </cell>
          <cell r="E907">
            <v>1183.24</v>
          </cell>
          <cell r="F907" t="str">
            <v>M</v>
          </cell>
        </row>
        <row r="908">
          <cell r="C908" t="str">
            <v>CCU-049</v>
          </cell>
          <cell r="D908" t="str">
            <v>RECOMPOSIÇÃO DE MURO DE ALVENARIA, REBOCADO COM FUNDAÇÃO EM CONCRETO ARMADO E PINGADEIRA (H=2,00M SENDO 1,70M DE ALVENARIA E 0,30M DE VIGA BALDRAME)</v>
          </cell>
          <cell r="E908">
            <v>181.52</v>
          </cell>
          <cell r="F908" t="str">
            <v>M</v>
          </cell>
        </row>
        <row r="909">
          <cell r="C909" t="str">
            <v>CCU-052</v>
          </cell>
          <cell r="D909" t="str">
            <v>REMOÇÃO E RECOLOCAÇÃO DE PORTÕES</v>
          </cell>
          <cell r="E909">
            <v>62.122999999999998</v>
          </cell>
          <cell r="F909" t="str">
            <v>M</v>
          </cell>
        </row>
        <row r="910">
          <cell r="C910" t="str">
            <v>CCU-053</v>
          </cell>
          <cell r="D910" t="str">
            <v>CARGA E TRANSPORTE DE ENTULHOS - 15.000M</v>
          </cell>
          <cell r="E910">
            <v>178.45</v>
          </cell>
          <cell r="F910" t="str">
            <v>M³</v>
          </cell>
        </row>
        <row r="911">
          <cell r="C911" t="str">
            <v>CCU-054</v>
          </cell>
          <cell r="D911" t="str">
            <v>REATERRO DE BORDO DE PAVIMENTO</v>
          </cell>
          <cell r="E911">
            <v>8583.5300000000007</v>
          </cell>
          <cell r="F911" t="str">
            <v>M³</v>
          </cell>
        </row>
        <row r="912">
          <cell r="C912">
            <v>0</v>
          </cell>
          <cell r="D912" t="str">
            <v xml:space="preserve">ILUMINAÇÃO PÚBLICA </v>
          </cell>
          <cell r="E912">
            <v>0</v>
          </cell>
          <cell r="F912" t="str">
            <v/>
          </cell>
        </row>
        <row r="913">
          <cell r="C913">
            <v>0</v>
          </cell>
          <cell r="D913" t="str">
            <v>TRECHO 1</v>
          </cell>
          <cell r="E913">
            <v>0</v>
          </cell>
          <cell r="F913" t="str">
            <v/>
          </cell>
        </row>
        <row r="914">
          <cell r="C914">
            <v>0</v>
          </cell>
          <cell r="D914" t="str">
            <v>REMANEJAMENTO DE REDE DE DISTRIBUIÇÃO DE ENERGIA E RELOCAÇÃO DE POSTES</v>
          </cell>
          <cell r="E914">
            <v>0</v>
          </cell>
          <cell r="F914" t="str">
            <v/>
          </cell>
        </row>
        <row r="915">
          <cell r="C915" t="str">
            <v>CCU-058</v>
          </cell>
          <cell r="D915" t="str">
            <v>REMOÇÃO E RECOLOCAÇÃO DE POSTES DE TELEFONIA OU ENTRADA DE ENERGIA</v>
          </cell>
          <cell r="E915">
            <v>38</v>
          </cell>
          <cell r="F915" t="str">
            <v>UNID</v>
          </cell>
        </row>
        <row r="916">
          <cell r="C916">
            <v>0</v>
          </cell>
          <cell r="D916" t="str">
            <v>ILUMINAÇÃO PÚBLICA - POSTES EXISTENTES</v>
          </cell>
          <cell r="E916">
            <v>0</v>
          </cell>
          <cell r="F916" t="str">
            <v/>
          </cell>
        </row>
        <row r="917">
          <cell r="C917" t="str">
            <v>CCU-064</v>
          </cell>
          <cell r="D917" t="str">
            <v xml:space="preserve">REMOÇÃO DE BRAÇO E LUMINÁRIA EXISTENTE </v>
          </cell>
          <cell r="E917">
            <v>50</v>
          </cell>
          <cell r="F917" t="str">
            <v>UNID</v>
          </cell>
        </row>
        <row r="918">
          <cell r="C918" t="str">
            <v>CCU-062</v>
          </cell>
          <cell r="D918" t="str">
            <v>FORNECIMENTO E INSTALAÇÃO DE BRACO PARA LUMINÁRIA PÚBLICA EM FERRO GALVANIZADO, Ø25MM, COMPRIMENTO DE 3,00M</v>
          </cell>
          <cell r="E918">
            <v>63</v>
          </cell>
          <cell r="F918" t="str">
            <v>UNID</v>
          </cell>
        </row>
        <row r="919">
          <cell r="C919" t="str">
            <v>CCU-061</v>
          </cell>
          <cell r="D919" t="str">
            <v>LUMINÁRIA LED EXTERNA, COM 01 LAMPADA LED 70W, COM DRIVER MULTITENSÃO (100A 250V) INTEGRADO, COM ACESSÓRIO DE FIXAÇÃO, COR 3000K COM FOTOCONTROLADOR</v>
          </cell>
          <cell r="E919">
            <v>138</v>
          </cell>
          <cell r="F919" t="str">
            <v>UND</v>
          </cell>
        </row>
        <row r="920">
          <cell r="C920" t="str">
            <v>CCU-060</v>
          </cell>
          <cell r="D920" t="str">
            <v>FORNECIMENTO E INSTALAÇÃO DE CONECTOR PIERCE IP-66 10MM²</v>
          </cell>
          <cell r="E920">
            <v>150</v>
          </cell>
          <cell r="F920" t="str">
            <v>UNID</v>
          </cell>
        </row>
        <row r="921">
          <cell r="C921">
            <v>0</v>
          </cell>
          <cell r="D921" t="str">
            <v>ILUMINAÇÃO PÚBLICA - POSTES NOVOS</v>
          </cell>
          <cell r="E921">
            <v>0</v>
          </cell>
          <cell r="F921" t="str">
            <v/>
          </cell>
        </row>
        <row r="922">
          <cell r="C922" t="str">
            <v>CCU-059</v>
          </cell>
          <cell r="D922" t="str">
            <v>FORNECIMENTO E INSTALAÇÃO DE CABO DE COBRE PP CORDPLAST 3 X 2.5 MM2, 450/750V</v>
          </cell>
          <cell r="E922">
            <v>192.78</v>
          </cell>
          <cell r="F922" t="str">
            <v>M</v>
          </cell>
        </row>
        <row r="923">
          <cell r="C923" t="str">
            <v>CCU-063</v>
          </cell>
          <cell r="D923" t="str">
            <v>FORNECIMENTO E INSTALAÇÃO DE POSTE DE CONCRETO ARMADO DE SEÇÃO DUPLO T, PADRÃO COPEL DE DISTRIBUIÇÃO - H = 12M - RESISTÊNCIA DE 600 DAN</v>
          </cell>
          <cell r="E923">
            <v>13</v>
          </cell>
          <cell r="F923" t="str">
            <v>UNID</v>
          </cell>
        </row>
        <row r="924">
          <cell r="C924" t="str">
            <v>CCU-060</v>
          </cell>
          <cell r="D924" t="str">
            <v>FORNECIMENTO E INSTALAÇÃO DE CONECTOR PIERCE IP-66 10MM²</v>
          </cell>
          <cell r="E924">
            <v>39</v>
          </cell>
          <cell r="F924" t="str">
            <v>UNID</v>
          </cell>
        </row>
        <row r="925">
          <cell r="C925">
            <v>0</v>
          </cell>
          <cell r="D925" t="str">
            <v>TRECHO 2</v>
          </cell>
          <cell r="E925">
            <v>0</v>
          </cell>
          <cell r="F925" t="str">
            <v/>
          </cell>
        </row>
        <row r="926">
          <cell r="C926">
            <v>0</v>
          </cell>
          <cell r="D926" t="str">
            <v>REMANEJAMENTO DE REDE DE DISTRIBUIÇÃO DE ENERGIA E RELOCAÇÃO DE POSTES</v>
          </cell>
          <cell r="E926">
            <v>0</v>
          </cell>
          <cell r="F926" t="str">
            <v/>
          </cell>
        </row>
        <row r="927">
          <cell r="C927" t="str">
            <v>CCU-058</v>
          </cell>
          <cell r="D927" t="str">
            <v>REMOÇÃO E RECOLOCAÇÃO DE POSTES DE TELEFONIA OU ENTRADA DE ENERGIA</v>
          </cell>
          <cell r="E927">
            <v>31</v>
          </cell>
          <cell r="F927" t="str">
            <v>UNID</v>
          </cell>
        </row>
        <row r="928">
          <cell r="C928">
            <v>0</v>
          </cell>
          <cell r="D928" t="str">
            <v>ILUMINAÇÃO PÚBLICA - POSTES EXISTENTES</v>
          </cell>
          <cell r="E928">
            <v>0</v>
          </cell>
          <cell r="F928" t="str">
            <v/>
          </cell>
        </row>
        <row r="929">
          <cell r="C929" t="str">
            <v>CCU-064</v>
          </cell>
          <cell r="D929" t="str">
            <v xml:space="preserve">REMOÇÃO DE BRAÇO E LUMINÁRIA EXISTENTE </v>
          </cell>
          <cell r="E929">
            <v>60</v>
          </cell>
          <cell r="F929" t="str">
            <v>UNID</v>
          </cell>
        </row>
        <row r="930">
          <cell r="C930" t="str">
            <v>CCU-062</v>
          </cell>
          <cell r="D930" t="str">
            <v>FORNECIMENTO E INSTALAÇÃO DE BRACO PARA LUMINÁRIA PÚBLICA EM FERRO GALVANIZADO, Ø25MM, COMPRIMENTO DE 3,00M</v>
          </cell>
          <cell r="E930">
            <v>68</v>
          </cell>
          <cell r="F930" t="str">
            <v>UNID</v>
          </cell>
        </row>
        <row r="931">
          <cell r="C931" t="str">
            <v>CCU-061</v>
          </cell>
          <cell r="D931" t="str">
            <v>LUMINÁRIA LED EXTERNA, COM 01 LAMPADA LED 70W, COM DRIVER MULTITENSÃO (100A 250V) INTEGRADO, COM ACESSÓRIO DE FIXAÇÃO, COR 3000K COM FOTOCONTROLADOR</v>
          </cell>
          <cell r="E931">
            <v>81</v>
          </cell>
          <cell r="F931" t="str">
            <v>UND</v>
          </cell>
        </row>
        <row r="932">
          <cell r="C932" t="str">
            <v>CCU-060</v>
          </cell>
          <cell r="D932" t="str">
            <v>FORNECIMENTO E INSTALAÇÃO DE CONECTOR PIERCE IP-66 10MM²</v>
          </cell>
          <cell r="E932">
            <v>180</v>
          </cell>
          <cell r="F932" t="str">
            <v>UNID</v>
          </cell>
        </row>
        <row r="933">
          <cell r="C933">
            <v>0</v>
          </cell>
          <cell r="D933" t="str">
            <v>ILUMINAÇÃO PÚBLICA - POSTES NOVOS</v>
          </cell>
          <cell r="E933">
            <v>0</v>
          </cell>
          <cell r="F933" t="str">
            <v/>
          </cell>
        </row>
        <row r="934">
          <cell r="C934" t="str">
            <v>CCU-059</v>
          </cell>
          <cell r="D934" t="str">
            <v>FORNECIMENTO E INSTALAÇÃO DE CABO DE COBRE PP CORDPLAST 3 X 2.5 MM2, 450/750V</v>
          </cell>
          <cell r="E934">
            <v>208.08</v>
          </cell>
          <cell r="F934" t="str">
            <v>M</v>
          </cell>
        </row>
        <row r="935">
          <cell r="C935" t="str">
            <v>CCU-063</v>
          </cell>
          <cell r="D935" t="str">
            <v>FORNECIMENTO E INSTALAÇÃO DE POSTE DE CONCRETO ARMADO DE SEÇÃO DUPLO T, PADRÃO COPEL DE DISTRIBUIÇÃO - H = 12M - RESISTÊNCIA DE 600 DAN</v>
          </cell>
          <cell r="E935">
            <v>8</v>
          </cell>
          <cell r="F935" t="str">
            <v>UNID</v>
          </cell>
        </row>
        <row r="936">
          <cell r="C936" t="str">
            <v>CCU-060</v>
          </cell>
          <cell r="D936" t="str">
            <v>FORNECIMENTO E INSTALAÇÃO DE CONECTOR PIERCE IP-66 10MM²</v>
          </cell>
          <cell r="E936">
            <v>24</v>
          </cell>
          <cell r="F936" t="str">
            <v>UNID</v>
          </cell>
        </row>
        <row r="937">
          <cell r="C937">
            <v>0</v>
          </cell>
          <cell r="D937" t="str">
            <v>TRECHO 3</v>
          </cell>
          <cell r="E937">
            <v>0</v>
          </cell>
          <cell r="F937" t="str">
            <v/>
          </cell>
        </row>
        <row r="938">
          <cell r="C938">
            <v>0</v>
          </cell>
          <cell r="D938" t="str">
            <v>REMANEJAMENTO DE REDE DE DISTRIBUIÇÃO DE ENERGIA E RELOCAÇÃO DE POSTES</v>
          </cell>
          <cell r="E938">
            <v>0</v>
          </cell>
          <cell r="F938" t="str">
            <v/>
          </cell>
        </row>
        <row r="939">
          <cell r="C939" t="str">
            <v>CCU-058</v>
          </cell>
          <cell r="D939" t="str">
            <v>REMOÇÃO E RECOLOCAÇÃO DE POSTES DE TELEFONIA OU ENTRADA DE ENERGIA</v>
          </cell>
          <cell r="E939">
            <v>7</v>
          </cell>
          <cell r="F939" t="str">
            <v>UNID</v>
          </cell>
        </row>
        <row r="940">
          <cell r="C940">
            <v>0</v>
          </cell>
          <cell r="D940" t="str">
            <v>ILUMINAÇÃO PÚBLICA - POSTES EXISTENTES</v>
          </cell>
          <cell r="E940">
            <v>0</v>
          </cell>
          <cell r="F940" t="str">
            <v/>
          </cell>
        </row>
        <row r="941">
          <cell r="C941" t="str">
            <v>CCU-064</v>
          </cell>
          <cell r="D941" t="str">
            <v xml:space="preserve">REMOÇÃO DE BRAÇO E LUMINÁRIA EXISTENTE </v>
          </cell>
          <cell r="E941">
            <v>24</v>
          </cell>
          <cell r="F941" t="str">
            <v>UNID</v>
          </cell>
        </row>
        <row r="942">
          <cell r="C942" t="str">
            <v>CCU-062</v>
          </cell>
          <cell r="D942" t="str">
            <v>FORNECIMENTO E INSTALAÇÃO DE BRACO PARA LUMINÁRIA PÚBLICA EM FERRO GALVANIZADO, Ø25MM, COMPRIMENTO DE 3,00M</v>
          </cell>
          <cell r="E942">
            <v>41</v>
          </cell>
          <cell r="F942" t="str">
            <v>UNID</v>
          </cell>
        </row>
        <row r="943">
          <cell r="C943" t="str">
            <v>CCU-061</v>
          </cell>
          <cell r="D943" t="str">
            <v>LUMINÁRIA LED EXTERNA, COM 01 LAMPADA LED 70W, COM DRIVER MULTITENSÃO (100A 250V) INTEGRADO, COM ACESSÓRIO DE FIXAÇÃO, COR 3000K COM FOTOCONTROLADOR</v>
          </cell>
          <cell r="E943">
            <v>49</v>
          </cell>
          <cell r="F943" t="str">
            <v>UND</v>
          </cell>
        </row>
        <row r="944">
          <cell r="C944" t="str">
            <v>CCU-060</v>
          </cell>
          <cell r="D944" t="str">
            <v>FORNECIMENTO E INSTALAÇÃO DE CONECTOR PIERCE IP-66 10MM²</v>
          </cell>
          <cell r="E944">
            <v>54</v>
          </cell>
          <cell r="F944" t="str">
            <v>UNID</v>
          </cell>
        </row>
        <row r="945">
          <cell r="C945">
            <v>0</v>
          </cell>
          <cell r="D945" t="str">
            <v>ILUMINAÇÃO PÚBLICA - POSTES NOVOS</v>
          </cell>
          <cell r="E945">
            <v>0</v>
          </cell>
          <cell r="F945" t="str">
            <v/>
          </cell>
        </row>
        <row r="946">
          <cell r="C946" t="str">
            <v>CCU-059</v>
          </cell>
          <cell r="D946" t="str">
            <v>FORNECIMENTO E INSTALAÇÃO DE CABO DE COBRE PP CORDPLAST 3 X 2.5 MM2, 450/750V</v>
          </cell>
          <cell r="E946">
            <v>125.46</v>
          </cell>
          <cell r="F946" t="str">
            <v>M</v>
          </cell>
        </row>
        <row r="947">
          <cell r="C947" t="str">
            <v>CCU-063</v>
          </cell>
          <cell r="D947" t="str">
            <v>FORNECIMENTO E INSTALAÇÃO DE POSTE DE CONCRETO ARMADO DE SEÇÃO DUPLO T, PADRÃO COPEL DE DISTRIBUIÇÃO - H = 12M - RESISTÊNCIA DE 600 DAN</v>
          </cell>
          <cell r="E947">
            <v>23</v>
          </cell>
          <cell r="F947" t="str">
            <v>UNID</v>
          </cell>
        </row>
        <row r="948">
          <cell r="C948" t="str">
            <v>CCU-060</v>
          </cell>
          <cell r="D948" t="str">
            <v>FORNECIMENTO E INSTALAÇÃO DE CONECTOR PIERCE IP-66 10MM²</v>
          </cell>
          <cell r="E948">
            <v>69</v>
          </cell>
          <cell r="F948" t="str">
            <v>UNID</v>
          </cell>
        </row>
        <row r="949">
          <cell r="C949">
            <v>0</v>
          </cell>
          <cell r="D949" t="str">
            <v>TRECHO 4</v>
          </cell>
          <cell r="E949">
            <v>0</v>
          </cell>
          <cell r="F949" t="str">
            <v/>
          </cell>
        </row>
        <row r="950">
          <cell r="C950">
            <v>0</v>
          </cell>
          <cell r="D950" t="str">
            <v>REMANEJAMENTO DE REDE DE DISTRIBUIÇÃO DE ENERGIA E RELOCAÇÃO DE POSTES</v>
          </cell>
          <cell r="E950">
            <v>0</v>
          </cell>
          <cell r="F950" t="str">
            <v/>
          </cell>
        </row>
        <row r="951">
          <cell r="C951" t="str">
            <v>CCU-058</v>
          </cell>
          <cell r="D951" t="str">
            <v>REMOÇÃO E RECOLOCAÇÃO DE POSTES DE TELEFONIA OU ENTRADA DE ENERGIA</v>
          </cell>
          <cell r="E951">
            <v>26</v>
          </cell>
          <cell r="F951" t="str">
            <v>UNID</v>
          </cell>
        </row>
        <row r="952">
          <cell r="C952">
            <v>0</v>
          </cell>
          <cell r="D952" t="str">
            <v>ILUMINAÇÃO PÚBLICA - POSTES EXISTENTES</v>
          </cell>
          <cell r="E952">
            <v>0</v>
          </cell>
          <cell r="F952" t="str">
            <v/>
          </cell>
        </row>
        <row r="953">
          <cell r="C953" t="str">
            <v>CCU-064</v>
          </cell>
          <cell r="D953" t="str">
            <v xml:space="preserve">REMOÇÃO DE BRAÇO E LUMINÁRIA EXISTENTE </v>
          </cell>
          <cell r="E953">
            <v>58</v>
          </cell>
          <cell r="F953" t="str">
            <v>UNID</v>
          </cell>
        </row>
        <row r="954">
          <cell r="C954" t="str">
            <v>CCU-062</v>
          </cell>
          <cell r="D954" t="str">
            <v>FORNECIMENTO E INSTALAÇÃO DE BRACO PARA LUMINÁRIA PÚBLICA EM FERRO GALVANIZADO, Ø25MM, COMPRIMENTO DE 3,00M</v>
          </cell>
          <cell r="E954">
            <v>88</v>
          </cell>
          <cell r="F954" t="str">
            <v>UNID</v>
          </cell>
        </row>
        <row r="955">
          <cell r="C955" t="str">
            <v>CCU-061</v>
          </cell>
          <cell r="D955" t="str">
            <v>LUMINÁRIA LED EXTERNA, COM 01 LAMPADA LED 70W, COM DRIVER MULTITENSÃO (100A 250V) INTEGRADO, COM ACESSÓRIO DE FIXAÇÃO, COR 3000K COM FOTOCONTROLADOR</v>
          </cell>
          <cell r="E955">
            <v>107</v>
          </cell>
          <cell r="F955" t="str">
            <v>UND</v>
          </cell>
        </row>
        <row r="956">
          <cell r="C956" t="str">
            <v>CCU-060</v>
          </cell>
          <cell r="D956" t="str">
            <v>FORNECIMENTO E INSTALAÇÃO DE CONECTOR PIERCE IP-66 10MM²</v>
          </cell>
          <cell r="E956">
            <v>174</v>
          </cell>
          <cell r="F956" t="str">
            <v>UNID</v>
          </cell>
        </row>
        <row r="957">
          <cell r="C957">
            <v>0</v>
          </cell>
          <cell r="D957" t="str">
            <v>ILUMINAÇÃO PÚBLICA - POSTES NOVOS</v>
          </cell>
          <cell r="E957">
            <v>0</v>
          </cell>
          <cell r="F957" t="str">
            <v/>
          </cell>
        </row>
        <row r="958">
          <cell r="C958" t="str">
            <v>CCU-059</v>
          </cell>
          <cell r="D958" t="str">
            <v>FORNECIMENTO E INSTALAÇÃO DE CABO DE COBRE PP CORDPLAST 3 X 2.5 MM2, 450/750V</v>
          </cell>
          <cell r="E958">
            <v>269.27999999999997</v>
          </cell>
          <cell r="F958" t="str">
            <v>M</v>
          </cell>
        </row>
        <row r="959">
          <cell r="C959" t="str">
            <v>CCU-063</v>
          </cell>
          <cell r="D959" t="str">
            <v>FORNECIMENTO E INSTALAÇÃO DE POSTE DE CONCRETO ARMADO DE SEÇÃO DUPLO T, PADRÃO COPEL DE DISTRIBUIÇÃO - H = 12M - RESISTÊNCIA DE 600 DAN</v>
          </cell>
          <cell r="E959">
            <v>30</v>
          </cell>
          <cell r="F959" t="str">
            <v>UNID</v>
          </cell>
        </row>
        <row r="960">
          <cell r="C960" t="str">
            <v>CCU-060</v>
          </cell>
          <cell r="D960" t="str">
            <v>FORNECIMENTO E INSTALAÇÃO DE CONECTOR PIERCE IP-66 10MM²</v>
          </cell>
          <cell r="E960">
            <v>90</v>
          </cell>
          <cell r="F960" t="str">
            <v>UNID</v>
          </cell>
        </row>
        <row r="961">
          <cell r="C961">
            <v>0</v>
          </cell>
          <cell r="D961" t="str">
            <v>TRECHO 5</v>
          </cell>
          <cell r="E961">
            <v>0</v>
          </cell>
          <cell r="F961" t="str">
            <v/>
          </cell>
        </row>
        <row r="962">
          <cell r="C962">
            <v>0</v>
          </cell>
          <cell r="D962" t="str">
            <v>REMANEJAMENTO DE REDE DE DISTRIBUIÇÃO DE ENERGIA E RELOCAÇÃO DE POSTES</v>
          </cell>
          <cell r="E962">
            <v>0</v>
          </cell>
          <cell r="F962" t="str">
            <v/>
          </cell>
        </row>
        <row r="963">
          <cell r="C963" t="str">
            <v>CCU-058</v>
          </cell>
          <cell r="D963" t="str">
            <v>REMOÇÃO E RECOLOCAÇÃO DE POSTES DE TELEFONIA OU ENTRADA DE ENERGIA</v>
          </cell>
          <cell r="E963">
            <v>11</v>
          </cell>
          <cell r="F963" t="str">
            <v>UNID</v>
          </cell>
        </row>
        <row r="964">
          <cell r="C964">
            <v>0</v>
          </cell>
          <cell r="D964" t="str">
            <v>ILUMINAÇÃO PÚBLICA - POSTES EXISTENTES</v>
          </cell>
          <cell r="E964">
            <v>0</v>
          </cell>
          <cell r="F964" t="str">
            <v/>
          </cell>
        </row>
        <row r="965">
          <cell r="C965" t="str">
            <v>CCU-064</v>
          </cell>
          <cell r="D965" t="str">
            <v xml:space="preserve">REMOÇÃO DE BRAÇO E LUMINÁRIA EXISTENTE </v>
          </cell>
          <cell r="E965">
            <v>22</v>
          </cell>
          <cell r="F965" t="str">
            <v>UNID</v>
          </cell>
        </row>
        <row r="966">
          <cell r="C966" t="str">
            <v>CCU-062</v>
          </cell>
          <cell r="D966" t="str">
            <v>FORNECIMENTO E INSTALAÇÃO DE BRACO PARA LUMINÁRIA PÚBLICA EM FERRO GALVANIZADO, Ø25MM, COMPRIMENTO DE 3,00M</v>
          </cell>
          <cell r="E966">
            <v>38</v>
          </cell>
          <cell r="F966" t="str">
            <v>UNID</v>
          </cell>
        </row>
        <row r="967">
          <cell r="C967" t="str">
            <v>CCU-061</v>
          </cell>
          <cell r="D967" t="str">
            <v>LUMINÁRIA LED EXTERNA, COM 01 LAMPADA LED 70W, COM DRIVER MULTITENSÃO (100A 250V) INTEGRADO, COM ACESSÓRIO DE FIXAÇÃO, COR 3000K COM FOTOCONTROLADOR</v>
          </cell>
          <cell r="E967">
            <v>111</v>
          </cell>
          <cell r="F967" t="str">
            <v>UND</v>
          </cell>
        </row>
        <row r="968">
          <cell r="C968" t="str">
            <v>CCU-060</v>
          </cell>
          <cell r="D968" t="str">
            <v>FORNECIMENTO E INSTALAÇÃO DE CONECTOR PIERCE IP-66 10MM²</v>
          </cell>
          <cell r="E968">
            <v>66</v>
          </cell>
          <cell r="F968" t="str">
            <v>UNID</v>
          </cell>
        </row>
        <row r="969">
          <cell r="C969">
            <v>0</v>
          </cell>
          <cell r="D969" t="str">
            <v>ILUMINAÇÃO PÚBLICA - POSTES NOVOS</v>
          </cell>
          <cell r="E969">
            <v>0</v>
          </cell>
          <cell r="F969" t="str">
            <v/>
          </cell>
        </row>
        <row r="970">
          <cell r="C970" t="str">
            <v>CCU-059</v>
          </cell>
          <cell r="D970" t="str">
            <v>FORNECIMENTO E INSTALAÇÃO DE CABO DE COBRE PP CORDPLAST 3 X 2.5 MM2, 450/750V</v>
          </cell>
          <cell r="E970">
            <v>116.28</v>
          </cell>
          <cell r="F970" t="str">
            <v>M</v>
          </cell>
        </row>
        <row r="971">
          <cell r="C971" t="str">
            <v>CCU-063</v>
          </cell>
          <cell r="D971" t="str">
            <v>FORNECIMENTO E INSTALAÇÃO DE POSTE DE CONCRETO ARMADO DE SEÇÃO DUPLO T, PADRÃO COPEL DE DISTRIBUIÇÃO - H = 12M - RESISTÊNCIA DE 600 DAN</v>
          </cell>
          <cell r="E971">
            <v>16</v>
          </cell>
          <cell r="F971" t="str">
            <v>UNID</v>
          </cell>
        </row>
        <row r="972">
          <cell r="C972" t="str">
            <v>CCU-060</v>
          </cell>
          <cell r="D972" t="str">
            <v>FORNECIMENTO E INSTALAÇÃO DE CONECTOR PIERCE IP-66 10MM²</v>
          </cell>
          <cell r="E972">
            <v>48</v>
          </cell>
          <cell r="F972" t="str">
            <v>UNID</v>
          </cell>
        </row>
        <row r="973">
          <cell r="C973">
            <v>0</v>
          </cell>
          <cell r="D973" t="str">
            <v>INTERFERÊNCIAS</v>
          </cell>
          <cell r="E973">
            <v>0</v>
          </cell>
          <cell r="F973" t="str">
            <v/>
          </cell>
        </row>
        <row r="974">
          <cell r="C974" t="str">
            <v>COT-02</v>
          </cell>
          <cell r="D974" t="str">
            <v>REMANEJAMENTO DE REDE DE DISTRIBUIÇÃO DE ENERGIA</v>
          </cell>
          <cell r="E974">
            <v>1</v>
          </cell>
          <cell r="F974" t="str">
            <v>UNID</v>
          </cell>
        </row>
        <row r="975">
          <cell r="C975">
            <v>0</v>
          </cell>
          <cell r="D975" t="str">
            <v>DESMOBILIZAÇÃO</v>
          </cell>
          <cell r="E975">
            <v>0</v>
          </cell>
          <cell r="F975" t="str">
            <v/>
          </cell>
        </row>
        <row r="976">
          <cell r="C976" t="str">
            <v>CCU-066</v>
          </cell>
          <cell r="D976" t="str">
            <v>DESMOBILIZAÇÃO DE VEÍCULOS LEVES E CAMINHÕES COMUNS</v>
          </cell>
          <cell r="E976">
            <v>1</v>
          </cell>
          <cell r="F976" t="str">
            <v>UN</v>
          </cell>
        </row>
        <row r="977">
          <cell r="C977" t="str">
            <v>CCU-069</v>
          </cell>
          <cell r="D977" t="str">
            <v>DESMOBILIZAÇÃO DE EQUIPAMENTOS DE GRANDE PORTE</v>
          </cell>
          <cell r="E977">
            <v>1</v>
          </cell>
          <cell r="F977" t="str">
            <v>UN</v>
          </cell>
        </row>
        <row r="978">
          <cell r="C978">
            <v>0</v>
          </cell>
          <cell r="D978">
            <v>0</v>
          </cell>
          <cell r="E978">
            <v>0</v>
          </cell>
          <cell r="F978">
            <v>0</v>
          </cell>
        </row>
      </sheetData>
      <sheetData sheetId="4" refreshError="1"/>
      <sheetData sheetId="5" refreshError="1"/>
      <sheetData sheetId="6" refreshError="1"/>
      <sheetData sheetId="7" refreshError="1"/>
      <sheetData sheetId="8" refreshError="1"/>
      <sheetData sheetId="9" refreshError="1"/>
      <sheetData sheetId="10" refreshError="1">
        <row r="3">
          <cell r="A3" t="str">
            <v>AGÊNCIA DE ASSUNTOS METROPOLITANOS DO PARANÁ - AMEP</v>
          </cell>
          <cell r="B3">
            <v>0</v>
          </cell>
          <cell r="C3">
            <v>0</v>
          </cell>
          <cell r="D3">
            <v>0</v>
          </cell>
        </row>
        <row r="4">
          <cell r="A4" t="str">
            <v>EXECUÇÃO DE OBRA DE ENGENHARIA PARA PAVIMENTAÇÃO DA ESTRADA DE LIGAÇÃO ENTRE SÃO JOSÉ DOS PINHAIS E MANDIRITUBA</v>
          </cell>
          <cell r="B4">
            <v>0</v>
          </cell>
          <cell r="C4">
            <v>0</v>
          </cell>
          <cell r="D4">
            <v>0</v>
          </cell>
        </row>
        <row r="5">
          <cell r="A5">
            <v>0</v>
          </cell>
          <cell r="B5">
            <v>0</v>
          </cell>
          <cell r="C5">
            <v>0</v>
          </cell>
          <cell r="D5">
            <v>0</v>
          </cell>
        </row>
        <row r="6">
          <cell r="A6" t="str">
            <v>RESPONSÁVEL PELO ORÇAMENTO: ENGª CIBELE CRISTINE MELLO FRANCZAK | CREA: 148.511-D/PR | ART Nº</v>
          </cell>
          <cell r="B6">
            <v>0</v>
          </cell>
          <cell r="C6">
            <v>0</v>
          </cell>
          <cell r="D6">
            <v>0</v>
          </cell>
        </row>
        <row r="7">
          <cell r="A7">
            <v>0</v>
          </cell>
          <cell r="B7">
            <v>0</v>
          </cell>
          <cell r="C7">
            <v>0</v>
          </cell>
          <cell r="D7">
            <v>0</v>
          </cell>
        </row>
        <row r="8">
          <cell r="A8">
            <v>0</v>
          </cell>
          <cell r="B8">
            <v>0</v>
          </cell>
          <cell r="C8">
            <v>0</v>
          </cell>
          <cell r="D8">
            <v>0</v>
          </cell>
        </row>
        <row r="9">
          <cell r="A9">
            <v>0</v>
          </cell>
          <cell r="B9">
            <v>0</v>
          </cell>
          <cell r="C9">
            <v>0</v>
          </cell>
          <cell r="D9">
            <v>0</v>
          </cell>
        </row>
        <row r="10">
          <cell r="A10">
            <v>0</v>
          </cell>
          <cell r="B10">
            <v>0</v>
          </cell>
          <cell r="C10">
            <v>0</v>
          </cell>
          <cell r="D10">
            <v>0</v>
          </cell>
        </row>
        <row r="11">
          <cell r="A11">
            <v>0</v>
          </cell>
          <cell r="B11">
            <v>0</v>
          </cell>
          <cell r="C11">
            <v>0</v>
          </cell>
          <cell r="D11">
            <v>0</v>
          </cell>
        </row>
        <row r="12">
          <cell r="A12" t="str">
            <v>COMPOSIÇÃO DE CUSTOS UNITÁRIO - CCU'S GERAIS - COMPOSIÇÕES PRÓPRIAS</v>
          </cell>
          <cell r="B12">
            <v>0</v>
          </cell>
          <cell r="C12">
            <v>0</v>
          </cell>
          <cell r="D12">
            <v>0</v>
          </cell>
        </row>
        <row r="13">
          <cell r="A13" t="str">
            <v>CCU-018</v>
          </cell>
          <cell r="B13" t="str">
            <v xml:space="preserve">UNIDADE </v>
          </cell>
          <cell r="C13" t="str">
            <v>M³</v>
          </cell>
          <cell r="D13" t="str">
            <v>ESC. CARGA E TRANSP. 1A. CAT.  12000-14000M (BOTA FORA)</v>
          </cell>
        </row>
        <row r="14">
          <cell r="A14" t="str">
            <v>(A) Equipamento</v>
          </cell>
          <cell r="B14" t="str">
            <v>Base</v>
          </cell>
          <cell r="C14" t="str">
            <v>Tipo</v>
          </cell>
          <cell r="D14" t="str">
            <v>Código</v>
          </cell>
        </row>
        <row r="15">
          <cell r="A15" t="str">
            <v>CAM. BASCUL. 1635/45 12M3 LEVE</v>
          </cell>
          <cell r="B15" t="str">
            <v>DER</v>
          </cell>
          <cell r="C15" t="str">
            <v>Equipamento</v>
          </cell>
          <cell r="D15">
            <v>313180</v>
          </cell>
        </row>
        <row r="16">
          <cell r="A16" t="str">
            <v>ESCAV. HIDRÁULICA 320D L LEVE</v>
          </cell>
          <cell r="B16" t="str">
            <v>DER</v>
          </cell>
          <cell r="C16" t="str">
            <v>Equipamento</v>
          </cell>
          <cell r="D16">
            <v>313200</v>
          </cell>
        </row>
        <row r="17">
          <cell r="A17" t="str">
            <v>MOTONIVELADORA 120-K LEVE</v>
          </cell>
          <cell r="B17" t="str">
            <v>DER</v>
          </cell>
          <cell r="C17" t="str">
            <v>Equipamento</v>
          </cell>
          <cell r="D17">
            <v>311200</v>
          </cell>
        </row>
        <row r="18">
          <cell r="A18">
            <v>0</v>
          </cell>
          <cell r="B18">
            <v>0</v>
          </cell>
          <cell r="C18">
            <v>0</v>
          </cell>
          <cell r="D18">
            <v>0</v>
          </cell>
        </row>
        <row r="19">
          <cell r="A19" t="str">
            <v>(B) Mão de obra</v>
          </cell>
          <cell r="B19" t="str">
            <v>Base</v>
          </cell>
          <cell r="C19" t="str">
            <v>Tipo</v>
          </cell>
          <cell r="D19" t="str">
            <v>Código</v>
          </cell>
        </row>
        <row r="20">
          <cell r="A20" t="str">
            <v>APONTADOR</v>
          </cell>
          <cell r="B20" t="str">
            <v>DER</v>
          </cell>
          <cell r="C20" t="str">
            <v>Mão de obra</v>
          </cell>
          <cell r="D20">
            <v>200020</v>
          </cell>
        </row>
        <row r="21">
          <cell r="A21" t="str">
            <v>ENCARREGADO DE SERVIÇO</v>
          </cell>
          <cell r="B21" t="str">
            <v>DER</v>
          </cell>
          <cell r="C21" t="str">
            <v>Mão de obra</v>
          </cell>
          <cell r="D21">
            <v>210060</v>
          </cell>
        </row>
        <row r="22">
          <cell r="A22" t="str">
            <v>SERVENTE</v>
          </cell>
          <cell r="B22" t="str">
            <v>DER</v>
          </cell>
          <cell r="C22" t="str">
            <v>Mão de obra</v>
          </cell>
          <cell r="D22">
            <v>200130</v>
          </cell>
        </row>
        <row r="23">
          <cell r="A23">
            <v>0</v>
          </cell>
          <cell r="B23">
            <v>0</v>
          </cell>
          <cell r="C23">
            <v>0</v>
          </cell>
          <cell r="D23">
            <v>0</v>
          </cell>
        </row>
        <row r="24">
          <cell r="A24" t="str">
            <v>(C) Itens de incidência</v>
          </cell>
          <cell r="B24" t="str">
            <v>Base</v>
          </cell>
          <cell r="C24" t="str">
            <v>Tipo</v>
          </cell>
          <cell r="D24" t="str">
            <v>Código</v>
          </cell>
        </row>
        <row r="25">
          <cell r="A25">
            <v>0</v>
          </cell>
          <cell r="B25">
            <v>0</v>
          </cell>
          <cell r="C25">
            <v>0</v>
          </cell>
          <cell r="D25">
            <v>0</v>
          </cell>
        </row>
        <row r="26">
          <cell r="A26">
            <v>0</v>
          </cell>
          <cell r="B26">
            <v>0</v>
          </cell>
          <cell r="C26">
            <v>0</v>
          </cell>
          <cell r="D26">
            <v>0</v>
          </cell>
        </row>
        <row r="27">
          <cell r="A27">
            <v>0</v>
          </cell>
          <cell r="B27">
            <v>0</v>
          </cell>
          <cell r="C27">
            <v>0</v>
          </cell>
          <cell r="D27">
            <v>0</v>
          </cell>
        </row>
        <row r="28">
          <cell r="A28" t="str">
            <v>Custo horário da execução (A + B + C)</v>
          </cell>
          <cell r="B28">
            <v>0</v>
          </cell>
          <cell r="C28">
            <v>0</v>
          </cell>
          <cell r="D28">
            <v>0</v>
          </cell>
        </row>
        <row r="29">
          <cell r="A29" t="str">
            <v xml:space="preserve"> (D) Produção da equipe</v>
          </cell>
          <cell r="B29">
            <v>0</v>
          </cell>
          <cell r="C29">
            <v>0</v>
          </cell>
          <cell r="D29">
            <v>0</v>
          </cell>
        </row>
        <row r="30">
          <cell r="A30" t="str">
            <v>(E) Custo unitário da execução (A + B + C) / D</v>
          </cell>
          <cell r="B30">
            <v>0</v>
          </cell>
          <cell r="C30">
            <v>0</v>
          </cell>
          <cell r="D30">
            <v>0</v>
          </cell>
        </row>
        <row r="31">
          <cell r="A31" t="str">
            <v>(F) Materiais</v>
          </cell>
          <cell r="B31" t="str">
            <v>Base</v>
          </cell>
          <cell r="C31" t="str">
            <v>Tipo</v>
          </cell>
          <cell r="D31" t="str">
            <v>Código</v>
          </cell>
        </row>
        <row r="32">
          <cell r="A32">
            <v>0</v>
          </cell>
          <cell r="B32">
            <v>0</v>
          </cell>
          <cell r="C32">
            <v>0</v>
          </cell>
          <cell r="D32">
            <v>0</v>
          </cell>
        </row>
        <row r="33">
          <cell r="A33">
            <v>0</v>
          </cell>
          <cell r="B33">
            <v>0</v>
          </cell>
          <cell r="C33">
            <v>0</v>
          </cell>
          <cell r="D33">
            <v>0</v>
          </cell>
        </row>
        <row r="34">
          <cell r="A34">
            <v>0</v>
          </cell>
          <cell r="B34">
            <v>0</v>
          </cell>
          <cell r="C34">
            <v>0</v>
          </cell>
          <cell r="D34">
            <v>0</v>
          </cell>
        </row>
        <row r="35">
          <cell r="A35" t="str">
            <v>(G) Serviços</v>
          </cell>
          <cell r="B35" t="str">
            <v>Base</v>
          </cell>
          <cell r="C35" t="str">
            <v>Tipo</v>
          </cell>
          <cell r="D35" t="str">
            <v>Código</v>
          </cell>
        </row>
        <row r="36">
          <cell r="A36">
            <v>0</v>
          </cell>
          <cell r="B36">
            <v>0</v>
          </cell>
          <cell r="C36">
            <v>0</v>
          </cell>
          <cell r="D36">
            <v>0</v>
          </cell>
        </row>
        <row r="37">
          <cell r="A37">
            <v>0</v>
          </cell>
          <cell r="B37">
            <v>0</v>
          </cell>
          <cell r="C37">
            <v>0</v>
          </cell>
          <cell r="D37">
            <v>0</v>
          </cell>
        </row>
        <row r="38">
          <cell r="A38">
            <v>0</v>
          </cell>
          <cell r="B38">
            <v>0</v>
          </cell>
          <cell r="C38">
            <v>0</v>
          </cell>
          <cell r="D38">
            <v>0</v>
          </cell>
        </row>
        <row r="41">
          <cell r="A41" t="str">
            <v>CCU-019</v>
          </cell>
          <cell r="B41" t="str">
            <v xml:space="preserve">UNIDADE </v>
          </cell>
          <cell r="C41" t="str">
            <v>M³</v>
          </cell>
          <cell r="D41" t="str">
            <v>ESC. CARGA E TRANSP. 1A. CAT.  16000-18000M (BOTA FORA)</v>
          </cell>
        </row>
        <row r="42">
          <cell r="A42" t="str">
            <v>(A) Equipamento</v>
          </cell>
          <cell r="B42" t="str">
            <v>Base</v>
          </cell>
          <cell r="C42" t="str">
            <v>Tipo</v>
          </cell>
          <cell r="D42" t="str">
            <v>Código</v>
          </cell>
        </row>
        <row r="43">
          <cell r="A43" t="str">
            <v>CAM. BASCUL. 1635/45 12M3 LEVE</v>
          </cell>
          <cell r="B43" t="str">
            <v>DER</v>
          </cell>
          <cell r="C43" t="str">
            <v>Equipamento</v>
          </cell>
          <cell r="D43">
            <v>313180</v>
          </cell>
        </row>
        <row r="44">
          <cell r="A44" t="str">
            <v>ESCAV. HIDRÁULICA 320D L LEVE</v>
          </cell>
          <cell r="B44" t="str">
            <v>DER</v>
          </cell>
          <cell r="C44" t="str">
            <v>Equipamento</v>
          </cell>
          <cell r="D44">
            <v>313200</v>
          </cell>
        </row>
        <row r="45">
          <cell r="A45" t="str">
            <v>MOTONIVELADORA 120-K LEVE</v>
          </cell>
          <cell r="B45" t="str">
            <v>DER</v>
          </cell>
          <cell r="C45" t="str">
            <v>Equipamento</v>
          </cell>
          <cell r="D45">
            <v>311200</v>
          </cell>
        </row>
        <row r="46">
          <cell r="A46">
            <v>0</v>
          </cell>
          <cell r="B46">
            <v>0</v>
          </cell>
          <cell r="C46">
            <v>0</v>
          </cell>
          <cell r="D46">
            <v>0</v>
          </cell>
        </row>
        <row r="47">
          <cell r="A47" t="str">
            <v>(B) Mão de obra</v>
          </cell>
          <cell r="B47" t="str">
            <v>Base</v>
          </cell>
          <cell r="C47" t="str">
            <v>Tipo</v>
          </cell>
          <cell r="D47" t="str">
            <v>Código</v>
          </cell>
        </row>
        <row r="48">
          <cell r="A48" t="str">
            <v>APONTADOR</v>
          </cell>
          <cell r="B48" t="str">
            <v>DER</v>
          </cell>
          <cell r="C48" t="str">
            <v>Mão de obra</v>
          </cell>
          <cell r="D48">
            <v>200020</v>
          </cell>
        </row>
        <row r="49">
          <cell r="A49" t="str">
            <v>ENCARREGADO DE SERVIÇO</v>
          </cell>
          <cell r="B49" t="str">
            <v>DER</v>
          </cell>
          <cell r="C49" t="str">
            <v>Mão de obra</v>
          </cell>
          <cell r="D49">
            <v>210060</v>
          </cell>
        </row>
        <row r="50">
          <cell r="A50" t="str">
            <v>SERVENTE</v>
          </cell>
          <cell r="B50" t="str">
            <v>DER</v>
          </cell>
          <cell r="C50" t="str">
            <v>Mão de obra</v>
          </cell>
          <cell r="D50">
            <v>200130</v>
          </cell>
        </row>
        <row r="51">
          <cell r="A51">
            <v>0</v>
          </cell>
          <cell r="B51">
            <v>0</v>
          </cell>
          <cell r="C51">
            <v>0</v>
          </cell>
          <cell r="D51">
            <v>0</v>
          </cell>
        </row>
        <row r="52">
          <cell r="A52" t="str">
            <v>(C) Itens de incidência</v>
          </cell>
          <cell r="B52" t="str">
            <v>Base</v>
          </cell>
          <cell r="C52" t="str">
            <v>Tipo</v>
          </cell>
          <cell r="D52" t="str">
            <v>Código</v>
          </cell>
        </row>
        <row r="53">
          <cell r="A53">
            <v>0</v>
          </cell>
          <cell r="B53">
            <v>0</v>
          </cell>
          <cell r="C53">
            <v>0</v>
          </cell>
          <cell r="D53">
            <v>0</v>
          </cell>
        </row>
        <row r="54">
          <cell r="A54">
            <v>0</v>
          </cell>
          <cell r="B54">
            <v>0</v>
          </cell>
          <cell r="C54">
            <v>0</v>
          </cell>
          <cell r="D54">
            <v>0</v>
          </cell>
        </row>
        <row r="55">
          <cell r="A55">
            <v>0</v>
          </cell>
          <cell r="B55">
            <v>0</v>
          </cell>
          <cell r="C55">
            <v>0</v>
          </cell>
          <cell r="D55">
            <v>0</v>
          </cell>
        </row>
        <row r="56">
          <cell r="A56" t="str">
            <v>Custo horário da execução (A + B + C)</v>
          </cell>
          <cell r="B56">
            <v>0</v>
          </cell>
          <cell r="C56">
            <v>0</v>
          </cell>
          <cell r="D56">
            <v>0</v>
          </cell>
        </row>
        <row r="57">
          <cell r="A57" t="str">
            <v xml:space="preserve"> (D) Produção da equipe</v>
          </cell>
          <cell r="B57">
            <v>0</v>
          </cell>
          <cell r="C57">
            <v>0</v>
          </cell>
          <cell r="D57">
            <v>0</v>
          </cell>
        </row>
        <row r="58">
          <cell r="A58" t="str">
            <v>(E) Custo unitário da execução (A + B + C) / D</v>
          </cell>
          <cell r="B58">
            <v>0</v>
          </cell>
          <cell r="C58">
            <v>0</v>
          </cell>
          <cell r="D58">
            <v>0</v>
          </cell>
        </row>
        <row r="59">
          <cell r="A59" t="str">
            <v>(F) Materiais</v>
          </cell>
          <cell r="B59" t="str">
            <v>Base</v>
          </cell>
          <cell r="C59" t="str">
            <v>Tipo</v>
          </cell>
          <cell r="D59" t="str">
            <v>Código</v>
          </cell>
        </row>
        <row r="60">
          <cell r="A60">
            <v>0</v>
          </cell>
          <cell r="B60">
            <v>0</v>
          </cell>
          <cell r="C60">
            <v>0</v>
          </cell>
          <cell r="D60">
            <v>0</v>
          </cell>
        </row>
        <row r="61">
          <cell r="A61">
            <v>0</v>
          </cell>
          <cell r="B61">
            <v>0</v>
          </cell>
          <cell r="C61">
            <v>0</v>
          </cell>
          <cell r="D61">
            <v>0</v>
          </cell>
        </row>
        <row r="62">
          <cell r="A62">
            <v>0</v>
          </cell>
          <cell r="B62">
            <v>0</v>
          </cell>
          <cell r="C62">
            <v>0</v>
          </cell>
          <cell r="D62">
            <v>0</v>
          </cell>
        </row>
        <row r="63">
          <cell r="A63" t="str">
            <v>(G) Serviços</v>
          </cell>
          <cell r="B63" t="str">
            <v>Base</v>
          </cell>
          <cell r="C63" t="str">
            <v>Tipo</v>
          </cell>
          <cell r="D63" t="str">
            <v>Código</v>
          </cell>
        </row>
        <row r="64">
          <cell r="A64">
            <v>0</v>
          </cell>
          <cell r="B64">
            <v>0</v>
          </cell>
          <cell r="C64">
            <v>0</v>
          </cell>
          <cell r="D64">
            <v>0</v>
          </cell>
        </row>
        <row r="65">
          <cell r="A65">
            <v>0</v>
          </cell>
          <cell r="B65">
            <v>0</v>
          </cell>
          <cell r="C65">
            <v>0</v>
          </cell>
          <cell r="D65">
            <v>0</v>
          </cell>
        </row>
        <row r="66">
          <cell r="A66">
            <v>0</v>
          </cell>
          <cell r="B66">
            <v>0</v>
          </cell>
          <cell r="C66">
            <v>0</v>
          </cell>
          <cell r="D66">
            <v>0</v>
          </cell>
        </row>
        <row r="69">
          <cell r="A69" t="str">
            <v>CCU-020</v>
          </cell>
          <cell r="B69" t="str">
            <v xml:space="preserve">UNIDADE </v>
          </cell>
          <cell r="C69" t="str">
            <v>M³</v>
          </cell>
          <cell r="D69" t="str">
            <v>ESC. CARGA E TRANSP. 1A. CAT.  20000-22000M (BOTA FORA)</v>
          </cell>
        </row>
        <row r="70">
          <cell r="A70" t="str">
            <v>(A) Equipamento</v>
          </cell>
          <cell r="B70" t="str">
            <v>Base</v>
          </cell>
          <cell r="C70" t="str">
            <v>Tipo</v>
          </cell>
          <cell r="D70" t="str">
            <v>Código</v>
          </cell>
        </row>
        <row r="71">
          <cell r="A71" t="str">
            <v>CAM. BASCUL. 1635/45 12M3 LEVE</v>
          </cell>
          <cell r="B71" t="str">
            <v>DER</v>
          </cell>
          <cell r="C71" t="str">
            <v>Equipamento</v>
          </cell>
          <cell r="D71">
            <v>313180</v>
          </cell>
        </row>
        <row r="72">
          <cell r="A72" t="str">
            <v>ESCAV. HIDRÁULICA 320D L LEVE</v>
          </cell>
          <cell r="B72" t="str">
            <v>DER</v>
          </cell>
          <cell r="C72" t="str">
            <v>Equipamento</v>
          </cell>
          <cell r="D72">
            <v>313200</v>
          </cell>
        </row>
        <row r="73">
          <cell r="A73" t="str">
            <v>MOTONIVELADORA 120-K LEVE</v>
          </cell>
          <cell r="B73" t="str">
            <v>DER</v>
          </cell>
          <cell r="C73" t="str">
            <v>Equipamento</v>
          </cell>
          <cell r="D73">
            <v>311200</v>
          </cell>
        </row>
        <row r="74">
          <cell r="A74">
            <v>0</v>
          </cell>
          <cell r="B74">
            <v>0</v>
          </cell>
          <cell r="C74">
            <v>0</v>
          </cell>
          <cell r="D74">
            <v>0</v>
          </cell>
        </row>
        <row r="75">
          <cell r="A75" t="str">
            <v>(B) Mão de obra</v>
          </cell>
          <cell r="B75" t="str">
            <v>Base</v>
          </cell>
          <cell r="C75" t="str">
            <v>Tipo</v>
          </cell>
          <cell r="D75" t="str">
            <v>Código</v>
          </cell>
        </row>
        <row r="76">
          <cell r="A76" t="str">
            <v>APONTADOR</v>
          </cell>
          <cell r="B76" t="str">
            <v>DER</v>
          </cell>
          <cell r="C76" t="str">
            <v>Mão de obra</v>
          </cell>
          <cell r="D76">
            <v>200020</v>
          </cell>
        </row>
        <row r="77">
          <cell r="A77" t="str">
            <v>ENCARREGADO DE SERVIÇO</v>
          </cell>
          <cell r="B77" t="str">
            <v>DER</v>
          </cell>
          <cell r="C77" t="str">
            <v>Mão de obra</v>
          </cell>
          <cell r="D77">
            <v>210060</v>
          </cell>
        </row>
        <row r="78">
          <cell r="A78" t="str">
            <v>SERVENTE</v>
          </cell>
          <cell r="B78" t="str">
            <v>DER</v>
          </cell>
          <cell r="C78" t="str">
            <v>Mão de obra</v>
          </cell>
          <cell r="D78">
            <v>200130</v>
          </cell>
        </row>
        <row r="79">
          <cell r="A79">
            <v>0</v>
          </cell>
          <cell r="B79">
            <v>0</v>
          </cell>
          <cell r="C79">
            <v>0</v>
          </cell>
          <cell r="D79">
            <v>0</v>
          </cell>
        </row>
        <row r="80">
          <cell r="A80" t="str">
            <v>(C) Itens de incidência</v>
          </cell>
          <cell r="B80" t="str">
            <v>Base</v>
          </cell>
          <cell r="C80" t="str">
            <v>Tipo</v>
          </cell>
          <cell r="D80" t="str">
            <v>Código</v>
          </cell>
        </row>
        <row r="81">
          <cell r="A81">
            <v>0</v>
          </cell>
          <cell r="B81">
            <v>0</v>
          </cell>
          <cell r="C81">
            <v>0</v>
          </cell>
          <cell r="D81">
            <v>0</v>
          </cell>
        </row>
        <row r="82">
          <cell r="A82">
            <v>0</v>
          </cell>
          <cell r="B82">
            <v>0</v>
          </cell>
          <cell r="C82">
            <v>0</v>
          </cell>
          <cell r="D82">
            <v>0</v>
          </cell>
        </row>
        <row r="83">
          <cell r="A83">
            <v>0</v>
          </cell>
          <cell r="B83">
            <v>0</v>
          </cell>
          <cell r="C83">
            <v>0</v>
          </cell>
          <cell r="D83">
            <v>0</v>
          </cell>
        </row>
        <row r="84">
          <cell r="A84" t="str">
            <v>Custo horário da execução (A + B + C)</v>
          </cell>
          <cell r="B84">
            <v>0</v>
          </cell>
          <cell r="C84">
            <v>0</v>
          </cell>
          <cell r="D84">
            <v>0</v>
          </cell>
        </row>
        <row r="85">
          <cell r="A85" t="str">
            <v xml:space="preserve"> (D) Produção da equipe</v>
          </cell>
          <cell r="B85">
            <v>0</v>
          </cell>
          <cell r="C85">
            <v>0</v>
          </cell>
          <cell r="D85">
            <v>0</v>
          </cell>
        </row>
        <row r="86">
          <cell r="A86" t="str">
            <v>(E) Custo unitário da execução (A + B + C) / D</v>
          </cell>
          <cell r="B86">
            <v>0</v>
          </cell>
          <cell r="C86">
            <v>0</v>
          </cell>
          <cell r="D86">
            <v>0</v>
          </cell>
        </row>
        <row r="87">
          <cell r="A87" t="str">
            <v>(F) Materiais</v>
          </cell>
          <cell r="B87" t="str">
            <v>Base</v>
          </cell>
          <cell r="C87" t="str">
            <v>Tipo</v>
          </cell>
          <cell r="D87" t="str">
            <v>Código</v>
          </cell>
        </row>
        <row r="88">
          <cell r="A88">
            <v>0</v>
          </cell>
          <cell r="B88">
            <v>0</v>
          </cell>
          <cell r="C88">
            <v>0</v>
          </cell>
          <cell r="D88">
            <v>0</v>
          </cell>
        </row>
        <row r="89">
          <cell r="A89">
            <v>0</v>
          </cell>
          <cell r="B89">
            <v>0</v>
          </cell>
          <cell r="C89">
            <v>0</v>
          </cell>
          <cell r="D89">
            <v>0</v>
          </cell>
        </row>
        <row r="90">
          <cell r="A90">
            <v>0</v>
          </cell>
          <cell r="B90">
            <v>0</v>
          </cell>
          <cell r="C90">
            <v>0</v>
          </cell>
          <cell r="D90">
            <v>0</v>
          </cell>
        </row>
        <row r="91">
          <cell r="A91" t="str">
            <v>(G) Serviços</v>
          </cell>
          <cell r="B91" t="str">
            <v>Base</v>
          </cell>
          <cell r="C91" t="str">
            <v>Tipo</v>
          </cell>
          <cell r="D91" t="str">
            <v>Código</v>
          </cell>
        </row>
        <row r="92">
          <cell r="A92">
            <v>0</v>
          </cell>
          <cell r="B92">
            <v>0</v>
          </cell>
          <cell r="C92">
            <v>0</v>
          </cell>
          <cell r="D92">
            <v>0</v>
          </cell>
        </row>
        <row r="93">
          <cell r="A93">
            <v>0</v>
          </cell>
          <cell r="B93">
            <v>0</v>
          </cell>
          <cell r="C93">
            <v>0</v>
          </cell>
          <cell r="D93">
            <v>0</v>
          </cell>
        </row>
        <row r="94">
          <cell r="A94">
            <v>0</v>
          </cell>
          <cell r="B94">
            <v>0</v>
          </cell>
          <cell r="C94">
            <v>0</v>
          </cell>
          <cell r="D94">
            <v>0</v>
          </cell>
        </row>
        <row r="97">
          <cell r="A97" t="str">
            <v>CCU-021</v>
          </cell>
          <cell r="B97" t="str">
            <v xml:space="preserve">UNIDADE </v>
          </cell>
          <cell r="C97" t="str">
            <v>M³</v>
          </cell>
          <cell r="D97" t="str">
            <v>ESC. CARGA E TRANSP. 1A. CAT.  26000-28000M (BOTA FORA)</v>
          </cell>
        </row>
        <row r="98">
          <cell r="A98" t="str">
            <v>(A) Equipamento</v>
          </cell>
          <cell r="B98" t="str">
            <v>Base</v>
          </cell>
          <cell r="C98" t="str">
            <v>Tipo</v>
          </cell>
          <cell r="D98" t="str">
            <v>Código</v>
          </cell>
        </row>
        <row r="99">
          <cell r="A99" t="str">
            <v>CAM. BASCUL. 1635/45 12M3 LEVE</v>
          </cell>
          <cell r="B99" t="str">
            <v>DER</v>
          </cell>
          <cell r="C99" t="str">
            <v>Equipamento</v>
          </cell>
          <cell r="D99">
            <v>313180</v>
          </cell>
        </row>
        <row r="100">
          <cell r="A100" t="str">
            <v>ESCAV. HIDRÁULICA 320D L LEVE</v>
          </cell>
          <cell r="B100" t="str">
            <v>DER</v>
          </cell>
          <cell r="C100" t="str">
            <v>Equipamento</v>
          </cell>
          <cell r="D100">
            <v>313200</v>
          </cell>
        </row>
        <row r="101">
          <cell r="A101" t="str">
            <v>MOTONIVELADORA 120-K LEVE</v>
          </cell>
          <cell r="B101" t="str">
            <v>DER</v>
          </cell>
          <cell r="C101" t="str">
            <v>Equipamento</v>
          </cell>
          <cell r="D101">
            <v>311200</v>
          </cell>
        </row>
        <row r="102">
          <cell r="A102">
            <v>0</v>
          </cell>
          <cell r="B102">
            <v>0</v>
          </cell>
          <cell r="C102">
            <v>0</v>
          </cell>
          <cell r="D102">
            <v>0</v>
          </cell>
        </row>
        <row r="103">
          <cell r="A103" t="str">
            <v>(B) Mão de obra</v>
          </cell>
          <cell r="B103" t="str">
            <v>Base</v>
          </cell>
          <cell r="C103" t="str">
            <v>Tipo</v>
          </cell>
          <cell r="D103" t="str">
            <v>Código</v>
          </cell>
        </row>
        <row r="104">
          <cell r="A104" t="str">
            <v>APONTADOR</v>
          </cell>
          <cell r="B104" t="str">
            <v>DER</v>
          </cell>
          <cell r="C104" t="str">
            <v>Mão de obra</v>
          </cell>
          <cell r="D104">
            <v>200020</v>
          </cell>
        </row>
        <row r="105">
          <cell r="A105" t="str">
            <v>ENCARREGADO DE SERVIÇO</v>
          </cell>
          <cell r="B105" t="str">
            <v>DER</v>
          </cell>
          <cell r="C105" t="str">
            <v>Mão de obra</v>
          </cell>
          <cell r="D105">
            <v>210060</v>
          </cell>
        </row>
        <row r="106">
          <cell r="A106" t="str">
            <v>SERVENTE</v>
          </cell>
          <cell r="B106" t="str">
            <v>DER</v>
          </cell>
          <cell r="C106" t="str">
            <v>Mão de obra</v>
          </cell>
          <cell r="D106">
            <v>200130</v>
          </cell>
        </row>
        <row r="107">
          <cell r="A107">
            <v>0</v>
          </cell>
          <cell r="B107">
            <v>0</v>
          </cell>
          <cell r="C107">
            <v>0</v>
          </cell>
          <cell r="D107">
            <v>0</v>
          </cell>
        </row>
        <row r="108">
          <cell r="A108" t="str">
            <v>(C) Itens de incidência</v>
          </cell>
          <cell r="B108" t="str">
            <v>Base</v>
          </cell>
          <cell r="C108" t="str">
            <v>Tipo</v>
          </cell>
          <cell r="D108" t="str">
            <v>Código</v>
          </cell>
        </row>
        <row r="109">
          <cell r="A109">
            <v>0</v>
          </cell>
          <cell r="B109">
            <v>0</v>
          </cell>
          <cell r="C109">
            <v>0</v>
          </cell>
          <cell r="D109">
            <v>0</v>
          </cell>
        </row>
        <row r="110">
          <cell r="A110">
            <v>0</v>
          </cell>
          <cell r="B110">
            <v>0</v>
          </cell>
          <cell r="C110">
            <v>0</v>
          </cell>
          <cell r="D110">
            <v>0</v>
          </cell>
        </row>
        <row r="111">
          <cell r="A111">
            <v>0</v>
          </cell>
          <cell r="B111">
            <v>0</v>
          </cell>
          <cell r="C111">
            <v>0</v>
          </cell>
          <cell r="D111">
            <v>0</v>
          </cell>
        </row>
        <row r="112">
          <cell r="A112" t="str">
            <v>Custo horário da execução (A + B + C)</v>
          </cell>
          <cell r="B112">
            <v>0</v>
          </cell>
          <cell r="C112">
            <v>0</v>
          </cell>
          <cell r="D112">
            <v>0</v>
          </cell>
        </row>
        <row r="113">
          <cell r="A113" t="str">
            <v xml:space="preserve"> (D) Produção da equipe</v>
          </cell>
          <cell r="B113">
            <v>0</v>
          </cell>
          <cell r="C113">
            <v>0</v>
          </cell>
          <cell r="D113">
            <v>0</v>
          </cell>
        </row>
        <row r="114">
          <cell r="A114" t="str">
            <v>(E) Custo unitário da execução (A + B + C) / D</v>
          </cell>
          <cell r="B114">
            <v>0</v>
          </cell>
          <cell r="C114">
            <v>0</v>
          </cell>
          <cell r="D114">
            <v>0</v>
          </cell>
        </row>
        <row r="115">
          <cell r="A115" t="str">
            <v>(F) Materiais</v>
          </cell>
          <cell r="B115" t="str">
            <v>Base</v>
          </cell>
          <cell r="C115" t="str">
            <v>Tipo</v>
          </cell>
          <cell r="D115" t="str">
            <v>Código</v>
          </cell>
        </row>
        <row r="116">
          <cell r="A116">
            <v>0</v>
          </cell>
          <cell r="B116">
            <v>0</v>
          </cell>
          <cell r="C116">
            <v>0</v>
          </cell>
          <cell r="D116">
            <v>0</v>
          </cell>
        </row>
        <row r="117">
          <cell r="A117">
            <v>0</v>
          </cell>
          <cell r="B117">
            <v>0</v>
          </cell>
          <cell r="C117">
            <v>0</v>
          </cell>
          <cell r="D117">
            <v>0</v>
          </cell>
        </row>
        <row r="118">
          <cell r="A118">
            <v>0</v>
          </cell>
          <cell r="B118">
            <v>0</v>
          </cell>
          <cell r="C118">
            <v>0</v>
          </cell>
          <cell r="D118">
            <v>0</v>
          </cell>
        </row>
        <row r="119">
          <cell r="A119" t="str">
            <v>(G) Serviços</v>
          </cell>
          <cell r="B119" t="str">
            <v>Base</v>
          </cell>
          <cell r="C119" t="str">
            <v>Tipo</v>
          </cell>
          <cell r="D119" t="str">
            <v>Código</v>
          </cell>
        </row>
        <row r="120">
          <cell r="A120">
            <v>0</v>
          </cell>
          <cell r="B120">
            <v>0</v>
          </cell>
          <cell r="C120">
            <v>0</v>
          </cell>
          <cell r="D120">
            <v>0</v>
          </cell>
        </row>
        <row r="121">
          <cell r="A121">
            <v>0</v>
          </cell>
          <cell r="B121">
            <v>0</v>
          </cell>
          <cell r="C121">
            <v>0</v>
          </cell>
          <cell r="D121">
            <v>0</v>
          </cell>
        </row>
        <row r="122">
          <cell r="A122">
            <v>0</v>
          </cell>
          <cell r="B122">
            <v>0</v>
          </cell>
          <cell r="C122">
            <v>0</v>
          </cell>
          <cell r="D122">
            <v>0</v>
          </cell>
        </row>
        <row r="125">
          <cell r="A125" t="str">
            <v>CCU-022</v>
          </cell>
          <cell r="B125" t="str">
            <v xml:space="preserve">UNIDADE </v>
          </cell>
          <cell r="C125" t="str">
            <v>M³</v>
          </cell>
          <cell r="D125" t="str">
            <v xml:space="preserve">EMPRÉSTIMO DE 1A CAT 4000-5000M PARA ATERRO (INCLUSIVE FORNECIMENTO, AQUISIÇÃO, CARGA, DESCARGA E TRANSPORTE) </v>
          </cell>
        </row>
        <row r="126">
          <cell r="A126" t="str">
            <v>(A) Equipamento</v>
          </cell>
          <cell r="B126" t="str">
            <v>Base</v>
          </cell>
          <cell r="C126" t="str">
            <v>Tipo</v>
          </cell>
          <cell r="D126" t="str">
            <v>Código</v>
          </cell>
        </row>
        <row r="127">
          <cell r="A127">
            <v>0</v>
          </cell>
          <cell r="B127">
            <v>0</v>
          </cell>
          <cell r="C127">
            <v>0</v>
          </cell>
          <cell r="D127">
            <v>0</v>
          </cell>
        </row>
        <row r="128">
          <cell r="A128">
            <v>0</v>
          </cell>
          <cell r="B128">
            <v>0</v>
          </cell>
          <cell r="C128">
            <v>0</v>
          </cell>
          <cell r="D128">
            <v>0</v>
          </cell>
        </row>
        <row r="129">
          <cell r="A129">
            <v>0</v>
          </cell>
          <cell r="B129">
            <v>0</v>
          </cell>
          <cell r="C129">
            <v>0</v>
          </cell>
          <cell r="D129">
            <v>0</v>
          </cell>
        </row>
        <row r="130">
          <cell r="A130" t="str">
            <v>(B) Mão de obra</v>
          </cell>
          <cell r="B130" t="str">
            <v>Base</v>
          </cell>
          <cell r="C130" t="str">
            <v>Tipo</v>
          </cell>
          <cell r="D130" t="str">
            <v>Código</v>
          </cell>
        </row>
        <row r="131">
          <cell r="A131">
            <v>0</v>
          </cell>
          <cell r="B131">
            <v>0</v>
          </cell>
          <cell r="C131">
            <v>0</v>
          </cell>
          <cell r="D131">
            <v>0</v>
          </cell>
        </row>
        <row r="132">
          <cell r="A132">
            <v>0</v>
          </cell>
          <cell r="B132">
            <v>0</v>
          </cell>
          <cell r="C132">
            <v>0</v>
          </cell>
          <cell r="D132">
            <v>0</v>
          </cell>
        </row>
        <row r="133">
          <cell r="A133">
            <v>0</v>
          </cell>
          <cell r="B133">
            <v>0</v>
          </cell>
          <cell r="C133">
            <v>0</v>
          </cell>
          <cell r="D133">
            <v>0</v>
          </cell>
        </row>
        <row r="134">
          <cell r="A134" t="str">
            <v>(C) Itens de incidência</v>
          </cell>
          <cell r="B134" t="str">
            <v>Base</v>
          </cell>
          <cell r="C134" t="str">
            <v>Tipo</v>
          </cell>
          <cell r="D134" t="str">
            <v>Código</v>
          </cell>
        </row>
        <row r="135">
          <cell r="A135">
            <v>0</v>
          </cell>
          <cell r="B135">
            <v>0</v>
          </cell>
          <cell r="C135">
            <v>0</v>
          </cell>
          <cell r="D135">
            <v>0</v>
          </cell>
        </row>
        <row r="136">
          <cell r="A136">
            <v>0</v>
          </cell>
          <cell r="B136">
            <v>0</v>
          </cell>
          <cell r="C136">
            <v>0</v>
          </cell>
          <cell r="D136">
            <v>0</v>
          </cell>
        </row>
        <row r="137">
          <cell r="A137">
            <v>0</v>
          </cell>
          <cell r="B137">
            <v>0</v>
          </cell>
          <cell r="C137">
            <v>0</v>
          </cell>
          <cell r="D137">
            <v>0</v>
          </cell>
        </row>
        <row r="138">
          <cell r="A138" t="str">
            <v>Custo horário da execução (A + B + C)</v>
          </cell>
          <cell r="B138">
            <v>0</v>
          </cell>
          <cell r="C138">
            <v>0</v>
          </cell>
          <cell r="D138">
            <v>0</v>
          </cell>
        </row>
        <row r="139">
          <cell r="A139" t="str">
            <v xml:space="preserve"> (D) Produção da equipe</v>
          </cell>
          <cell r="B139">
            <v>0</v>
          </cell>
          <cell r="C139">
            <v>0</v>
          </cell>
          <cell r="D139">
            <v>0</v>
          </cell>
        </row>
        <row r="140">
          <cell r="A140" t="str">
            <v>(E) Custo unitário da execução (A + B + C) / D</v>
          </cell>
          <cell r="B140">
            <v>0</v>
          </cell>
          <cell r="C140">
            <v>0</v>
          </cell>
          <cell r="D140">
            <v>0</v>
          </cell>
        </row>
        <row r="141">
          <cell r="A141" t="str">
            <v>(F) Materiais</v>
          </cell>
          <cell r="B141" t="str">
            <v>Base</v>
          </cell>
          <cell r="C141" t="str">
            <v>Tipo</v>
          </cell>
          <cell r="D141" t="str">
            <v>Código</v>
          </cell>
        </row>
        <row r="142">
          <cell r="A142" t="str">
            <v>Material de jazida comercial (saibro)</v>
          </cell>
          <cell r="B142" t="str">
            <v>MERCADO</v>
          </cell>
          <cell r="C142" t="str">
            <v>Cotação</v>
          </cell>
          <cell r="D142" t="str">
            <v>COT-01</v>
          </cell>
        </row>
        <row r="143">
          <cell r="A143">
            <v>0</v>
          </cell>
          <cell r="B143">
            <v>0</v>
          </cell>
          <cell r="C143">
            <v>0</v>
          </cell>
          <cell r="D143">
            <v>0</v>
          </cell>
        </row>
        <row r="144">
          <cell r="A144">
            <v>0</v>
          </cell>
          <cell r="B144">
            <v>0</v>
          </cell>
          <cell r="C144">
            <v>0</v>
          </cell>
          <cell r="D144">
            <v>0</v>
          </cell>
        </row>
        <row r="145">
          <cell r="A145" t="str">
            <v>(G) Serviços</v>
          </cell>
          <cell r="B145" t="str">
            <v>Base</v>
          </cell>
          <cell r="C145" t="str">
            <v>Tipo</v>
          </cell>
          <cell r="D145" t="str">
            <v>Código</v>
          </cell>
        </row>
        <row r="146">
          <cell r="A146" t="str">
            <v>Carga, manobra e descarga de agregados ou solos em caminhão basculante de 10 m³ - carga com carregadeira de 3,40 m³ (exclusa) e descarga livre</v>
          </cell>
          <cell r="B146" t="str">
            <v>AMEP</v>
          </cell>
          <cell r="C146" t="str">
            <v>Composição complementar</v>
          </cell>
          <cell r="D146" t="str">
            <v>CCUC-001</v>
          </cell>
        </row>
        <row r="147">
          <cell r="A147">
            <v>0</v>
          </cell>
          <cell r="B147">
            <v>0</v>
          </cell>
          <cell r="C147">
            <v>0</v>
          </cell>
          <cell r="D147">
            <v>0</v>
          </cell>
        </row>
        <row r="148">
          <cell r="A148">
            <v>0</v>
          </cell>
          <cell r="B148">
            <v>0</v>
          </cell>
          <cell r="C148">
            <v>0</v>
          </cell>
          <cell r="D148">
            <v>0</v>
          </cell>
        </row>
        <row r="151">
          <cell r="A151" t="str">
            <v>CCUC-001</v>
          </cell>
          <cell r="B151" t="str">
            <v xml:space="preserve">UNIDADE </v>
          </cell>
          <cell r="C151" t="str">
            <v>T</v>
          </cell>
          <cell r="D151" t="str">
            <v>CARGA, MANOBRA E DESCARGA DE AGREGADOS OU SOLOS EM CAMINHÃO BASCULANTE DE 10 M³ - CARGA COM CARREGADEIRA DE 3,40 M³ (EXCLUSA) E DESCARGA LIVRE</v>
          </cell>
        </row>
        <row r="152">
          <cell r="A152" t="str">
            <v>(A) Equipamento</v>
          </cell>
          <cell r="B152" t="str">
            <v>Base</v>
          </cell>
          <cell r="C152" t="str">
            <v>Tipo</v>
          </cell>
          <cell r="D152" t="str">
            <v>Código</v>
          </cell>
        </row>
        <row r="153">
          <cell r="A153" t="str">
            <v>Cam. bascul. 2426/48 10m3 média</v>
          </cell>
          <cell r="B153">
            <v>0</v>
          </cell>
          <cell r="C153">
            <v>0</v>
          </cell>
          <cell r="D153">
            <v>321820</v>
          </cell>
        </row>
        <row r="154">
          <cell r="A154">
            <v>0</v>
          </cell>
          <cell r="B154">
            <v>0</v>
          </cell>
          <cell r="C154">
            <v>0</v>
          </cell>
          <cell r="D154">
            <v>0</v>
          </cell>
        </row>
        <row r="155">
          <cell r="A155">
            <v>0</v>
          </cell>
          <cell r="B155">
            <v>0</v>
          </cell>
          <cell r="C155">
            <v>0</v>
          </cell>
          <cell r="D155">
            <v>0</v>
          </cell>
        </row>
        <row r="156">
          <cell r="A156" t="str">
            <v>(B) Mão de obra</v>
          </cell>
          <cell r="B156" t="str">
            <v>Base</v>
          </cell>
          <cell r="C156" t="str">
            <v>Tipo</v>
          </cell>
          <cell r="D156" t="str">
            <v>Código</v>
          </cell>
        </row>
        <row r="157">
          <cell r="A157">
            <v>0</v>
          </cell>
          <cell r="B157">
            <v>0</v>
          </cell>
          <cell r="C157">
            <v>0</v>
          </cell>
          <cell r="D157">
            <v>0</v>
          </cell>
        </row>
        <row r="158">
          <cell r="A158">
            <v>0</v>
          </cell>
          <cell r="B158">
            <v>0</v>
          </cell>
          <cell r="C158">
            <v>0</v>
          </cell>
          <cell r="D158">
            <v>0</v>
          </cell>
        </row>
        <row r="159">
          <cell r="A159">
            <v>0</v>
          </cell>
          <cell r="B159">
            <v>0</v>
          </cell>
          <cell r="C159">
            <v>0</v>
          </cell>
          <cell r="D159">
            <v>0</v>
          </cell>
        </row>
        <row r="160">
          <cell r="A160" t="str">
            <v>(C) Itens de incidência</v>
          </cell>
          <cell r="B160" t="str">
            <v>Base</v>
          </cell>
          <cell r="C160" t="str">
            <v>Tipo</v>
          </cell>
          <cell r="D160" t="str">
            <v>Código</v>
          </cell>
        </row>
        <row r="161">
          <cell r="A161">
            <v>0</v>
          </cell>
          <cell r="B161">
            <v>0</v>
          </cell>
          <cell r="C161">
            <v>0</v>
          </cell>
          <cell r="D161">
            <v>0</v>
          </cell>
        </row>
        <row r="162">
          <cell r="A162">
            <v>0</v>
          </cell>
          <cell r="B162">
            <v>0</v>
          </cell>
          <cell r="C162">
            <v>0</v>
          </cell>
          <cell r="D162">
            <v>0</v>
          </cell>
        </row>
        <row r="163">
          <cell r="A163">
            <v>0</v>
          </cell>
          <cell r="B163">
            <v>0</v>
          </cell>
          <cell r="C163">
            <v>0</v>
          </cell>
          <cell r="D163">
            <v>0</v>
          </cell>
        </row>
        <row r="164">
          <cell r="A164" t="str">
            <v>Custo horário da execução (A + B + C)</v>
          </cell>
          <cell r="B164">
            <v>0</v>
          </cell>
          <cell r="C164">
            <v>0</v>
          </cell>
          <cell r="D164">
            <v>0</v>
          </cell>
        </row>
        <row r="165">
          <cell r="A165" t="str">
            <v xml:space="preserve"> (D) Produção da equipe</v>
          </cell>
          <cell r="B165">
            <v>0</v>
          </cell>
          <cell r="C165">
            <v>0</v>
          </cell>
          <cell r="D165">
            <v>0</v>
          </cell>
        </row>
        <row r="166">
          <cell r="A166" t="str">
            <v>(E) Custo unitário da execução (A + B + C) / D</v>
          </cell>
          <cell r="B166">
            <v>0</v>
          </cell>
          <cell r="C166">
            <v>0</v>
          </cell>
          <cell r="D166">
            <v>0</v>
          </cell>
        </row>
        <row r="167">
          <cell r="A167" t="str">
            <v>(F) Materiais</v>
          </cell>
          <cell r="B167" t="str">
            <v>Base</v>
          </cell>
          <cell r="C167" t="str">
            <v>Tipo</v>
          </cell>
          <cell r="D167" t="str">
            <v>Código</v>
          </cell>
        </row>
        <row r="168">
          <cell r="A168">
            <v>0</v>
          </cell>
          <cell r="B168">
            <v>0</v>
          </cell>
          <cell r="C168">
            <v>0</v>
          </cell>
          <cell r="D168">
            <v>0</v>
          </cell>
        </row>
        <row r="169">
          <cell r="A169">
            <v>0</v>
          </cell>
          <cell r="B169">
            <v>0</v>
          </cell>
          <cell r="C169">
            <v>0</v>
          </cell>
          <cell r="D169">
            <v>0</v>
          </cell>
        </row>
        <row r="170">
          <cell r="A170">
            <v>0</v>
          </cell>
          <cell r="B170">
            <v>0</v>
          </cell>
          <cell r="C170">
            <v>0</v>
          </cell>
          <cell r="D170">
            <v>0</v>
          </cell>
        </row>
        <row r="171">
          <cell r="A171" t="str">
            <v>(G) Serviços</v>
          </cell>
          <cell r="B171" t="str">
            <v>Base</v>
          </cell>
          <cell r="C171" t="str">
            <v>Tipo</v>
          </cell>
          <cell r="D171" t="str">
            <v>Código</v>
          </cell>
        </row>
        <row r="172">
          <cell r="A172">
            <v>0</v>
          </cell>
          <cell r="B172">
            <v>0</v>
          </cell>
          <cell r="C172">
            <v>0</v>
          </cell>
          <cell r="D172">
            <v>0</v>
          </cell>
        </row>
        <row r="173">
          <cell r="A173">
            <v>0</v>
          </cell>
          <cell r="B173">
            <v>0</v>
          </cell>
          <cell r="C173">
            <v>0</v>
          </cell>
          <cell r="D173">
            <v>0</v>
          </cell>
        </row>
        <row r="174">
          <cell r="A174">
            <v>0</v>
          </cell>
          <cell r="B174">
            <v>0</v>
          </cell>
          <cell r="C174">
            <v>0</v>
          </cell>
          <cell r="D174">
            <v>0</v>
          </cell>
        </row>
        <row r="177">
          <cell r="A177" t="str">
            <v>CCU-023</v>
          </cell>
          <cell r="B177" t="str">
            <v xml:space="preserve">UNIDADE </v>
          </cell>
          <cell r="C177" t="str">
            <v>M³</v>
          </cell>
          <cell r="D177" t="str">
            <v xml:space="preserve">EMPRÉSTIMO DE 1A CAT 6000-8000M PARA ATERRO (INCLUSIVE FORNECIMENTO, AQUISIÇÃO, CARGA, DESCARGA E TRANSPORTE) </v>
          </cell>
        </row>
        <row r="178">
          <cell r="A178" t="str">
            <v>(A) Equipamento</v>
          </cell>
          <cell r="B178" t="str">
            <v>Base</v>
          </cell>
          <cell r="C178" t="str">
            <v>Tipo</v>
          </cell>
          <cell r="D178" t="str">
            <v>Código</v>
          </cell>
        </row>
        <row r="179">
          <cell r="A179">
            <v>0</v>
          </cell>
          <cell r="B179">
            <v>0</v>
          </cell>
          <cell r="C179">
            <v>0</v>
          </cell>
          <cell r="D179">
            <v>0</v>
          </cell>
        </row>
        <row r="180">
          <cell r="A180">
            <v>0</v>
          </cell>
          <cell r="B180">
            <v>0</v>
          </cell>
          <cell r="C180">
            <v>0</v>
          </cell>
          <cell r="D180">
            <v>0</v>
          </cell>
        </row>
        <row r="181">
          <cell r="A181">
            <v>0</v>
          </cell>
          <cell r="B181">
            <v>0</v>
          </cell>
          <cell r="C181">
            <v>0</v>
          </cell>
          <cell r="D181">
            <v>0</v>
          </cell>
        </row>
        <row r="182">
          <cell r="A182" t="str">
            <v>(B) Mão de obra</v>
          </cell>
          <cell r="B182" t="str">
            <v>Base</v>
          </cell>
          <cell r="C182" t="str">
            <v>Tipo</v>
          </cell>
          <cell r="D182" t="str">
            <v>Código</v>
          </cell>
        </row>
        <row r="183">
          <cell r="A183">
            <v>0</v>
          </cell>
          <cell r="B183">
            <v>0</v>
          </cell>
          <cell r="C183">
            <v>0</v>
          </cell>
          <cell r="D183">
            <v>0</v>
          </cell>
        </row>
        <row r="184">
          <cell r="A184">
            <v>0</v>
          </cell>
          <cell r="B184">
            <v>0</v>
          </cell>
          <cell r="C184">
            <v>0</v>
          </cell>
          <cell r="D184">
            <v>0</v>
          </cell>
        </row>
        <row r="185">
          <cell r="A185">
            <v>0</v>
          </cell>
          <cell r="B185">
            <v>0</v>
          </cell>
          <cell r="C185">
            <v>0</v>
          </cell>
          <cell r="D185">
            <v>0</v>
          </cell>
        </row>
        <row r="186">
          <cell r="A186" t="str">
            <v>(C) Itens de incidência</v>
          </cell>
          <cell r="B186" t="str">
            <v>Base</v>
          </cell>
          <cell r="C186" t="str">
            <v>Tipo</v>
          </cell>
          <cell r="D186" t="str">
            <v>Código</v>
          </cell>
        </row>
        <row r="187">
          <cell r="A187">
            <v>0</v>
          </cell>
          <cell r="B187">
            <v>0</v>
          </cell>
          <cell r="C187">
            <v>0</v>
          </cell>
          <cell r="D187">
            <v>0</v>
          </cell>
        </row>
        <row r="188">
          <cell r="A188">
            <v>0</v>
          </cell>
          <cell r="B188">
            <v>0</v>
          </cell>
          <cell r="C188">
            <v>0</v>
          </cell>
          <cell r="D188">
            <v>0</v>
          </cell>
        </row>
        <row r="189">
          <cell r="A189">
            <v>0</v>
          </cell>
          <cell r="B189">
            <v>0</v>
          </cell>
          <cell r="C189">
            <v>0</v>
          </cell>
          <cell r="D189">
            <v>0</v>
          </cell>
        </row>
        <row r="190">
          <cell r="A190" t="str">
            <v>Custo horário da execução (A + B + C)</v>
          </cell>
          <cell r="B190">
            <v>0</v>
          </cell>
          <cell r="C190">
            <v>0</v>
          </cell>
          <cell r="D190">
            <v>0</v>
          </cell>
        </row>
        <row r="191">
          <cell r="A191" t="str">
            <v xml:space="preserve"> (D) Produção da equipe</v>
          </cell>
          <cell r="B191">
            <v>0</v>
          </cell>
          <cell r="C191">
            <v>0</v>
          </cell>
          <cell r="D191">
            <v>0</v>
          </cell>
        </row>
        <row r="192">
          <cell r="A192" t="str">
            <v>(E) Custo unitário da execução (A + B + C) / D</v>
          </cell>
          <cell r="B192">
            <v>0</v>
          </cell>
          <cell r="C192">
            <v>0</v>
          </cell>
          <cell r="D192">
            <v>0</v>
          </cell>
        </row>
        <row r="193">
          <cell r="A193" t="str">
            <v>(F) Materiais</v>
          </cell>
          <cell r="B193" t="str">
            <v>Base</v>
          </cell>
          <cell r="C193" t="str">
            <v>Tipo</v>
          </cell>
          <cell r="D193" t="str">
            <v>Código</v>
          </cell>
        </row>
        <row r="194">
          <cell r="A194" t="str">
            <v>Material de jazida comercial (saibro)</v>
          </cell>
          <cell r="B194" t="str">
            <v>MERCADO</v>
          </cell>
          <cell r="C194" t="str">
            <v>Cotação</v>
          </cell>
          <cell r="D194" t="str">
            <v>COT-01</v>
          </cell>
        </row>
        <row r="195">
          <cell r="A195">
            <v>0</v>
          </cell>
          <cell r="B195">
            <v>0</v>
          </cell>
          <cell r="C195">
            <v>0</v>
          </cell>
          <cell r="D195">
            <v>0</v>
          </cell>
        </row>
        <row r="196">
          <cell r="A196">
            <v>0</v>
          </cell>
          <cell r="B196">
            <v>0</v>
          </cell>
          <cell r="C196">
            <v>0</v>
          </cell>
          <cell r="D196">
            <v>0</v>
          </cell>
        </row>
        <row r="197">
          <cell r="A197" t="str">
            <v>(G) Serviços</v>
          </cell>
          <cell r="B197" t="str">
            <v>Base</v>
          </cell>
          <cell r="C197" t="str">
            <v>Tipo</v>
          </cell>
          <cell r="D197" t="str">
            <v>Código</v>
          </cell>
        </row>
        <row r="198">
          <cell r="A198" t="str">
            <v>Carga, manobra e descarga de agregados ou solos em caminhão basculante de 10 m³ - carga com carregadeira de 3,40 m³ (exclusa) e descarga livre</v>
          </cell>
          <cell r="B198" t="str">
            <v>AMEP</v>
          </cell>
          <cell r="C198" t="str">
            <v>Composição complementar</v>
          </cell>
          <cell r="D198" t="str">
            <v>CCUC-001</v>
          </cell>
        </row>
        <row r="199">
          <cell r="A199">
            <v>0</v>
          </cell>
          <cell r="B199">
            <v>0</v>
          </cell>
          <cell r="C199">
            <v>0</v>
          </cell>
          <cell r="D199">
            <v>0</v>
          </cell>
        </row>
        <row r="200">
          <cell r="A200">
            <v>0</v>
          </cell>
          <cell r="B200">
            <v>0</v>
          </cell>
          <cell r="C200">
            <v>0</v>
          </cell>
          <cell r="D200">
            <v>0</v>
          </cell>
        </row>
        <row r="203">
          <cell r="A203" t="str">
            <v>CCU-024</v>
          </cell>
          <cell r="B203" t="str">
            <v xml:space="preserve">UNIDADE </v>
          </cell>
          <cell r="C203" t="str">
            <v>M³</v>
          </cell>
          <cell r="D203" t="str">
            <v xml:space="preserve">EMPRÉSTIMO DE 1A CAT 14000-16000M PARA ATERRO (INCLUSIVE FORNECIMENTO, AQUISIÇÃO, CARGA, DESCARGA E TRANSPORTE) </v>
          </cell>
        </row>
        <row r="204">
          <cell r="A204" t="str">
            <v>(A) Equipamento</v>
          </cell>
          <cell r="B204" t="str">
            <v>Base</v>
          </cell>
          <cell r="C204" t="str">
            <v>Tipo</v>
          </cell>
          <cell r="D204" t="str">
            <v>Código</v>
          </cell>
        </row>
        <row r="205">
          <cell r="A205">
            <v>0</v>
          </cell>
          <cell r="B205">
            <v>0</v>
          </cell>
          <cell r="C205">
            <v>0</v>
          </cell>
          <cell r="D205">
            <v>0</v>
          </cell>
        </row>
        <row r="206">
          <cell r="A206">
            <v>0</v>
          </cell>
          <cell r="B206">
            <v>0</v>
          </cell>
          <cell r="C206">
            <v>0</v>
          </cell>
          <cell r="D206">
            <v>0</v>
          </cell>
        </row>
        <row r="207">
          <cell r="A207">
            <v>0</v>
          </cell>
          <cell r="B207">
            <v>0</v>
          </cell>
          <cell r="C207">
            <v>0</v>
          </cell>
          <cell r="D207">
            <v>0</v>
          </cell>
        </row>
        <row r="208">
          <cell r="A208" t="str">
            <v>(B) Mão de obra</v>
          </cell>
          <cell r="B208" t="str">
            <v>Base</v>
          </cell>
          <cell r="C208" t="str">
            <v>Tipo</v>
          </cell>
          <cell r="D208" t="str">
            <v>Código</v>
          </cell>
        </row>
        <row r="209">
          <cell r="A209">
            <v>0</v>
          </cell>
          <cell r="B209">
            <v>0</v>
          </cell>
          <cell r="C209">
            <v>0</v>
          </cell>
          <cell r="D209">
            <v>0</v>
          </cell>
        </row>
        <row r="210">
          <cell r="A210">
            <v>0</v>
          </cell>
          <cell r="B210">
            <v>0</v>
          </cell>
          <cell r="C210">
            <v>0</v>
          </cell>
          <cell r="D210">
            <v>0</v>
          </cell>
        </row>
        <row r="211">
          <cell r="A211">
            <v>0</v>
          </cell>
          <cell r="B211">
            <v>0</v>
          </cell>
          <cell r="C211">
            <v>0</v>
          </cell>
          <cell r="D211">
            <v>0</v>
          </cell>
        </row>
        <row r="212">
          <cell r="A212" t="str">
            <v>(C) Itens de incidência</v>
          </cell>
          <cell r="B212" t="str">
            <v>Base</v>
          </cell>
          <cell r="C212" t="str">
            <v>Tipo</v>
          </cell>
          <cell r="D212" t="str">
            <v>Código</v>
          </cell>
        </row>
        <row r="213">
          <cell r="A213">
            <v>0</v>
          </cell>
          <cell r="B213">
            <v>0</v>
          </cell>
          <cell r="C213">
            <v>0</v>
          </cell>
          <cell r="D213">
            <v>0</v>
          </cell>
        </row>
        <row r="214">
          <cell r="A214">
            <v>0</v>
          </cell>
          <cell r="B214">
            <v>0</v>
          </cell>
          <cell r="C214">
            <v>0</v>
          </cell>
          <cell r="D214">
            <v>0</v>
          </cell>
        </row>
        <row r="215">
          <cell r="A215">
            <v>0</v>
          </cell>
          <cell r="B215">
            <v>0</v>
          </cell>
          <cell r="C215">
            <v>0</v>
          </cell>
          <cell r="D215">
            <v>0</v>
          </cell>
        </row>
        <row r="216">
          <cell r="A216" t="str">
            <v>Custo horário da execução (A + B + C)</v>
          </cell>
          <cell r="B216">
            <v>0</v>
          </cell>
          <cell r="C216">
            <v>0</v>
          </cell>
          <cell r="D216">
            <v>0</v>
          </cell>
        </row>
        <row r="217">
          <cell r="A217" t="str">
            <v xml:space="preserve"> (D) Produção da equipe</v>
          </cell>
          <cell r="B217">
            <v>0</v>
          </cell>
          <cell r="C217">
            <v>0</v>
          </cell>
          <cell r="D217">
            <v>0</v>
          </cell>
        </row>
        <row r="218">
          <cell r="A218" t="str">
            <v>(E) Custo unitário da execução (A + B + C) / D</v>
          </cell>
          <cell r="B218">
            <v>0</v>
          </cell>
          <cell r="C218">
            <v>0</v>
          </cell>
          <cell r="D218">
            <v>0</v>
          </cell>
        </row>
        <row r="219">
          <cell r="A219" t="str">
            <v>(F) Materiais</v>
          </cell>
          <cell r="B219" t="str">
            <v>Base</v>
          </cell>
          <cell r="C219" t="str">
            <v>Tipo</v>
          </cell>
          <cell r="D219" t="str">
            <v>Código</v>
          </cell>
        </row>
        <row r="220">
          <cell r="A220" t="str">
            <v>Material de jazida comercial (saibro)</v>
          </cell>
          <cell r="B220" t="str">
            <v>MERCADO</v>
          </cell>
          <cell r="C220" t="str">
            <v>Cotação</v>
          </cell>
          <cell r="D220" t="str">
            <v>COT-01</v>
          </cell>
        </row>
        <row r="221">
          <cell r="A221">
            <v>0</v>
          </cell>
          <cell r="B221">
            <v>0</v>
          </cell>
          <cell r="C221">
            <v>0</v>
          </cell>
          <cell r="D221">
            <v>0</v>
          </cell>
        </row>
        <row r="222">
          <cell r="A222">
            <v>0</v>
          </cell>
          <cell r="B222">
            <v>0</v>
          </cell>
          <cell r="C222">
            <v>0</v>
          </cell>
          <cell r="D222">
            <v>0</v>
          </cell>
        </row>
        <row r="223">
          <cell r="A223" t="str">
            <v>(G) Serviços</v>
          </cell>
          <cell r="B223" t="str">
            <v>Base</v>
          </cell>
          <cell r="C223" t="str">
            <v>Tipo</v>
          </cell>
          <cell r="D223" t="str">
            <v>Código</v>
          </cell>
        </row>
        <row r="224">
          <cell r="A224" t="str">
            <v>Carga, manobra e descarga de agregados ou solos em caminhão basculante de 10 m³ - carga com carregadeira de 3,40 m³ (exclusa) e descarga livre</v>
          </cell>
          <cell r="B224" t="str">
            <v>AMEP</v>
          </cell>
          <cell r="C224" t="str">
            <v>Composição complementar</v>
          </cell>
          <cell r="D224" t="str">
            <v>CCUC-001</v>
          </cell>
        </row>
        <row r="225">
          <cell r="A225">
            <v>0</v>
          </cell>
          <cell r="B225">
            <v>0</v>
          </cell>
          <cell r="C225">
            <v>0</v>
          </cell>
          <cell r="D225">
            <v>0</v>
          </cell>
        </row>
        <row r="226">
          <cell r="A226">
            <v>0</v>
          </cell>
          <cell r="B226">
            <v>0</v>
          </cell>
          <cell r="C226">
            <v>0</v>
          </cell>
          <cell r="D226">
            <v>0</v>
          </cell>
        </row>
        <row r="229">
          <cell r="A229" t="str">
            <v>CCU-025</v>
          </cell>
          <cell r="B229" t="str">
            <v xml:space="preserve">UNIDADE </v>
          </cell>
          <cell r="C229" t="str">
            <v>M³</v>
          </cell>
          <cell r="D229" t="str">
            <v>EMPRÉSTIMO DE 3A CAT 4000-5000M PARA ENROCAMENTO (INCLUSIVE FORNECIMENTO, AQUISIÇÃO, CARGA, DESCARGA E TRANSPORTE)</v>
          </cell>
        </row>
        <row r="230">
          <cell r="A230" t="str">
            <v>(A) Equipamento</v>
          </cell>
          <cell r="B230" t="str">
            <v>Base</v>
          </cell>
          <cell r="C230" t="str">
            <v>Tipo</v>
          </cell>
          <cell r="D230" t="str">
            <v>Código</v>
          </cell>
        </row>
        <row r="231">
          <cell r="A231">
            <v>0</v>
          </cell>
          <cell r="B231">
            <v>0</v>
          </cell>
          <cell r="C231">
            <v>0</v>
          </cell>
          <cell r="D231">
            <v>0</v>
          </cell>
        </row>
        <row r="232">
          <cell r="A232">
            <v>0</v>
          </cell>
          <cell r="B232">
            <v>0</v>
          </cell>
          <cell r="C232">
            <v>0</v>
          </cell>
          <cell r="D232">
            <v>0</v>
          </cell>
        </row>
        <row r="233">
          <cell r="A233">
            <v>0</v>
          </cell>
          <cell r="B233">
            <v>0</v>
          </cell>
          <cell r="C233">
            <v>0</v>
          </cell>
          <cell r="D233">
            <v>0</v>
          </cell>
        </row>
        <row r="234">
          <cell r="A234" t="str">
            <v>(B) Mão de obra</v>
          </cell>
          <cell r="B234" t="str">
            <v>Base</v>
          </cell>
          <cell r="C234" t="str">
            <v>Tipo</v>
          </cell>
          <cell r="D234" t="str">
            <v>Código</v>
          </cell>
        </row>
        <row r="235">
          <cell r="A235">
            <v>0</v>
          </cell>
          <cell r="B235">
            <v>0</v>
          </cell>
          <cell r="C235">
            <v>0</v>
          </cell>
          <cell r="D235">
            <v>0</v>
          </cell>
        </row>
        <row r="236">
          <cell r="A236">
            <v>0</v>
          </cell>
          <cell r="B236">
            <v>0</v>
          </cell>
          <cell r="C236">
            <v>0</v>
          </cell>
          <cell r="D236">
            <v>0</v>
          </cell>
        </row>
        <row r="237">
          <cell r="A237">
            <v>0</v>
          </cell>
          <cell r="B237">
            <v>0</v>
          </cell>
          <cell r="C237">
            <v>0</v>
          </cell>
          <cell r="D237">
            <v>0</v>
          </cell>
        </row>
        <row r="238">
          <cell r="A238" t="str">
            <v>(C) Itens de incidência</v>
          </cell>
          <cell r="B238" t="str">
            <v>Base</v>
          </cell>
          <cell r="C238" t="str">
            <v>Tipo</v>
          </cell>
          <cell r="D238" t="str">
            <v>Código</v>
          </cell>
        </row>
        <row r="239">
          <cell r="A239">
            <v>0</v>
          </cell>
          <cell r="B239">
            <v>0</v>
          </cell>
          <cell r="C239">
            <v>0</v>
          </cell>
          <cell r="D239">
            <v>0</v>
          </cell>
        </row>
        <row r="240">
          <cell r="A240">
            <v>0</v>
          </cell>
          <cell r="B240">
            <v>0</v>
          </cell>
          <cell r="C240">
            <v>0</v>
          </cell>
          <cell r="D240">
            <v>0</v>
          </cell>
        </row>
        <row r="241">
          <cell r="A241">
            <v>0</v>
          </cell>
          <cell r="B241">
            <v>0</v>
          </cell>
          <cell r="C241">
            <v>0</v>
          </cell>
          <cell r="D241">
            <v>0</v>
          </cell>
        </row>
        <row r="242">
          <cell r="A242" t="str">
            <v>Custo horário da execução (A + B + C)</v>
          </cell>
          <cell r="B242">
            <v>0</v>
          </cell>
          <cell r="C242">
            <v>0</v>
          </cell>
          <cell r="D242">
            <v>0</v>
          </cell>
        </row>
        <row r="243">
          <cell r="A243" t="str">
            <v xml:space="preserve"> (D) Produção da equipe</v>
          </cell>
          <cell r="B243">
            <v>0</v>
          </cell>
          <cell r="C243">
            <v>0</v>
          </cell>
          <cell r="D243">
            <v>0</v>
          </cell>
        </row>
        <row r="244">
          <cell r="A244" t="str">
            <v>(E) Custo unitário da execução (A + B + C) / D</v>
          </cell>
          <cell r="B244">
            <v>0</v>
          </cell>
          <cell r="C244">
            <v>0</v>
          </cell>
          <cell r="D244">
            <v>0</v>
          </cell>
        </row>
        <row r="245">
          <cell r="A245" t="str">
            <v>(F) Materiais</v>
          </cell>
          <cell r="B245" t="str">
            <v>Base</v>
          </cell>
          <cell r="C245" t="str">
            <v>Tipo</v>
          </cell>
          <cell r="D245" t="str">
            <v>Código</v>
          </cell>
        </row>
        <row r="246">
          <cell r="A246" t="str">
            <v>RACHÃO BRITADO (COMERCIAL)</v>
          </cell>
          <cell r="B246" t="str">
            <v>DER</v>
          </cell>
          <cell r="C246" t="str">
            <v>Material</v>
          </cell>
          <cell r="D246">
            <v>130180</v>
          </cell>
        </row>
        <row r="247">
          <cell r="A247">
            <v>0</v>
          </cell>
          <cell r="B247">
            <v>0</v>
          </cell>
          <cell r="C247">
            <v>0</v>
          </cell>
          <cell r="D247">
            <v>0</v>
          </cell>
        </row>
        <row r="248">
          <cell r="A248">
            <v>0</v>
          </cell>
          <cell r="B248">
            <v>0</v>
          </cell>
          <cell r="C248">
            <v>0</v>
          </cell>
          <cell r="D248">
            <v>0</v>
          </cell>
        </row>
        <row r="249">
          <cell r="A249">
            <v>0</v>
          </cell>
          <cell r="B249">
            <v>0</v>
          </cell>
          <cell r="C249">
            <v>0</v>
          </cell>
          <cell r="D249">
            <v>0</v>
          </cell>
        </row>
        <row r="250">
          <cell r="A250" t="str">
            <v>(G) Serviços</v>
          </cell>
          <cell r="B250" t="str">
            <v>Base</v>
          </cell>
          <cell r="C250" t="str">
            <v>Tipo</v>
          </cell>
          <cell r="D250" t="str">
            <v>Código</v>
          </cell>
        </row>
        <row r="251">
          <cell r="A251" t="str">
            <v>Carga, manobra e descarga de agregados ou solos em caminhão basculante de 10 m³ - carga com carregadeira de 3,40 m³ (exclusa) e descarga livre</v>
          </cell>
          <cell r="B251" t="str">
            <v>AMEP</v>
          </cell>
          <cell r="C251" t="str">
            <v>Composição complementar</v>
          </cell>
          <cell r="D251" t="str">
            <v>CCUC-001</v>
          </cell>
        </row>
        <row r="252">
          <cell r="A252">
            <v>0</v>
          </cell>
          <cell r="B252">
            <v>0</v>
          </cell>
          <cell r="C252">
            <v>0</v>
          </cell>
          <cell r="D252">
            <v>0</v>
          </cell>
        </row>
        <row r="253">
          <cell r="A253">
            <v>0</v>
          </cell>
          <cell r="B253">
            <v>0</v>
          </cell>
          <cell r="C253">
            <v>0</v>
          </cell>
          <cell r="D253">
            <v>0</v>
          </cell>
        </row>
        <row r="256">
          <cell r="A256" t="str">
            <v>CCU-026</v>
          </cell>
          <cell r="B256" t="str">
            <v xml:space="preserve">UNIDADE </v>
          </cell>
          <cell r="C256" t="str">
            <v>M³</v>
          </cell>
          <cell r="D256" t="str">
            <v>EMPRÉSTIMO DE 3A CAT 8000-10000M PARA ENROCAMENTO (INCLUSIVE FORNECIMENTO, AQUISIÇÃO, CARGA, DESCARGA E TRANSPORTE)</v>
          </cell>
        </row>
        <row r="257">
          <cell r="A257" t="str">
            <v>(A) Equipamento</v>
          </cell>
          <cell r="B257" t="str">
            <v>Base</v>
          </cell>
          <cell r="C257" t="str">
            <v>Tipo</v>
          </cell>
          <cell r="D257" t="str">
            <v>Código</v>
          </cell>
        </row>
        <row r="258">
          <cell r="A258">
            <v>0</v>
          </cell>
          <cell r="B258">
            <v>0</v>
          </cell>
          <cell r="C258">
            <v>0</v>
          </cell>
          <cell r="D258">
            <v>0</v>
          </cell>
        </row>
        <row r="259">
          <cell r="A259">
            <v>0</v>
          </cell>
          <cell r="B259">
            <v>0</v>
          </cell>
          <cell r="C259">
            <v>0</v>
          </cell>
          <cell r="D259">
            <v>0</v>
          </cell>
        </row>
        <row r="260">
          <cell r="A260">
            <v>0</v>
          </cell>
          <cell r="B260">
            <v>0</v>
          </cell>
          <cell r="C260">
            <v>0</v>
          </cell>
          <cell r="D260">
            <v>0</v>
          </cell>
        </row>
        <row r="261">
          <cell r="A261" t="str">
            <v>(B) Mão de obra</v>
          </cell>
          <cell r="B261" t="str">
            <v>Base</v>
          </cell>
          <cell r="C261" t="str">
            <v>Tipo</v>
          </cell>
          <cell r="D261" t="str">
            <v>Código</v>
          </cell>
        </row>
        <row r="262">
          <cell r="A262">
            <v>0</v>
          </cell>
          <cell r="B262">
            <v>0</v>
          </cell>
          <cell r="C262">
            <v>0</v>
          </cell>
          <cell r="D262">
            <v>0</v>
          </cell>
        </row>
        <row r="263">
          <cell r="A263">
            <v>0</v>
          </cell>
          <cell r="B263">
            <v>0</v>
          </cell>
          <cell r="C263">
            <v>0</v>
          </cell>
          <cell r="D263">
            <v>0</v>
          </cell>
        </row>
        <row r="264">
          <cell r="A264">
            <v>0</v>
          </cell>
          <cell r="B264">
            <v>0</v>
          </cell>
          <cell r="C264">
            <v>0</v>
          </cell>
          <cell r="D264">
            <v>0</v>
          </cell>
        </row>
        <row r="265">
          <cell r="A265" t="str">
            <v>(C) Itens de incidência</v>
          </cell>
          <cell r="B265" t="str">
            <v>Base</v>
          </cell>
          <cell r="C265" t="str">
            <v>Tipo</v>
          </cell>
          <cell r="D265" t="str">
            <v>Código</v>
          </cell>
        </row>
        <row r="266">
          <cell r="A266">
            <v>0</v>
          </cell>
          <cell r="B266">
            <v>0</v>
          </cell>
          <cell r="C266">
            <v>0</v>
          </cell>
          <cell r="D266">
            <v>0</v>
          </cell>
        </row>
        <row r="267">
          <cell r="A267">
            <v>0</v>
          </cell>
          <cell r="B267">
            <v>0</v>
          </cell>
          <cell r="C267">
            <v>0</v>
          </cell>
          <cell r="D267">
            <v>0</v>
          </cell>
        </row>
        <row r="268">
          <cell r="A268">
            <v>0</v>
          </cell>
          <cell r="B268">
            <v>0</v>
          </cell>
          <cell r="C268">
            <v>0</v>
          </cell>
          <cell r="D268">
            <v>0</v>
          </cell>
        </row>
        <row r="269">
          <cell r="A269" t="str">
            <v>Custo horário da execução (A + B + C)</v>
          </cell>
          <cell r="B269">
            <v>0</v>
          </cell>
          <cell r="C269">
            <v>0</v>
          </cell>
          <cell r="D269">
            <v>0</v>
          </cell>
        </row>
        <row r="270">
          <cell r="A270" t="str">
            <v xml:space="preserve"> (D) Produção da equipe</v>
          </cell>
          <cell r="B270">
            <v>0</v>
          </cell>
          <cell r="C270">
            <v>0</v>
          </cell>
          <cell r="D270">
            <v>0</v>
          </cell>
        </row>
        <row r="271">
          <cell r="A271" t="str">
            <v>(E) Custo unitário da execução (A + B + C) / D</v>
          </cell>
          <cell r="B271">
            <v>0</v>
          </cell>
          <cell r="C271">
            <v>0</v>
          </cell>
          <cell r="D271">
            <v>0</v>
          </cell>
        </row>
        <row r="272">
          <cell r="A272" t="str">
            <v>(F) Materiais</v>
          </cell>
          <cell r="B272" t="str">
            <v>Base</v>
          </cell>
          <cell r="C272" t="str">
            <v>Tipo</v>
          </cell>
          <cell r="D272" t="str">
            <v>Código</v>
          </cell>
        </row>
        <row r="273">
          <cell r="A273" t="str">
            <v>RACHÃO BRITADO (COMERCIAL)</v>
          </cell>
          <cell r="B273" t="str">
            <v>DER</v>
          </cell>
          <cell r="C273" t="str">
            <v>Material</v>
          </cell>
          <cell r="D273">
            <v>130180</v>
          </cell>
        </row>
        <row r="274">
          <cell r="A274">
            <v>0</v>
          </cell>
          <cell r="B274">
            <v>0</v>
          </cell>
          <cell r="C274">
            <v>0</v>
          </cell>
          <cell r="D274">
            <v>0</v>
          </cell>
        </row>
        <row r="275">
          <cell r="A275">
            <v>0</v>
          </cell>
          <cell r="B275">
            <v>0</v>
          </cell>
          <cell r="C275">
            <v>0</v>
          </cell>
          <cell r="D275">
            <v>0</v>
          </cell>
        </row>
        <row r="276">
          <cell r="A276" t="str">
            <v>(G) Serviços</v>
          </cell>
          <cell r="B276" t="str">
            <v>Base</v>
          </cell>
          <cell r="C276" t="str">
            <v>Tipo</v>
          </cell>
          <cell r="D276" t="str">
            <v>Código</v>
          </cell>
        </row>
        <row r="277">
          <cell r="A277" t="str">
            <v>Carga, manobra e descarga de agregados ou solos em caminhão basculante de 10 m³ - carga com carregadeira de 3,40 m³ (exclusa) e descarga livre</v>
          </cell>
          <cell r="B277" t="str">
            <v>AMEP</v>
          </cell>
          <cell r="C277" t="str">
            <v>Composição complementar</v>
          </cell>
          <cell r="D277" t="str">
            <v>CCUC-001</v>
          </cell>
        </row>
        <row r="278">
          <cell r="A278">
            <v>0</v>
          </cell>
          <cell r="B278">
            <v>0</v>
          </cell>
          <cell r="C278">
            <v>0</v>
          </cell>
          <cell r="D278">
            <v>0</v>
          </cell>
        </row>
        <row r="279">
          <cell r="A279">
            <v>0</v>
          </cell>
          <cell r="B279">
            <v>0</v>
          </cell>
          <cell r="C279">
            <v>0</v>
          </cell>
          <cell r="D279">
            <v>0</v>
          </cell>
        </row>
        <row r="282">
          <cell r="A282" t="str">
            <v>CCU-027</v>
          </cell>
          <cell r="B282" t="str">
            <v xml:space="preserve">UNIDADE </v>
          </cell>
          <cell r="C282" t="str">
            <v>M³</v>
          </cell>
          <cell r="D282" t="str">
            <v>EMPRÉSTIMO DE 3A CAT 14000-16000M PARA ENROCAMENTO (INCLUSIVE FORNECIMENTO, AQUISIÇÃO, CARGA, DESCARGA E TRANSPORTE)</v>
          </cell>
        </row>
        <row r="283">
          <cell r="A283" t="str">
            <v>(A) Equipamento</v>
          </cell>
          <cell r="B283" t="str">
            <v>Base</v>
          </cell>
          <cell r="C283" t="str">
            <v>Tipo</v>
          </cell>
          <cell r="D283" t="str">
            <v>Código</v>
          </cell>
        </row>
        <row r="284">
          <cell r="A284">
            <v>0</v>
          </cell>
          <cell r="B284">
            <v>0</v>
          </cell>
          <cell r="C284">
            <v>0</v>
          </cell>
          <cell r="D284">
            <v>0</v>
          </cell>
        </row>
        <row r="285">
          <cell r="A285">
            <v>0</v>
          </cell>
          <cell r="B285">
            <v>0</v>
          </cell>
          <cell r="C285">
            <v>0</v>
          </cell>
          <cell r="D285">
            <v>0</v>
          </cell>
        </row>
        <row r="286">
          <cell r="A286">
            <v>0</v>
          </cell>
          <cell r="B286">
            <v>0</v>
          </cell>
          <cell r="C286">
            <v>0</v>
          </cell>
          <cell r="D286">
            <v>0</v>
          </cell>
        </row>
        <row r="287">
          <cell r="A287" t="str">
            <v>(B) Mão de obra</v>
          </cell>
          <cell r="B287" t="str">
            <v>Base</v>
          </cell>
          <cell r="C287" t="str">
            <v>Tipo</v>
          </cell>
          <cell r="D287" t="str">
            <v>Código</v>
          </cell>
        </row>
        <row r="288">
          <cell r="A288">
            <v>0</v>
          </cell>
          <cell r="B288">
            <v>0</v>
          </cell>
          <cell r="C288">
            <v>0</v>
          </cell>
          <cell r="D288">
            <v>0</v>
          </cell>
        </row>
        <row r="289">
          <cell r="A289">
            <v>0</v>
          </cell>
          <cell r="B289">
            <v>0</v>
          </cell>
          <cell r="C289">
            <v>0</v>
          </cell>
          <cell r="D289">
            <v>0</v>
          </cell>
        </row>
        <row r="290">
          <cell r="A290">
            <v>0</v>
          </cell>
          <cell r="B290">
            <v>0</v>
          </cell>
          <cell r="C290">
            <v>0</v>
          </cell>
          <cell r="D290">
            <v>0</v>
          </cell>
        </row>
        <row r="291">
          <cell r="A291" t="str">
            <v>(C) Itens de incidência</v>
          </cell>
          <cell r="B291" t="str">
            <v>Base</v>
          </cell>
          <cell r="C291" t="str">
            <v>Tipo</v>
          </cell>
          <cell r="D291" t="str">
            <v>Código</v>
          </cell>
        </row>
        <row r="292">
          <cell r="A292">
            <v>0</v>
          </cell>
          <cell r="B292">
            <v>0</v>
          </cell>
          <cell r="C292">
            <v>0</v>
          </cell>
          <cell r="D292">
            <v>0</v>
          </cell>
        </row>
        <row r="293">
          <cell r="A293">
            <v>0</v>
          </cell>
          <cell r="B293">
            <v>0</v>
          </cell>
          <cell r="C293">
            <v>0</v>
          </cell>
          <cell r="D293">
            <v>0</v>
          </cell>
        </row>
        <row r="294">
          <cell r="A294">
            <v>0</v>
          </cell>
          <cell r="B294">
            <v>0</v>
          </cell>
          <cell r="C294">
            <v>0</v>
          </cell>
          <cell r="D294">
            <v>0</v>
          </cell>
        </row>
        <row r="295">
          <cell r="A295" t="str">
            <v>Custo horário da execução (A + B + C)</v>
          </cell>
          <cell r="B295">
            <v>0</v>
          </cell>
          <cell r="C295">
            <v>0</v>
          </cell>
          <cell r="D295">
            <v>0</v>
          </cell>
        </row>
        <row r="296">
          <cell r="A296" t="str">
            <v xml:space="preserve"> (D) Produção da equipe</v>
          </cell>
          <cell r="B296">
            <v>0</v>
          </cell>
          <cell r="C296">
            <v>0</v>
          </cell>
          <cell r="D296">
            <v>0</v>
          </cell>
        </row>
        <row r="297">
          <cell r="A297" t="str">
            <v>(E) Custo unitário da execução (A + B + C) / D</v>
          </cell>
          <cell r="B297">
            <v>0</v>
          </cell>
          <cell r="C297">
            <v>0</v>
          </cell>
          <cell r="D297">
            <v>0</v>
          </cell>
        </row>
        <row r="298">
          <cell r="A298" t="str">
            <v>(F) Materiais</v>
          </cell>
          <cell r="B298" t="str">
            <v>Base</v>
          </cell>
          <cell r="C298" t="str">
            <v>Tipo</v>
          </cell>
          <cell r="D298" t="str">
            <v>Código</v>
          </cell>
        </row>
        <row r="299">
          <cell r="A299" t="str">
            <v>RACHÃO BRITADO (COMERCIAL)</v>
          </cell>
          <cell r="B299" t="str">
            <v>DER</v>
          </cell>
          <cell r="C299" t="str">
            <v>Material</v>
          </cell>
          <cell r="D299">
            <v>130180</v>
          </cell>
        </row>
        <row r="300">
          <cell r="A300">
            <v>0</v>
          </cell>
          <cell r="B300">
            <v>0</v>
          </cell>
          <cell r="C300">
            <v>0</v>
          </cell>
          <cell r="D300">
            <v>0</v>
          </cell>
        </row>
        <row r="301">
          <cell r="A301">
            <v>0</v>
          </cell>
          <cell r="B301">
            <v>0</v>
          </cell>
          <cell r="C301">
            <v>0</v>
          </cell>
          <cell r="D301">
            <v>0</v>
          </cell>
        </row>
        <row r="302">
          <cell r="A302" t="str">
            <v>(G) Serviços</v>
          </cell>
          <cell r="B302" t="str">
            <v>Base</v>
          </cell>
          <cell r="C302" t="str">
            <v>Tipo</v>
          </cell>
          <cell r="D302" t="str">
            <v>Código</v>
          </cell>
        </row>
        <row r="303">
          <cell r="A303" t="str">
            <v>Carga, manobra e descarga de agregados ou solos em caminhão basculante de 10 m³ - carga com carregadeira de 3,40 m³ (exclusa) e descarga livre</v>
          </cell>
          <cell r="B303">
            <v>0</v>
          </cell>
          <cell r="C303">
            <v>0</v>
          </cell>
          <cell r="D303" t="str">
            <v>COMP-56</v>
          </cell>
        </row>
        <row r="304">
          <cell r="A304">
            <v>0</v>
          </cell>
          <cell r="B304">
            <v>0</v>
          </cell>
          <cell r="C304">
            <v>0</v>
          </cell>
          <cell r="D304">
            <v>0</v>
          </cell>
        </row>
        <row r="305">
          <cell r="A305">
            <v>0</v>
          </cell>
          <cell r="B305">
            <v>0</v>
          </cell>
          <cell r="C305">
            <v>0</v>
          </cell>
          <cell r="D305">
            <v>0</v>
          </cell>
        </row>
        <row r="308">
          <cell r="A308" t="str">
            <v>CCU-028</v>
          </cell>
          <cell r="B308" t="str">
            <v xml:space="preserve">UNIDADE </v>
          </cell>
          <cell r="C308" t="str">
            <v>M²</v>
          </cell>
          <cell r="D308" t="str">
            <v>ALVENARIA DE BLOCOS DE CONCRETO (10X20CM)</v>
          </cell>
        </row>
        <row r="309">
          <cell r="A309" t="str">
            <v>(A) Equipamento</v>
          </cell>
          <cell r="B309" t="str">
            <v>Base</v>
          </cell>
          <cell r="C309" t="str">
            <v>Tipo</v>
          </cell>
          <cell r="D309" t="str">
            <v>Código</v>
          </cell>
        </row>
        <row r="310">
          <cell r="A310">
            <v>0</v>
          </cell>
          <cell r="B310">
            <v>0</v>
          </cell>
          <cell r="C310">
            <v>0</v>
          </cell>
          <cell r="D310">
            <v>0</v>
          </cell>
        </row>
        <row r="311">
          <cell r="A311">
            <v>0</v>
          </cell>
          <cell r="B311">
            <v>0</v>
          </cell>
          <cell r="C311">
            <v>0</v>
          </cell>
          <cell r="D311">
            <v>0</v>
          </cell>
        </row>
        <row r="312">
          <cell r="A312">
            <v>0</v>
          </cell>
          <cell r="B312">
            <v>0</v>
          </cell>
          <cell r="C312">
            <v>0</v>
          </cell>
          <cell r="D312">
            <v>0</v>
          </cell>
        </row>
        <row r="313">
          <cell r="A313" t="str">
            <v>(B) Mão de obra</v>
          </cell>
          <cell r="B313" t="str">
            <v>Base</v>
          </cell>
          <cell r="C313" t="str">
            <v>Tipo</v>
          </cell>
          <cell r="D313" t="str">
            <v>Código</v>
          </cell>
        </row>
        <row r="314">
          <cell r="A314" t="str">
            <v>ENCARREGADO DE SERVIÇO</v>
          </cell>
          <cell r="B314" t="str">
            <v>DER</v>
          </cell>
          <cell r="C314" t="str">
            <v>Mão de obra</v>
          </cell>
          <cell r="D314">
            <v>210060</v>
          </cell>
        </row>
        <row r="315">
          <cell r="A315" t="str">
            <v>PEDREIRO</v>
          </cell>
          <cell r="B315" t="str">
            <v>DER</v>
          </cell>
          <cell r="C315" t="str">
            <v>Mão de obra</v>
          </cell>
          <cell r="D315">
            <v>200260</v>
          </cell>
        </row>
        <row r="316">
          <cell r="A316" t="str">
            <v>SERVENTE</v>
          </cell>
          <cell r="B316" t="str">
            <v>DER</v>
          </cell>
          <cell r="C316" t="str">
            <v>Mão de obra</v>
          </cell>
          <cell r="D316">
            <v>200130</v>
          </cell>
        </row>
        <row r="317">
          <cell r="A317">
            <v>0</v>
          </cell>
          <cell r="B317">
            <v>0</v>
          </cell>
          <cell r="C317">
            <v>0</v>
          </cell>
          <cell r="D317">
            <v>0</v>
          </cell>
        </row>
        <row r="318">
          <cell r="A318" t="str">
            <v>(C) Itens de incidência</v>
          </cell>
          <cell r="B318" t="str">
            <v>Base</v>
          </cell>
          <cell r="C318" t="str">
            <v>Tipo</v>
          </cell>
          <cell r="D318" t="str">
            <v>Código</v>
          </cell>
        </row>
        <row r="319">
          <cell r="A319" t="str">
            <v>Ferramentas manuais</v>
          </cell>
          <cell r="B319">
            <v>0</v>
          </cell>
          <cell r="C319">
            <v>0</v>
          </cell>
          <cell r="D319">
            <v>29990</v>
          </cell>
        </row>
        <row r="320">
          <cell r="A320">
            <v>0</v>
          </cell>
          <cell r="B320">
            <v>0</v>
          </cell>
          <cell r="C320">
            <v>0</v>
          </cell>
          <cell r="D320">
            <v>0</v>
          </cell>
        </row>
        <row r="321">
          <cell r="A321">
            <v>0</v>
          </cell>
          <cell r="B321">
            <v>0</v>
          </cell>
          <cell r="C321">
            <v>0</v>
          </cell>
          <cell r="D321">
            <v>0</v>
          </cell>
        </row>
        <row r="322">
          <cell r="A322" t="str">
            <v>Custo horário da execução (A + B + C)</v>
          </cell>
          <cell r="B322">
            <v>0</v>
          </cell>
          <cell r="C322">
            <v>0</v>
          </cell>
          <cell r="D322">
            <v>0</v>
          </cell>
        </row>
        <row r="323">
          <cell r="A323" t="str">
            <v xml:space="preserve"> (D) Produção da equipe</v>
          </cell>
          <cell r="B323">
            <v>0</v>
          </cell>
          <cell r="C323">
            <v>0</v>
          </cell>
          <cell r="D323">
            <v>0</v>
          </cell>
        </row>
        <row r="324">
          <cell r="A324" t="str">
            <v>(E) Custo unitário da execução (A + B + C) / D</v>
          </cell>
          <cell r="B324">
            <v>0</v>
          </cell>
          <cell r="C324">
            <v>0</v>
          </cell>
          <cell r="D324">
            <v>0</v>
          </cell>
        </row>
        <row r="325">
          <cell r="A325" t="str">
            <v>(F) Materiais</v>
          </cell>
          <cell r="B325" t="str">
            <v>Base</v>
          </cell>
          <cell r="C325" t="str">
            <v>Tipo</v>
          </cell>
          <cell r="D325" t="str">
            <v>Código</v>
          </cell>
        </row>
        <row r="326">
          <cell r="A326" t="str">
            <v>AREIA</v>
          </cell>
          <cell r="B326" t="str">
            <v>DER</v>
          </cell>
          <cell r="C326" t="str">
            <v>Material</v>
          </cell>
          <cell r="D326">
            <v>139000</v>
          </cell>
        </row>
        <row r="327">
          <cell r="A327" t="str">
            <v>CAL VIRGEM EM PÓ</v>
          </cell>
          <cell r="B327" t="str">
            <v>DER</v>
          </cell>
          <cell r="C327" t="str">
            <v>Material</v>
          </cell>
          <cell r="D327">
            <v>170100</v>
          </cell>
        </row>
        <row r="328">
          <cell r="A328" t="str">
            <v>CIMENTO PORTLAND (SACO DE 50KG)</v>
          </cell>
          <cell r="B328" t="str">
            <v>DER</v>
          </cell>
          <cell r="C328" t="str">
            <v>Material</v>
          </cell>
          <cell r="D328">
            <v>173200</v>
          </cell>
        </row>
        <row r="329">
          <cell r="A329" t="str">
            <v>BLOCO ARTICULADO(BLOKRET) E=8CM (FCK=35 MPA)</v>
          </cell>
          <cell r="B329" t="str">
            <v>DER</v>
          </cell>
          <cell r="C329" t="str">
            <v>Material</v>
          </cell>
          <cell r="D329">
            <v>145850</v>
          </cell>
        </row>
        <row r="330">
          <cell r="A330">
            <v>0</v>
          </cell>
          <cell r="B330">
            <v>0</v>
          </cell>
          <cell r="C330">
            <v>0</v>
          </cell>
          <cell r="D330">
            <v>0</v>
          </cell>
        </row>
        <row r="331">
          <cell r="A331" t="str">
            <v>(G) Serviços</v>
          </cell>
          <cell r="B331" t="str">
            <v>Base</v>
          </cell>
          <cell r="C331" t="str">
            <v>Tipo</v>
          </cell>
          <cell r="D331" t="str">
            <v>Código</v>
          </cell>
        </row>
        <row r="332">
          <cell r="A332">
            <v>0</v>
          </cell>
          <cell r="B332">
            <v>0</v>
          </cell>
          <cell r="C332">
            <v>0</v>
          </cell>
          <cell r="D332">
            <v>0</v>
          </cell>
        </row>
        <row r="333">
          <cell r="A333">
            <v>0</v>
          </cell>
          <cell r="B333">
            <v>0</v>
          </cell>
          <cell r="C333">
            <v>0</v>
          </cell>
          <cell r="D333">
            <v>0</v>
          </cell>
        </row>
        <row r="334">
          <cell r="A334">
            <v>0</v>
          </cell>
          <cell r="B334">
            <v>0</v>
          </cell>
          <cell r="C334">
            <v>0</v>
          </cell>
          <cell r="D334">
            <v>0</v>
          </cell>
        </row>
        <row r="337">
          <cell r="A337" t="str">
            <v>CCU-029</v>
          </cell>
          <cell r="B337" t="str">
            <v xml:space="preserve">UNIDADE </v>
          </cell>
          <cell r="C337" t="str">
            <v>M</v>
          </cell>
          <cell r="D337" t="str">
            <v>TRANSPOSIÇÃO DE SEGMENTO DE SARJETA - TIPO - 2 C/TUBO 0,40M</v>
          </cell>
        </row>
        <row r="338">
          <cell r="A338" t="str">
            <v>(A) Equipamento</v>
          </cell>
          <cell r="B338" t="str">
            <v>Base</v>
          </cell>
          <cell r="C338" t="str">
            <v>Tipo</v>
          </cell>
          <cell r="D338" t="str">
            <v>Código</v>
          </cell>
        </row>
        <row r="339">
          <cell r="A339">
            <v>0</v>
          </cell>
          <cell r="B339">
            <v>0</v>
          </cell>
          <cell r="C339">
            <v>0</v>
          </cell>
          <cell r="D339">
            <v>0</v>
          </cell>
        </row>
        <row r="340">
          <cell r="A340">
            <v>0</v>
          </cell>
          <cell r="B340">
            <v>0</v>
          </cell>
          <cell r="C340">
            <v>0</v>
          </cell>
          <cell r="D340">
            <v>0</v>
          </cell>
        </row>
        <row r="341">
          <cell r="A341">
            <v>0</v>
          </cell>
          <cell r="B341">
            <v>0</v>
          </cell>
          <cell r="C341">
            <v>0</v>
          </cell>
          <cell r="D341">
            <v>0</v>
          </cell>
        </row>
        <row r="342">
          <cell r="A342" t="str">
            <v>(B) Mão de obra</v>
          </cell>
          <cell r="B342" t="str">
            <v>Base</v>
          </cell>
          <cell r="C342" t="str">
            <v>Tipo</v>
          </cell>
          <cell r="D342" t="str">
            <v>Código</v>
          </cell>
        </row>
        <row r="343">
          <cell r="A343" t="str">
            <v>ENCARREGADO DE SERVIÇO</v>
          </cell>
          <cell r="B343" t="str">
            <v>DER</v>
          </cell>
          <cell r="C343" t="str">
            <v>Mão de obra</v>
          </cell>
          <cell r="D343">
            <v>210060</v>
          </cell>
        </row>
        <row r="344">
          <cell r="A344" t="str">
            <v>PEDREIRO</v>
          </cell>
          <cell r="B344" t="str">
            <v>DER</v>
          </cell>
          <cell r="C344" t="str">
            <v>Mão de obra</v>
          </cell>
          <cell r="D344">
            <v>200260</v>
          </cell>
        </row>
        <row r="345">
          <cell r="A345" t="str">
            <v>SERVENTE</v>
          </cell>
          <cell r="B345" t="str">
            <v>DER</v>
          </cell>
          <cell r="C345" t="str">
            <v>Mão de obra</v>
          </cell>
          <cell r="D345">
            <v>200130</v>
          </cell>
        </row>
        <row r="346">
          <cell r="A346">
            <v>0</v>
          </cell>
          <cell r="B346">
            <v>0</v>
          </cell>
          <cell r="C346">
            <v>0</v>
          </cell>
          <cell r="D346">
            <v>0</v>
          </cell>
        </row>
        <row r="347">
          <cell r="A347" t="str">
            <v>(C) Itens de incidência</v>
          </cell>
          <cell r="B347" t="str">
            <v>Base</v>
          </cell>
          <cell r="C347" t="str">
            <v>Tipo</v>
          </cell>
          <cell r="D347" t="str">
            <v>Código</v>
          </cell>
        </row>
        <row r="348">
          <cell r="A348" t="str">
            <v>Ferramentas manuais</v>
          </cell>
          <cell r="B348">
            <v>0</v>
          </cell>
          <cell r="C348">
            <v>0</v>
          </cell>
          <cell r="D348">
            <v>29990</v>
          </cell>
        </row>
        <row r="349">
          <cell r="A349">
            <v>0</v>
          </cell>
          <cell r="B349">
            <v>0</v>
          </cell>
          <cell r="C349">
            <v>0</v>
          </cell>
          <cell r="D349">
            <v>0</v>
          </cell>
        </row>
        <row r="350">
          <cell r="A350">
            <v>0</v>
          </cell>
          <cell r="B350">
            <v>0</v>
          </cell>
          <cell r="C350">
            <v>0</v>
          </cell>
          <cell r="D350">
            <v>0</v>
          </cell>
        </row>
        <row r="351">
          <cell r="A351" t="str">
            <v>Custo horário da execução (A + B + C)</v>
          </cell>
          <cell r="B351">
            <v>0</v>
          </cell>
          <cell r="C351">
            <v>0</v>
          </cell>
          <cell r="D351">
            <v>0</v>
          </cell>
        </row>
        <row r="352">
          <cell r="A352" t="str">
            <v xml:space="preserve"> (D) Produção da equipe</v>
          </cell>
          <cell r="B352">
            <v>0</v>
          </cell>
          <cell r="C352">
            <v>0</v>
          </cell>
          <cell r="D352">
            <v>0</v>
          </cell>
        </row>
        <row r="353">
          <cell r="A353" t="str">
            <v>(E) Custo unitário da execução (A + B + C) / D</v>
          </cell>
          <cell r="B353">
            <v>0</v>
          </cell>
          <cell r="C353">
            <v>0</v>
          </cell>
          <cell r="D353">
            <v>0</v>
          </cell>
        </row>
        <row r="354">
          <cell r="A354" t="str">
            <v>(F) Materiais</v>
          </cell>
          <cell r="B354" t="str">
            <v>Base</v>
          </cell>
          <cell r="C354" t="str">
            <v>Tipo</v>
          </cell>
          <cell r="D354" t="str">
            <v>Código</v>
          </cell>
        </row>
        <row r="355">
          <cell r="A355" t="str">
            <v>TUBO CONCRETO D=0,40M MF PA-1</v>
          </cell>
          <cell r="B355" t="str">
            <v>DER</v>
          </cell>
          <cell r="C355" t="str">
            <v>Material</v>
          </cell>
          <cell r="D355">
            <v>180310</v>
          </cell>
        </row>
        <row r="356">
          <cell r="A356">
            <v>0</v>
          </cell>
          <cell r="B356">
            <v>0</v>
          </cell>
          <cell r="C356">
            <v>0</v>
          </cell>
          <cell r="D356">
            <v>0</v>
          </cell>
        </row>
        <row r="357">
          <cell r="A357">
            <v>0</v>
          </cell>
          <cell r="B357">
            <v>0</v>
          </cell>
          <cell r="C357">
            <v>0</v>
          </cell>
          <cell r="D357">
            <v>0</v>
          </cell>
        </row>
        <row r="358">
          <cell r="A358" t="str">
            <v>(G) Serviços</v>
          </cell>
          <cell r="B358" t="str">
            <v>Base</v>
          </cell>
          <cell r="C358" t="str">
            <v>Tipo</v>
          </cell>
          <cell r="D358" t="str">
            <v>Código</v>
          </cell>
        </row>
        <row r="359">
          <cell r="A359" t="str">
            <v>Concreto Fck = 11 MPa, preparo em betoneira e lanç.</v>
          </cell>
          <cell r="B359" t="str">
            <v>DER</v>
          </cell>
          <cell r="C359" t="str">
            <v>Serviço</v>
          </cell>
          <cell r="D359">
            <v>605200</v>
          </cell>
        </row>
        <row r="360">
          <cell r="A360" t="str">
            <v>Escavação manual de vala 1a. cat.</v>
          </cell>
          <cell r="B360" t="str">
            <v>DER</v>
          </cell>
          <cell r="C360" t="str">
            <v>Serviço</v>
          </cell>
          <cell r="D360">
            <v>600000</v>
          </cell>
        </row>
        <row r="361">
          <cell r="A361">
            <v>0</v>
          </cell>
          <cell r="B361">
            <v>0</v>
          </cell>
          <cell r="C361">
            <v>0</v>
          </cell>
          <cell r="D361">
            <v>0</v>
          </cell>
        </row>
        <row r="364">
          <cell r="A364" t="str">
            <v>CCU-030</v>
          </cell>
          <cell r="B364" t="str">
            <v xml:space="preserve">UNIDADE </v>
          </cell>
          <cell r="C364" t="str">
            <v>M</v>
          </cell>
          <cell r="D364" t="str">
            <v>DRENO PROFUNDO H = 1,5 M - COM GEOCOMPOSTO DRENANTE - DPS 09</v>
          </cell>
        </row>
        <row r="365">
          <cell r="A365" t="str">
            <v>(A) Equipamento</v>
          </cell>
          <cell r="B365" t="str">
            <v>Base</v>
          </cell>
          <cell r="C365" t="str">
            <v>Tipo</v>
          </cell>
          <cell r="D365" t="str">
            <v>Código</v>
          </cell>
        </row>
        <row r="366">
          <cell r="A366">
            <v>0</v>
          </cell>
          <cell r="B366">
            <v>0</v>
          </cell>
          <cell r="C366">
            <v>0</v>
          </cell>
          <cell r="D366">
            <v>0</v>
          </cell>
        </row>
        <row r="367">
          <cell r="A367">
            <v>0</v>
          </cell>
          <cell r="B367">
            <v>0</v>
          </cell>
          <cell r="C367">
            <v>0</v>
          </cell>
          <cell r="D367">
            <v>0</v>
          </cell>
        </row>
        <row r="368">
          <cell r="A368">
            <v>0</v>
          </cell>
          <cell r="B368">
            <v>0</v>
          </cell>
          <cell r="C368">
            <v>0</v>
          </cell>
          <cell r="D368">
            <v>0</v>
          </cell>
        </row>
        <row r="369">
          <cell r="A369" t="str">
            <v>(B) Mão de obra</v>
          </cell>
          <cell r="B369" t="str">
            <v>Base</v>
          </cell>
          <cell r="C369" t="str">
            <v>Tipo</v>
          </cell>
          <cell r="D369" t="str">
            <v>Código</v>
          </cell>
        </row>
        <row r="370">
          <cell r="A370" t="str">
            <v>PEDREIRO</v>
          </cell>
          <cell r="B370" t="str">
            <v>DER</v>
          </cell>
          <cell r="C370" t="str">
            <v>Mão de obra</v>
          </cell>
          <cell r="D370">
            <v>200260</v>
          </cell>
        </row>
        <row r="371">
          <cell r="A371" t="str">
            <v>SERVENTE</v>
          </cell>
          <cell r="B371" t="str">
            <v>DER</v>
          </cell>
          <cell r="C371" t="str">
            <v>Mão de obra</v>
          </cell>
          <cell r="D371">
            <v>200130</v>
          </cell>
        </row>
        <row r="372">
          <cell r="A372">
            <v>0</v>
          </cell>
          <cell r="B372">
            <v>0</v>
          </cell>
          <cell r="C372">
            <v>0</v>
          </cell>
          <cell r="D372">
            <v>0</v>
          </cell>
        </row>
        <row r="373">
          <cell r="A373" t="str">
            <v>(C) Itens de incidência</v>
          </cell>
          <cell r="B373" t="str">
            <v>Base</v>
          </cell>
          <cell r="C373" t="str">
            <v>Tipo</v>
          </cell>
          <cell r="D373" t="str">
            <v>Código</v>
          </cell>
        </row>
        <row r="374">
          <cell r="A374">
            <v>0</v>
          </cell>
          <cell r="B374">
            <v>0</v>
          </cell>
          <cell r="C374">
            <v>0</v>
          </cell>
          <cell r="D374">
            <v>0</v>
          </cell>
        </row>
        <row r="375">
          <cell r="A375">
            <v>0</v>
          </cell>
          <cell r="B375">
            <v>0</v>
          </cell>
          <cell r="C375">
            <v>0</v>
          </cell>
          <cell r="D375">
            <v>0</v>
          </cell>
        </row>
        <row r="376">
          <cell r="A376">
            <v>0</v>
          </cell>
          <cell r="B376">
            <v>0</v>
          </cell>
          <cell r="C376">
            <v>0</v>
          </cell>
          <cell r="D376">
            <v>0</v>
          </cell>
        </row>
        <row r="377">
          <cell r="A377" t="str">
            <v>Custo horário da execução (A + B + C)</v>
          </cell>
          <cell r="B377">
            <v>0</v>
          </cell>
          <cell r="C377">
            <v>0</v>
          </cell>
          <cell r="D377">
            <v>0</v>
          </cell>
        </row>
        <row r="378">
          <cell r="A378" t="str">
            <v xml:space="preserve"> (D) Produção da equipe</v>
          </cell>
          <cell r="B378">
            <v>0</v>
          </cell>
          <cell r="C378">
            <v>0</v>
          </cell>
          <cell r="D378">
            <v>0</v>
          </cell>
        </row>
        <row r="379">
          <cell r="A379" t="str">
            <v>(E) Custo unitário da execução (A + B + C) / D</v>
          </cell>
          <cell r="B379">
            <v>0</v>
          </cell>
          <cell r="C379">
            <v>0</v>
          </cell>
          <cell r="D379">
            <v>0</v>
          </cell>
        </row>
        <row r="380">
          <cell r="A380" t="str">
            <v>(F) Materiais</v>
          </cell>
          <cell r="B380" t="str">
            <v>Base</v>
          </cell>
          <cell r="C380" t="str">
            <v>Tipo</v>
          </cell>
          <cell r="D380" t="str">
            <v>Código</v>
          </cell>
        </row>
        <row r="381">
          <cell r="A381" t="str">
            <v>GEOCOMPOSTO DRENANTE MACDRAIN TD C/BOLSA P/TUBO</v>
          </cell>
          <cell r="B381" t="str">
            <v>DER</v>
          </cell>
          <cell r="C381" t="str">
            <v>Material</v>
          </cell>
          <cell r="D381">
            <v>150055</v>
          </cell>
        </row>
        <row r="382">
          <cell r="A382" t="str">
            <v>TUBO POLIETILENO (PEAD) P/DRENO 0,10M</v>
          </cell>
          <cell r="B382" t="str">
            <v>DER</v>
          </cell>
          <cell r="C382" t="str">
            <v>Material</v>
          </cell>
          <cell r="D382">
            <v>180250</v>
          </cell>
        </row>
        <row r="383">
          <cell r="A383" t="str">
            <v>DENTE CORTE P/FRESADORA/VALETADEIRA WS-24 E S-650</v>
          </cell>
          <cell r="B383" t="str">
            <v>DER</v>
          </cell>
          <cell r="C383" t="str">
            <v>Material</v>
          </cell>
          <cell r="D383">
            <v>141050</v>
          </cell>
        </row>
        <row r="384">
          <cell r="A384">
            <v>0</v>
          </cell>
          <cell r="B384">
            <v>0</v>
          </cell>
          <cell r="C384">
            <v>0</v>
          </cell>
          <cell r="D384">
            <v>0</v>
          </cell>
        </row>
        <row r="385">
          <cell r="A385" t="str">
            <v>(G) Serviços</v>
          </cell>
          <cell r="B385" t="str">
            <v>Base</v>
          </cell>
          <cell r="C385" t="str">
            <v>Tipo</v>
          </cell>
          <cell r="D385" t="str">
            <v>Código</v>
          </cell>
        </row>
        <row r="386">
          <cell r="A386" t="str">
            <v>Reaterro e apiloamento mecânico</v>
          </cell>
          <cell r="B386" t="str">
            <v>DER</v>
          </cell>
          <cell r="C386" t="str">
            <v>Serviço</v>
          </cell>
          <cell r="D386">
            <v>601200</v>
          </cell>
        </row>
        <row r="387">
          <cell r="A387" t="str">
            <v>Escavação mecânica de vala para drenagem com valetadeira em material de 1ª categoria</v>
          </cell>
          <cell r="B387" t="str">
            <v>DNIT</v>
          </cell>
          <cell r="C387" t="str">
            <v>Serviço</v>
          </cell>
          <cell r="D387">
            <v>2004504</v>
          </cell>
        </row>
        <row r="388">
          <cell r="A388">
            <v>0</v>
          </cell>
          <cell r="B388">
            <v>0</v>
          </cell>
          <cell r="C388">
            <v>0</v>
          </cell>
          <cell r="D388">
            <v>0</v>
          </cell>
        </row>
        <row r="391">
          <cell r="A391" t="str">
            <v>CCU-031</v>
          </cell>
          <cell r="B391" t="str">
            <v xml:space="preserve">UNIDADE </v>
          </cell>
          <cell r="C391" t="str">
            <v>M³</v>
          </cell>
          <cell r="D391" t="str">
            <v>CONCRETO MAGRO USINADO, EXCLUSIVE BOMBEAMENTO</v>
          </cell>
        </row>
        <row r="392">
          <cell r="A392" t="str">
            <v>(A) Equipamento</v>
          </cell>
          <cell r="B392" t="str">
            <v>Base</v>
          </cell>
          <cell r="C392" t="str">
            <v>Tipo</v>
          </cell>
          <cell r="D392" t="str">
            <v>Código</v>
          </cell>
        </row>
        <row r="393">
          <cell r="A393" t="str">
            <v>VIBRADOR IMERSÃO GASOLINA 45MM</v>
          </cell>
          <cell r="B393" t="str">
            <v>DER</v>
          </cell>
          <cell r="C393" t="str">
            <v>Equipamento</v>
          </cell>
          <cell r="D393">
            <v>370450</v>
          </cell>
        </row>
        <row r="394">
          <cell r="A394">
            <v>0</v>
          </cell>
          <cell r="B394">
            <v>0</v>
          </cell>
          <cell r="C394">
            <v>0</v>
          </cell>
          <cell r="D394">
            <v>0</v>
          </cell>
        </row>
        <row r="395">
          <cell r="A395">
            <v>0</v>
          </cell>
          <cell r="B395">
            <v>0</v>
          </cell>
          <cell r="C395">
            <v>0</v>
          </cell>
          <cell r="D395">
            <v>0</v>
          </cell>
        </row>
        <row r="396">
          <cell r="A396" t="str">
            <v>(B) Mão de obra</v>
          </cell>
          <cell r="B396" t="str">
            <v>Base</v>
          </cell>
          <cell r="C396" t="str">
            <v>Tipo</v>
          </cell>
          <cell r="D396" t="str">
            <v>Código</v>
          </cell>
        </row>
        <row r="397">
          <cell r="A397" t="str">
            <v>ENCARREGADO DE SERVIÇO</v>
          </cell>
          <cell r="B397" t="str">
            <v>DER</v>
          </cell>
          <cell r="C397" t="str">
            <v>Mão de Obra</v>
          </cell>
          <cell r="D397">
            <v>210060</v>
          </cell>
        </row>
        <row r="398">
          <cell r="A398" t="str">
            <v>PEDREIRO</v>
          </cell>
          <cell r="B398" t="str">
            <v>DER</v>
          </cell>
          <cell r="C398" t="str">
            <v>Mão de Obra</v>
          </cell>
          <cell r="D398">
            <v>200260</v>
          </cell>
        </row>
        <row r="399">
          <cell r="A399" t="str">
            <v>SERVENTE</v>
          </cell>
          <cell r="B399" t="str">
            <v>DER</v>
          </cell>
          <cell r="C399" t="str">
            <v>Mão de Obra</v>
          </cell>
          <cell r="D399">
            <v>200130</v>
          </cell>
        </row>
        <row r="400">
          <cell r="A400">
            <v>0</v>
          </cell>
          <cell r="B400">
            <v>0</v>
          </cell>
          <cell r="C400">
            <v>0</v>
          </cell>
          <cell r="D400">
            <v>0</v>
          </cell>
        </row>
        <row r="401">
          <cell r="A401" t="str">
            <v>(C) Itens de incidência</v>
          </cell>
          <cell r="B401" t="str">
            <v>Base</v>
          </cell>
          <cell r="C401" t="str">
            <v>Tipo</v>
          </cell>
          <cell r="D401" t="str">
            <v>Código</v>
          </cell>
        </row>
        <row r="402">
          <cell r="A402" t="str">
            <v>Ferramentas manuais</v>
          </cell>
          <cell r="B402">
            <v>0</v>
          </cell>
          <cell r="C402">
            <v>0</v>
          </cell>
          <cell r="D402">
            <v>29990</v>
          </cell>
        </row>
        <row r="403">
          <cell r="A403">
            <v>0</v>
          </cell>
          <cell r="B403">
            <v>0</v>
          </cell>
          <cell r="C403">
            <v>0</v>
          </cell>
          <cell r="D403">
            <v>0</v>
          </cell>
        </row>
        <row r="404">
          <cell r="A404">
            <v>0</v>
          </cell>
          <cell r="B404">
            <v>0</v>
          </cell>
          <cell r="C404">
            <v>0</v>
          </cell>
          <cell r="D404">
            <v>0</v>
          </cell>
        </row>
        <row r="405">
          <cell r="A405" t="str">
            <v>Custo horário da execução (A + B + C)</v>
          </cell>
          <cell r="B405">
            <v>0</v>
          </cell>
          <cell r="C405">
            <v>0</v>
          </cell>
          <cell r="D405">
            <v>0</v>
          </cell>
        </row>
        <row r="406">
          <cell r="A406" t="str">
            <v xml:space="preserve"> (D) Produção da equipe</v>
          </cell>
          <cell r="B406">
            <v>0</v>
          </cell>
          <cell r="C406">
            <v>0</v>
          </cell>
          <cell r="D406">
            <v>0</v>
          </cell>
        </row>
        <row r="407">
          <cell r="A407" t="str">
            <v>(E) Custo unitário da execução (A + B + C) / D</v>
          </cell>
          <cell r="B407">
            <v>0</v>
          </cell>
          <cell r="C407">
            <v>0</v>
          </cell>
          <cell r="D407">
            <v>0</v>
          </cell>
        </row>
        <row r="408">
          <cell r="A408" t="str">
            <v>(F) Materiais</v>
          </cell>
          <cell r="B408" t="str">
            <v>Base</v>
          </cell>
          <cell r="C408" t="str">
            <v>Tipo</v>
          </cell>
          <cell r="D408" t="str">
            <v>Código</v>
          </cell>
        </row>
        <row r="409">
          <cell r="A409" t="str">
            <v>CONCRETO USINADO CONVENCIONAL (NAO BOMBEAVEL) CLASSE DE RESISTENCIA C10, COM BRITA 1 E 2, SLUMP = 80 MM +/- 10 MM (NBR 8953)</v>
          </cell>
          <cell r="B409" t="str">
            <v>SINAPI</v>
          </cell>
          <cell r="C409" t="str">
            <v>Material</v>
          </cell>
          <cell r="D409">
            <v>14041</v>
          </cell>
        </row>
        <row r="410">
          <cell r="A410">
            <v>0</v>
          </cell>
          <cell r="B410">
            <v>0</v>
          </cell>
          <cell r="C410">
            <v>0</v>
          </cell>
          <cell r="D410">
            <v>0</v>
          </cell>
        </row>
        <row r="411">
          <cell r="A411">
            <v>0</v>
          </cell>
          <cell r="B411">
            <v>0</v>
          </cell>
          <cell r="C411">
            <v>0</v>
          </cell>
          <cell r="D411">
            <v>0</v>
          </cell>
        </row>
        <row r="412">
          <cell r="A412" t="str">
            <v>(G) Serviços</v>
          </cell>
          <cell r="B412" t="str">
            <v>Base</v>
          </cell>
          <cell r="C412" t="str">
            <v>Tipo</v>
          </cell>
          <cell r="D412" t="str">
            <v>Código</v>
          </cell>
        </row>
        <row r="413">
          <cell r="A413">
            <v>0</v>
          </cell>
          <cell r="B413">
            <v>0</v>
          </cell>
          <cell r="C413">
            <v>0</v>
          </cell>
          <cell r="D413">
            <v>0</v>
          </cell>
        </row>
        <row r="414">
          <cell r="A414">
            <v>0</v>
          </cell>
          <cell r="B414">
            <v>0</v>
          </cell>
          <cell r="C414">
            <v>0</v>
          </cell>
          <cell r="D414">
            <v>0</v>
          </cell>
        </row>
        <row r="415">
          <cell r="A415">
            <v>0</v>
          </cell>
          <cell r="B415">
            <v>0</v>
          </cell>
          <cell r="C415">
            <v>0</v>
          </cell>
          <cell r="D415">
            <v>0</v>
          </cell>
        </row>
        <row r="418">
          <cell r="A418" t="str">
            <v>CCU-032</v>
          </cell>
          <cell r="B418" t="str">
            <v xml:space="preserve">UNIDADE </v>
          </cell>
          <cell r="C418" t="str">
            <v>M</v>
          </cell>
          <cell r="D418" t="str">
            <v>DRENO SUBSUPERFICIAL DE PAVIMENTO - DSSP</v>
          </cell>
        </row>
        <row r="419">
          <cell r="A419" t="str">
            <v>(A) Equipamento</v>
          </cell>
          <cell r="B419" t="str">
            <v>Base</v>
          </cell>
          <cell r="C419" t="str">
            <v>Tipo</v>
          </cell>
          <cell r="D419" t="str">
            <v>Código</v>
          </cell>
        </row>
        <row r="420">
          <cell r="A420">
            <v>0</v>
          </cell>
          <cell r="B420">
            <v>0</v>
          </cell>
          <cell r="C420">
            <v>0</v>
          </cell>
          <cell r="D420">
            <v>0</v>
          </cell>
        </row>
        <row r="421">
          <cell r="A421">
            <v>0</v>
          </cell>
          <cell r="B421">
            <v>0</v>
          </cell>
          <cell r="C421">
            <v>0</v>
          </cell>
          <cell r="D421">
            <v>0</v>
          </cell>
        </row>
        <row r="422">
          <cell r="A422">
            <v>0</v>
          </cell>
          <cell r="B422">
            <v>0</v>
          </cell>
          <cell r="C422">
            <v>0</v>
          </cell>
          <cell r="D422">
            <v>0</v>
          </cell>
        </row>
        <row r="423">
          <cell r="A423" t="str">
            <v>(B) Mão de obra</v>
          </cell>
          <cell r="B423" t="str">
            <v>Base</v>
          </cell>
          <cell r="C423" t="str">
            <v>Tipo</v>
          </cell>
          <cell r="D423" t="str">
            <v>Código</v>
          </cell>
        </row>
        <row r="424">
          <cell r="A424" t="str">
            <v>ENCARREGADO DE SERVIÇO</v>
          </cell>
          <cell r="B424" t="str">
            <v>DER</v>
          </cell>
          <cell r="C424" t="str">
            <v>Mão de obra</v>
          </cell>
          <cell r="D424">
            <v>210060</v>
          </cell>
        </row>
        <row r="425">
          <cell r="A425" t="str">
            <v>SERVENTE</v>
          </cell>
          <cell r="B425" t="str">
            <v>DER</v>
          </cell>
          <cell r="C425" t="str">
            <v>Mão de obra</v>
          </cell>
          <cell r="D425">
            <v>200130</v>
          </cell>
        </row>
        <row r="426">
          <cell r="A426">
            <v>0</v>
          </cell>
          <cell r="B426">
            <v>0</v>
          </cell>
          <cell r="C426">
            <v>0</v>
          </cell>
          <cell r="D426">
            <v>0</v>
          </cell>
        </row>
        <row r="427">
          <cell r="A427" t="str">
            <v>(C) Itens de incidência</v>
          </cell>
          <cell r="B427" t="str">
            <v>Base</v>
          </cell>
          <cell r="C427" t="str">
            <v>Tipo</v>
          </cell>
          <cell r="D427" t="str">
            <v>Código</v>
          </cell>
        </row>
        <row r="428">
          <cell r="A428" t="str">
            <v>Ferramentas manuais</v>
          </cell>
          <cell r="B428">
            <v>0</v>
          </cell>
          <cell r="C428">
            <v>0</v>
          </cell>
          <cell r="D428">
            <v>29990</v>
          </cell>
        </row>
        <row r="429">
          <cell r="A429">
            <v>0</v>
          </cell>
          <cell r="B429">
            <v>0</v>
          </cell>
          <cell r="C429">
            <v>0</v>
          </cell>
          <cell r="D429">
            <v>0</v>
          </cell>
        </row>
        <row r="430">
          <cell r="A430">
            <v>0</v>
          </cell>
          <cell r="B430">
            <v>0</v>
          </cell>
          <cell r="C430">
            <v>0</v>
          </cell>
          <cell r="D430">
            <v>0</v>
          </cell>
        </row>
        <row r="431">
          <cell r="A431" t="str">
            <v>Custo horário da execução (A + B + C)</v>
          </cell>
          <cell r="B431">
            <v>0</v>
          </cell>
          <cell r="C431">
            <v>0</v>
          </cell>
          <cell r="D431">
            <v>0</v>
          </cell>
        </row>
        <row r="432">
          <cell r="A432" t="str">
            <v xml:space="preserve"> (D) Produção da equipe</v>
          </cell>
          <cell r="B432">
            <v>0</v>
          </cell>
          <cell r="C432">
            <v>0</v>
          </cell>
          <cell r="D432">
            <v>0</v>
          </cell>
        </row>
        <row r="433">
          <cell r="A433" t="str">
            <v>(E) Custo unitário da execução (A + B + C) / D</v>
          </cell>
          <cell r="B433">
            <v>0</v>
          </cell>
          <cell r="C433">
            <v>0</v>
          </cell>
          <cell r="D433">
            <v>0</v>
          </cell>
        </row>
        <row r="434">
          <cell r="A434" t="str">
            <v>(F) Materiais</v>
          </cell>
          <cell r="B434" t="str">
            <v>Base</v>
          </cell>
          <cell r="C434" t="str">
            <v>Tipo</v>
          </cell>
          <cell r="D434" t="str">
            <v>Código</v>
          </cell>
        </row>
        <row r="435">
          <cell r="A435" t="str">
            <v>TUBO POLIETILENO (PEAD) P/DRENO 0,10M</v>
          </cell>
          <cell r="B435" t="str">
            <v>DER</v>
          </cell>
          <cell r="C435" t="str">
            <v>Material</v>
          </cell>
          <cell r="D435">
            <v>180250</v>
          </cell>
        </row>
        <row r="436">
          <cell r="A436" t="str">
            <v>PEDRA BRITADA (COMERCIAL)</v>
          </cell>
          <cell r="B436" t="str">
            <v>DER</v>
          </cell>
          <cell r="C436" t="str">
            <v>Material</v>
          </cell>
          <cell r="D436">
            <v>130000</v>
          </cell>
        </row>
        <row r="437">
          <cell r="A437" t="str">
            <v>GEOTEXTIL TECIDO (DRENOS)</v>
          </cell>
          <cell r="B437" t="str">
            <v>DER</v>
          </cell>
          <cell r="C437" t="str">
            <v>Material</v>
          </cell>
          <cell r="D437">
            <v>140040</v>
          </cell>
        </row>
        <row r="438">
          <cell r="A438">
            <v>0</v>
          </cell>
          <cell r="B438">
            <v>0</v>
          </cell>
          <cell r="C438">
            <v>0</v>
          </cell>
          <cell r="D438">
            <v>0</v>
          </cell>
        </row>
        <row r="439">
          <cell r="A439" t="str">
            <v>(G) Serviços</v>
          </cell>
          <cell r="B439" t="str">
            <v>Base</v>
          </cell>
          <cell r="C439" t="str">
            <v>Tipo</v>
          </cell>
          <cell r="D439" t="str">
            <v>Código</v>
          </cell>
        </row>
        <row r="440">
          <cell r="A440" t="str">
            <v>Escavação valas de drenagem 1a. cat.</v>
          </cell>
          <cell r="B440" t="str">
            <v>DER</v>
          </cell>
          <cell r="C440" t="str">
            <v>Serviço</v>
          </cell>
          <cell r="D440">
            <v>600600</v>
          </cell>
        </row>
        <row r="441">
          <cell r="A441">
            <v>0</v>
          </cell>
          <cell r="B441">
            <v>0</v>
          </cell>
          <cell r="C441">
            <v>0</v>
          </cell>
          <cell r="D441">
            <v>0</v>
          </cell>
        </row>
        <row r="442">
          <cell r="A442">
            <v>0</v>
          </cell>
          <cell r="B442">
            <v>0</v>
          </cell>
          <cell r="C442">
            <v>0</v>
          </cell>
          <cell r="D442">
            <v>0</v>
          </cell>
        </row>
        <row r="445">
          <cell r="A445" t="str">
            <v>CCU-033</v>
          </cell>
          <cell r="B445" t="str">
            <v xml:space="preserve">UNIDADE </v>
          </cell>
          <cell r="C445" t="str">
            <v>M</v>
          </cell>
          <cell r="D445" t="str">
            <v>DRENO DE REBAIXO - DR</v>
          </cell>
        </row>
        <row r="446">
          <cell r="A446" t="str">
            <v>(A) Equipamento</v>
          </cell>
          <cell r="B446" t="str">
            <v>Base</v>
          </cell>
          <cell r="C446" t="str">
            <v>Tipo</v>
          </cell>
          <cell r="D446" t="str">
            <v>Código</v>
          </cell>
        </row>
        <row r="447">
          <cell r="A447">
            <v>0</v>
          </cell>
          <cell r="B447">
            <v>0</v>
          </cell>
          <cell r="C447">
            <v>0</v>
          </cell>
          <cell r="D447">
            <v>0</v>
          </cell>
        </row>
        <row r="448">
          <cell r="A448">
            <v>0</v>
          </cell>
          <cell r="B448">
            <v>0</v>
          </cell>
          <cell r="C448">
            <v>0</v>
          </cell>
          <cell r="D448">
            <v>0</v>
          </cell>
        </row>
        <row r="449">
          <cell r="A449">
            <v>0</v>
          </cell>
          <cell r="B449">
            <v>0</v>
          </cell>
          <cell r="C449">
            <v>0</v>
          </cell>
          <cell r="D449">
            <v>0</v>
          </cell>
        </row>
        <row r="450">
          <cell r="A450" t="str">
            <v>(B) Mão de obra</v>
          </cell>
          <cell r="B450" t="str">
            <v>Base</v>
          </cell>
          <cell r="C450" t="str">
            <v>Tipo</v>
          </cell>
          <cell r="D450" t="str">
            <v>Código</v>
          </cell>
        </row>
        <row r="451">
          <cell r="A451" t="str">
            <v>PEDREIRO</v>
          </cell>
          <cell r="B451" t="str">
            <v>DER</v>
          </cell>
          <cell r="C451" t="str">
            <v>Mão de obra</v>
          </cell>
          <cell r="D451">
            <v>200260</v>
          </cell>
        </row>
        <row r="452">
          <cell r="A452" t="str">
            <v>SERVENTE</v>
          </cell>
          <cell r="B452" t="str">
            <v>DER</v>
          </cell>
          <cell r="C452" t="str">
            <v>Mão de obra</v>
          </cell>
          <cell r="D452">
            <v>200130</v>
          </cell>
        </row>
        <row r="453">
          <cell r="A453">
            <v>0</v>
          </cell>
          <cell r="B453">
            <v>0</v>
          </cell>
          <cell r="C453">
            <v>0</v>
          </cell>
          <cell r="D453">
            <v>0</v>
          </cell>
        </row>
        <row r="454">
          <cell r="A454" t="str">
            <v>(C) Itens de incidência</v>
          </cell>
          <cell r="B454" t="str">
            <v>Base</v>
          </cell>
          <cell r="C454" t="str">
            <v>Tipo</v>
          </cell>
          <cell r="D454" t="str">
            <v>Código</v>
          </cell>
        </row>
        <row r="455">
          <cell r="A455">
            <v>0</v>
          </cell>
          <cell r="B455">
            <v>0</v>
          </cell>
          <cell r="C455">
            <v>0</v>
          </cell>
          <cell r="D455">
            <v>0</v>
          </cell>
        </row>
        <row r="456">
          <cell r="A456">
            <v>0</v>
          </cell>
          <cell r="B456">
            <v>0</v>
          </cell>
          <cell r="C456">
            <v>0</v>
          </cell>
          <cell r="D456">
            <v>0</v>
          </cell>
        </row>
        <row r="457">
          <cell r="A457">
            <v>0</v>
          </cell>
          <cell r="B457">
            <v>0</v>
          </cell>
          <cell r="C457">
            <v>0</v>
          </cell>
          <cell r="D457">
            <v>0</v>
          </cell>
        </row>
        <row r="458">
          <cell r="A458" t="str">
            <v>Custo horário da execução (A + B + C)</v>
          </cell>
          <cell r="B458">
            <v>0</v>
          </cell>
          <cell r="C458">
            <v>0</v>
          </cell>
          <cell r="D458">
            <v>0</v>
          </cell>
        </row>
        <row r="459">
          <cell r="A459" t="str">
            <v xml:space="preserve"> (D) Produção da equipe</v>
          </cell>
          <cell r="B459">
            <v>0</v>
          </cell>
          <cell r="C459">
            <v>0</v>
          </cell>
          <cell r="D459">
            <v>0</v>
          </cell>
        </row>
        <row r="460">
          <cell r="A460" t="str">
            <v>(E) Custo unitário da execução (A + B + C) / D</v>
          </cell>
          <cell r="B460">
            <v>0</v>
          </cell>
          <cell r="C460">
            <v>0</v>
          </cell>
          <cell r="D460">
            <v>0</v>
          </cell>
        </row>
        <row r="461">
          <cell r="A461" t="str">
            <v>(F) Materiais</v>
          </cell>
          <cell r="B461" t="str">
            <v>Base</v>
          </cell>
          <cell r="C461" t="str">
            <v>Tipo</v>
          </cell>
          <cell r="D461" t="str">
            <v>Código</v>
          </cell>
        </row>
        <row r="462">
          <cell r="A462" t="str">
            <v>GEOCOMPOSTO DRENANTE MACDRAIN TD C/BOLSA P/TUBO</v>
          </cell>
          <cell r="B462" t="str">
            <v>DER</v>
          </cell>
          <cell r="C462" t="str">
            <v>Material</v>
          </cell>
          <cell r="D462">
            <v>150055</v>
          </cell>
        </row>
        <row r="463">
          <cell r="A463" t="str">
            <v>TUBO POLIETILENO (PEAD) P/DRENO 0,10M</v>
          </cell>
          <cell r="B463" t="str">
            <v>DER</v>
          </cell>
          <cell r="C463" t="str">
            <v>Material</v>
          </cell>
          <cell r="D463">
            <v>180250</v>
          </cell>
        </row>
        <row r="464">
          <cell r="A464">
            <v>0</v>
          </cell>
          <cell r="B464">
            <v>0</v>
          </cell>
          <cell r="C464">
            <v>0</v>
          </cell>
          <cell r="D464">
            <v>0</v>
          </cell>
        </row>
        <row r="465">
          <cell r="A465" t="str">
            <v>(G) Serviços</v>
          </cell>
          <cell r="B465" t="str">
            <v>Base</v>
          </cell>
          <cell r="C465" t="str">
            <v>Tipo</v>
          </cell>
          <cell r="D465" t="str">
            <v>Código</v>
          </cell>
        </row>
        <row r="466">
          <cell r="A466" t="str">
            <v>Escavação mecânica de vala para drenagem com valetadeira em material de 1ª categoria</v>
          </cell>
          <cell r="B466" t="str">
            <v>DNIT</v>
          </cell>
          <cell r="C466" t="str">
            <v>Serviço</v>
          </cell>
          <cell r="D466">
            <v>2004504</v>
          </cell>
        </row>
        <row r="467">
          <cell r="A467">
            <v>0</v>
          </cell>
          <cell r="B467">
            <v>0</v>
          </cell>
          <cell r="C467">
            <v>0</v>
          </cell>
          <cell r="D467">
            <v>0</v>
          </cell>
        </row>
        <row r="468">
          <cell r="A468">
            <v>0</v>
          </cell>
          <cell r="B468">
            <v>0</v>
          </cell>
          <cell r="C468">
            <v>0</v>
          </cell>
          <cell r="D468">
            <v>0</v>
          </cell>
        </row>
        <row r="471">
          <cell r="A471" t="str">
            <v>CCU-034</v>
          </cell>
          <cell r="B471" t="str">
            <v xml:space="preserve">UNIDADE </v>
          </cell>
          <cell r="C471" t="str">
            <v>M</v>
          </cell>
          <cell r="D471" t="str">
            <v>SARJETA TRIANGULAR DE CONCRETO - TIPO 1A - STC 01A</v>
          </cell>
        </row>
        <row r="472">
          <cell r="A472" t="str">
            <v>(A) Equipamento</v>
          </cell>
          <cell r="B472" t="str">
            <v>Base</v>
          </cell>
          <cell r="C472" t="str">
            <v>Tipo</v>
          </cell>
          <cell r="D472" t="str">
            <v>Código</v>
          </cell>
        </row>
        <row r="473">
          <cell r="A473">
            <v>0</v>
          </cell>
          <cell r="B473">
            <v>0</v>
          </cell>
          <cell r="C473">
            <v>0</v>
          </cell>
          <cell r="D473">
            <v>0</v>
          </cell>
        </row>
        <row r="474">
          <cell r="A474">
            <v>0</v>
          </cell>
          <cell r="B474">
            <v>0</v>
          </cell>
          <cell r="C474">
            <v>0</v>
          </cell>
          <cell r="D474">
            <v>0</v>
          </cell>
        </row>
        <row r="475">
          <cell r="A475">
            <v>0</v>
          </cell>
          <cell r="B475">
            <v>0</v>
          </cell>
          <cell r="C475">
            <v>0</v>
          </cell>
          <cell r="D475">
            <v>0</v>
          </cell>
        </row>
        <row r="476">
          <cell r="A476" t="str">
            <v>(B) Mão de obra</v>
          </cell>
          <cell r="B476" t="str">
            <v>Base</v>
          </cell>
          <cell r="C476" t="str">
            <v>Tipo</v>
          </cell>
          <cell r="D476" t="str">
            <v>Código</v>
          </cell>
        </row>
        <row r="477">
          <cell r="A477" t="str">
            <v>CARPINTEIRO</v>
          </cell>
          <cell r="B477" t="str">
            <v>DER</v>
          </cell>
          <cell r="C477" t="str">
            <v>Mão de obra</v>
          </cell>
          <cell r="D477">
            <v>200240</v>
          </cell>
        </row>
        <row r="478">
          <cell r="A478" t="str">
            <v>ENCARREGADO DE SERVIÇO</v>
          </cell>
          <cell r="B478" t="str">
            <v>DER</v>
          </cell>
          <cell r="C478" t="str">
            <v>Mão de obra</v>
          </cell>
          <cell r="D478">
            <v>210060</v>
          </cell>
        </row>
        <row r="479">
          <cell r="A479" t="str">
            <v>PEDREIRO</v>
          </cell>
          <cell r="B479" t="str">
            <v>DER</v>
          </cell>
          <cell r="C479" t="str">
            <v>Mão de obra</v>
          </cell>
          <cell r="D479">
            <v>200260</v>
          </cell>
        </row>
        <row r="480">
          <cell r="A480" t="str">
            <v>SERVENTE</v>
          </cell>
          <cell r="B480" t="str">
            <v>DER</v>
          </cell>
          <cell r="C480" t="str">
            <v>Mão de obra</v>
          </cell>
          <cell r="D480">
            <v>200130</v>
          </cell>
        </row>
        <row r="481">
          <cell r="A481">
            <v>0</v>
          </cell>
          <cell r="B481">
            <v>0</v>
          </cell>
          <cell r="C481">
            <v>0</v>
          </cell>
          <cell r="D481">
            <v>0</v>
          </cell>
        </row>
        <row r="482">
          <cell r="A482" t="str">
            <v>(C) Itens de incidência</v>
          </cell>
          <cell r="B482" t="str">
            <v>Base</v>
          </cell>
          <cell r="C482" t="str">
            <v>Tipo</v>
          </cell>
          <cell r="D482" t="str">
            <v>Código</v>
          </cell>
        </row>
        <row r="483">
          <cell r="A483" t="str">
            <v>Ferramentas manuais</v>
          </cell>
          <cell r="B483">
            <v>0</v>
          </cell>
          <cell r="C483">
            <v>0</v>
          </cell>
          <cell r="D483">
            <v>29990</v>
          </cell>
        </row>
        <row r="484">
          <cell r="A484">
            <v>0</v>
          </cell>
          <cell r="B484">
            <v>0</v>
          </cell>
          <cell r="C484">
            <v>0</v>
          </cell>
          <cell r="D484">
            <v>0</v>
          </cell>
        </row>
        <row r="485">
          <cell r="A485">
            <v>0</v>
          </cell>
          <cell r="B485">
            <v>0</v>
          </cell>
          <cell r="C485">
            <v>0</v>
          </cell>
          <cell r="D485">
            <v>0</v>
          </cell>
        </row>
        <row r="486">
          <cell r="A486" t="str">
            <v>Custo horário da execução (A + B + C)</v>
          </cell>
          <cell r="B486">
            <v>0</v>
          </cell>
          <cell r="C486">
            <v>0</v>
          </cell>
          <cell r="D486">
            <v>0</v>
          </cell>
        </row>
        <row r="487">
          <cell r="A487" t="str">
            <v xml:space="preserve"> (D) Produção da equipe</v>
          </cell>
          <cell r="B487">
            <v>0</v>
          </cell>
          <cell r="C487">
            <v>0</v>
          </cell>
          <cell r="D487">
            <v>0</v>
          </cell>
        </row>
        <row r="488">
          <cell r="A488" t="str">
            <v>(E) Custo unitário da execução (A + B + C) / D</v>
          </cell>
          <cell r="B488">
            <v>0</v>
          </cell>
          <cell r="C488">
            <v>0</v>
          </cell>
          <cell r="D488">
            <v>0</v>
          </cell>
        </row>
        <row r="489">
          <cell r="A489" t="str">
            <v>(F) Materiais</v>
          </cell>
          <cell r="B489" t="str">
            <v>Base</v>
          </cell>
          <cell r="C489" t="str">
            <v>Tipo</v>
          </cell>
          <cell r="D489" t="str">
            <v>Código</v>
          </cell>
        </row>
        <row r="490">
          <cell r="A490" t="str">
            <v>MADEIRA PINHO  2,5 X 8 CM</v>
          </cell>
          <cell r="B490" t="str">
            <v>DER</v>
          </cell>
          <cell r="C490" t="str">
            <v>Material</v>
          </cell>
          <cell r="D490">
            <v>112580</v>
          </cell>
        </row>
        <row r="491">
          <cell r="A491">
            <v>0</v>
          </cell>
          <cell r="B491">
            <v>0</v>
          </cell>
          <cell r="C491">
            <v>0</v>
          </cell>
          <cell r="D491">
            <v>0</v>
          </cell>
        </row>
        <row r="492">
          <cell r="A492">
            <v>0</v>
          </cell>
          <cell r="B492">
            <v>0</v>
          </cell>
          <cell r="C492">
            <v>0</v>
          </cell>
          <cell r="D492">
            <v>0</v>
          </cell>
        </row>
        <row r="493">
          <cell r="A493" t="str">
            <v>(G) Serviços</v>
          </cell>
          <cell r="B493" t="str">
            <v>Base</v>
          </cell>
          <cell r="C493" t="str">
            <v>Tipo</v>
          </cell>
          <cell r="D493" t="str">
            <v>Código</v>
          </cell>
        </row>
        <row r="494">
          <cell r="A494" t="str">
            <v>Argamassa cimento e areia 1:4</v>
          </cell>
          <cell r="B494" t="str">
            <v>DER</v>
          </cell>
          <cell r="C494" t="str">
            <v>Serviço</v>
          </cell>
          <cell r="D494">
            <v>604100</v>
          </cell>
        </row>
        <row r="495">
          <cell r="A495" t="str">
            <v>Concreto Fck = 11 MPa, preparo em betoneira e lanç.</v>
          </cell>
          <cell r="B495" t="str">
            <v>DER</v>
          </cell>
          <cell r="C495" t="str">
            <v>Serviço</v>
          </cell>
          <cell r="D495">
            <v>605200</v>
          </cell>
        </row>
        <row r="496">
          <cell r="A496" t="str">
            <v>Escavação manual de vala 1a. cat.</v>
          </cell>
          <cell r="B496" t="str">
            <v>DER</v>
          </cell>
          <cell r="C496" t="str">
            <v>Serviço</v>
          </cell>
          <cell r="D496">
            <v>600000</v>
          </cell>
        </row>
        <row r="497">
          <cell r="A497">
            <v>0</v>
          </cell>
          <cell r="B497">
            <v>0</v>
          </cell>
          <cell r="C497">
            <v>0</v>
          </cell>
          <cell r="D497">
            <v>0</v>
          </cell>
        </row>
        <row r="500">
          <cell r="A500" t="str">
            <v>CCU-035</v>
          </cell>
          <cell r="B500" t="str">
            <v xml:space="preserve">UNIDADE </v>
          </cell>
          <cell r="C500" t="str">
            <v>M³</v>
          </cell>
          <cell r="D500" t="str">
            <v>LASTRO DE RACHÃO COM BRITAGEM PARA FUNDAÇÃO DE GALERIA CELULAR, INCLUSIVE ESPALHAMENTO E COMPACTAÇÃO</v>
          </cell>
        </row>
        <row r="501">
          <cell r="A501" t="str">
            <v>(A) Equipamento</v>
          </cell>
          <cell r="B501" t="str">
            <v>Base</v>
          </cell>
          <cell r="C501" t="str">
            <v>Tipo</v>
          </cell>
          <cell r="D501" t="str">
            <v>Código</v>
          </cell>
        </row>
        <row r="502">
          <cell r="A502" t="str">
            <v>ROLO VIBRATÓRIO LISO AUTOPROP. 3411</v>
          </cell>
          <cell r="B502" t="str">
            <v>DER</v>
          </cell>
          <cell r="C502" t="str">
            <v>Equipamento</v>
          </cell>
          <cell r="D502">
            <v>340250</v>
          </cell>
        </row>
        <row r="503">
          <cell r="A503" t="str">
            <v>ESCAV. HIDRÁULICA E-215 C LEVE</v>
          </cell>
          <cell r="B503" t="str">
            <v>DER</v>
          </cell>
          <cell r="C503" t="str">
            <v>Equipamento</v>
          </cell>
          <cell r="D503">
            <v>310800</v>
          </cell>
        </row>
        <row r="504">
          <cell r="A504">
            <v>0</v>
          </cell>
          <cell r="B504">
            <v>0</v>
          </cell>
          <cell r="C504">
            <v>0</v>
          </cell>
          <cell r="D504">
            <v>0</v>
          </cell>
        </row>
        <row r="505">
          <cell r="A505" t="str">
            <v>(B) Mão de obra</v>
          </cell>
          <cell r="B505" t="str">
            <v>Base</v>
          </cell>
          <cell r="C505" t="str">
            <v>Tipo</v>
          </cell>
          <cell r="D505" t="str">
            <v>Código</v>
          </cell>
        </row>
        <row r="506">
          <cell r="A506" t="str">
            <v>APONTADOR</v>
          </cell>
          <cell r="B506" t="str">
            <v>DER</v>
          </cell>
          <cell r="C506" t="str">
            <v>Mão de obra</v>
          </cell>
          <cell r="D506">
            <v>200020</v>
          </cell>
        </row>
        <row r="507">
          <cell r="A507" t="str">
            <v>ENCARREGADO DE SERVIÇO</v>
          </cell>
          <cell r="B507" t="str">
            <v>DER</v>
          </cell>
          <cell r="C507" t="str">
            <v>Mão de obra</v>
          </cell>
          <cell r="D507">
            <v>210060</v>
          </cell>
        </row>
        <row r="508">
          <cell r="A508" t="str">
            <v>SERVENTE</v>
          </cell>
          <cell r="B508" t="str">
            <v>DER</v>
          </cell>
          <cell r="C508" t="str">
            <v>Mão de obra</v>
          </cell>
          <cell r="D508">
            <v>200130</v>
          </cell>
        </row>
        <row r="509">
          <cell r="A509">
            <v>0</v>
          </cell>
          <cell r="B509">
            <v>0</v>
          </cell>
          <cell r="C509">
            <v>0</v>
          </cell>
          <cell r="D509">
            <v>0</v>
          </cell>
        </row>
        <row r="510">
          <cell r="A510" t="str">
            <v>(C) Itens de incidência</v>
          </cell>
          <cell r="B510" t="str">
            <v>Base</v>
          </cell>
          <cell r="C510" t="str">
            <v>Tipo</v>
          </cell>
          <cell r="D510" t="str">
            <v>Código</v>
          </cell>
        </row>
        <row r="511">
          <cell r="A511">
            <v>0</v>
          </cell>
          <cell r="B511">
            <v>0</v>
          </cell>
          <cell r="C511">
            <v>0</v>
          </cell>
          <cell r="D511">
            <v>0</v>
          </cell>
        </row>
        <row r="512">
          <cell r="A512">
            <v>0</v>
          </cell>
          <cell r="B512">
            <v>0</v>
          </cell>
          <cell r="C512">
            <v>0</v>
          </cell>
          <cell r="D512">
            <v>0</v>
          </cell>
        </row>
        <row r="513">
          <cell r="A513">
            <v>0</v>
          </cell>
          <cell r="B513">
            <v>0</v>
          </cell>
          <cell r="C513">
            <v>0</v>
          </cell>
          <cell r="D513">
            <v>0</v>
          </cell>
        </row>
        <row r="514">
          <cell r="A514" t="str">
            <v>Custo horário da execução (A + B + C)</v>
          </cell>
          <cell r="B514">
            <v>0</v>
          </cell>
          <cell r="C514">
            <v>0</v>
          </cell>
          <cell r="D514">
            <v>0</v>
          </cell>
        </row>
        <row r="515">
          <cell r="A515" t="str">
            <v xml:space="preserve"> (D) Produção da equipe</v>
          </cell>
          <cell r="B515">
            <v>0</v>
          </cell>
          <cell r="C515">
            <v>0</v>
          </cell>
          <cell r="D515">
            <v>0</v>
          </cell>
        </row>
        <row r="516">
          <cell r="A516" t="str">
            <v>(E) Custo unitário da execução (A + B + C) / D</v>
          </cell>
          <cell r="B516">
            <v>0</v>
          </cell>
          <cell r="C516">
            <v>0</v>
          </cell>
          <cell r="D516">
            <v>0</v>
          </cell>
        </row>
        <row r="517">
          <cell r="A517" t="str">
            <v>(F) Materiais</v>
          </cell>
          <cell r="B517" t="str">
            <v>Base</v>
          </cell>
          <cell r="C517" t="str">
            <v>Tipo</v>
          </cell>
          <cell r="D517" t="str">
            <v>Código</v>
          </cell>
        </row>
        <row r="518">
          <cell r="A518" t="str">
            <v>RACHÃO BRITADO (COMERCIAL)</v>
          </cell>
          <cell r="B518" t="str">
            <v>DER</v>
          </cell>
          <cell r="C518" t="str">
            <v>Material</v>
          </cell>
          <cell r="D518">
            <v>130180</v>
          </cell>
        </row>
        <row r="519">
          <cell r="A519">
            <v>0</v>
          </cell>
          <cell r="B519">
            <v>0</v>
          </cell>
          <cell r="C519">
            <v>0</v>
          </cell>
          <cell r="D519">
            <v>0</v>
          </cell>
        </row>
        <row r="520">
          <cell r="A520">
            <v>0</v>
          </cell>
          <cell r="B520">
            <v>0</v>
          </cell>
          <cell r="C520">
            <v>0</v>
          </cell>
          <cell r="D520">
            <v>0</v>
          </cell>
        </row>
        <row r="521">
          <cell r="A521" t="str">
            <v>(G) Serviços</v>
          </cell>
          <cell r="B521" t="str">
            <v>Base</v>
          </cell>
          <cell r="C521" t="str">
            <v>Tipo</v>
          </cell>
          <cell r="D521" t="str">
            <v>Código</v>
          </cell>
        </row>
        <row r="522">
          <cell r="A522">
            <v>0</v>
          </cell>
          <cell r="B522">
            <v>0</v>
          </cell>
          <cell r="C522">
            <v>0</v>
          </cell>
          <cell r="D522">
            <v>0</v>
          </cell>
        </row>
        <row r="523">
          <cell r="A523">
            <v>0</v>
          </cell>
          <cell r="B523">
            <v>0</v>
          </cell>
          <cell r="C523">
            <v>0</v>
          </cell>
          <cell r="D523">
            <v>0</v>
          </cell>
        </row>
        <row r="524">
          <cell r="A524">
            <v>0</v>
          </cell>
          <cell r="B524">
            <v>0</v>
          </cell>
          <cell r="C524">
            <v>0</v>
          </cell>
          <cell r="D524">
            <v>0</v>
          </cell>
        </row>
        <row r="527">
          <cell r="A527" t="str">
            <v>CCU-036</v>
          </cell>
          <cell r="B527" t="str">
            <v xml:space="preserve">UNIDADE </v>
          </cell>
          <cell r="C527" t="str">
            <v>M</v>
          </cell>
          <cell r="D527" t="str">
            <v xml:space="preserve">FORNECIMENTO E ASSENTAMENTO DE GALERIA BSCC - SEÇÃO 2,0 X 2,0M FECHADA - PRÉ-MOLDADO </v>
          </cell>
        </row>
        <row r="528">
          <cell r="A528" t="str">
            <v>(A) Equipamento</v>
          </cell>
          <cell r="B528" t="str">
            <v>Base</v>
          </cell>
          <cell r="C528" t="str">
            <v>Tipo</v>
          </cell>
          <cell r="D528" t="str">
            <v>Código</v>
          </cell>
        </row>
        <row r="529">
          <cell r="A529">
            <v>0</v>
          </cell>
          <cell r="B529">
            <v>0</v>
          </cell>
          <cell r="C529">
            <v>0</v>
          </cell>
          <cell r="D529">
            <v>0</v>
          </cell>
        </row>
        <row r="530">
          <cell r="A530">
            <v>0</v>
          </cell>
          <cell r="B530">
            <v>0</v>
          </cell>
          <cell r="C530">
            <v>0</v>
          </cell>
          <cell r="D530">
            <v>0</v>
          </cell>
        </row>
        <row r="531">
          <cell r="A531">
            <v>0</v>
          </cell>
          <cell r="B531">
            <v>0</v>
          </cell>
          <cell r="C531">
            <v>0</v>
          </cell>
          <cell r="D531">
            <v>0</v>
          </cell>
        </row>
        <row r="532">
          <cell r="A532" t="str">
            <v>(B) Mão de obra</v>
          </cell>
          <cell r="B532" t="str">
            <v>Base</v>
          </cell>
          <cell r="C532" t="str">
            <v>Tipo</v>
          </cell>
          <cell r="D532" t="str">
            <v>Código</v>
          </cell>
        </row>
        <row r="533">
          <cell r="A533" t="str">
            <v>SERVENTE</v>
          </cell>
          <cell r="B533" t="str">
            <v>DER</v>
          </cell>
          <cell r="C533" t="str">
            <v>Mão de obra</v>
          </cell>
          <cell r="D533">
            <v>200130</v>
          </cell>
        </row>
        <row r="534">
          <cell r="A534">
            <v>0</v>
          </cell>
          <cell r="B534">
            <v>0</v>
          </cell>
          <cell r="C534">
            <v>0</v>
          </cell>
          <cell r="D534">
            <v>0</v>
          </cell>
        </row>
        <row r="535">
          <cell r="A535">
            <v>0</v>
          </cell>
          <cell r="B535">
            <v>0</v>
          </cell>
          <cell r="C535">
            <v>0</v>
          </cell>
          <cell r="D535">
            <v>0</v>
          </cell>
        </row>
        <row r="536">
          <cell r="A536" t="str">
            <v>(C) Itens de incidência</v>
          </cell>
          <cell r="B536" t="str">
            <v>Base</v>
          </cell>
          <cell r="C536" t="str">
            <v>Tipo</v>
          </cell>
          <cell r="D536" t="str">
            <v>Código</v>
          </cell>
        </row>
        <row r="537">
          <cell r="A537">
            <v>0</v>
          </cell>
          <cell r="B537">
            <v>0</v>
          </cell>
          <cell r="C537">
            <v>0</v>
          </cell>
          <cell r="D537">
            <v>0</v>
          </cell>
        </row>
        <row r="538">
          <cell r="A538">
            <v>0</v>
          </cell>
          <cell r="B538">
            <v>0</v>
          </cell>
          <cell r="C538">
            <v>0</v>
          </cell>
          <cell r="D538">
            <v>0</v>
          </cell>
        </row>
        <row r="539">
          <cell r="A539">
            <v>0</v>
          </cell>
          <cell r="B539">
            <v>0</v>
          </cell>
          <cell r="C539">
            <v>0</v>
          </cell>
          <cell r="D539">
            <v>0</v>
          </cell>
        </row>
        <row r="540">
          <cell r="A540" t="str">
            <v>Custo horário da execução (A + B + C)</v>
          </cell>
          <cell r="B540">
            <v>0</v>
          </cell>
          <cell r="C540">
            <v>0</v>
          </cell>
          <cell r="D540">
            <v>0</v>
          </cell>
        </row>
        <row r="541">
          <cell r="A541" t="str">
            <v xml:space="preserve"> (D) Produção da equipe</v>
          </cell>
          <cell r="B541">
            <v>0</v>
          </cell>
          <cell r="C541">
            <v>0</v>
          </cell>
          <cell r="D541">
            <v>0</v>
          </cell>
        </row>
        <row r="542">
          <cell r="A542" t="str">
            <v>(E) Custo unitário da execução (A + B + C) / D</v>
          </cell>
          <cell r="B542">
            <v>0</v>
          </cell>
          <cell r="C542">
            <v>0</v>
          </cell>
          <cell r="D542">
            <v>0</v>
          </cell>
        </row>
        <row r="543">
          <cell r="A543" t="str">
            <v>(F) Materiais</v>
          </cell>
          <cell r="B543" t="str">
            <v>Base</v>
          </cell>
          <cell r="C543" t="str">
            <v>Tipo</v>
          </cell>
          <cell r="D543" t="str">
            <v>Código</v>
          </cell>
        </row>
        <row r="544">
          <cell r="A544" t="str">
            <v>Corpo de BSCC pré-moldado comercial - seção de 2,0 m x 2,0 m - tipo V</v>
          </cell>
          <cell r="B544" t="str">
            <v>DNIT</v>
          </cell>
          <cell r="C544" t="str">
            <v>Material</v>
          </cell>
          <cell r="D544" t="str">
            <v>M2711</v>
          </cell>
        </row>
        <row r="545">
          <cell r="A545">
            <v>0</v>
          </cell>
          <cell r="B545">
            <v>0</v>
          </cell>
          <cell r="C545">
            <v>0</v>
          </cell>
          <cell r="D545">
            <v>0</v>
          </cell>
        </row>
        <row r="546">
          <cell r="A546">
            <v>0</v>
          </cell>
          <cell r="B546">
            <v>0</v>
          </cell>
          <cell r="C546">
            <v>0</v>
          </cell>
          <cell r="D546">
            <v>0</v>
          </cell>
        </row>
        <row r="547">
          <cell r="A547" t="str">
            <v>(G) Serviços</v>
          </cell>
          <cell r="B547" t="str">
            <v>Base</v>
          </cell>
          <cell r="C547" t="str">
            <v>Tipo</v>
          </cell>
          <cell r="D547" t="str">
            <v>Código</v>
          </cell>
        </row>
        <row r="548">
          <cell r="A548">
            <v>0</v>
          </cell>
          <cell r="B548">
            <v>0</v>
          </cell>
          <cell r="C548">
            <v>0</v>
          </cell>
          <cell r="D548">
            <v>0</v>
          </cell>
        </row>
        <row r="549">
          <cell r="A549">
            <v>0</v>
          </cell>
          <cell r="B549">
            <v>0</v>
          </cell>
          <cell r="C549">
            <v>0</v>
          </cell>
          <cell r="D549">
            <v>0</v>
          </cell>
        </row>
        <row r="550">
          <cell r="A550">
            <v>0</v>
          </cell>
          <cell r="B550">
            <v>0</v>
          </cell>
          <cell r="C550">
            <v>0</v>
          </cell>
          <cell r="D550">
            <v>0</v>
          </cell>
        </row>
        <row r="553">
          <cell r="A553" t="str">
            <v>CCU-037</v>
          </cell>
          <cell r="B553" t="str">
            <v xml:space="preserve">UNIDADE </v>
          </cell>
          <cell r="C553" t="str">
            <v>M</v>
          </cell>
          <cell r="D553" t="str">
            <v xml:space="preserve">FORNECIMENTO E ASSENTAMENTO DE GALERIA BSCC - SEÇÃO 2,5 X 2,5M FECHADA - PRÉ-MOLDADO </v>
          </cell>
        </row>
        <row r="554">
          <cell r="A554" t="str">
            <v>(A) Equipamento</v>
          </cell>
          <cell r="B554" t="str">
            <v>Base</v>
          </cell>
          <cell r="C554" t="str">
            <v>Tipo</v>
          </cell>
          <cell r="D554" t="str">
            <v>Código</v>
          </cell>
        </row>
        <row r="555">
          <cell r="A555">
            <v>0</v>
          </cell>
          <cell r="B555">
            <v>0</v>
          </cell>
          <cell r="C555">
            <v>0</v>
          </cell>
          <cell r="D555">
            <v>0</v>
          </cell>
        </row>
        <row r="556">
          <cell r="A556">
            <v>0</v>
          </cell>
          <cell r="B556">
            <v>0</v>
          </cell>
          <cell r="C556">
            <v>0</v>
          </cell>
          <cell r="D556">
            <v>0</v>
          </cell>
        </row>
        <row r="557">
          <cell r="A557">
            <v>0</v>
          </cell>
          <cell r="B557">
            <v>0</v>
          </cell>
          <cell r="C557">
            <v>0</v>
          </cell>
          <cell r="D557">
            <v>0</v>
          </cell>
        </row>
        <row r="558">
          <cell r="A558" t="str">
            <v>(B) Mão de obra</v>
          </cell>
          <cell r="B558" t="str">
            <v>Base</v>
          </cell>
          <cell r="C558" t="str">
            <v>Tipo</v>
          </cell>
          <cell r="D558" t="str">
            <v>Código</v>
          </cell>
        </row>
        <row r="559">
          <cell r="A559" t="str">
            <v>SERVENTE</v>
          </cell>
          <cell r="B559" t="str">
            <v xml:space="preserve">DER </v>
          </cell>
          <cell r="C559" t="str">
            <v>Mão de obra</v>
          </cell>
          <cell r="D559">
            <v>200130</v>
          </cell>
        </row>
        <row r="560">
          <cell r="A560">
            <v>0</v>
          </cell>
          <cell r="B560">
            <v>0</v>
          </cell>
          <cell r="C560">
            <v>0</v>
          </cell>
          <cell r="D560">
            <v>0</v>
          </cell>
        </row>
        <row r="561">
          <cell r="A561">
            <v>0</v>
          </cell>
          <cell r="B561">
            <v>0</v>
          </cell>
          <cell r="C561">
            <v>0</v>
          </cell>
          <cell r="D561">
            <v>0</v>
          </cell>
        </row>
        <row r="562">
          <cell r="A562" t="str">
            <v>(C) Itens de incidência</v>
          </cell>
          <cell r="B562" t="str">
            <v>Base</v>
          </cell>
          <cell r="C562" t="str">
            <v>Tipo</v>
          </cell>
          <cell r="D562" t="str">
            <v>Código</v>
          </cell>
        </row>
        <row r="563">
          <cell r="A563">
            <v>0</v>
          </cell>
          <cell r="B563">
            <v>0</v>
          </cell>
          <cell r="C563">
            <v>0</v>
          </cell>
          <cell r="D563">
            <v>0</v>
          </cell>
        </row>
        <row r="564">
          <cell r="A564">
            <v>0</v>
          </cell>
          <cell r="B564">
            <v>0</v>
          </cell>
          <cell r="C564">
            <v>0</v>
          </cell>
          <cell r="D564">
            <v>0</v>
          </cell>
        </row>
        <row r="565">
          <cell r="A565">
            <v>0</v>
          </cell>
          <cell r="B565">
            <v>0</v>
          </cell>
          <cell r="C565">
            <v>0</v>
          </cell>
          <cell r="D565">
            <v>0</v>
          </cell>
        </row>
        <row r="566">
          <cell r="A566" t="str">
            <v>Custo horário da execução (A + B + C)</v>
          </cell>
          <cell r="B566">
            <v>0</v>
          </cell>
          <cell r="C566">
            <v>0</v>
          </cell>
          <cell r="D566">
            <v>0</v>
          </cell>
        </row>
        <row r="567">
          <cell r="A567" t="str">
            <v xml:space="preserve"> (D) Produção da equipe</v>
          </cell>
          <cell r="B567">
            <v>0</v>
          </cell>
          <cell r="C567">
            <v>0</v>
          </cell>
          <cell r="D567">
            <v>0</v>
          </cell>
        </row>
        <row r="568">
          <cell r="A568" t="str">
            <v>(E) Custo unitário da execução (A + B + C) / D</v>
          </cell>
          <cell r="B568">
            <v>0</v>
          </cell>
          <cell r="C568">
            <v>0</v>
          </cell>
          <cell r="D568">
            <v>0</v>
          </cell>
        </row>
        <row r="569">
          <cell r="A569" t="str">
            <v>(F) Materiais</v>
          </cell>
          <cell r="B569" t="str">
            <v>Base</v>
          </cell>
          <cell r="C569" t="str">
            <v>Tipo</v>
          </cell>
          <cell r="D569" t="str">
            <v>Código</v>
          </cell>
        </row>
        <row r="570">
          <cell r="A570" t="str">
            <v>Corpo de BSCC pré-moldado comercial - seção de 2,5 m x 2,5 m - tipo I</v>
          </cell>
          <cell r="B570" t="str">
            <v>DNIT</v>
          </cell>
          <cell r="C570" t="str">
            <v>Material</v>
          </cell>
          <cell r="D570" t="str">
            <v>M2714</v>
          </cell>
        </row>
        <row r="571">
          <cell r="A571">
            <v>0</v>
          </cell>
          <cell r="B571">
            <v>0</v>
          </cell>
          <cell r="C571">
            <v>0</v>
          </cell>
          <cell r="D571">
            <v>0</v>
          </cell>
        </row>
        <row r="572">
          <cell r="A572">
            <v>0</v>
          </cell>
          <cell r="B572">
            <v>0</v>
          </cell>
          <cell r="C572">
            <v>0</v>
          </cell>
          <cell r="D572">
            <v>0</v>
          </cell>
        </row>
        <row r="573">
          <cell r="A573" t="str">
            <v>(G) Serviços</v>
          </cell>
          <cell r="B573" t="str">
            <v>Base</v>
          </cell>
          <cell r="C573" t="str">
            <v>Tipo</v>
          </cell>
          <cell r="D573" t="str">
            <v>Código</v>
          </cell>
        </row>
        <row r="574">
          <cell r="A574">
            <v>0</v>
          </cell>
          <cell r="B574">
            <v>0</v>
          </cell>
          <cell r="C574">
            <v>0</v>
          </cell>
          <cell r="D574">
            <v>0</v>
          </cell>
        </row>
        <row r="575">
          <cell r="A575">
            <v>0</v>
          </cell>
          <cell r="B575">
            <v>0</v>
          </cell>
          <cell r="C575">
            <v>0</v>
          </cell>
          <cell r="D575">
            <v>0</v>
          </cell>
        </row>
        <row r="576">
          <cell r="A576">
            <v>0</v>
          </cell>
          <cell r="B576">
            <v>0</v>
          </cell>
          <cell r="C576">
            <v>0</v>
          </cell>
          <cell r="D576">
            <v>0</v>
          </cell>
        </row>
        <row r="579">
          <cell r="A579" t="str">
            <v>CCU-038</v>
          </cell>
          <cell r="B579" t="str">
            <v xml:space="preserve">UNIDADE </v>
          </cell>
          <cell r="C579" t="str">
            <v>M³</v>
          </cell>
          <cell r="D579" t="str">
            <v>FORNECIMENTO, LANÇAMENTO, ADENSAMENTO E ACABAMENTO DE CONCRETO USINADO FCK=30 MPA</v>
          </cell>
        </row>
        <row r="580">
          <cell r="A580" t="str">
            <v>(A) Equipamento</v>
          </cell>
          <cell r="B580" t="str">
            <v>Base</v>
          </cell>
          <cell r="C580" t="str">
            <v>Tipo</v>
          </cell>
          <cell r="D580" t="str">
            <v>Código</v>
          </cell>
        </row>
        <row r="581">
          <cell r="A581" t="str">
            <v>VIBRADOR IMERSÃO GASOLINA 45MM</v>
          </cell>
          <cell r="B581" t="str">
            <v>DER</v>
          </cell>
          <cell r="C581" t="str">
            <v>Equipamento</v>
          </cell>
          <cell r="D581">
            <v>370450</v>
          </cell>
        </row>
        <row r="582">
          <cell r="A582">
            <v>0</v>
          </cell>
          <cell r="B582">
            <v>0</v>
          </cell>
          <cell r="C582">
            <v>0</v>
          </cell>
          <cell r="D582">
            <v>0</v>
          </cell>
        </row>
        <row r="583">
          <cell r="A583">
            <v>0</v>
          </cell>
          <cell r="B583">
            <v>0</v>
          </cell>
          <cell r="C583">
            <v>0</v>
          </cell>
          <cell r="D583">
            <v>0</v>
          </cell>
        </row>
        <row r="584">
          <cell r="A584" t="str">
            <v>(B) Mão de obra</v>
          </cell>
          <cell r="B584" t="str">
            <v>Base</v>
          </cell>
          <cell r="C584" t="str">
            <v>Tipo</v>
          </cell>
          <cell r="D584" t="str">
            <v>Código</v>
          </cell>
        </row>
        <row r="585">
          <cell r="A585" t="str">
            <v>CARPINTEIRO</v>
          </cell>
          <cell r="B585" t="str">
            <v>DER</v>
          </cell>
          <cell r="C585" t="str">
            <v>Mão de obra</v>
          </cell>
          <cell r="D585">
            <v>200240</v>
          </cell>
        </row>
        <row r="586">
          <cell r="A586" t="str">
            <v>PEDREIRO</v>
          </cell>
          <cell r="B586" t="str">
            <v>DER</v>
          </cell>
          <cell r="C586" t="str">
            <v>Mão de obra</v>
          </cell>
          <cell r="D586">
            <v>200260</v>
          </cell>
        </row>
        <row r="587">
          <cell r="A587" t="str">
            <v>SERVENTE</v>
          </cell>
          <cell r="B587" t="str">
            <v>DER</v>
          </cell>
          <cell r="C587" t="str">
            <v>Mão de obra</v>
          </cell>
          <cell r="D587">
            <v>200130</v>
          </cell>
        </row>
        <row r="588">
          <cell r="A588">
            <v>0</v>
          </cell>
          <cell r="B588">
            <v>0</v>
          </cell>
          <cell r="C588">
            <v>0</v>
          </cell>
          <cell r="D588">
            <v>0</v>
          </cell>
        </row>
        <row r="589">
          <cell r="A589" t="str">
            <v>(C) Itens de incidência</v>
          </cell>
          <cell r="B589" t="str">
            <v>Base</v>
          </cell>
          <cell r="C589" t="str">
            <v>Tipo</v>
          </cell>
          <cell r="D589" t="str">
            <v>Código</v>
          </cell>
        </row>
        <row r="590">
          <cell r="A590">
            <v>0</v>
          </cell>
          <cell r="B590">
            <v>0</v>
          </cell>
          <cell r="C590">
            <v>0</v>
          </cell>
          <cell r="D590">
            <v>0</v>
          </cell>
        </row>
        <row r="591">
          <cell r="A591">
            <v>0</v>
          </cell>
          <cell r="B591">
            <v>0</v>
          </cell>
          <cell r="C591">
            <v>0</v>
          </cell>
          <cell r="D591">
            <v>0</v>
          </cell>
        </row>
        <row r="592">
          <cell r="A592">
            <v>0</v>
          </cell>
          <cell r="B592">
            <v>0</v>
          </cell>
          <cell r="C592">
            <v>0</v>
          </cell>
          <cell r="D592">
            <v>0</v>
          </cell>
        </row>
        <row r="593">
          <cell r="A593" t="str">
            <v>Custo horário da execução (A + B + C)</v>
          </cell>
          <cell r="B593">
            <v>0</v>
          </cell>
          <cell r="C593">
            <v>0</v>
          </cell>
          <cell r="D593">
            <v>0</v>
          </cell>
        </row>
        <row r="594">
          <cell r="A594" t="str">
            <v xml:space="preserve"> (D) Produção da equipe</v>
          </cell>
          <cell r="B594">
            <v>0</v>
          </cell>
          <cell r="C594">
            <v>0</v>
          </cell>
          <cell r="D594">
            <v>0</v>
          </cell>
        </row>
        <row r="595">
          <cell r="A595" t="str">
            <v>(E) Custo unitário da execução (A + B + C) / D</v>
          </cell>
          <cell r="B595">
            <v>0</v>
          </cell>
          <cell r="C595">
            <v>0</v>
          </cell>
          <cell r="D595">
            <v>0</v>
          </cell>
        </row>
        <row r="596">
          <cell r="A596" t="str">
            <v>(F) Materiais</v>
          </cell>
          <cell r="B596" t="str">
            <v>Base</v>
          </cell>
          <cell r="C596" t="str">
            <v>Tipo</v>
          </cell>
          <cell r="D596" t="str">
            <v>Código</v>
          </cell>
        </row>
        <row r="597">
          <cell r="A597" t="str">
            <v>CONCRETO USINADO BOMBEAVEL, CLASSE DE RESISTENCIA C20, COM BRITA 0 E 1, SLUMP = 130 +/- 20 MM, EXCLUI SERVICO DE BOMBEAMENTO (NBR 8953)</v>
          </cell>
          <cell r="B597" t="str">
            <v>SINAPI</v>
          </cell>
          <cell r="C597" t="str">
            <v>Material</v>
          </cell>
          <cell r="D597">
            <v>38404</v>
          </cell>
        </row>
        <row r="598">
          <cell r="A598">
            <v>0</v>
          </cell>
          <cell r="B598">
            <v>0</v>
          </cell>
          <cell r="C598">
            <v>0</v>
          </cell>
          <cell r="D598">
            <v>0</v>
          </cell>
        </row>
        <row r="599">
          <cell r="A599">
            <v>0</v>
          </cell>
          <cell r="B599">
            <v>0</v>
          </cell>
          <cell r="C599">
            <v>0</v>
          </cell>
          <cell r="D599">
            <v>0</v>
          </cell>
        </row>
        <row r="600">
          <cell r="A600" t="str">
            <v>(G) Serviços</v>
          </cell>
          <cell r="B600" t="str">
            <v>Base</v>
          </cell>
          <cell r="C600" t="str">
            <v>Tipo</v>
          </cell>
          <cell r="D600" t="str">
            <v>Código</v>
          </cell>
        </row>
        <row r="601">
          <cell r="A601">
            <v>0</v>
          </cell>
          <cell r="B601">
            <v>0</v>
          </cell>
          <cell r="C601">
            <v>0</v>
          </cell>
          <cell r="D601">
            <v>0</v>
          </cell>
        </row>
        <row r="602">
          <cell r="A602">
            <v>0</v>
          </cell>
          <cell r="B602">
            <v>0</v>
          </cell>
          <cell r="C602">
            <v>0</v>
          </cell>
          <cell r="D602">
            <v>0</v>
          </cell>
        </row>
        <row r="603">
          <cell r="A603">
            <v>0</v>
          </cell>
          <cell r="B603">
            <v>0</v>
          </cell>
          <cell r="C603">
            <v>0</v>
          </cell>
          <cell r="D603">
            <v>0</v>
          </cell>
        </row>
        <row r="606">
          <cell r="A606" t="str">
            <v>CCU-039</v>
          </cell>
          <cell r="B606" t="str">
            <v xml:space="preserve">UNIDADE </v>
          </cell>
          <cell r="C606" t="str">
            <v>M³</v>
          </cell>
          <cell r="D606" t="str">
            <v>CASCALHO COMPACTADO</v>
          </cell>
        </row>
        <row r="607">
          <cell r="A607" t="str">
            <v>(A) Equipamento</v>
          </cell>
          <cell r="B607" t="str">
            <v>Base</v>
          </cell>
          <cell r="C607" t="str">
            <v>Tipo</v>
          </cell>
          <cell r="D607" t="str">
            <v>Código</v>
          </cell>
        </row>
        <row r="608">
          <cell r="A608" t="str">
            <v>CAMINHÃO IRRIGADOR 6000 L</v>
          </cell>
          <cell r="B608" t="str">
            <v>DER</v>
          </cell>
          <cell r="C608" t="str">
            <v>Equipamento</v>
          </cell>
          <cell r="D608">
            <v>346060</v>
          </cell>
        </row>
        <row r="609">
          <cell r="A609" t="str">
            <v>MOTONIVELADORA 120-K MÉDIA</v>
          </cell>
          <cell r="B609" t="str">
            <v>DER</v>
          </cell>
          <cell r="C609" t="str">
            <v>Equipamento</v>
          </cell>
          <cell r="D609">
            <v>321200</v>
          </cell>
        </row>
        <row r="610">
          <cell r="A610" t="str">
            <v>ROLO VIBRATÓRIO LISO AUTOPROP. CA 150A</v>
          </cell>
          <cell r="B610" t="str">
            <v>DER</v>
          </cell>
          <cell r="C610" t="str">
            <v>Equipamento</v>
          </cell>
          <cell r="D610">
            <v>341150</v>
          </cell>
        </row>
        <row r="611">
          <cell r="A611">
            <v>0</v>
          </cell>
          <cell r="B611">
            <v>0</v>
          </cell>
          <cell r="C611">
            <v>0</v>
          </cell>
          <cell r="D611">
            <v>0</v>
          </cell>
        </row>
        <row r="612">
          <cell r="A612" t="str">
            <v>(B) Mão de obra</v>
          </cell>
          <cell r="B612" t="str">
            <v>Base</v>
          </cell>
          <cell r="C612" t="str">
            <v>Tipo</v>
          </cell>
          <cell r="D612" t="str">
            <v>Código</v>
          </cell>
        </row>
        <row r="613">
          <cell r="A613" t="str">
            <v>APONTADOR</v>
          </cell>
          <cell r="B613" t="str">
            <v>DER</v>
          </cell>
          <cell r="C613" t="str">
            <v>Mão de obra</v>
          </cell>
          <cell r="D613">
            <v>200020</v>
          </cell>
        </row>
        <row r="614">
          <cell r="A614" t="str">
            <v>ENCARREGADO DE SERVIÇO</v>
          </cell>
          <cell r="B614" t="str">
            <v>DER</v>
          </cell>
          <cell r="C614" t="str">
            <v>Mão de obra</v>
          </cell>
          <cell r="D614">
            <v>210060</v>
          </cell>
        </row>
        <row r="615">
          <cell r="A615" t="str">
            <v>SERVENTE</v>
          </cell>
          <cell r="B615" t="str">
            <v>DER</v>
          </cell>
          <cell r="C615" t="str">
            <v>Mão de obra</v>
          </cell>
          <cell r="D615">
            <v>200130</v>
          </cell>
        </row>
        <row r="616">
          <cell r="A616">
            <v>0</v>
          </cell>
          <cell r="B616">
            <v>0</v>
          </cell>
          <cell r="C616">
            <v>0</v>
          </cell>
          <cell r="D616">
            <v>0</v>
          </cell>
        </row>
        <row r="617">
          <cell r="A617" t="str">
            <v>(C) Itens de incidência</v>
          </cell>
          <cell r="B617" t="str">
            <v>Base</v>
          </cell>
          <cell r="C617" t="str">
            <v>Tipo</v>
          </cell>
          <cell r="D617" t="str">
            <v>Código</v>
          </cell>
        </row>
        <row r="618">
          <cell r="A618" t="str">
            <v>Ferramentas manuais</v>
          </cell>
          <cell r="B618">
            <v>0</v>
          </cell>
          <cell r="C618">
            <v>0</v>
          </cell>
          <cell r="D618">
            <v>29990</v>
          </cell>
        </row>
        <row r="619">
          <cell r="A619">
            <v>0</v>
          </cell>
          <cell r="B619">
            <v>0</v>
          </cell>
          <cell r="C619">
            <v>0</v>
          </cell>
          <cell r="D619">
            <v>0</v>
          </cell>
        </row>
        <row r="620">
          <cell r="A620">
            <v>0</v>
          </cell>
          <cell r="B620">
            <v>0</v>
          </cell>
          <cell r="C620">
            <v>0</v>
          </cell>
          <cell r="D620">
            <v>0</v>
          </cell>
        </row>
        <row r="621">
          <cell r="A621" t="str">
            <v>Custo horário da execução (A + B + C)</v>
          </cell>
          <cell r="B621">
            <v>0</v>
          </cell>
          <cell r="C621">
            <v>0</v>
          </cell>
          <cell r="D621">
            <v>0</v>
          </cell>
        </row>
        <row r="622">
          <cell r="A622" t="str">
            <v xml:space="preserve"> (D) Produção da equipe</v>
          </cell>
          <cell r="B622">
            <v>0</v>
          </cell>
          <cell r="C622">
            <v>0</v>
          </cell>
          <cell r="D622">
            <v>0</v>
          </cell>
        </row>
        <row r="623">
          <cell r="A623" t="str">
            <v>(E) Custo unitário da execução (A + B + C) / D</v>
          </cell>
          <cell r="B623">
            <v>0</v>
          </cell>
          <cell r="C623">
            <v>0</v>
          </cell>
          <cell r="D623">
            <v>0</v>
          </cell>
        </row>
        <row r="624">
          <cell r="A624" t="str">
            <v>(F) Materiais</v>
          </cell>
          <cell r="B624" t="str">
            <v>Base</v>
          </cell>
          <cell r="C624" t="str">
            <v>Tipo</v>
          </cell>
          <cell r="D624" t="str">
            <v>Código</v>
          </cell>
        </row>
        <row r="625">
          <cell r="A625">
            <v>0</v>
          </cell>
          <cell r="B625">
            <v>0</v>
          </cell>
          <cell r="C625">
            <v>0</v>
          </cell>
          <cell r="D625">
            <v>0</v>
          </cell>
        </row>
        <row r="626">
          <cell r="A626">
            <v>0</v>
          </cell>
          <cell r="B626">
            <v>0</v>
          </cell>
          <cell r="C626">
            <v>0</v>
          </cell>
          <cell r="D626">
            <v>0</v>
          </cell>
        </row>
        <row r="627">
          <cell r="A627">
            <v>0</v>
          </cell>
          <cell r="B627">
            <v>0</v>
          </cell>
          <cell r="C627">
            <v>0</v>
          </cell>
          <cell r="D627">
            <v>0</v>
          </cell>
        </row>
        <row r="628">
          <cell r="A628" t="str">
            <v>(G) Serviços</v>
          </cell>
          <cell r="B628" t="str">
            <v>Base</v>
          </cell>
          <cell r="C628" t="str">
            <v>Tipo</v>
          </cell>
          <cell r="D628" t="str">
            <v>Código</v>
          </cell>
        </row>
        <row r="629">
          <cell r="A629" t="str">
            <v>Esc. carga e transp. 2a. cat.    0-200m</v>
          </cell>
          <cell r="B629" t="str">
            <v>DER</v>
          </cell>
          <cell r="C629" t="str">
            <v>Serviço</v>
          </cell>
          <cell r="D629">
            <v>420200</v>
          </cell>
        </row>
        <row r="630">
          <cell r="A630">
            <v>0</v>
          </cell>
          <cell r="B630">
            <v>0</v>
          </cell>
          <cell r="C630">
            <v>0</v>
          </cell>
          <cell r="D630">
            <v>0</v>
          </cell>
        </row>
        <row r="631">
          <cell r="A631">
            <v>0</v>
          </cell>
          <cell r="B631">
            <v>0</v>
          </cell>
          <cell r="C631">
            <v>0</v>
          </cell>
          <cell r="D631">
            <v>0</v>
          </cell>
        </row>
        <row r="634">
          <cell r="A634" t="str">
            <v>CCU-040</v>
          </cell>
          <cell r="B634" t="str">
            <v xml:space="preserve">UNIDADE </v>
          </cell>
          <cell r="C634" t="str">
            <v>M³</v>
          </cell>
          <cell r="D634" t="str">
            <v>REMOÇÃO DE PARALELEPÍPEDO EXISTENTE</v>
          </cell>
        </row>
        <row r="635">
          <cell r="A635" t="str">
            <v>(A) Equipamento</v>
          </cell>
          <cell r="B635" t="str">
            <v>Base</v>
          </cell>
          <cell r="C635" t="str">
            <v>Tipo</v>
          </cell>
          <cell r="D635" t="str">
            <v>Código</v>
          </cell>
        </row>
        <row r="636">
          <cell r="A636" t="str">
            <v>CARRINHO DE CONCRETAGEM 80 L</v>
          </cell>
          <cell r="B636" t="str">
            <v>DER</v>
          </cell>
          <cell r="C636" t="str">
            <v>Equipamento</v>
          </cell>
          <cell r="D636">
            <v>301800</v>
          </cell>
        </row>
        <row r="637">
          <cell r="A637">
            <v>0</v>
          </cell>
          <cell r="B637">
            <v>0</v>
          </cell>
          <cell r="C637">
            <v>0</v>
          </cell>
          <cell r="D637">
            <v>0</v>
          </cell>
        </row>
        <row r="638">
          <cell r="A638">
            <v>0</v>
          </cell>
          <cell r="B638">
            <v>0</v>
          </cell>
          <cell r="C638">
            <v>0</v>
          </cell>
          <cell r="D638">
            <v>0</v>
          </cell>
        </row>
        <row r="639">
          <cell r="A639" t="str">
            <v>(B) Mão de obra</v>
          </cell>
          <cell r="B639" t="str">
            <v>Base</v>
          </cell>
          <cell r="C639" t="str">
            <v>Tipo</v>
          </cell>
          <cell r="D639" t="str">
            <v>Código</v>
          </cell>
        </row>
        <row r="640">
          <cell r="A640" t="str">
            <v>SERVENTE</v>
          </cell>
          <cell r="B640" t="str">
            <v>DER</v>
          </cell>
          <cell r="C640" t="str">
            <v>Mão de obra</v>
          </cell>
          <cell r="D640">
            <v>200130</v>
          </cell>
        </row>
        <row r="641">
          <cell r="A641">
            <v>0</v>
          </cell>
          <cell r="B641">
            <v>0</v>
          </cell>
          <cell r="C641">
            <v>0</v>
          </cell>
          <cell r="D641">
            <v>0</v>
          </cell>
        </row>
        <row r="642">
          <cell r="A642">
            <v>0</v>
          </cell>
          <cell r="B642">
            <v>0</v>
          </cell>
          <cell r="C642">
            <v>0</v>
          </cell>
          <cell r="D642">
            <v>0</v>
          </cell>
        </row>
        <row r="643">
          <cell r="A643" t="str">
            <v>(C) Itens de incidência</v>
          </cell>
          <cell r="B643" t="str">
            <v>Base</v>
          </cell>
          <cell r="C643" t="str">
            <v>Tipo</v>
          </cell>
          <cell r="D643" t="str">
            <v>Código</v>
          </cell>
        </row>
        <row r="644">
          <cell r="A644">
            <v>0</v>
          </cell>
          <cell r="B644">
            <v>0</v>
          </cell>
          <cell r="C644">
            <v>0</v>
          </cell>
          <cell r="D644">
            <v>0</v>
          </cell>
        </row>
        <row r="645">
          <cell r="A645">
            <v>0</v>
          </cell>
          <cell r="B645">
            <v>0</v>
          </cell>
          <cell r="C645">
            <v>0</v>
          </cell>
          <cell r="D645">
            <v>0</v>
          </cell>
        </row>
        <row r="646">
          <cell r="A646">
            <v>0</v>
          </cell>
          <cell r="B646">
            <v>0</v>
          </cell>
          <cell r="C646">
            <v>0</v>
          </cell>
          <cell r="D646">
            <v>0</v>
          </cell>
        </row>
        <row r="647">
          <cell r="A647" t="str">
            <v>Custo horário da execução (A + B + C)</v>
          </cell>
          <cell r="B647">
            <v>0</v>
          </cell>
          <cell r="C647">
            <v>0</v>
          </cell>
          <cell r="D647">
            <v>0</v>
          </cell>
        </row>
        <row r="648">
          <cell r="A648" t="str">
            <v xml:space="preserve"> (D) Produção da equipe</v>
          </cell>
          <cell r="B648">
            <v>0</v>
          </cell>
          <cell r="C648">
            <v>0</v>
          </cell>
          <cell r="D648">
            <v>0</v>
          </cell>
        </row>
        <row r="649">
          <cell r="A649" t="str">
            <v>(E) Custo unitário da execução (A + B + C) / D</v>
          </cell>
          <cell r="B649">
            <v>0</v>
          </cell>
          <cell r="C649">
            <v>0</v>
          </cell>
          <cell r="D649">
            <v>0</v>
          </cell>
        </row>
        <row r="650">
          <cell r="A650" t="str">
            <v>(F) Materiais</v>
          </cell>
          <cell r="B650" t="str">
            <v>Base</v>
          </cell>
          <cell r="C650" t="str">
            <v>Tipo</v>
          </cell>
          <cell r="D650" t="str">
            <v>Código</v>
          </cell>
        </row>
        <row r="651">
          <cell r="A651">
            <v>0</v>
          </cell>
          <cell r="B651">
            <v>0</v>
          </cell>
          <cell r="C651">
            <v>0</v>
          </cell>
          <cell r="D651">
            <v>0</v>
          </cell>
        </row>
        <row r="652">
          <cell r="A652">
            <v>0</v>
          </cell>
          <cell r="B652">
            <v>0</v>
          </cell>
          <cell r="C652">
            <v>0</v>
          </cell>
          <cell r="D652">
            <v>0</v>
          </cell>
        </row>
        <row r="653">
          <cell r="A653">
            <v>0</v>
          </cell>
          <cell r="B653">
            <v>0</v>
          </cell>
          <cell r="C653">
            <v>0</v>
          </cell>
          <cell r="D653">
            <v>0</v>
          </cell>
        </row>
        <row r="654">
          <cell r="A654" t="str">
            <v>(G) Serviços</v>
          </cell>
          <cell r="B654" t="str">
            <v>Base</v>
          </cell>
          <cell r="C654" t="str">
            <v>Tipo</v>
          </cell>
          <cell r="D654" t="str">
            <v>Código</v>
          </cell>
        </row>
        <row r="655">
          <cell r="A655">
            <v>0</v>
          </cell>
          <cell r="B655">
            <v>0</v>
          </cell>
          <cell r="C655">
            <v>0</v>
          </cell>
          <cell r="D655">
            <v>0</v>
          </cell>
        </row>
        <row r="656">
          <cell r="A656">
            <v>0</v>
          </cell>
          <cell r="B656">
            <v>0</v>
          </cell>
          <cell r="C656">
            <v>0</v>
          </cell>
          <cell r="D656">
            <v>0</v>
          </cell>
        </row>
        <row r="657">
          <cell r="A657">
            <v>0</v>
          </cell>
          <cell r="B657">
            <v>0</v>
          </cell>
          <cell r="C657">
            <v>0</v>
          </cell>
          <cell r="D657">
            <v>0</v>
          </cell>
        </row>
        <row r="660">
          <cell r="A660" t="str">
            <v>CCU-041</v>
          </cell>
          <cell r="B660" t="str">
            <v xml:space="preserve">UNIDADE </v>
          </cell>
          <cell r="C660" t="str">
            <v>M²</v>
          </cell>
          <cell r="D660" t="str">
            <v>RECOMPOSIÇÃO DE PAVIMENTO EM PARALELEPÍPEDO, COM REAPROVEITAMENTO</v>
          </cell>
        </row>
        <row r="661">
          <cell r="A661" t="str">
            <v>(A) Equipamento</v>
          </cell>
          <cell r="B661" t="str">
            <v>Base</v>
          </cell>
          <cell r="C661" t="str">
            <v>Tipo</v>
          </cell>
          <cell r="D661" t="str">
            <v>Código</v>
          </cell>
        </row>
        <row r="662">
          <cell r="A662" t="str">
            <v>CARRINHO DE CONCRETAGEM 80 L</v>
          </cell>
          <cell r="B662" t="str">
            <v>DER</v>
          </cell>
          <cell r="C662" t="str">
            <v>Equipamento</v>
          </cell>
          <cell r="D662">
            <v>301800</v>
          </cell>
        </row>
        <row r="663">
          <cell r="A663" t="str">
            <v>ROLO TANDEM LISO 6-8 T</v>
          </cell>
          <cell r="B663" t="str">
            <v>DER</v>
          </cell>
          <cell r="C663" t="str">
            <v>Equipamento</v>
          </cell>
          <cell r="D663">
            <v>340620</v>
          </cell>
        </row>
        <row r="664">
          <cell r="A664">
            <v>0</v>
          </cell>
          <cell r="B664">
            <v>0</v>
          </cell>
          <cell r="C664">
            <v>0</v>
          </cell>
          <cell r="D664">
            <v>0</v>
          </cell>
        </row>
        <row r="665">
          <cell r="A665" t="str">
            <v>(B) Mão de obra</v>
          </cell>
          <cell r="B665" t="str">
            <v>Base</v>
          </cell>
          <cell r="C665" t="str">
            <v>Tipo</v>
          </cell>
          <cell r="D665" t="str">
            <v>Código</v>
          </cell>
        </row>
        <row r="666">
          <cell r="A666" t="str">
            <v>CALCETEIRO</v>
          </cell>
          <cell r="B666" t="str">
            <v>DER</v>
          </cell>
          <cell r="C666" t="str">
            <v>Mão de obra</v>
          </cell>
          <cell r="D666">
            <v>200110</v>
          </cell>
        </row>
        <row r="667">
          <cell r="A667" t="str">
            <v>ENCARREGADO DE SERVIÇO</v>
          </cell>
          <cell r="B667" t="str">
            <v>DER</v>
          </cell>
          <cell r="C667" t="str">
            <v>Mão de obra</v>
          </cell>
          <cell r="D667">
            <v>210060</v>
          </cell>
        </row>
        <row r="668">
          <cell r="A668" t="str">
            <v>SERVENTE</v>
          </cell>
          <cell r="B668" t="str">
            <v>DER</v>
          </cell>
          <cell r="C668" t="str">
            <v>Mão de obra</v>
          </cell>
          <cell r="D668">
            <v>200130</v>
          </cell>
        </row>
        <row r="669">
          <cell r="A669">
            <v>0</v>
          </cell>
          <cell r="B669">
            <v>0</v>
          </cell>
          <cell r="C669">
            <v>0</v>
          </cell>
          <cell r="D669">
            <v>0</v>
          </cell>
        </row>
        <row r="670">
          <cell r="A670" t="str">
            <v>(C) Itens de incidência</v>
          </cell>
          <cell r="B670" t="str">
            <v>Base</v>
          </cell>
          <cell r="C670" t="str">
            <v>Tipo</v>
          </cell>
          <cell r="D670" t="str">
            <v>Código</v>
          </cell>
        </row>
        <row r="671">
          <cell r="A671" t="str">
            <v>Ferramentas Manuais</v>
          </cell>
          <cell r="B671">
            <v>0</v>
          </cell>
          <cell r="C671">
            <v>0</v>
          </cell>
          <cell r="D671">
            <v>29990</v>
          </cell>
        </row>
        <row r="672">
          <cell r="A672">
            <v>0</v>
          </cell>
          <cell r="B672">
            <v>0</v>
          </cell>
          <cell r="C672">
            <v>0</v>
          </cell>
          <cell r="D672">
            <v>0</v>
          </cell>
        </row>
        <row r="673">
          <cell r="A673">
            <v>0</v>
          </cell>
          <cell r="B673">
            <v>0</v>
          </cell>
          <cell r="C673">
            <v>0</v>
          </cell>
          <cell r="D673">
            <v>0</v>
          </cell>
        </row>
        <row r="674">
          <cell r="A674" t="str">
            <v>Custo horário da execução (A + B + C)</v>
          </cell>
          <cell r="B674">
            <v>0</v>
          </cell>
          <cell r="C674">
            <v>0</v>
          </cell>
          <cell r="D674">
            <v>0</v>
          </cell>
        </row>
        <row r="675">
          <cell r="A675" t="str">
            <v xml:space="preserve"> (D) Produção da equipe</v>
          </cell>
          <cell r="B675">
            <v>0</v>
          </cell>
          <cell r="C675">
            <v>0</v>
          </cell>
          <cell r="D675">
            <v>0</v>
          </cell>
        </row>
        <row r="676">
          <cell r="A676" t="str">
            <v>(E) Custo unitário da execução (A + B + C) / D</v>
          </cell>
          <cell r="B676">
            <v>0</v>
          </cell>
          <cell r="C676">
            <v>0</v>
          </cell>
          <cell r="D676">
            <v>0</v>
          </cell>
        </row>
        <row r="677">
          <cell r="A677" t="str">
            <v>(F) Materiais</v>
          </cell>
          <cell r="B677" t="str">
            <v>Base</v>
          </cell>
          <cell r="C677" t="str">
            <v>Tipo</v>
          </cell>
          <cell r="D677" t="str">
            <v>Código</v>
          </cell>
        </row>
        <row r="678">
          <cell r="A678" t="str">
            <v>PÓ DE PEDRA (COMERCIAL)</v>
          </cell>
          <cell r="B678" t="str">
            <v>DER</v>
          </cell>
          <cell r="C678" t="str">
            <v>Material</v>
          </cell>
          <cell r="D678">
            <v>130080</v>
          </cell>
        </row>
        <row r="679">
          <cell r="A679">
            <v>0</v>
          </cell>
          <cell r="B679">
            <v>0</v>
          </cell>
          <cell r="C679">
            <v>0</v>
          </cell>
          <cell r="D679">
            <v>0</v>
          </cell>
        </row>
        <row r="680">
          <cell r="A680">
            <v>0</v>
          </cell>
          <cell r="B680">
            <v>0</v>
          </cell>
          <cell r="C680">
            <v>0</v>
          </cell>
          <cell r="D680">
            <v>0</v>
          </cell>
        </row>
        <row r="681">
          <cell r="A681">
            <v>0</v>
          </cell>
          <cell r="B681">
            <v>0</v>
          </cell>
          <cell r="C681">
            <v>0</v>
          </cell>
          <cell r="D681">
            <v>0</v>
          </cell>
        </row>
        <row r="682">
          <cell r="A682" t="str">
            <v>(G) Serviços</v>
          </cell>
          <cell r="B682" t="str">
            <v>Base</v>
          </cell>
          <cell r="C682" t="str">
            <v>Tipo</v>
          </cell>
          <cell r="D682" t="str">
            <v>Código</v>
          </cell>
        </row>
        <row r="683">
          <cell r="A683">
            <v>0</v>
          </cell>
          <cell r="B683">
            <v>0</v>
          </cell>
          <cell r="C683">
            <v>0</v>
          </cell>
          <cell r="D683">
            <v>0</v>
          </cell>
        </row>
        <row r="684">
          <cell r="A684">
            <v>0</v>
          </cell>
          <cell r="B684">
            <v>0</v>
          </cell>
          <cell r="C684">
            <v>0</v>
          </cell>
          <cell r="D684">
            <v>0</v>
          </cell>
        </row>
        <row r="685">
          <cell r="A685">
            <v>0</v>
          </cell>
          <cell r="B685">
            <v>0</v>
          </cell>
          <cell r="C685">
            <v>0</v>
          </cell>
          <cell r="D685">
            <v>0</v>
          </cell>
        </row>
        <row r="688">
          <cell r="A688" t="str">
            <v>CCU-042</v>
          </cell>
          <cell r="B688" t="str">
            <v xml:space="preserve">UNIDADE </v>
          </cell>
          <cell r="C688" t="str">
            <v>M²</v>
          </cell>
          <cell r="D688" t="str">
            <v>REMOÇÃO DE PLACA DE SINALIZAÇÃO INCLUSIVE SUPORTE SIMPLES</v>
          </cell>
        </row>
        <row r="689">
          <cell r="A689" t="str">
            <v>(A) Equipamento</v>
          </cell>
          <cell r="B689" t="str">
            <v>Base</v>
          </cell>
          <cell r="C689" t="str">
            <v>Tipo</v>
          </cell>
          <cell r="D689" t="str">
            <v>Código</v>
          </cell>
        </row>
        <row r="690">
          <cell r="A690" t="str">
            <v>CAMINHÃO CARROCERIA 815/37 6 T</v>
          </cell>
          <cell r="B690" t="str">
            <v>DER</v>
          </cell>
          <cell r="C690" t="str">
            <v>Equipamento</v>
          </cell>
          <cell r="D690">
            <v>346080</v>
          </cell>
        </row>
        <row r="691">
          <cell r="A691">
            <v>0</v>
          </cell>
          <cell r="B691">
            <v>0</v>
          </cell>
          <cell r="C691">
            <v>0</v>
          </cell>
          <cell r="D691">
            <v>0</v>
          </cell>
        </row>
        <row r="692">
          <cell r="A692">
            <v>0</v>
          </cell>
          <cell r="B692">
            <v>0</v>
          </cell>
          <cell r="C692">
            <v>0</v>
          </cell>
          <cell r="D692">
            <v>0</v>
          </cell>
        </row>
        <row r="693">
          <cell r="A693" t="str">
            <v>(B) Mão de obra</v>
          </cell>
          <cell r="B693" t="str">
            <v>Base</v>
          </cell>
          <cell r="C693" t="str">
            <v>Tipo</v>
          </cell>
          <cell r="D693" t="str">
            <v>Código</v>
          </cell>
        </row>
        <row r="694">
          <cell r="A694" t="str">
            <v>SERVENTE</v>
          </cell>
          <cell r="B694" t="str">
            <v>DER</v>
          </cell>
          <cell r="C694" t="str">
            <v>Mão de obra</v>
          </cell>
          <cell r="D694">
            <v>200130</v>
          </cell>
        </row>
        <row r="695">
          <cell r="A695">
            <v>0</v>
          </cell>
          <cell r="B695">
            <v>0</v>
          </cell>
          <cell r="C695">
            <v>0</v>
          </cell>
          <cell r="D695">
            <v>0</v>
          </cell>
        </row>
        <row r="696">
          <cell r="A696">
            <v>0</v>
          </cell>
          <cell r="B696">
            <v>0</v>
          </cell>
          <cell r="C696">
            <v>0</v>
          </cell>
          <cell r="D696">
            <v>0</v>
          </cell>
        </row>
        <row r="697">
          <cell r="A697" t="str">
            <v>(C) Itens de incidência</v>
          </cell>
          <cell r="B697" t="str">
            <v>Base</v>
          </cell>
          <cell r="C697" t="str">
            <v>Tipo</v>
          </cell>
          <cell r="D697" t="str">
            <v>Código</v>
          </cell>
        </row>
        <row r="698">
          <cell r="A698">
            <v>0</v>
          </cell>
          <cell r="B698">
            <v>0</v>
          </cell>
          <cell r="C698">
            <v>0</v>
          </cell>
          <cell r="D698">
            <v>0</v>
          </cell>
        </row>
        <row r="699">
          <cell r="A699">
            <v>0</v>
          </cell>
          <cell r="B699">
            <v>0</v>
          </cell>
          <cell r="C699">
            <v>0</v>
          </cell>
          <cell r="D699">
            <v>0</v>
          </cell>
        </row>
        <row r="700">
          <cell r="A700">
            <v>0</v>
          </cell>
          <cell r="B700">
            <v>0</v>
          </cell>
          <cell r="C700">
            <v>0</v>
          </cell>
          <cell r="D700">
            <v>0</v>
          </cell>
        </row>
        <row r="701">
          <cell r="A701" t="str">
            <v>Custo horário da execução (A + B + C)</v>
          </cell>
          <cell r="B701">
            <v>0</v>
          </cell>
          <cell r="C701">
            <v>0</v>
          </cell>
          <cell r="D701">
            <v>0</v>
          </cell>
        </row>
        <row r="702">
          <cell r="A702" t="str">
            <v xml:space="preserve"> (D) Produção da equipe</v>
          </cell>
          <cell r="B702">
            <v>0</v>
          </cell>
          <cell r="C702">
            <v>0</v>
          </cell>
          <cell r="D702">
            <v>0</v>
          </cell>
        </row>
        <row r="703">
          <cell r="A703" t="str">
            <v>(E) Custo unitário da execução (A + B + C) / D</v>
          </cell>
          <cell r="B703">
            <v>0</v>
          </cell>
          <cell r="C703">
            <v>0</v>
          </cell>
          <cell r="D703">
            <v>0</v>
          </cell>
        </row>
        <row r="704">
          <cell r="A704" t="str">
            <v>(F) Materiais</v>
          </cell>
          <cell r="B704" t="str">
            <v>Base</v>
          </cell>
          <cell r="C704" t="str">
            <v>Tipo</v>
          </cell>
          <cell r="D704" t="str">
            <v>Código</v>
          </cell>
        </row>
        <row r="705">
          <cell r="A705">
            <v>0</v>
          </cell>
          <cell r="B705">
            <v>0</v>
          </cell>
          <cell r="C705">
            <v>0</v>
          </cell>
          <cell r="D705">
            <v>0</v>
          </cell>
        </row>
        <row r="706">
          <cell r="A706">
            <v>0</v>
          </cell>
          <cell r="B706">
            <v>0</v>
          </cell>
          <cell r="C706">
            <v>0</v>
          </cell>
          <cell r="D706">
            <v>0</v>
          </cell>
        </row>
        <row r="707">
          <cell r="A707">
            <v>0</v>
          </cell>
          <cell r="B707">
            <v>0</v>
          </cell>
          <cell r="C707">
            <v>0</v>
          </cell>
          <cell r="D707">
            <v>0</v>
          </cell>
        </row>
        <row r="708">
          <cell r="A708" t="str">
            <v>(G) Serviços</v>
          </cell>
          <cell r="B708" t="str">
            <v>Base</v>
          </cell>
          <cell r="C708" t="str">
            <v>Tipo</v>
          </cell>
          <cell r="D708" t="str">
            <v>Código</v>
          </cell>
        </row>
        <row r="709">
          <cell r="A709">
            <v>0</v>
          </cell>
          <cell r="B709">
            <v>0</v>
          </cell>
          <cell r="C709">
            <v>0</v>
          </cell>
          <cell r="D709">
            <v>0</v>
          </cell>
        </row>
        <row r="710">
          <cell r="A710">
            <v>0</v>
          </cell>
          <cell r="B710">
            <v>0</v>
          </cell>
          <cell r="C710">
            <v>0</v>
          </cell>
          <cell r="D710">
            <v>0</v>
          </cell>
        </row>
        <row r="711">
          <cell r="A711">
            <v>0</v>
          </cell>
          <cell r="B711">
            <v>0</v>
          </cell>
          <cell r="C711">
            <v>0</v>
          </cell>
          <cell r="D711">
            <v>0</v>
          </cell>
        </row>
        <row r="714">
          <cell r="A714" t="str">
            <v>CCU-043</v>
          </cell>
          <cell r="B714" t="str">
            <v xml:space="preserve">UNIDADE </v>
          </cell>
          <cell r="C714" t="str">
            <v>M²</v>
          </cell>
          <cell r="D714" t="str">
            <v>RELOCAÇÃO DE PLACA DE SINALIZAÇÃO VERTICAL</v>
          </cell>
        </row>
        <row r="715">
          <cell r="A715" t="str">
            <v>(A) Equipamento</v>
          </cell>
          <cell r="B715" t="str">
            <v>Base</v>
          </cell>
          <cell r="C715" t="str">
            <v>Tipo</v>
          </cell>
          <cell r="D715" t="str">
            <v>Código</v>
          </cell>
        </row>
        <row r="716">
          <cell r="A716" t="str">
            <v>CAMINHÃO CARROCERIA 815/37 6 T</v>
          </cell>
          <cell r="B716" t="str">
            <v>DER</v>
          </cell>
          <cell r="C716" t="str">
            <v>Equipamento</v>
          </cell>
          <cell r="D716">
            <v>346080</v>
          </cell>
        </row>
        <row r="717">
          <cell r="A717">
            <v>0</v>
          </cell>
          <cell r="B717">
            <v>0</v>
          </cell>
          <cell r="C717">
            <v>0</v>
          </cell>
          <cell r="D717">
            <v>0</v>
          </cell>
        </row>
        <row r="718">
          <cell r="A718">
            <v>0</v>
          </cell>
          <cell r="B718">
            <v>0</v>
          </cell>
          <cell r="C718">
            <v>0</v>
          </cell>
          <cell r="D718">
            <v>0</v>
          </cell>
        </row>
        <row r="719">
          <cell r="A719" t="str">
            <v>(B) Mão de obra</v>
          </cell>
          <cell r="B719" t="str">
            <v>Base</v>
          </cell>
          <cell r="C719" t="str">
            <v>Tipo</v>
          </cell>
          <cell r="D719" t="str">
            <v>Código</v>
          </cell>
        </row>
        <row r="720">
          <cell r="A720" t="str">
            <v>SERVENTE</v>
          </cell>
          <cell r="B720" t="str">
            <v>DER</v>
          </cell>
          <cell r="C720" t="str">
            <v>Mão de obra</v>
          </cell>
          <cell r="D720">
            <v>200130</v>
          </cell>
        </row>
        <row r="721">
          <cell r="A721">
            <v>0</v>
          </cell>
          <cell r="B721">
            <v>0</v>
          </cell>
          <cell r="C721">
            <v>0</v>
          </cell>
          <cell r="D721">
            <v>0</v>
          </cell>
        </row>
        <row r="722">
          <cell r="A722">
            <v>0</v>
          </cell>
          <cell r="B722">
            <v>0</v>
          </cell>
          <cell r="C722">
            <v>0</v>
          </cell>
          <cell r="D722">
            <v>0</v>
          </cell>
        </row>
        <row r="723">
          <cell r="A723" t="str">
            <v>(C) Itens de incidência</v>
          </cell>
          <cell r="B723" t="str">
            <v>Base</v>
          </cell>
          <cell r="C723" t="str">
            <v>Tipo</v>
          </cell>
          <cell r="D723" t="str">
            <v>Código</v>
          </cell>
        </row>
        <row r="724">
          <cell r="A724">
            <v>0</v>
          </cell>
          <cell r="B724">
            <v>0</v>
          </cell>
          <cell r="C724">
            <v>0</v>
          </cell>
          <cell r="D724">
            <v>0</v>
          </cell>
        </row>
        <row r="725">
          <cell r="A725">
            <v>0</v>
          </cell>
          <cell r="B725">
            <v>0</v>
          </cell>
          <cell r="C725">
            <v>0</v>
          </cell>
          <cell r="D725">
            <v>0</v>
          </cell>
        </row>
        <row r="726">
          <cell r="A726">
            <v>0</v>
          </cell>
          <cell r="B726">
            <v>0</v>
          </cell>
          <cell r="C726">
            <v>0</v>
          </cell>
          <cell r="D726">
            <v>0</v>
          </cell>
        </row>
        <row r="727">
          <cell r="A727" t="str">
            <v>Custo horário da execução (A + B + C)</v>
          </cell>
          <cell r="B727">
            <v>0</v>
          </cell>
          <cell r="C727">
            <v>0</v>
          </cell>
          <cell r="D727">
            <v>0</v>
          </cell>
        </row>
        <row r="728">
          <cell r="A728" t="str">
            <v xml:space="preserve"> (D) Produção da equipe</v>
          </cell>
          <cell r="B728">
            <v>0</v>
          </cell>
          <cell r="C728">
            <v>0</v>
          </cell>
          <cell r="D728">
            <v>0</v>
          </cell>
        </row>
        <row r="729">
          <cell r="A729" t="str">
            <v>(E) Custo unitário da execução (A + B + C) / D</v>
          </cell>
          <cell r="B729">
            <v>0</v>
          </cell>
          <cell r="C729">
            <v>0</v>
          </cell>
          <cell r="D729">
            <v>0</v>
          </cell>
        </row>
        <row r="730">
          <cell r="A730" t="str">
            <v>(F) Materiais</v>
          </cell>
          <cell r="B730" t="str">
            <v>Base</v>
          </cell>
          <cell r="C730" t="str">
            <v>Tipo</v>
          </cell>
          <cell r="D730" t="str">
            <v>Código</v>
          </cell>
        </row>
        <row r="731">
          <cell r="A731">
            <v>0</v>
          </cell>
          <cell r="B731">
            <v>0</v>
          </cell>
          <cell r="C731">
            <v>0</v>
          </cell>
          <cell r="D731">
            <v>0</v>
          </cell>
        </row>
        <row r="732">
          <cell r="A732">
            <v>0</v>
          </cell>
          <cell r="B732">
            <v>0</v>
          </cell>
          <cell r="C732">
            <v>0</v>
          </cell>
          <cell r="D732">
            <v>0</v>
          </cell>
        </row>
        <row r="733">
          <cell r="A733">
            <v>0</v>
          </cell>
          <cell r="B733">
            <v>0</v>
          </cell>
          <cell r="C733">
            <v>0</v>
          </cell>
          <cell r="D733">
            <v>0</v>
          </cell>
        </row>
        <row r="734">
          <cell r="A734" t="str">
            <v>(G) Serviços</v>
          </cell>
          <cell r="B734" t="str">
            <v>Base</v>
          </cell>
          <cell r="C734" t="str">
            <v>Tipo</v>
          </cell>
          <cell r="D734" t="str">
            <v>Código</v>
          </cell>
        </row>
        <row r="735">
          <cell r="A735">
            <v>0</v>
          </cell>
          <cell r="B735">
            <v>0</v>
          </cell>
          <cell r="C735">
            <v>0</v>
          </cell>
          <cell r="D735">
            <v>0</v>
          </cell>
        </row>
        <row r="736">
          <cell r="A736">
            <v>0</v>
          </cell>
          <cell r="B736">
            <v>0</v>
          </cell>
          <cell r="C736">
            <v>0</v>
          </cell>
          <cell r="D736">
            <v>0</v>
          </cell>
        </row>
        <row r="737">
          <cell r="A737">
            <v>0</v>
          </cell>
          <cell r="B737">
            <v>0</v>
          </cell>
          <cell r="C737">
            <v>0</v>
          </cell>
          <cell r="D737">
            <v>0</v>
          </cell>
        </row>
        <row r="740">
          <cell r="A740" t="str">
            <v>CCU-044</v>
          </cell>
          <cell r="B740" t="str">
            <v xml:space="preserve">UNIDADE </v>
          </cell>
          <cell r="C740" t="str">
            <v>M</v>
          </cell>
          <cell r="D740" t="str">
            <v>DEFENSA METÁLICA A REMOVER</v>
          </cell>
        </row>
        <row r="741">
          <cell r="A741" t="str">
            <v>(A) Equipamento</v>
          </cell>
          <cell r="B741" t="str">
            <v>Base</v>
          </cell>
          <cell r="C741" t="str">
            <v>Tipo</v>
          </cell>
          <cell r="D741" t="str">
            <v>Código</v>
          </cell>
        </row>
        <row r="742">
          <cell r="A742" t="str">
            <v>CAMINHÃO CARROCERIA 815/37 6 T</v>
          </cell>
          <cell r="B742" t="str">
            <v>DER</v>
          </cell>
          <cell r="C742" t="str">
            <v>Equipamento</v>
          </cell>
          <cell r="D742">
            <v>346080</v>
          </cell>
        </row>
        <row r="743">
          <cell r="A743" t="str">
            <v>RETROESCAVADEIRA 580N LEVE</v>
          </cell>
          <cell r="B743" t="str">
            <v>DER</v>
          </cell>
          <cell r="C743" t="str">
            <v>Equipamento</v>
          </cell>
          <cell r="D743">
            <v>312520</v>
          </cell>
        </row>
        <row r="744">
          <cell r="A744">
            <v>0</v>
          </cell>
          <cell r="B744">
            <v>0</v>
          </cell>
          <cell r="C744">
            <v>0</v>
          </cell>
          <cell r="D744">
            <v>0</v>
          </cell>
        </row>
        <row r="745">
          <cell r="A745" t="str">
            <v>(B) Mão de obra</v>
          </cell>
          <cell r="B745" t="str">
            <v>Base</v>
          </cell>
          <cell r="C745" t="str">
            <v>Tipo</v>
          </cell>
          <cell r="D745" t="str">
            <v>Código</v>
          </cell>
        </row>
        <row r="746">
          <cell r="A746" t="str">
            <v>SERVENTE</v>
          </cell>
          <cell r="B746" t="str">
            <v>DER</v>
          </cell>
          <cell r="C746" t="str">
            <v>Mão de obra</v>
          </cell>
          <cell r="D746">
            <v>200130</v>
          </cell>
        </row>
        <row r="747">
          <cell r="A747" t="str">
            <v>OPERADOR DA LEVE</v>
          </cell>
          <cell r="B747" t="str">
            <v>DER</v>
          </cell>
          <cell r="C747" t="str">
            <v>Mão de obra</v>
          </cell>
          <cell r="D747">
            <v>200120</v>
          </cell>
        </row>
        <row r="748">
          <cell r="A748">
            <v>0</v>
          </cell>
          <cell r="B748">
            <v>0</v>
          </cell>
          <cell r="C748">
            <v>0</v>
          </cell>
          <cell r="D748">
            <v>0</v>
          </cell>
        </row>
        <row r="749">
          <cell r="A749" t="str">
            <v>(C) Itens de incidência</v>
          </cell>
          <cell r="B749" t="str">
            <v>Base</v>
          </cell>
          <cell r="C749" t="str">
            <v>Tipo</v>
          </cell>
          <cell r="D749" t="str">
            <v>Código</v>
          </cell>
        </row>
        <row r="750">
          <cell r="A750">
            <v>0</v>
          </cell>
          <cell r="B750">
            <v>0</v>
          </cell>
          <cell r="C750">
            <v>0</v>
          </cell>
          <cell r="D750">
            <v>0</v>
          </cell>
        </row>
        <row r="751">
          <cell r="A751">
            <v>0</v>
          </cell>
          <cell r="B751">
            <v>0</v>
          </cell>
          <cell r="C751">
            <v>0</v>
          </cell>
          <cell r="D751">
            <v>0</v>
          </cell>
        </row>
        <row r="752">
          <cell r="A752">
            <v>0</v>
          </cell>
          <cell r="B752">
            <v>0</v>
          </cell>
          <cell r="C752">
            <v>0</v>
          </cell>
          <cell r="D752">
            <v>0</v>
          </cell>
        </row>
        <row r="753">
          <cell r="A753" t="str">
            <v>Custo horário da execução (A + B + C)</v>
          </cell>
          <cell r="B753">
            <v>0</v>
          </cell>
          <cell r="C753">
            <v>0</v>
          </cell>
          <cell r="D753">
            <v>0</v>
          </cell>
        </row>
        <row r="754">
          <cell r="A754" t="str">
            <v xml:space="preserve"> (D) Produção da equipe</v>
          </cell>
          <cell r="B754">
            <v>0</v>
          </cell>
          <cell r="C754">
            <v>0</v>
          </cell>
          <cell r="D754">
            <v>0</v>
          </cell>
        </row>
        <row r="755">
          <cell r="A755" t="str">
            <v>(E) Custo unitário da execução (A + B + C) / D</v>
          </cell>
          <cell r="B755">
            <v>0</v>
          </cell>
          <cell r="C755">
            <v>0</v>
          </cell>
          <cell r="D755">
            <v>0</v>
          </cell>
        </row>
        <row r="756">
          <cell r="A756" t="str">
            <v>(F) Materiais</v>
          </cell>
          <cell r="B756" t="str">
            <v>Base</v>
          </cell>
          <cell r="C756" t="str">
            <v>Tipo</v>
          </cell>
          <cell r="D756" t="str">
            <v>Código</v>
          </cell>
        </row>
        <row r="757">
          <cell r="A757">
            <v>0</v>
          </cell>
          <cell r="B757">
            <v>0</v>
          </cell>
          <cell r="C757">
            <v>0</v>
          </cell>
          <cell r="D757">
            <v>0</v>
          </cell>
        </row>
        <row r="758">
          <cell r="A758">
            <v>0</v>
          </cell>
          <cell r="B758">
            <v>0</v>
          </cell>
          <cell r="C758">
            <v>0</v>
          </cell>
          <cell r="D758">
            <v>0</v>
          </cell>
        </row>
        <row r="759">
          <cell r="A759">
            <v>0</v>
          </cell>
          <cell r="B759">
            <v>0</v>
          </cell>
          <cell r="C759">
            <v>0</v>
          </cell>
          <cell r="D759">
            <v>0</v>
          </cell>
        </row>
        <row r="760">
          <cell r="A760" t="str">
            <v>(G) Serviços</v>
          </cell>
          <cell r="B760" t="str">
            <v>Base</v>
          </cell>
          <cell r="C760" t="str">
            <v>Tipo</v>
          </cell>
          <cell r="D760" t="str">
            <v>Código</v>
          </cell>
        </row>
        <row r="761">
          <cell r="A761">
            <v>0</v>
          </cell>
          <cell r="B761">
            <v>0</v>
          </cell>
          <cell r="C761">
            <v>0</v>
          </cell>
          <cell r="D761">
            <v>0</v>
          </cell>
        </row>
        <row r="762">
          <cell r="A762">
            <v>0</v>
          </cell>
          <cell r="B762">
            <v>0</v>
          </cell>
          <cell r="C762">
            <v>0</v>
          </cell>
          <cell r="D762">
            <v>0</v>
          </cell>
        </row>
        <row r="763">
          <cell r="A763">
            <v>0</v>
          </cell>
          <cell r="B763">
            <v>0</v>
          </cell>
          <cell r="C763">
            <v>0</v>
          </cell>
          <cell r="D763">
            <v>0</v>
          </cell>
        </row>
        <row r="766">
          <cell r="A766" t="str">
            <v>CCU-045</v>
          </cell>
          <cell r="B766" t="str">
            <v xml:space="preserve">UNIDADE </v>
          </cell>
          <cell r="C766" t="str">
            <v>UNID.</v>
          </cell>
          <cell r="D766" t="str">
            <v>SUPORTE DUPLO DE MADEIRA 3"X3" P/ PLACA SINALIZAÇÃO</v>
          </cell>
        </row>
        <row r="767">
          <cell r="A767" t="str">
            <v>(A) Equipamento</v>
          </cell>
          <cell r="B767" t="str">
            <v>Base</v>
          </cell>
          <cell r="C767" t="str">
            <v>Tipo</v>
          </cell>
          <cell r="D767" t="str">
            <v>Código</v>
          </cell>
        </row>
        <row r="768">
          <cell r="A768" t="str">
            <v>BETONEIRA 600 L GASOLINA</v>
          </cell>
          <cell r="B768" t="str">
            <v>DER</v>
          </cell>
          <cell r="C768" t="str">
            <v>Equipamento</v>
          </cell>
          <cell r="D768">
            <v>373200</v>
          </cell>
        </row>
        <row r="769">
          <cell r="A769" t="str">
            <v>CAMINHÃO CARROCERIA 815/37 6 T</v>
          </cell>
          <cell r="B769" t="str">
            <v>DER</v>
          </cell>
          <cell r="C769" t="str">
            <v>Equipamento</v>
          </cell>
          <cell r="D769">
            <v>346080</v>
          </cell>
        </row>
        <row r="770">
          <cell r="A770" t="str">
            <v>CARRINHO DE CONCRETAGEM 80 L</v>
          </cell>
          <cell r="B770" t="str">
            <v>DER</v>
          </cell>
          <cell r="C770" t="str">
            <v>Equipamento</v>
          </cell>
          <cell r="D770">
            <v>301800</v>
          </cell>
        </row>
        <row r="771">
          <cell r="A771">
            <v>0</v>
          </cell>
          <cell r="B771">
            <v>0</v>
          </cell>
          <cell r="C771">
            <v>0</v>
          </cell>
          <cell r="D771">
            <v>0</v>
          </cell>
        </row>
        <row r="772">
          <cell r="A772" t="str">
            <v>(B) Mão de obra</v>
          </cell>
          <cell r="B772" t="str">
            <v>Base</v>
          </cell>
          <cell r="C772" t="str">
            <v>Tipo</v>
          </cell>
          <cell r="D772" t="str">
            <v>Código</v>
          </cell>
        </row>
        <row r="773">
          <cell r="A773" t="str">
            <v>CARPINTEIRO</v>
          </cell>
          <cell r="B773" t="str">
            <v>DER</v>
          </cell>
          <cell r="C773" t="str">
            <v>Mão de obra</v>
          </cell>
          <cell r="D773">
            <v>200240</v>
          </cell>
        </row>
        <row r="774">
          <cell r="A774" t="str">
            <v>PEDREIRO</v>
          </cell>
          <cell r="B774" t="str">
            <v>DER</v>
          </cell>
          <cell r="C774" t="str">
            <v>Mão de obra</v>
          </cell>
          <cell r="D774">
            <v>200260</v>
          </cell>
        </row>
        <row r="775">
          <cell r="A775" t="str">
            <v>PINTOR</v>
          </cell>
          <cell r="B775" t="str">
            <v>DER</v>
          </cell>
          <cell r="C775" t="str">
            <v>Mão de obra</v>
          </cell>
          <cell r="D775">
            <v>200270</v>
          </cell>
        </row>
        <row r="776">
          <cell r="A776" t="str">
            <v>SERVENTE</v>
          </cell>
          <cell r="B776" t="str">
            <v>DER</v>
          </cell>
          <cell r="C776" t="str">
            <v>Mão de obra</v>
          </cell>
          <cell r="D776">
            <v>200130</v>
          </cell>
        </row>
        <row r="777">
          <cell r="A777">
            <v>0</v>
          </cell>
          <cell r="B777">
            <v>0</v>
          </cell>
          <cell r="C777">
            <v>0</v>
          </cell>
          <cell r="D777">
            <v>0</v>
          </cell>
        </row>
        <row r="778">
          <cell r="A778" t="str">
            <v>(C) Itens de incidência</v>
          </cell>
          <cell r="B778" t="str">
            <v>Base</v>
          </cell>
          <cell r="C778" t="str">
            <v>Tipo</v>
          </cell>
          <cell r="D778" t="str">
            <v>Código</v>
          </cell>
        </row>
        <row r="779">
          <cell r="A779" t="str">
            <v>Ferramentas Manuais</v>
          </cell>
          <cell r="B779">
            <v>0</v>
          </cell>
          <cell r="C779">
            <v>0</v>
          </cell>
          <cell r="D779">
            <v>29990</v>
          </cell>
        </row>
        <row r="780">
          <cell r="A780">
            <v>0</v>
          </cell>
          <cell r="B780">
            <v>0</v>
          </cell>
          <cell r="C780">
            <v>0</v>
          </cell>
          <cell r="D780">
            <v>0</v>
          </cell>
        </row>
        <row r="781">
          <cell r="A781">
            <v>0</v>
          </cell>
          <cell r="B781">
            <v>0</v>
          </cell>
          <cell r="C781">
            <v>0</v>
          </cell>
          <cell r="D781">
            <v>0</v>
          </cell>
        </row>
        <row r="782">
          <cell r="A782" t="str">
            <v>Custo horário da execução (A + B + C)</v>
          </cell>
          <cell r="B782">
            <v>0</v>
          </cell>
          <cell r="C782">
            <v>0</v>
          </cell>
          <cell r="D782">
            <v>0</v>
          </cell>
        </row>
        <row r="783">
          <cell r="A783" t="str">
            <v xml:space="preserve"> (D) Produção da equipe</v>
          </cell>
          <cell r="B783">
            <v>0</v>
          </cell>
          <cell r="C783">
            <v>0</v>
          </cell>
          <cell r="D783">
            <v>0</v>
          </cell>
        </row>
        <row r="784">
          <cell r="A784" t="str">
            <v>(E) Custo unitário da execução (A + B + C) / D</v>
          </cell>
          <cell r="B784">
            <v>0</v>
          </cell>
          <cell r="C784">
            <v>0</v>
          </cell>
          <cell r="D784">
            <v>0</v>
          </cell>
        </row>
        <row r="785">
          <cell r="A785" t="str">
            <v>(F) Materiais</v>
          </cell>
          <cell r="B785" t="str">
            <v>Base</v>
          </cell>
          <cell r="C785" t="str">
            <v>Tipo</v>
          </cell>
          <cell r="D785" t="str">
            <v>Código</v>
          </cell>
        </row>
        <row r="786">
          <cell r="A786" t="str">
            <v>AREIA</v>
          </cell>
          <cell r="B786" t="str">
            <v>DER</v>
          </cell>
          <cell r="C786" t="str">
            <v>Material</v>
          </cell>
          <cell r="D786">
            <v>139000</v>
          </cell>
        </row>
        <row r="787">
          <cell r="A787" t="str">
            <v>CIMENTO PORTLAND (SACO DE 50KG)</v>
          </cell>
          <cell r="B787" t="str">
            <v>DER</v>
          </cell>
          <cell r="C787" t="str">
            <v>Material</v>
          </cell>
          <cell r="D787">
            <v>173200</v>
          </cell>
        </row>
        <row r="788">
          <cell r="A788" t="str">
            <v>PEDRA BRITADA (COMERCIAL)</v>
          </cell>
          <cell r="B788" t="str">
            <v>DER</v>
          </cell>
          <cell r="C788" t="str">
            <v>Material</v>
          </cell>
          <cell r="D788">
            <v>130000</v>
          </cell>
        </row>
        <row r="789">
          <cell r="A789" t="str">
            <v>SUPORTE MADEIRA LEI 3"X3" PLACA SINALIZAÇÃO(3M)</v>
          </cell>
          <cell r="B789" t="str">
            <v>DER</v>
          </cell>
          <cell r="C789" t="str">
            <v>Material</v>
          </cell>
          <cell r="D789">
            <v>160330</v>
          </cell>
        </row>
        <row r="790">
          <cell r="A790" t="str">
            <v>TINTA BASE RESINA ACRÍLICA EMULS. SOLVENTE-2 ANOS</v>
          </cell>
          <cell r="B790" t="str">
            <v>DER</v>
          </cell>
          <cell r="C790" t="str">
            <v>Material</v>
          </cell>
          <cell r="D790">
            <v>100120</v>
          </cell>
        </row>
        <row r="791">
          <cell r="A791">
            <v>0</v>
          </cell>
          <cell r="B791">
            <v>0</v>
          </cell>
          <cell r="C791">
            <v>0</v>
          </cell>
          <cell r="D791">
            <v>0</v>
          </cell>
        </row>
        <row r="792">
          <cell r="A792" t="str">
            <v>(G) Serviços</v>
          </cell>
          <cell r="B792" t="str">
            <v>Base</v>
          </cell>
          <cell r="C792" t="str">
            <v>Tipo</v>
          </cell>
          <cell r="D792" t="str">
            <v>Código</v>
          </cell>
        </row>
        <row r="793">
          <cell r="A793">
            <v>0</v>
          </cell>
          <cell r="B793">
            <v>0</v>
          </cell>
          <cell r="C793">
            <v>0</v>
          </cell>
          <cell r="D793">
            <v>0</v>
          </cell>
        </row>
        <row r="794">
          <cell r="A794">
            <v>0</v>
          </cell>
          <cell r="B794">
            <v>0</v>
          </cell>
          <cell r="C794">
            <v>0</v>
          </cell>
          <cell r="D794">
            <v>0</v>
          </cell>
        </row>
        <row r="795">
          <cell r="A795">
            <v>0</v>
          </cell>
          <cell r="B795">
            <v>0</v>
          </cell>
          <cell r="C795">
            <v>0</v>
          </cell>
          <cell r="D795">
            <v>0</v>
          </cell>
        </row>
        <row r="798">
          <cell r="A798" t="str">
            <v>CCU-046</v>
          </cell>
          <cell r="B798" t="str">
            <v xml:space="preserve">UNIDADE </v>
          </cell>
          <cell r="C798" t="str">
            <v>M</v>
          </cell>
          <cell r="D798" t="str">
            <v>CERCA DE TELA COM MOURÕES DE CONCRETO PARA PASSA FAUNA</v>
          </cell>
        </row>
        <row r="799">
          <cell r="A799" t="str">
            <v>(A) Equipamento</v>
          </cell>
          <cell r="B799" t="str">
            <v>Base</v>
          </cell>
          <cell r="C799" t="str">
            <v>Tipo</v>
          </cell>
          <cell r="D799" t="str">
            <v>Código</v>
          </cell>
        </row>
        <row r="800">
          <cell r="A800" t="str">
            <v>BETONEIRA 600 L GASOLINA</v>
          </cell>
          <cell r="B800" t="str">
            <v>DER</v>
          </cell>
          <cell r="C800" t="str">
            <v>Equipamento</v>
          </cell>
          <cell r="D800">
            <v>373200</v>
          </cell>
        </row>
        <row r="801">
          <cell r="A801" t="str">
            <v>CAM. BASCUL. 1419 6M3 LEVE</v>
          </cell>
          <cell r="B801" t="str">
            <v>DER</v>
          </cell>
          <cell r="C801" t="str">
            <v>Equipamento</v>
          </cell>
          <cell r="D801">
            <v>316060</v>
          </cell>
        </row>
        <row r="802">
          <cell r="A802" t="str">
            <v>CAMINHÃO CARROCERIA 1419 14 T</v>
          </cell>
          <cell r="B802" t="str">
            <v>DER</v>
          </cell>
          <cell r="C802" t="str">
            <v>Equipamento</v>
          </cell>
          <cell r="D802">
            <v>346000</v>
          </cell>
        </row>
        <row r="803">
          <cell r="A803" t="str">
            <v>CARRINHO DE CONCRETAGEM 80 L</v>
          </cell>
          <cell r="B803" t="str">
            <v>DER</v>
          </cell>
          <cell r="C803" t="str">
            <v>Equipamento</v>
          </cell>
          <cell r="D803">
            <v>301800</v>
          </cell>
        </row>
        <row r="804">
          <cell r="A804" t="str">
            <v>GRUPO GERADOR  55 KVA</v>
          </cell>
          <cell r="B804" t="str">
            <v>DER</v>
          </cell>
          <cell r="C804" t="str">
            <v>Equipamento</v>
          </cell>
          <cell r="D804">
            <v>340610</v>
          </cell>
        </row>
        <row r="805">
          <cell r="A805" t="str">
            <v>MESA VIBRAT. COMPLETA ELÉTRICA</v>
          </cell>
          <cell r="B805" t="str">
            <v>DER</v>
          </cell>
          <cell r="C805" t="str">
            <v>Equipamento</v>
          </cell>
          <cell r="D805">
            <v>300050</v>
          </cell>
        </row>
        <row r="806">
          <cell r="A806">
            <v>0</v>
          </cell>
          <cell r="B806">
            <v>0</v>
          </cell>
          <cell r="C806">
            <v>0</v>
          </cell>
          <cell r="D806">
            <v>0</v>
          </cell>
        </row>
        <row r="807">
          <cell r="A807" t="str">
            <v>(B) Mão de obra</v>
          </cell>
          <cell r="B807" t="str">
            <v>Base</v>
          </cell>
          <cell r="C807" t="str">
            <v>Tipo</v>
          </cell>
          <cell r="D807" t="str">
            <v>Código</v>
          </cell>
        </row>
        <row r="808">
          <cell r="A808" t="str">
            <v>ENCARREGADO DE SERVIÇO</v>
          </cell>
          <cell r="B808" t="str">
            <v>DER</v>
          </cell>
          <cell r="C808" t="str">
            <v>Mão de obra</v>
          </cell>
          <cell r="D808">
            <v>210060</v>
          </cell>
        </row>
        <row r="809">
          <cell r="A809" t="str">
            <v>PEDREIRO</v>
          </cell>
          <cell r="B809" t="str">
            <v>DER</v>
          </cell>
          <cell r="C809" t="str">
            <v>Mão de obra</v>
          </cell>
          <cell r="D809">
            <v>200260</v>
          </cell>
        </row>
        <row r="810">
          <cell r="A810" t="str">
            <v>SERVENTE</v>
          </cell>
          <cell r="B810" t="str">
            <v>DER</v>
          </cell>
          <cell r="C810" t="str">
            <v>Mão de obra</v>
          </cell>
          <cell r="D810">
            <v>200130</v>
          </cell>
        </row>
        <row r="811">
          <cell r="A811">
            <v>0</v>
          </cell>
          <cell r="B811">
            <v>0</v>
          </cell>
          <cell r="C811">
            <v>0</v>
          </cell>
          <cell r="D811">
            <v>0</v>
          </cell>
        </row>
        <row r="812">
          <cell r="A812" t="str">
            <v>(C) Itens de incidência</v>
          </cell>
          <cell r="B812" t="str">
            <v>Base</v>
          </cell>
          <cell r="C812" t="str">
            <v>Tipo</v>
          </cell>
          <cell r="D812" t="str">
            <v>Código</v>
          </cell>
        </row>
        <row r="813">
          <cell r="A813" t="str">
            <v>Ferramentas manuais</v>
          </cell>
          <cell r="B813">
            <v>0</v>
          </cell>
          <cell r="C813">
            <v>0</v>
          </cell>
          <cell r="D813">
            <v>29990</v>
          </cell>
        </row>
        <row r="814">
          <cell r="A814">
            <v>0</v>
          </cell>
          <cell r="B814">
            <v>0</v>
          </cell>
          <cell r="C814">
            <v>0</v>
          </cell>
          <cell r="D814">
            <v>0</v>
          </cell>
        </row>
        <row r="815">
          <cell r="A815">
            <v>0</v>
          </cell>
          <cell r="B815">
            <v>0</v>
          </cell>
          <cell r="C815">
            <v>0</v>
          </cell>
          <cell r="D815">
            <v>0</v>
          </cell>
        </row>
        <row r="816">
          <cell r="A816" t="str">
            <v>Custo horário da execução (A + B + C)</v>
          </cell>
          <cell r="B816">
            <v>0</v>
          </cell>
          <cell r="C816">
            <v>0</v>
          </cell>
          <cell r="D816">
            <v>0</v>
          </cell>
        </row>
        <row r="817">
          <cell r="A817" t="str">
            <v xml:space="preserve"> (D) Produção da equipe</v>
          </cell>
          <cell r="B817">
            <v>0</v>
          </cell>
          <cell r="C817">
            <v>0</v>
          </cell>
          <cell r="D817">
            <v>0</v>
          </cell>
        </row>
        <row r="818">
          <cell r="A818" t="str">
            <v>(E) Custo unitário da execução (A + B + C) / D</v>
          </cell>
          <cell r="B818">
            <v>0</v>
          </cell>
          <cell r="C818">
            <v>0</v>
          </cell>
          <cell r="D818">
            <v>0</v>
          </cell>
        </row>
        <row r="819">
          <cell r="A819" t="str">
            <v>(F) Materiais</v>
          </cell>
          <cell r="B819" t="str">
            <v>Base</v>
          </cell>
          <cell r="C819" t="str">
            <v>Tipo</v>
          </cell>
          <cell r="D819" t="str">
            <v>Código</v>
          </cell>
        </row>
        <row r="820">
          <cell r="A820" t="str">
            <v>AREIA</v>
          </cell>
          <cell r="B820" t="str">
            <v>DER</v>
          </cell>
          <cell r="C820" t="str">
            <v>Material</v>
          </cell>
          <cell r="D820">
            <v>139000</v>
          </cell>
        </row>
        <row r="821">
          <cell r="A821" t="str">
            <v>CIMENTO PORTLAND (SACO DE 50KG)</v>
          </cell>
          <cell r="B821" t="str">
            <v>DER</v>
          </cell>
          <cell r="C821" t="str">
            <v>Material</v>
          </cell>
          <cell r="D821">
            <v>173200</v>
          </cell>
        </row>
        <row r="822">
          <cell r="A822" t="str">
            <v>FERRO REDONDO CA-50 10,0MM</v>
          </cell>
          <cell r="B822" t="str">
            <v>DER</v>
          </cell>
          <cell r="C822" t="str">
            <v>Material</v>
          </cell>
          <cell r="D822">
            <v>155380</v>
          </cell>
        </row>
        <row r="823">
          <cell r="A823" t="str">
            <v>PEDRA BRITADA (COMERCIAL)</v>
          </cell>
          <cell r="B823" t="str">
            <v>DER</v>
          </cell>
          <cell r="C823" t="str">
            <v>Material</v>
          </cell>
          <cell r="D823">
            <v>130000</v>
          </cell>
        </row>
        <row r="824">
          <cell r="A824" t="str">
            <v>TELA DE ARAME GALVANIZADA QUADRANGULAR / LOSANGULAR, FIO 2,11 MM (14 BWG), MALHA 5 X 5 CM, H = 2 M</v>
          </cell>
          <cell r="B824" t="str">
            <v>SINAPI</v>
          </cell>
          <cell r="C824" t="str">
            <v>Material</v>
          </cell>
          <cell r="D824">
            <v>7167</v>
          </cell>
        </row>
        <row r="825">
          <cell r="A825" t="str">
            <v>TELA DE ARAME GALVANIZADA QUADRANGULAR / LOSANGULAR, FIO 2,77 MM (12 BWG), MALHA 10 X 10 CM, H = 2 M</v>
          </cell>
          <cell r="B825" t="str">
            <v>SINAPI</v>
          </cell>
          <cell r="C825" t="str">
            <v>Material</v>
          </cell>
          <cell r="D825">
            <v>10933</v>
          </cell>
        </row>
        <row r="826">
          <cell r="A826">
            <v>0</v>
          </cell>
          <cell r="B826">
            <v>0</v>
          </cell>
          <cell r="C826">
            <v>0</v>
          </cell>
          <cell r="D826">
            <v>0</v>
          </cell>
        </row>
        <row r="827">
          <cell r="A827" t="str">
            <v>(G) Serviços</v>
          </cell>
          <cell r="B827" t="str">
            <v>Base</v>
          </cell>
          <cell r="C827" t="str">
            <v>Tipo</v>
          </cell>
          <cell r="D827" t="str">
            <v>Código</v>
          </cell>
        </row>
        <row r="828">
          <cell r="A828">
            <v>0</v>
          </cell>
          <cell r="B828">
            <v>0</v>
          </cell>
          <cell r="C828">
            <v>0</v>
          </cell>
          <cell r="D828">
            <v>0</v>
          </cell>
        </row>
        <row r="829">
          <cell r="A829">
            <v>0</v>
          </cell>
          <cell r="B829">
            <v>0</v>
          </cell>
          <cell r="C829">
            <v>0</v>
          </cell>
          <cell r="D829">
            <v>0</v>
          </cell>
        </row>
        <row r="830">
          <cell r="A830">
            <v>0</v>
          </cell>
          <cell r="B830">
            <v>0</v>
          </cell>
          <cell r="C830">
            <v>0</v>
          </cell>
          <cell r="D830">
            <v>0</v>
          </cell>
        </row>
        <row r="833">
          <cell r="A833" t="str">
            <v>CCU-047</v>
          </cell>
          <cell r="B833" t="str">
            <v xml:space="preserve">UNIDADE </v>
          </cell>
          <cell r="C833" t="str">
            <v>M</v>
          </cell>
          <cell r="D833" t="str">
            <v>CERCA DE TELA COM MOURÕES DE CONCRETO</v>
          </cell>
        </row>
        <row r="834">
          <cell r="A834" t="str">
            <v>(A) Equipamento</v>
          </cell>
          <cell r="B834" t="str">
            <v>Base</v>
          </cell>
          <cell r="C834" t="str">
            <v>Tipo</v>
          </cell>
          <cell r="D834" t="str">
            <v>Código</v>
          </cell>
        </row>
        <row r="835">
          <cell r="A835" t="str">
            <v>BETONEIRA 600 L GASOLINA</v>
          </cell>
          <cell r="B835" t="str">
            <v>DER</v>
          </cell>
          <cell r="C835" t="str">
            <v>Equipamento</v>
          </cell>
          <cell r="D835">
            <v>373200</v>
          </cell>
        </row>
        <row r="836">
          <cell r="A836" t="str">
            <v>CAM. BASCUL. 1419 6M3 LEVE</v>
          </cell>
          <cell r="B836" t="str">
            <v>DER</v>
          </cell>
          <cell r="C836" t="str">
            <v>Equipamento</v>
          </cell>
          <cell r="D836">
            <v>316060</v>
          </cell>
        </row>
        <row r="837">
          <cell r="A837" t="str">
            <v>CAMINHÃO CARROCERIA 1419 14 T</v>
          </cell>
          <cell r="B837" t="str">
            <v>DER</v>
          </cell>
          <cell r="C837" t="str">
            <v>Equipamento</v>
          </cell>
          <cell r="D837">
            <v>346000</v>
          </cell>
        </row>
        <row r="838">
          <cell r="A838" t="str">
            <v>CARRINHO DE CONCRETAGEM 80 L</v>
          </cell>
          <cell r="B838" t="str">
            <v>DER</v>
          </cell>
          <cell r="C838" t="str">
            <v>Equipamento</v>
          </cell>
          <cell r="D838">
            <v>301800</v>
          </cell>
        </row>
        <row r="839">
          <cell r="A839" t="str">
            <v>GRUPO GERADOR  55 KVA</v>
          </cell>
          <cell r="B839" t="str">
            <v>DER</v>
          </cell>
          <cell r="C839" t="str">
            <v>Equipamento</v>
          </cell>
          <cell r="D839">
            <v>340610</v>
          </cell>
        </row>
        <row r="840">
          <cell r="A840" t="str">
            <v>MESA VIBRAT. COMPLETA ELÉTRICA</v>
          </cell>
          <cell r="B840" t="str">
            <v>DER</v>
          </cell>
          <cell r="C840" t="str">
            <v>Equipamento</v>
          </cell>
          <cell r="D840">
            <v>300050</v>
          </cell>
        </row>
        <row r="841">
          <cell r="A841">
            <v>0</v>
          </cell>
          <cell r="B841">
            <v>0</v>
          </cell>
          <cell r="C841">
            <v>0</v>
          </cell>
          <cell r="D841">
            <v>0</v>
          </cell>
        </row>
        <row r="842">
          <cell r="A842" t="str">
            <v>(B) Mão de obra</v>
          </cell>
          <cell r="B842" t="str">
            <v>Base</v>
          </cell>
          <cell r="C842" t="str">
            <v>Tipo</v>
          </cell>
          <cell r="D842" t="str">
            <v>Código</v>
          </cell>
        </row>
        <row r="843">
          <cell r="A843" t="str">
            <v>ENCARREGADO DE SERVIÇO</v>
          </cell>
          <cell r="B843" t="str">
            <v>DER</v>
          </cell>
          <cell r="C843" t="str">
            <v>Mão de obra</v>
          </cell>
          <cell r="D843">
            <v>210060</v>
          </cell>
        </row>
        <row r="844">
          <cell r="A844" t="str">
            <v>PEDREIRO</v>
          </cell>
          <cell r="B844" t="str">
            <v>DER</v>
          </cell>
          <cell r="C844" t="str">
            <v>Mão de obra</v>
          </cell>
          <cell r="D844">
            <v>200260</v>
          </cell>
        </row>
        <row r="845">
          <cell r="A845" t="str">
            <v>SERVENTE</v>
          </cell>
          <cell r="B845" t="str">
            <v>DER</v>
          </cell>
          <cell r="C845" t="str">
            <v>Mão de obra</v>
          </cell>
          <cell r="D845">
            <v>200130</v>
          </cell>
        </row>
        <row r="846">
          <cell r="A846">
            <v>0</v>
          </cell>
          <cell r="B846">
            <v>0</v>
          </cell>
          <cell r="C846">
            <v>0</v>
          </cell>
          <cell r="D846">
            <v>0</v>
          </cell>
        </row>
        <row r="847">
          <cell r="A847" t="str">
            <v>(C) Itens de incidência</v>
          </cell>
          <cell r="B847" t="str">
            <v>Base</v>
          </cell>
          <cell r="C847" t="str">
            <v>Tipo</v>
          </cell>
          <cell r="D847" t="str">
            <v>Código</v>
          </cell>
        </row>
        <row r="848">
          <cell r="A848" t="str">
            <v>Ferramentas manuais</v>
          </cell>
          <cell r="B848">
            <v>0</v>
          </cell>
          <cell r="C848">
            <v>0</v>
          </cell>
          <cell r="D848">
            <v>29990</v>
          </cell>
        </row>
        <row r="849">
          <cell r="A849">
            <v>0</v>
          </cell>
          <cell r="B849">
            <v>0</v>
          </cell>
          <cell r="C849">
            <v>0</v>
          </cell>
          <cell r="D849">
            <v>0</v>
          </cell>
        </row>
        <row r="850">
          <cell r="A850">
            <v>0</v>
          </cell>
          <cell r="B850">
            <v>0</v>
          </cell>
          <cell r="C850">
            <v>0</v>
          </cell>
          <cell r="D850">
            <v>0</v>
          </cell>
        </row>
        <row r="851">
          <cell r="A851" t="str">
            <v>Custo horário da execução (A + B + C)</v>
          </cell>
          <cell r="B851">
            <v>0</v>
          </cell>
          <cell r="C851">
            <v>0</v>
          </cell>
          <cell r="D851">
            <v>0</v>
          </cell>
        </row>
        <row r="852">
          <cell r="A852" t="str">
            <v xml:space="preserve"> (D) Produção da equipe</v>
          </cell>
          <cell r="B852">
            <v>0</v>
          </cell>
          <cell r="C852">
            <v>0</v>
          </cell>
          <cell r="D852">
            <v>0</v>
          </cell>
        </row>
        <row r="853">
          <cell r="A853" t="str">
            <v>(E) Custo unitário da execução (A + B + C) / D</v>
          </cell>
          <cell r="B853">
            <v>0</v>
          </cell>
          <cell r="C853">
            <v>0</v>
          </cell>
          <cell r="D853">
            <v>0</v>
          </cell>
        </row>
        <row r="854">
          <cell r="A854" t="str">
            <v>(F) Materiais</v>
          </cell>
          <cell r="B854" t="str">
            <v>Base</v>
          </cell>
          <cell r="C854" t="str">
            <v>Tipo</v>
          </cell>
          <cell r="D854" t="str">
            <v>Código</v>
          </cell>
        </row>
        <row r="855">
          <cell r="A855" t="str">
            <v>AREIA</v>
          </cell>
          <cell r="B855" t="str">
            <v>DER</v>
          </cell>
          <cell r="C855" t="str">
            <v>Material</v>
          </cell>
          <cell r="D855">
            <v>139000</v>
          </cell>
        </row>
        <row r="856">
          <cell r="A856" t="str">
            <v>CIMENTO PORTLAND (SACO DE 50KG)</v>
          </cell>
          <cell r="B856" t="str">
            <v>DER</v>
          </cell>
          <cell r="C856" t="str">
            <v>Material</v>
          </cell>
          <cell r="D856">
            <v>173200</v>
          </cell>
        </row>
        <row r="857">
          <cell r="A857" t="str">
            <v>FERRO REDONDO CA-50 10,0MM</v>
          </cell>
          <cell r="B857" t="str">
            <v>DER</v>
          </cell>
          <cell r="C857" t="str">
            <v>Material</v>
          </cell>
          <cell r="D857">
            <v>155380</v>
          </cell>
        </row>
        <row r="858">
          <cell r="A858" t="str">
            <v>PEDRA BRITADA (COMERCIAL)</v>
          </cell>
          <cell r="B858" t="str">
            <v>DER</v>
          </cell>
          <cell r="C858" t="str">
            <v>Material</v>
          </cell>
          <cell r="D858">
            <v>130000</v>
          </cell>
        </row>
        <row r="859">
          <cell r="A859" t="str">
            <v>TELA DE ARAME GALVANIZADA QUADRANGULAR / LOSANGULAR, FIO 2,77 MM (12 BWG), MALHA 10 X 10 CM, H = 2 M</v>
          </cell>
          <cell r="B859" t="str">
            <v>SINAPI</v>
          </cell>
          <cell r="C859" t="str">
            <v>Material</v>
          </cell>
          <cell r="D859">
            <v>10933</v>
          </cell>
        </row>
        <row r="860">
          <cell r="A860">
            <v>0</v>
          </cell>
          <cell r="B860">
            <v>0</v>
          </cell>
          <cell r="C860">
            <v>0</v>
          </cell>
          <cell r="D860">
            <v>0</v>
          </cell>
        </row>
        <row r="861">
          <cell r="A861" t="str">
            <v>(G) Serviços</v>
          </cell>
          <cell r="B861" t="str">
            <v>Base</v>
          </cell>
          <cell r="C861" t="str">
            <v>Tipo</v>
          </cell>
          <cell r="D861" t="str">
            <v>Código</v>
          </cell>
        </row>
        <row r="862">
          <cell r="A862">
            <v>0</v>
          </cell>
          <cell r="B862">
            <v>0</v>
          </cell>
          <cell r="C862">
            <v>0</v>
          </cell>
          <cell r="D862">
            <v>0</v>
          </cell>
        </row>
        <row r="863">
          <cell r="A863">
            <v>0</v>
          </cell>
          <cell r="B863">
            <v>0</v>
          </cell>
          <cell r="C863">
            <v>0</v>
          </cell>
          <cell r="D863">
            <v>0</v>
          </cell>
        </row>
        <row r="864">
          <cell r="A864">
            <v>0</v>
          </cell>
          <cell r="B864">
            <v>0</v>
          </cell>
          <cell r="C864">
            <v>0</v>
          </cell>
          <cell r="D864">
            <v>0</v>
          </cell>
        </row>
        <row r="867">
          <cell r="A867" t="str">
            <v>CCU-048</v>
          </cell>
          <cell r="B867" t="str">
            <v xml:space="preserve">UNIDADE </v>
          </cell>
          <cell r="C867" t="str">
            <v>M²</v>
          </cell>
          <cell r="D867" t="str">
            <v>CALÇADA COM LASTRO DE BRITA E ACABAMENTO EM CONCRETO</v>
          </cell>
        </row>
        <row r="868">
          <cell r="A868" t="str">
            <v>(A) Equipamento</v>
          </cell>
          <cell r="B868" t="str">
            <v>Base</v>
          </cell>
          <cell r="C868" t="str">
            <v>Tipo</v>
          </cell>
          <cell r="D868" t="str">
            <v>Código</v>
          </cell>
        </row>
        <row r="869">
          <cell r="A869">
            <v>0</v>
          </cell>
          <cell r="B869">
            <v>0</v>
          </cell>
          <cell r="C869">
            <v>0</v>
          </cell>
          <cell r="D869">
            <v>0</v>
          </cell>
        </row>
        <row r="870">
          <cell r="A870">
            <v>0</v>
          </cell>
          <cell r="B870">
            <v>0</v>
          </cell>
          <cell r="C870">
            <v>0</v>
          </cell>
          <cell r="D870">
            <v>0</v>
          </cell>
        </row>
        <row r="871">
          <cell r="A871">
            <v>0</v>
          </cell>
          <cell r="B871">
            <v>0</v>
          </cell>
          <cell r="C871">
            <v>0</v>
          </cell>
          <cell r="D871">
            <v>0</v>
          </cell>
        </row>
        <row r="872">
          <cell r="A872" t="str">
            <v>(B) Mão de obra</v>
          </cell>
          <cell r="B872" t="str">
            <v>Base</v>
          </cell>
          <cell r="C872" t="str">
            <v>Tipo</v>
          </cell>
          <cell r="D872" t="str">
            <v>Código</v>
          </cell>
        </row>
        <row r="873">
          <cell r="A873">
            <v>0</v>
          </cell>
          <cell r="B873">
            <v>0</v>
          </cell>
          <cell r="C873">
            <v>0</v>
          </cell>
          <cell r="D873">
            <v>0</v>
          </cell>
        </row>
        <row r="874">
          <cell r="A874">
            <v>0</v>
          </cell>
          <cell r="B874">
            <v>0</v>
          </cell>
          <cell r="C874">
            <v>0</v>
          </cell>
          <cell r="D874">
            <v>0</v>
          </cell>
        </row>
        <row r="875">
          <cell r="A875">
            <v>0</v>
          </cell>
          <cell r="B875">
            <v>0</v>
          </cell>
          <cell r="C875">
            <v>0</v>
          </cell>
          <cell r="D875">
            <v>0</v>
          </cell>
        </row>
        <row r="876">
          <cell r="A876" t="str">
            <v>(C) Itens de incidência</v>
          </cell>
          <cell r="B876" t="str">
            <v>Base</v>
          </cell>
          <cell r="C876" t="str">
            <v>Tipo</v>
          </cell>
          <cell r="D876" t="str">
            <v>Código</v>
          </cell>
        </row>
        <row r="877">
          <cell r="A877">
            <v>0</v>
          </cell>
          <cell r="B877">
            <v>0</v>
          </cell>
          <cell r="C877">
            <v>0</v>
          </cell>
          <cell r="D877">
            <v>0</v>
          </cell>
        </row>
        <row r="878">
          <cell r="A878">
            <v>0</v>
          </cell>
          <cell r="B878">
            <v>0</v>
          </cell>
          <cell r="C878">
            <v>0</v>
          </cell>
          <cell r="D878">
            <v>0</v>
          </cell>
        </row>
        <row r="879">
          <cell r="A879">
            <v>0</v>
          </cell>
          <cell r="B879">
            <v>0</v>
          </cell>
          <cell r="C879">
            <v>0</v>
          </cell>
          <cell r="D879">
            <v>0</v>
          </cell>
        </row>
        <row r="880">
          <cell r="A880" t="str">
            <v>Custo horário da execução (A + B + C)</v>
          </cell>
          <cell r="B880">
            <v>0</v>
          </cell>
          <cell r="C880">
            <v>0</v>
          </cell>
          <cell r="D880">
            <v>0</v>
          </cell>
        </row>
        <row r="881">
          <cell r="A881" t="str">
            <v xml:space="preserve"> (D) Produção da equipe</v>
          </cell>
          <cell r="B881">
            <v>0</v>
          </cell>
          <cell r="C881">
            <v>0</v>
          </cell>
          <cell r="D881">
            <v>0</v>
          </cell>
        </row>
        <row r="882">
          <cell r="A882" t="str">
            <v>(E) Custo unitário da execução (A + B + C) / D</v>
          </cell>
          <cell r="B882">
            <v>0</v>
          </cell>
          <cell r="C882">
            <v>0</v>
          </cell>
          <cell r="D882">
            <v>0</v>
          </cell>
        </row>
        <row r="883">
          <cell r="A883" t="str">
            <v>(F) Materiais</v>
          </cell>
          <cell r="B883" t="str">
            <v>Base</v>
          </cell>
          <cell r="C883" t="str">
            <v>Tipo</v>
          </cell>
          <cell r="D883" t="str">
            <v>Código</v>
          </cell>
        </row>
        <row r="884">
          <cell r="A884">
            <v>0</v>
          </cell>
          <cell r="B884">
            <v>0</v>
          </cell>
          <cell r="C884">
            <v>0</v>
          </cell>
          <cell r="D884">
            <v>0</v>
          </cell>
        </row>
        <row r="885">
          <cell r="A885">
            <v>0</v>
          </cell>
          <cell r="B885">
            <v>0</v>
          </cell>
          <cell r="C885">
            <v>0</v>
          </cell>
          <cell r="D885">
            <v>0</v>
          </cell>
        </row>
        <row r="886">
          <cell r="A886">
            <v>0</v>
          </cell>
          <cell r="B886">
            <v>0</v>
          </cell>
          <cell r="C886">
            <v>0</v>
          </cell>
          <cell r="D886">
            <v>0</v>
          </cell>
        </row>
        <row r="887">
          <cell r="A887" t="str">
            <v>(G) Serviços</v>
          </cell>
          <cell r="B887" t="str">
            <v>Base</v>
          </cell>
          <cell r="C887" t="str">
            <v>Tipo</v>
          </cell>
          <cell r="D887" t="str">
            <v>Código</v>
          </cell>
        </row>
        <row r="888">
          <cell r="A888" t="str">
            <v>Lastro de brita</v>
          </cell>
          <cell r="B888" t="str">
            <v>DER</v>
          </cell>
          <cell r="C888" t="str">
            <v>Serviço</v>
          </cell>
          <cell r="D888">
            <v>603900</v>
          </cell>
        </row>
        <row r="889">
          <cell r="A889" t="str">
            <v>Concreto Fck = 20 MPa, preparo em betoneira e lanç.</v>
          </cell>
          <cell r="B889" t="str">
            <v>DER</v>
          </cell>
          <cell r="C889" t="str">
            <v>Serviço</v>
          </cell>
          <cell r="D889">
            <v>605500</v>
          </cell>
        </row>
        <row r="890">
          <cell r="A890">
            <v>0</v>
          </cell>
          <cell r="B890">
            <v>0</v>
          </cell>
          <cell r="C890">
            <v>0</v>
          </cell>
          <cell r="D890">
            <v>0</v>
          </cell>
        </row>
        <row r="893">
          <cell r="A893" t="str">
            <v>CCU-049</v>
          </cell>
          <cell r="B893" t="str">
            <v xml:space="preserve">UNIDADE </v>
          </cell>
          <cell r="C893" t="str">
            <v>M</v>
          </cell>
          <cell r="D893" t="str">
            <v>RECOMPOSIÇÃO DE MURO DE ALVENARIA, REBOCADO COM FUNDAÇÃO EM CONCRETO ARMADO E PINGADEIRA (H=2,00M SENDO 1,70M DE ALVENARIA E 0,30M DE VIGA BALDRAME)</v>
          </cell>
        </row>
        <row r="894">
          <cell r="A894" t="str">
            <v>(A) Equipamento</v>
          </cell>
          <cell r="B894" t="str">
            <v>Base</v>
          </cell>
          <cell r="C894" t="str">
            <v>Tipo</v>
          </cell>
          <cell r="D894" t="str">
            <v>Código</v>
          </cell>
        </row>
        <row r="895">
          <cell r="A895">
            <v>0</v>
          </cell>
          <cell r="B895">
            <v>0</v>
          </cell>
          <cell r="C895">
            <v>0</v>
          </cell>
          <cell r="D895">
            <v>0</v>
          </cell>
        </row>
        <row r="896">
          <cell r="A896">
            <v>0</v>
          </cell>
          <cell r="B896">
            <v>0</v>
          </cell>
          <cell r="C896">
            <v>0</v>
          </cell>
          <cell r="D896">
            <v>0</v>
          </cell>
        </row>
        <row r="897">
          <cell r="A897">
            <v>0</v>
          </cell>
          <cell r="B897">
            <v>0</v>
          </cell>
          <cell r="C897">
            <v>0</v>
          </cell>
          <cell r="D897">
            <v>0</v>
          </cell>
        </row>
        <row r="898">
          <cell r="A898" t="str">
            <v>(B) Mão de obra</v>
          </cell>
          <cell r="B898" t="str">
            <v>Base</v>
          </cell>
          <cell r="C898" t="str">
            <v>Tipo</v>
          </cell>
          <cell r="D898" t="str">
            <v>Código</v>
          </cell>
        </row>
        <row r="899">
          <cell r="A899">
            <v>0</v>
          </cell>
          <cell r="B899">
            <v>0</v>
          </cell>
          <cell r="C899">
            <v>0</v>
          </cell>
          <cell r="D899">
            <v>0</v>
          </cell>
        </row>
        <row r="900">
          <cell r="A900">
            <v>0</v>
          </cell>
          <cell r="B900">
            <v>0</v>
          </cell>
          <cell r="C900">
            <v>0</v>
          </cell>
          <cell r="D900">
            <v>0</v>
          </cell>
        </row>
        <row r="901">
          <cell r="A901">
            <v>0</v>
          </cell>
          <cell r="B901">
            <v>0</v>
          </cell>
          <cell r="C901">
            <v>0</v>
          </cell>
          <cell r="D901">
            <v>0</v>
          </cell>
        </row>
        <row r="902">
          <cell r="A902" t="str">
            <v>(C) Itens de incidência</v>
          </cell>
          <cell r="B902" t="str">
            <v>Base</v>
          </cell>
          <cell r="C902" t="str">
            <v>Tipo</v>
          </cell>
          <cell r="D902" t="str">
            <v>Código</v>
          </cell>
        </row>
        <row r="903">
          <cell r="A903">
            <v>0</v>
          </cell>
          <cell r="B903">
            <v>0</v>
          </cell>
          <cell r="C903">
            <v>0</v>
          </cell>
          <cell r="D903">
            <v>0</v>
          </cell>
        </row>
        <row r="904">
          <cell r="A904">
            <v>0</v>
          </cell>
          <cell r="B904">
            <v>0</v>
          </cell>
          <cell r="C904">
            <v>0</v>
          </cell>
          <cell r="D904">
            <v>0</v>
          </cell>
        </row>
        <row r="905">
          <cell r="A905">
            <v>0</v>
          </cell>
          <cell r="B905">
            <v>0</v>
          </cell>
          <cell r="C905">
            <v>0</v>
          </cell>
          <cell r="D905">
            <v>0</v>
          </cell>
        </row>
        <row r="906">
          <cell r="A906" t="str">
            <v>Custo horário da execução (A + B + C)</v>
          </cell>
          <cell r="B906">
            <v>0</v>
          </cell>
          <cell r="C906">
            <v>0</v>
          </cell>
          <cell r="D906">
            <v>0</v>
          </cell>
        </row>
        <row r="907">
          <cell r="A907" t="str">
            <v xml:space="preserve"> (D) Produção da equipe</v>
          </cell>
          <cell r="B907">
            <v>0</v>
          </cell>
          <cell r="C907">
            <v>0</v>
          </cell>
          <cell r="D907">
            <v>0</v>
          </cell>
        </row>
        <row r="908">
          <cell r="A908" t="str">
            <v>(E) Custo unitário da execução (A + B + C) / D</v>
          </cell>
          <cell r="B908">
            <v>0</v>
          </cell>
          <cell r="C908">
            <v>0</v>
          </cell>
          <cell r="D908">
            <v>0</v>
          </cell>
        </row>
        <row r="909">
          <cell r="A909" t="str">
            <v>(F) Materiais</v>
          </cell>
          <cell r="B909" t="str">
            <v>Base</v>
          </cell>
          <cell r="C909" t="str">
            <v>Tipo</v>
          </cell>
          <cell r="D909" t="str">
            <v>Código</v>
          </cell>
        </row>
        <row r="910">
          <cell r="A910">
            <v>0</v>
          </cell>
          <cell r="B910">
            <v>0</v>
          </cell>
          <cell r="C910">
            <v>0</v>
          </cell>
          <cell r="D910">
            <v>0</v>
          </cell>
        </row>
        <row r="911">
          <cell r="A911">
            <v>0</v>
          </cell>
          <cell r="B911">
            <v>0</v>
          </cell>
          <cell r="C911">
            <v>0</v>
          </cell>
          <cell r="D911">
            <v>0</v>
          </cell>
        </row>
        <row r="912">
          <cell r="A912">
            <v>0</v>
          </cell>
          <cell r="B912">
            <v>0</v>
          </cell>
          <cell r="C912">
            <v>0</v>
          </cell>
          <cell r="D912">
            <v>0</v>
          </cell>
        </row>
        <row r="913">
          <cell r="A913" t="str">
            <v>(G) Serviços</v>
          </cell>
          <cell r="B913" t="str">
            <v>Base</v>
          </cell>
          <cell r="C913" t="str">
            <v>Tipo</v>
          </cell>
          <cell r="D913" t="str">
            <v>Código</v>
          </cell>
        </row>
        <row r="914">
          <cell r="A914" t="str">
            <v>Formas de madeira compensada  resinada</v>
          </cell>
          <cell r="B914" t="str">
            <v>DER</v>
          </cell>
          <cell r="C914" t="str">
            <v>Serviço</v>
          </cell>
          <cell r="D914">
            <v>602100</v>
          </cell>
        </row>
        <row r="915">
          <cell r="A915" t="str">
            <v>Concreto Fck = 20 MPa, preparo em betoneira e lanç.</v>
          </cell>
          <cell r="B915" t="str">
            <v>DER</v>
          </cell>
          <cell r="C915" t="str">
            <v>Serviço</v>
          </cell>
          <cell r="D915">
            <v>605500</v>
          </cell>
        </row>
        <row r="916">
          <cell r="A916" t="str">
            <v>Aço CA-50 fornec. dobr. colocação</v>
          </cell>
          <cell r="B916" t="str">
            <v>DER</v>
          </cell>
          <cell r="C916" t="str">
            <v>Serviço</v>
          </cell>
          <cell r="D916">
            <v>603000</v>
          </cell>
        </row>
        <row r="917">
          <cell r="A917" t="str">
            <v>Alvenaria de tijolos cerâmicos de 6 furos (14x9x19cm) com esp.=14cm</v>
          </cell>
          <cell r="B917" t="str">
            <v>AMEP</v>
          </cell>
          <cell r="C917" t="str">
            <v>Composição complementar</v>
          </cell>
          <cell r="D917" t="str">
            <v>CCUC-002</v>
          </cell>
        </row>
        <row r="918">
          <cell r="A918" t="str">
            <v>Argamassa cimento e areia 1:3</v>
          </cell>
          <cell r="B918" t="str">
            <v>DER</v>
          </cell>
          <cell r="C918" t="str">
            <v>Serviço</v>
          </cell>
          <cell r="D918">
            <v>604000</v>
          </cell>
        </row>
        <row r="919">
          <cell r="A919" t="str">
            <v>Argamassa traço 1:2:8 para emboço/reboco com preparo mecânico</v>
          </cell>
          <cell r="B919" t="str">
            <v>AMEP</v>
          </cell>
          <cell r="C919" t="str">
            <v>Serviço</v>
          </cell>
          <cell r="D919" t="str">
            <v>CCUC-003</v>
          </cell>
        </row>
        <row r="920">
          <cell r="A920">
            <v>0</v>
          </cell>
          <cell r="B920">
            <v>0</v>
          </cell>
          <cell r="C920">
            <v>0</v>
          </cell>
          <cell r="D920">
            <v>0</v>
          </cell>
        </row>
        <row r="923">
          <cell r="A923" t="str">
            <v>CCU-050</v>
          </cell>
          <cell r="B923" t="str">
            <v xml:space="preserve">UNIDADE </v>
          </cell>
          <cell r="C923" t="str">
            <v>M</v>
          </cell>
          <cell r="D923" t="str">
            <v>REMANEJAMENTO DE REDE DE ÁGUA</v>
          </cell>
        </row>
        <row r="924">
          <cell r="A924" t="str">
            <v>(A) Equipamento</v>
          </cell>
          <cell r="B924" t="str">
            <v>Base</v>
          </cell>
          <cell r="C924" t="str">
            <v>Tipo</v>
          </cell>
          <cell r="D924" t="str">
            <v>Código</v>
          </cell>
        </row>
        <row r="925">
          <cell r="A925">
            <v>0</v>
          </cell>
          <cell r="B925">
            <v>0</v>
          </cell>
          <cell r="C925">
            <v>0</v>
          </cell>
          <cell r="D925">
            <v>0</v>
          </cell>
        </row>
        <row r="926">
          <cell r="A926">
            <v>0</v>
          </cell>
          <cell r="B926">
            <v>0</v>
          </cell>
          <cell r="C926">
            <v>0</v>
          </cell>
          <cell r="D926">
            <v>0</v>
          </cell>
        </row>
        <row r="927">
          <cell r="A927">
            <v>0</v>
          </cell>
          <cell r="B927">
            <v>0</v>
          </cell>
          <cell r="C927">
            <v>0</v>
          </cell>
          <cell r="D927">
            <v>0</v>
          </cell>
        </row>
        <row r="928">
          <cell r="A928" t="str">
            <v>(B) Mão de obra</v>
          </cell>
          <cell r="B928" t="str">
            <v>Base</v>
          </cell>
          <cell r="C928" t="str">
            <v>Tipo</v>
          </cell>
          <cell r="D928" t="str">
            <v>Código</v>
          </cell>
        </row>
        <row r="929">
          <cell r="A929" t="str">
            <v>ENCARREGADO DE SERVIÇO</v>
          </cell>
          <cell r="B929" t="str">
            <v>DER</v>
          </cell>
          <cell r="C929" t="str">
            <v>Mão de obra</v>
          </cell>
          <cell r="D929">
            <v>210060</v>
          </cell>
        </row>
        <row r="930">
          <cell r="A930" t="str">
            <v>PEDREIRO</v>
          </cell>
          <cell r="B930" t="str">
            <v>DER</v>
          </cell>
          <cell r="C930" t="str">
            <v>Mão de obra</v>
          </cell>
          <cell r="D930">
            <v>200260</v>
          </cell>
        </row>
        <row r="931">
          <cell r="A931" t="str">
            <v>SERVENTE</v>
          </cell>
          <cell r="B931" t="str">
            <v>DER</v>
          </cell>
          <cell r="C931" t="str">
            <v>Mão de obra</v>
          </cell>
          <cell r="D931">
            <v>200130</v>
          </cell>
        </row>
        <row r="932">
          <cell r="A932">
            <v>0</v>
          </cell>
          <cell r="B932">
            <v>0</v>
          </cell>
          <cell r="C932">
            <v>0</v>
          </cell>
          <cell r="D932">
            <v>0</v>
          </cell>
        </row>
        <row r="933">
          <cell r="A933" t="str">
            <v>(C) Itens de incidência</v>
          </cell>
          <cell r="B933" t="str">
            <v>Base</v>
          </cell>
          <cell r="C933" t="str">
            <v>Tipo</v>
          </cell>
          <cell r="D933" t="str">
            <v>Código</v>
          </cell>
        </row>
        <row r="934">
          <cell r="A934">
            <v>0</v>
          </cell>
          <cell r="B934">
            <v>0</v>
          </cell>
          <cell r="C934">
            <v>0</v>
          </cell>
          <cell r="D934">
            <v>0</v>
          </cell>
        </row>
        <row r="935">
          <cell r="A935">
            <v>0</v>
          </cell>
          <cell r="B935">
            <v>0</v>
          </cell>
          <cell r="C935">
            <v>0</v>
          </cell>
          <cell r="D935">
            <v>0</v>
          </cell>
        </row>
        <row r="936">
          <cell r="A936">
            <v>0</v>
          </cell>
          <cell r="B936">
            <v>0</v>
          </cell>
          <cell r="C936">
            <v>0</v>
          </cell>
          <cell r="D936">
            <v>0</v>
          </cell>
        </row>
        <row r="937">
          <cell r="A937" t="str">
            <v>Custo horário da execução (A + B + C)</v>
          </cell>
          <cell r="B937">
            <v>0</v>
          </cell>
          <cell r="C937">
            <v>0</v>
          </cell>
          <cell r="D937">
            <v>0</v>
          </cell>
        </row>
        <row r="938">
          <cell r="A938" t="str">
            <v xml:space="preserve"> (D) Produção da equipe</v>
          </cell>
          <cell r="B938">
            <v>0</v>
          </cell>
          <cell r="C938">
            <v>0</v>
          </cell>
          <cell r="D938">
            <v>0</v>
          </cell>
        </row>
        <row r="939">
          <cell r="A939" t="str">
            <v>(E) Custo unitário da execução (A + B + C) / D</v>
          </cell>
          <cell r="B939">
            <v>0</v>
          </cell>
          <cell r="C939">
            <v>0</v>
          </cell>
          <cell r="D939">
            <v>0</v>
          </cell>
        </row>
        <row r="940">
          <cell r="A940" t="str">
            <v>(F) Materiais</v>
          </cell>
          <cell r="B940" t="str">
            <v>Base</v>
          </cell>
          <cell r="C940" t="str">
            <v>Tipo</v>
          </cell>
          <cell r="D940" t="str">
            <v>Código</v>
          </cell>
        </row>
        <row r="941">
          <cell r="A941" t="str">
            <v>Fita de sinalização subterrânea</v>
          </cell>
          <cell r="B941" t="str">
            <v>ORSE</v>
          </cell>
          <cell r="C941" t="str">
            <v>Material</v>
          </cell>
          <cell r="D941">
            <v>12387</v>
          </cell>
        </row>
        <row r="942">
          <cell r="A942">
            <v>0</v>
          </cell>
          <cell r="B942">
            <v>0</v>
          </cell>
          <cell r="C942">
            <v>0</v>
          </cell>
          <cell r="D942">
            <v>0</v>
          </cell>
        </row>
        <row r="943">
          <cell r="A943">
            <v>0</v>
          </cell>
          <cell r="B943">
            <v>0</v>
          </cell>
          <cell r="C943">
            <v>0</v>
          </cell>
          <cell r="D943">
            <v>0</v>
          </cell>
        </row>
        <row r="944">
          <cell r="A944" t="str">
            <v>(G) Serviços</v>
          </cell>
          <cell r="B944" t="str">
            <v>Base</v>
          </cell>
          <cell r="C944" t="str">
            <v>Tipo</v>
          </cell>
          <cell r="D944" t="str">
            <v>Código</v>
          </cell>
        </row>
        <row r="945">
          <cell r="A945" t="str">
            <v>Apiloamento manual</v>
          </cell>
          <cell r="B945" t="str">
            <v>DER</v>
          </cell>
          <cell r="C945" t="str">
            <v>Serviço</v>
          </cell>
          <cell r="D945">
            <v>601100</v>
          </cell>
        </row>
        <row r="946">
          <cell r="A946" t="str">
            <v>Escavação manual de vala 1a. cat.</v>
          </cell>
          <cell r="B946" t="str">
            <v>DER</v>
          </cell>
          <cell r="C946" t="str">
            <v>Serviço</v>
          </cell>
          <cell r="D946">
            <v>600000</v>
          </cell>
        </row>
        <row r="947">
          <cell r="A947" t="str">
            <v>Colchão drenante de areia para fundação de aterros</v>
          </cell>
          <cell r="B947" t="str">
            <v>DER</v>
          </cell>
          <cell r="C947" t="str">
            <v>Serviço</v>
          </cell>
          <cell r="D947">
            <v>400500</v>
          </cell>
        </row>
        <row r="948">
          <cell r="A948">
            <v>0</v>
          </cell>
          <cell r="B948">
            <v>0</v>
          </cell>
          <cell r="C948">
            <v>0</v>
          </cell>
          <cell r="D948">
            <v>0</v>
          </cell>
        </row>
        <row r="951">
          <cell r="A951" t="str">
            <v>CCU-051</v>
          </cell>
          <cell r="B951" t="str">
            <v xml:space="preserve">UNIDADE </v>
          </cell>
          <cell r="C951" t="str">
            <v>UND</v>
          </cell>
          <cell r="D951" t="str">
            <v>PROLONGAMENTO DA CAIXA DA ADUTORA</v>
          </cell>
        </row>
        <row r="952">
          <cell r="A952" t="str">
            <v>(A) Equipamento</v>
          </cell>
          <cell r="B952" t="str">
            <v>Base</v>
          </cell>
          <cell r="C952" t="str">
            <v>Tipo</v>
          </cell>
          <cell r="D952" t="str">
            <v>Código</v>
          </cell>
        </row>
        <row r="953">
          <cell r="A953">
            <v>0</v>
          </cell>
          <cell r="B953">
            <v>0</v>
          </cell>
          <cell r="C953">
            <v>0</v>
          </cell>
          <cell r="D953">
            <v>0</v>
          </cell>
        </row>
        <row r="954">
          <cell r="A954">
            <v>0</v>
          </cell>
          <cell r="B954">
            <v>0</v>
          </cell>
          <cell r="C954">
            <v>0</v>
          </cell>
          <cell r="D954">
            <v>0</v>
          </cell>
        </row>
        <row r="955">
          <cell r="A955">
            <v>0</v>
          </cell>
          <cell r="B955">
            <v>0</v>
          </cell>
          <cell r="C955">
            <v>0</v>
          </cell>
          <cell r="D955">
            <v>0</v>
          </cell>
        </row>
        <row r="956">
          <cell r="A956" t="str">
            <v>(B) Mão de obra</v>
          </cell>
          <cell r="B956" t="str">
            <v>Base</v>
          </cell>
          <cell r="C956" t="str">
            <v>Tipo</v>
          </cell>
          <cell r="D956" t="str">
            <v>Código</v>
          </cell>
        </row>
        <row r="957">
          <cell r="A957">
            <v>0</v>
          </cell>
          <cell r="B957">
            <v>0</v>
          </cell>
          <cell r="C957">
            <v>0</v>
          </cell>
          <cell r="D957">
            <v>0</v>
          </cell>
        </row>
        <row r="958">
          <cell r="A958">
            <v>0</v>
          </cell>
          <cell r="B958">
            <v>0</v>
          </cell>
          <cell r="C958">
            <v>0</v>
          </cell>
          <cell r="D958">
            <v>0</v>
          </cell>
        </row>
        <row r="959">
          <cell r="A959">
            <v>0</v>
          </cell>
          <cell r="B959">
            <v>0</v>
          </cell>
          <cell r="C959">
            <v>0</v>
          </cell>
          <cell r="D959">
            <v>0</v>
          </cell>
        </row>
        <row r="960">
          <cell r="A960" t="str">
            <v>(C) Itens de incidência</v>
          </cell>
          <cell r="B960" t="str">
            <v>Base</v>
          </cell>
          <cell r="C960" t="str">
            <v>Tipo</v>
          </cell>
          <cell r="D960" t="str">
            <v>Código</v>
          </cell>
        </row>
        <row r="961">
          <cell r="A961">
            <v>0</v>
          </cell>
          <cell r="B961">
            <v>0</v>
          </cell>
          <cell r="C961">
            <v>0</v>
          </cell>
          <cell r="D961">
            <v>0</v>
          </cell>
        </row>
        <row r="962">
          <cell r="A962">
            <v>0</v>
          </cell>
          <cell r="B962">
            <v>0</v>
          </cell>
          <cell r="C962">
            <v>0</v>
          </cell>
          <cell r="D962">
            <v>0</v>
          </cell>
        </row>
        <row r="963">
          <cell r="A963">
            <v>0</v>
          </cell>
          <cell r="B963">
            <v>0</v>
          </cell>
          <cell r="C963">
            <v>0</v>
          </cell>
          <cell r="D963">
            <v>0</v>
          </cell>
        </row>
        <row r="964">
          <cell r="A964" t="str">
            <v>Custo horário da execução (A + B + C)</v>
          </cell>
          <cell r="B964">
            <v>0</v>
          </cell>
          <cell r="C964">
            <v>0</v>
          </cell>
          <cell r="D964">
            <v>0</v>
          </cell>
        </row>
        <row r="965">
          <cell r="A965" t="str">
            <v xml:space="preserve"> (D) Produção da equipe</v>
          </cell>
          <cell r="B965">
            <v>0</v>
          </cell>
          <cell r="C965">
            <v>0</v>
          </cell>
          <cell r="D965">
            <v>0</v>
          </cell>
        </row>
        <row r="966">
          <cell r="A966" t="str">
            <v>(E) Custo unitário da execução (A + B + C) / D</v>
          </cell>
          <cell r="B966">
            <v>0</v>
          </cell>
          <cell r="C966">
            <v>0</v>
          </cell>
          <cell r="D966">
            <v>0</v>
          </cell>
        </row>
        <row r="967">
          <cell r="A967" t="str">
            <v>(F) Materiais</v>
          </cell>
          <cell r="B967" t="str">
            <v>Base</v>
          </cell>
          <cell r="C967" t="str">
            <v>Tipo</v>
          </cell>
          <cell r="D967" t="str">
            <v>Código</v>
          </cell>
        </row>
        <row r="968">
          <cell r="A968">
            <v>0</v>
          </cell>
          <cell r="B968">
            <v>0</v>
          </cell>
          <cell r="C968">
            <v>0</v>
          </cell>
          <cell r="D968">
            <v>0</v>
          </cell>
        </row>
        <row r="969">
          <cell r="A969">
            <v>0</v>
          </cell>
          <cell r="B969">
            <v>0</v>
          </cell>
          <cell r="C969">
            <v>0</v>
          </cell>
          <cell r="D969">
            <v>0</v>
          </cell>
        </row>
        <row r="970">
          <cell r="A970">
            <v>0</v>
          </cell>
          <cell r="B970">
            <v>0</v>
          </cell>
          <cell r="C970">
            <v>0</v>
          </cell>
          <cell r="D970">
            <v>0</v>
          </cell>
        </row>
        <row r="971">
          <cell r="A971" t="str">
            <v>(G) Serviços</v>
          </cell>
          <cell r="B971" t="str">
            <v>Base</v>
          </cell>
          <cell r="C971" t="str">
            <v>Tipo</v>
          </cell>
          <cell r="D971" t="str">
            <v>Código</v>
          </cell>
        </row>
        <row r="972">
          <cell r="A972" t="str">
            <v>Formas de madeira compensada  resinada</v>
          </cell>
          <cell r="B972" t="str">
            <v>DER</v>
          </cell>
          <cell r="C972" t="str">
            <v>Serviço</v>
          </cell>
          <cell r="D972">
            <v>602100</v>
          </cell>
        </row>
        <row r="973">
          <cell r="A973" t="str">
            <v>Concreto Fck = 20 MPa, preparo em betoneira e lanç.</v>
          </cell>
          <cell r="B973" t="str">
            <v>DER</v>
          </cell>
          <cell r="C973" t="str">
            <v>Serviço</v>
          </cell>
          <cell r="D973">
            <v>605500</v>
          </cell>
        </row>
        <row r="974">
          <cell r="A974" t="str">
            <v>Corpo de BSTC 0,60m sem berço</v>
          </cell>
          <cell r="B974" t="str">
            <v>DER</v>
          </cell>
          <cell r="C974" t="str">
            <v>Serviço</v>
          </cell>
          <cell r="D974">
            <v>610600</v>
          </cell>
        </row>
        <row r="975">
          <cell r="A975">
            <v>0</v>
          </cell>
          <cell r="B975">
            <v>0</v>
          </cell>
          <cell r="C975">
            <v>0</v>
          </cell>
          <cell r="D975">
            <v>0</v>
          </cell>
        </row>
        <row r="978">
          <cell r="A978" t="str">
            <v>CCU-052</v>
          </cell>
          <cell r="B978" t="str">
            <v xml:space="preserve">UNIDADE </v>
          </cell>
          <cell r="C978" t="str">
            <v>M</v>
          </cell>
          <cell r="D978" t="str">
            <v>REMOÇÃO E RECOLOCAÇÃO DE PORTÕES</v>
          </cell>
        </row>
        <row r="979">
          <cell r="A979" t="str">
            <v>(A) Equipamento</v>
          </cell>
          <cell r="B979" t="str">
            <v>Base</v>
          </cell>
          <cell r="C979" t="str">
            <v>Tipo</v>
          </cell>
          <cell r="D979" t="str">
            <v>Código</v>
          </cell>
        </row>
        <row r="980">
          <cell r="A980">
            <v>0</v>
          </cell>
          <cell r="B980">
            <v>0</v>
          </cell>
          <cell r="C980">
            <v>0</v>
          </cell>
          <cell r="D980">
            <v>0</v>
          </cell>
        </row>
        <row r="981">
          <cell r="A981">
            <v>0</v>
          </cell>
          <cell r="B981">
            <v>0</v>
          </cell>
          <cell r="C981">
            <v>0</v>
          </cell>
          <cell r="D981">
            <v>0</v>
          </cell>
        </row>
        <row r="982">
          <cell r="A982">
            <v>0</v>
          </cell>
          <cell r="B982">
            <v>0</v>
          </cell>
          <cell r="C982">
            <v>0</v>
          </cell>
          <cell r="D982">
            <v>0</v>
          </cell>
        </row>
        <row r="983">
          <cell r="A983" t="str">
            <v>(B) Mão de obra</v>
          </cell>
          <cell r="B983" t="str">
            <v>Base</v>
          </cell>
          <cell r="C983" t="str">
            <v>Tipo</v>
          </cell>
          <cell r="D983" t="str">
            <v>Código</v>
          </cell>
        </row>
        <row r="984">
          <cell r="A984" t="str">
            <v>ENCARREGADO DE SERVIÇO</v>
          </cell>
          <cell r="B984" t="str">
            <v>DER</v>
          </cell>
          <cell r="C984" t="str">
            <v>Mão de obra</v>
          </cell>
          <cell r="D984">
            <v>210060</v>
          </cell>
        </row>
        <row r="985">
          <cell r="A985" t="str">
            <v>Servente</v>
          </cell>
          <cell r="B985">
            <v>0</v>
          </cell>
          <cell r="C985">
            <v>0</v>
          </cell>
          <cell r="D985">
            <v>200130</v>
          </cell>
        </row>
        <row r="986">
          <cell r="A986">
            <v>0</v>
          </cell>
          <cell r="B986">
            <v>0</v>
          </cell>
          <cell r="C986">
            <v>0</v>
          </cell>
          <cell r="D986">
            <v>0</v>
          </cell>
        </row>
        <row r="987">
          <cell r="A987" t="str">
            <v>(C) Itens de incidência</v>
          </cell>
          <cell r="B987" t="str">
            <v>Base</v>
          </cell>
          <cell r="C987" t="str">
            <v>Tipo</v>
          </cell>
          <cell r="D987" t="str">
            <v>Código</v>
          </cell>
        </row>
        <row r="988">
          <cell r="A988" t="str">
            <v>Ferramentas Manuais</v>
          </cell>
          <cell r="B988">
            <v>0</v>
          </cell>
          <cell r="C988">
            <v>0</v>
          </cell>
          <cell r="D988">
            <v>29990</v>
          </cell>
        </row>
        <row r="989">
          <cell r="A989">
            <v>0</v>
          </cell>
          <cell r="B989">
            <v>0</v>
          </cell>
          <cell r="C989">
            <v>0</v>
          </cell>
          <cell r="D989">
            <v>0</v>
          </cell>
        </row>
        <row r="990">
          <cell r="A990">
            <v>0</v>
          </cell>
          <cell r="B990">
            <v>0</v>
          </cell>
          <cell r="C990">
            <v>0</v>
          </cell>
          <cell r="D990">
            <v>0</v>
          </cell>
        </row>
        <row r="991">
          <cell r="A991" t="str">
            <v>Custo horário da execução (A + B + C)</v>
          </cell>
          <cell r="B991">
            <v>0</v>
          </cell>
          <cell r="C991">
            <v>0</v>
          </cell>
          <cell r="D991">
            <v>0</v>
          </cell>
        </row>
        <row r="992">
          <cell r="A992" t="str">
            <v xml:space="preserve"> (D) Produção da equipe</v>
          </cell>
          <cell r="B992">
            <v>0</v>
          </cell>
          <cell r="C992">
            <v>0</v>
          </cell>
          <cell r="D992">
            <v>0</v>
          </cell>
        </row>
        <row r="993">
          <cell r="A993" t="str">
            <v>(E) Custo unitário da execução (A + B + C) / D</v>
          </cell>
          <cell r="B993">
            <v>0</v>
          </cell>
          <cell r="C993">
            <v>0</v>
          </cell>
          <cell r="D993">
            <v>0</v>
          </cell>
        </row>
        <row r="994">
          <cell r="A994" t="str">
            <v>(F) Materiais</v>
          </cell>
          <cell r="B994" t="str">
            <v>Base</v>
          </cell>
          <cell r="C994" t="str">
            <v>Tipo</v>
          </cell>
          <cell r="D994" t="str">
            <v>Código</v>
          </cell>
        </row>
        <row r="995">
          <cell r="A995">
            <v>0</v>
          </cell>
          <cell r="B995">
            <v>0</v>
          </cell>
          <cell r="C995">
            <v>0</v>
          </cell>
          <cell r="D995">
            <v>0</v>
          </cell>
        </row>
        <row r="996">
          <cell r="A996">
            <v>0</v>
          </cell>
          <cell r="B996">
            <v>0</v>
          </cell>
          <cell r="C996">
            <v>0</v>
          </cell>
          <cell r="D996">
            <v>0</v>
          </cell>
        </row>
        <row r="997">
          <cell r="A997">
            <v>0</v>
          </cell>
          <cell r="B997">
            <v>0</v>
          </cell>
          <cell r="C997">
            <v>0</v>
          </cell>
          <cell r="D997">
            <v>0</v>
          </cell>
        </row>
        <row r="998">
          <cell r="A998" t="str">
            <v>(G) Serviços</v>
          </cell>
          <cell r="B998" t="str">
            <v>Base</v>
          </cell>
          <cell r="C998" t="str">
            <v>Tipo</v>
          </cell>
          <cell r="D998" t="str">
            <v>Código</v>
          </cell>
        </row>
        <row r="999">
          <cell r="A999">
            <v>0</v>
          </cell>
          <cell r="B999">
            <v>0</v>
          </cell>
          <cell r="C999">
            <v>0</v>
          </cell>
          <cell r="D999">
            <v>0</v>
          </cell>
        </row>
        <row r="1000">
          <cell r="A1000">
            <v>0</v>
          </cell>
          <cell r="B1000">
            <v>0</v>
          </cell>
          <cell r="C1000">
            <v>0</v>
          </cell>
          <cell r="D1000">
            <v>0</v>
          </cell>
        </row>
        <row r="1001">
          <cell r="A1001">
            <v>0</v>
          </cell>
          <cell r="B1001">
            <v>0</v>
          </cell>
          <cell r="C1001">
            <v>0</v>
          </cell>
          <cell r="D1001">
            <v>0</v>
          </cell>
        </row>
        <row r="1004">
          <cell r="A1004" t="str">
            <v>CCU-053</v>
          </cell>
          <cell r="B1004" t="str">
            <v xml:space="preserve">UNIDADE </v>
          </cell>
          <cell r="C1004" t="str">
            <v>M³</v>
          </cell>
          <cell r="D1004" t="str">
            <v>CARGA E TRANSPORTE DE ENTULHOS - 15.000M</v>
          </cell>
        </row>
        <row r="1005">
          <cell r="A1005" t="str">
            <v>(A) Equipamento</v>
          </cell>
          <cell r="B1005" t="str">
            <v>Base</v>
          </cell>
          <cell r="C1005" t="str">
            <v>Tipo</v>
          </cell>
          <cell r="D1005" t="str">
            <v>Código</v>
          </cell>
        </row>
        <row r="1006">
          <cell r="A1006" t="str">
            <v>CAM. CAÇAMBA MINÉRIO 10M3 SEVERA</v>
          </cell>
          <cell r="B1006" t="str">
            <v>DER</v>
          </cell>
          <cell r="C1006" t="str">
            <v>Equipamento</v>
          </cell>
          <cell r="D1006">
            <v>336090</v>
          </cell>
        </row>
        <row r="1007">
          <cell r="A1007" t="str">
            <v>CARREG. FRONTAL PNEUS 924-K LEVE</v>
          </cell>
          <cell r="B1007" t="str">
            <v>DER</v>
          </cell>
          <cell r="C1007" t="str">
            <v>Equipamento</v>
          </cell>
          <cell r="D1007">
            <v>319300</v>
          </cell>
        </row>
        <row r="1008">
          <cell r="A1008">
            <v>0</v>
          </cell>
          <cell r="B1008">
            <v>0</v>
          </cell>
          <cell r="C1008">
            <v>0</v>
          </cell>
          <cell r="D1008">
            <v>0</v>
          </cell>
        </row>
        <row r="1009">
          <cell r="A1009" t="str">
            <v>(B) Mão de obra</v>
          </cell>
          <cell r="B1009" t="str">
            <v>Base</v>
          </cell>
          <cell r="C1009" t="str">
            <v>Tipo</v>
          </cell>
          <cell r="D1009" t="str">
            <v>Código</v>
          </cell>
        </row>
        <row r="1010">
          <cell r="A1010" t="str">
            <v>ENCARREGADO DE SERVIÇO</v>
          </cell>
          <cell r="B1010" t="str">
            <v>DER</v>
          </cell>
          <cell r="C1010" t="str">
            <v>Mão de obra</v>
          </cell>
          <cell r="D1010">
            <v>210060</v>
          </cell>
        </row>
        <row r="1011">
          <cell r="A1011">
            <v>0</v>
          </cell>
          <cell r="B1011">
            <v>0</v>
          </cell>
          <cell r="C1011">
            <v>0</v>
          </cell>
          <cell r="D1011">
            <v>0</v>
          </cell>
        </row>
        <row r="1012">
          <cell r="A1012">
            <v>0</v>
          </cell>
          <cell r="B1012">
            <v>0</v>
          </cell>
          <cell r="C1012">
            <v>0</v>
          </cell>
          <cell r="D1012">
            <v>0</v>
          </cell>
        </row>
        <row r="1013">
          <cell r="A1013" t="str">
            <v>(C) Itens de incidência</v>
          </cell>
          <cell r="B1013" t="str">
            <v>Base</v>
          </cell>
          <cell r="C1013" t="str">
            <v>Tipo</v>
          </cell>
          <cell r="D1013" t="str">
            <v>Código</v>
          </cell>
        </row>
        <row r="1014">
          <cell r="A1014">
            <v>0</v>
          </cell>
          <cell r="B1014">
            <v>0</v>
          </cell>
          <cell r="C1014">
            <v>0</v>
          </cell>
          <cell r="D1014">
            <v>0</v>
          </cell>
        </row>
        <row r="1015">
          <cell r="A1015">
            <v>0</v>
          </cell>
          <cell r="B1015">
            <v>0</v>
          </cell>
          <cell r="C1015">
            <v>0</v>
          </cell>
          <cell r="D1015">
            <v>0</v>
          </cell>
        </row>
        <row r="1016">
          <cell r="A1016">
            <v>0</v>
          </cell>
          <cell r="B1016">
            <v>0</v>
          </cell>
          <cell r="C1016">
            <v>0</v>
          </cell>
          <cell r="D1016">
            <v>0</v>
          </cell>
        </row>
        <row r="1017">
          <cell r="A1017" t="str">
            <v>Custo horário da execução (A + B + C)</v>
          </cell>
          <cell r="B1017">
            <v>0</v>
          </cell>
          <cell r="C1017">
            <v>0</v>
          </cell>
          <cell r="D1017">
            <v>0</v>
          </cell>
        </row>
        <row r="1018">
          <cell r="A1018" t="str">
            <v xml:space="preserve"> (D) Produção da equipe</v>
          </cell>
          <cell r="B1018">
            <v>0</v>
          </cell>
          <cell r="C1018">
            <v>0</v>
          </cell>
          <cell r="D1018">
            <v>0</v>
          </cell>
        </row>
        <row r="1019">
          <cell r="A1019" t="str">
            <v>(E) Custo unitário da execução (A + B + C) / D</v>
          </cell>
          <cell r="B1019">
            <v>0</v>
          </cell>
          <cell r="C1019">
            <v>0</v>
          </cell>
          <cell r="D1019">
            <v>0</v>
          </cell>
        </row>
        <row r="1020">
          <cell r="A1020" t="str">
            <v>(F) Materiais</v>
          </cell>
          <cell r="B1020" t="str">
            <v>Base</v>
          </cell>
          <cell r="C1020" t="str">
            <v>Tipo</v>
          </cell>
          <cell r="D1020" t="str">
            <v>Código</v>
          </cell>
        </row>
        <row r="1021">
          <cell r="A1021">
            <v>0</v>
          </cell>
          <cell r="B1021">
            <v>0</v>
          </cell>
          <cell r="C1021">
            <v>0</v>
          </cell>
          <cell r="D1021">
            <v>0</v>
          </cell>
        </row>
        <row r="1022">
          <cell r="A1022">
            <v>0</v>
          </cell>
          <cell r="B1022">
            <v>0</v>
          </cell>
          <cell r="C1022">
            <v>0</v>
          </cell>
          <cell r="D1022">
            <v>0</v>
          </cell>
        </row>
        <row r="1023">
          <cell r="A1023">
            <v>0</v>
          </cell>
          <cell r="B1023">
            <v>0</v>
          </cell>
          <cell r="C1023">
            <v>0</v>
          </cell>
          <cell r="D1023">
            <v>0</v>
          </cell>
        </row>
        <row r="1024">
          <cell r="A1024" t="str">
            <v>(G) Serviços</v>
          </cell>
          <cell r="B1024" t="str">
            <v>Base</v>
          </cell>
          <cell r="C1024" t="str">
            <v>Tipo</v>
          </cell>
          <cell r="D1024" t="str">
            <v>Código</v>
          </cell>
        </row>
        <row r="1025">
          <cell r="A1025">
            <v>0</v>
          </cell>
          <cell r="B1025">
            <v>0</v>
          </cell>
          <cell r="C1025">
            <v>0</v>
          </cell>
          <cell r="D1025">
            <v>0</v>
          </cell>
        </row>
        <row r="1026">
          <cell r="A1026">
            <v>0</v>
          </cell>
          <cell r="B1026">
            <v>0</v>
          </cell>
          <cell r="C1026">
            <v>0</v>
          </cell>
          <cell r="D1026">
            <v>0</v>
          </cell>
        </row>
        <row r="1027">
          <cell r="A1027">
            <v>0</v>
          </cell>
          <cell r="B1027">
            <v>0</v>
          </cell>
          <cell r="C1027">
            <v>0</v>
          </cell>
          <cell r="D1027">
            <v>0</v>
          </cell>
        </row>
        <row r="1030">
          <cell r="A1030" t="str">
            <v>CCU-054</v>
          </cell>
          <cell r="B1030" t="str">
            <v xml:space="preserve">UNIDADE </v>
          </cell>
          <cell r="C1030" t="str">
            <v>M³</v>
          </cell>
          <cell r="D1030" t="str">
            <v>REATERRO DE BORDO DE PAVIMENTO</v>
          </cell>
        </row>
        <row r="1031">
          <cell r="A1031" t="str">
            <v>(A) Equipamento</v>
          </cell>
          <cell r="B1031" t="str">
            <v>Base</v>
          </cell>
          <cell r="C1031" t="str">
            <v>Tipo</v>
          </cell>
          <cell r="D1031" t="str">
            <v>Código</v>
          </cell>
        </row>
        <row r="1032">
          <cell r="A1032" t="str">
            <v>COMPACTADOR MANUAL SOLOS GASOLINA</v>
          </cell>
          <cell r="B1032" t="str">
            <v>DER</v>
          </cell>
          <cell r="C1032" t="str">
            <v>Equipamento</v>
          </cell>
          <cell r="D1032">
            <v>340200</v>
          </cell>
        </row>
        <row r="1033">
          <cell r="A1033">
            <v>0</v>
          </cell>
          <cell r="B1033">
            <v>0</v>
          </cell>
          <cell r="C1033">
            <v>0</v>
          </cell>
          <cell r="D1033">
            <v>0</v>
          </cell>
        </row>
        <row r="1034">
          <cell r="A1034">
            <v>0</v>
          </cell>
          <cell r="B1034">
            <v>0</v>
          </cell>
          <cell r="C1034">
            <v>0</v>
          </cell>
          <cell r="D1034">
            <v>0</v>
          </cell>
        </row>
        <row r="1035">
          <cell r="A1035" t="str">
            <v>(B) Mão de obra</v>
          </cell>
          <cell r="B1035" t="str">
            <v>Base</v>
          </cell>
          <cell r="C1035" t="str">
            <v>Tipo</v>
          </cell>
          <cell r="D1035" t="str">
            <v>Código</v>
          </cell>
        </row>
        <row r="1036">
          <cell r="A1036" t="str">
            <v>APONTADOR</v>
          </cell>
          <cell r="B1036" t="str">
            <v>DER</v>
          </cell>
          <cell r="C1036" t="str">
            <v>Mão de obra</v>
          </cell>
          <cell r="D1036">
            <v>200020</v>
          </cell>
        </row>
        <row r="1037">
          <cell r="A1037" t="str">
            <v>ENCARREGADO DE SERVIÇO</v>
          </cell>
          <cell r="B1037" t="str">
            <v>DER</v>
          </cell>
          <cell r="C1037" t="str">
            <v>Mão de obra</v>
          </cell>
          <cell r="D1037">
            <v>210060</v>
          </cell>
        </row>
        <row r="1038">
          <cell r="A1038" t="str">
            <v>SERVENTE</v>
          </cell>
          <cell r="B1038" t="str">
            <v>DER</v>
          </cell>
          <cell r="C1038" t="str">
            <v>Mão de obra</v>
          </cell>
          <cell r="D1038">
            <v>200130</v>
          </cell>
        </row>
        <row r="1039">
          <cell r="A1039">
            <v>0</v>
          </cell>
          <cell r="B1039">
            <v>0</v>
          </cell>
          <cell r="C1039">
            <v>0</v>
          </cell>
          <cell r="D1039">
            <v>0</v>
          </cell>
        </row>
        <row r="1040">
          <cell r="A1040" t="str">
            <v>(C) Itens de incidência</v>
          </cell>
          <cell r="B1040" t="str">
            <v>Base</v>
          </cell>
          <cell r="C1040" t="str">
            <v>Tipo</v>
          </cell>
          <cell r="D1040" t="str">
            <v>Código</v>
          </cell>
        </row>
        <row r="1041">
          <cell r="A1041" t="str">
            <v>Ferramentas manuais</v>
          </cell>
          <cell r="B1041">
            <v>0</v>
          </cell>
          <cell r="C1041">
            <v>0</v>
          </cell>
          <cell r="D1041">
            <v>29990</v>
          </cell>
        </row>
        <row r="1042">
          <cell r="A1042">
            <v>0</v>
          </cell>
          <cell r="B1042">
            <v>0</v>
          </cell>
          <cell r="C1042">
            <v>0</v>
          </cell>
          <cell r="D1042">
            <v>0</v>
          </cell>
        </row>
        <row r="1043">
          <cell r="A1043">
            <v>0</v>
          </cell>
          <cell r="B1043">
            <v>0</v>
          </cell>
          <cell r="C1043">
            <v>0</v>
          </cell>
          <cell r="D1043">
            <v>0</v>
          </cell>
        </row>
        <row r="1044">
          <cell r="A1044" t="str">
            <v>Custo horário da execução (A + B + C)</v>
          </cell>
          <cell r="B1044">
            <v>0</v>
          </cell>
          <cell r="C1044">
            <v>0</v>
          </cell>
          <cell r="D1044">
            <v>0</v>
          </cell>
        </row>
        <row r="1045">
          <cell r="A1045" t="str">
            <v xml:space="preserve"> (D) Produção da equipe</v>
          </cell>
          <cell r="B1045">
            <v>0</v>
          </cell>
          <cell r="C1045">
            <v>0</v>
          </cell>
          <cell r="D1045">
            <v>0</v>
          </cell>
        </row>
        <row r="1046">
          <cell r="A1046" t="str">
            <v>(E) Custo unitário da execução (A + B + C) / D</v>
          </cell>
          <cell r="B1046">
            <v>0</v>
          </cell>
          <cell r="C1046">
            <v>0</v>
          </cell>
          <cell r="D1046">
            <v>0</v>
          </cell>
        </row>
        <row r="1047">
          <cell r="A1047" t="str">
            <v>(F) Materiais</v>
          </cell>
          <cell r="B1047" t="str">
            <v>Base</v>
          </cell>
          <cell r="C1047" t="str">
            <v>Tipo</v>
          </cell>
          <cell r="D1047" t="str">
            <v>Código</v>
          </cell>
        </row>
        <row r="1048">
          <cell r="A1048">
            <v>0</v>
          </cell>
          <cell r="B1048">
            <v>0</v>
          </cell>
          <cell r="C1048">
            <v>0</v>
          </cell>
          <cell r="D1048">
            <v>0</v>
          </cell>
        </row>
        <row r="1049">
          <cell r="A1049">
            <v>0</v>
          </cell>
          <cell r="B1049">
            <v>0</v>
          </cell>
          <cell r="C1049">
            <v>0</v>
          </cell>
          <cell r="D1049">
            <v>0</v>
          </cell>
        </row>
        <row r="1050">
          <cell r="A1050">
            <v>0</v>
          </cell>
          <cell r="B1050">
            <v>0</v>
          </cell>
          <cell r="C1050">
            <v>0</v>
          </cell>
          <cell r="D1050">
            <v>0</v>
          </cell>
        </row>
        <row r="1051">
          <cell r="A1051" t="str">
            <v>(G) Serviços</v>
          </cell>
          <cell r="B1051" t="str">
            <v>Base</v>
          </cell>
          <cell r="C1051" t="str">
            <v>Tipo</v>
          </cell>
          <cell r="D1051" t="str">
            <v>Código</v>
          </cell>
        </row>
        <row r="1052">
          <cell r="A1052">
            <v>0</v>
          </cell>
          <cell r="B1052">
            <v>0</v>
          </cell>
          <cell r="C1052">
            <v>0</v>
          </cell>
          <cell r="D1052">
            <v>0</v>
          </cell>
        </row>
        <row r="1053">
          <cell r="A1053">
            <v>0</v>
          </cell>
          <cell r="B1053">
            <v>0</v>
          </cell>
          <cell r="C1053">
            <v>0</v>
          </cell>
          <cell r="D1053">
            <v>0</v>
          </cell>
        </row>
        <row r="1054">
          <cell r="A1054">
            <v>0</v>
          </cell>
          <cell r="B1054">
            <v>0</v>
          </cell>
          <cell r="C1054">
            <v>0</v>
          </cell>
          <cell r="D1054">
            <v>0</v>
          </cell>
        </row>
        <row r="1057">
          <cell r="A1057" t="str">
            <v>CCU-055</v>
          </cell>
          <cell r="B1057" t="str">
            <v xml:space="preserve">UNIDADE </v>
          </cell>
          <cell r="C1057" t="str">
            <v>M</v>
          </cell>
          <cell r="D1057" t="str">
            <v>BARREIRA DE SILTAGEM</v>
          </cell>
        </row>
        <row r="1058">
          <cell r="A1058" t="str">
            <v>(A) Equipamento</v>
          </cell>
          <cell r="B1058" t="str">
            <v>Base</v>
          </cell>
          <cell r="C1058" t="str">
            <v>Tipo</v>
          </cell>
          <cell r="D1058" t="str">
            <v>Código</v>
          </cell>
        </row>
        <row r="1059">
          <cell r="A1059">
            <v>0</v>
          </cell>
          <cell r="B1059">
            <v>0</v>
          </cell>
          <cell r="C1059">
            <v>0</v>
          </cell>
          <cell r="D1059">
            <v>0</v>
          </cell>
        </row>
        <row r="1060">
          <cell r="A1060">
            <v>0</v>
          </cell>
          <cell r="B1060">
            <v>0</v>
          </cell>
          <cell r="C1060">
            <v>0</v>
          </cell>
          <cell r="D1060">
            <v>0</v>
          </cell>
        </row>
        <row r="1061">
          <cell r="A1061">
            <v>0</v>
          </cell>
          <cell r="B1061">
            <v>0</v>
          </cell>
          <cell r="C1061">
            <v>0</v>
          </cell>
          <cell r="D1061">
            <v>0</v>
          </cell>
        </row>
        <row r="1062">
          <cell r="A1062" t="str">
            <v>(B) Mão de obra</v>
          </cell>
          <cell r="B1062" t="str">
            <v>Base</v>
          </cell>
          <cell r="C1062" t="str">
            <v>Tipo</v>
          </cell>
          <cell r="D1062" t="str">
            <v>Código</v>
          </cell>
        </row>
        <row r="1063">
          <cell r="A1063" t="str">
            <v>ENCARREGADO DE SERVIÇO</v>
          </cell>
          <cell r="B1063" t="str">
            <v>DER</v>
          </cell>
          <cell r="C1063" t="str">
            <v>Mão de obra</v>
          </cell>
          <cell r="D1063">
            <v>210060</v>
          </cell>
        </row>
        <row r="1064">
          <cell r="A1064" t="str">
            <v>SERVENTE</v>
          </cell>
          <cell r="B1064" t="str">
            <v>DER</v>
          </cell>
          <cell r="C1064" t="str">
            <v>Mão de obra</v>
          </cell>
          <cell r="D1064">
            <v>200130</v>
          </cell>
        </row>
        <row r="1065">
          <cell r="A1065">
            <v>0</v>
          </cell>
          <cell r="B1065">
            <v>0</v>
          </cell>
          <cell r="C1065">
            <v>0</v>
          </cell>
          <cell r="D1065">
            <v>0</v>
          </cell>
        </row>
        <row r="1066">
          <cell r="A1066" t="str">
            <v>(C) Itens de incidência</v>
          </cell>
          <cell r="B1066" t="str">
            <v>Base</v>
          </cell>
          <cell r="C1066" t="str">
            <v>Tipo</v>
          </cell>
          <cell r="D1066" t="str">
            <v>Código</v>
          </cell>
        </row>
        <row r="1067">
          <cell r="A1067" t="str">
            <v>Ferramentas manuais</v>
          </cell>
          <cell r="B1067">
            <v>0</v>
          </cell>
          <cell r="C1067">
            <v>0</v>
          </cell>
          <cell r="D1067">
            <v>29990</v>
          </cell>
        </row>
        <row r="1068">
          <cell r="A1068">
            <v>0</v>
          </cell>
          <cell r="B1068">
            <v>0</v>
          </cell>
          <cell r="C1068">
            <v>0</v>
          </cell>
          <cell r="D1068">
            <v>0</v>
          </cell>
        </row>
        <row r="1069">
          <cell r="A1069">
            <v>0</v>
          </cell>
          <cell r="B1069">
            <v>0</v>
          </cell>
          <cell r="C1069">
            <v>0</v>
          </cell>
          <cell r="D1069">
            <v>0</v>
          </cell>
        </row>
        <row r="1070">
          <cell r="A1070" t="str">
            <v>Custo horário da execução (A + B + C)</v>
          </cell>
          <cell r="B1070">
            <v>0</v>
          </cell>
          <cell r="C1070">
            <v>0</v>
          </cell>
          <cell r="D1070">
            <v>0</v>
          </cell>
        </row>
        <row r="1071">
          <cell r="A1071" t="str">
            <v xml:space="preserve"> (D) Produção da equipe</v>
          </cell>
          <cell r="B1071">
            <v>0</v>
          </cell>
          <cell r="C1071">
            <v>0</v>
          </cell>
          <cell r="D1071">
            <v>0</v>
          </cell>
        </row>
        <row r="1072">
          <cell r="A1072" t="str">
            <v>(E) Custo unitário da execução (A + B + C) / D</v>
          </cell>
          <cell r="B1072">
            <v>0</v>
          </cell>
          <cell r="C1072">
            <v>0</v>
          </cell>
          <cell r="D1072">
            <v>0</v>
          </cell>
        </row>
        <row r="1073">
          <cell r="A1073" t="str">
            <v>(F) Materiais</v>
          </cell>
          <cell r="B1073" t="str">
            <v>Base</v>
          </cell>
          <cell r="C1073" t="str">
            <v>Tipo</v>
          </cell>
          <cell r="D1073" t="str">
            <v>Código</v>
          </cell>
        </row>
        <row r="1074">
          <cell r="A1074" t="str">
            <v>MADEIRA ROLIÇA D=10/15 CM</v>
          </cell>
          <cell r="B1074" t="str">
            <v>DER</v>
          </cell>
          <cell r="C1074" t="str">
            <v>Material</v>
          </cell>
          <cell r="D1074">
            <v>110150</v>
          </cell>
        </row>
        <row r="1075">
          <cell r="A1075" t="str">
            <v>ARAME RECOZIDO Nº 18</v>
          </cell>
          <cell r="B1075" t="str">
            <v>DER</v>
          </cell>
          <cell r="C1075" t="str">
            <v>Material</v>
          </cell>
          <cell r="D1075">
            <v>150180</v>
          </cell>
        </row>
        <row r="1076">
          <cell r="A1076" t="str">
            <v>MADEIRA PINHO  2,5 X 6 CM</v>
          </cell>
          <cell r="B1076" t="str">
            <v>DER</v>
          </cell>
          <cell r="C1076" t="str">
            <v>Material</v>
          </cell>
          <cell r="D1076">
            <v>112560</v>
          </cell>
        </row>
        <row r="1077">
          <cell r="A1077">
            <v>0</v>
          </cell>
          <cell r="B1077">
            <v>0</v>
          </cell>
          <cell r="C1077">
            <v>0</v>
          </cell>
          <cell r="D1077">
            <v>0</v>
          </cell>
        </row>
        <row r="1078">
          <cell r="A1078" t="str">
            <v>(G) Serviços</v>
          </cell>
          <cell r="B1078" t="str">
            <v>Base</v>
          </cell>
          <cell r="C1078" t="str">
            <v>Tipo</v>
          </cell>
          <cell r="D1078" t="str">
            <v>Código</v>
          </cell>
        </row>
        <row r="1079">
          <cell r="A1079" t="str">
            <v>Fornecimento e colocação geotextil n/tecido(GNT)</v>
          </cell>
          <cell r="B1079" t="str">
            <v>DER</v>
          </cell>
          <cell r="C1079" t="str">
            <v>Serviço</v>
          </cell>
          <cell r="D1079">
            <v>607000</v>
          </cell>
        </row>
        <row r="1080">
          <cell r="A1080">
            <v>0</v>
          </cell>
          <cell r="B1080">
            <v>0</v>
          </cell>
          <cell r="C1080">
            <v>0</v>
          </cell>
          <cell r="D1080">
            <v>0</v>
          </cell>
        </row>
        <row r="1081">
          <cell r="A1081">
            <v>0</v>
          </cell>
          <cell r="B1081">
            <v>0</v>
          </cell>
          <cell r="C1081">
            <v>0</v>
          </cell>
          <cell r="D1081">
            <v>0</v>
          </cell>
        </row>
        <row r="1084">
          <cell r="A1084" t="str">
            <v>CCU-056</v>
          </cell>
          <cell r="B1084" t="str">
            <v xml:space="preserve">UNIDADE </v>
          </cell>
          <cell r="C1084" t="str">
            <v>M³</v>
          </cell>
          <cell r="D1084" t="str">
            <v>CORTE/LIMPEZA, CLASSIFICAÇÃO, ENLEIRAMENTO, CARGA E TRANSPORTE DE ÁRVORES (VOLUME ESTÉREO)  COM DISTÂNCIA DE 20KM</v>
          </cell>
        </row>
        <row r="1085">
          <cell r="A1085" t="str">
            <v>(A) Equipamento</v>
          </cell>
          <cell r="B1085" t="str">
            <v>Base</v>
          </cell>
          <cell r="C1085" t="str">
            <v>Tipo</v>
          </cell>
          <cell r="D1085" t="str">
            <v>Código</v>
          </cell>
        </row>
        <row r="1086">
          <cell r="A1086" t="str">
            <v>CAMINHÃO C/ GUINDAUTO</v>
          </cell>
          <cell r="B1086" t="str">
            <v>DER</v>
          </cell>
          <cell r="C1086" t="str">
            <v>Equipamento</v>
          </cell>
          <cell r="D1086">
            <v>346020</v>
          </cell>
        </row>
        <row r="1087">
          <cell r="A1087" t="str">
            <v>CARREG. FRONTAL PNEUS 924-K MÉDIA</v>
          </cell>
          <cell r="B1087" t="str">
            <v>DER</v>
          </cell>
          <cell r="C1087" t="str">
            <v>Equipamento</v>
          </cell>
          <cell r="D1087">
            <v>329300</v>
          </cell>
        </row>
        <row r="1088">
          <cell r="A1088" t="str">
            <v>MOTOSSERRA A GASOLINA</v>
          </cell>
          <cell r="B1088" t="str">
            <v>DER</v>
          </cell>
          <cell r="C1088" t="str">
            <v>Equipamento</v>
          </cell>
          <cell r="D1088">
            <v>370200</v>
          </cell>
        </row>
        <row r="1089">
          <cell r="A1089" t="str">
            <v>TRATOR AGRÍCOLA  5105 4X4</v>
          </cell>
          <cell r="B1089" t="str">
            <v>DER</v>
          </cell>
          <cell r="C1089" t="str">
            <v>Equipamento</v>
          </cell>
          <cell r="D1089">
            <v>341000</v>
          </cell>
        </row>
        <row r="1090">
          <cell r="A1090">
            <v>0</v>
          </cell>
          <cell r="B1090">
            <v>0</v>
          </cell>
          <cell r="C1090">
            <v>0</v>
          </cell>
          <cell r="D1090">
            <v>0</v>
          </cell>
        </row>
        <row r="1091">
          <cell r="A1091" t="str">
            <v>(B) Mão de obra</v>
          </cell>
          <cell r="B1091" t="str">
            <v>Base</v>
          </cell>
          <cell r="C1091" t="str">
            <v>Tipo</v>
          </cell>
          <cell r="D1091" t="str">
            <v>Código</v>
          </cell>
        </row>
        <row r="1092">
          <cell r="A1092" t="str">
            <v>CLASSIFICADOR DE MADEIRA</v>
          </cell>
          <cell r="B1092" t="str">
            <v>DER</v>
          </cell>
          <cell r="C1092" t="str">
            <v>Mão de obra</v>
          </cell>
          <cell r="D1092">
            <v>200311</v>
          </cell>
        </row>
        <row r="1093">
          <cell r="A1093" t="str">
            <v>ENCARREGADO DE SERVIÇO</v>
          </cell>
          <cell r="B1093" t="str">
            <v>DER</v>
          </cell>
          <cell r="C1093" t="str">
            <v>Mão de obra</v>
          </cell>
          <cell r="D1093">
            <v>210060</v>
          </cell>
        </row>
        <row r="1094">
          <cell r="A1094" t="str">
            <v>OPERADOR DE EQUIPAMENTOS MANUAIS</v>
          </cell>
          <cell r="B1094" t="str">
            <v>DER</v>
          </cell>
          <cell r="C1094" t="str">
            <v>Mão de obra</v>
          </cell>
          <cell r="D1094">
            <v>200160</v>
          </cell>
        </row>
        <row r="1095">
          <cell r="A1095" t="str">
            <v>SERVENTE</v>
          </cell>
          <cell r="B1095" t="str">
            <v>DER</v>
          </cell>
          <cell r="C1095" t="str">
            <v>Mão de obra</v>
          </cell>
          <cell r="D1095">
            <v>200130</v>
          </cell>
        </row>
        <row r="1096">
          <cell r="A1096">
            <v>0</v>
          </cell>
          <cell r="B1096">
            <v>0</v>
          </cell>
          <cell r="C1096">
            <v>0</v>
          </cell>
          <cell r="D1096">
            <v>0</v>
          </cell>
        </row>
        <row r="1097">
          <cell r="A1097" t="str">
            <v>(C) Itens de incidência</v>
          </cell>
          <cell r="B1097" t="str">
            <v>Base</v>
          </cell>
          <cell r="C1097" t="str">
            <v>Tipo</v>
          </cell>
          <cell r="D1097" t="str">
            <v>Código</v>
          </cell>
        </row>
        <row r="1098">
          <cell r="A1098" t="str">
            <v>Ferramentas manuais</v>
          </cell>
          <cell r="B1098">
            <v>0</v>
          </cell>
          <cell r="C1098">
            <v>0</v>
          </cell>
          <cell r="D1098">
            <v>29990</v>
          </cell>
        </row>
        <row r="1099">
          <cell r="A1099">
            <v>0</v>
          </cell>
          <cell r="B1099">
            <v>0</v>
          </cell>
          <cell r="C1099">
            <v>0</v>
          </cell>
          <cell r="D1099">
            <v>0</v>
          </cell>
        </row>
        <row r="1100">
          <cell r="A1100">
            <v>0</v>
          </cell>
          <cell r="B1100">
            <v>0</v>
          </cell>
          <cell r="C1100">
            <v>0</v>
          </cell>
          <cell r="D1100">
            <v>0</v>
          </cell>
        </row>
        <row r="1101">
          <cell r="A1101" t="str">
            <v>Custo horário da execução (A + B + C)</v>
          </cell>
          <cell r="B1101">
            <v>0</v>
          </cell>
          <cell r="C1101">
            <v>0</v>
          </cell>
          <cell r="D1101">
            <v>0</v>
          </cell>
        </row>
        <row r="1102">
          <cell r="A1102" t="str">
            <v xml:space="preserve"> (D) Produção da equipe</v>
          </cell>
          <cell r="B1102">
            <v>0</v>
          </cell>
          <cell r="C1102">
            <v>0</v>
          </cell>
          <cell r="D1102">
            <v>0</v>
          </cell>
        </row>
        <row r="1103">
          <cell r="A1103" t="str">
            <v>(E) Custo unitário da execução (A + B + C) / D</v>
          </cell>
          <cell r="B1103">
            <v>0</v>
          </cell>
          <cell r="C1103">
            <v>0</v>
          </cell>
          <cell r="D1103">
            <v>0</v>
          </cell>
        </row>
        <row r="1104">
          <cell r="A1104" t="str">
            <v>(F) Materiais</v>
          </cell>
          <cell r="B1104" t="str">
            <v>Base</v>
          </cell>
          <cell r="C1104" t="str">
            <v>Tipo</v>
          </cell>
          <cell r="D1104" t="str">
            <v>Código</v>
          </cell>
        </row>
        <row r="1105">
          <cell r="A1105">
            <v>0</v>
          </cell>
          <cell r="B1105">
            <v>0</v>
          </cell>
          <cell r="C1105">
            <v>0</v>
          </cell>
          <cell r="D1105">
            <v>0</v>
          </cell>
        </row>
        <row r="1106">
          <cell r="A1106">
            <v>0</v>
          </cell>
          <cell r="B1106">
            <v>0</v>
          </cell>
          <cell r="C1106">
            <v>0</v>
          </cell>
          <cell r="D1106">
            <v>0</v>
          </cell>
        </row>
        <row r="1107">
          <cell r="A1107">
            <v>0</v>
          </cell>
          <cell r="B1107">
            <v>0</v>
          </cell>
          <cell r="C1107">
            <v>0</v>
          </cell>
          <cell r="D1107">
            <v>0</v>
          </cell>
        </row>
        <row r="1108">
          <cell r="A1108" t="str">
            <v>(G) Serviços</v>
          </cell>
          <cell r="B1108" t="str">
            <v>Base</v>
          </cell>
          <cell r="C1108" t="str">
            <v>Tipo</v>
          </cell>
          <cell r="D1108" t="str">
            <v>Código</v>
          </cell>
        </row>
        <row r="1109">
          <cell r="A1109">
            <v>0</v>
          </cell>
          <cell r="B1109">
            <v>0</v>
          </cell>
          <cell r="C1109">
            <v>0</v>
          </cell>
          <cell r="D1109">
            <v>0</v>
          </cell>
        </row>
        <row r="1110">
          <cell r="A1110">
            <v>0</v>
          </cell>
          <cell r="B1110">
            <v>0</v>
          </cell>
          <cell r="C1110">
            <v>0</v>
          </cell>
          <cell r="D1110">
            <v>0</v>
          </cell>
        </row>
        <row r="1111">
          <cell r="A1111">
            <v>0</v>
          </cell>
          <cell r="B1111">
            <v>0</v>
          </cell>
          <cell r="C1111">
            <v>0</v>
          </cell>
          <cell r="D1111">
            <v>0</v>
          </cell>
        </row>
        <row r="1114">
          <cell r="A1114" t="str">
            <v>CCU-057</v>
          </cell>
          <cell r="B1114" t="str">
            <v xml:space="preserve">UNIDADE </v>
          </cell>
          <cell r="C1114" t="str">
            <v>M</v>
          </cell>
          <cell r="D1114" t="str">
            <v xml:space="preserve">FORNECIMENTO E ASSENTAMENTO DE GALERIA BSCC - SEÇÃO 1,5 X 1,5M FECHADA - PRÉ-MOLDADO </v>
          </cell>
        </row>
        <row r="1115">
          <cell r="A1115" t="str">
            <v>(A) Equipamento</v>
          </cell>
          <cell r="B1115" t="str">
            <v>Base</v>
          </cell>
          <cell r="C1115" t="str">
            <v>Tipo</v>
          </cell>
          <cell r="D1115" t="str">
            <v>Código</v>
          </cell>
        </row>
        <row r="1116">
          <cell r="A1116">
            <v>0</v>
          </cell>
          <cell r="B1116">
            <v>0</v>
          </cell>
          <cell r="C1116">
            <v>0</v>
          </cell>
          <cell r="D1116">
            <v>0</v>
          </cell>
        </row>
        <row r="1117">
          <cell r="A1117">
            <v>0</v>
          </cell>
          <cell r="B1117">
            <v>0</v>
          </cell>
          <cell r="C1117">
            <v>0</v>
          </cell>
          <cell r="D1117">
            <v>0</v>
          </cell>
        </row>
        <row r="1118">
          <cell r="A1118">
            <v>0</v>
          </cell>
          <cell r="B1118">
            <v>0</v>
          </cell>
          <cell r="C1118">
            <v>0</v>
          </cell>
          <cell r="D1118">
            <v>0</v>
          </cell>
        </row>
        <row r="1119">
          <cell r="A1119" t="str">
            <v>(B) Mão de obra</v>
          </cell>
          <cell r="B1119" t="str">
            <v>Base</v>
          </cell>
          <cell r="C1119" t="str">
            <v>Tipo</v>
          </cell>
          <cell r="D1119" t="str">
            <v>Código</v>
          </cell>
        </row>
        <row r="1120">
          <cell r="A1120" t="str">
            <v>SERVENTE</v>
          </cell>
          <cell r="B1120" t="str">
            <v>DER</v>
          </cell>
          <cell r="C1120" t="str">
            <v>Mão de obra</v>
          </cell>
          <cell r="D1120">
            <v>200130</v>
          </cell>
        </row>
        <row r="1121">
          <cell r="A1121">
            <v>0</v>
          </cell>
          <cell r="B1121">
            <v>0</v>
          </cell>
          <cell r="C1121">
            <v>0</v>
          </cell>
          <cell r="D1121">
            <v>0</v>
          </cell>
        </row>
        <row r="1122">
          <cell r="A1122">
            <v>0</v>
          </cell>
          <cell r="B1122">
            <v>0</v>
          </cell>
          <cell r="C1122">
            <v>0</v>
          </cell>
          <cell r="D1122">
            <v>0</v>
          </cell>
        </row>
        <row r="1123">
          <cell r="A1123" t="str">
            <v>(C) Itens de incidência</v>
          </cell>
          <cell r="B1123" t="str">
            <v>Base</v>
          </cell>
          <cell r="C1123" t="str">
            <v>Tipo</v>
          </cell>
          <cell r="D1123" t="str">
            <v>Código</v>
          </cell>
        </row>
        <row r="1124">
          <cell r="A1124">
            <v>0</v>
          </cell>
          <cell r="B1124">
            <v>0</v>
          </cell>
          <cell r="C1124">
            <v>0</v>
          </cell>
          <cell r="D1124">
            <v>0</v>
          </cell>
        </row>
        <row r="1125">
          <cell r="A1125">
            <v>0</v>
          </cell>
          <cell r="B1125">
            <v>0</v>
          </cell>
          <cell r="C1125">
            <v>0</v>
          </cell>
          <cell r="D1125">
            <v>0</v>
          </cell>
        </row>
        <row r="1126">
          <cell r="A1126">
            <v>0</v>
          </cell>
          <cell r="B1126">
            <v>0</v>
          </cell>
          <cell r="C1126">
            <v>0</v>
          </cell>
          <cell r="D1126">
            <v>0</v>
          </cell>
        </row>
        <row r="1127">
          <cell r="A1127" t="str">
            <v>Custo horário da execução (A + B + C)</v>
          </cell>
          <cell r="B1127">
            <v>0</v>
          </cell>
          <cell r="C1127">
            <v>0</v>
          </cell>
          <cell r="D1127">
            <v>0</v>
          </cell>
        </row>
        <row r="1128">
          <cell r="A1128" t="str">
            <v xml:space="preserve"> (D) Produção da equipe</v>
          </cell>
          <cell r="B1128">
            <v>0</v>
          </cell>
          <cell r="C1128">
            <v>0</v>
          </cell>
          <cell r="D1128">
            <v>0</v>
          </cell>
        </row>
        <row r="1129">
          <cell r="A1129" t="str">
            <v>(E) Custo unitário da execução (A + B + C) / D</v>
          </cell>
          <cell r="B1129">
            <v>0</v>
          </cell>
          <cell r="C1129">
            <v>0</v>
          </cell>
          <cell r="D1129">
            <v>0</v>
          </cell>
        </row>
        <row r="1130">
          <cell r="A1130" t="str">
            <v>(F) Materiais</v>
          </cell>
          <cell r="B1130" t="str">
            <v>Base</v>
          </cell>
          <cell r="C1130" t="str">
            <v>Tipo</v>
          </cell>
          <cell r="D1130" t="str">
            <v>Código</v>
          </cell>
        </row>
        <row r="1131">
          <cell r="A1131" t="str">
            <v>Corpo de BSCC pré-moldado comercial - seção de 1,5 m x 1,5 m - tipo I</v>
          </cell>
          <cell r="B1131" t="str">
            <v>DNIT</v>
          </cell>
          <cell r="C1131" t="str">
            <v>Material</v>
          </cell>
          <cell r="D1131" t="str">
            <v>M2700</v>
          </cell>
        </row>
        <row r="1132">
          <cell r="A1132">
            <v>0</v>
          </cell>
          <cell r="B1132">
            <v>0</v>
          </cell>
          <cell r="C1132">
            <v>0</v>
          </cell>
          <cell r="D1132">
            <v>0</v>
          </cell>
        </row>
        <row r="1133">
          <cell r="A1133">
            <v>0</v>
          </cell>
          <cell r="B1133">
            <v>0</v>
          </cell>
          <cell r="C1133">
            <v>0</v>
          </cell>
          <cell r="D1133">
            <v>0</v>
          </cell>
        </row>
        <row r="1134">
          <cell r="A1134" t="str">
            <v>(G) Serviços</v>
          </cell>
          <cell r="B1134" t="str">
            <v>Base</v>
          </cell>
          <cell r="C1134" t="str">
            <v>Tipo</v>
          </cell>
          <cell r="D1134" t="str">
            <v>Código</v>
          </cell>
        </row>
        <row r="1135">
          <cell r="A1135">
            <v>0</v>
          </cell>
          <cell r="B1135">
            <v>0</v>
          </cell>
          <cell r="C1135">
            <v>0</v>
          </cell>
          <cell r="D1135">
            <v>0</v>
          </cell>
        </row>
        <row r="1136">
          <cell r="A1136">
            <v>0</v>
          </cell>
          <cell r="B1136">
            <v>0</v>
          </cell>
          <cell r="C1136">
            <v>0</v>
          </cell>
          <cell r="D1136">
            <v>0</v>
          </cell>
        </row>
        <row r="1137">
          <cell r="A1137">
            <v>0</v>
          </cell>
          <cell r="B1137">
            <v>0</v>
          </cell>
          <cell r="C1137">
            <v>0</v>
          </cell>
          <cell r="D1137">
            <v>0</v>
          </cell>
        </row>
        <row r="1140">
          <cell r="A1140" t="str">
            <v>CCU-058</v>
          </cell>
          <cell r="B1140" t="str">
            <v xml:space="preserve">UNIDADE </v>
          </cell>
          <cell r="C1140" t="str">
            <v>UND</v>
          </cell>
          <cell r="D1140" t="str">
            <v>REMOÇÃO E RECOLOCAÇÃO DE POSTES DE TELEFONIA OU ENTRADA DE ENERGIA</v>
          </cell>
        </row>
        <row r="1141">
          <cell r="A1141" t="str">
            <v>(A) Equipamento</v>
          </cell>
          <cell r="B1141" t="str">
            <v>Base</v>
          </cell>
          <cell r="C1141" t="str">
            <v>Tipo</v>
          </cell>
          <cell r="D1141" t="str">
            <v>Código</v>
          </cell>
        </row>
        <row r="1142">
          <cell r="A1142" t="str">
            <v>CAMINHÃO C/ GUINDAUTO</v>
          </cell>
          <cell r="B1142" t="str">
            <v>DER</v>
          </cell>
          <cell r="C1142" t="str">
            <v>Equipamento</v>
          </cell>
          <cell r="D1142">
            <v>346020</v>
          </cell>
        </row>
        <row r="1143">
          <cell r="A1143">
            <v>0</v>
          </cell>
          <cell r="B1143">
            <v>0</v>
          </cell>
          <cell r="C1143">
            <v>0</v>
          </cell>
          <cell r="D1143">
            <v>0</v>
          </cell>
        </row>
        <row r="1144">
          <cell r="A1144">
            <v>0</v>
          </cell>
          <cell r="B1144">
            <v>0</v>
          </cell>
          <cell r="C1144">
            <v>0</v>
          </cell>
          <cell r="D1144">
            <v>0</v>
          </cell>
        </row>
        <row r="1145">
          <cell r="A1145" t="str">
            <v>(B) Mão de obra</v>
          </cell>
          <cell r="B1145" t="str">
            <v>Base</v>
          </cell>
          <cell r="C1145" t="str">
            <v>Tipo</v>
          </cell>
          <cell r="D1145" t="str">
            <v>Código</v>
          </cell>
        </row>
        <row r="1146">
          <cell r="A1146" t="str">
            <v>ENCARREGADO DE SERVIÇO</v>
          </cell>
          <cell r="B1146" t="str">
            <v>DER</v>
          </cell>
          <cell r="C1146" t="str">
            <v>Mão de obra</v>
          </cell>
          <cell r="D1146">
            <v>210060</v>
          </cell>
        </row>
        <row r="1147">
          <cell r="A1147" t="str">
            <v>ELETRICISTA</v>
          </cell>
          <cell r="B1147" t="str">
            <v>DER</v>
          </cell>
          <cell r="C1147" t="str">
            <v>Mão de obra</v>
          </cell>
          <cell r="D1147">
            <v>210150</v>
          </cell>
        </row>
        <row r="1148">
          <cell r="A1148" t="str">
            <v>TOPÓGRAFO</v>
          </cell>
          <cell r="B1148" t="str">
            <v>DER</v>
          </cell>
          <cell r="C1148" t="str">
            <v>Mão de obra</v>
          </cell>
          <cell r="D1148">
            <v>210080</v>
          </cell>
        </row>
        <row r="1149">
          <cell r="A1149" t="str">
            <v>SERVENTE</v>
          </cell>
          <cell r="B1149" t="str">
            <v>DER</v>
          </cell>
          <cell r="C1149" t="str">
            <v>Mão de obra</v>
          </cell>
          <cell r="D1149">
            <v>200130</v>
          </cell>
        </row>
        <row r="1150">
          <cell r="A1150">
            <v>0</v>
          </cell>
          <cell r="B1150">
            <v>0</v>
          </cell>
          <cell r="C1150">
            <v>0</v>
          </cell>
          <cell r="D1150">
            <v>0</v>
          </cell>
        </row>
        <row r="1151">
          <cell r="A1151" t="str">
            <v>(C) Itens de incidência</v>
          </cell>
          <cell r="B1151" t="str">
            <v>Base</v>
          </cell>
          <cell r="C1151" t="str">
            <v>Tipo</v>
          </cell>
          <cell r="D1151" t="str">
            <v>Código</v>
          </cell>
        </row>
        <row r="1152">
          <cell r="A1152" t="str">
            <v>Ferramentas Manuais</v>
          </cell>
          <cell r="B1152">
            <v>0</v>
          </cell>
          <cell r="C1152">
            <v>0</v>
          </cell>
          <cell r="D1152">
            <v>29990</v>
          </cell>
        </row>
        <row r="1153">
          <cell r="A1153">
            <v>0</v>
          </cell>
          <cell r="B1153">
            <v>0</v>
          </cell>
          <cell r="C1153">
            <v>0</v>
          </cell>
          <cell r="D1153">
            <v>0</v>
          </cell>
        </row>
        <row r="1154">
          <cell r="A1154">
            <v>0</v>
          </cell>
          <cell r="B1154">
            <v>0</v>
          </cell>
          <cell r="C1154">
            <v>0</v>
          </cell>
          <cell r="D1154">
            <v>0</v>
          </cell>
        </row>
        <row r="1155">
          <cell r="A1155" t="str">
            <v>Custo horário da execução (A + B + C)</v>
          </cell>
          <cell r="B1155">
            <v>0</v>
          </cell>
          <cell r="C1155">
            <v>0</v>
          </cell>
          <cell r="D1155">
            <v>0</v>
          </cell>
        </row>
        <row r="1156">
          <cell r="A1156" t="str">
            <v xml:space="preserve"> (D) Produção da equipe</v>
          </cell>
          <cell r="B1156">
            <v>0</v>
          </cell>
          <cell r="C1156">
            <v>0</v>
          </cell>
          <cell r="D1156">
            <v>0</v>
          </cell>
        </row>
        <row r="1157">
          <cell r="A1157" t="str">
            <v>(E) Custo unitário da execução (A + B + C) / D</v>
          </cell>
          <cell r="B1157">
            <v>0</v>
          </cell>
          <cell r="C1157">
            <v>0</v>
          </cell>
          <cell r="D1157">
            <v>0</v>
          </cell>
        </row>
        <row r="1158">
          <cell r="A1158" t="str">
            <v>(F) Materiais</v>
          </cell>
          <cell r="B1158" t="str">
            <v>Base</v>
          </cell>
          <cell r="C1158" t="str">
            <v>Tipo</v>
          </cell>
          <cell r="D1158" t="str">
            <v>Código</v>
          </cell>
        </row>
        <row r="1159">
          <cell r="A1159">
            <v>0</v>
          </cell>
          <cell r="B1159">
            <v>0</v>
          </cell>
          <cell r="C1159">
            <v>0</v>
          </cell>
          <cell r="D1159">
            <v>0</v>
          </cell>
        </row>
        <row r="1160">
          <cell r="A1160">
            <v>0</v>
          </cell>
          <cell r="B1160">
            <v>0</v>
          </cell>
          <cell r="C1160">
            <v>0</v>
          </cell>
          <cell r="D1160">
            <v>0</v>
          </cell>
        </row>
        <row r="1161">
          <cell r="A1161">
            <v>0</v>
          </cell>
          <cell r="B1161">
            <v>0</v>
          </cell>
          <cell r="C1161">
            <v>0</v>
          </cell>
          <cell r="D1161">
            <v>0</v>
          </cell>
        </row>
        <row r="1162">
          <cell r="A1162" t="str">
            <v>(G) Serviços</v>
          </cell>
          <cell r="B1162" t="str">
            <v>Base</v>
          </cell>
          <cell r="C1162" t="str">
            <v>Tipo</v>
          </cell>
          <cell r="D1162" t="str">
            <v>Código</v>
          </cell>
        </row>
        <row r="1163">
          <cell r="A1163">
            <v>0</v>
          </cell>
          <cell r="B1163">
            <v>0</v>
          </cell>
          <cell r="C1163">
            <v>0</v>
          </cell>
          <cell r="D1163">
            <v>0</v>
          </cell>
        </row>
        <row r="1164">
          <cell r="A1164">
            <v>0</v>
          </cell>
          <cell r="B1164">
            <v>0</v>
          </cell>
          <cell r="C1164">
            <v>0</v>
          </cell>
          <cell r="D1164">
            <v>0</v>
          </cell>
        </row>
        <row r="1165">
          <cell r="A1165">
            <v>0</v>
          </cell>
          <cell r="B1165">
            <v>0</v>
          </cell>
          <cell r="C1165">
            <v>0</v>
          </cell>
          <cell r="D1165">
            <v>0</v>
          </cell>
        </row>
        <row r="1168">
          <cell r="A1168" t="str">
            <v>CCU-059</v>
          </cell>
          <cell r="B1168" t="str">
            <v xml:space="preserve">UNIDADE </v>
          </cell>
          <cell r="C1168" t="str">
            <v>M</v>
          </cell>
          <cell r="D1168" t="str">
            <v>FORNECIMENTO E INSTALAÇÃO DE CABO DE COBRE PP CORDPLAST 3 X 2.5 MM2, 450/750V</v>
          </cell>
        </row>
        <row r="1169">
          <cell r="A1169" t="str">
            <v>(A) Equipamento</v>
          </cell>
          <cell r="B1169" t="str">
            <v>Base</v>
          </cell>
          <cell r="C1169" t="str">
            <v>Tipo</v>
          </cell>
          <cell r="D1169" t="str">
            <v>Código</v>
          </cell>
        </row>
        <row r="1170">
          <cell r="A1170">
            <v>0</v>
          </cell>
          <cell r="B1170">
            <v>0</v>
          </cell>
          <cell r="C1170">
            <v>0</v>
          </cell>
          <cell r="D1170">
            <v>0</v>
          </cell>
        </row>
        <row r="1171">
          <cell r="A1171">
            <v>0</v>
          </cell>
          <cell r="B1171">
            <v>0</v>
          </cell>
          <cell r="C1171">
            <v>0</v>
          </cell>
          <cell r="D1171">
            <v>0</v>
          </cell>
        </row>
        <row r="1172">
          <cell r="A1172">
            <v>0</v>
          </cell>
          <cell r="B1172">
            <v>0</v>
          </cell>
          <cell r="C1172">
            <v>0</v>
          </cell>
          <cell r="D1172">
            <v>0</v>
          </cell>
        </row>
        <row r="1173">
          <cell r="A1173" t="str">
            <v>(B) Mão de obra</v>
          </cell>
          <cell r="B1173" t="str">
            <v>Base</v>
          </cell>
          <cell r="C1173" t="str">
            <v>Tipo</v>
          </cell>
          <cell r="D1173" t="str">
            <v>Código</v>
          </cell>
        </row>
        <row r="1174">
          <cell r="A1174" t="str">
            <v>ELETRICISTA</v>
          </cell>
          <cell r="B1174" t="str">
            <v>DER</v>
          </cell>
          <cell r="C1174" t="str">
            <v>Mão de obra</v>
          </cell>
          <cell r="D1174">
            <v>210150</v>
          </cell>
        </row>
        <row r="1175">
          <cell r="A1175" t="str">
            <v>SERVENTE</v>
          </cell>
          <cell r="B1175" t="str">
            <v>DER</v>
          </cell>
          <cell r="C1175" t="str">
            <v>Mão de obra</v>
          </cell>
          <cell r="D1175">
            <v>200130</v>
          </cell>
        </row>
        <row r="1176">
          <cell r="A1176">
            <v>0</v>
          </cell>
          <cell r="B1176">
            <v>0</v>
          </cell>
          <cell r="C1176">
            <v>0</v>
          </cell>
          <cell r="D1176">
            <v>0</v>
          </cell>
        </row>
        <row r="1177">
          <cell r="A1177" t="str">
            <v>(C) Itens de incidência</v>
          </cell>
          <cell r="B1177" t="str">
            <v>Base</v>
          </cell>
          <cell r="C1177" t="str">
            <v>Tipo</v>
          </cell>
          <cell r="D1177" t="str">
            <v>Código</v>
          </cell>
        </row>
        <row r="1178">
          <cell r="A1178" t="str">
            <v>Ferramentas Manuais</v>
          </cell>
          <cell r="B1178">
            <v>0</v>
          </cell>
          <cell r="C1178">
            <v>0</v>
          </cell>
          <cell r="D1178">
            <v>29990</v>
          </cell>
        </row>
        <row r="1179">
          <cell r="A1179">
            <v>0</v>
          </cell>
          <cell r="B1179">
            <v>0</v>
          </cell>
          <cell r="C1179">
            <v>0</v>
          </cell>
          <cell r="D1179">
            <v>0</v>
          </cell>
        </row>
        <row r="1180">
          <cell r="A1180">
            <v>0</v>
          </cell>
          <cell r="B1180">
            <v>0</v>
          </cell>
          <cell r="C1180">
            <v>0</v>
          </cell>
          <cell r="D1180">
            <v>0</v>
          </cell>
        </row>
        <row r="1181">
          <cell r="A1181" t="str">
            <v>Custo horário da execução (A + B + C)</v>
          </cell>
          <cell r="B1181">
            <v>0</v>
          </cell>
          <cell r="C1181">
            <v>0</v>
          </cell>
          <cell r="D1181">
            <v>0</v>
          </cell>
        </row>
        <row r="1182">
          <cell r="A1182" t="str">
            <v xml:space="preserve"> (D) Produção da equipe</v>
          </cell>
          <cell r="B1182">
            <v>0</v>
          </cell>
          <cell r="C1182">
            <v>0</v>
          </cell>
          <cell r="D1182">
            <v>0</v>
          </cell>
        </row>
        <row r="1183">
          <cell r="A1183" t="str">
            <v>(E) Custo unitário da execução (A + B + C) / D</v>
          </cell>
          <cell r="B1183">
            <v>0</v>
          </cell>
          <cell r="C1183">
            <v>0</v>
          </cell>
          <cell r="D1183">
            <v>0</v>
          </cell>
        </row>
        <row r="1184">
          <cell r="A1184" t="str">
            <v>(F) Materiais</v>
          </cell>
          <cell r="B1184" t="str">
            <v>Base</v>
          </cell>
          <cell r="C1184" t="str">
            <v>Tipo</v>
          </cell>
          <cell r="D1184" t="str">
            <v>Código</v>
          </cell>
        </row>
        <row r="1185">
          <cell r="A1185" t="str">
            <v>Cabo de cobre PP Cordplast 3 x 2.5 mm2, 450/750v - fornecimento - CORFIO OU RCM CABOS</v>
          </cell>
          <cell r="B1185" t="str">
            <v>MERCADO</v>
          </cell>
          <cell r="C1185" t="str">
            <v>Cotação</v>
          </cell>
          <cell r="D1185" t="str">
            <v>COT-03</v>
          </cell>
        </row>
        <row r="1186">
          <cell r="A1186" t="str">
            <v>FITA ISOLANTE ADESIVA ANTICHAMA, USO ATE 750 V, EM ROLO DE 19 MM X 5 M</v>
          </cell>
          <cell r="B1186" t="str">
            <v>SINAPI</v>
          </cell>
          <cell r="C1186" t="str">
            <v>Material</v>
          </cell>
          <cell r="D1186">
            <v>21127</v>
          </cell>
        </row>
        <row r="1187">
          <cell r="A1187">
            <v>0</v>
          </cell>
          <cell r="B1187">
            <v>0</v>
          </cell>
          <cell r="C1187">
            <v>0</v>
          </cell>
          <cell r="D1187">
            <v>0</v>
          </cell>
        </row>
        <row r="1188">
          <cell r="A1188" t="str">
            <v>(G) Serviços</v>
          </cell>
          <cell r="B1188" t="str">
            <v>Base</v>
          </cell>
          <cell r="C1188" t="str">
            <v>Tipo</v>
          </cell>
          <cell r="D1188" t="str">
            <v>Código</v>
          </cell>
        </row>
        <row r="1189">
          <cell r="A1189">
            <v>0</v>
          </cell>
          <cell r="B1189">
            <v>0</v>
          </cell>
          <cell r="C1189">
            <v>0</v>
          </cell>
          <cell r="D1189">
            <v>0</v>
          </cell>
        </row>
        <row r="1190">
          <cell r="A1190">
            <v>0</v>
          </cell>
          <cell r="B1190">
            <v>0</v>
          </cell>
          <cell r="C1190">
            <v>0</v>
          </cell>
          <cell r="D1190">
            <v>0</v>
          </cell>
        </row>
        <row r="1191">
          <cell r="A1191">
            <v>0</v>
          </cell>
          <cell r="B1191">
            <v>0</v>
          </cell>
          <cell r="C1191">
            <v>0</v>
          </cell>
          <cell r="D1191">
            <v>0</v>
          </cell>
        </row>
        <row r="1194">
          <cell r="A1194" t="str">
            <v>CCU-060</v>
          </cell>
          <cell r="B1194" t="str">
            <v xml:space="preserve">UNIDADE </v>
          </cell>
          <cell r="C1194" t="str">
            <v>UND</v>
          </cell>
          <cell r="D1194" t="str">
            <v>FORNECIMENTO E INSTALAÇÃO DE CONECTOR PIERCE IP-66 10MM²</v>
          </cell>
        </row>
        <row r="1195">
          <cell r="A1195" t="str">
            <v>(A) Equipamento</v>
          </cell>
          <cell r="B1195" t="str">
            <v>Base</v>
          </cell>
          <cell r="C1195" t="str">
            <v>Tipo</v>
          </cell>
          <cell r="D1195" t="str">
            <v>Código</v>
          </cell>
        </row>
        <row r="1196">
          <cell r="A1196">
            <v>0</v>
          </cell>
          <cell r="B1196">
            <v>0</v>
          </cell>
          <cell r="C1196">
            <v>0</v>
          </cell>
          <cell r="D1196">
            <v>0</v>
          </cell>
        </row>
        <row r="1197">
          <cell r="A1197">
            <v>0</v>
          </cell>
          <cell r="B1197">
            <v>0</v>
          </cell>
          <cell r="C1197">
            <v>0</v>
          </cell>
          <cell r="D1197">
            <v>0</v>
          </cell>
        </row>
        <row r="1198">
          <cell r="A1198">
            <v>0</v>
          </cell>
          <cell r="B1198">
            <v>0</v>
          </cell>
          <cell r="C1198">
            <v>0</v>
          </cell>
          <cell r="D1198">
            <v>0</v>
          </cell>
        </row>
        <row r="1199">
          <cell r="A1199" t="str">
            <v>(B) Mão de obra</v>
          </cell>
          <cell r="B1199" t="str">
            <v>Base</v>
          </cell>
          <cell r="C1199" t="str">
            <v>Tipo</v>
          </cell>
          <cell r="D1199" t="str">
            <v>Código</v>
          </cell>
        </row>
        <row r="1200">
          <cell r="A1200" t="str">
            <v>ELETRICISTA</v>
          </cell>
          <cell r="B1200" t="str">
            <v>DER</v>
          </cell>
          <cell r="C1200" t="str">
            <v>Mão de obra</v>
          </cell>
          <cell r="D1200">
            <v>210150</v>
          </cell>
        </row>
        <row r="1201">
          <cell r="A1201" t="str">
            <v>SERVENTE</v>
          </cell>
          <cell r="B1201" t="str">
            <v>DER</v>
          </cell>
          <cell r="C1201" t="str">
            <v>Mão de obra</v>
          </cell>
          <cell r="D1201">
            <v>200130</v>
          </cell>
        </row>
        <row r="1202">
          <cell r="A1202">
            <v>0</v>
          </cell>
          <cell r="B1202">
            <v>0</v>
          </cell>
          <cell r="C1202">
            <v>0</v>
          </cell>
          <cell r="D1202">
            <v>0</v>
          </cell>
        </row>
        <row r="1203">
          <cell r="A1203" t="str">
            <v>(C) Itens de incidência</v>
          </cell>
          <cell r="B1203" t="str">
            <v>Base</v>
          </cell>
          <cell r="C1203" t="str">
            <v>Tipo</v>
          </cell>
          <cell r="D1203" t="str">
            <v>Código</v>
          </cell>
        </row>
        <row r="1204">
          <cell r="A1204" t="str">
            <v>Ferramentas Manuais</v>
          </cell>
          <cell r="B1204">
            <v>0</v>
          </cell>
          <cell r="C1204">
            <v>0</v>
          </cell>
          <cell r="D1204">
            <v>29990</v>
          </cell>
        </row>
        <row r="1205">
          <cell r="A1205">
            <v>0</v>
          </cell>
          <cell r="B1205">
            <v>0</v>
          </cell>
          <cell r="C1205">
            <v>0</v>
          </cell>
          <cell r="D1205">
            <v>0</v>
          </cell>
        </row>
        <row r="1206">
          <cell r="A1206" t="str">
            <v>Custo horário da execução (A + B + C)</v>
          </cell>
          <cell r="B1206">
            <v>0</v>
          </cell>
          <cell r="C1206">
            <v>0</v>
          </cell>
          <cell r="D1206">
            <v>0</v>
          </cell>
        </row>
        <row r="1207">
          <cell r="A1207" t="str">
            <v xml:space="preserve"> (D) Produção da equipe</v>
          </cell>
          <cell r="B1207">
            <v>0</v>
          </cell>
          <cell r="C1207">
            <v>0</v>
          </cell>
          <cell r="D1207">
            <v>0</v>
          </cell>
        </row>
        <row r="1208">
          <cell r="A1208" t="str">
            <v>(E) Custo unitário da execução (A + B + C) / D</v>
          </cell>
          <cell r="B1208">
            <v>0</v>
          </cell>
          <cell r="C1208">
            <v>0</v>
          </cell>
          <cell r="D1208">
            <v>0</v>
          </cell>
        </row>
        <row r="1209">
          <cell r="A1209" t="str">
            <v>(F) Materiais</v>
          </cell>
          <cell r="B1209" t="str">
            <v>Base</v>
          </cell>
          <cell r="C1209" t="str">
            <v>Tipo</v>
          </cell>
          <cell r="D1209" t="str">
            <v>Código</v>
          </cell>
        </row>
        <row r="1210">
          <cell r="A1210" t="str">
            <v>Conector Pierce IP-66 10mm²</v>
          </cell>
          <cell r="B1210" t="str">
            <v>MERCADO</v>
          </cell>
          <cell r="C1210" t="str">
            <v>Cotação</v>
          </cell>
          <cell r="D1210" t="str">
            <v>COT-05</v>
          </cell>
        </row>
        <row r="1211">
          <cell r="A1211">
            <v>0</v>
          </cell>
          <cell r="B1211">
            <v>0</v>
          </cell>
          <cell r="C1211">
            <v>0</v>
          </cell>
          <cell r="D1211">
            <v>0</v>
          </cell>
        </row>
        <row r="1212">
          <cell r="A1212" t="str">
            <v>(G) Serviços</v>
          </cell>
          <cell r="B1212" t="str">
            <v>Base</v>
          </cell>
          <cell r="C1212" t="str">
            <v>Tipo</v>
          </cell>
          <cell r="D1212" t="str">
            <v>Código</v>
          </cell>
        </row>
        <row r="1213">
          <cell r="A1213">
            <v>0</v>
          </cell>
          <cell r="B1213">
            <v>0</v>
          </cell>
          <cell r="C1213">
            <v>0</v>
          </cell>
          <cell r="D1213">
            <v>0</v>
          </cell>
        </row>
        <row r="1214">
          <cell r="A1214">
            <v>0</v>
          </cell>
          <cell r="B1214">
            <v>0</v>
          </cell>
          <cell r="C1214">
            <v>0</v>
          </cell>
          <cell r="D1214">
            <v>0</v>
          </cell>
        </row>
        <row r="1215">
          <cell r="A1215">
            <v>0</v>
          </cell>
          <cell r="B1215">
            <v>0</v>
          </cell>
          <cell r="C1215">
            <v>0</v>
          </cell>
          <cell r="D1215">
            <v>0</v>
          </cell>
        </row>
        <row r="1218">
          <cell r="A1218" t="str">
            <v>CCU-061</v>
          </cell>
          <cell r="B1218" t="str">
            <v xml:space="preserve">UNIDADE </v>
          </cell>
          <cell r="C1218" t="str">
            <v>UND</v>
          </cell>
          <cell r="D1218" t="str">
            <v>LUMINÁRIA LED EXTERNA, COM 01 LAMPADA LED 70W, COM DRIVER MULTITENSÃO (100A 250V) INTEGRADO, COM ACESSÓRIO DE FIXAÇÃO, COR 3000K COM FOTOCONTROLADOR</v>
          </cell>
        </row>
        <row r="1219">
          <cell r="A1219" t="str">
            <v>(A) Equipamento</v>
          </cell>
          <cell r="B1219" t="str">
            <v>Base</v>
          </cell>
          <cell r="C1219" t="str">
            <v>Tipo</v>
          </cell>
          <cell r="D1219" t="str">
            <v>Código</v>
          </cell>
        </row>
        <row r="1220">
          <cell r="A1220" t="str">
            <v>CAMINHÃO C/ GUINDAUTO</v>
          </cell>
          <cell r="B1220" t="str">
            <v>DER</v>
          </cell>
          <cell r="C1220" t="str">
            <v>Equipamento</v>
          </cell>
          <cell r="D1220">
            <v>346020</v>
          </cell>
        </row>
        <row r="1221">
          <cell r="A1221">
            <v>0</v>
          </cell>
          <cell r="B1221">
            <v>0</v>
          </cell>
          <cell r="C1221">
            <v>0</v>
          </cell>
          <cell r="D1221">
            <v>0</v>
          </cell>
        </row>
        <row r="1222">
          <cell r="A1222">
            <v>0</v>
          </cell>
          <cell r="B1222">
            <v>0</v>
          </cell>
          <cell r="C1222">
            <v>0</v>
          </cell>
          <cell r="D1222">
            <v>0</v>
          </cell>
        </row>
        <row r="1223">
          <cell r="A1223" t="str">
            <v>(B) Mão de obra</v>
          </cell>
          <cell r="B1223" t="str">
            <v>Base</v>
          </cell>
          <cell r="C1223" t="str">
            <v>Tipo</v>
          </cell>
          <cell r="D1223" t="str">
            <v>Código</v>
          </cell>
        </row>
        <row r="1224">
          <cell r="A1224" t="str">
            <v>ELETRICISTA</v>
          </cell>
          <cell r="B1224" t="str">
            <v>DER</v>
          </cell>
          <cell r="C1224" t="str">
            <v>Mão de obra</v>
          </cell>
          <cell r="D1224">
            <v>210150</v>
          </cell>
        </row>
        <row r="1225">
          <cell r="A1225" t="str">
            <v>SERVENTE</v>
          </cell>
          <cell r="B1225" t="str">
            <v>DER</v>
          </cell>
          <cell r="C1225" t="str">
            <v>Mão de obra</v>
          </cell>
          <cell r="D1225">
            <v>200130</v>
          </cell>
        </row>
        <row r="1226">
          <cell r="A1226">
            <v>0</v>
          </cell>
          <cell r="B1226">
            <v>0</v>
          </cell>
          <cell r="C1226">
            <v>0</v>
          </cell>
          <cell r="D1226">
            <v>0</v>
          </cell>
        </row>
        <row r="1227">
          <cell r="A1227" t="str">
            <v>(C) Itens de incidência</v>
          </cell>
          <cell r="B1227" t="str">
            <v>Base</v>
          </cell>
          <cell r="C1227" t="str">
            <v>Tipo</v>
          </cell>
          <cell r="D1227" t="str">
            <v>Código</v>
          </cell>
        </row>
        <row r="1228">
          <cell r="A1228" t="str">
            <v>Ferramentas Manuais</v>
          </cell>
          <cell r="B1228">
            <v>0</v>
          </cell>
          <cell r="C1228">
            <v>0</v>
          </cell>
          <cell r="D1228">
            <v>29990</v>
          </cell>
        </row>
        <row r="1229">
          <cell r="A1229">
            <v>0</v>
          </cell>
          <cell r="B1229">
            <v>0</v>
          </cell>
          <cell r="C1229">
            <v>0</v>
          </cell>
          <cell r="D1229">
            <v>0</v>
          </cell>
        </row>
        <row r="1230">
          <cell r="A1230">
            <v>0</v>
          </cell>
          <cell r="B1230">
            <v>0</v>
          </cell>
          <cell r="C1230">
            <v>0</v>
          </cell>
          <cell r="D1230">
            <v>0</v>
          </cell>
        </row>
        <row r="1231">
          <cell r="A1231" t="str">
            <v>Custo horário da execução (A + B + C)</v>
          </cell>
          <cell r="B1231">
            <v>0</v>
          </cell>
          <cell r="C1231">
            <v>0</v>
          </cell>
          <cell r="D1231">
            <v>0</v>
          </cell>
        </row>
        <row r="1232">
          <cell r="A1232" t="str">
            <v xml:space="preserve"> (D) Produção da equipe</v>
          </cell>
          <cell r="B1232">
            <v>0</v>
          </cell>
          <cell r="C1232">
            <v>0</v>
          </cell>
          <cell r="D1232">
            <v>0</v>
          </cell>
        </row>
        <row r="1233">
          <cell r="A1233" t="str">
            <v>(E) Custo unitário da execução (A + B + C) / D</v>
          </cell>
          <cell r="B1233">
            <v>0</v>
          </cell>
          <cell r="C1233">
            <v>0</v>
          </cell>
          <cell r="D1233">
            <v>0</v>
          </cell>
        </row>
        <row r="1234">
          <cell r="A1234" t="str">
            <v>(F) Materiais</v>
          </cell>
          <cell r="B1234" t="str">
            <v>Base</v>
          </cell>
          <cell r="C1234" t="str">
            <v>Tipo</v>
          </cell>
          <cell r="D1234" t="str">
            <v>Código</v>
          </cell>
        </row>
        <row r="1235">
          <cell r="A1235" t="str">
            <v>Luminária LED externa, com 01 lampada LED 70W, com driver multitensão (100A 250V) integrado, com acessório de fixação, cor 3000K com fotocontrolador</v>
          </cell>
          <cell r="B1235" t="str">
            <v>MERCADO</v>
          </cell>
          <cell r="C1235" t="str">
            <v>Cotação</v>
          </cell>
          <cell r="D1235" t="str">
            <v>COT-06</v>
          </cell>
        </row>
        <row r="1236">
          <cell r="A1236" t="str">
            <v>FITA ISOLANTE ADESIVA ANTICHAMA, USO ATE 750 V, EM ROLO DE 19 MM X 5 M</v>
          </cell>
          <cell r="B1236" t="str">
            <v>SINAPI</v>
          </cell>
          <cell r="C1236" t="str">
            <v>Material</v>
          </cell>
          <cell r="D1236">
            <v>21127</v>
          </cell>
        </row>
        <row r="1237">
          <cell r="A1237">
            <v>0</v>
          </cell>
          <cell r="B1237">
            <v>0</v>
          </cell>
          <cell r="C1237">
            <v>0</v>
          </cell>
          <cell r="D1237">
            <v>0</v>
          </cell>
        </row>
        <row r="1238">
          <cell r="A1238" t="str">
            <v>(G) Serviços</v>
          </cell>
          <cell r="B1238" t="str">
            <v>Base</v>
          </cell>
          <cell r="C1238" t="str">
            <v>Tipo</v>
          </cell>
          <cell r="D1238" t="str">
            <v>Código</v>
          </cell>
        </row>
        <row r="1239">
          <cell r="A1239">
            <v>0</v>
          </cell>
          <cell r="B1239">
            <v>0</v>
          </cell>
          <cell r="C1239">
            <v>0</v>
          </cell>
          <cell r="D1239">
            <v>0</v>
          </cell>
        </row>
        <row r="1240">
          <cell r="A1240">
            <v>0</v>
          </cell>
          <cell r="B1240">
            <v>0</v>
          </cell>
          <cell r="C1240">
            <v>0</v>
          </cell>
          <cell r="D1240">
            <v>0</v>
          </cell>
        </row>
        <row r="1241">
          <cell r="A1241">
            <v>0</v>
          </cell>
          <cell r="B1241">
            <v>0</v>
          </cell>
          <cell r="C1241">
            <v>0</v>
          </cell>
          <cell r="D1241">
            <v>0</v>
          </cell>
        </row>
        <row r="1244">
          <cell r="A1244" t="str">
            <v>CCU-062</v>
          </cell>
          <cell r="B1244" t="str">
            <v xml:space="preserve">UNIDADE </v>
          </cell>
          <cell r="C1244" t="str">
            <v>UND</v>
          </cell>
          <cell r="D1244" t="str">
            <v>FORNECIMENTO E INSTALAÇÃO DE BRACO PARA LUMINÁRIA PÚBLICA EM FERRO GALVANIZADO, Ø25MM, COMPRIMENTO DE 3,00M</v>
          </cell>
        </row>
        <row r="1245">
          <cell r="A1245" t="str">
            <v>(A) Equipamento</v>
          </cell>
          <cell r="B1245" t="str">
            <v>Base</v>
          </cell>
          <cell r="C1245" t="str">
            <v>Tipo</v>
          </cell>
          <cell r="D1245" t="str">
            <v>Código</v>
          </cell>
        </row>
        <row r="1246">
          <cell r="A1246" t="str">
            <v>CAMINHÃO C/ GUINDAUTO</v>
          </cell>
          <cell r="B1246" t="str">
            <v>DER</v>
          </cell>
          <cell r="C1246" t="str">
            <v>Equipamento</v>
          </cell>
          <cell r="D1246">
            <v>346020</v>
          </cell>
        </row>
        <row r="1247">
          <cell r="A1247">
            <v>0</v>
          </cell>
          <cell r="B1247">
            <v>0</v>
          </cell>
          <cell r="C1247">
            <v>0</v>
          </cell>
          <cell r="D1247">
            <v>0</v>
          </cell>
        </row>
        <row r="1248">
          <cell r="A1248">
            <v>0</v>
          </cell>
          <cell r="B1248">
            <v>0</v>
          </cell>
          <cell r="C1248">
            <v>0</v>
          </cell>
          <cell r="D1248">
            <v>0</v>
          </cell>
        </row>
        <row r="1249">
          <cell r="A1249" t="str">
            <v>(B) Mão de obra</v>
          </cell>
          <cell r="B1249" t="str">
            <v>Base</v>
          </cell>
          <cell r="C1249" t="str">
            <v>Tipo</v>
          </cell>
          <cell r="D1249" t="str">
            <v>Código</v>
          </cell>
        </row>
        <row r="1250">
          <cell r="A1250" t="str">
            <v>ELETRICISTA</v>
          </cell>
          <cell r="B1250" t="str">
            <v>DER</v>
          </cell>
          <cell r="C1250" t="str">
            <v>Mão de obra</v>
          </cell>
          <cell r="D1250">
            <v>210150</v>
          </cell>
        </row>
        <row r="1251">
          <cell r="A1251" t="str">
            <v>SERVENTE</v>
          </cell>
          <cell r="B1251" t="str">
            <v>DER</v>
          </cell>
          <cell r="C1251" t="str">
            <v>Mão de obra</v>
          </cell>
          <cell r="D1251">
            <v>200130</v>
          </cell>
        </row>
        <row r="1252">
          <cell r="A1252">
            <v>0</v>
          </cell>
          <cell r="B1252">
            <v>0</v>
          </cell>
          <cell r="C1252">
            <v>0</v>
          </cell>
          <cell r="D1252">
            <v>0</v>
          </cell>
        </row>
        <row r="1253">
          <cell r="A1253" t="str">
            <v>(C) Itens de incidência</v>
          </cell>
          <cell r="B1253" t="str">
            <v>Base</v>
          </cell>
          <cell r="C1253" t="str">
            <v>Tipo</v>
          </cell>
          <cell r="D1253" t="str">
            <v>Código</v>
          </cell>
        </row>
        <row r="1254">
          <cell r="A1254" t="str">
            <v>Ferramentas Manuais</v>
          </cell>
          <cell r="B1254">
            <v>0</v>
          </cell>
          <cell r="C1254">
            <v>0</v>
          </cell>
          <cell r="D1254">
            <v>29990</v>
          </cell>
        </row>
        <row r="1255">
          <cell r="A1255">
            <v>0</v>
          </cell>
          <cell r="B1255">
            <v>0</v>
          </cell>
          <cell r="C1255">
            <v>0</v>
          </cell>
          <cell r="D1255">
            <v>0</v>
          </cell>
        </row>
        <row r="1256">
          <cell r="A1256">
            <v>0</v>
          </cell>
          <cell r="B1256">
            <v>0</v>
          </cell>
          <cell r="C1256">
            <v>0</v>
          </cell>
          <cell r="D1256">
            <v>0</v>
          </cell>
        </row>
        <row r="1257">
          <cell r="A1257" t="str">
            <v>Custo horário da execução (A + B + C)</v>
          </cell>
          <cell r="B1257">
            <v>0</v>
          </cell>
          <cell r="C1257">
            <v>0</v>
          </cell>
          <cell r="D1257">
            <v>0</v>
          </cell>
        </row>
        <row r="1258">
          <cell r="A1258" t="str">
            <v xml:space="preserve"> (D) Produção da equipe</v>
          </cell>
          <cell r="B1258">
            <v>0</v>
          </cell>
          <cell r="C1258">
            <v>0</v>
          </cell>
          <cell r="D1258">
            <v>0</v>
          </cell>
        </row>
        <row r="1259">
          <cell r="A1259" t="str">
            <v>(E) Custo unitário da execução (A + B + C) / D</v>
          </cell>
          <cell r="B1259">
            <v>0</v>
          </cell>
          <cell r="C1259">
            <v>0</v>
          </cell>
          <cell r="D1259">
            <v>0</v>
          </cell>
        </row>
        <row r="1260">
          <cell r="A1260" t="str">
            <v>(F) Materiais</v>
          </cell>
          <cell r="B1260" t="str">
            <v>Base</v>
          </cell>
          <cell r="C1260" t="str">
            <v>Tipo</v>
          </cell>
          <cell r="D1260" t="str">
            <v>Código</v>
          </cell>
        </row>
        <row r="1261">
          <cell r="A1261" t="str">
            <v>Braco para Luminária Pública em ferro galvanizado, Ø25mm, comprimento de 2,00m</v>
          </cell>
          <cell r="B1261" t="str">
            <v>MERCADO</v>
          </cell>
          <cell r="C1261" t="str">
            <v>Cotação</v>
          </cell>
          <cell r="D1261" t="str">
            <v>COT-07</v>
          </cell>
        </row>
        <row r="1262">
          <cell r="A1262">
            <v>0</v>
          </cell>
          <cell r="B1262">
            <v>0</v>
          </cell>
          <cell r="C1262">
            <v>0</v>
          </cell>
          <cell r="D1262">
            <v>0</v>
          </cell>
        </row>
        <row r="1263">
          <cell r="A1263">
            <v>0</v>
          </cell>
          <cell r="B1263">
            <v>0</v>
          </cell>
          <cell r="C1263">
            <v>0</v>
          </cell>
          <cell r="D1263">
            <v>0</v>
          </cell>
        </row>
        <row r="1264">
          <cell r="A1264" t="str">
            <v>(G) Serviços</v>
          </cell>
          <cell r="B1264" t="str">
            <v>Base</v>
          </cell>
          <cell r="C1264" t="str">
            <v>Tipo</v>
          </cell>
          <cell r="D1264" t="str">
            <v>Código</v>
          </cell>
        </row>
        <row r="1265">
          <cell r="A1265">
            <v>0</v>
          </cell>
          <cell r="B1265">
            <v>0</v>
          </cell>
          <cell r="C1265">
            <v>0</v>
          </cell>
          <cell r="D1265">
            <v>0</v>
          </cell>
        </row>
        <row r="1266">
          <cell r="A1266">
            <v>0</v>
          </cell>
          <cell r="B1266">
            <v>0</v>
          </cell>
          <cell r="C1266">
            <v>0</v>
          </cell>
          <cell r="D1266">
            <v>0</v>
          </cell>
        </row>
        <row r="1267">
          <cell r="A1267">
            <v>0</v>
          </cell>
          <cell r="B1267">
            <v>0</v>
          </cell>
          <cell r="C1267">
            <v>0</v>
          </cell>
          <cell r="D1267">
            <v>0</v>
          </cell>
        </row>
        <row r="1270">
          <cell r="A1270" t="str">
            <v>CCU-063</v>
          </cell>
          <cell r="B1270" t="str">
            <v xml:space="preserve">UNIDADE </v>
          </cell>
          <cell r="C1270" t="str">
            <v>UND</v>
          </cell>
          <cell r="D1270" t="str">
            <v>FORNECIMENTO E INSTALAÇÃO DE POSTE DE CONCRETO ARMADO DE SEÇÃO DUPLO T, PADRÃO COPEL DE DISTRIBUIÇÃO - H = 12M - RESISTÊNCIA DE 600 DAN</v>
          </cell>
        </row>
        <row r="1271">
          <cell r="A1271" t="str">
            <v>(A) Equipamento</v>
          </cell>
          <cell r="B1271" t="str">
            <v>Base</v>
          </cell>
          <cell r="C1271" t="str">
            <v>Tipo</v>
          </cell>
          <cell r="D1271" t="str">
            <v>Código</v>
          </cell>
        </row>
        <row r="1272">
          <cell r="A1272" t="str">
            <v>CAMINHÃO C/ GUINDAUTO</v>
          </cell>
          <cell r="B1272" t="str">
            <v>DER</v>
          </cell>
          <cell r="C1272" t="str">
            <v>Equipamento</v>
          </cell>
          <cell r="D1272">
            <v>346020</v>
          </cell>
        </row>
        <row r="1273">
          <cell r="A1273">
            <v>0</v>
          </cell>
          <cell r="B1273">
            <v>0</v>
          </cell>
          <cell r="C1273">
            <v>0</v>
          </cell>
          <cell r="D1273">
            <v>0</v>
          </cell>
        </row>
        <row r="1274">
          <cell r="A1274">
            <v>0</v>
          </cell>
          <cell r="B1274">
            <v>0</v>
          </cell>
          <cell r="C1274">
            <v>0</v>
          </cell>
          <cell r="D1274">
            <v>0</v>
          </cell>
        </row>
        <row r="1275">
          <cell r="A1275" t="str">
            <v>(B) Mão de obra</v>
          </cell>
          <cell r="B1275" t="str">
            <v>Base</v>
          </cell>
          <cell r="C1275" t="str">
            <v>Tipo</v>
          </cell>
          <cell r="D1275" t="str">
            <v>Código</v>
          </cell>
        </row>
        <row r="1276">
          <cell r="A1276" t="str">
            <v>ELETRICISTA</v>
          </cell>
          <cell r="B1276" t="str">
            <v>DER</v>
          </cell>
          <cell r="C1276" t="str">
            <v>Mão de obra</v>
          </cell>
          <cell r="D1276">
            <v>210150</v>
          </cell>
        </row>
        <row r="1277">
          <cell r="A1277" t="str">
            <v>SERVENTE</v>
          </cell>
          <cell r="B1277" t="str">
            <v>DER</v>
          </cell>
          <cell r="C1277" t="str">
            <v>Mão de obra</v>
          </cell>
          <cell r="D1277">
            <v>200130</v>
          </cell>
        </row>
        <row r="1278">
          <cell r="A1278">
            <v>0</v>
          </cell>
          <cell r="B1278">
            <v>0</v>
          </cell>
          <cell r="C1278">
            <v>0</v>
          </cell>
          <cell r="D1278">
            <v>0</v>
          </cell>
        </row>
        <row r="1279">
          <cell r="A1279" t="str">
            <v>(C) Itens de incidência</v>
          </cell>
          <cell r="B1279" t="str">
            <v>Base</v>
          </cell>
          <cell r="C1279" t="str">
            <v>Tipo</v>
          </cell>
          <cell r="D1279" t="str">
            <v>Código</v>
          </cell>
        </row>
        <row r="1280">
          <cell r="A1280" t="str">
            <v>Ferramentas Manuais</v>
          </cell>
          <cell r="B1280">
            <v>0</v>
          </cell>
          <cell r="C1280">
            <v>0</v>
          </cell>
          <cell r="D1280">
            <v>29990</v>
          </cell>
        </row>
        <row r="1281">
          <cell r="A1281">
            <v>0</v>
          </cell>
          <cell r="B1281">
            <v>0</v>
          </cell>
          <cell r="C1281">
            <v>0</v>
          </cell>
          <cell r="D1281">
            <v>0</v>
          </cell>
        </row>
        <row r="1282">
          <cell r="A1282">
            <v>0</v>
          </cell>
          <cell r="B1282">
            <v>0</v>
          </cell>
          <cell r="C1282">
            <v>0</v>
          </cell>
          <cell r="D1282">
            <v>0</v>
          </cell>
        </row>
        <row r="1283">
          <cell r="A1283" t="str">
            <v>Custo horário da execução (A + B + C)</v>
          </cell>
          <cell r="B1283">
            <v>0</v>
          </cell>
          <cell r="C1283">
            <v>0</v>
          </cell>
          <cell r="D1283">
            <v>0</v>
          </cell>
        </row>
        <row r="1284">
          <cell r="A1284" t="str">
            <v xml:space="preserve"> (D) Produção da equipe</v>
          </cell>
          <cell r="B1284">
            <v>0</v>
          </cell>
          <cell r="C1284">
            <v>0</v>
          </cell>
          <cell r="D1284">
            <v>0</v>
          </cell>
        </row>
        <row r="1285">
          <cell r="A1285" t="str">
            <v>(E) Custo unitário da execução (A + B + C) / D</v>
          </cell>
          <cell r="B1285">
            <v>0</v>
          </cell>
          <cell r="C1285">
            <v>0</v>
          </cell>
          <cell r="D1285">
            <v>0</v>
          </cell>
        </row>
        <row r="1286">
          <cell r="A1286" t="str">
            <v>(F) Materiais</v>
          </cell>
          <cell r="B1286" t="str">
            <v>Base</v>
          </cell>
          <cell r="C1286" t="str">
            <v>Tipo</v>
          </cell>
          <cell r="D1286" t="str">
            <v>Código</v>
          </cell>
        </row>
        <row r="1287">
          <cell r="A1287" t="str">
            <v>POSTE DE CONCRETO ARMADO DE SECAO DUPLO T, EXTENSAO DE 12,00 M, RESISTENCIA DE 600 DAN, TIPO B</v>
          </cell>
          <cell r="B1287" t="str">
            <v>SINAPI</v>
          </cell>
          <cell r="C1287" t="str">
            <v>Material</v>
          </cell>
          <cell r="D1287">
            <v>41209</v>
          </cell>
        </row>
        <row r="1288">
          <cell r="A1288">
            <v>0</v>
          </cell>
          <cell r="B1288">
            <v>0</v>
          </cell>
          <cell r="C1288">
            <v>0</v>
          </cell>
          <cell r="D1288">
            <v>0</v>
          </cell>
        </row>
        <row r="1289">
          <cell r="A1289">
            <v>0</v>
          </cell>
          <cell r="B1289">
            <v>0</v>
          </cell>
          <cell r="C1289">
            <v>0</v>
          </cell>
          <cell r="D1289">
            <v>0</v>
          </cell>
        </row>
        <row r="1290">
          <cell r="A1290" t="str">
            <v>(G) Serviços</v>
          </cell>
          <cell r="B1290" t="str">
            <v>Base</v>
          </cell>
          <cell r="C1290" t="str">
            <v>Tipo</v>
          </cell>
          <cell r="D1290" t="str">
            <v>Código</v>
          </cell>
        </row>
        <row r="1291">
          <cell r="A1291" t="str">
            <v>Concreto magro, preparo em betoneira e lanç.</v>
          </cell>
          <cell r="B1291" t="str">
            <v>DER</v>
          </cell>
          <cell r="C1291" t="str">
            <v>Serviço</v>
          </cell>
          <cell r="D1291">
            <v>605000</v>
          </cell>
        </row>
        <row r="1292">
          <cell r="A1292">
            <v>0</v>
          </cell>
          <cell r="B1292">
            <v>0</v>
          </cell>
          <cell r="C1292">
            <v>0</v>
          </cell>
          <cell r="D1292">
            <v>0</v>
          </cell>
        </row>
        <row r="1293">
          <cell r="A1293">
            <v>0</v>
          </cell>
          <cell r="B1293">
            <v>0</v>
          </cell>
          <cell r="C1293">
            <v>0</v>
          </cell>
          <cell r="D1293">
            <v>0</v>
          </cell>
        </row>
        <row r="1296">
          <cell r="A1296" t="str">
            <v>CCU-064</v>
          </cell>
          <cell r="B1296" t="str">
            <v xml:space="preserve">UNIDADE </v>
          </cell>
          <cell r="C1296" t="str">
            <v>UND</v>
          </cell>
          <cell r="D1296" t="str">
            <v xml:space="preserve">REMOÇÃO DE BRAÇO E LUMINÁRIA EXISTENTE </v>
          </cell>
        </row>
        <row r="1297">
          <cell r="A1297" t="str">
            <v>(A) Equipamento</v>
          </cell>
          <cell r="B1297" t="str">
            <v>Base</v>
          </cell>
          <cell r="C1297" t="str">
            <v>Tipo</v>
          </cell>
          <cell r="D1297" t="str">
            <v>Código</v>
          </cell>
        </row>
        <row r="1298">
          <cell r="A1298" t="str">
            <v>CAMINHÃO C/ GUINDAUTO</v>
          </cell>
          <cell r="B1298" t="str">
            <v>DER</v>
          </cell>
          <cell r="C1298" t="str">
            <v>Equipamento</v>
          </cell>
          <cell r="D1298">
            <v>346020</v>
          </cell>
        </row>
        <row r="1299">
          <cell r="A1299">
            <v>0</v>
          </cell>
          <cell r="B1299">
            <v>0</v>
          </cell>
          <cell r="C1299">
            <v>0</v>
          </cell>
          <cell r="D1299">
            <v>0</v>
          </cell>
        </row>
        <row r="1300">
          <cell r="A1300">
            <v>0</v>
          </cell>
          <cell r="B1300">
            <v>0</v>
          </cell>
          <cell r="C1300">
            <v>0</v>
          </cell>
          <cell r="D1300">
            <v>0</v>
          </cell>
        </row>
        <row r="1301">
          <cell r="A1301">
            <v>0</v>
          </cell>
          <cell r="B1301">
            <v>0</v>
          </cell>
          <cell r="C1301">
            <v>0</v>
          </cell>
          <cell r="D1301">
            <v>0</v>
          </cell>
        </row>
        <row r="1302">
          <cell r="A1302" t="str">
            <v>(B) Mão de obra</v>
          </cell>
          <cell r="B1302" t="str">
            <v>Base</v>
          </cell>
          <cell r="C1302" t="str">
            <v>Tipo</v>
          </cell>
          <cell r="D1302" t="str">
            <v>Código</v>
          </cell>
        </row>
        <row r="1303">
          <cell r="A1303" t="str">
            <v>ELETRICISTA</v>
          </cell>
          <cell r="B1303" t="str">
            <v>DER</v>
          </cell>
          <cell r="C1303" t="str">
            <v>Mão de obra</v>
          </cell>
          <cell r="D1303">
            <v>210150</v>
          </cell>
        </row>
        <row r="1304">
          <cell r="A1304" t="str">
            <v>SERVENTE</v>
          </cell>
          <cell r="B1304" t="str">
            <v>DER</v>
          </cell>
          <cell r="C1304" t="str">
            <v>Mão de obra</v>
          </cell>
          <cell r="D1304">
            <v>200130</v>
          </cell>
        </row>
        <row r="1305">
          <cell r="A1305">
            <v>0</v>
          </cell>
          <cell r="B1305">
            <v>0</v>
          </cell>
          <cell r="C1305">
            <v>0</v>
          </cell>
          <cell r="D1305">
            <v>0</v>
          </cell>
        </row>
        <row r="1306">
          <cell r="A1306" t="str">
            <v>(C) Itens de incidência</v>
          </cell>
          <cell r="B1306" t="str">
            <v>Base</v>
          </cell>
          <cell r="C1306" t="str">
            <v>Tipo</v>
          </cell>
          <cell r="D1306" t="str">
            <v>Código</v>
          </cell>
        </row>
        <row r="1307">
          <cell r="A1307" t="str">
            <v>Ferramentas Manuais</v>
          </cell>
          <cell r="B1307">
            <v>0</v>
          </cell>
          <cell r="C1307">
            <v>0</v>
          </cell>
          <cell r="D1307">
            <v>29990</v>
          </cell>
        </row>
        <row r="1308">
          <cell r="A1308">
            <v>0</v>
          </cell>
          <cell r="B1308">
            <v>0</v>
          </cell>
          <cell r="C1308">
            <v>0</v>
          </cell>
          <cell r="D1308">
            <v>0</v>
          </cell>
        </row>
        <row r="1309">
          <cell r="A1309">
            <v>0</v>
          </cell>
          <cell r="B1309">
            <v>0</v>
          </cell>
          <cell r="C1309">
            <v>0</v>
          </cell>
          <cell r="D1309">
            <v>0</v>
          </cell>
        </row>
        <row r="1310">
          <cell r="A1310" t="str">
            <v>Custo horário da execução (A + B + C)</v>
          </cell>
          <cell r="B1310">
            <v>0</v>
          </cell>
          <cell r="C1310">
            <v>0</v>
          </cell>
          <cell r="D1310">
            <v>0</v>
          </cell>
        </row>
        <row r="1311">
          <cell r="A1311" t="str">
            <v xml:space="preserve"> (D) Produção da equipe</v>
          </cell>
          <cell r="B1311">
            <v>0</v>
          </cell>
          <cell r="C1311">
            <v>0</v>
          </cell>
          <cell r="D1311">
            <v>0</v>
          </cell>
        </row>
        <row r="1312">
          <cell r="A1312" t="str">
            <v>(E) Custo unitário da execução (A + B + C) / D</v>
          </cell>
          <cell r="B1312">
            <v>0</v>
          </cell>
          <cell r="C1312">
            <v>0</v>
          </cell>
          <cell r="D1312">
            <v>0</v>
          </cell>
        </row>
        <row r="1313">
          <cell r="A1313" t="str">
            <v>(F) Materiais</v>
          </cell>
          <cell r="B1313" t="str">
            <v>Base</v>
          </cell>
          <cell r="C1313" t="str">
            <v>Tipo</v>
          </cell>
          <cell r="D1313" t="str">
            <v>Código</v>
          </cell>
        </row>
        <row r="1314">
          <cell r="A1314">
            <v>0</v>
          </cell>
          <cell r="B1314">
            <v>0</v>
          </cell>
          <cell r="C1314">
            <v>0</v>
          </cell>
          <cell r="D1314">
            <v>0</v>
          </cell>
        </row>
        <row r="1315">
          <cell r="A1315">
            <v>0</v>
          </cell>
          <cell r="B1315">
            <v>0</v>
          </cell>
          <cell r="C1315">
            <v>0</v>
          </cell>
          <cell r="D1315">
            <v>0</v>
          </cell>
        </row>
        <row r="1316">
          <cell r="A1316">
            <v>0</v>
          </cell>
          <cell r="B1316">
            <v>0</v>
          </cell>
          <cell r="C1316">
            <v>0</v>
          </cell>
          <cell r="D1316">
            <v>0</v>
          </cell>
        </row>
        <row r="1317">
          <cell r="A1317" t="str">
            <v>(G) Serviços</v>
          </cell>
          <cell r="B1317" t="str">
            <v>Base</v>
          </cell>
          <cell r="C1317" t="str">
            <v>Tipo</v>
          </cell>
          <cell r="D1317" t="str">
            <v>Código</v>
          </cell>
        </row>
        <row r="1318">
          <cell r="A1318">
            <v>0</v>
          </cell>
          <cell r="B1318">
            <v>0</v>
          </cell>
          <cell r="C1318">
            <v>0</v>
          </cell>
          <cell r="D1318">
            <v>0</v>
          </cell>
        </row>
        <row r="1319">
          <cell r="A1319">
            <v>0</v>
          </cell>
          <cell r="B1319">
            <v>0</v>
          </cell>
          <cell r="C1319">
            <v>0</v>
          </cell>
          <cell r="D1319">
            <v>0</v>
          </cell>
        </row>
        <row r="1320">
          <cell r="A1320">
            <v>0</v>
          </cell>
          <cell r="B1320">
            <v>0</v>
          </cell>
          <cell r="C1320">
            <v>0</v>
          </cell>
          <cell r="D1320">
            <v>0</v>
          </cell>
        </row>
        <row r="1323">
          <cell r="A1323" t="str">
            <v>CCU-065</v>
          </cell>
          <cell r="B1323" t="str">
            <v xml:space="preserve">UNIDADE </v>
          </cell>
          <cell r="C1323" t="str">
            <v>UND</v>
          </cell>
          <cell r="D1323" t="str">
            <v>FORNECIMENTO E INSTALAÇÃO DE RAMAL DE ALIMENTAÇÃO ELÉTRICA TRIFÁSICO PARA ILUMINAÇÃO - PADRÃO COPEL -  CABO EM ALUMÍNIO MULTIPLEXADO (3+1) DE 10MM² COM NEUTRO ISOLADO</v>
          </cell>
        </row>
        <row r="1324">
          <cell r="A1324" t="str">
            <v>(A) Equipamento</v>
          </cell>
          <cell r="B1324" t="str">
            <v>Base</v>
          </cell>
          <cell r="C1324" t="str">
            <v>Tipo</v>
          </cell>
          <cell r="D1324" t="str">
            <v>Código</v>
          </cell>
        </row>
        <row r="1325">
          <cell r="A1325">
            <v>0</v>
          </cell>
          <cell r="B1325">
            <v>0</v>
          </cell>
          <cell r="C1325">
            <v>0</v>
          </cell>
          <cell r="D1325">
            <v>0</v>
          </cell>
        </row>
        <row r="1326">
          <cell r="A1326">
            <v>0</v>
          </cell>
          <cell r="B1326">
            <v>0</v>
          </cell>
          <cell r="C1326">
            <v>0</v>
          </cell>
          <cell r="D1326">
            <v>0</v>
          </cell>
        </row>
        <row r="1327">
          <cell r="A1327">
            <v>0</v>
          </cell>
          <cell r="B1327">
            <v>0</v>
          </cell>
          <cell r="C1327">
            <v>0</v>
          </cell>
          <cell r="D1327">
            <v>0</v>
          </cell>
        </row>
        <row r="1328">
          <cell r="A1328" t="str">
            <v>(B) Mão de obra</v>
          </cell>
          <cell r="B1328" t="str">
            <v>Base</v>
          </cell>
          <cell r="C1328" t="str">
            <v>Tipo</v>
          </cell>
          <cell r="D1328" t="str">
            <v>Código</v>
          </cell>
        </row>
        <row r="1329">
          <cell r="A1329" t="str">
            <v>ELETRICISTA</v>
          </cell>
          <cell r="B1329" t="str">
            <v>DER</v>
          </cell>
          <cell r="C1329" t="str">
            <v>Mão de obra</v>
          </cell>
          <cell r="D1329">
            <v>210150</v>
          </cell>
        </row>
        <row r="1330">
          <cell r="A1330" t="str">
            <v>SERVENTE</v>
          </cell>
          <cell r="B1330" t="str">
            <v>DER</v>
          </cell>
          <cell r="C1330" t="str">
            <v>Mão de obra</v>
          </cell>
          <cell r="D1330">
            <v>200130</v>
          </cell>
        </row>
        <row r="1331">
          <cell r="A1331">
            <v>0</v>
          </cell>
          <cell r="B1331">
            <v>0</v>
          </cell>
          <cell r="C1331">
            <v>0</v>
          </cell>
          <cell r="D1331">
            <v>0</v>
          </cell>
        </row>
        <row r="1332">
          <cell r="A1332" t="str">
            <v>(C) Itens de incidência</v>
          </cell>
          <cell r="B1332" t="str">
            <v>Base</v>
          </cell>
          <cell r="C1332" t="str">
            <v>Tipo</v>
          </cell>
          <cell r="D1332" t="str">
            <v>Código</v>
          </cell>
        </row>
        <row r="1333">
          <cell r="A1333" t="str">
            <v>Ferramentas Manuais</v>
          </cell>
          <cell r="B1333">
            <v>0</v>
          </cell>
          <cell r="C1333">
            <v>0</v>
          </cell>
          <cell r="D1333">
            <v>29990</v>
          </cell>
        </row>
        <row r="1334">
          <cell r="A1334">
            <v>0</v>
          </cell>
          <cell r="B1334">
            <v>0</v>
          </cell>
          <cell r="C1334">
            <v>0</v>
          </cell>
          <cell r="D1334">
            <v>0</v>
          </cell>
        </row>
        <row r="1335">
          <cell r="A1335">
            <v>0</v>
          </cell>
          <cell r="B1335">
            <v>0</v>
          </cell>
          <cell r="C1335">
            <v>0</v>
          </cell>
          <cell r="D1335">
            <v>0</v>
          </cell>
        </row>
        <row r="1336">
          <cell r="A1336" t="str">
            <v>Custo horário da execução (A + B + C)</v>
          </cell>
          <cell r="B1336">
            <v>0</v>
          </cell>
          <cell r="C1336">
            <v>0</v>
          </cell>
          <cell r="D1336">
            <v>0</v>
          </cell>
        </row>
        <row r="1337">
          <cell r="A1337" t="str">
            <v xml:space="preserve"> (D) Produção da equipe</v>
          </cell>
          <cell r="B1337">
            <v>0</v>
          </cell>
          <cell r="C1337">
            <v>0</v>
          </cell>
          <cell r="D1337">
            <v>0</v>
          </cell>
        </row>
        <row r="1338">
          <cell r="A1338" t="str">
            <v>(E) Custo unitário da execução (A + B + C) / D</v>
          </cell>
          <cell r="B1338">
            <v>0</v>
          </cell>
          <cell r="C1338">
            <v>0</v>
          </cell>
          <cell r="D1338">
            <v>0</v>
          </cell>
        </row>
        <row r="1339">
          <cell r="A1339" t="str">
            <v>(F) Materiais</v>
          </cell>
          <cell r="B1339" t="str">
            <v>Base</v>
          </cell>
          <cell r="C1339" t="str">
            <v>Tipo</v>
          </cell>
          <cell r="D1339" t="str">
            <v>Código</v>
          </cell>
        </row>
        <row r="1340">
          <cell r="A1340" t="str">
            <v>FITA ISOLANTE ADESIVA ANTICHAMA, USO ATE 750 V, EM ROLO DE 19 MM X 5 M</v>
          </cell>
          <cell r="B1340" t="str">
            <v>SINAPI</v>
          </cell>
          <cell r="C1340" t="str">
            <v>Material</v>
          </cell>
          <cell r="D1340">
            <v>21127</v>
          </cell>
        </row>
        <row r="1341">
          <cell r="A1341" t="str">
            <v>Ramal de Alimentação Elétrica Trifásico para Iluminação - padrão COPEL -  cabo em Alumínio Multiplexado (3+1) de 10mm² com neutro isolado</v>
          </cell>
          <cell r="B1341" t="str">
            <v>MERCADO</v>
          </cell>
          <cell r="C1341" t="str">
            <v>Cotação</v>
          </cell>
          <cell r="D1341" t="str">
            <v>COT-04</v>
          </cell>
        </row>
        <row r="1342">
          <cell r="A1342">
            <v>0</v>
          </cell>
          <cell r="B1342">
            <v>0</v>
          </cell>
          <cell r="C1342">
            <v>0</v>
          </cell>
          <cell r="D1342">
            <v>0</v>
          </cell>
        </row>
        <row r="1343">
          <cell r="A1343" t="str">
            <v>(G) Serviços</v>
          </cell>
          <cell r="B1343" t="str">
            <v>Base</v>
          </cell>
          <cell r="C1343" t="str">
            <v>Tipo</v>
          </cell>
          <cell r="D1343" t="str">
            <v>Código</v>
          </cell>
        </row>
        <row r="1344">
          <cell r="A1344">
            <v>0</v>
          </cell>
          <cell r="B1344">
            <v>0</v>
          </cell>
          <cell r="C1344">
            <v>0</v>
          </cell>
          <cell r="D1344">
            <v>0</v>
          </cell>
        </row>
        <row r="1345">
          <cell r="A1345">
            <v>0</v>
          </cell>
          <cell r="B1345">
            <v>0</v>
          </cell>
          <cell r="C1345">
            <v>0</v>
          </cell>
          <cell r="D1345">
            <v>0</v>
          </cell>
        </row>
        <row r="1346">
          <cell r="A1346">
            <v>0</v>
          </cell>
          <cell r="B1346">
            <v>0</v>
          </cell>
          <cell r="C1346">
            <v>0</v>
          </cell>
          <cell r="D1346">
            <v>0</v>
          </cell>
        </row>
        <row r="1349">
          <cell r="A1349" t="str">
            <v>CCUC-002</v>
          </cell>
          <cell r="B1349" t="str">
            <v>UNIDADE</v>
          </cell>
          <cell r="C1349" t="str">
            <v>M2</v>
          </cell>
          <cell r="D1349" t="str">
            <v>ALVENARIA DE TIJOLOS CERÂMICOS DE 6 FUROS (14X9X19CM) COM ESP.=14CM</v>
          </cell>
        </row>
        <row r="1350">
          <cell r="A1350" t="str">
            <v>(A) Equipamento</v>
          </cell>
          <cell r="B1350" t="str">
            <v>Base</v>
          </cell>
          <cell r="C1350" t="str">
            <v>Tipo</v>
          </cell>
          <cell r="D1350" t="str">
            <v>Código</v>
          </cell>
        </row>
        <row r="1351">
          <cell r="A1351">
            <v>0</v>
          </cell>
          <cell r="B1351">
            <v>0</v>
          </cell>
          <cell r="C1351">
            <v>0</v>
          </cell>
          <cell r="D1351">
            <v>0</v>
          </cell>
        </row>
        <row r="1352">
          <cell r="A1352">
            <v>0</v>
          </cell>
          <cell r="B1352">
            <v>0</v>
          </cell>
          <cell r="C1352">
            <v>0</v>
          </cell>
          <cell r="D1352">
            <v>0</v>
          </cell>
        </row>
        <row r="1353">
          <cell r="A1353">
            <v>0</v>
          </cell>
          <cell r="B1353">
            <v>0</v>
          </cell>
          <cell r="C1353">
            <v>0</v>
          </cell>
          <cell r="D1353">
            <v>0</v>
          </cell>
        </row>
        <row r="1354">
          <cell r="A1354" t="str">
            <v>(B) Mão de obra</v>
          </cell>
          <cell r="B1354" t="str">
            <v>Base</v>
          </cell>
          <cell r="C1354" t="str">
            <v>Tipo</v>
          </cell>
          <cell r="D1354" t="str">
            <v>Código</v>
          </cell>
        </row>
        <row r="1355">
          <cell r="A1355" t="str">
            <v>PEDREIRO</v>
          </cell>
          <cell r="B1355" t="str">
            <v>DER</v>
          </cell>
          <cell r="C1355" t="str">
            <v>Mão de obra</v>
          </cell>
          <cell r="D1355">
            <v>200260</v>
          </cell>
        </row>
        <row r="1356">
          <cell r="A1356" t="str">
            <v>SERVENTE</v>
          </cell>
          <cell r="B1356" t="str">
            <v>DER</v>
          </cell>
          <cell r="C1356" t="str">
            <v>Mão de obra</v>
          </cell>
          <cell r="D1356">
            <v>200130</v>
          </cell>
        </row>
        <row r="1357">
          <cell r="A1357">
            <v>0</v>
          </cell>
          <cell r="B1357">
            <v>0</v>
          </cell>
          <cell r="C1357">
            <v>0</v>
          </cell>
          <cell r="D1357">
            <v>0</v>
          </cell>
        </row>
        <row r="1358">
          <cell r="A1358" t="str">
            <v>(C) Itens de incidência</v>
          </cell>
          <cell r="B1358" t="str">
            <v>Base</v>
          </cell>
          <cell r="C1358" t="str">
            <v>Tipo</v>
          </cell>
          <cell r="D1358" t="str">
            <v>Código</v>
          </cell>
        </row>
        <row r="1359">
          <cell r="A1359">
            <v>0</v>
          </cell>
          <cell r="B1359">
            <v>0</v>
          </cell>
          <cell r="C1359">
            <v>0</v>
          </cell>
          <cell r="D1359">
            <v>0</v>
          </cell>
        </row>
        <row r="1360">
          <cell r="A1360">
            <v>0</v>
          </cell>
          <cell r="B1360">
            <v>0</v>
          </cell>
          <cell r="C1360">
            <v>0</v>
          </cell>
          <cell r="D1360">
            <v>0</v>
          </cell>
        </row>
        <row r="1361">
          <cell r="A1361">
            <v>0</v>
          </cell>
          <cell r="B1361">
            <v>0</v>
          </cell>
          <cell r="C1361">
            <v>0</v>
          </cell>
          <cell r="D1361">
            <v>0</v>
          </cell>
        </row>
        <row r="1362">
          <cell r="A1362" t="str">
            <v>Custo horário da execução (A + B + C)</v>
          </cell>
          <cell r="B1362">
            <v>0</v>
          </cell>
          <cell r="C1362">
            <v>0</v>
          </cell>
          <cell r="D1362">
            <v>0</v>
          </cell>
        </row>
        <row r="1363">
          <cell r="A1363" t="str">
            <v xml:space="preserve"> (D) Produção da equipe</v>
          </cell>
          <cell r="B1363">
            <v>0</v>
          </cell>
          <cell r="C1363">
            <v>0</v>
          </cell>
          <cell r="D1363">
            <v>0</v>
          </cell>
        </row>
        <row r="1364">
          <cell r="A1364" t="str">
            <v>(E) Custo unitário da execução (A + B + C) / D</v>
          </cell>
          <cell r="B1364">
            <v>0</v>
          </cell>
          <cell r="C1364">
            <v>0</v>
          </cell>
          <cell r="D1364">
            <v>0</v>
          </cell>
        </row>
        <row r="1365">
          <cell r="A1365" t="str">
            <v>(F) Materiais</v>
          </cell>
          <cell r="B1365" t="str">
            <v>Base</v>
          </cell>
          <cell r="C1365" t="str">
            <v>Tipo</v>
          </cell>
          <cell r="D1365" t="str">
            <v>Código</v>
          </cell>
        </row>
        <row r="1366">
          <cell r="A1366" t="str">
            <v>AREIA</v>
          </cell>
          <cell r="B1366" t="str">
            <v>DER</v>
          </cell>
          <cell r="C1366" t="str">
            <v>Material</v>
          </cell>
          <cell r="D1366">
            <v>139000</v>
          </cell>
        </row>
        <row r="1367">
          <cell r="A1367" t="str">
            <v>CAL HIDRATADA CH-I</v>
          </cell>
          <cell r="B1367" t="str">
            <v>DER</v>
          </cell>
          <cell r="C1367" t="str">
            <v>Material</v>
          </cell>
          <cell r="D1367">
            <v>170010</v>
          </cell>
        </row>
        <row r="1368">
          <cell r="A1368" t="str">
            <v>CIMENTO PORTLAND (SACO DE 50KG)</v>
          </cell>
          <cell r="B1368" t="str">
            <v>DER</v>
          </cell>
          <cell r="C1368" t="str">
            <v>Material</v>
          </cell>
          <cell r="D1368">
            <v>173200</v>
          </cell>
        </row>
        <row r="1369">
          <cell r="A1369" t="str">
            <v>TIJOLO 6 FUROS</v>
          </cell>
          <cell r="B1369" t="str">
            <v>DER</v>
          </cell>
          <cell r="C1369" t="str">
            <v>Material</v>
          </cell>
          <cell r="D1369">
            <v>100020</v>
          </cell>
        </row>
        <row r="1370">
          <cell r="A1370">
            <v>0</v>
          </cell>
          <cell r="B1370">
            <v>0</v>
          </cell>
          <cell r="C1370">
            <v>0</v>
          </cell>
          <cell r="D1370">
            <v>0</v>
          </cell>
        </row>
        <row r="1371">
          <cell r="A1371" t="str">
            <v>(G) Serviços</v>
          </cell>
          <cell r="B1371" t="str">
            <v>Base</v>
          </cell>
          <cell r="C1371" t="str">
            <v>Tipo</v>
          </cell>
          <cell r="D1371" t="str">
            <v>Código</v>
          </cell>
        </row>
        <row r="1372">
          <cell r="A1372">
            <v>0</v>
          </cell>
          <cell r="B1372">
            <v>0</v>
          </cell>
          <cell r="C1372">
            <v>0</v>
          </cell>
          <cell r="D1372">
            <v>0</v>
          </cell>
        </row>
        <row r="1373">
          <cell r="A1373">
            <v>0</v>
          </cell>
          <cell r="B1373">
            <v>0</v>
          </cell>
          <cell r="C1373">
            <v>0</v>
          </cell>
          <cell r="D1373">
            <v>0</v>
          </cell>
        </row>
        <row r="1374">
          <cell r="A1374">
            <v>0</v>
          </cell>
          <cell r="B1374">
            <v>0</v>
          </cell>
          <cell r="C1374">
            <v>0</v>
          </cell>
          <cell r="D1374">
            <v>0</v>
          </cell>
        </row>
        <row r="1376">
          <cell r="A1376" t="str">
            <v>CCU-067</v>
          </cell>
          <cell r="B1376" t="str">
            <v>UNIDADE:</v>
          </cell>
          <cell r="C1376" t="str">
            <v>UN</v>
          </cell>
          <cell r="D1376" t="str">
            <v>EXECUÇÃO DE RESERVATÓRIO ELEVADO DE ÁGUA DE 5.000 LITROS EM CANTEIRO DE OBRAS, APOIADO SOBRE ESTURUTRA DE MADEIRA</v>
          </cell>
        </row>
        <row r="1377">
          <cell r="A1377" t="str">
            <v>(A) Equipamento</v>
          </cell>
          <cell r="B1377" t="str">
            <v>Base</v>
          </cell>
          <cell r="C1377" t="str">
            <v>Tipo</v>
          </cell>
          <cell r="D1377" t="str">
            <v>Código</v>
          </cell>
        </row>
        <row r="1378">
          <cell r="A1378">
            <v>0</v>
          </cell>
          <cell r="B1378">
            <v>0</v>
          </cell>
          <cell r="C1378">
            <v>0</v>
          </cell>
          <cell r="D1378">
            <v>0</v>
          </cell>
        </row>
        <row r="1379">
          <cell r="A1379">
            <v>0</v>
          </cell>
          <cell r="B1379">
            <v>0</v>
          </cell>
          <cell r="C1379">
            <v>0</v>
          </cell>
          <cell r="D1379">
            <v>0</v>
          </cell>
        </row>
        <row r="1380">
          <cell r="A1380">
            <v>0</v>
          </cell>
          <cell r="B1380">
            <v>0</v>
          </cell>
          <cell r="C1380">
            <v>0</v>
          </cell>
          <cell r="D1380">
            <v>0</v>
          </cell>
        </row>
        <row r="1381">
          <cell r="A1381" t="str">
            <v>(B) Mão de obra</v>
          </cell>
          <cell r="B1381" t="str">
            <v>Base</v>
          </cell>
          <cell r="C1381" t="str">
            <v>Tipo</v>
          </cell>
          <cell r="D1381" t="str">
            <v>Código</v>
          </cell>
        </row>
        <row r="1382">
          <cell r="A1382">
            <v>0</v>
          </cell>
          <cell r="B1382">
            <v>0</v>
          </cell>
          <cell r="C1382">
            <v>0</v>
          </cell>
          <cell r="D1382">
            <v>0</v>
          </cell>
        </row>
        <row r="1383">
          <cell r="A1383">
            <v>0</v>
          </cell>
          <cell r="B1383">
            <v>0</v>
          </cell>
          <cell r="C1383">
            <v>0</v>
          </cell>
          <cell r="D1383">
            <v>0</v>
          </cell>
        </row>
        <row r="1384">
          <cell r="A1384">
            <v>0</v>
          </cell>
          <cell r="B1384">
            <v>0</v>
          </cell>
          <cell r="C1384">
            <v>0</v>
          </cell>
          <cell r="D1384">
            <v>0</v>
          </cell>
        </row>
        <row r="1385">
          <cell r="A1385" t="str">
            <v>(C) Itens de incidência</v>
          </cell>
          <cell r="B1385" t="str">
            <v>Base</v>
          </cell>
          <cell r="C1385" t="str">
            <v>Tipo</v>
          </cell>
          <cell r="D1385" t="str">
            <v>Código</v>
          </cell>
        </row>
        <row r="1386">
          <cell r="A1386">
            <v>0</v>
          </cell>
          <cell r="B1386">
            <v>0</v>
          </cell>
          <cell r="C1386">
            <v>0</v>
          </cell>
          <cell r="D1386">
            <v>0</v>
          </cell>
        </row>
        <row r="1387">
          <cell r="A1387">
            <v>0</v>
          </cell>
          <cell r="B1387">
            <v>0</v>
          </cell>
          <cell r="C1387">
            <v>0</v>
          </cell>
          <cell r="D1387">
            <v>0</v>
          </cell>
        </row>
        <row r="1388">
          <cell r="A1388">
            <v>0</v>
          </cell>
          <cell r="B1388">
            <v>0</v>
          </cell>
          <cell r="C1388">
            <v>0</v>
          </cell>
          <cell r="D1388">
            <v>0</v>
          </cell>
        </row>
        <row r="1389">
          <cell r="A1389" t="str">
            <v>Custo horário da execução (A + B + C)</v>
          </cell>
          <cell r="B1389">
            <v>0</v>
          </cell>
          <cell r="C1389">
            <v>0</v>
          </cell>
          <cell r="D1389">
            <v>0</v>
          </cell>
        </row>
        <row r="1390">
          <cell r="A1390" t="str">
            <v xml:space="preserve"> (D) Produção da equipe</v>
          </cell>
          <cell r="B1390">
            <v>0</v>
          </cell>
          <cell r="C1390">
            <v>0</v>
          </cell>
          <cell r="D1390">
            <v>0</v>
          </cell>
        </row>
        <row r="1391">
          <cell r="A1391" t="str">
            <v>(E) Custo unitário da execução (A + B + C) / D</v>
          </cell>
          <cell r="B1391">
            <v>0</v>
          </cell>
          <cell r="C1391">
            <v>0</v>
          </cell>
          <cell r="D1391">
            <v>0</v>
          </cell>
        </row>
        <row r="1392">
          <cell r="A1392" t="str">
            <v>(F) Materiais</v>
          </cell>
          <cell r="B1392" t="str">
            <v>Base</v>
          </cell>
          <cell r="C1392" t="str">
            <v>Tipo</v>
          </cell>
          <cell r="D1392" t="str">
            <v>Código</v>
          </cell>
        </row>
        <row r="1393">
          <cell r="A1393" t="str">
            <v>CAIXA D´ÁGUA EM POLIÉSTER REFORÇADO COM FIBRA DE VIDRO, 5000 LITROS - FORNECIMENTO E INSTALAÇÃO. AF_06/2021</v>
          </cell>
          <cell r="B1393" t="str">
            <v>SINAPI</v>
          </cell>
          <cell r="C1393" t="str">
            <v>Serviço</v>
          </cell>
          <cell r="D1393">
            <v>102617</v>
          </cell>
        </row>
        <row r="1394">
          <cell r="A1394" t="str">
            <v>JOELHO 90 GRAUS, PVC, SOLDÁVEL, DN 25MM, INSTALADO EM RAMAL DE DISTRIBUIÇÃO DE ÁGUA - FORNECIMENTO E INSTALAÇÃO. AF_06/2022</v>
          </cell>
          <cell r="B1394" t="str">
            <v>SINAPI</v>
          </cell>
          <cell r="C1394" t="str">
            <v>Serviço</v>
          </cell>
          <cell r="D1394">
            <v>89408</v>
          </cell>
        </row>
        <row r="1395">
          <cell r="A1395" t="str">
            <v>KIT DE REGISTRO DE GAVETA BRUTO DE LATÃO ¾", INCLUSIVE CONEXÕES, ROSCÁVEL, INSTALADO EM RAMAL DE ÁGUA FRIA - FORNECIMENTO E INSTALAÇÃO. AF_12/2014</v>
          </cell>
          <cell r="B1395" t="str">
            <v>SINAPI</v>
          </cell>
          <cell r="C1395" t="str">
            <v>Serviço</v>
          </cell>
          <cell r="D1395">
            <v>89972</v>
          </cell>
        </row>
        <row r="1396">
          <cell r="A1396" t="str">
            <v>TUBO, PVC, SOLDÁVEL, DN  25 MM, INSTALADO EM RESERVAÇÃO DE ÁGUA DE EDIFICAÇÃO QUE POSSUA RESERVATÓRIO DE FIBRA/FIBROCIMENTO   FORNECIMENTO E INSTALAÇÃO. AF_06/2016</v>
          </cell>
          <cell r="B1396" t="str">
            <v>SINAPI</v>
          </cell>
          <cell r="C1396" t="str">
            <v>Serviço</v>
          </cell>
          <cell r="D1396">
            <v>94648</v>
          </cell>
        </row>
        <row r="1397">
          <cell r="A1397" t="str">
            <v>TÊ, PVC, SOLDÁVEL, DN  25 MM INSTALADO EM RESERVAÇÃO DE ÁGUA DE EDIFICAÇÃO QUE POSSUA RESERVATÓRIO DE FIBRA/FIBROCIMENTO   FORNECIMENTO E INSTALAÇÃO. AF_06/2016</v>
          </cell>
          <cell r="B1397" t="str">
            <v>SINAPI</v>
          </cell>
          <cell r="C1397" t="str">
            <v>Serviço</v>
          </cell>
          <cell r="D1397">
            <v>94688</v>
          </cell>
        </row>
        <row r="1398">
          <cell r="A1398" t="str">
            <v>ADAPTADOR COM FLANGE E ANEL DE VEDAÇÃO, PVC, SOLDÁVEL, DN  25 MM X 3/4 , INSTALADO EM RESERVAÇÃO DE ÁGUA DE EDIFICAÇÃO QUE POSSUA RESERVATÓRIO DE FIBRA/FIBROCIMENTO   FORNECIMENTO E INSTALAÇÃO. AF_06/2016</v>
          </cell>
          <cell r="B1398" t="str">
            <v>SINAPI</v>
          </cell>
          <cell r="C1398" t="str">
            <v>Serviço</v>
          </cell>
          <cell r="D1398">
            <v>94703</v>
          </cell>
        </row>
        <row r="1399">
          <cell r="A1399" t="str">
            <v>TORNEIRA DE BOIA PARA CAIXA D'ÁGUA, ROSCÁVEL, 3/4" - FORNECIMENTO E INSTALAÇÃO. AF_08/2021</v>
          </cell>
          <cell r="B1399" t="str">
            <v>SINAPI</v>
          </cell>
          <cell r="C1399" t="str">
            <v>Serviço</v>
          </cell>
          <cell r="D1399">
            <v>94796</v>
          </cell>
        </row>
        <row r="1400">
          <cell r="A1400" t="str">
            <v>ESTRUTURA DE MADEIRA PROVISÓRIA PARA SUPORTE DE CAIXA D ÁGUA ELEVADA DE 3000 LITROS. AF_05/2018_PS</v>
          </cell>
          <cell r="B1400" t="str">
            <v>SINAPI</v>
          </cell>
          <cell r="C1400" t="str">
            <v>Serviço</v>
          </cell>
          <cell r="D1400">
            <v>98462</v>
          </cell>
        </row>
        <row r="1401">
          <cell r="A1401">
            <v>0</v>
          </cell>
          <cell r="B1401">
            <v>0</v>
          </cell>
          <cell r="C1401">
            <v>0</v>
          </cell>
          <cell r="D1401">
            <v>0</v>
          </cell>
        </row>
        <row r="1402">
          <cell r="A1402">
            <v>0</v>
          </cell>
          <cell r="B1402">
            <v>0</v>
          </cell>
          <cell r="C1402">
            <v>0</v>
          </cell>
          <cell r="D1402">
            <v>0</v>
          </cell>
        </row>
        <row r="1403">
          <cell r="A1403" t="str">
            <v>(G) Serviços</v>
          </cell>
          <cell r="B1403" t="str">
            <v>Base</v>
          </cell>
          <cell r="C1403" t="str">
            <v>Tipo</v>
          </cell>
          <cell r="D1403" t="str">
            <v>Código</v>
          </cell>
        </row>
        <row r="1404">
          <cell r="A1404">
            <v>0</v>
          </cell>
          <cell r="B1404">
            <v>0</v>
          </cell>
          <cell r="C1404">
            <v>0</v>
          </cell>
          <cell r="D1404">
            <v>0</v>
          </cell>
        </row>
        <row r="1405">
          <cell r="A1405">
            <v>0</v>
          </cell>
          <cell r="B1405">
            <v>0</v>
          </cell>
          <cell r="C1405">
            <v>0</v>
          </cell>
          <cell r="D1405">
            <v>0</v>
          </cell>
        </row>
        <row r="1406">
          <cell r="A1406">
            <v>0</v>
          </cell>
          <cell r="B1406">
            <v>0</v>
          </cell>
          <cell r="C1406">
            <v>0</v>
          </cell>
          <cell r="D1406">
            <v>0</v>
          </cell>
        </row>
        <row r="1407">
          <cell r="A1407" t="str">
            <v>CCU-068</v>
          </cell>
          <cell r="B1407" t="str">
            <v>UNIDADE:</v>
          </cell>
          <cell r="C1407" t="str">
            <v>M3</v>
          </cell>
          <cell r="D1407" t="str">
            <v>CORTE/LIMPEZA, CLASSIFICAÇÃO, ENLEIRAMENTO, CARGA E TRANSPORTE DE ÁRVORES (VOLUME ESTÉREO)  COM DISTÂNCIA DE 20KM</v>
          </cell>
        </row>
        <row r="1408">
          <cell r="A1408" t="str">
            <v>(A) Equipamento</v>
          </cell>
          <cell r="B1408" t="str">
            <v>Base</v>
          </cell>
          <cell r="C1408" t="str">
            <v>Tipo</v>
          </cell>
          <cell r="D1408" t="str">
            <v>Código</v>
          </cell>
        </row>
        <row r="1409">
          <cell r="A1409" t="str">
            <v>CAMINHÃO C/ GUINDAUTO</v>
          </cell>
          <cell r="B1409" t="str">
            <v>DER</v>
          </cell>
          <cell r="C1409" t="str">
            <v>Equipamento</v>
          </cell>
          <cell r="D1409">
            <v>346020</v>
          </cell>
        </row>
        <row r="1410">
          <cell r="A1410" t="str">
            <v>CARREG. FRONTAL PNEUS 924-K MÉDIA</v>
          </cell>
          <cell r="B1410" t="str">
            <v>DER</v>
          </cell>
          <cell r="C1410" t="str">
            <v>Equipamento</v>
          </cell>
          <cell r="D1410">
            <v>329300</v>
          </cell>
        </row>
        <row r="1411">
          <cell r="A1411" t="str">
            <v>MOTOSSERRA A GASOLINA</v>
          </cell>
          <cell r="B1411" t="str">
            <v>DER</v>
          </cell>
          <cell r="C1411" t="str">
            <v>Equipamento</v>
          </cell>
          <cell r="D1411">
            <v>370200</v>
          </cell>
        </row>
        <row r="1412">
          <cell r="A1412" t="str">
            <v>TRATOR AGRÍCOLA  5105 4X4</v>
          </cell>
          <cell r="B1412" t="str">
            <v>DER</v>
          </cell>
          <cell r="C1412" t="str">
            <v>Equipamento</v>
          </cell>
          <cell r="D1412">
            <v>341000</v>
          </cell>
        </row>
        <row r="1413">
          <cell r="A1413">
            <v>0</v>
          </cell>
          <cell r="B1413">
            <v>0</v>
          </cell>
          <cell r="C1413">
            <v>0</v>
          </cell>
          <cell r="D1413">
            <v>0</v>
          </cell>
        </row>
        <row r="1414">
          <cell r="A1414" t="str">
            <v>(B) Mão de obra</v>
          </cell>
          <cell r="B1414" t="str">
            <v>Base</v>
          </cell>
          <cell r="C1414" t="str">
            <v>Tipo</v>
          </cell>
          <cell r="D1414" t="str">
            <v>Código</v>
          </cell>
        </row>
        <row r="1415">
          <cell r="A1415" t="str">
            <v>CLASSIFICADOR DE MADEIRA</v>
          </cell>
          <cell r="B1415" t="str">
            <v>DER</v>
          </cell>
          <cell r="C1415" t="str">
            <v>Mão de obra</v>
          </cell>
          <cell r="D1415">
            <v>200311</v>
          </cell>
        </row>
        <row r="1416">
          <cell r="A1416" t="str">
            <v>Encarregado de Serviço</v>
          </cell>
          <cell r="B1416">
            <v>0</v>
          </cell>
          <cell r="C1416">
            <v>0</v>
          </cell>
          <cell r="D1416">
            <v>210060</v>
          </cell>
        </row>
        <row r="1417">
          <cell r="A1417" t="str">
            <v>Operador de equipamentos manuais</v>
          </cell>
          <cell r="B1417">
            <v>0</v>
          </cell>
          <cell r="C1417">
            <v>0</v>
          </cell>
          <cell r="D1417">
            <v>200160</v>
          </cell>
        </row>
        <row r="1418">
          <cell r="A1418" t="str">
            <v>Servente</v>
          </cell>
          <cell r="B1418">
            <v>0</v>
          </cell>
          <cell r="C1418">
            <v>0</v>
          </cell>
          <cell r="D1418">
            <v>200130</v>
          </cell>
        </row>
        <row r="1419">
          <cell r="A1419">
            <v>0</v>
          </cell>
          <cell r="B1419">
            <v>0</v>
          </cell>
          <cell r="C1419">
            <v>0</v>
          </cell>
          <cell r="D1419">
            <v>0</v>
          </cell>
        </row>
        <row r="1420">
          <cell r="A1420" t="str">
            <v>(C) Itens de incidência</v>
          </cell>
          <cell r="B1420" t="str">
            <v>Base</v>
          </cell>
          <cell r="C1420" t="str">
            <v>Tipo</v>
          </cell>
          <cell r="D1420" t="str">
            <v>Código</v>
          </cell>
        </row>
        <row r="1421">
          <cell r="A1421" t="str">
            <v>Ferramentas manuais</v>
          </cell>
          <cell r="B1421">
            <v>0</v>
          </cell>
          <cell r="C1421">
            <v>0</v>
          </cell>
          <cell r="D1421">
            <v>29990</v>
          </cell>
        </row>
        <row r="1422">
          <cell r="A1422">
            <v>0</v>
          </cell>
          <cell r="B1422">
            <v>0</v>
          </cell>
          <cell r="C1422">
            <v>0</v>
          </cell>
          <cell r="D1422">
            <v>0</v>
          </cell>
        </row>
        <row r="1423">
          <cell r="A1423">
            <v>0</v>
          </cell>
          <cell r="B1423">
            <v>0</v>
          </cell>
          <cell r="C1423">
            <v>0</v>
          </cell>
          <cell r="D1423">
            <v>0</v>
          </cell>
        </row>
        <row r="1424">
          <cell r="A1424" t="str">
            <v>Custo horário da execução (A + B + C)</v>
          </cell>
          <cell r="B1424">
            <v>0</v>
          </cell>
          <cell r="C1424">
            <v>0</v>
          </cell>
          <cell r="D1424">
            <v>0</v>
          </cell>
        </row>
        <row r="1425">
          <cell r="A1425" t="str">
            <v xml:space="preserve"> (D) Produção da equipe</v>
          </cell>
          <cell r="B1425">
            <v>0</v>
          </cell>
          <cell r="C1425">
            <v>0</v>
          </cell>
          <cell r="D1425">
            <v>0</v>
          </cell>
        </row>
        <row r="1426">
          <cell r="A1426" t="str">
            <v>(E) Custo unitário da execução (A + B + C) / D</v>
          </cell>
          <cell r="B1426">
            <v>0</v>
          </cell>
          <cell r="C1426">
            <v>0</v>
          </cell>
          <cell r="D1426">
            <v>0</v>
          </cell>
        </row>
        <row r="1427">
          <cell r="A1427" t="str">
            <v>(F) Materiais</v>
          </cell>
          <cell r="B1427" t="str">
            <v>Base</v>
          </cell>
          <cell r="C1427" t="str">
            <v>Tipo</v>
          </cell>
          <cell r="D1427" t="str">
            <v>Código</v>
          </cell>
        </row>
        <row r="1428">
          <cell r="A1428">
            <v>0</v>
          </cell>
          <cell r="B1428">
            <v>0</v>
          </cell>
          <cell r="C1428">
            <v>0</v>
          </cell>
          <cell r="D1428">
            <v>0</v>
          </cell>
        </row>
        <row r="1429">
          <cell r="A1429">
            <v>0</v>
          </cell>
          <cell r="B1429">
            <v>0</v>
          </cell>
          <cell r="C1429">
            <v>0</v>
          </cell>
          <cell r="D1429">
            <v>0</v>
          </cell>
        </row>
        <row r="1430">
          <cell r="A1430">
            <v>0</v>
          </cell>
          <cell r="B1430">
            <v>0</v>
          </cell>
          <cell r="C1430">
            <v>0</v>
          </cell>
          <cell r="D1430">
            <v>0</v>
          </cell>
        </row>
        <row r="1431">
          <cell r="A1431">
            <v>0</v>
          </cell>
          <cell r="B1431">
            <v>0</v>
          </cell>
          <cell r="C1431">
            <v>0</v>
          </cell>
          <cell r="D1431">
            <v>0</v>
          </cell>
        </row>
        <row r="1432">
          <cell r="A1432">
            <v>0</v>
          </cell>
          <cell r="B1432">
            <v>0</v>
          </cell>
          <cell r="C1432">
            <v>0</v>
          </cell>
          <cell r="D1432">
            <v>0</v>
          </cell>
        </row>
        <row r="1433">
          <cell r="A1433">
            <v>0</v>
          </cell>
          <cell r="B1433">
            <v>0</v>
          </cell>
          <cell r="C1433">
            <v>0</v>
          </cell>
          <cell r="D1433">
            <v>0</v>
          </cell>
        </row>
        <row r="1434">
          <cell r="A1434">
            <v>0</v>
          </cell>
          <cell r="B1434">
            <v>0</v>
          </cell>
          <cell r="C1434">
            <v>0</v>
          </cell>
          <cell r="D1434">
            <v>0</v>
          </cell>
        </row>
        <row r="1435">
          <cell r="A1435">
            <v>0</v>
          </cell>
          <cell r="B1435">
            <v>0</v>
          </cell>
          <cell r="C1435">
            <v>0</v>
          </cell>
          <cell r="D1435">
            <v>0</v>
          </cell>
        </row>
        <row r="1436">
          <cell r="A1436">
            <v>0</v>
          </cell>
          <cell r="B1436">
            <v>0</v>
          </cell>
          <cell r="C1436">
            <v>0</v>
          </cell>
          <cell r="D1436">
            <v>0</v>
          </cell>
        </row>
        <row r="1437">
          <cell r="A1437">
            <v>0</v>
          </cell>
          <cell r="B1437">
            <v>0</v>
          </cell>
          <cell r="C1437">
            <v>0</v>
          </cell>
          <cell r="D1437">
            <v>0</v>
          </cell>
        </row>
        <row r="1438">
          <cell r="A1438" t="str">
            <v>(G) Serviços</v>
          </cell>
          <cell r="B1438" t="str">
            <v>Base</v>
          </cell>
          <cell r="C1438" t="str">
            <v>Tipo</v>
          </cell>
          <cell r="D1438" t="str">
            <v>Código</v>
          </cell>
        </row>
        <row r="1439">
          <cell r="A1439">
            <v>0</v>
          </cell>
          <cell r="B1439">
            <v>0</v>
          </cell>
          <cell r="C1439">
            <v>0</v>
          </cell>
          <cell r="D1439">
            <v>0</v>
          </cell>
        </row>
        <row r="1440">
          <cell r="A1440">
            <v>0</v>
          </cell>
          <cell r="B1440">
            <v>0</v>
          </cell>
          <cell r="C1440">
            <v>0</v>
          </cell>
          <cell r="D1440">
            <v>0</v>
          </cell>
        </row>
        <row r="1441">
          <cell r="A1441">
            <v>0</v>
          </cell>
          <cell r="B1441">
            <v>0</v>
          </cell>
          <cell r="C1441">
            <v>0</v>
          </cell>
          <cell r="D1441">
            <v>0</v>
          </cell>
        </row>
        <row r="1442">
          <cell r="A1442" t="str">
            <v>CCUC-003</v>
          </cell>
          <cell r="B1442" t="str">
            <v>UNIDADE:</v>
          </cell>
          <cell r="C1442" t="str">
            <v>M3</v>
          </cell>
          <cell r="D1442" t="str">
            <v>ARGAMASSA TRAÇO 1:2:8 PARA EMBOÇO/REBOCO COM PREPARO MECÂNICO</v>
          </cell>
        </row>
        <row r="1443">
          <cell r="A1443" t="str">
            <v>(A) Equipamento</v>
          </cell>
          <cell r="B1443" t="str">
            <v>Base</v>
          </cell>
          <cell r="C1443" t="str">
            <v>Tipo</v>
          </cell>
          <cell r="D1443" t="str">
            <v>Código</v>
          </cell>
        </row>
        <row r="1444">
          <cell r="A1444">
            <v>0</v>
          </cell>
          <cell r="B1444">
            <v>0</v>
          </cell>
          <cell r="C1444">
            <v>0</v>
          </cell>
          <cell r="D1444">
            <v>0</v>
          </cell>
        </row>
        <row r="1445">
          <cell r="A1445">
            <v>0</v>
          </cell>
          <cell r="B1445">
            <v>0</v>
          </cell>
          <cell r="C1445">
            <v>0</v>
          </cell>
          <cell r="D1445">
            <v>0</v>
          </cell>
        </row>
        <row r="1446">
          <cell r="A1446">
            <v>0</v>
          </cell>
          <cell r="B1446">
            <v>0</v>
          </cell>
          <cell r="C1446">
            <v>0</v>
          </cell>
          <cell r="D1446">
            <v>0</v>
          </cell>
        </row>
        <row r="1447">
          <cell r="A1447" t="str">
            <v>(B) Mão de obra</v>
          </cell>
          <cell r="B1447" t="str">
            <v>Base</v>
          </cell>
          <cell r="C1447" t="str">
            <v>Tipo</v>
          </cell>
          <cell r="D1447" t="str">
            <v>Código</v>
          </cell>
        </row>
        <row r="1448">
          <cell r="A1448" t="str">
            <v>PEDREIRO</v>
          </cell>
          <cell r="B1448" t="str">
            <v>DER</v>
          </cell>
          <cell r="C1448" t="str">
            <v>Mão de obra</v>
          </cell>
          <cell r="D1448">
            <v>200260</v>
          </cell>
        </row>
        <row r="1449">
          <cell r="A1449" t="str">
            <v>SERVENTE</v>
          </cell>
          <cell r="B1449" t="str">
            <v>DER</v>
          </cell>
          <cell r="C1449" t="str">
            <v>Mão de obra</v>
          </cell>
          <cell r="D1449">
            <v>200130</v>
          </cell>
        </row>
        <row r="1450">
          <cell r="A1450">
            <v>0</v>
          </cell>
          <cell r="B1450">
            <v>0</v>
          </cell>
          <cell r="C1450">
            <v>0</v>
          </cell>
          <cell r="D1450">
            <v>0</v>
          </cell>
        </row>
        <row r="1451">
          <cell r="A1451" t="str">
            <v>(C) Itens de incidência</v>
          </cell>
          <cell r="B1451" t="str">
            <v>Base</v>
          </cell>
          <cell r="C1451" t="str">
            <v>Tipo</v>
          </cell>
          <cell r="D1451" t="str">
            <v>Código</v>
          </cell>
        </row>
        <row r="1452">
          <cell r="A1452" t="str">
            <v>Ferramentas manuais</v>
          </cell>
          <cell r="B1452">
            <v>0</v>
          </cell>
          <cell r="C1452">
            <v>0</v>
          </cell>
          <cell r="D1452">
            <v>29990</v>
          </cell>
        </row>
        <row r="1453">
          <cell r="A1453">
            <v>0</v>
          </cell>
          <cell r="B1453">
            <v>0</v>
          </cell>
          <cell r="C1453">
            <v>0</v>
          </cell>
          <cell r="D1453">
            <v>0</v>
          </cell>
        </row>
        <row r="1454">
          <cell r="A1454" t="str">
            <v>Custo horário da execução (A + B + C)</v>
          </cell>
          <cell r="B1454">
            <v>0</v>
          </cell>
          <cell r="C1454">
            <v>0</v>
          </cell>
          <cell r="D1454">
            <v>0</v>
          </cell>
        </row>
        <row r="1455">
          <cell r="A1455" t="str">
            <v xml:space="preserve"> (D) Produção da equipe</v>
          </cell>
          <cell r="B1455">
            <v>0</v>
          </cell>
          <cell r="C1455">
            <v>0</v>
          </cell>
          <cell r="D1455">
            <v>0</v>
          </cell>
        </row>
        <row r="1456">
          <cell r="A1456" t="str">
            <v>(E) Custo unitário da execução (A + B + C) / D</v>
          </cell>
          <cell r="B1456">
            <v>0</v>
          </cell>
          <cell r="C1456">
            <v>0</v>
          </cell>
          <cell r="D1456">
            <v>0</v>
          </cell>
        </row>
        <row r="1457">
          <cell r="A1457" t="str">
            <v>(F) Materiais</v>
          </cell>
          <cell r="B1457" t="str">
            <v>Base</v>
          </cell>
          <cell r="C1457" t="str">
            <v>Tipo</v>
          </cell>
          <cell r="D1457" t="str">
            <v>Código</v>
          </cell>
        </row>
        <row r="1458">
          <cell r="A1458" t="str">
            <v>AREIA</v>
          </cell>
          <cell r="B1458" t="str">
            <v>DER</v>
          </cell>
          <cell r="C1458" t="str">
            <v>Material</v>
          </cell>
          <cell r="D1458">
            <v>139000</v>
          </cell>
        </row>
        <row r="1459">
          <cell r="A1459" t="str">
            <v>CAL HIDRATADA CH-I</v>
          </cell>
          <cell r="B1459" t="str">
            <v>DER</v>
          </cell>
          <cell r="C1459" t="str">
            <v>Material</v>
          </cell>
          <cell r="D1459">
            <v>170010</v>
          </cell>
        </row>
        <row r="1460">
          <cell r="A1460" t="str">
            <v>CIMENTO PORTLAND (SACO DE 50KG)</v>
          </cell>
          <cell r="B1460" t="str">
            <v>DER</v>
          </cell>
          <cell r="C1460" t="str">
            <v>Material</v>
          </cell>
          <cell r="D1460">
            <v>173200</v>
          </cell>
        </row>
        <row r="1461">
          <cell r="A1461">
            <v>0</v>
          </cell>
          <cell r="B1461">
            <v>0</v>
          </cell>
          <cell r="C1461">
            <v>0</v>
          </cell>
          <cell r="D1461">
            <v>0</v>
          </cell>
        </row>
        <row r="1462">
          <cell r="A1462">
            <v>0</v>
          </cell>
          <cell r="B1462">
            <v>0</v>
          </cell>
          <cell r="C1462">
            <v>0</v>
          </cell>
          <cell r="D1462">
            <v>0</v>
          </cell>
        </row>
        <row r="1463">
          <cell r="A1463">
            <v>0</v>
          </cell>
          <cell r="B1463">
            <v>0</v>
          </cell>
          <cell r="C1463">
            <v>0</v>
          </cell>
          <cell r="D1463">
            <v>0</v>
          </cell>
        </row>
        <row r="1464">
          <cell r="A1464" t="str">
            <v>(G) Serviços</v>
          </cell>
          <cell r="B1464" t="str">
            <v>Base</v>
          </cell>
          <cell r="C1464" t="str">
            <v>Tipo</v>
          </cell>
          <cell r="D1464" t="str">
            <v>Código</v>
          </cell>
        </row>
        <row r="1465">
          <cell r="A1465">
            <v>0</v>
          </cell>
          <cell r="B1465">
            <v>0</v>
          </cell>
          <cell r="C1465">
            <v>0</v>
          </cell>
          <cell r="D1465">
            <v>0</v>
          </cell>
        </row>
        <row r="1466">
          <cell r="A1466">
            <v>0</v>
          </cell>
          <cell r="B1466">
            <v>0</v>
          </cell>
          <cell r="C1466">
            <v>0</v>
          </cell>
          <cell r="D1466">
            <v>0</v>
          </cell>
        </row>
        <row r="1467">
          <cell r="A1467">
            <v>0</v>
          </cell>
          <cell r="B1467">
            <v>0</v>
          </cell>
          <cell r="C1467">
            <v>0</v>
          </cell>
          <cell r="D1467">
            <v>0</v>
          </cell>
        </row>
      </sheetData>
      <sheetData sheetId="11" refreshError="1"/>
      <sheetData sheetId="12" refreshError="1"/>
      <sheetData sheetId="13" refreshError="1"/>
      <sheetData sheetId="14" refreshError="1">
        <row r="2">
          <cell r="A2" t="str">
            <v>AGÊNCIA DE ASSUNTOS METROPOLITANOS DO PARANÁ - AMEP</v>
          </cell>
          <cell r="B2">
            <v>0</v>
          </cell>
          <cell r="C2">
            <v>0</v>
          </cell>
        </row>
        <row r="3">
          <cell r="A3" t="str">
            <v>EXECUÇÃO DE OBRA DE ENGENHARIA PARA PAVIMENTAÇÃO DA ESTRADA DE LIGAÇÃO ENTRE SÃO JOSÉ DOS PINHAIS E MANDIRITUBA</v>
          </cell>
          <cell r="B3">
            <v>0</v>
          </cell>
          <cell r="C3">
            <v>0</v>
          </cell>
        </row>
        <row r="4">
          <cell r="A4">
            <v>0</v>
          </cell>
          <cell r="B4">
            <v>0</v>
          </cell>
          <cell r="C4">
            <v>0</v>
          </cell>
        </row>
        <row r="5">
          <cell r="A5" t="str">
            <v>RESPONSÁVEL PELO ORÇAMENTO: ENGª CIBELE CRISTINE MELLO FRANCZAK | CREA: 148.511-D/PR | ART Nº</v>
          </cell>
          <cell r="B5">
            <v>0</v>
          </cell>
          <cell r="C5">
            <v>0</v>
          </cell>
        </row>
        <row r="6">
          <cell r="A6">
            <v>0</v>
          </cell>
          <cell r="B6">
            <v>0</v>
          </cell>
          <cell r="C6">
            <v>0</v>
          </cell>
        </row>
        <row r="7">
          <cell r="A7">
            <v>0</v>
          </cell>
          <cell r="B7">
            <v>0</v>
          </cell>
          <cell r="C7">
            <v>0</v>
          </cell>
        </row>
        <row r="8">
          <cell r="A8" t="str">
            <v>CUSTOS DE MATERIAIS - DER/PR - FEVEREIRO/2023 - COM DESONERAÇÃO</v>
          </cell>
          <cell r="B8">
            <v>0</v>
          </cell>
          <cell r="C8">
            <v>0</v>
          </cell>
        </row>
        <row r="9">
          <cell r="A9" t="str">
            <v>CÓDIGO</v>
          </cell>
          <cell r="B9" t="str">
            <v xml:space="preserve">DESCRIÇÃO </v>
          </cell>
          <cell r="C9" t="str">
            <v xml:space="preserve">UNIDADE </v>
          </cell>
        </row>
        <row r="10">
          <cell r="A10">
            <v>178110</v>
          </cell>
          <cell r="B10" t="str">
            <v>ADITIVO CONTROLADOR DE RUPTURA EMULSÃO</v>
          </cell>
          <cell r="C10" t="str">
            <v>KG</v>
          </cell>
        </row>
        <row r="11">
          <cell r="A11">
            <v>178150</v>
          </cell>
          <cell r="B11" t="str">
            <v>ADITIVO HIPERPLASTIFICANTE</v>
          </cell>
          <cell r="C11" t="str">
            <v>KG</v>
          </cell>
        </row>
        <row r="12">
          <cell r="A12">
            <v>178170</v>
          </cell>
          <cell r="B12" t="str">
            <v>ADITIVO PLASTIFICANTE</v>
          </cell>
          <cell r="C12" t="str">
            <v>L</v>
          </cell>
        </row>
        <row r="13">
          <cell r="A13">
            <v>178120</v>
          </cell>
          <cell r="B13" t="str">
            <v>ADITIVO SÓLIDO COM FIBRAS P/MICROREVESTIMENTO</v>
          </cell>
          <cell r="C13" t="str">
            <v>KG</v>
          </cell>
        </row>
        <row r="14">
          <cell r="A14">
            <v>178130</v>
          </cell>
          <cell r="B14" t="str">
            <v>ADITIVO SUPERPLASTIFICANTE</v>
          </cell>
          <cell r="C14" t="str">
            <v>KG</v>
          </cell>
        </row>
        <row r="15">
          <cell r="A15">
            <v>141480</v>
          </cell>
          <cell r="B15" t="str">
            <v>ADUBO NPK 4:14:8</v>
          </cell>
          <cell r="C15" t="str">
            <v>KG</v>
          </cell>
        </row>
        <row r="16">
          <cell r="A16">
            <v>143100</v>
          </cell>
          <cell r="B16" t="str">
            <v>ADUBO NPK 4:30:10</v>
          </cell>
          <cell r="C16" t="str">
            <v>KG</v>
          </cell>
        </row>
        <row r="17">
          <cell r="A17">
            <v>178180</v>
          </cell>
          <cell r="B17" t="str">
            <v>AGENTE DE CURA QUÍMICA P/CONCRETO</v>
          </cell>
          <cell r="C17" t="str">
            <v>L</v>
          </cell>
        </row>
        <row r="18">
          <cell r="A18">
            <v>150040</v>
          </cell>
          <cell r="B18" t="str">
            <v>APOIO ELASTOMÉRICO FRETADO</v>
          </cell>
          <cell r="C18" t="str">
            <v>KG</v>
          </cell>
        </row>
        <row r="19">
          <cell r="A19">
            <v>105000</v>
          </cell>
          <cell r="B19" t="str">
            <v>ARAME FARPADO Nº 16</v>
          </cell>
          <cell r="C19" t="str">
            <v>M</v>
          </cell>
        </row>
        <row r="20">
          <cell r="A20">
            <v>150180</v>
          </cell>
          <cell r="B20" t="str">
            <v>ARAME RECOZIDO Nº 18</v>
          </cell>
          <cell r="C20" t="str">
            <v>KG</v>
          </cell>
        </row>
        <row r="21">
          <cell r="A21">
            <v>139000</v>
          </cell>
          <cell r="B21" t="str">
            <v>AREIA</v>
          </cell>
          <cell r="C21" t="str">
            <v>M3</v>
          </cell>
        </row>
        <row r="22">
          <cell r="A22">
            <v>170300</v>
          </cell>
          <cell r="B22" t="str">
            <v>ASFALTO DILUIDO CM-30</v>
          </cell>
          <cell r="C22" t="str">
            <v>T</v>
          </cell>
        </row>
        <row r="23">
          <cell r="A23">
            <v>170600</v>
          </cell>
          <cell r="B23" t="str">
            <v>ASFALTO MODIFICADO POR BORRACHA</v>
          </cell>
          <cell r="C23" t="str">
            <v>T</v>
          </cell>
        </row>
        <row r="24">
          <cell r="A24">
            <v>180450</v>
          </cell>
          <cell r="B24" t="str">
            <v>BALDE PLÁSTICO TRÂNSLÚCIDO 8/10 LITROS H=27/30CM</v>
          </cell>
          <cell r="C24" t="str">
            <v>UD</v>
          </cell>
        </row>
        <row r="25">
          <cell r="A25">
            <v>180000</v>
          </cell>
          <cell r="B25" t="str">
            <v>BALIZADOR DE PLÁSTICO 947X120MM REFLETIVO</v>
          </cell>
          <cell r="C25" t="str">
            <v>UD</v>
          </cell>
        </row>
        <row r="26">
          <cell r="A26">
            <v>106450</v>
          </cell>
          <cell r="B26" t="str">
            <v>BARRA CHATA 1" X 3/8" (2,0 KG/M)</v>
          </cell>
          <cell r="C26" t="str">
            <v>KG</v>
          </cell>
        </row>
        <row r="27">
          <cell r="A27">
            <v>106480</v>
          </cell>
          <cell r="B27" t="str">
            <v>BARRA CHATA 1.1/4" X 1/8" X 1,00M</v>
          </cell>
          <cell r="C27" t="str">
            <v>UD</v>
          </cell>
        </row>
        <row r="28">
          <cell r="A28">
            <v>106490</v>
          </cell>
          <cell r="B28" t="str">
            <v>BARRA CHATA 1.1/4" X 1/8" X 1,35M</v>
          </cell>
          <cell r="C28" t="str">
            <v>UD</v>
          </cell>
        </row>
        <row r="29">
          <cell r="A29">
            <v>106460</v>
          </cell>
          <cell r="B29" t="str">
            <v>BARRA CHATA 1.1/4" X 3/16" X 2,00M</v>
          </cell>
          <cell r="C29" t="str">
            <v>UD</v>
          </cell>
        </row>
        <row r="30">
          <cell r="A30">
            <v>106470</v>
          </cell>
          <cell r="B30" t="str">
            <v>BARRA CHATA 1.1/4" X 3/16" X 3,00M</v>
          </cell>
          <cell r="C30" t="str">
            <v>UD</v>
          </cell>
        </row>
        <row r="31">
          <cell r="A31">
            <v>155500</v>
          </cell>
          <cell r="B31" t="str">
            <v>BARRA DYWIDAG Ø=32MM ST-95/105</v>
          </cell>
          <cell r="C31" t="str">
            <v>M</v>
          </cell>
        </row>
        <row r="32">
          <cell r="A32">
            <v>106400</v>
          </cell>
          <cell r="B32" t="str">
            <v>BARRA ROSCADA ZINCADA 5/8"</v>
          </cell>
          <cell r="C32" t="str">
            <v>M</v>
          </cell>
        </row>
        <row r="33">
          <cell r="A33">
            <v>180423</v>
          </cell>
          <cell r="B33" t="str">
            <v>BASTÃO VERMELHO SINALIZADOR 54CM</v>
          </cell>
          <cell r="C33" t="str">
            <v>UD</v>
          </cell>
        </row>
        <row r="34">
          <cell r="A34">
            <v>186010</v>
          </cell>
          <cell r="B34" t="str">
            <v>BITS P/ CARRETA PERFURAÇÃO</v>
          </cell>
          <cell r="C34" t="str">
            <v>UD</v>
          </cell>
        </row>
        <row r="35">
          <cell r="A35">
            <v>145650</v>
          </cell>
          <cell r="B35" t="str">
            <v>BLOCO ARTICULADO(BLOKRET) E=6CM (FCK=35 MPA)</v>
          </cell>
          <cell r="C35" t="str">
            <v>M2</v>
          </cell>
        </row>
        <row r="36">
          <cell r="A36">
            <v>145850</v>
          </cell>
          <cell r="B36" t="str">
            <v>BLOCO ARTICULADO(BLOKRET) E=8CM (FCK=35 MPA)</v>
          </cell>
          <cell r="C36" t="str">
            <v>M2</v>
          </cell>
        </row>
        <row r="37">
          <cell r="A37">
            <v>191919</v>
          </cell>
          <cell r="B37" t="str">
            <v>BLOCO CONCRETO ESTRUTURAL 19X19X19CM</v>
          </cell>
          <cell r="C37" t="str">
            <v>UD</v>
          </cell>
        </row>
        <row r="38">
          <cell r="A38">
            <v>191939</v>
          </cell>
          <cell r="B38" t="str">
            <v>BLOCO CONCRETO ESTRUTURAL 19X19X39CM</v>
          </cell>
          <cell r="C38" t="str">
            <v>UD</v>
          </cell>
        </row>
        <row r="39">
          <cell r="A39">
            <v>145600</v>
          </cell>
          <cell r="B39" t="str">
            <v>BLOCO INTERTRAVADO(PAVER) E=6CM (FCK=35 MPA)</v>
          </cell>
          <cell r="C39" t="str">
            <v>M2</v>
          </cell>
        </row>
        <row r="40">
          <cell r="A40">
            <v>145680</v>
          </cell>
          <cell r="B40" t="str">
            <v>BLOCO INTERTRAVADO(PAVER) E=8CM (FCK=35 MPA)</v>
          </cell>
          <cell r="C40" t="str">
            <v>M2</v>
          </cell>
        </row>
        <row r="41">
          <cell r="A41">
            <v>180424</v>
          </cell>
          <cell r="B41" t="str">
            <v>BONECO SINALIZADOR</v>
          </cell>
          <cell r="C41" t="str">
            <v>UD</v>
          </cell>
        </row>
        <row r="42">
          <cell r="A42">
            <v>130170</v>
          </cell>
          <cell r="B42" t="str">
            <v>BRITA GRADUADA (USINADA) (COMERCIAL)</v>
          </cell>
          <cell r="C42" t="str">
            <v>M3</v>
          </cell>
        </row>
        <row r="43">
          <cell r="A43">
            <v>186050</v>
          </cell>
          <cell r="B43" t="str">
            <v>BROCA 10,0MM X 8" ENCAIXE SDS PLUS</v>
          </cell>
          <cell r="C43" t="str">
            <v>UD</v>
          </cell>
        </row>
        <row r="44">
          <cell r="A44">
            <v>186060</v>
          </cell>
          <cell r="B44" t="str">
            <v>BROCA 12,7MM X 21" ENCAIXE SDS PLUS</v>
          </cell>
          <cell r="C44" t="str">
            <v>UD</v>
          </cell>
        </row>
        <row r="45">
          <cell r="A45">
            <v>186070</v>
          </cell>
          <cell r="B45" t="str">
            <v>BROCA 16,0MM X 21" ENCAIXE SDS PLUS</v>
          </cell>
          <cell r="C45" t="str">
            <v>UD</v>
          </cell>
        </row>
        <row r="46">
          <cell r="A46">
            <v>186080</v>
          </cell>
          <cell r="B46" t="str">
            <v>BROCA 20,0MM X 21" ENCAIXE SDS MAX</v>
          </cell>
          <cell r="C46" t="str">
            <v>UD</v>
          </cell>
        </row>
        <row r="47">
          <cell r="A47">
            <v>186090</v>
          </cell>
          <cell r="B47" t="str">
            <v>BROCA 25,4MM X 21" ENCAIXE SDS MAX</v>
          </cell>
          <cell r="C47" t="str">
            <v>UD</v>
          </cell>
        </row>
        <row r="48">
          <cell r="A48">
            <v>186100</v>
          </cell>
          <cell r="B48" t="str">
            <v>BROCA 40,0MM X 21" ENCAIXE SDS MAX</v>
          </cell>
          <cell r="C48" t="str">
            <v>UD</v>
          </cell>
        </row>
        <row r="49">
          <cell r="A49">
            <v>156250</v>
          </cell>
          <cell r="B49" t="str">
            <v>CABO DE AÇO 1/2" ALMA FIBRA 6X25</v>
          </cell>
          <cell r="C49" t="str">
            <v>M</v>
          </cell>
        </row>
        <row r="50">
          <cell r="A50">
            <v>180130</v>
          </cell>
          <cell r="B50" t="str">
            <v>CABO ELÉTRICO PP 1000V 3X1,5MM²</v>
          </cell>
          <cell r="C50" t="str">
            <v>M</v>
          </cell>
        </row>
        <row r="51">
          <cell r="A51">
            <v>180150</v>
          </cell>
          <cell r="B51" t="str">
            <v>CABO ELÉTRICO 1,5MM2</v>
          </cell>
          <cell r="C51" t="str">
            <v>M</v>
          </cell>
        </row>
        <row r="52">
          <cell r="A52">
            <v>180070</v>
          </cell>
          <cell r="B52" t="str">
            <v>CABO ELÉTRICO 2X1,5MM²</v>
          </cell>
          <cell r="C52" t="str">
            <v>M</v>
          </cell>
        </row>
        <row r="53">
          <cell r="A53">
            <v>180080</v>
          </cell>
          <cell r="B53" t="str">
            <v>CABO ELÉTRICO 2X2,5MM²</v>
          </cell>
          <cell r="C53" t="str">
            <v>M</v>
          </cell>
        </row>
        <row r="54">
          <cell r="A54">
            <v>170010</v>
          </cell>
          <cell r="B54" t="str">
            <v>CAL HIDRATADA CH-I</v>
          </cell>
          <cell r="C54" t="str">
            <v>T</v>
          </cell>
        </row>
        <row r="55">
          <cell r="A55">
            <v>170100</v>
          </cell>
          <cell r="B55" t="str">
            <v>CAL VIRGEM EM PÓ</v>
          </cell>
          <cell r="C55" t="str">
            <v>KG</v>
          </cell>
        </row>
        <row r="56">
          <cell r="A56">
            <v>106350</v>
          </cell>
          <cell r="B56" t="str">
            <v>CANTONEIRA 6,35 X 6,35 X 1 CM</v>
          </cell>
          <cell r="C56" t="str">
            <v>KG</v>
          </cell>
        </row>
        <row r="57">
          <cell r="A57">
            <v>150250</v>
          </cell>
          <cell r="B57" t="str">
            <v>CHAPA LIGAÇÃO 280X80X10MM</v>
          </cell>
          <cell r="C57" t="str">
            <v>UD</v>
          </cell>
        </row>
        <row r="58">
          <cell r="A58">
            <v>150190</v>
          </cell>
          <cell r="B58" t="str">
            <v>CHAPA Nº 18 GALVANIZADA (10 KG/M2) PRÉ-PINTADA</v>
          </cell>
          <cell r="C58" t="str">
            <v>M2</v>
          </cell>
        </row>
        <row r="59">
          <cell r="A59">
            <v>150000</v>
          </cell>
          <cell r="B59" t="str">
            <v>CHAPA PRETA (12,204 KG/M2)</v>
          </cell>
          <cell r="C59" t="str">
            <v>KG</v>
          </cell>
        </row>
        <row r="60">
          <cell r="A60">
            <v>150215</v>
          </cell>
          <cell r="B60" t="str">
            <v>CHAPA ZINCADA 0,40MM P/REVEST. FORMAS</v>
          </cell>
          <cell r="C60" t="str">
            <v>M2</v>
          </cell>
        </row>
        <row r="61">
          <cell r="A61">
            <v>152100</v>
          </cell>
          <cell r="B61" t="str">
            <v>CHUMBADOR 1" FERRO GALVANIZADO P/PÓRTICO SINALIZ</v>
          </cell>
          <cell r="C61" t="str">
            <v>UD</v>
          </cell>
        </row>
        <row r="62">
          <cell r="A62">
            <v>180001</v>
          </cell>
          <cell r="B62" t="str">
            <v>CILINDRO DELIMITADOR ALTA PERFORMANCE  (ABNT 16658)</v>
          </cell>
          <cell r="C62" t="str">
            <v>UD</v>
          </cell>
        </row>
        <row r="63">
          <cell r="A63">
            <v>170330</v>
          </cell>
          <cell r="B63" t="str">
            <v>CIMENTO ASFÁLTICO CAP-30/45</v>
          </cell>
          <cell r="C63" t="str">
            <v>T</v>
          </cell>
        </row>
        <row r="64">
          <cell r="A64">
            <v>170500</v>
          </cell>
          <cell r="B64" t="str">
            <v>CIMENTO ASFÁLTICO CAP-50/70</v>
          </cell>
          <cell r="C64" t="str">
            <v>T</v>
          </cell>
        </row>
        <row r="65">
          <cell r="A65">
            <v>170540</v>
          </cell>
          <cell r="B65" t="str">
            <v>CIMENTO ASFÁLTICO MODIF. POR POLÍMERO SBS(55/75)</v>
          </cell>
          <cell r="C65" t="str">
            <v>T</v>
          </cell>
        </row>
        <row r="66">
          <cell r="A66">
            <v>170550</v>
          </cell>
          <cell r="B66" t="str">
            <v>CIMENTO ASFÁLTICO MODIF. POR POLÍMERO SBS(60/85)</v>
          </cell>
          <cell r="C66" t="str">
            <v>T</v>
          </cell>
        </row>
        <row r="67">
          <cell r="A67">
            <v>170560</v>
          </cell>
          <cell r="B67" t="str">
            <v>CIMENTO ASFÁLTICO MODIF. POR POLÍMERO SBS(65/90)</v>
          </cell>
          <cell r="C67" t="str">
            <v>T</v>
          </cell>
        </row>
        <row r="68">
          <cell r="A68">
            <v>173210</v>
          </cell>
          <cell r="B68" t="str">
            <v>CIMENTO PORTLAND A GRANEL</v>
          </cell>
          <cell r="C68" t="str">
            <v>T</v>
          </cell>
        </row>
        <row r="69">
          <cell r="A69">
            <v>173200</v>
          </cell>
          <cell r="B69" t="str">
            <v>CIMENTO PORTLAND (SACO DE 50KG)</v>
          </cell>
          <cell r="C69" t="str">
            <v>T</v>
          </cell>
        </row>
        <row r="70">
          <cell r="A70">
            <v>100090</v>
          </cell>
          <cell r="B70" t="str">
            <v>COLA PARA TACHAS</v>
          </cell>
          <cell r="C70" t="str">
            <v>KG</v>
          </cell>
        </row>
        <row r="71">
          <cell r="A71">
            <v>100140</v>
          </cell>
          <cell r="B71" t="str">
            <v>COLA PARA TUBO DE PVC</v>
          </cell>
          <cell r="C71" t="str">
            <v>G</v>
          </cell>
        </row>
        <row r="72">
          <cell r="A72">
            <v>125140</v>
          </cell>
          <cell r="B72" t="str">
            <v>COMPENSADO 14 MM PLASTIFICADO</v>
          </cell>
          <cell r="C72" t="str">
            <v>M2</v>
          </cell>
        </row>
        <row r="73">
          <cell r="A73">
            <v>126140</v>
          </cell>
          <cell r="B73" t="str">
            <v>COMPENSADO 14 MM RESINADO</v>
          </cell>
          <cell r="C73" t="str">
            <v>M2</v>
          </cell>
        </row>
        <row r="74">
          <cell r="A74">
            <v>125170</v>
          </cell>
          <cell r="B74" t="str">
            <v>COMPENSADO 17 MM PLASTIFICADO</v>
          </cell>
          <cell r="C74" t="str">
            <v>M2</v>
          </cell>
        </row>
        <row r="75">
          <cell r="A75">
            <v>126170</v>
          </cell>
          <cell r="B75" t="str">
            <v>COMPENSADO 17 MM RESINADO</v>
          </cell>
          <cell r="C75" t="str">
            <v>M2</v>
          </cell>
        </row>
        <row r="76">
          <cell r="A76">
            <v>160000</v>
          </cell>
          <cell r="B76" t="str">
            <v>CONCRETO MAGRO USINADO</v>
          </cell>
          <cell r="C76" t="str">
            <v>M3</v>
          </cell>
        </row>
        <row r="77">
          <cell r="A77">
            <v>160022</v>
          </cell>
          <cell r="B77" t="str">
            <v>CONCRETO USINADO FCK = 22 MPA</v>
          </cell>
          <cell r="C77" t="str">
            <v>M3</v>
          </cell>
        </row>
        <row r="78">
          <cell r="A78">
            <v>160030</v>
          </cell>
          <cell r="B78" t="str">
            <v>CONCRETO USINADO FCK = 30 MPA</v>
          </cell>
          <cell r="C78" t="str">
            <v>M3</v>
          </cell>
        </row>
        <row r="79">
          <cell r="A79">
            <v>100750</v>
          </cell>
          <cell r="B79" t="str">
            <v>CONE PVC FLEXÍVEL REFLETIVO H=75CM NBR 15071</v>
          </cell>
          <cell r="C79" t="str">
            <v>UD</v>
          </cell>
        </row>
        <row r="80">
          <cell r="A80">
            <v>100745</v>
          </cell>
          <cell r="B80" t="str">
            <v>CONE PVC SEMIFLEXÍVEL H=75CM</v>
          </cell>
          <cell r="C80" t="str">
            <v>UD</v>
          </cell>
        </row>
        <row r="81">
          <cell r="A81">
            <v>100755</v>
          </cell>
          <cell r="B81" t="str">
            <v>CONE PVC SIMPLES FLEXÍVEL REFLETIVO H=75CM</v>
          </cell>
          <cell r="C81" t="str">
            <v>UD</v>
          </cell>
        </row>
        <row r="82">
          <cell r="A82">
            <v>166760</v>
          </cell>
          <cell r="B82" t="str">
            <v>CONE SINALIZADOR TIPO CONÃO/BOLO DE NOIVA H=1,10M, BASE 50X50CM</v>
          </cell>
          <cell r="C82" t="str">
            <v>UD</v>
          </cell>
        </row>
        <row r="83">
          <cell r="A83">
            <v>180230</v>
          </cell>
          <cell r="B83" t="str">
            <v>CONEXÃO P/TUBO POLIETILENO (PEAD) P/DRENO 0,10 M</v>
          </cell>
          <cell r="C83" t="str">
            <v>UD</v>
          </cell>
        </row>
        <row r="84">
          <cell r="A84">
            <v>180190</v>
          </cell>
          <cell r="B84" t="str">
            <v>CONEXÃO P/TUBO POLIETILENO (PEAD) P/DRENO 0,23 M</v>
          </cell>
          <cell r="C84" t="str">
            <v>UD</v>
          </cell>
        </row>
        <row r="85">
          <cell r="A85">
            <v>135200</v>
          </cell>
          <cell r="B85" t="str">
            <v>CONTRAPORCA SEXTAVADA</v>
          </cell>
          <cell r="C85" t="str">
            <v>UD</v>
          </cell>
        </row>
        <row r="86">
          <cell r="A86">
            <v>120750</v>
          </cell>
          <cell r="B86" t="str">
            <v>CORDA DE SISAL 6MM</v>
          </cell>
          <cell r="C86" t="str">
            <v>M</v>
          </cell>
        </row>
        <row r="87">
          <cell r="A87">
            <v>120900</v>
          </cell>
          <cell r="B87" t="str">
            <v>CORDA DE SISAL 8MM</v>
          </cell>
          <cell r="C87" t="str">
            <v>M</v>
          </cell>
        </row>
        <row r="88">
          <cell r="A88">
            <v>120600</v>
          </cell>
          <cell r="B88" t="str">
            <v>CORDÃO DE POLIPROPILENO 6MM</v>
          </cell>
          <cell r="C88" t="str">
            <v>M</v>
          </cell>
        </row>
        <row r="89">
          <cell r="A89">
            <v>120800</v>
          </cell>
          <cell r="B89" t="str">
            <v>CORDÃO DE POLIPROPILENO 8MM</v>
          </cell>
          <cell r="C89" t="str">
            <v>M</v>
          </cell>
        </row>
        <row r="90">
          <cell r="A90">
            <v>110000</v>
          </cell>
          <cell r="B90" t="str">
            <v>CORDEL DETONANTE</v>
          </cell>
          <cell r="C90" t="str">
            <v>M</v>
          </cell>
        </row>
        <row r="91">
          <cell r="A91">
            <v>155127</v>
          </cell>
          <cell r="B91" t="str">
            <v>CORDOALHA NUA CP 190 RB 12,7MM</v>
          </cell>
          <cell r="C91" t="str">
            <v>KG</v>
          </cell>
        </row>
        <row r="92">
          <cell r="A92">
            <v>155152</v>
          </cell>
          <cell r="B92" t="str">
            <v>CORDOALHA NUA CP 190 RB 15,2MM</v>
          </cell>
          <cell r="C92" t="str">
            <v>KG</v>
          </cell>
        </row>
        <row r="93">
          <cell r="A93">
            <v>110070</v>
          </cell>
          <cell r="B93" t="str">
            <v>DEFENSA SIMPLES COMPLETA</v>
          </cell>
          <cell r="C93" t="str">
            <v>M</v>
          </cell>
        </row>
        <row r="94">
          <cell r="A94">
            <v>115410</v>
          </cell>
          <cell r="B94" t="str">
            <v>DEFENSA SIMPLES SEM POSTE</v>
          </cell>
          <cell r="C94" t="str">
            <v>M</v>
          </cell>
        </row>
        <row r="95">
          <cell r="A95">
            <v>180426</v>
          </cell>
          <cell r="B95" t="str">
            <v>DELINEADOR REFLETIVO PARA BARREIRA NEW JERSEY</v>
          </cell>
          <cell r="C95" t="str">
            <v>UD</v>
          </cell>
        </row>
        <row r="96">
          <cell r="A96">
            <v>180425</v>
          </cell>
          <cell r="B96" t="str">
            <v>DELINEADOR REFLETIVO PARA DEFENSA METÁLICA</v>
          </cell>
          <cell r="C96" t="str">
            <v>UD</v>
          </cell>
        </row>
        <row r="97">
          <cell r="A97">
            <v>141050</v>
          </cell>
          <cell r="B97" t="str">
            <v>DENTE CORTE P/FRESADORA/VALETADEIRA WS-24 E S-650</v>
          </cell>
          <cell r="C97" t="str">
            <v>UD</v>
          </cell>
        </row>
        <row r="98">
          <cell r="A98">
            <v>141500</v>
          </cell>
          <cell r="B98" t="str">
            <v>DENTE DE CORTE P/ FRESADORA PM-102</v>
          </cell>
          <cell r="C98" t="str">
            <v>UD</v>
          </cell>
        </row>
        <row r="99">
          <cell r="A99">
            <v>141000</v>
          </cell>
          <cell r="B99" t="str">
            <v>DENTE DE CORTE P/ FRESADORA W-100</v>
          </cell>
          <cell r="C99" t="str">
            <v>UD</v>
          </cell>
        </row>
        <row r="100">
          <cell r="A100">
            <v>142000</v>
          </cell>
          <cell r="B100" t="str">
            <v>DENTE DE CORTE P/ FRESADORA W-200F</v>
          </cell>
          <cell r="C100" t="str">
            <v>UD</v>
          </cell>
        </row>
        <row r="101">
          <cell r="A101">
            <v>142300</v>
          </cell>
          <cell r="B101" t="str">
            <v>DENTE DE CORTE P/ RECICLADORA RM-300/500</v>
          </cell>
          <cell r="C101" t="str">
            <v>UD</v>
          </cell>
        </row>
        <row r="102">
          <cell r="A102">
            <v>160240</v>
          </cell>
          <cell r="B102" t="str">
            <v>DENTE DE CORTE P/ RECICLADORA WR-240</v>
          </cell>
          <cell r="C102" t="str">
            <v>UD</v>
          </cell>
        </row>
        <row r="103">
          <cell r="A103">
            <v>148000</v>
          </cell>
          <cell r="B103" t="str">
            <v>DETERGENTE</v>
          </cell>
          <cell r="C103" t="str">
            <v>L</v>
          </cell>
        </row>
        <row r="104">
          <cell r="A104">
            <v>172050</v>
          </cell>
          <cell r="B104" t="str">
            <v>DIESEL</v>
          </cell>
          <cell r="C104" t="str">
            <v>L</v>
          </cell>
        </row>
        <row r="105">
          <cell r="A105">
            <v>150600</v>
          </cell>
          <cell r="B105" t="str">
            <v>DINAMITE EMULSÃO 2"</v>
          </cell>
          <cell r="C105" t="str">
            <v>KG</v>
          </cell>
        </row>
        <row r="106">
          <cell r="A106">
            <v>141010</v>
          </cell>
          <cell r="B106" t="str">
            <v>DISCO DIAMANTADO 110 MM E= 1,50/2,00MM</v>
          </cell>
          <cell r="C106" t="str">
            <v>UD</v>
          </cell>
        </row>
        <row r="107">
          <cell r="A107">
            <v>143550</v>
          </cell>
          <cell r="B107" t="str">
            <v>DISCO DIAMANTADO 350 MM E= 3MM</v>
          </cell>
          <cell r="C107" t="str">
            <v>UD</v>
          </cell>
        </row>
        <row r="108">
          <cell r="A108">
            <v>143500</v>
          </cell>
          <cell r="B108" t="str">
            <v>DISCO DIAMANTADO 350 MM E= 6MM</v>
          </cell>
          <cell r="C108" t="str">
            <v>UD</v>
          </cell>
        </row>
        <row r="109">
          <cell r="A109">
            <v>172000</v>
          </cell>
          <cell r="B109" t="str">
            <v>DOPE</v>
          </cell>
          <cell r="C109" t="str">
            <v>KG</v>
          </cell>
        </row>
        <row r="110">
          <cell r="A110">
            <v>153250</v>
          </cell>
          <cell r="B110" t="str">
            <v>ELETRODO P/ SOLDA 3,25 MM</v>
          </cell>
          <cell r="C110" t="str">
            <v>KG</v>
          </cell>
        </row>
        <row r="111">
          <cell r="A111">
            <v>173120</v>
          </cell>
          <cell r="B111" t="str">
            <v>EMULSÃO ASFÁLTICA P/IMPRIMAÇÃO EAI</v>
          </cell>
          <cell r="C111" t="str">
            <v>T</v>
          </cell>
        </row>
        <row r="112">
          <cell r="A112">
            <v>178090</v>
          </cell>
          <cell r="B112" t="str">
            <v>EMULSÃO ASFÁLTICA RC-1C-E C/POLÍMERO</v>
          </cell>
          <cell r="C112" t="str">
            <v>T</v>
          </cell>
        </row>
        <row r="113">
          <cell r="A113">
            <v>173010</v>
          </cell>
          <cell r="B113" t="str">
            <v>EMULSÃO ASFÁLTICA RL-1C</v>
          </cell>
          <cell r="C113" t="str">
            <v>T</v>
          </cell>
        </row>
        <row r="114">
          <cell r="A114">
            <v>173030</v>
          </cell>
          <cell r="B114" t="str">
            <v>EMULSÃO ASFÁLTICA RM-1C</v>
          </cell>
          <cell r="C114" t="str">
            <v>T</v>
          </cell>
        </row>
        <row r="115">
          <cell r="A115">
            <v>173060</v>
          </cell>
          <cell r="B115" t="str">
            <v>EMULSÃO ASFÁLTICA RM-1C-E C/POLÍMERO</v>
          </cell>
          <cell r="C115" t="str">
            <v>T</v>
          </cell>
        </row>
        <row r="116">
          <cell r="A116">
            <v>173020</v>
          </cell>
          <cell r="B116" t="str">
            <v>EMULSÃO ASFÁLTICA RM-2C</v>
          </cell>
          <cell r="C116" t="str">
            <v>T</v>
          </cell>
        </row>
        <row r="117">
          <cell r="A117">
            <v>173070</v>
          </cell>
          <cell r="B117" t="str">
            <v>EMULSÃO ASFÁLTICA RM-2C-E C/POLÍMERO</v>
          </cell>
          <cell r="C117" t="str">
            <v>T</v>
          </cell>
        </row>
        <row r="118">
          <cell r="A118">
            <v>173040</v>
          </cell>
          <cell r="B118" t="str">
            <v>EMULSÃO ASFÁLTICA RR-1C</v>
          </cell>
          <cell r="C118" t="str">
            <v>T</v>
          </cell>
        </row>
        <row r="119">
          <cell r="A119">
            <v>178060</v>
          </cell>
          <cell r="B119" t="str">
            <v>EMULSÃO ASFÁLTICA RR-1C-E C/POLÍMERO</v>
          </cell>
          <cell r="C119" t="str">
            <v>T</v>
          </cell>
        </row>
        <row r="120">
          <cell r="A120">
            <v>173050</v>
          </cell>
          <cell r="B120" t="str">
            <v>EMULSÃO ASFÁLTICA RR-2C</v>
          </cell>
          <cell r="C120" t="str">
            <v>T</v>
          </cell>
        </row>
        <row r="121">
          <cell r="A121">
            <v>178070</v>
          </cell>
          <cell r="B121" t="str">
            <v>EMULSÃO ASFÁLTICA RR-2C-E C/POLÍMERO</v>
          </cell>
          <cell r="C121" t="str">
            <v>T</v>
          </cell>
        </row>
        <row r="122">
          <cell r="A122">
            <v>110050</v>
          </cell>
          <cell r="B122" t="str">
            <v>ERVA CIDREIRA</v>
          </cell>
          <cell r="C122" t="str">
            <v>UD</v>
          </cell>
        </row>
        <row r="123">
          <cell r="A123">
            <v>180040</v>
          </cell>
          <cell r="B123" t="str">
            <v>ESPOLETA SIMPLES</v>
          </cell>
          <cell r="C123" t="str">
            <v>UD</v>
          </cell>
        </row>
        <row r="124">
          <cell r="A124">
            <v>110060</v>
          </cell>
          <cell r="B124" t="str">
            <v>ESTOPIM PRETO</v>
          </cell>
          <cell r="C124" t="str">
            <v>M</v>
          </cell>
        </row>
        <row r="125">
          <cell r="A125">
            <v>152121</v>
          </cell>
          <cell r="B125" t="str">
            <v>FERRO REDONDO CA 25 20MM</v>
          </cell>
          <cell r="C125" t="str">
            <v>KG</v>
          </cell>
        </row>
        <row r="126">
          <cell r="A126">
            <v>155158</v>
          </cell>
          <cell r="B126" t="str">
            <v>FERRO REDONDO CA 50 8MM</v>
          </cell>
          <cell r="C126" t="str">
            <v>KG</v>
          </cell>
        </row>
        <row r="127">
          <cell r="A127">
            <v>152120</v>
          </cell>
          <cell r="B127" t="str">
            <v>FERRO REDONDO CA-25 12,5MM</v>
          </cell>
          <cell r="C127" t="str">
            <v>KG</v>
          </cell>
        </row>
        <row r="128">
          <cell r="A128">
            <v>152125</v>
          </cell>
          <cell r="B128" t="str">
            <v>FERRO REDONDO CA25 25MM</v>
          </cell>
          <cell r="C128" t="str">
            <v>KG</v>
          </cell>
        </row>
        <row r="129">
          <cell r="A129">
            <v>152132</v>
          </cell>
          <cell r="B129" t="str">
            <v>FERRO REDONDO CA25 32MM</v>
          </cell>
          <cell r="C129" t="str">
            <v>KG</v>
          </cell>
        </row>
        <row r="130">
          <cell r="A130">
            <v>155140</v>
          </cell>
          <cell r="B130" t="str">
            <v>FERRO REDONDO CA-50  6,3MM</v>
          </cell>
          <cell r="C130" t="str">
            <v>KG</v>
          </cell>
        </row>
        <row r="131">
          <cell r="A131">
            <v>155380</v>
          </cell>
          <cell r="B131" t="str">
            <v>FERRO REDONDO CA-50 10,0MM</v>
          </cell>
          <cell r="C131" t="str">
            <v>KG</v>
          </cell>
        </row>
        <row r="132">
          <cell r="A132">
            <v>155120</v>
          </cell>
          <cell r="B132" t="str">
            <v>FERRO REDONDO CA-50 12,5MM</v>
          </cell>
          <cell r="C132" t="str">
            <v>KG</v>
          </cell>
        </row>
        <row r="133">
          <cell r="A133">
            <v>156420</v>
          </cell>
          <cell r="B133" t="str">
            <v>FERRO REDONDO CA-60 4,2 MM</v>
          </cell>
          <cell r="C133" t="str">
            <v>KG</v>
          </cell>
        </row>
        <row r="134">
          <cell r="A134">
            <v>178190</v>
          </cell>
          <cell r="B134" t="str">
            <v>FIBRA POLIPROPILENO MULTIFILAMENTOS</v>
          </cell>
          <cell r="C134" t="str">
            <v>KG</v>
          </cell>
        </row>
        <row r="135">
          <cell r="A135">
            <v>180170</v>
          </cell>
          <cell r="B135" t="str">
            <v>FIO DE NYLON 0,50 MM</v>
          </cell>
          <cell r="C135" t="str">
            <v>M</v>
          </cell>
        </row>
        <row r="136">
          <cell r="A136">
            <v>100130</v>
          </cell>
          <cell r="B136" t="str">
            <v>FIXADOR PARA CAL</v>
          </cell>
          <cell r="C136" t="str">
            <v>L</v>
          </cell>
        </row>
        <row r="137">
          <cell r="A137">
            <v>150200</v>
          </cell>
          <cell r="B137" t="str">
            <v>FORMA METÁLICA P/FABRICAÇÃO BARREIRA</v>
          </cell>
          <cell r="C137" t="str">
            <v>UD</v>
          </cell>
        </row>
        <row r="138">
          <cell r="A138">
            <v>150204</v>
          </cell>
          <cell r="B138" t="str">
            <v>FORMA METÁLICA 3/16" P/PLACA DE CONCRETO</v>
          </cell>
          <cell r="C138" t="str">
            <v>M2</v>
          </cell>
        </row>
        <row r="139">
          <cell r="A139">
            <v>158250</v>
          </cell>
          <cell r="B139" t="str">
            <v>GABIÃO CAIXA # 8 X 10 ZN/AL + PVC H=0,50M (NBR 8964/2013)</v>
          </cell>
          <cell r="C139" t="str">
            <v>M3</v>
          </cell>
        </row>
        <row r="140">
          <cell r="A140">
            <v>158200</v>
          </cell>
          <cell r="B140" t="str">
            <v>GABIÃO CAIXA # 8 X 10 ZN/AL + PVC H=1,00M (NBR 8964/2013)</v>
          </cell>
          <cell r="C140" t="str">
            <v>M3</v>
          </cell>
        </row>
        <row r="141">
          <cell r="A141">
            <v>158150</v>
          </cell>
          <cell r="B141" t="str">
            <v>GABIÃO CAIXA # 8 X 10 ZN/AL H=0,50M (NBR 8964/2013)</v>
          </cell>
          <cell r="C141" t="str">
            <v>M3</v>
          </cell>
        </row>
        <row r="142">
          <cell r="A142">
            <v>158100</v>
          </cell>
          <cell r="B142" t="str">
            <v>GABIÃO CAIXA # 8 X 10 ZN/AL H=1,00M (NBR 8964/2013)</v>
          </cell>
          <cell r="C142" t="str">
            <v>M3</v>
          </cell>
        </row>
        <row r="143">
          <cell r="A143">
            <v>158017</v>
          </cell>
          <cell r="B143" t="str">
            <v>GABIÃO COLCHÃO ZN/AL + PVC E=0,17M</v>
          </cell>
          <cell r="C143" t="str">
            <v>M2</v>
          </cell>
        </row>
        <row r="144">
          <cell r="A144">
            <v>158023</v>
          </cell>
          <cell r="B144" t="str">
            <v>GABIÃO COLCHÃO ZN/AL + PVC E=0,23M</v>
          </cell>
          <cell r="C144" t="str">
            <v>M2</v>
          </cell>
        </row>
        <row r="145">
          <cell r="A145">
            <v>158030</v>
          </cell>
          <cell r="B145" t="str">
            <v>GABIÃO COLCHÃO ZN/AL + PVC E=0,30M</v>
          </cell>
          <cell r="C145" t="str">
            <v>M2</v>
          </cell>
        </row>
        <row r="146">
          <cell r="A146">
            <v>150055</v>
          </cell>
          <cell r="B146" t="str">
            <v>GEOCOMPOSTO DRENANTE MACDRAIN TD C/BOLSA P/TUBO</v>
          </cell>
          <cell r="C146" t="str">
            <v>M2</v>
          </cell>
        </row>
        <row r="147">
          <cell r="A147">
            <v>150070</v>
          </cell>
          <cell r="B147" t="str">
            <v>GEOCOMPOSTO DRENANTE MACDRAIN 2L SEM BOLSA</v>
          </cell>
          <cell r="C147" t="str">
            <v>M2</v>
          </cell>
        </row>
        <row r="148">
          <cell r="A148">
            <v>150050</v>
          </cell>
          <cell r="B148" t="str">
            <v>GEOTEXTIL N/TECIDO RESIST. TRAÇÃO  8KN/M</v>
          </cell>
          <cell r="C148" t="str">
            <v>M2</v>
          </cell>
        </row>
        <row r="149">
          <cell r="A149">
            <v>150010</v>
          </cell>
          <cell r="B149" t="str">
            <v>GEOTEXTIL N/TECIDO RESIST. TRAÇÃO 10KN/M</v>
          </cell>
          <cell r="C149" t="str">
            <v>M2</v>
          </cell>
        </row>
        <row r="150">
          <cell r="A150">
            <v>120040</v>
          </cell>
          <cell r="B150" t="str">
            <v>GEOTEXTIL TECIDO (ATERROS)</v>
          </cell>
          <cell r="C150" t="str">
            <v>M2</v>
          </cell>
        </row>
        <row r="151">
          <cell r="A151">
            <v>140040</v>
          </cell>
          <cell r="B151" t="str">
            <v>GEOTEXTIL TECIDO (DRENOS)</v>
          </cell>
          <cell r="C151" t="str">
            <v>M2</v>
          </cell>
        </row>
        <row r="152">
          <cell r="A152">
            <v>150060</v>
          </cell>
          <cell r="B152" t="str">
            <v>GEOTEXTIL TECIDO (REFORÇO) RESIST. TRAÇÃO 37 KN/M</v>
          </cell>
          <cell r="C152" t="str">
            <v>M2</v>
          </cell>
        </row>
        <row r="153">
          <cell r="A153">
            <v>150120</v>
          </cell>
          <cell r="B153" t="str">
            <v>GRAMPOS P/ CABO DE AÇO 1/2"</v>
          </cell>
          <cell r="C153" t="str">
            <v>UD</v>
          </cell>
        </row>
        <row r="154">
          <cell r="A154">
            <v>150020</v>
          </cell>
          <cell r="B154" t="str">
            <v>GRAMPOS P/ CERCA</v>
          </cell>
          <cell r="C154" t="str">
            <v>KG</v>
          </cell>
        </row>
        <row r="155">
          <cell r="A155">
            <v>198150</v>
          </cell>
          <cell r="B155" t="str">
            <v>GRAXA COMUM</v>
          </cell>
          <cell r="C155" t="str">
            <v>KG</v>
          </cell>
        </row>
        <row r="156">
          <cell r="A156">
            <v>100350</v>
          </cell>
          <cell r="B156" t="str">
            <v>GROUT/ENCEKRET 40</v>
          </cell>
          <cell r="C156" t="str">
            <v>KG</v>
          </cell>
        </row>
        <row r="157">
          <cell r="A157">
            <v>186020</v>
          </cell>
          <cell r="B157" t="str">
            <v>HASTE P/ CARRETA PERFURAÇÃO</v>
          </cell>
          <cell r="C157" t="str">
            <v>UD</v>
          </cell>
        </row>
        <row r="158">
          <cell r="A158">
            <v>100380</v>
          </cell>
          <cell r="B158" t="str">
            <v>IMPERMEABILIZANTE FLEXÍVEL IGOLFLEX PRETO</v>
          </cell>
          <cell r="C158" t="str">
            <v>KG</v>
          </cell>
        </row>
        <row r="159">
          <cell r="A159">
            <v>100674</v>
          </cell>
          <cell r="B159" t="str">
            <v>ISOPOR E=1CM</v>
          </cell>
          <cell r="C159" t="str">
            <v>M2</v>
          </cell>
        </row>
        <row r="160">
          <cell r="A160">
            <v>100673</v>
          </cell>
          <cell r="B160" t="str">
            <v>ISOPOR E=3CM</v>
          </cell>
          <cell r="C160" t="str">
            <v>M2</v>
          </cell>
        </row>
        <row r="161">
          <cell r="A161">
            <v>140120</v>
          </cell>
          <cell r="B161" t="str">
            <v>JOGO DE BROCAS S-12</v>
          </cell>
          <cell r="C161" t="str">
            <v>JG</v>
          </cell>
        </row>
        <row r="162">
          <cell r="A162">
            <v>110120</v>
          </cell>
          <cell r="B162" t="str">
            <v>JUNTA DILATAÇÃO O- 12 MM</v>
          </cell>
          <cell r="C162" t="str">
            <v>M</v>
          </cell>
        </row>
        <row r="163">
          <cell r="A163">
            <v>110240</v>
          </cell>
          <cell r="B163" t="str">
            <v>JUNTA DILATAÇÃO O- 22 MM</v>
          </cell>
          <cell r="C163" t="str">
            <v>M</v>
          </cell>
        </row>
        <row r="164">
          <cell r="A164">
            <v>145450</v>
          </cell>
          <cell r="B164" t="str">
            <v>LAJOTA CONCRETO 45 X 45 X 5 CM</v>
          </cell>
          <cell r="C164" t="str">
            <v>UD</v>
          </cell>
        </row>
        <row r="165">
          <cell r="A165">
            <v>180110</v>
          </cell>
          <cell r="B165" t="str">
            <v>LÂMPADA DE LED 11W</v>
          </cell>
          <cell r="C165" t="str">
            <v>UD</v>
          </cell>
        </row>
        <row r="166">
          <cell r="A166">
            <v>180090</v>
          </cell>
          <cell r="B166" t="str">
            <v>LÂMPADA DE LED 15W</v>
          </cell>
          <cell r="C166" t="str">
            <v>UD</v>
          </cell>
        </row>
        <row r="167">
          <cell r="A167">
            <v>120000</v>
          </cell>
          <cell r="B167" t="str">
            <v>LEIVAS</v>
          </cell>
          <cell r="C167" t="str">
            <v>M2</v>
          </cell>
        </row>
        <row r="168">
          <cell r="A168">
            <v>151000</v>
          </cell>
          <cell r="B168" t="str">
            <v>LONA PLÁSTICA PRETA</v>
          </cell>
          <cell r="C168" t="str">
            <v>M2</v>
          </cell>
        </row>
        <row r="169">
          <cell r="A169">
            <v>155550</v>
          </cell>
          <cell r="B169" t="str">
            <v>LUVA DE EMENDA DW32 (63X180MM)</v>
          </cell>
          <cell r="C169" t="str">
            <v>UD</v>
          </cell>
        </row>
        <row r="170">
          <cell r="A170">
            <v>186030</v>
          </cell>
          <cell r="B170" t="str">
            <v>LUVA P/ CARRETA PERFURAÇÃO</v>
          </cell>
          <cell r="C170" t="str">
            <v>UD</v>
          </cell>
        </row>
        <row r="171">
          <cell r="A171">
            <v>113160</v>
          </cell>
          <cell r="B171" t="str">
            <v>MADEIRA DE LEI  3 X 16 CM</v>
          </cell>
          <cell r="C171" t="str">
            <v>M</v>
          </cell>
        </row>
        <row r="172">
          <cell r="A172">
            <v>116160</v>
          </cell>
          <cell r="B172" t="str">
            <v>MADEIRA DE LEI  6 X 16 CM</v>
          </cell>
          <cell r="C172" t="str">
            <v>M</v>
          </cell>
        </row>
        <row r="173">
          <cell r="A173">
            <v>112200</v>
          </cell>
          <cell r="B173" t="str">
            <v>MADEIRA DE LEI 20 X 20 CM</v>
          </cell>
          <cell r="C173" t="str">
            <v>M</v>
          </cell>
        </row>
        <row r="174">
          <cell r="A174">
            <v>112250</v>
          </cell>
          <cell r="B174" t="str">
            <v>MADEIRA DE LEI 20 X 25 CM</v>
          </cell>
          <cell r="C174" t="str">
            <v>M</v>
          </cell>
        </row>
        <row r="175">
          <cell r="A175">
            <v>112300</v>
          </cell>
          <cell r="B175" t="str">
            <v>MADEIRA DE LEI 20 X 30 CM</v>
          </cell>
          <cell r="C175" t="str">
            <v>M</v>
          </cell>
        </row>
        <row r="176">
          <cell r="A176">
            <v>111110</v>
          </cell>
          <cell r="B176" t="str">
            <v>MADEIRA PEROBA 1" X 12"</v>
          </cell>
          <cell r="C176" t="str">
            <v>M</v>
          </cell>
        </row>
        <row r="177">
          <cell r="A177">
            <v>111010</v>
          </cell>
          <cell r="B177" t="str">
            <v>MADEIRA PEROBA 1" X 2"</v>
          </cell>
          <cell r="C177" t="str">
            <v>M</v>
          </cell>
        </row>
        <row r="178">
          <cell r="A178">
            <v>111070</v>
          </cell>
          <cell r="B178" t="str">
            <v>MADEIRA PEROBA 1" X 3"</v>
          </cell>
          <cell r="C178" t="str">
            <v>M</v>
          </cell>
        </row>
        <row r="179">
          <cell r="A179">
            <v>112120</v>
          </cell>
          <cell r="B179" t="str">
            <v>MADEIRA PEROBA 2" X 12"</v>
          </cell>
          <cell r="C179" t="str">
            <v>M</v>
          </cell>
        </row>
        <row r="180">
          <cell r="A180">
            <v>113010</v>
          </cell>
          <cell r="B180" t="str">
            <v>MADEIRA PEROBA 3" X  3"</v>
          </cell>
          <cell r="C180" t="str">
            <v>M</v>
          </cell>
        </row>
        <row r="181">
          <cell r="A181">
            <v>114120</v>
          </cell>
          <cell r="B181" t="str">
            <v>MADEIRA PEROBA 4" X 12"</v>
          </cell>
          <cell r="C181" t="str">
            <v>M</v>
          </cell>
        </row>
        <row r="182">
          <cell r="A182">
            <v>118030</v>
          </cell>
          <cell r="B182" t="str">
            <v>MADEIRA PEROBA 8" X  3"</v>
          </cell>
          <cell r="C182" t="str">
            <v>M</v>
          </cell>
        </row>
        <row r="183">
          <cell r="A183">
            <v>111020</v>
          </cell>
          <cell r="B183" t="str">
            <v>MADEIRA PINHO  1" X  2"</v>
          </cell>
          <cell r="C183" t="str">
            <v>M</v>
          </cell>
        </row>
        <row r="184">
          <cell r="A184">
            <v>111030</v>
          </cell>
          <cell r="B184" t="str">
            <v>MADEIRA PINHO  1" X  3"</v>
          </cell>
          <cell r="C184" t="str">
            <v>M</v>
          </cell>
        </row>
        <row r="185">
          <cell r="A185">
            <v>111040</v>
          </cell>
          <cell r="B185" t="str">
            <v>MADEIRA PINHO  1" X  4"</v>
          </cell>
          <cell r="C185" t="str">
            <v>M</v>
          </cell>
        </row>
        <row r="186">
          <cell r="A186">
            <v>111060</v>
          </cell>
          <cell r="B186" t="str">
            <v>MADEIRA PINHO  1" X  6"</v>
          </cell>
          <cell r="C186" t="str">
            <v>M</v>
          </cell>
        </row>
        <row r="187">
          <cell r="A187">
            <v>111120</v>
          </cell>
          <cell r="B187" t="str">
            <v>MADEIRA PINHO  1" X 12"</v>
          </cell>
          <cell r="C187" t="str">
            <v>M</v>
          </cell>
        </row>
        <row r="188">
          <cell r="A188">
            <v>112540</v>
          </cell>
          <cell r="B188" t="str">
            <v>MADEIRA PINHO  2,5 X 4 CM</v>
          </cell>
          <cell r="C188" t="str">
            <v>M</v>
          </cell>
        </row>
        <row r="189">
          <cell r="A189">
            <v>112560</v>
          </cell>
          <cell r="B189" t="str">
            <v>MADEIRA PINHO  2,5 X 6 CM</v>
          </cell>
          <cell r="C189" t="str">
            <v>M</v>
          </cell>
        </row>
        <row r="190">
          <cell r="A190">
            <v>112580</v>
          </cell>
          <cell r="B190" t="str">
            <v>MADEIRA PINHO  2,5 X 8 CM</v>
          </cell>
          <cell r="C190" t="str">
            <v>M</v>
          </cell>
        </row>
        <row r="191">
          <cell r="A191">
            <v>113030</v>
          </cell>
          <cell r="B191" t="str">
            <v>MADEIRA PINHO  3" X  3"</v>
          </cell>
          <cell r="C191" t="str">
            <v>M</v>
          </cell>
        </row>
        <row r="192">
          <cell r="A192">
            <v>116120</v>
          </cell>
          <cell r="B192" t="str">
            <v>MADEIRA PINHO  6 X 12 CM</v>
          </cell>
          <cell r="C192" t="str">
            <v>M</v>
          </cell>
        </row>
        <row r="193">
          <cell r="A193">
            <v>110150</v>
          </cell>
          <cell r="B193" t="str">
            <v>MADEIRA ROLIÇA D=10/15 CM</v>
          </cell>
          <cell r="C193" t="str">
            <v>M</v>
          </cell>
        </row>
        <row r="194">
          <cell r="A194">
            <v>110250</v>
          </cell>
          <cell r="B194" t="str">
            <v>MADEIRA ROLIÇA D=25 CM</v>
          </cell>
          <cell r="C194" t="str">
            <v>M</v>
          </cell>
        </row>
        <row r="195">
          <cell r="A195">
            <v>120850</v>
          </cell>
          <cell r="B195" t="str">
            <v>MANGUEIRA CRISTAL</v>
          </cell>
          <cell r="C195" t="str">
            <v>M</v>
          </cell>
        </row>
        <row r="196">
          <cell r="A196">
            <v>150080</v>
          </cell>
          <cell r="B196" t="str">
            <v>MANTA GEOTEXTIL DE CURA</v>
          </cell>
          <cell r="C196" t="str">
            <v>M2</v>
          </cell>
        </row>
        <row r="197">
          <cell r="A197">
            <v>150030</v>
          </cell>
          <cell r="B197" t="str">
            <v>MATERIAL P/ HIDROSSEMEADURA</v>
          </cell>
          <cell r="C197" t="str">
            <v>KG</v>
          </cell>
        </row>
        <row r="198">
          <cell r="A198">
            <v>100170</v>
          </cell>
          <cell r="B198" t="str">
            <v>MATERIAL TERMOPLÁSTICO P/ASPERSÃO</v>
          </cell>
          <cell r="C198" t="str">
            <v>KG</v>
          </cell>
        </row>
        <row r="199">
          <cell r="A199">
            <v>100180</v>
          </cell>
          <cell r="B199" t="str">
            <v>MATERIAL TERMOPLÁSTICO P/EXTRUSÃO</v>
          </cell>
          <cell r="C199" t="str">
            <v>KG</v>
          </cell>
        </row>
        <row r="200">
          <cell r="A200">
            <v>180725</v>
          </cell>
          <cell r="B200" t="str">
            <v>MEIA CANA CONCRETO 0,20 M</v>
          </cell>
          <cell r="C200" t="str">
            <v>M</v>
          </cell>
        </row>
        <row r="201">
          <cell r="A201">
            <v>180300</v>
          </cell>
          <cell r="B201" t="str">
            <v>MEIA CANA CONCRETO 0,30 M</v>
          </cell>
          <cell r="C201" t="str">
            <v>M</v>
          </cell>
        </row>
        <row r="202">
          <cell r="A202">
            <v>180400</v>
          </cell>
          <cell r="B202" t="str">
            <v>MEIA CANA CONCRETO 0,40 M</v>
          </cell>
          <cell r="C202" t="str">
            <v>M</v>
          </cell>
        </row>
        <row r="203">
          <cell r="A203">
            <v>100200</v>
          </cell>
          <cell r="B203" t="str">
            <v>MICRO-ESFERAS DROP-ON</v>
          </cell>
          <cell r="C203" t="str">
            <v>KG</v>
          </cell>
        </row>
        <row r="204">
          <cell r="A204">
            <v>100100</v>
          </cell>
          <cell r="B204" t="str">
            <v>MICRO-ESFERAS PREMIX</v>
          </cell>
          <cell r="C204" t="str">
            <v>KG</v>
          </cell>
        </row>
        <row r="205">
          <cell r="A205">
            <v>178250</v>
          </cell>
          <cell r="B205" t="str">
            <v>MICROSÍLICA</v>
          </cell>
          <cell r="C205" t="str">
            <v>KG</v>
          </cell>
        </row>
        <row r="206">
          <cell r="A206">
            <v>180160</v>
          </cell>
          <cell r="B206" t="str">
            <v>MOURÃO ESTICADOR DE EUCALIPTO TRATADO H=2,80M</v>
          </cell>
          <cell r="C206" t="str">
            <v>UD</v>
          </cell>
        </row>
        <row r="207">
          <cell r="A207">
            <v>180100</v>
          </cell>
          <cell r="B207" t="str">
            <v>MOURÃO SUPORTE DE EUCALIPTO TRATADO H=2,20M</v>
          </cell>
          <cell r="C207" t="str">
            <v>UD</v>
          </cell>
        </row>
        <row r="208">
          <cell r="A208">
            <v>110100</v>
          </cell>
          <cell r="B208" t="str">
            <v>MUDA DE ÁRVORE (H=1,00M)</v>
          </cell>
          <cell r="C208" t="str">
            <v>UD</v>
          </cell>
        </row>
        <row r="209">
          <cell r="A209">
            <v>172100</v>
          </cell>
          <cell r="B209" t="str">
            <v>ÓLEO COMBUSTÍVEL OTE</v>
          </cell>
          <cell r="C209" t="str">
            <v>L</v>
          </cell>
        </row>
        <row r="210">
          <cell r="A210">
            <v>135780</v>
          </cell>
          <cell r="B210" t="str">
            <v>PARAFUSO FRANCÊS G.F. C/PORCA 5/16" X 1"</v>
          </cell>
          <cell r="C210" t="str">
            <v>UD</v>
          </cell>
        </row>
        <row r="211">
          <cell r="A211">
            <v>135160</v>
          </cell>
          <cell r="B211" t="str">
            <v>PARAFUSO FRANCÊS G.F. C/PORCA 5/16" X 3.1/2"</v>
          </cell>
          <cell r="C211" t="str">
            <v>UD</v>
          </cell>
        </row>
        <row r="212">
          <cell r="A212">
            <v>134020</v>
          </cell>
          <cell r="B212" t="str">
            <v>PARAFUSO FRANCÊS G.F. C/PORCA 5/8" X  2"</v>
          </cell>
          <cell r="C212" t="str">
            <v>UD</v>
          </cell>
        </row>
        <row r="213">
          <cell r="A213">
            <v>134100</v>
          </cell>
          <cell r="B213" t="str">
            <v>PARAFUSO FRANCÊS G.F. C/PORCA 5/8" X 10"</v>
          </cell>
          <cell r="C213" t="str">
            <v>UD</v>
          </cell>
        </row>
        <row r="214">
          <cell r="A214">
            <v>133120</v>
          </cell>
          <cell r="B214" t="str">
            <v>PARAFUSO FRANCÊS G.F. C/PORCA 5/8" X 3.1/2"</v>
          </cell>
          <cell r="C214" t="str">
            <v>UD</v>
          </cell>
        </row>
        <row r="215">
          <cell r="A215">
            <v>130200</v>
          </cell>
          <cell r="B215" t="str">
            <v>PARALELEPÍPEDO</v>
          </cell>
          <cell r="C215" t="str">
            <v>MIL</v>
          </cell>
        </row>
        <row r="216">
          <cell r="A216">
            <v>130000</v>
          </cell>
          <cell r="B216" t="str">
            <v>PEDRA BRITADA (COMERCIAL)</v>
          </cell>
          <cell r="C216" t="str">
            <v>M3</v>
          </cell>
        </row>
        <row r="217">
          <cell r="A217">
            <v>130100</v>
          </cell>
          <cell r="B217" t="str">
            <v>PEDRA DE MÃO (COMERCIAL)</v>
          </cell>
          <cell r="C217" t="str">
            <v>M3</v>
          </cell>
        </row>
        <row r="218">
          <cell r="A218">
            <v>126110</v>
          </cell>
          <cell r="B218" t="str">
            <v>PELÍCULA NÃO REFLETIVA PRETO OPACO - TIPO IV</v>
          </cell>
          <cell r="C218" t="str">
            <v>M2</v>
          </cell>
        </row>
        <row r="219">
          <cell r="A219">
            <v>126120</v>
          </cell>
          <cell r="B219" t="str">
            <v>PELÍCULA REFLETIVA - TIPO IA (PRISMÁTICA)</v>
          </cell>
          <cell r="C219" t="str">
            <v>M2</v>
          </cell>
        </row>
        <row r="220">
          <cell r="A220">
            <v>126090</v>
          </cell>
          <cell r="B220" t="str">
            <v>PELÍCULA REFLETIVA - TIPO III (AI PRISMÁTICA)</v>
          </cell>
          <cell r="C220" t="str">
            <v>M2</v>
          </cell>
        </row>
        <row r="221">
          <cell r="A221">
            <v>126100</v>
          </cell>
          <cell r="B221" t="str">
            <v>PELÍCULA REFLETIVA - TIPO X (GRAU DIAMANTE)</v>
          </cell>
          <cell r="C221" t="str">
            <v>M2</v>
          </cell>
        </row>
        <row r="222">
          <cell r="A222">
            <v>100500</v>
          </cell>
          <cell r="B222" t="str">
            <v>PERFURAÇÃO P/ DRENO SUB-HORIZONTAL</v>
          </cell>
          <cell r="C222" t="str">
            <v>M</v>
          </cell>
        </row>
        <row r="223">
          <cell r="A223">
            <v>146090</v>
          </cell>
          <cell r="B223" t="str">
            <v>PERFURATRIZ P/ CARRETA  6 M</v>
          </cell>
          <cell r="C223" t="str">
            <v>JG</v>
          </cell>
        </row>
        <row r="224">
          <cell r="A224">
            <v>146120</v>
          </cell>
          <cell r="B224" t="str">
            <v>PERFURATRIZ P/ CARRETA 12 M</v>
          </cell>
          <cell r="C224" t="str">
            <v>JG</v>
          </cell>
        </row>
        <row r="225">
          <cell r="A225">
            <v>130110</v>
          </cell>
          <cell r="B225" t="str">
            <v>PEROBA SERRADA</v>
          </cell>
          <cell r="C225" t="str">
            <v>M3</v>
          </cell>
        </row>
        <row r="226">
          <cell r="A226">
            <v>130120</v>
          </cell>
          <cell r="B226" t="str">
            <v>PINHO SERRADO (3A.)</v>
          </cell>
          <cell r="C226" t="str">
            <v>M3</v>
          </cell>
        </row>
        <row r="227">
          <cell r="A227">
            <v>134908</v>
          </cell>
          <cell r="B227" t="str">
            <v>PISO TÁTIL ALERTA/DIRECIONAL 20X20CM INCOLOR</v>
          </cell>
          <cell r="C227" t="str">
            <v>UD</v>
          </cell>
        </row>
        <row r="228">
          <cell r="A228">
            <v>134909</v>
          </cell>
          <cell r="B228" t="str">
            <v>PISO TÁTIL ALERTA/DIRECIONAL 20X20CM VERMELHO</v>
          </cell>
          <cell r="C228" t="str">
            <v>UD</v>
          </cell>
        </row>
        <row r="229">
          <cell r="A229">
            <v>134906</v>
          </cell>
          <cell r="B229" t="str">
            <v>PISO TÁTIL ALERTA/DIRECIONAL 40X40CM INCOLOR</v>
          </cell>
          <cell r="C229" t="str">
            <v>UD</v>
          </cell>
        </row>
        <row r="230">
          <cell r="A230">
            <v>134907</v>
          </cell>
          <cell r="B230" t="str">
            <v>PISO TÁTIL ALERTA/DIRECIONAL 40X40CM VERMELHO</v>
          </cell>
          <cell r="C230" t="str">
            <v>UD</v>
          </cell>
        </row>
        <row r="231">
          <cell r="A231">
            <v>130080</v>
          </cell>
          <cell r="B231" t="str">
            <v>PÓ DE PEDRA (COMERCIAL)</v>
          </cell>
          <cell r="C231" t="str">
            <v>M3</v>
          </cell>
        </row>
        <row r="232">
          <cell r="A232">
            <v>135250</v>
          </cell>
          <cell r="B232" t="str">
            <v>PORCA 5/8" ZINCADA P/CHAPA LIGAÇÃO</v>
          </cell>
          <cell r="C232" t="str">
            <v>UD</v>
          </cell>
        </row>
        <row r="233">
          <cell r="A233">
            <v>142600</v>
          </cell>
          <cell r="B233" t="str">
            <v>PORTA-DENTES P/ FRESADORA PM-102</v>
          </cell>
          <cell r="C233" t="str">
            <v>UD</v>
          </cell>
        </row>
        <row r="234">
          <cell r="A234">
            <v>141100</v>
          </cell>
          <cell r="B234" t="str">
            <v>PORTA-DENTES P/ FRESADORA W-1000L</v>
          </cell>
          <cell r="C234" t="str">
            <v>UD</v>
          </cell>
        </row>
        <row r="235">
          <cell r="A235">
            <v>142100</v>
          </cell>
          <cell r="B235" t="str">
            <v>PORTA-DENTES P/ FRESADORA W-200</v>
          </cell>
          <cell r="C235" t="str">
            <v>UD</v>
          </cell>
        </row>
        <row r="236">
          <cell r="A236">
            <v>142400</v>
          </cell>
          <cell r="B236" t="str">
            <v>PORTA-DENTES P/ RECICLADORA RM-300/500</v>
          </cell>
          <cell r="C236" t="str">
            <v>UD</v>
          </cell>
        </row>
        <row r="237">
          <cell r="A237">
            <v>161240</v>
          </cell>
          <cell r="B237" t="str">
            <v>PORTA-DENTES P/ RECICLADORA WR-240</v>
          </cell>
          <cell r="C237" t="str">
            <v>UD</v>
          </cell>
        </row>
        <row r="238">
          <cell r="A238">
            <v>191500</v>
          </cell>
          <cell r="B238" t="str">
            <v>PÓRTICO SIMPLES VÃO 11,00 A 15,00M(PLACA ATÉ 24M2)</v>
          </cell>
          <cell r="C238" t="str">
            <v>UD</v>
          </cell>
        </row>
        <row r="239">
          <cell r="A239">
            <v>191600</v>
          </cell>
          <cell r="B239" t="str">
            <v>PÓRTICO SIMPLES VÃO 16,00M(PLACA ATÉ 24M2)</v>
          </cell>
          <cell r="C239" t="str">
            <v>UD</v>
          </cell>
        </row>
        <row r="240">
          <cell r="A240">
            <v>191700</v>
          </cell>
          <cell r="B240" t="str">
            <v>PÓRTICO SIMPLES VÃO 17,00M(PLACA ATÉ 24M2)</v>
          </cell>
          <cell r="C240" t="str">
            <v>UD</v>
          </cell>
        </row>
        <row r="241">
          <cell r="A241">
            <v>191800</v>
          </cell>
          <cell r="B241" t="str">
            <v>PÓRTICO SIMPLES VÃO 18,10M(PLACA ATÉ 24M2)</v>
          </cell>
          <cell r="C241" t="str">
            <v>UD</v>
          </cell>
        </row>
        <row r="242">
          <cell r="A242">
            <v>157270</v>
          </cell>
          <cell r="B242" t="str">
            <v>PREGOS 17 X 27 / 18 X 27</v>
          </cell>
          <cell r="C242" t="str">
            <v>KG</v>
          </cell>
        </row>
        <row r="243">
          <cell r="A243">
            <v>186040</v>
          </cell>
          <cell r="B243" t="str">
            <v>PUNHO P/ CARRETA PERFURAÇÃO</v>
          </cell>
          <cell r="C243" t="str">
            <v>UD</v>
          </cell>
        </row>
        <row r="244">
          <cell r="A244">
            <v>130180</v>
          </cell>
          <cell r="B244" t="str">
            <v>RACHÃO BRITADO (COMERCIAL)</v>
          </cell>
          <cell r="C244" t="str">
            <v>M3</v>
          </cell>
        </row>
        <row r="245">
          <cell r="A245">
            <v>130185</v>
          </cell>
          <cell r="B245" t="str">
            <v>RACHÃO SEM BRITAGEM (COMERCIAL)</v>
          </cell>
          <cell r="C245" t="str">
            <v>M3</v>
          </cell>
        </row>
        <row r="246">
          <cell r="A246">
            <v>130130</v>
          </cell>
          <cell r="B246" t="str">
            <v>ROYALTY JAZIDA</v>
          </cell>
          <cell r="C246" t="str">
            <v>M3</v>
          </cell>
        </row>
        <row r="247">
          <cell r="A247">
            <v>130150</v>
          </cell>
          <cell r="B247" t="str">
            <v>ROYALTY PEDREIRA</v>
          </cell>
          <cell r="C247" t="str">
            <v>M3</v>
          </cell>
        </row>
        <row r="248">
          <cell r="A248">
            <v>170714</v>
          </cell>
          <cell r="B248" t="str">
            <v>SELANTE A BASE DE SILICONE DOWSIL OU EQUIVALENTE</v>
          </cell>
          <cell r="C248" t="str">
            <v>KG</v>
          </cell>
        </row>
        <row r="249">
          <cell r="A249">
            <v>191050</v>
          </cell>
          <cell r="B249" t="str">
            <v>SEMI-PÓRTICO DUPLO 2X4,90M(PLACA ATÉ 24M2)</v>
          </cell>
          <cell r="C249" t="str">
            <v>UD</v>
          </cell>
        </row>
        <row r="250">
          <cell r="A250">
            <v>191150</v>
          </cell>
          <cell r="B250" t="str">
            <v>SEMI-PÓRTICO DUPLO 2X6,00M(PLACA ATÉ 24M2)</v>
          </cell>
          <cell r="C250" t="str">
            <v>UD</v>
          </cell>
        </row>
        <row r="251">
          <cell r="A251">
            <v>191250</v>
          </cell>
          <cell r="B251" t="str">
            <v>SEMI-PÓRTICO DUPLO 2X7,20M(PLACA ATÉ 24M2)</v>
          </cell>
          <cell r="C251" t="str">
            <v>UD</v>
          </cell>
        </row>
        <row r="252">
          <cell r="A252">
            <v>191350</v>
          </cell>
          <cell r="B252" t="str">
            <v>SEMI-PÓRTICO DUPLO 2X8,30M(PLACA ATÉ 24M2)</v>
          </cell>
          <cell r="C252" t="str">
            <v>UD</v>
          </cell>
        </row>
        <row r="253">
          <cell r="A253">
            <v>191000</v>
          </cell>
          <cell r="B253" t="str">
            <v>SEMI-PÓRTICO SIMPLES 4,90M(PLACA ATÉ 12M2)</v>
          </cell>
          <cell r="C253" t="str">
            <v>UD</v>
          </cell>
        </row>
        <row r="254">
          <cell r="A254">
            <v>191100</v>
          </cell>
          <cell r="B254" t="str">
            <v>SEMI-PÓRTICO SIMPLES 6,00M(PLACA ATÉ 12M2)</v>
          </cell>
          <cell r="C254" t="str">
            <v>UD</v>
          </cell>
        </row>
        <row r="255">
          <cell r="A255">
            <v>191200</v>
          </cell>
          <cell r="B255" t="str">
            <v>SEMI-PÓRTICO SIMPLES 7,20M(PLACA ATÉ 12M2)</v>
          </cell>
          <cell r="C255" t="str">
            <v>UD</v>
          </cell>
        </row>
        <row r="256">
          <cell r="A256">
            <v>191300</v>
          </cell>
          <cell r="B256" t="str">
            <v>SEMI-PÓRTICO SIMPLES 8,30M(PLACA ATÉ 12M2)</v>
          </cell>
          <cell r="C256" t="str">
            <v>UD</v>
          </cell>
        </row>
        <row r="257">
          <cell r="A257">
            <v>100310</v>
          </cell>
          <cell r="B257" t="str">
            <v>SIKADUR 31</v>
          </cell>
          <cell r="C257" t="str">
            <v>KG</v>
          </cell>
        </row>
        <row r="258">
          <cell r="A258">
            <v>100320</v>
          </cell>
          <cell r="B258" t="str">
            <v>SIKADUR 32</v>
          </cell>
          <cell r="C258" t="str">
            <v>KG</v>
          </cell>
        </row>
        <row r="259">
          <cell r="A259">
            <v>100330</v>
          </cell>
          <cell r="B259" t="str">
            <v>SIKADUR 52</v>
          </cell>
          <cell r="C259" t="str">
            <v>KG</v>
          </cell>
        </row>
        <row r="260">
          <cell r="A260">
            <v>100680</v>
          </cell>
          <cell r="B260" t="str">
            <v>SIKAFLEX T-68</v>
          </cell>
          <cell r="C260" t="str">
            <v>KG</v>
          </cell>
        </row>
        <row r="261">
          <cell r="A261">
            <v>180421</v>
          </cell>
          <cell r="B261" t="str">
            <v>SINALIZADOR LED AMARELO</v>
          </cell>
          <cell r="C261" t="str">
            <v>UD</v>
          </cell>
        </row>
        <row r="262">
          <cell r="A262">
            <v>180420</v>
          </cell>
          <cell r="B262" t="str">
            <v>SINALIZADOR NOTURNO EM LED (LUZ INTERMITENTE)</v>
          </cell>
          <cell r="C262" t="str">
            <v>UD</v>
          </cell>
        </row>
        <row r="263">
          <cell r="A263">
            <v>100110</v>
          </cell>
          <cell r="B263" t="str">
            <v>SOLVENTE TOLUENO</v>
          </cell>
          <cell r="C263" t="str">
            <v>L</v>
          </cell>
        </row>
        <row r="264">
          <cell r="A264">
            <v>180120</v>
          </cell>
          <cell r="B264" t="str">
            <v>SOQUETE P/LÂMPADA FLUORESCENTE</v>
          </cell>
          <cell r="C264" t="str">
            <v>UD</v>
          </cell>
        </row>
        <row r="265">
          <cell r="A265">
            <v>160330</v>
          </cell>
          <cell r="B265" t="str">
            <v>SUPORTE MADEIRA LEI 3"X3" PLACA SINALIZAÇÃO(3M)</v>
          </cell>
          <cell r="C265" t="str">
            <v>UD</v>
          </cell>
        </row>
        <row r="266">
          <cell r="A266">
            <v>160380</v>
          </cell>
          <cell r="B266" t="str">
            <v>SUPORTE METÁLICO PERFIL C- 38 GALV. P/PLACA SINAL. INCLUSIVE ACESSÓRIOS</v>
          </cell>
          <cell r="C266" t="str">
            <v>KG</v>
          </cell>
        </row>
        <row r="267">
          <cell r="A267">
            <v>161100</v>
          </cell>
          <cell r="B267" t="str">
            <v>SUPORTE METÁLICO PERFIL C-110 GALV. P/PLACA SINAL. INCLUSIVE ACESSÓRIOS</v>
          </cell>
          <cell r="C267" t="str">
            <v>KG</v>
          </cell>
        </row>
        <row r="268">
          <cell r="A268">
            <v>161150</v>
          </cell>
          <cell r="B268" t="str">
            <v>SUPORTE METÁLICO 2 1/2"X2,65MMX3,00M</v>
          </cell>
          <cell r="C268" t="str">
            <v>UD</v>
          </cell>
        </row>
        <row r="269">
          <cell r="A269">
            <v>161200</v>
          </cell>
          <cell r="B269" t="str">
            <v>SUPORTE METÁLICO 2 1/2"X2,65MMX3,50M</v>
          </cell>
          <cell r="C269" t="str">
            <v>UD</v>
          </cell>
        </row>
        <row r="270">
          <cell r="A270">
            <v>161250</v>
          </cell>
          <cell r="B270" t="str">
            <v>SUPORTE METÁLICO 2 1/2"X2,65MMX4,00M</v>
          </cell>
          <cell r="C270" t="str">
            <v>UD</v>
          </cell>
        </row>
        <row r="271">
          <cell r="A271">
            <v>100410</v>
          </cell>
          <cell r="B271" t="str">
            <v>TACHA REFLETIVA BIDIRECIONAL</v>
          </cell>
          <cell r="C271" t="str">
            <v>UD</v>
          </cell>
        </row>
        <row r="272">
          <cell r="A272">
            <v>100400</v>
          </cell>
          <cell r="B272" t="str">
            <v>TACHA REFLETIVA MONODIRECIONAL</v>
          </cell>
          <cell r="C272" t="str">
            <v>UD</v>
          </cell>
        </row>
        <row r="273">
          <cell r="A273">
            <v>100420</v>
          </cell>
          <cell r="B273" t="str">
            <v>TACHÃO REFLETIVO BIDIRECIONAL</v>
          </cell>
          <cell r="C273" t="str">
            <v>UD</v>
          </cell>
        </row>
        <row r="274">
          <cell r="A274">
            <v>100430</v>
          </cell>
          <cell r="B274" t="str">
            <v>TACHÃO REFLETIVO MONODIRECIONAL</v>
          </cell>
          <cell r="C274" t="str">
            <v>UD</v>
          </cell>
        </row>
        <row r="275">
          <cell r="A275">
            <v>160125</v>
          </cell>
          <cell r="B275" t="str">
            <v>TAMPÃO FERRO FUNDIDO Ø=600MM ARTICULADO CLASSE 125</v>
          </cell>
          <cell r="C275" t="str">
            <v>UD</v>
          </cell>
        </row>
        <row r="276">
          <cell r="A276">
            <v>161400</v>
          </cell>
          <cell r="B276" t="str">
            <v>TAMPÃO FERRO FUNDIDO Ø=600MM ARTICULADO CLASSE 400</v>
          </cell>
          <cell r="C276" t="str">
            <v>UD</v>
          </cell>
        </row>
        <row r="277">
          <cell r="A277">
            <v>160050</v>
          </cell>
          <cell r="B277" t="str">
            <v>TAMPÃO FERRO FUNDIDO Ø=600MM C/ARO CLASSE  50</v>
          </cell>
          <cell r="C277" t="str">
            <v>UD</v>
          </cell>
        </row>
        <row r="278">
          <cell r="A278">
            <v>161125</v>
          </cell>
          <cell r="B278" t="str">
            <v>TAMPÃO FERRO FUNDIDO Ø=600MM C/ARO CLASSE 125</v>
          </cell>
          <cell r="C278" t="str">
            <v>UD</v>
          </cell>
        </row>
        <row r="279">
          <cell r="A279">
            <v>162400</v>
          </cell>
          <cell r="B279" t="str">
            <v>TAMPÃO FERRO FUNDIDO Ø=600MM C/ARO CLASSE 400</v>
          </cell>
          <cell r="C279" t="str">
            <v>UD</v>
          </cell>
        </row>
        <row r="280">
          <cell r="A280">
            <v>171400</v>
          </cell>
          <cell r="B280" t="str">
            <v>TAMPÃO FERRO FUNDIDO Ø=700MM R-3 ARTICULADO CLASSE 400</v>
          </cell>
          <cell r="C280" t="str">
            <v>UD</v>
          </cell>
        </row>
        <row r="281">
          <cell r="A281">
            <v>173400</v>
          </cell>
          <cell r="B281" t="str">
            <v>TAMPÃO FERRO FUNDIDO Ø=730MM R-3 C/ARO CLASSE 400</v>
          </cell>
          <cell r="C281" t="str">
            <v>UD</v>
          </cell>
        </row>
        <row r="282">
          <cell r="A282">
            <v>181400</v>
          </cell>
          <cell r="B282" t="str">
            <v>TAMPÃO FERRO FUNDIDO Ø=800MM ARTICULADO CLASSE 400</v>
          </cell>
          <cell r="C282" t="str">
            <v>UD</v>
          </cell>
        </row>
        <row r="283">
          <cell r="A283">
            <v>150920</v>
          </cell>
          <cell r="B283" t="str">
            <v>TELA METÁLICA TELCON Q- 92</v>
          </cell>
          <cell r="C283" t="str">
            <v>KG</v>
          </cell>
        </row>
        <row r="284">
          <cell r="A284">
            <v>151130</v>
          </cell>
          <cell r="B284" t="str">
            <v>TELA METÁLICA TELCON Q-113</v>
          </cell>
          <cell r="C284" t="str">
            <v>KG</v>
          </cell>
        </row>
        <row r="285">
          <cell r="A285">
            <v>151380</v>
          </cell>
          <cell r="B285" t="str">
            <v>TELA METÁLICA TELCON Q-138</v>
          </cell>
          <cell r="C285" t="str">
            <v>KG</v>
          </cell>
        </row>
        <row r="286">
          <cell r="A286">
            <v>152830</v>
          </cell>
          <cell r="B286" t="str">
            <v>TELA METÁLICA TELCON Q-283</v>
          </cell>
          <cell r="C286" t="str">
            <v>KG</v>
          </cell>
        </row>
        <row r="287">
          <cell r="A287">
            <v>156260</v>
          </cell>
          <cell r="B287" t="str">
            <v>TENSOR PARA FORMAS</v>
          </cell>
          <cell r="C287" t="str">
            <v>UD</v>
          </cell>
        </row>
        <row r="288">
          <cell r="A288">
            <v>166100</v>
          </cell>
          <cell r="B288" t="str">
            <v>TERMINAL ABSORVEDOR DE ENERGIA PARA VELOCIDADE ATÉ 100KM/H + CONJUNTO DE ANCORAGEM</v>
          </cell>
          <cell r="C288" t="str">
            <v>UD</v>
          </cell>
        </row>
        <row r="289">
          <cell r="A289">
            <v>166080</v>
          </cell>
          <cell r="B289" t="str">
            <v>TERMINAL ABSORVEDOR DE ENERGIA PARA VELOCIDADE DE 80KM/H + CONJUNTO DE ANCORAGEM</v>
          </cell>
          <cell r="C289" t="str">
            <v>UD</v>
          </cell>
        </row>
        <row r="290">
          <cell r="A290">
            <v>160100</v>
          </cell>
          <cell r="B290" t="str">
            <v>TERMINAL AMORTECEDOR DE IMPACTO PARA VELOCIDADE ATÉ 100 KM/H + CONJUNTO DE ANCORAGEM</v>
          </cell>
          <cell r="C290" t="str">
            <v>UD</v>
          </cell>
        </row>
        <row r="291">
          <cell r="A291">
            <v>160080</v>
          </cell>
          <cell r="B291" t="str">
            <v>TERMINAL AMORTECEDORR DE IMPACTO PARA VELOCIDADE DE 80KM/H + CONJUNTO DE ANCORAGEM</v>
          </cell>
          <cell r="C291" t="str">
            <v>UD</v>
          </cell>
        </row>
        <row r="292">
          <cell r="A292">
            <v>110190</v>
          </cell>
          <cell r="B292" t="str">
            <v>TERMINAL ANCORAGEM METÁLICA TIPO "A" E "D"</v>
          </cell>
          <cell r="C292" t="str">
            <v>UD</v>
          </cell>
        </row>
        <row r="293">
          <cell r="A293">
            <v>180240</v>
          </cell>
          <cell r="B293" t="str">
            <v>TERMINAL P/TUBO POLIETILENO (PEAD) P/DRENO 0,10M</v>
          </cell>
          <cell r="C293" t="str">
            <v>M</v>
          </cell>
        </row>
        <row r="294">
          <cell r="A294">
            <v>180180</v>
          </cell>
          <cell r="B294" t="str">
            <v>TERMINAL P/TUBO POLIETILENO (PEAD) P/DRENO 0,23M</v>
          </cell>
          <cell r="C294" t="str">
            <v>M</v>
          </cell>
        </row>
        <row r="295">
          <cell r="A295">
            <v>180010</v>
          </cell>
          <cell r="B295" t="str">
            <v>TERMINAL/PONTEIRA TIPO "C" P/DEFENSA SIMPLES</v>
          </cell>
          <cell r="C295" t="str">
            <v>UD</v>
          </cell>
        </row>
        <row r="296">
          <cell r="A296">
            <v>100010</v>
          </cell>
          <cell r="B296" t="str">
            <v>TIJOLO MACIÇO</v>
          </cell>
          <cell r="C296" t="str">
            <v>MIL</v>
          </cell>
        </row>
        <row r="297">
          <cell r="A297">
            <v>100020</v>
          </cell>
          <cell r="B297" t="str">
            <v>TIJOLO 6 FUROS</v>
          </cell>
          <cell r="C297" t="str">
            <v>MIL</v>
          </cell>
        </row>
        <row r="298">
          <cell r="A298">
            <v>100150</v>
          </cell>
          <cell r="B298" t="str">
            <v>TINTA BASE RESINA ACRÍLICA EMULS. ÁGUA-2 ANOS</v>
          </cell>
          <cell r="C298" t="str">
            <v>L</v>
          </cell>
        </row>
        <row r="299">
          <cell r="A299">
            <v>100120</v>
          </cell>
          <cell r="B299" t="str">
            <v>TINTA BASE RESINA ACRÍLICA EMULS. SOLVENTE-2 ANOS</v>
          </cell>
          <cell r="C299" t="str">
            <v>L</v>
          </cell>
        </row>
        <row r="300">
          <cell r="A300">
            <v>101030</v>
          </cell>
          <cell r="B300" t="str">
            <v>TINTA EPÓXI FOSCO PRETO</v>
          </cell>
          <cell r="C300" t="str">
            <v>L</v>
          </cell>
        </row>
        <row r="301">
          <cell r="A301">
            <v>101050</v>
          </cell>
          <cell r="B301" t="str">
            <v>TINTA LATEX BRANCA</v>
          </cell>
          <cell r="C301" t="str">
            <v>L</v>
          </cell>
        </row>
        <row r="302">
          <cell r="A302">
            <v>106060</v>
          </cell>
          <cell r="B302" t="str">
            <v>TINTA LATEX VERDE</v>
          </cell>
          <cell r="C302" t="str">
            <v>L</v>
          </cell>
        </row>
        <row r="303">
          <cell r="A303">
            <v>100360</v>
          </cell>
          <cell r="B303" t="str">
            <v>TINTA MINERAL TIPO CIMENTOL CINZA</v>
          </cell>
          <cell r="C303" t="str">
            <v>KG</v>
          </cell>
        </row>
        <row r="304">
          <cell r="A304">
            <v>106040</v>
          </cell>
          <cell r="B304" t="str">
            <v>TINTA ÓLEO (FUNDO)</v>
          </cell>
          <cell r="C304" t="str">
            <v>L</v>
          </cell>
        </row>
        <row r="305">
          <cell r="A305">
            <v>100190</v>
          </cell>
          <cell r="B305" t="str">
            <v>TINTA SINALIZAÇÃO PROVISÓRIA -1 ANO</v>
          </cell>
          <cell r="C305" t="str">
            <v>L</v>
          </cell>
        </row>
        <row r="306">
          <cell r="A306">
            <v>100370</v>
          </cell>
          <cell r="B306" t="str">
            <v>TRILHO TR-37</v>
          </cell>
          <cell r="C306" t="str">
            <v>KG</v>
          </cell>
        </row>
        <row r="307">
          <cell r="A307">
            <v>100160</v>
          </cell>
          <cell r="B307" t="str">
            <v>TUBO AÇO CORRUGADO MP-100 E=1,60MM C/EPOXY</v>
          </cell>
          <cell r="C307" t="str">
            <v>KG</v>
          </cell>
        </row>
        <row r="308">
          <cell r="A308">
            <v>100210</v>
          </cell>
          <cell r="B308" t="str">
            <v>TUBO AÇO CORRUGADO MP-100 E=2,00MM C/EPOXY</v>
          </cell>
          <cell r="C308" t="str">
            <v>KG</v>
          </cell>
        </row>
        <row r="309">
          <cell r="A309">
            <v>100270</v>
          </cell>
          <cell r="B309" t="str">
            <v>TUBO AÇO CORRUGADO MP-100 E=2,70MM C/EPOXY</v>
          </cell>
          <cell r="C309" t="str">
            <v>KG</v>
          </cell>
        </row>
        <row r="310">
          <cell r="A310">
            <v>100340</v>
          </cell>
          <cell r="B310" t="str">
            <v>TUBO AÇO CORRUGADO MP-100 E=3,40MM C/EPOXY</v>
          </cell>
          <cell r="C310" t="str">
            <v>KG</v>
          </cell>
        </row>
        <row r="311">
          <cell r="A311">
            <v>101270</v>
          </cell>
          <cell r="B311" t="str">
            <v>TUBO AÇO CORRUGADO MP-152 E=2,70MM C/EPOXY</v>
          </cell>
          <cell r="C311" t="str">
            <v>KG</v>
          </cell>
        </row>
        <row r="312">
          <cell r="A312">
            <v>101340</v>
          </cell>
          <cell r="B312" t="str">
            <v>TUBO AÇO CORRUGADO MP-152 E=3,40MM C/EPOXY</v>
          </cell>
          <cell r="C312" t="str">
            <v>KG</v>
          </cell>
        </row>
        <row r="313">
          <cell r="A313">
            <v>101390</v>
          </cell>
          <cell r="B313" t="str">
            <v>TUBO AÇO CORRUGADO MP-152 E=3,90MM C/EPOXY</v>
          </cell>
          <cell r="C313" t="str">
            <v>KG</v>
          </cell>
        </row>
        <row r="314">
          <cell r="A314">
            <v>101470</v>
          </cell>
          <cell r="B314" t="str">
            <v>TUBO AÇO CORRUGADO MP-152 E=4,70MM C/EPOXY</v>
          </cell>
          <cell r="C314" t="str">
            <v>KG</v>
          </cell>
        </row>
        <row r="315">
          <cell r="A315">
            <v>101630</v>
          </cell>
          <cell r="B315" t="str">
            <v>TUBO AÇO CORRUGADO MP-152 E=6,30MM C/EPOXY</v>
          </cell>
          <cell r="C315" t="str">
            <v>KG</v>
          </cell>
        </row>
        <row r="316">
          <cell r="A316">
            <v>102200</v>
          </cell>
          <cell r="B316" t="str">
            <v>TUBO AÇO CORRUGADO TUNNEL LINER E=2,20MM C/EPOXY</v>
          </cell>
          <cell r="C316" t="str">
            <v>KG</v>
          </cell>
        </row>
        <row r="317">
          <cell r="A317">
            <v>102270</v>
          </cell>
          <cell r="B317" t="str">
            <v>TUBO AÇO CORRUGADO TUNNEL LINER E=2,70MM C/EPOXY</v>
          </cell>
          <cell r="C317" t="str">
            <v>KG</v>
          </cell>
        </row>
        <row r="318">
          <cell r="A318">
            <v>102340</v>
          </cell>
          <cell r="B318" t="str">
            <v>TUBO AÇO CORRUGADO TUNNEL LINER E=3,40MM C/EPOXY</v>
          </cell>
          <cell r="C318" t="str">
            <v>KG</v>
          </cell>
        </row>
        <row r="319">
          <cell r="A319">
            <v>102390</v>
          </cell>
          <cell r="B319" t="str">
            <v>TUBO AÇO CORRUGADO TUNNEL LINER E=3,90MM C/EPOXY</v>
          </cell>
          <cell r="C319" t="str">
            <v>KG</v>
          </cell>
        </row>
        <row r="320">
          <cell r="A320">
            <v>122470</v>
          </cell>
          <cell r="B320" t="str">
            <v>TUBO AÇO CORRUGADO TUNNEL LINER E=4,70MM C/EPOXY</v>
          </cell>
          <cell r="C320" t="str">
            <v>KG</v>
          </cell>
        </row>
        <row r="321">
          <cell r="A321">
            <v>122630</v>
          </cell>
          <cell r="B321" t="str">
            <v>TUBO AÇO CORRUGADO TUNNEL LINER E=6,30MM C/EPOXY</v>
          </cell>
          <cell r="C321" t="str">
            <v>KG</v>
          </cell>
        </row>
        <row r="322">
          <cell r="A322">
            <v>180200</v>
          </cell>
          <cell r="B322" t="str">
            <v>TUBO CONCRETO D=0,20M MF PS-1</v>
          </cell>
          <cell r="C322" t="str">
            <v>UD</v>
          </cell>
        </row>
        <row r="323">
          <cell r="A323">
            <v>180210</v>
          </cell>
          <cell r="B323" t="str">
            <v>TUBO CONCRETO D=0,30M MF PS-1</v>
          </cell>
          <cell r="C323" t="str">
            <v>UD</v>
          </cell>
        </row>
        <row r="324">
          <cell r="A324">
            <v>180310</v>
          </cell>
          <cell r="B324" t="str">
            <v>TUBO CONCRETO D=0,40M MF PA-1</v>
          </cell>
          <cell r="C324" t="str">
            <v>UD</v>
          </cell>
        </row>
        <row r="325">
          <cell r="A325">
            <v>180340</v>
          </cell>
          <cell r="B325" t="str">
            <v>TUBO CONCRETO D=0,40M MF PA-2</v>
          </cell>
          <cell r="C325" t="str">
            <v>UD</v>
          </cell>
        </row>
        <row r="326">
          <cell r="A326">
            <v>180320</v>
          </cell>
          <cell r="B326" t="str">
            <v>TUBO CONCRETO D=0,40M MF PS-1</v>
          </cell>
          <cell r="C326" t="str">
            <v>UD</v>
          </cell>
        </row>
        <row r="327">
          <cell r="A327">
            <v>180600</v>
          </cell>
          <cell r="B327" t="str">
            <v>TUBO CONCRETO D=0,60M MF PA-1</v>
          </cell>
          <cell r="C327" t="str">
            <v>UD</v>
          </cell>
        </row>
        <row r="328">
          <cell r="A328">
            <v>180620</v>
          </cell>
          <cell r="B328" t="str">
            <v>TUBO CONCRETO D=0,60M MF PA-2</v>
          </cell>
          <cell r="C328" t="str">
            <v>UD</v>
          </cell>
        </row>
        <row r="329">
          <cell r="A329">
            <v>180630</v>
          </cell>
          <cell r="B329" t="str">
            <v>TUBO CONCRETO D=0,60M MF PA-3</v>
          </cell>
          <cell r="C329" t="str">
            <v>UD</v>
          </cell>
        </row>
        <row r="330">
          <cell r="A330">
            <v>180330</v>
          </cell>
          <cell r="B330" t="str">
            <v>TUBO CONCRETO D=0,60M MF PS-1</v>
          </cell>
          <cell r="C330" t="str">
            <v>UD</v>
          </cell>
        </row>
        <row r="331">
          <cell r="A331">
            <v>180800</v>
          </cell>
          <cell r="B331" t="str">
            <v>TUBO CONCRETO D=0,80M MF PA-1</v>
          </cell>
          <cell r="C331" t="str">
            <v>UD</v>
          </cell>
        </row>
        <row r="332">
          <cell r="A332">
            <v>180820</v>
          </cell>
          <cell r="B332" t="str">
            <v>TUBO CONCRETO D=0,80M MF PA-2</v>
          </cell>
          <cell r="C332" t="str">
            <v>UD</v>
          </cell>
        </row>
        <row r="333">
          <cell r="A333">
            <v>180830</v>
          </cell>
          <cell r="B333" t="str">
            <v>TUBO CONCRETO D=0,80M MF PA-3</v>
          </cell>
          <cell r="C333" t="str">
            <v>UD</v>
          </cell>
        </row>
        <row r="334">
          <cell r="A334">
            <v>180810</v>
          </cell>
          <cell r="B334" t="str">
            <v>TUBO CONCRETO D=0,80M MF PS-1</v>
          </cell>
          <cell r="C334" t="str">
            <v>UD</v>
          </cell>
        </row>
        <row r="335">
          <cell r="A335">
            <v>181000</v>
          </cell>
          <cell r="B335" t="str">
            <v>TUBO CONCRETO D=1,00M MF PA-1</v>
          </cell>
          <cell r="C335" t="str">
            <v>UD</v>
          </cell>
        </row>
        <row r="336">
          <cell r="A336">
            <v>181020</v>
          </cell>
          <cell r="B336" t="str">
            <v>TUBO CONCRETO D=1,00M MF PA-2</v>
          </cell>
          <cell r="C336" t="str">
            <v>UD</v>
          </cell>
        </row>
        <row r="337">
          <cell r="A337">
            <v>181030</v>
          </cell>
          <cell r="B337" t="str">
            <v>TUBO CONCRETO D=1,00M MF PA-3</v>
          </cell>
          <cell r="C337" t="str">
            <v>UD</v>
          </cell>
        </row>
        <row r="338">
          <cell r="A338">
            <v>181200</v>
          </cell>
          <cell r="B338" t="str">
            <v>TUBO CONCRETO D=1,20M MF PA-1</v>
          </cell>
          <cell r="C338" t="str">
            <v>UD</v>
          </cell>
        </row>
        <row r="339">
          <cell r="A339">
            <v>181220</v>
          </cell>
          <cell r="B339" t="str">
            <v>TUBO CONCRETO D=1,20M MF PA-2</v>
          </cell>
          <cell r="C339" t="str">
            <v>UD</v>
          </cell>
        </row>
        <row r="340">
          <cell r="A340">
            <v>181230</v>
          </cell>
          <cell r="B340" t="str">
            <v>TUBO CONCRETO D=1,20M MF PA-3</v>
          </cell>
          <cell r="C340" t="str">
            <v>UD</v>
          </cell>
        </row>
        <row r="341">
          <cell r="A341">
            <v>181500</v>
          </cell>
          <cell r="B341" t="str">
            <v>TUBO CONCRETO D=1,50M MF PA-1</v>
          </cell>
          <cell r="C341" t="str">
            <v>UD</v>
          </cell>
        </row>
        <row r="342">
          <cell r="A342">
            <v>181520</v>
          </cell>
          <cell r="B342" t="str">
            <v>TUBO CONCRETO D=1,50M MF PA-2</v>
          </cell>
          <cell r="C342" t="str">
            <v>UD</v>
          </cell>
        </row>
        <row r="343">
          <cell r="A343">
            <v>181530</v>
          </cell>
          <cell r="B343" t="str">
            <v>TUBO CONCRETO D=1,50M MF PA-3</v>
          </cell>
          <cell r="C343" t="str">
            <v>UD</v>
          </cell>
        </row>
        <row r="344">
          <cell r="A344">
            <v>182000</v>
          </cell>
          <cell r="B344" t="str">
            <v>TUBO CONCRETO D=2,00M MF PA-1</v>
          </cell>
          <cell r="C344" t="str">
            <v>UD</v>
          </cell>
        </row>
        <row r="345">
          <cell r="A345">
            <v>182020</v>
          </cell>
          <cell r="B345" t="str">
            <v>TUBO CONCRETO D=2,00M MF PA-2</v>
          </cell>
          <cell r="C345" t="str">
            <v>UD</v>
          </cell>
        </row>
        <row r="346">
          <cell r="A346">
            <v>182030</v>
          </cell>
          <cell r="B346" t="str">
            <v>TUBO CONCRETO D=2,00M MF PA-3</v>
          </cell>
          <cell r="C346" t="str">
            <v>UD</v>
          </cell>
        </row>
        <row r="347">
          <cell r="A347">
            <v>110010</v>
          </cell>
          <cell r="B347" t="str">
            <v>TUBO FERRO GALVANIZADO 1"</v>
          </cell>
          <cell r="C347" t="str">
            <v>M</v>
          </cell>
        </row>
        <row r="348">
          <cell r="A348">
            <v>110020</v>
          </cell>
          <cell r="B348" t="str">
            <v>TUBO FERRO GALVANIZADO 2"</v>
          </cell>
          <cell r="C348" t="str">
            <v>M</v>
          </cell>
        </row>
        <row r="349">
          <cell r="A349">
            <v>110080</v>
          </cell>
          <cell r="B349" t="str">
            <v>TUBO FERRO GALVANIZADO 2,5" E=3,35MM</v>
          </cell>
          <cell r="C349" t="str">
            <v>M</v>
          </cell>
        </row>
        <row r="350">
          <cell r="A350">
            <v>110030</v>
          </cell>
          <cell r="B350" t="str">
            <v>TUBO FERRO GALVANIZADO 3"</v>
          </cell>
          <cell r="C350" t="str">
            <v>M</v>
          </cell>
        </row>
        <row r="351">
          <cell r="A351">
            <v>110040</v>
          </cell>
          <cell r="B351" t="str">
            <v>TUBO FERRO GALVANIZADO 4"</v>
          </cell>
          <cell r="C351" t="str">
            <v>M</v>
          </cell>
        </row>
        <row r="352">
          <cell r="A352">
            <v>180250</v>
          </cell>
          <cell r="B352" t="str">
            <v>TUBO POLIETILENO (PEAD) P/DRENO 0,10M</v>
          </cell>
          <cell r="C352" t="str">
            <v>M</v>
          </cell>
        </row>
        <row r="353">
          <cell r="A353">
            <v>180220</v>
          </cell>
          <cell r="B353" t="str">
            <v>TUBO POLIETILENO (PEAD) P/DRENO 0,23M</v>
          </cell>
          <cell r="C353" t="str">
            <v>M</v>
          </cell>
        </row>
        <row r="354">
          <cell r="A354">
            <v>110510</v>
          </cell>
          <cell r="B354" t="str">
            <v>TUBO PVC 1" - 32MM</v>
          </cell>
          <cell r="C354" t="str">
            <v>M</v>
          </cell>
        </row>
        <row r="355">
          <cell r="A355">
            <v>110550</v>
          </cell>
          <cell r="B355" t="str">
            <v>TUBO PVC 2" - 50MM</v>
          </cell>
          <cell r="C355" t="str">
            <v>M</v>
          </cell>
        </row>
        <row r="356">
          <cell r="A356">
            <v>110520</v>
          </cell>
          <cell r="B356" t="str">
            <v>TUBO PVC 2" - 50MM (ESGOTO)</v>
          </cell>
          <cell r="C356" t="str">
            <v>M</v>
          </cell>
        </row>
        <row r="357">
          <cell r="A357">
            <v>110540</v>
          </cell>
          <cell r="B357" t="str">
            <v>TUBO PVC 4" - 100MM (ESGOTO)</v>
          </cell>
          <cell r="C357" t="str">
            <v>M</v>
          </cell>
        </row>
        <row r="358">
          <cell r="A358">
            <v>100080</v>
          </cell>
          <cell r="B358" t="str">
            <v>ZARCÃO</v>
          </cell>
          <cell r="C358" t="str">
            <v>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Cronograma"/>
      <sheetName val="Orcamento"/>
      <sheetName val="Composições"/>
      <sheetName val="Referencias outras"/>
      <sheetName val="Cotações"/>
      <sheetName val="Mob. e desmob."/>
      <sheetName val="Distancias"/>
      <sheetName val="Transporte"/>
      <sheetName val="BDI"/>
      <sheetName val="Reajuste"/>
      <sheetName val="DER (Com desoneracao)"/>
      <sheetName val="DER (Sem desoneracao)"/>
      <sheetName val="Sinapi (Com desoneracao)"/>
      <sheetName val="Sinapi (Sem desoneracao)"/>
      <sheetName val="Sicro (Com desoneracao)"/>
      <sheetName val="Sicro (Sem desoneracao)"/>
    </sheetNames>
    <sheetDataSet>
      <sheetData sheetId="0"/>
      <sheetData sheetId="1"/>
      <sheetData sheetId="2">
        <row r="2">
          <cell r="M2">
            <v>0.26959904337792673</v>
          </cell>
          <cell r="O2">
            <v>0.16959904337792672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L"/>
      <sheetName val="ORCAMENTO"/>
      <sheetName val="QUANTIDADES"/>
      <sheetName val="CRONOGRAMA FISICO-FINANCEIRO"/>
      <sheetName val="CRONOGRAMA FISICO"/>
      <sheetName val="REAJUSTE"/>
    </sheetNames>
    <sheetDataSet>
      <sheetData sheetId="0"/>
      <sheetData sheetId="1">
        <row r="3">
          <cell r="O3">
            <v>1.2716000000000001</v>
          </cell>
        </row>
      </sheetData>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bilização - SEM"/>
      <sheetName val="Mo Compor"/>
      <sheetName val="Equip compor"/>
      <sheetName val="MO - SEM"/>
      <sheetName val="Equip - SEM"/>
      <sheetName val="Transporte - FU"/>
    </sheetNames>
    <sheetDataSet>
      <sheetData sheetId="0"/>
      <sheetData sheetId="1">
        <row r="1">
          <cell r="A1">
            <v>0</v>
          </cell>
        </row>
      </sheetData>
      <sheetData sheetId="2">
        <row r="1">
          <cell r="A1">
            <v>0</v>
          </cell>
        </row>
      </sheetData>
      <sheetData sheetId="3"/>
      <sheetData sheetId="4">
        <row r="1">
          <cell r="A1" t="str">
            <v>CÓDIGO</v>
          </cell>
          <cell r="B1" t="str">
            <v>DESCRIÇÃO</v>
          </cell>
          <cell r="C1" t="str">
            <v>Julho/2021</v>
          </cell>
          <cell r="D1" t="str">
            <v>Julho/2021</v>
          </cell>
        </row>
        <row r="2">
          <cell r="A2">
            <v>0</v>
          </cell>
          <cell r="B2">
            <v>0</v>
          </cell>
          <cell r="C2" t="str">
            <v>sem desoneração</v>
          </cell>
          <cell r="D2" t="str">
            <v>sem desoneração</v>
          </cell>
        </row>
        <row r="3">
          <cell r="A3">
            <v>0</v>
          </cell>
          <cell r="B3">
            <v>0</v>
          </cell>
          <cell r="C3" t="str">
            <v>CHP</v>
          </cell>
          <cell r="D3" t="str">
            <v>CHI</v>
          </cell>
        </row>
        <row r="4">
          <cell r="A4" t="str">
            <v>E9001</v>
          </cell>
          <cell r="B4" t="str">
            <v>Conjunto vibratório para tubos de concreto com encaixe PB e 3 jogos de fôrmas - D = 0,60 m</v>
          </cell>
          <cell r="C4">
            <v>15.228400000000001</v>
          </cell>
          <cell r="D4">
            <v>9.3816000000000006</v>
          </cell>
        </row>
        <row r="5">
          <cell r="A5" t="str">
            <v>E9002</v>
          </cell>
          <cell r="B5" t="str">
            <v>Conjunto vibratório para tubos de concreto com encaixe PB e 3 jogos de fôrmas - D = 0,80 m</v>
          </cell>
          <cell r="C5">
            <v>16.476900000000001</v>
          </cell>
          <cell r="D5">
            <v>10.1508</v>
          </cell>
        </row>
        <row r="6">
          <cell r="A6" t="str">
            <v>E9003</v>
          </cell>
          <cell r="B6" t="str">
            <v>Conjunto vibratório para tubos de concreto com encaixe PB e 3 jogos de fôrmas - D = 1,00 m</v>
          </cell>
          <cell r="C6">
            <v>17.5627</v>
          </cell>
          <cell r="D6">
            <v>10.819699999999999</v>
          </cell>
        </row>
        <row r="7">
          <cell r="A7" t="str">
            <v>E9004</v>
          </cell>
          <cell r="B7" t="str">
            <v>Conjunto vibratório para tubos de concreto com encaixe PB e 3 jogos de fôrmas - D = 1,20 m</v>
          </cell>
          <cell r="C7">
            <v>18.248699999999999</v>
          </cell>
          <cell r="D7">
            <v>11.2423</v>
          </cell>
        </row>
        <row r="8">
          <cell r="A8" t="str">
            <v>E9005</v>
          </cell>
          <cell r="B8" t="str">
            <v>Conjunto vibratório para tubos de concreto com encaixe PB e 3 jogos de fôrmas - D = 1,50 m</v>
          </cell>
          <cell r="C8">
            <v>18.419899999999998</v>
          </cell>
          <cell r="D8">
            <v>11.347799999999999</v>
          </cell>
        </row>
        <row r="9">
          <cell r="A9" t="str">
            <v>E9006</v>
          </cell>
          <cell r="B9" t="str">
            <v>Equipamento para sondagem manual</v>
          </cell>
          <cell r="C9">
            <v>0.5736</v>
          </cell>
          <cell r="D9">
            <v>0.38400000000000001</v>
          </cell>
        </row>
        <row r="10">
          <cell r="A10" t="str">
            <v>E9007</v>
          </cell>
          <cell r="B10" t="str">
            <v>Bomba de pistão triplex com capacidade de 7,80 m³/h (130 l/min) - 8,20 kW</v>
          </cell>
          <cell r="C10">
            <v>13.84</v>
          </cell>
          <cell r="D10">
            <v>4.3140000000000001</v>
          </cell>
        </row>
        <row r="11">
          <cell r="A11" t="str">
            <v>E9008</v>
          </cell>
          <cell r="B11" t="str">
            <v>Transportador manual de tubos de concreto com capacidade de 1 t</v>
          </cell>
          <cell r="C11">
            <v>2.8182</v>
          </cell>
          <cell r="D11">
            <v>1.8492</v>
          </cell>
        </row>
        <row r="12">
          <cell r="A12" t="str">
            <v>E9009</v>
          </cell>
          <cell r="B12" t="str">
            <v>Embarcação rebocadora - 268 kW</v>
          </cell>
          <cell r="C12">
            <v>356.50450000000001</v>
          </cell>
          <cell r="D12">
            <v>130.37690000000001</v>
          </cell>
        </row>
        <row r="13">
          <cell r="A13" t="str">
            <v>E9010</v>
          </cell>
          <cell r="B13" t="str">
            <v>Balança plataforma digital com mesa de 75 x 75 cm com capacidade de 500 kg</v>
          </cell>
          <cell r="C13">
            <v>1.3712</v>
          </cell>
          <cell r="D13">
            <v>0.91669999999999996</v>
          </cell>
        </row>
        <row r="14">
          <cell r="A14" t="str">
            <v>E9011</v>
          </cell>
          <cell r="B14" t="str">
            <v>Carro manual modelo plataforma de 200 x 80 cm com capacidade de 800 kg</v>
          </cell>
          <cell r="C14">
            <v>0.55420000000000003</v>
          </cell>
          <cell r="D14">
            <v>0.37690000000000001</v>
          </cell>
        </row>
        <row r="15">
          <cell r="A15" t="str">
            <v>E9014</v>
          </cell>
          <cell r="B15" t="str">
            <v>Deflectômetro de impacto (FWD) instalado em picape com reboque e faixa de carga de 7 a 120 kN - 147 kW</v>
          </cell>
          <cell r="C15">
            <v>319.35840000000002</v>
          </cell>
          <cell r="D15">
            <v>219.73079999999999</v>
          </cell>
        </row>
        <row r="16">
          <cell r="A16" t="str">
            <v>E9015</v>
          </cell>
          <cell r="B16" t="str">
            <v>Elevador de obra com capacidade de 1.000 kg - 9 kW</v>
          </cell>
          <cell r="C16">
            <v>26.595199999999998</v>
          </cell>
          <cell r="D16">
            <v>24.102799999999998</v>
          </cell>
        </row>
        <row r="17">
          <cell r="A17" t="str">
            <v>E9016</v>
          </cell>
          <cell r="B17" t="str">
            <v>Usina misturadora móvel de reciclagem a frio com sistema de espuma de asfalto - 129 kW</v>
          </cell>
          <cell r="C17">
            <v>1477.6502</v>
          </cell>
          <cell r="D17">
            <v>747.35</v>
          </cell>
        </row>
        <row r="18">
          <cell r="A18" t="str">
            <v>E9017</v>
          </cell>
          <cell r="B18" t="str">
            <v>Escavadeira hidráulica sobre esteira com capacidade de 0,4 m³ - 64 kW</v>
          </cell>
          <cell r="C18">
            <v>146.0489</v>
          </cell>
          <cell r="D18">
            <v>73.848500000000001</v>
          </cell>
        </row>
        <row r="19">
          <cell r="A19" t="str">
            <v>E9019</v>
          </cell>
          <cell r="B19" t="str">
            <v>Câmara hiperbárica com filtro, serpentina e reservatório de ar - D = 1,80 m e H = 2 m</v>
          </cell>
          <cell r="C19">
            <v>49.8733</v>
          </cell>
          <cell r="D19">
            <v>37.008400000000002</v>
          </cell>
        </row>
        <row r="20">
          <cell r="A20" t="str">
            <v>E9020</v>
          </cell>
          <cell r="B20" t="str">
            <v>Recicladora a frio - 455 kW</v>
          </cell>
          <cell r="C20">
            <v>1190.3683000000001</v>
          </cell>
          <cell r="D20">
            <v>403.1386</v>
          </cell>
        </row>
        <row r="21">
          <cell r="A21" t="str">
            <v>E9021</v>
          </cell>
          <cell r="B21" t="str">
            <v>Grupo gerador - 456 kVA</v>
          </cell>
          <cell r="C21">
            <v>311.23919999999998</v>
          </cell>
          <cell r="D21">
            <v>17.3659</v>
          </cell>
        </row>
        <row r="22">
          <cell r="A22" t="str">
            <v>E9022</v>
          </cell>
          <cell r="B22" t="str">
            <v>Pórtico metálico rolante com capacidade de 25 t - 30 kW</v>
          </cell>
          <cell r="C22">
            <v>70.088200000000001</v>
          </cell>
          <cell r="D22">
            <v>51.867699999999999</v>
          </cell>
        </row>
        <row r="23">
          <cell r="A23" t="str">
            <v>E9023</v>
          </cell>
          <cell r="B23" t="str">
            <v>Guindaste móvel sobre esteiras com dragline com capacidade de 1,9 a 2,3 m³ - 270 kW</v>
          </cell>
          <cell r="C23">
            <v>423.69130000000001</v>
          </cell>
          <cell r="D23">
            <v>201.37620000000001</v>
          </cell>
        </row>
        <row r="24">
          <cell r="A24" t="str">
            <v>E9024</v>
          </cell>
          <cell r="B24" t="str">
            <v>Misturador de nata cimento - 1,50 kW</v>
          </cell>
          <cell r="C24">
            <v>21.7425</v>
          </cell>
          <cell r="D24">
            <v>21.292999999999999</v>
          </cell>
        </row>
        <row r="25">
          <cell r="A25" t="str">
            <v>E9025</v>
          </cell>
          <cell r="B25" t="str">
            <v>Conjunto bomba e macaco hidráulico para protensão com capacidade de 7.000 kN - 15 kW</v>
          </cell>
          <cell r="C25">
            <v>47.094700000000003</v>
          </cell>
          <cell r="D25">
            <v>41.6357</v>
          </cell>
        </row>
        <row r="26">
          <cell r="A26" t="str">
            <v>E9026</v>
          </cell>
          <cell r="B26" t="str">
            <v>Bomba para injeção de nata de cimento com capacidade de 2 MPa - 2,20 kW</v>
          </cell>
          <cell r="C26">
            <v>3.3176000000000001</v>
          </cell>
          <cell r="D26">
            <v>1.9209000000000001</v>
          </cell>
        </row>
        <row r="27">
          <cell r="A27" t="str">
            <v>E9028</v>
          </cell>
          <cell r="B27" t="str">
            <v>Bomba de alta pressão para hidrojateamento com capacidade de 18 MPa - 5,20 kW</v>
          </cell>
          <cell r="C27">
            <v>30.6113</v>
          </cell>
          <cell r="D27">
            <v>20.978200000000001</v>
          </cell>
        </row>
        <row r="28">
          <cell r="A28" t="str">
            <v>E9029</v>
          </cell>
          <cell r="B28" t="str">
            <v>Conjunto bomba e macaco hidráulico para protensão com capacidade de 8.000 kN - 20 kW</v>
          </cell>
          <cell r="C28">
            <v>50.461599999999997</v>
          </cell>
          <cell r="D28">
            <v>43.520200000000003</v>
          </cell>
        </row>
        <row r="29">
          <cell r="A29" t="str">
            <v>E9030</v>
          </cell>
          <cell r="B29" t="str">
            <v>Bomba de protensão com leitura digital para tensionamento de estais - 3 kW</v>
          </cell>
          <cell r="C29">
            <v>1.4695</v>
          </cell>
          <cell r="D29">
            <v>0.82250000000000001</v>
          </cell>
        </row>
        <row r="30">
          <cell r="A30" t="str">
            <v>E9031</v>
          </cell>
          <cell r="B30" t="str">
            <v>Elevador de cremalheira com cabine simples, com capacidade de 1.500 kg e altura de até 100 m - 15 kW</v>
          </cell>
          <cell r="C30">
            <v>53.7517</v>
          </cell>
          <cell r="D30">
            <v>39.826700000000002</v>
          </cell>
        </row>
        <row r="31">
          <cell r="A31" t="str">
            <v>E9032</v>
          </cell>
          <cell r="B31" t="str">
            <v>Equipamento para regulagem final de estais com até 37 cordoalhas - D = 15,7 mm - 20 kW</v>
          </cell>
          <cell r="C31">
            <v>43.916699999999999</v>
          </cell>
          <cell r="D31">
            <v>39.856900000000003</v>
          </cell>
        </row>
        <row r="32">
          <cell r="A32" t="str">
            <v>E9033</v>
          </cell>
          <cell r="B32" t="str">
            <v>Equipamento para regulagem final de estais de 38 a 55 cordoalhas - D = 15,7 mm - 30 kW</v>
          </cell>
          <cell r="C32">
            <v>47.868699999999997</v>
          </cell>
          <cell r="D32">
            <v>42.068899999999999</v>
          </cell>
        </row>
        <row r="33">
          <cell r="A33" t="str">
            <v>E9034</v>
          </cell>
          <cell r="B33" t="str">
            <v>Equipamento para regulagem final de estais de 56 a 73 cordoalhas - D = 15,7 mm - 40 kW</v>
          </cell>
          <cell r="C33">
            <v>54.454900000000002</v>
          </cell>
          <cell r="D33">
            <v>45.755299999999998</v>
          </cell>
        </row>
        <row r="34">
          <cell r="A34" t="str">
            <v>E9035</v>
          </cell>
          <cell r="B34" t="str">
            <v>Equipamento para regulagem final de estais de 74 a 91 cordoalhas - D = 15,7 mm - 50 kW</v>
          </cell>
          <cell r="C34">
            <v>61.0413</v>
          </cell>
          <cell r="D34">
            <v>49.441800000000001</v>
          </cell>
        </row>
        <row r="35">
          <cell r="A35" t="str">
            <v>E9036</v>
          </cell>
          <cell r="B35" t="str">
            <v>Grua fixa para alturas de 60 a 102 m, com alcance de 60 m com capacidade de 1.500 kg na ponta da lança - 37 kW</v>
          </cell>
          <cell r="C35">
            <v>327.62270000000001</v>
          </cell>
          <cell r="D35">
            <v>191.1396</v>
          </cell>
        </row>
        <row r="36">
          <cell r="A36" t="str">
            <v>E9038</v>
          </cell>
          <cell r="B36" t="str">
            <v>Macaco hidráulico monocordoalha para tensionamento de estais - 3 kW</v>
          </cell>
          <cell r="C36">
            <v>36.565399999999997</v>
          </cell>
          <cell r="D36">
            <v>35.7423</v>
          </cell>
        </row>
        <row r="37">
          <cell r="A37" t="str">
            <v>E9039</v>
          </cell>
          <cell r="B37" t="str">
            <v>Máquina de solda por termofusão para tubos PEAD com gerador de 4 kW</v>
          </cell>
          <cell r="C37">
            <v>52.919199999999996</v>
          </cell>
          <cell r="D37">
            <v>43.151200000000003</v>
          </cell>
        </row>
        <row r="38">
          <cell r="A38" t="str">
            <v>E9040</v>
          </cell>
          <cell r="B38" t="str">
            <v>Serra mármore - 1,45 kW</v>
          </cell>
          <cell r="C38">
            <v>6.6000000000000003E-2</v>
          </cell>
          <cell r="D38">
            <v>4.4900000000000002E-2</v>
          </cell>
        </row>
        <row r="39">
          <cell r="A39" t="str">
            <v>E9042</v>
          </cell>
          <cell r="B39" t="str">
            <v>Trator sobre esteiras com lâmina - 97 kW</v>
          </cell>
          <cell r="C39">
            <v>179.30289999999999</v>
          </cell>
          <cell r="D39">
            <v>74.557900000000004</v>
          </cell>
        </row>
        <row r="40">
          <cell r="A40" t="str">
            <v>E9043</v>
          </cell>
          <cell r="B40" t="str">
            <v>Embarcação de alumínio com comprimento de 6 m e motor de popa - 18,60 kW</v>
          </cell>
          <cell r="C40">
            <v>70.317999999999998</v>
          </cell>
          <cell r="D40">
            <v>31.683199999999999</v>
          </cell>
        </row>
        <row r="41">
          <cell r="A41" t="str">
            <v>E9044</v>
          </cell>
          <cell r="B41" t="str">
            <v>Central de concreto com capacidade de 150 m³/h - dosadora e misturadora</v>
          </cell>
          <cell r="C41">
            <v>452.5958</v>
          </cell>
          <cell r="D41">
            <v>282.22309999999999</v>
          </cell>
        </row>
        <row r="42">
          <cell r="A42" t="str">
            <v>E9045</v>
          </cell>
          <cell r="B42" t="str">
            <v>Conjunto bomba e macaco hidráulico para elevação com capacidade de 496 kN</v>
          </cell>
          <cell r="C42">
            <v>53.120100000000001</v>
          </cell>
          <cell r="D42">
            <v>41.526400000000002</v>
          </cell>
        </row>
        <row r="43">
          <cell r="A43" t="str">
            <v>E9046</v>
          </cell>
          <cell r="B43" t="str">
            <v>Conjunto bomba e macaco hidráulico para elevação com capacidade de 929 kN</v>
          </cell>
          <cell r="C43">
            <v>55.8001</v>
          </cell>
          <cell r="D43">
            <v>42.990099999999998</v>
          </cell>
        </row>
        <row r="44">
          <cell r="A44" t="str">
            <v>E9047</v>
          </cell>
          <cell r="B44" t="str">
            <v>Conjunto bomba e macaco hidráulico para elevação com capacidade de 1.390 kN</v>
          </cell>
          <cell r="C44">
            <v>58.424900000000001</v>
          </cell>
          <cell r="D44">
            <v>44.423699999999997</v>
          </cell>
        </row>
        <row r="45">
          <cell r="A45" t="str">
            <v>E9048</v>
          </cell>
          <cell r="B45" t="str">
            <v>Conjunto bomba e macaco hidráulico para elevação com capacidade de 1.859 kN</v>
          </cell>
          <cell r="C45">
            <v>61.096299999999999</v>
          </cell>
          <cell r="D45">
            <v>45.8827</v>
          </cell>
        </row>
        <row r="46">
          <cell r="A46" t="str">
            <v>E9049</v>
          </cell>
          <cell r="B46" t="str">
            <v>Bomba de alta pressão para hidrojateamento com capacidade de 250 MPa - 72 kW</v>
          </cell>
          <cell r="C46">
            <v>164.1378</v>
          </cell>
          <cell r="D46">
            <v>71.931299999999993</v>
          </cell>
        </row>
        <row r="47">
          <cell r="A47" t="str">
            <v>E9050</v>
          </cell>
          <cell r="B47" t="str">
            <v>Guindaste móvel sobre pneus com 2 eixos com capacidade de 18 t - 75 kW</v>
          </cell>
          <cell r="C47">
            <v>190.63040000000001</v>
          </cell>
          <cell r="D47">
            <v>102.2641</v>
          </cell>
        </row>
        <row r="48">
          <cell r="A48" t="str">
            <v>E9051</v>
          </cell>
          <cell r="B48" t="str">
            <v>Máquina levantadora e posicionadora de via - 7,40 kW</v>
          </cell>
          <cell r="C48">
            <v>158.43700000000001</v>
          </cell>
          <cell r="D48">
            <v>94.277500000000003</v>
          </cell>
        </row>
        <row r="49">
          <cell r="A49" t="str">
            <v>E9052</v>
          </cell>
          <cell r="B49" t="str">
            <v>Empilhadeira a diesel com capacidade de 10 t - 82 kW</v>
          </cell>
          <cell r="C49">
            <v>178.90889999999999</v>
          </cell>
          <cell r="D49">
            <v>83.087400000000002</v>
          </cell>
        </row>
        <row r="50">
          <cell r="A50" t="str">
            <v>E9053</v>
          </cell>
          <cell r="B50" t="str">
            <v>Perfuratriz hidráulica montada em flutuante - 32 kW</v>
          </cell>
          <cell r="C50">
            <v>61.003100000000003</v>
          </cell>
          <cell r="D50">
            <v>38.2209</v>
          </cell>
        </row>
        <row r="51">
          <cell r="A51" t="str">
            <v>E9054</v>
          </cell>
          <cell r="B51" t="str">
            <v>Equipamento sobre forma-trilho para execução e acabamento de pavimento de concreto - 13,40 kW</v>
          </cell>
          <cell r="C51">
            <v>192.22470000000001</v>
          </cell>
          <cell r="D51">
            <v>120.89919999999999</v>
          </cell>
        </row>
        <row r="52">
          <cell r="A52" t="str">
            <v>E9055</v>
          </cell>
          <cell r="B52" t="str">
            <v>Guincho pneumático com capacidade de 2,5 t</v>
          </cell>
          <cell r="C52">
            <v>59.5105</v>
          </cell>
          <cell r="D52">
            <v>40.470199999999998</v>
          </cell>
        </row>
        <row r="53">
          <cell r="A53" t="str">
            <v>E9056</v>
          </cell>
          <cell r="B53" t="str">
            <v>Plataforma autoelevatória de 12 x 24 m com capacidade de 150 t</v>
          </cell>
          <cell r="C53">
            <v>102.2099</v>
          </cell>
          <cell r="D53">
            <v>91.156999999999996</v>
          </cell>
        </row>
        <row r="54">
          <cell r="A54" t="str">
            <v>E9057</v>
          </cell>
          <cell r="B54" t="str">
            <v>Batelão sem propulsão com capacidade de 66 m³</v>
          </cell>
          <cell r="C54">
            <v>26.1511</v>
          </cell>
          <cell r="D54">
            <v>23.9343</v>
          </cell>
        </row>
        <row r="55">
          <cell r="A55" t="str">
            <v>E9058</v>
          </cell>
          <cell r="B55" t="str">
            <v>Plataforma flutuante de 12 x 24 x 1,8 m com capacidade de 150 t</v>
          </cell>
          <cell r="C55">
            <v>34.888199999999998</v>
          </cell>
          <cell r="D55">
            <v>28.258199999999999</v>
          </cell>
        </row>
        <row r="56">
          <cell r="A56" t="str">
            <v>E9059</v>
          </cell>
          <cell r="B56" t="str">
            <v>Plataforma autoelevatória de 12 x 24 m montada na obra com capacidade de 150 t</v>
          </cell>
          <cell r="C56">
            <v>102.2099</v>
          </cell>
          <cell r="D56">
            <v>91.156999999999996</v>
          </cell>
        </row>
        <row r="57">
          <cell r="A57" t="str">
            <v>E9060</v>
          </cell>
          <cell r="B57" t="str">
            <v>Perfuratriz pneumática rotopercussiva montada em flutuante com pressão de 0,70 MPa e capacidade de 2.500 gpm</v>
          </cell>
          <cell r="C57">
            <v>52.0931</v>
          </cell>
          <cell r="D57">
            <v>51.528799999999997</v>
          </cell>
        </row>
        <row r="58">
          <cell r="A58" t="str">
            <v>E9061</v>
          </cell>
          <cell r="B58" t="str">
            <v>Lixadeira elétrica manual angular - 2 kW</v>
          </cell>
          <cell r="C58">
            <v>0.18540000000000001</v>
          </cell>
          <cell r="D58">
            <v>0.122</v>
          </cell>
        </row>
        <row r="59">
          <cell r="A59" t="str">
            <v>E9062</v>
          </cell>
          <cell r="B59" t="str">
            <v>Soprador de ar quente manual - 1,60 kW</v>
          </cell>
          <cell r="C59">
            <v>1.1152</v>
          </cell>
          <cell r="D59">
            <v>0.71930000000000005</v>
          </cell>
        </row>
        <row r="60">
          <cell r="A60" t="str">
            <v>E9063</v>
          </cell>
          <cell r="B60" t="str">
            <v>Equipamento de estabilização dinâmica da via - 300 kW</v>
          </cell>
          <cell r="C60">
            <v>2448.1633000000002</v>
          </cell>
          <cell r="D60">
            <v>1345.6764000000001</v>
          </cell>
        </row>
        <row r="61">
          <cell r="A61" t="str">
            <v>E9064</v>
          </cell>
          <cell r="B61" t="str">
            <v>Transportador manual gerica com capacidade de 180 l</v>
          </cell>
          <cell r="C61">
            <v>1.0547</v>
          </cell>
          <cell r="D61">
            <v>0.71540000000000004</v>
          </cell>
        </row>
        <row r="62">
          <cell r="A62" t="str">
            <v>E9065</v>
          </cell>
          <cell r="B62" t="str">
            <v>Carro controle ferroviário - 186 kW</v>
          </cell>
          <cell r="C62">
            <v>2224.6435999999999</v>
          </cell>
          <cell r="D62">
            <v>1316.3223</v>
          </cell>
        </row>
        <row r="63">
          <cell r="A63" t="str">
            <v>E9066</v>
          </cell>
          <cell r="B63" t="str">
            <v>Grupo gerador - 13/14 kVA</v>
          </cell>
          <cell r="C63">
            <v>13.0608</v>
          </cell>
          <cell r="D63">
            <v>2.9055</v>
          </cell>
        </row>
        <row r="64">
          <cell r="A64" t="str">
            <v>E9067</v>
          </cell>
          <cell r="B64" t="str">
            <v>Veículo ferroviário para capina química com capacidade de 12.000 l - 115 kW</v>
          </cell>
          <cell r="C64">
            <v>210.5273</v>
          </cell>
          <cell r="D64">
            <v>112.2478</v>
          </cell>
        </row>
        <row r="65">
          <cell r="A65" t="str">
            <v>E9068</v>
          </cell>
          <cell r="B65" t="str">
            <v>Perfuratriz hidráulica rotopercussiva para CCPH - 123 kW</v>
          </cell>
          <cell r="C65">
            <v>432.55919999999998</v>
          </cell>
          <cell r="D65">
            <v>209.40790000000001</v>
          </cell>
        </row>
        <row r="66">
          <cell r="A66" t="str">
            <v>E9069</v>
          </cell>
          <cell r="B66" t="str">
            <v>Vibrador de imersão para concreto - 4,10 kW</v>
          </cell>
          <cell r="C66">
            <v>8.4042999999999992</v>
          </cell>
          <cell r="D66">
            <v>0.67959999999999998</v>
          </cell>
        </row>
        <row r="67">
          <cell r="A67" t="str">
            <v>E9070</v>
          </cell>
          <cell r="B67" t="str">
            <v>Ponte rolante com capacidade de 5 t e vão de até 15 m - 10 kW</v>
          </cell>
          <cell r="C67">
            <v>42.464700000000001</v>
          </cell>
          <cell r="D67">
            <v>35.648400000000002</v>
          </cell>
        </row>
        <row r="68">
          <cell r="A68" t="str">
            <v>E9071</v>
          </cell>
          <cell r="B68" t="str">
            <v>Transportador manual carrinho de mão com capacidade de 80 l</v>
          </cell>
          <cell r="C68">
            <v>0.44579999999999997</v>
          </cell>
          <cell r="D68">
            <v>0.3024</v>
          </cell>
        </row>
        <row r="69">
          <cell r="A69" t="str">
            <v>E9072</v>
          </cell>
          <cell r="B69" t="str">
            <v>Martelo hidráulico vibratório com unidade hidráulica - 486 kW</v>
          </cell>
          <cell r="C69">
            <v>811.30920000000003</v>
          </cell>
          <cell r="D69">
            <v>314.48829999999998</v>
          </cell>
        </row>
        <row r="70">
          <cell r="A70" t="str">
            <v>E9073</v>
          </cell>
          <cell r="B70" t="str">
            <v>Bomba de concreto rebocável com capacidade de 30 m³/h - 74 kW</v>
          </cell>
          <cell r="C70">
            <v>148.23169999999999</v>
          </cell>
          <cell r="D70">
            <v>58.849899999999998</v>
          </cell>
        </row>
        <row r="71">
          <cell r="A71" t="str">
            <v>E9074</v>
          </cell>
          <cell r="B71" t="str">
            <v>Tanque de estocagem de asfalto com agitadores de 60.000 l</v>
          </cell>
          <cell r="C71">
            <v>36.203699999999998</v>
          </cell>
          <cell r="D71">
            <v>24.480699999999999</v>
          </cell>
        </row>
        <row r="72">
          <cell r="A72" t="str">
            <v>E9075</v>
          </cell>
          <cell r="B72" t="str">
            <v>Trado cavadeira de 12”</v>
          </cell>
          <cell r="C72">
            <v>9.74E-2</v>
          </cell>
          <cell r="D72">
            <v>6.6600000000000006E-2</v>
          </cell>
        </row>
        <row r="73">
          <cell r="A73" t="str">
            <v>E9076</v>
          </cell>
          <cell r="B73" t="str">
            <v>Equipamento para pintura eletrostática com cabine dupla de 7,00 kW e estufa de 80.000 kCal</v>
          </cell>
          <cell r="C73">
            <v>36.957299999999996</v>
          </cell>
          <cell r="D73">
            <v>31.922499999999999</v>
          </cell>
        </row>
        <row r="74">
          <cell r="A74" t="str">
            <v>E9077</v>
          </cell>
          <cell r="B74" t="str">
            <v>Perfuratriz de circulação reversa tipo Wirth ou similar com unidade hidráulica (Power Pack) -</v>
          </cell>
          <cell r="C74">
            <v>1188.6101000000001</v>
          </cell>
          <cell r="D74">
            <v>607.46339999999998</v>
          </cell>
        </row>
        <row r="75">
          <cell r="A75" t="str">
            <v>E9078</v>
          </cell>
          <cell r="B75" t="str">
            <v>Treliça lançadeira com capacidade de carga de 100 a 120 t e vão máximo de 45 m - 110 kW</v>
          </cell>
          <cell r="C75">
            <v>199.61660000000001</v>
          </cell>
          <cell r="D75">
            <v>152.0616</v>
          </cell>
        </row>
        <row r="76">
          <cell r="A76" t="str">
            <v>E9079</v>
          </cell>
          <cell r="B76" t="str">
            <v>Bomba submersível com capacidade de 360 m³/h - 23 kW</v>
          </cell>
          <cell r="C76">
            <v>19.274899999999999</v>
          </cell>
          <cell r="D76">
            <v>11.160399999999999</v>
          </cell>
        </row>
        <row r="77">
          <cell r="A77" t="str">
            <v>E9080</v>
          </cell>
          <cell r="B77" t="str">
            <v>Carrelone com capacidade máxima de 70 t</v>
          </cell>
          <cell r="C77">
            <v>159.6679</v>
          </cell>
          <cell r="D77">
            <v>118.74850000000001</v>
          </cell>
        </row>
        <row r="78">
          <cell r="A78" t="str">
            <v>E9081</v>
          </cell>
          <cell r="B78" t="str">
            <v>Fischietti simples com capacidade de 70 t</v>
          </cell>
          <cell r="C78">
            <v>27.7163</v>
          </cell>
          <cell r="D78">
            <v>25.6433</v>
          </cell>
        </row>
        <row r="79">
          <cell r="A79" t="str">
            <v>E9083</v>
          </cell>
          <cell r="B79" t="str">
            <v>Vagão fechado FLT com capacidade de 99 t</v>
          </cell>
          <cell r="C79">
            <v>21.419699999999999</v>
          </cell>
          <cell r="D79">
            <v>16.744700000000002</v>
          </cell>
        </row>
        <row r="80">
          <cell r="A80" t="str">
            <v>E9084</v>
          </cell>
          <cell r="B80" t="str">
            <v>Vagão tanque convencional TCT com capacidade de 97 t e 103.000 l</v>
          </cell>
          <cell r="C80">
            <v>31.919599999999999</v>
          </cell>
          <cell r="D80">
            <v>24.9529</v>
          </cell>
        </row>
        <row r="81">
          <cell r="A81" t="str">
            <v>E9085</v>
          </cell>
          <cell r="B81" t="str">
            <v>Vagão gôndola GDE com capacidade de 93,5 t / 29 m³</v>
          </cell>
          <cell r="C81">
            <v>17.1051</v>
          </cell>
          <cell r="D81">
            <v>13.3718</v>
          </cell>
        </row>
        <row r="82">
          <cell r="A82" t="str">
            <v>E9086</v>
          </cell>
          <cell r="B82" t="str">
            <v>Bomba de concreto rebocável com capacidade de 41 m³/h - 74 kW</v>
          </cell>
          <cell r="C82">
            <v>158.8399</v>
          </cell>
          <cell r="D82">
            <v>64.643699999999995</v>
          </cell>
        </row>
        <row r="83">
          <cell r="A83" t="str">
            <v>E9089</v>
          </cell>
          <cell r="B83" t="str">
            <v>Roçadeira costal - 1,40 kW</v>
          </cell>
          <cell r="C83">
            <v>8.6085999999999991</v>
          </cell>
          <cell r="D83">
            <v>0.41170000000000001</v>
          </cell>
        </row>
        <row r="84">
          <cell r="A84" t="str">
            <v>E9091</v>
          </cell>
          <cell r="B84" t="str">
            <v>Embarcação empurradora fluvial - 372 kW</v>
          </cell>
          <cell r="C84">
            <v>460.71820000000002</v>
          </cell>
          <cell r="D84">
            <v>139.303</v>
          </cell>
        </row>
        <row r="85">
          <cell r="A85" t="str">
            <v>E9093</v>
          </cell>
          <cell r="B85" t="str">
            <v>Veículo leve - 53 kW (sem motorista)</v>
          </cell>
          <cell r="C85">
            <v>33.293900000000001</v>
          </cell>
          <cell r="D85">
            <v>5.1216999999999997</v>
          </cell>
        </row>
        <row r="86">
          <cell r="A86" t="str">
            <v>E9094</v>
          </cell>
          <cell r="B86" t="str">
            <v>Guindaste móvel sobre pneus com 6 eixos com capacidade máxima de 350 t - 450 kW</v>
          </cell>
          <cell r="C86">
            <v>2197.5488999999998</v>
          </cell>
          <cell r="D86">
            <v>1129.9812999999999</v>
          </cell>
        </row>
        <row r="87">
          <cell r="A87" t="str">
            <v>E9095</v>
          </cell>
          <cell r="B87" t="str">
            <v>Guindaste móvel sobre pneus com 8 eixos com capacidade máxima de 500 t - 500 kW</v>
          </cell>
          <cell r="C87">
            <v>3636.6325999999999</v>
          </cell>
          <cell r="D87">
            <v>1887.9998000000001</v>
          </cell>
        </row>
        <row r="88">
          <cell r="A88" t="str">
            <v>E9096</v>
          </cell>
          <cell r="B88" t="str">
            <v>Minicarregadeira de pneus - 45,50 kW</v>
          </cell>
          <cell r="C88">
            <v>109.38549999999999</v>
          </cell>
          <cell r="D88">
            <v>46.691000000000003</v>
          </cell>
        </row>
        <row r="89">
          <cell r="A89" t="str">
            <v>E9101</v>
          </cell>
          <cell r="B89" t="str">
            <v>Removedora de faixas de sinalização viária - 9,69 kW</v>
          </cell>
          <cell r="C89">
            <v>25.607399999999998</v>
          </cell>
          <cell r="D89">
            <v>4.7390999999999996</v>
          </cell>
        </row>
        <row r="90">
          <cell r="A90" t="str">
            <v>E9102</v>
          </cell>
          <cell r="B90" t="str">
            <v>Extrusora para sarjeta de concreto - 10,44 kW</v>
          </cell>
          <cell r="C90">
            <v>35.782800000000002</v>
          </cell>
          <cell r="D90">
            <v>25.704000000000001</v>
          </cell>
        </row>
        <row r="91">
          <cell r="A91" t="str">
            <v>E9103</v>
          </cell>
          <cell r="B91" t="str">
            <v>Extrusora para meio-fio de concreto - 10,44 kW</v>
          </cell>
          <cell r="C91">
            <v>34.447600000000001</v>
          </cell>
          <cell r="D91">
            <v>24.930900000000001</v>
          </cell>
        </row>
        <row r="92">
          <cell r="A92" t="str">
            <v>E9105</v>
          </cell>
          <cell r="B92" t="str">
            <v>Embarcação empurradora multipropósito - 2 x 186 kW</v>
          </cell>
          <cell r="C92">
            <v>664.62109999999996</v>
          </cell>
          <cell r="D92">
            <v>217.82849999999999</v>
          </cell>
        </row>
        <row r="93">
          <cell r="A93" t="str">
            <v>E9106</v>
          </cell>
          <cell r="B93" t="str">
            <v>Balsa de convés com capacidade de 200 t</v>
          </cell>
          <cell r="C93">
            <v>59.337499999999999</v>
          </cell>
          <cell r="D93">
            <v>40.357799999999997</v>
          </cell>
        </row>
        <row r="94">
          <cell r="A94" t="str">
            <v>E9107</v>
          </cell>
          <cell r="B94" t="str">
            <v>Compactador manual com soquete vibratório - 2,24 kW</v>
          </cell>
          <cell r="C94">
            <v>5.4236000000000004</v>
          </cell>
          <cell r="D94">
            <v>0.77210000000000001</v>
          </cell>
        </row>
        <row r="95">
          <cell r="A95" t="str">
            <v>E9108</v>
          </cell>
          <cell r="B95" t="str">
            <v>Soldadora de trilho por caldeamento na via - 400 kW</v>
          </cell>
          <cell r="C95">
            <v>797.54480000000001</v>
          </cell>
          <cell r="D95">
            <v>388.62020000000001</v>
          </cell>
        </row>
        <row r="96">
          <cell r="A96" t="str">
            <v>E9110</v>
          </cell>
          <cell r="B96" t="str">
            <v>Escavadeira hidráulica sobre esteiras para rocha com caçamba com capacidade de 1,56 m³ -</v>
          </cell>
          <cell r="C96">
            <v>299.03140000000002</v>
          </cell>
          <cell r="D96">
            <v>124.22539999999999</v>
          </cell>
        </row>
        <row r="97">
          <cell r="A97" t="str">
            <v>E9111</v>
          </cell>
          <cell r="B97" t="str">
            <v>Jateador abrasivo úmido com capacidade de 350 kg de abrasivo</v>
          </cell>
          <cell r="C97">
            <v>62.316299999999998</v>
          </cell>
          <cell r="D97">
            <v>43.222000000000001</v>
          </cell>
        </row>
        <row r="98">
          <cell r="A98" t="str">
            <v>E9112</v>
          </cell>
          <cell r="B98" t="str">
            <v>Sinalizador direcional móvel com sistema fotovoltaico de energia e montado em chassi sobre pneus</v>
          </cell>
          <cell r="C98">
            <v>3.9098000000000002</v>
          </cell>
          <cell r="D98">
            <v>2.6589</v>
          </cell>
        </row>
        <row r="99">
          <cell r="A99" t="str">
            <v>E9113</v>
          </cell>
          <cell r="B99" t="str">
            <v>Painel de Mensagem Variável - PMV móvel, com sistema fotovoltaico de energia e montado em chassi sobre pneus</v>
          </cell>
          <cell r="C99">
            <v>23.859200000000001</v>
          </cell>
          <cell r="D99">
            <v>16.2255</v>
          </cell>
        </row>
        <row r="100">
          <cell r="A100" t="str">
            <v>E9116</v>
          </cell>
          <cell r="B100" t="str">
            <v>Semáforo móvel com 3 lentes e bateria - D = 200 mm</v>
          </cell>
          <cell r="C100">
            <v>1.1987000000000001</v>
          </cell>
          <cell r="D100">
            <v>0.81520000000000004</v>
          </cell>
        </row>
        <row r="101">
          <cell r="A101" t="str">
            <v>E9117</v>
          </cell>
          <cell r="B101" t="str">
            <v>Carregadeira de pneus para rocha com capacidade de 2,50 m³ - 105 kW</v>
          </cell>
          <cell r="C101">
            <v>258.60559999999998</v>
          </cell>
          <cell r="D101">
            <v>107.86239999999999</v>
          </cell>
        </row>
        <row r="102">
          <cell r="A102" t="str">
            <v>E9118</v>
          </cell>
          <cell r="B102" t="str">
            <v>Cortadora de pavimento com disco diamantado de 450 a 1.500 mm - 55,40 kW</v>
          </cell>
          <cell r="C102">
            <v>128.53530000000001</v>
          </cell>
          <cell r="D102">
            <v>60.971400000000003</v>
          </cell>
        </row>
        <row r="103">
          <cell r="A103" t="str">
            <v>E9119</v>
          </cell>
          <cell r="B103" t="str">
            <v>Minicarregadeira sobre pneus com valetadeira - 55,40 kW</v>
          </cell>
          <cell r="C103">
            <v>143.38040000000001</v>
          </cell>
          <cell r="D103">
            <v>59.8551</v>
          </cell>
        </row>
        <row r="104">
          <cell r="A104" t="str">
            <v>E9120</v>
          </cell>
          <cell r="B104" t="str">
            <v>Equipamento de cravação sobre esteira para geodreno com haste para profundidade de até</v>
          </cell>
          <cell r="C104">
            <v>602.80619999999999</v>
          </cell>
          <cell r="D104">
            <v>266.11700000000002</v>
          </cell>
        </row>
        <row r="105">
          <cell r="A105" t="str">
            <v>E9121</v>
          </cell>
          <cell r="B105" t="str">
            <v>Plataforma elevatória articulada elétrica com alcance de 6 m com capacidade de 500 kg - 1,5kw</v>
          </cell>
          <cell r="C105">
            <v>31.395499999999998</v>
          </cell>
          <cell r="D105">
            <v>26.6038</v>
          </cell>
        </row>
        <row r="106">
          <cell r="A106" t="str">
            <v>E9122</v>
          </cell>
          <cell r="B106" t="str">
            <v>Perfuratriz tipo Bottom Feed para coluna de brita - 194 kW</v>
          </cell>
          <cell r="C106">
            <v>919.37860000000001</v>
          </cell>
          <cell r="D106">
            <v>476.4846</v>
          </cell>
        </row>
        <row r="107">
          <cell r="A107" t="str">
            <v>E9125</v>
          </cell>
          <cell r="B107" t="str">
            <v>Veículo tipo van furgão com capacidade de 1,54 t - 93 kW</v>
          </cell>
          <cell r="C107">
            <v>62.498899999999999</v>
          </cell>
          <cell r="D107">
            <v>35.222000000000001</v>
          </cell>
        </row>
        <row r="108">
          <cell r="A108" t="str">
            <v>E9126</v>
          </cell>
          <cell r="B108" t="str">
            <v>Draga backhoe com capacidade de 7 m³ - 1.000 kW</v>
          </cell>
          <cell r="C108">
            <v>4908.3126000000002</v>
          </cell>
          <cell r="D108">
            <v>1784.3026</v>
          </cell>
        </row>
        <row r="109">
          <cell r="A109" t="str">
            <v>E9127</v>
          </cell>
          <cell r="B109" t="str">
            <v>Escavadeira hidráulica com martelo hidráulico de 520 kg - 75 kW</v>
          </cell>
          <cell r="C109">
            <v>308.9853</v>
          </cell>
          <cell r="D109">
            <v>143.04949999999999</v>
          </cell>
        </row>
        <row r="110">
          <cell r="A110" t="str">
            <v>E9134</v>
          </cell>
          <cell r="B110" t="str">
            <v>Miniônibus com capacidade para 30 passageiros - 111 kW</v>
          </cell>
          <cell r="C110">
            <v>157.55879999999999</v>
          </cell>
          <cell r="D110">
            <v>47.418199999999999</v>
          </cell>
        </row>
        <row r="111">
          <cell r="A111" t="str">
            <v>E9141</v>
          </cell>
          <cell r="B111" t="str">
            <v>Rebarbador hidráulico com bomba manual com capacidade de força de 9.000 kgf</v>
          </cell>
          <cell r="C111">
            <v>12.8912</v>
          </cell>
          <cell r="D111">
            <v>8.4847000000000001</v>
          </cell>
        </row>
        <row r="112">
          <cell r="A112" t="str">
            <v>E9144</v>
          </cell>
          <cell r="B112" t="str">
            <v>Pórtico metálico rolante com talha com capacidade de 5 t - 10 kW</v>
          </cell>
          <cell r="C112">
            <v>38.967300000000002</v>
          </cell>
          <cell r="D112">
            <v>33.245100000000001</v>
          </cell>
        </row>
        <row r="113">
          <cell r="A113" t="str">
            <v>E9148</v>
          </cell>
          <cell r="B113" t="str">
            <v>Macaco de protensão de fios com bomba - 3,72 kW</v>
          </cell>
          <cell r="C113">
            <v>46.189300000000003</v>
          </cell>
          <cell r="D113">
            <v>41.128900000000002</v>
          </cell>
        </row>
        <row r="114">
          <cell r="A114" t="str">
            <v>E9149</v>
          </cell>
          <cell r="B114" t="str">
            <v>Máquina de aplicação e extração de grampo elástico tipo Pandrol - 6,70 kW</v>
          </cell>
          <cell r="C114">
            <v>56.650599999999997</v>
          </cell>
          <cell r="D114">
            <v>25.677</v>
          </cell>
        </row>
        <row r="115">
          <cell r="A115" t="str">
            <v>E9151</v>
          </cell>
          <cell r="B115" t="str">
            <v>Britador de mandíbulas móvel sobre esteiras, sem peneira, com capacidade de 140 m³/h</v>
          </cell>
          <cell r="C115">
            <v>681.69680000000005</v>
          </cell>
          <cell r="D115">
            <v>326.5924</v>
          </cell>
        </row>
        <row r="116">
          <cell r="A116" t="str">
            <v>E9152</v>
          </cell>
          <cell r="B116" t="str">
            <v>Ferramenta de fixação à pólvora de ação direta</v>
          </cell>
          <cell r="C116">
            <v>0.26229999999999998</v>
          </cell>
          <cell r="D116">
            <v>0.14649999999999999</v>
          </cell>
        </row>
        <row r="117">
          <cell r="A117" t="str">
            <v>E9153</v>
          </cell>
          <cell r="B117" t="str">
            <v>Ferramenta de fixação à pólvora e sistema à pistão</v>
          </cell>
          <cell r="C117">
            <v>0.21859999999999999</v>
          </cell>
          <cell r="D117">
            <v>0.1221</v>
          </cell>
        </row>
        <row r="118">
          <cell r="A118" t="str">
            <v>E9154</v>
          </cell>
          <cell r="B118" t="str">
            <v>Equipamento para selagem com material asfáltico rebocável com capacidade de 370 l - 35 kW</v>
          </cell>
          <cell r="C118">
            <v>89.325100000000006</v>
          </cell>
          <cell r="D118">
            <v>57.818800000000003</v>
          </cell>
        </row>
        <row r="119">
          <cell r="A119" t="str">
            <v>E9155</v>
          </cell>
          <cell r="B119" t="str">
            <v>Caldeira de asfalto rebocável com capacidade de 600 l - 5,20 kW</v>
          </cell>
          <cell r="C119">
            <v>11.624599999999999</v>
          </cell>
          <cell r="D119">
            <v>6.8101000000000003</v>
          </cell>
        </row>
        <row r="120">
          <cell r="A120" t="str">
            <v>E9156</v>
          </cell>
          <cell r="B120" t="str">
            <v>Soprador de ar costal - 2,6 kW</v>
          </cell>
          <cell r="C120">
            <v>5.2763</v>
          </cell>
          <cell r="D120">
            <v>0.3483</v>
          </cell>
        </row>
        <row r="121">
          <cell r="A121" t="str">
            <v>E9157</v>
          </cell>
          <cell r="B121" t="str">
            <v>Locomotiva diesel-elétrica CC - bitola métrica - 2.237 kW</v>
          </cell>
          <cell r="C121">
            <v>1541.7673</v>
          </cell>
          <cell r="D121">
            <v>275.89490000000001</v>
          </cell>
        </row>
        <row r="122">
          <cell r="A122" t="str">
            <v>E9158</v>
          </cell>
          <cell r="B122" t="str">
            <v>Locomotiva diesel-elétrica CC - bitola larga - 2.237 kW</v>
          </cell>
          <cell r="C122">
            <v>1541.7673</v>
          </cell>
          <cell r="D122">
            <v>275.89490000000001</v>
          </cell>
        </row>
        <row r="123">
          <cell r="A123" t="str">
            <v>E9159</v>
          </cell>
          <cell r="B123" t="str">
            <v>Vagão plataforma PNE com capacidade de 82 t - bitola métrica</v>
          </cell>
          <cell r="C123">
            <v>15.4634</v>
          </cell>
          <cell r="D123">
            <v>12.0884</v>
          </cell>
        </row>
        <row r="124">
          <cell r="A124" t="str">
            <v>E9160</v>
          </cell>
          <cell r="B124" t="str">
            <v>Vagão plataforma PNT com capacidade de 98 t - bitola larga</v>
          </cell>
          <cell r="C124">
            <v>15.5398</v>
          </cell>
          <cell r="D124">
            <v>12.148099999999999</v>
          </cell>
        </row>
        <row r="125">
          <cell r="A125" t="str">
            <v>E9161</v>
          </cell>
          <cell r="B125" t="str">
            <v>Vagão fechado com porta para carga e descarga de paletes FLD com capacidade de 64 t - bitola métrica</v>
          </cell>
          <cell r="C125">
            <v>19.052399999999999</v>
          </cell>
          <cell r="D125">
            <v>14.8941</v>
          </cell>
        </row>
        <row r="126">
          <cell r="A126" t="str">
            <v>E9162</v>
          </cell>
          <cell r="B126" t="str">
            <v>Vagão fechado com porta para carga e descarga de paletes FLT com capacidade de 99 t - bitola larga</v>
          </cell>
          <cell r="C126">
            <v>21.419699999999999</v>
          </cell>
          <cell r="D126">
            <v>16.744700000000002</v>
          </cell>
        </row>
        <row r="127">
          <cell r="A127" t="str">
            <v>E9163</v>
          </cell>
          <cell r="B127" t="str">
            <v>Vagão hopper aberto com descarga automática HNE com capacidade de 45 m³ - bitola métrica</v>
          </cell>
          <cell r="C127">
            <v>21.0761</v>
          </cell>
          <cell r="D127">
            <v>16.476099999999999</v>
          </cell>
        </row>
        <row r="128">
          <cell r="A128" t="str">
            <v>E9164</v>
          </cell>
          <cell r="B128" t="str">
            <v>Vagão hopper aberto com descarga automática HNT com capacidade de 63 m³ - bitola larga</v>
          </cell>
          <cell r="C128">
            <v>19.319800000000001</v>
          </cell>
          <cell r="D128">
            <v>15.1031</v>
          </cell>
        </row>
        <row r="129">
          <cell r="A129" t="str">
            <v>E9167</v>
          </cell>
          <cell r="B129" t="str">
            <v>Equipamento para carga e descarga de TLS de até 250 m - 90 kW</v>
          </cell>
          <cell r="C129">
            <v>185.53210000000001</v>
          </cell>
          <cell r="D129">
            <v>98.712500000000006</v>
          </cell>
        </row>
        <row r="130">
          <cell r="A130" t="str">
            <v>E9168</v>
          </cell>
          <cell r="B130" t="str">
            <v>Carregadeira de pneus com implemento de garfo - 195 kW</v>
          </cell>
          <cell r="C130">
            <v>317.45049999999998</v>
          </cell>
          <cell r="D130">
            <v>151.9922</v>
          </cell>
        </row>
        <row r="131">
          <cell r="A131" t="str">
            <v>E9200</v>
          </cell>
          <cell r="B131" t="str">
            <v>Carregadeira de pneus para rocha com capacidade de 2,50 m³ - 105 kW com periculosidade</v>
          </cell>
          <cell r="C131">
            <v>265.19349999999997</v>
          </cell>
          <cell r="D131">
            <v>114.4503</v>
          </cell>
        </row>
        <row r="132">
          <cell r="A132" t="str">
            <v>E9203</v>
          </cell>
          <cell r="B132" t="str">
            <v>Escavadeira hidráulica com martelo hidráulico de 1.700 kg - 103 kW com periculosidade</v>
          </cell>
          <cell r="C132">
            <v>438.23309999999998</v>
          </cell>
          <cell r="D132">
            <v>201.3193</v>
          </cell>
        </row>
        <row r="133">
          <cell r="A133" t="str">
            <v>E9204</v>
          </cell>
          <cell r="B133" t="str">
            <v>Perfuratriz sobre esteiras - 145 kW com periculosidade</v>
          </cell>
          <cell r="C133">
            <v>532.80169999999998</v>
          </cell>
          <cell r="D133">
            <v>260.30619999999999</v>
          </cell>
        </row>
        <row r="134">
          <cell r="A134" t="str">
            <v>E9205</v>
          </cell>
          <cell r="B134" t="str">
            <v>Equipamento de corte a plasma CNC - 12.000 x 5.500 mm - 19,5 kW</v>
          </cell>
          <cell r="C134">
            <v>154.96260000000001</v>
          </cell>
          <cell r="D134">
            <v>95.466499999999996</v>
          </cell>
        </row>
        <row r="135">
          <cell r="A135" t="str">
            <v>E9206</v>
          </cell>
          <cell r="B135" t="str">
            <v>Equipamento de solda MIG automática com acessórios - 14,6 kVA</v>
          </cell>
          <cell r="C135">
            <v>13.5763</v>
          </cell>
          <cell r="D135">
            <v>7.4149000000000003</v>
          </cell>
        </row>
        <row r="136">
          <cell r="A136" t="str">
            <v>E9207</v>
          </cell>
          <cell r="B136" t="str">
            <v>Máquina de solda elétrica retificadora 425 A - 18,70 kW</v>
          </cell>
          <cell r="C136">
            <v>0.74119999999999997</v>
          </cell>
          <cell r="D136">
            <v>0.40479999999999999</v>
          </cell>
        </row>
        <row r="137">
          <cell r="A137" t="str">
            <v>E9209</v>
          </cell>
          <cell r="B137" t="str">
            <v xml:space="preserve"> Martelete perfurador/rompedor a ar comprimido de 25 kg para rocha, com insalubridade, com capacidade de 2.040 gpm</v>
          </cell>
          <cell r="C137">
            <v>29.312899999999999</v>
          </cell>
          <cell r="D137">
            <v>28.0459</v>
          </cell>
        </row>
        <row r="138">
          <cell r="A138" t="str">
            <v>E9213</v>
          </cell>
          <cell r="B138" t="str">
            <v>Jumbo eletro-hidráulico com 3 braços - 155 kW/237 kW com periculosidade</v>
          </cell>
          <cell r="C138">
            <v>1764.3121000000001</v>
          </cell>
          <cell r="D138">
            <v>833.21199999999999</v>
          </cell>
        </row>
        <row r="139">
          <cell r="A139" t="str">
            <v>E9251</v>
          </cell>
          <cell r="B139" t="str">
            <v>Fonte de plasma para corte manual - 65A - 15 kW</v>
          </cell>
          <cell r="C139">
            <v>4.9074999999999998</v>
          </cell>
          <cell r="D139">
            <v>2.6802999999999999</v>
          </cell>
        </row>
        <row r="140">
          <cell r="A140" t="str">
            <v>E9252</v>
          </cell>
          <cell r="B140" t="str">
            <v>Serra de esquadria com braço telescópico - D = 250 mm (10”) - 1,80 kW</v>
          </cell>
          <cell r="C140">
            <v>0.75790000000000002</v>
          </cell>
          <cell r="D140">
            <v>0.51539999999999997</v>
          </cell>
        </row>
        <row r="141">
          <cell r="A141" t="str">
            <v>E9253</v>
          </cell>
          <cell r="B141" t="str">
            <v>Rebordeadeira diâmetro máximo 3,00 m - 4,85 kW</v>
          </cell>
          <cell r="C141">
            <v>7.1990999999999996</v>
          </cell>
          <cell r="D141">
            <v>4.3968999999999996</v>
          </cell>
        </row>
        <row r="142">
          <cell r="A142" t="str">
            <v>E9254</v>
          </cell>
          <cell r="B142" t="str">
            <v>Dobradeira viradeira manual comprimento máximo de dobra de até 2.000 mm</v>
          </cell>
          <cell r="C142">
            <v>1.3244</v>
          </cell>
          <cell r="D142">
            <v>0.80889999999999995</v>
          </cell>
        </row>
        <row r="143">
          <cell r="A143" t="str">
            <v>E9255</v>
          </cell>
          <cell r="B143" t="str">
            <v>Fonte de plasma para corte manual - 45A - 10 kW</v>
          </cell>
          <cell r="C143">
            <v>3.3953000000000002</v>
          </cell>
          <cell r="D143">
            <v>1.8544</v>
          </cell>
        </row>
        <row r="144">
          <cell r="A144" t="str">
            <v>E9256</v>
          </cell>
          <cell r="B144" t="str">
            <v>Equipamento para pintura com cal rebocável com dois bicos aplicadores e capacidade de 2.200l</v>
          </cell>
          <cell r="C144">
            <v>26.4542</v>
          </cell>
          <cell r="D144">
            <v>23.909600000000001</v>
          </cell>
        </row>
        <row r="145">
          <cell r="A145" t="str">
            <v>E9501</v>
          </cell>
          <cell r="B145" t="str">
            <v>Ventilador axial para ventilação forçada com velocidade de saída de 32,8 m/s - D = 1.000 mm</v>
          </cell>
          <cell r="C145">
            <v>83.107799999999997</v>
          </cell>
          <cell r="D145">
            <v>53.118499999999997</v>
          </cell>
        </row>
        <row r="146">
          <cell r="A146" t="str">
            <v>E9502</v>
          </cell>
          <cell r="B146" t="str">
            <v>Bate-estaca de gravidade para 6 t - 119 kW</v>
          </cell>
          <cell r="C146">
            <v>201.4075</v>
          </cell>
          <cell r="D146">
            <v>96.759</v>
          </cell>
        </row>
        <row r="147">
          <cell r="A147" t="str">
            <v>E9503</v>
          </cell>
          <cell r="B147" t="str">
            <v>Guilhotina hidráulica 16 x 6.100 mm - 30 kW</v>
          </cell>
          <cell r="C147">
            <v>126.97199999999999</v>
          </cell>
          <cell r="D147">
            <v>85.596900000000005</v>
          </cell>
        </row>
        <row r="148">
          <cell r="A148" t="str">
            <v>E9505</v>
          </cell>
          <cell r="B148" t="str">
            <v>Prensa dobradeira capacidade 320 t - comprimento até 3.100 mm - 30 kW</v>
          </cell>
          <cell r="C148">
            <v>84.895700000000005</v>
          </cell>
          <cell r="D148">
            <v>59.898299999999999</v>
          </cell>
        </row>
        <row r="149">
          <cell r="A149" t="str">
            <v>E9507</v>
          </cell>
          <cell r="B149" t="str">
            <v>Plotadora de recorte com computador e programa computacional</v>
          </cell>
          <cell r="C149">
            <v>9.8895</v>
          </cell>
          <cell r="D149">
            <v>6.2004999999999999</v>
          </cell>
        </row>
        <row r="150">
          <cell r="A150" t="str">
            <v>E9510</v>
          </cell>
          <cell r="B150" t="str">
            <v>Ventilador centrífugo baixa pressão com capacidade de 58 m³/min - 3,68 kW</v>
          </cell>
          <cell r="C150">
            <v>1.7737000000000001</v>
          </cell>
          <cell r="D150">
            <v>1.1336999999999999</v>
          </cell>
        </row>
        <row r="151">
          <cell r="A151" t="str">
            <v>E9511</v>
          </cell>
          <cell r="B151" t="str">
            <v>Carregadeira de pneus com capacidade de 3,40 m³ - 195 kW</v>
          </cell>
          <cell r="C151">
            <v>293.14510000000001</v>
          </cell>
          <cell r="D151">
            <v>138.57390000000001</v>
          </cell>
        </row>
        <row r="152">
          <cell r="A152" t="str">
            <v>E9512</v>
          </cell>
          <cell r="B152" t="str">
            <v>Veículo leve - 53 kW</v>
          </cell>
          <cell r="C152">
            <v>56.514600000000002</v>
          </cell>
          <cell r="D152">
            <v>28.342400000000001</v>
          </cell>
        </row>
        <row r="153">
          <cell r="A153" t="str">
            <v>E9513</v>
          </cell>
          <cell r="B153" t="str">
            <v>Compressor de ar portátil de 160,46 l/s (340 PCM) - 81 kW</v>
          </cell>
          <cell r="C153">
            <v>84.202500000000001</v>
          </cell>
          <cell r="D153">
            <v>15.3368</v>
          </cell>
        </row>
        <row r="154">
          <cell r="A154" t="str">
            <v>E9514</v>
          </cell>
          <cell r="B154" t="str">
            <v>Distribuidor de agregados sobre pneus autopropelido - 130 kW</v>
          </cell>
          <cell r="C154">
            <v>218.60120000000001</v>
          </cell>
          <cell r="D154">
            <v>80.454899999999995</v>
          </cell>
        </row>
        <row r="155">
          <cell r="A155" t="str">
            <v>E9515</v>
          </cell>
          <cell r="B155" t="str">
            <v>Escavadeira hidráulica sobre esteiras com caçamba com capacidade de 1,56 m³ - 118 kW</v>
          </cell>
          <cell r="C155">
            <v>219.316</v>
          </cell>
          <cell r="D155">
            <v>98.403599999999997</v>
          </cell>
        </row>
        <row r="156">
          <cell r="A156" t="str">
            <v>E9516</v>
          </cell>
          <cell r="B156" t="str">
            <v>Perfuratriz hidráulica sobre esteiras - 283 kW</v>
          </cell>
          <cell r="C156">
            <v>983.33600000000001</v>
          </cell>
          <cell r="D156">
            <v>491.6703</v>
          </cell>
        </row>
        <row r="157">
          <cell r="A157" t="str">
            <v>E9517</v>
          </cell>
          <cell r="B157" t="str">
            <v>Compressor de ar portátil de 430,42 l/s (912 PCM) - 242 kW</v>
          </cell>
          <cell r="C157">
            <v>237.0977</v>
          </cell>
          <cell r="D157">
            <v>37.818399999999997</v>
          </cell>
        </row>
        <row r="158">
          <cell r="A158" t="str">
            <v>E9518</v>
          </cell>
          <cell r="B158" t="str">
            <v>Grade de 24 discos rebocável de D = 60 cm (24”)</v>
          </cell>
          <cell r="C158">
            <v>3.8357000000000001</v>
          </cell>
          <cell r="D158">
            <v>2.6496</v>
          </cell>
        </row>
        <row r="159">
          <cell r="A159" t="str">
            <v>E9519</v>
          </cell>
          <cell r="B159" t="str">
            <v>Betoneira com motor a gasolina com capacidade de 600 l - 10 kW</v>
          </cell>
          <cell r="C159">
            <v>43.340600000000002</v>
          </cell>
          <cell r="D159">
            <v>23.561599999999999</v>
          </cell>
        </row>
        <row r="160">
          <cell r="A160" t="str">
            <v>E9521</v>
          </cell>
          <cell r="B160" t="str">
            <v>Grupo gerador - 2,5/3 kVA</v>
          </cell>
          <cell r="C160">
            <v>3.5034999999999998</v>
          </cell>
          <cell r="D160">
            <v>0.1928</v>
          </cell>
        </row>
        <row r="161">
          <cell r="A161" t="str">
            <v>E9522</v>
          </cell>
          <cell r="B161" t="str">
            <v>Caldeira de asfalto rebocável com capacidade de 1.500 l - 6,5 kW</v>
          </cell>
          <cell r="C161">
            <v>18.468399999999999</v>
          </cell>
          <cell r="D161">
            <v>11.6166</v>
          </cell>
        </row>
        <row r="162">
          <cell r="A162" t="str">
            <v>E9523</v>
          </cell>
          <cell r="B162" t="str">
            <v>Motoscraper - 304 kW</v>
          </cell>
          <cell r="C162">
            <v>899.70860000000005</v>
          </cell>
          <cell r="D162">
            <v>390.6927</v>
          </cell>
        </row>
        <row r="163">
          <cell r="A163" t="str">
            <v>E9524</v>
          </cell>
          <cell r="B163" t="str">
            <v>Motoniveladora - 93 kW</v>
          </cell>
          <cell r="C163">
            <v>194.7902</v>
          </cell>
          <cell r="D163">
            <v>82.765699999999995</v>
          </cell>
        </row>
        <row r="164">
          <cell r="A164" t="str">
            <v>E9525</v>
          </cell>
          <cell r="B164" t="str">
            <v>Ponte rolante com capacidade de 15 t e vão de até 15 m - 20 kW</v>
          </cell>
          <cell r="C164">
            <v>179.1935</v>
          </cell>
          <cell r="D164">
            <v>136.0735</v>
          </cell>
        </row>
        <row r="165">
          <cell r="A165" t="str">
            <v>E9526</v>
          </cell>
          <cell r="B165" t="str">
            <v>Retroescavadeira de pneus com capacidade de 0,76 m³ - 58 kW</v>
          </cell>
          <cell r="C165">
            <v>107.0654</v>
          </cell>
          <cell r="D165">
            <v>54.092799999999997</v>
          </cell>
        </row>
        <row r="166">
          <cell r="A166" t="str">
            <v>E9527</v>
          </cell>
          <cell r="B166" t="str">
            <v>Martelete perfurador/rompedor a ar comprimido de 25 kg para rocha com capacidade de 2.040 gpm</v>
          </cell>
          <cell r="C166">
            <v>23.4666</v>
          </cell>
          <cell r="D166">
            <v>22.1996</v>
          </cell>
        </row>
        <row r="167">
          <cell r="A167" t="str">
            <v>E9528</v>
          </cell>
          <cell r="B167" t="str">
            <v>Empilhadeira a diesel com capacidade de 4 t - 60 kW</v>
          </cell>
          <cell r="C167">
            <v>119.4594</v>
          </cell>
          <cell r="D167">
            <v>56.501399999999997</v>
          </cell>
        </row>
        <row r="168">
          <cell r="A168" t="str">
            <v>E9529</v>
          </cell>
          <cell r="B168" t="str">
            <v>Jateador para estruturas metálicas com transportador a roletes - 22 kW</v>
          </cell>
          <cell r="C168">
            <v>519.05269999999996</v>
          </cell>
          <cell r="D168">
            <v>330.9708</v>
          </cell>
        </row>
        <row r="169">
          <cell r="A169" t="str">
            <v>E9530</v>
          </cell>
          <cell r="B169" t="str">
            <v>Rolo compactador liso vibratório autopropelido por pneus de 11 t - 97 kW</v>
          </cell>
          <cell r="C169">
            <v>167.15440000000001</v>
          </cell>
          <cell r="D169">
            <v>69.273399999999995</v>
          </cell>
        </row>
        <row r="170">
          <cell r="A170" t="str">
            <v>E9532</v>
          </cell>
          <cell r="B170" t="str">
            <v>Equipamento de solda MIG com acessórios - 14,6 kVA</v>
          </cell>
          <cell r="C170">
            <v>8.4451000000000001</v>
          </cell>
          <cell r="D170">
            <v>4.6124000000000001</v>
          </cell>
        </row>
        <row r="171">
          <cell r="A171" t="str">
            <v>E9535</v>
          </cell>
          <cell r="B171" t="str">
            <v>Serra circular com bancada - D = 30 cm - 4 kW</v>
          </cell>
          <cell r="C171">
            <v>21.4528</v>
          </cell>
          <cell r="D171">
            <v>21.203900000000001</v>
          </cell>
        </row>
        <row r="172">
          <cell r="A172" t="str">
            <v>E9536</v>
          </cell>
          <cell r="B172" t="str">
            <v>Embarcação de transporte de pessoal e apoio logístico - 30 kW</v>
          </cell>
          <cell r="C172">
            <v>95.826499999999996</v>
          </cell>
          <cell r="D172">
            <v>32.818800000000003</v>
          </cell>
        </row>
        <row r="173">
          <cell r="A173" t="str">
            <v>E9538</v>
          </cell>
          <cell r="B173" t="str">
            <v>Conjunto vibratório para meio tubo de concreto com encaixe PB e 3 jogos de fôrmas - D = 0,30m</v>
          </cell>
          <cell r="C173">
            <v>3.7627999999999999</v>
          </cell>
          <cell r="D173">
            <v>2.3180999999999998</v>
          </cell>
        </row>
        <row r="174">
          <cell r="A174" t="str">
            <v>E9539</v>
          </cell>
          <cell r="B174" t="str">
            <v>Equipamento de batimetria monofeixe</v>
          </cell>
          <cell r="C174">
            <v>35.1158</v>
          </cell>
          <cell r="D174">
            <v>31.6143</v>
          </cell>
        </row>
        <row r="175">
          <cell r="A175" t="str">
            <v>E9540</v>
          </cell>
          <cell r="B175" t="str">
            <v>Trator sobre esteiras com lâmina - 127 kW</v>
          </cell>
          <cell r="C175">
            <v>196.91630000000001</v>
          </cell>
          <cell r="D175">
            <v>74.749700000000004</v>
          </cell>
        </row>
        <row r="176">
          <cell r="A176" t="str">
            <v>E9541</v>
          </cell>
          <cell r="B176" t="str">
            <v>Trator sobre esteiras com lâmina - 259 kW</v>
          </cell>
          <cell r="C176">
            <v>527.2414</v>
          </cell>
          <cell r="D176">
            <v>200.1628</v>
          </cell>
        </row>
        <row r="177">
          <cell r="A177" t="str">
            <v>E9544</v>
          </cell>
          <cell r="B177" t="str">
            <v>Vassoura mecânica rebocável com largura de 2,44 m</v>
          </cell>
          <cell r="C177">
            <v>8.5825999999999993</v>
          </cell>
          <cell r="D177">
            <v>5.4855999999999998</v>
          </cell>
        </row>
        <row r="178">
          <cell r="A178" t="str">
            <v>E9545</v>
          </cell>
          <cell r="B178" t="str">
            <v>Vibroacabadora de asfalto sobre esteiras - 82 kW</v>
          </cell>
          <cell r="C178">
            <v>209.14439999999999</v>
          </cell>
          <cell r="D178">
            <v>90.490499999999997</v>
          </cell>
        </row>
        <row r="179">
          <cell r="A179" t="str">
            <v>E9547</v>
          </cell>
          <cell r="B179" t="str">
            <v>Máquina de solda elétrica transformadora 250 A - 9,20 kW</v>
          </cell>
          <cell r="C179">
            <v>0.1047</v>
          </cell>
          <cell r="D179">
            <v>5.7200000000000001E-2</v>
          </cell>
        </row>
        <row r="180">
          <cell r="A180" t="str">
            <v>E9548</v>
          </cell>
          <cell r="B180" t="str">
            <v>Bomba centrífuga com capacidade de 8,6 a 22 m³/h - 1,50 kW</v>
          </cell>
          <cell r="C180">
            <v>0.2606</v>
          </cell>
          <cell r="D180">
            <v>0.15090000000000001</v>
          </cell>
        </row>
        <row r="181">
          <cell r="A181" t="str">
            <v>E9551</v>
          </cell>
          <cell r="B181" t="str">
            <v>Obturador mecânico simples com extensão de 12 m</v>
          </cell>
          <cell r="C181">
            <v>1.3593999999999999</v>
          </cell>
          <cell r="D181">
            <v>0.92449999999999999</v>
          </cell>
        </row>
        <row r="182">
          <cell r="A182" t="str">
            <v>E9552</v>
          </cell>
          <cell r="B182" t="str">
            <v>Nível ótico com capacidade de aumento de 32x</v>
          </cell>
          <cell r="C182">
            <v>1.5992999999999999</v>
          </cell>
          <cell r="D182">
            <v>1.0526</v>
          </cell>
        </row>
        <row r="183">
          <cell r="A183" t="str">
            <v>E9553</v>
          </cell>
          <cell r="B183" t="str">
            <v>Estação total eletrônica com alcance máximo de 3.000 m</v>
          </cell>
          <cell r="C183">
            <v>4.2165999999999997</v>
          </cell>
          <cell r="D183">
            <v>2.8675000000000002</v>
          </cell>
        </row>
        <row r="184">
          <cell r="A184" t="str">
            <v>E9556</v>
          </cell>
          <cell r="B184" t="str">
            <v>Compactador manual de placa vibratória - 3,00 kW</v>
          </cell>
          <cell r="C184">
            <v>6.7888000000000002</v>
          </cell>
          <cell r="D184">
            <v>0.77139999999999997</v>
          </cell>
        </row>
        <row r="185">
          <cell r="A185" t="str">
            <v>E9558</v>
          </cell>
          <cell r="B185" t="str">
            <v>Tanque de estocagem de asfalto com capacidade de 30.000 l</v>
          </cell>
          <cell r="C185">
            <v>55.491999999999997</v>
          </cell>
          <cell r="D185">
            <v>37.523200000000003</v>
          </cell>
        </row>
        <row r="186">
          <cell r="A186" t="str">
            <v>E9559</v>
          </cell>
          <cell r="B186" t="str">
            <v>Aquecedor de fluido térmico - 12 kW</v>
          </cell>
          <cell r="C186">
            <v>62.47</v>
          </cell>
          <cell r="D186">
            <v>36.1372</v>
          </cell>
        </row>
        <row r="187">
          <cell r="A187" t="str">
            <v>E9560</v>
          </cell>
          <cell r="B187" t="str">
            <v>Ônibus com capacidade para 80 passageiros - 175 kW</v>
          </cell>
          <cell r="C187">
            <v>247.40379999999999</v>
          </cell>
          <cell r="D187">
            <v>67.593599999999995</v>
          </cell>
        </row>
        <row r="188">
          <cell r="A188" t="str">
            <v>E9561</v>
          </cell>
          <cell r="B188" t="str">
            <v>GPS geodésico de simples frequência (L1)</v>
          </cell>
          <cell r="C188">
            <v>3.7263999999999999</v>
          </cell>
          <cell r="D188">
            <v>2.4525999999999999</v>
          </cell>
        </row>
        <row r="189">
          <cell r="A189" t="str">
            <v>E9562</v>
          </cell>
          <cell r="B189" t="str">
            <v>GPS geodésico de dupla frequência (L1/L2)</v>
          </cell>
          <cell r="C189">
            <v>8.0693000000000001</v>
          </cell>
          <cell r="D189">
            <v>5.3109999999999999</v>
          </cell>
        </row>
        <row r="190">
          <cell r="A190" t="str">
            <v>E9563</v>
          </cell>
          <cell r="B190" t="str">
            <v>Perfuratriz hidráulica sobre esteiras com clamshell - 220 kW</v>
          </cell>
          <cell r="C190">
            <v>653.3972</v>
          </cell>
          <cell r="D190">
            <v>323.48899999999998</v>
          </cell>
        </row>
        <row r="191">
          <cell r="A191" t="str">
            <v>E9565</v>
          </cell>
          <cell r="B191" t="str">
            <v>Trator sobre esteiras com lâmina e escarificador - 259 kW</v>
          </cell>
          <cell r="C191">
            <v>528.75049999999999</v>
          </cell>
          <cell r="D191">
            <v>200.90629999999999</v>
          </cell>
        </row>
        <row r="192">
          <cell r="A192" t="str">
            <v>E9566</v>
          </cell>
          <cell r="B192" t="str">
            <v>Guindaste móvel sobre esteiras com clamshell de 1,9 m³ - 220 kW</v>
          </cell>
          <cell r="C192">
            <v>478.24400000000003</v>
          </cell>
          <cell r="D192">
            <v>233.7525</v>
          </cell>
        </row>
        <row r="193">
          <cell r="A193" t="str">
            <v>E9567</v>
          </cell>
          <cell r="B193" t="str">
            <v>Fresadora de piso de concreto - 6,7 kW</v>
          </cell>
          <cell r="C193">
            <v>15.0626</v>
          </cell>
          <cell r="D193">
            <v>1.6473</v>
          </cell>
        </row>
        <row r="194">
          <cell r="A194" t="str">
            <v>E9568</v>
          </cell>
          <cell r="B194" t="str">
            <v>Furadeira de impacto de 12,5 mm - 0,80 kW</v>
          </cell>
          <cell r="C194">
            <v>0.18540000000000001</v>
          </cell>
          <cell r="D194">
            <v>0.122</v>
          </cell>
        </row>
        <row r="195">
          <cell r="A195" t="str">
            <v>E9569</v>
          </cell>
          <cell r="B195" t="str">
            <v>Guindaste móvel sobre esteiras com clamshell de 4,6 m³ - 403 kW</v>
          </cell>
          <cell r="C195">
            <v>340.86</v>
          </cell>
          <cell r="D195">
            <v>163.73150000000001</v>
          </cell>
        </row>
        <row r="196">
          <cell r="A196" t="str">
            <v>E9570</v>
          </cell>
          <cell r="B196" t="str">
            <v>Furadeira com base magnética - 1,20 kW</v>
          </cell>
          <cell r="C196">
            <v>1.1416999999999999</v>
          </cell>
          <cell r="D196">
            <v>0.71809999999999996</v>
          </cell>
        </row>
        <row r="197">
          <cell r="A197" t="str">
            <v>E9574</v>
          </cell>
          <cell r="B197" t="str">
            <v>Perfuratriz sobre esteiras - 145 kW</v>
          </cell>
          <cell r="C197">
            <v>526.21379999999999</v>
          </cell>
          <cell r="D197">
            <v>253.7183</v>
          </cell>
        </row>
        <row r="198">
          <cell r="A198" t="str">
            <v>E9576</v>
          </cell>
          <cell r="B198" t="str">
            <v>Escavadeira hidráulica de longo alcance sobre esteiras - 103 kW</v>
          </cell>
          <cell r="C198">
            <v>201.53049999999999</v>
          </cell>
          <cell r="D198">
            <v>92.999600000000001</v>
          </cell>
        </row>
        <row r="199">
          <cell r="A199" t="str">
            <v>E9577</v>
          </cell>
          <cell r="B199" t="str">
            <v>Trator agrícola sobre pneus - 77 kW</v>
          </cell>
          <cell r="C199">
            <v>100.128</v>
          </cell>
          <cell r="D199">
            <v>33.920900000000003</v>
          </cell>
        </row>
        <row r="200">
          <cell r="A200" t="str">
            <v>E9578</v>
          </cell>
          <cell r="B200" t="str">
            <v>Conjunto vibratório para meio tubo de concreto com encaixe PB e 3 jogos de fôrmas - D = 0,40m</v>
          </cell>
          <cell r="C200">
            <v>3.8944000000000001</v>
          </cell>
          <cell r="D200">
            <v>2.3992</v>
          </cell>
        </row>
        <row r="201">
          <cell r="A201" t="str">
            <v>E9580</v>
          </cell>
          <cell r="B201" t="str">
            <v>Fresadora e distribuidora com controle de greide - 287 kW</v>
          </cell>
          <cell r="C201">
            <v>669.43989999999997</v>
          </cell>
          <cell r="D201">
            <v>233.81800000000001</v>
          </cell>
        </row>
        <row r="202">
          <cell r="A202" t="str">
            <v>E9581</v>
          </cell>
          <cell r="B202" t="str">
            <v>Carregadeira de pneus para rocha com capacidade de 1,72 m³ - 113 kW</v>
          </cell>
          <cell r="C202">
            <v>216.0119</v>
          </cell>
          <cell r="D202">
            <v>81.490899999999996</v>
          </cell>
        </row>
        <row r="203">
          <cell r="A203" t="str">
            <v>E9583</v>
          </cell>
          <cell r="B203" t="str">
            <v>Distribuidor de agregados rebocável com capacidade de 1,9 m³</v>
          </cell>
          <cell r="C203">
            <v>11.069800000000001</v>
          </cell>
          <cell r="D203">
            <v>7.0753000000000004</v>
          </cell>
        </row>
        <row r="204">
          <cell r="A204" t="str">
            <v>E9584</v>
          </cell>
          <cell r="B204" t="str">
            <v>Carregadeira de pneus com capacidade de 1,72 m³ - 113 kW</v>
          </cell>
          <cell r="C204">
            <v>136.61259999999999</v>
          </cell>
          <cell r="D204">
            <v>67.008899999999997</v>
          </cell>
        </row>
        <row r="205">
          <cell r="A205" t="str">
            <v>E9585</v>
          </cell>
          <cell r="B205" t="str">
            <v>Motosserra com motor a gasolina - 2,30 kW</v>
          </cell>
          <cell r="C205">
            <v>26.7255</v>
          </cell>
          <cell r="D205">
            <v>21.686900000000001</v>
          </cell>
        </row>
        <row r="206">
          <cell r="A206" t="str">
            <v>E9586</v>
          </cell>
          <cell r="B206" t="str">
            <v>Régua vibratória dupla com 4 m - 4,10 kW</v>
          </cell>
          <cell r="C206">
            <v>8.2329000000000008</v>
          </cell>
          <cell r="D206">
            <v>0.51919999999999999</v>
          </cell>
        </row>
        <row r="207">
          <cell r="A207" t="str">
            <v>E9587</v>
          </cell>
          <cell r="B207" t="str">
            <v>Serra para corte de concreto - 4 kW</v>
          </cell>
          <cell r="C207">
            <v>9.1966999999999999</v>
          </cell>
          <cell r="D207">
            <v>1.1608000000000001</v>
          </cell>
        </row>
        <row r="208">
          <cell r="A208" t="str">
            <v>E9588</v>
          </cell>
          <cell r="B208" t="str">
            <v>Vibroacabadora de concreto sobre esteiras com fôrmas deslizantes - 205 kW</v>
          </cell>
          <cell r="C208">
            <v>721.99300000000005</v>
          </cell>
          <cell r="D208">
            <v>300.94540000000001</v>
          </cell>
        </row>
        <row r="209">
          <cell r="A209" t="str">
            <v>E9589</v>
          </cell>
          <cell r="B209" t="str">
            <v>Maquina texturizadora e aplicadora de cura química em pavimento de concreto - 44,80 kW</v>
          </cell>
          <cell r="C209">
            <v>171.88130000000001</v>
          </cell>
          <cell r="D209">
            <v>93.496700000000004</v>
          </cell>
        </row>
        <row r="210">
          <cell r="A210" t="str">
            <v>E9590</v>
          </cell>
          <cell r="B210" t="str">
            <v>Central de concreto com capacidade de 40 m³/h - dosadora fixa</v>
          </cell>
          <cell r="C210">
            <v>82.702799999999996</v>
          </cell>
          <cell r="D210">
            <v>63.131</v>
          </cell>
        </row>
        <row r="211">
          <cell r="A211" t="str">
            <v>E9591</v>
          </cell>
          <cell r="B211" t="str">
            <v>Serra para corte de concreto e asfalto - 10 kW</v>
          </cell>
          <cell r="C211">
            <v>20.619599999999998</v>
          </cell>
          <cell r="D211">
            <v>1.5284</v>
          </cell>
        </row>
        <row r="212">
          <cell r="A212" t="str">
            <v>E9593</v>
          </cell>
          <cell r="B212" t="str">
            <v>Draga hopper com capacidade de 750 m³</v>
          </cell>
          <cell r="C212">
            <v>3796.1269000000002</v>
          </cell>
          <cell r="D212">
            <v>1479.0324000000001</v>
          </cell>
        </row>
        <row r="213">
          <cell r="A213" t="str">
            <v>E9594</v>
          </cell>
          <cell r="B213" t="str">
            <v>Draga hopper com capacidade de 1.000 m³</v>
          </cell>
          <cell r="C213">
            <v>4510.8651</v>
          </cell>
          <cell r="D213">
            <v>1752.6284000000001</v>
          </cell>
        </row>
        <row r="214">
          <cell r="A214" t="str">
            <v>E9595</v>
          </cell>
          <cell r="B214" t="str">
            <v>Draga hopper com capacidade de 2.000 m³</v>
          </cell>
          <cell r="C214">
            <v>8877.8151999999991</v>
          </cell>
          <cell r="D214">
            <v>3414.7303000000002</v>
          </cell>
        </row>
        <row r="215">
          <cell r="A215" t="str">
            <v>E9596</v>
          </cell>
          <cell r="B215" t="str">
            <v>Draga hopper com capacidade de 3.000 m³</v>
          </cell>
          <cell r="C215">
            <v>11666.925300000001</v>
          </cell>
          <cell r="D215">
            <v>4475.7389999999996</v>
          </cell>
        </row>
        <row r="216">
          <cell r="A216" t="str">
            <v>E9597</v>
          </cell>
          <cell r="B216" t="str">
            <v>Draga hopper com capacidade de 4.000 m³</v>
          </cell>
          <cell r="C216">
            <v>13388.513499999999</v>
          </cell>
          <cell r="D216">
            <v>5043.2789000000002</v>
          </cell>
        </row>
        <row r="217">
          <cell r="A217" t="str">
            <v>E9598</v>
          </cell>
          <cell r="B217" t="str">
            <v>Draga hopper com capacidade de 5.000 m³</v>
          </cell>
          <cell r="C217">
            <v>15971.808199999999</v>
          </cell>
          <cell r="D217">
            <v>5949.88</v>
          </cell>
        </row>
        <row r="218">
          <cell r="A218" t="str">
            <v>E9599</v>
          </cell>
          <cell r="B218" t="str">
            <v>Central de concreto com capacidade de 30 m³/h - dosadora RS</v>
          </cell>
          <cell r="C218">
            <v>57.179299999999998</v>
          </cell>
          <cell r="D218">
            <v>48.013100000000001</v>
          </cell>
        </row>
        <row r="219">
          <cell r="A219" t="str">
            <v>E9601</v>
          </cell>
          <cell r="B219" t="str">
            <v>Embarcação de transporte de pessoal e apoio logístico - 130 kW</v>
          </cell>
          <cell r="C219">
            <v>314.62509999999997</v>
          </cell>
          <cell r="D219">
            <v>40.076900000000002</v>
          </cell>
        </row>
        <row r="220">
          <cell r="A220" t="str">
            <v>E9603</v>
          </cell>
          <cell r="B220" t="str">
            <v>Embarcação empurradora multipropósito com guindaste hidráulico de 74 kN.m - 165 kW</v>
          </cell>
          <cell r="C220">
            <v>355.95420000000001</v>
          </cell>
          <cell r="D220">
            <v>161.0728</v>
          </cell>
        </row>
        <row r="221">
          <cell r="A221" t="str">
            <v>E9606</v>
          </cell>
          <cell r="B221" t="str">
            <v>Embarcação rebocadora - 2 x 268 kW</v>
          </cell>
          <cell r="C221">
            <v>588.3528</v>
          </cell>
          <cell r="D221">
            <v>138.9442</v>
          </cell>
        </row>
        <row r="222">
          <cell r="A222" t="str">
            <v>E9607</v>
          </cell>
          <cell r="B222" t="str">
            <v>Conjunto de britagem para rachão com capacidade de 80 m³/h - 224 kW</v>
          </cell>
          <cell r="C222">
            <v>274.61799999999999</v>
          </cell>
          <cell r="D222">
            <v>185.59309999999999</v>
          </cell>
        </row>
        <row r="223">
          <cell r="A223" t="str">
            <v>E9609</v>
          </cell>
          <cell r="B223" t="str">
            <v>Draga de sucção para extração de areia com tubo de descarga de 150 mm - 100 kW</v>
          </cell>
          <cell r="C223">
            <v>118.04179999999999</v>
          </cell>
          <cell r="D223">
            <v>46.733400000000003</v>
          </cell>
        </row>
        <row r="224">
          <cell r="A224" t="str">
            <v>E9610</v>
          </cell>
          <cell r="B224" t="str">
            <v>Compressor de ar portátil de 42,48 l/s (90 PCM) - 18,50 kW</v>
          </cell>
          <cell r="C224">
            <v>25.713799999999999</v>
          </cell>
          <cell r="D224">
            <v>7.0879000000000003</v>
          </cell>
        </row>
        <row r="225">
          <cell r="A225" t="str">
            <v>E9611</v>
          </cell>
          <cell r="B225" t="str">
            <v>Conjunto de britagem com capacidade de 80 m³/h - 313 kW</v>
          </cell>
          <cell r="C225">
            <v>756.24289999999996</v>
          </cell>
          <cell r="D225">
            <v>488.50749999999999</v>
          </cell>
        </row>
        <row r="226">
          <cell r="A226" t="str">
            <v>E9612</v>
          </cell>
          <cell r="B226" t="str">
            <v>Plataforma flutuante montada na obra de 12 x 24 x 1,8 m com capacidade de 150 t</v>
          </cell>
          <cell r="C226">
            <v>56.650599999999997</v>
          </cell>
          <cell r="D226">
            <v>50.020600000000002</v>
          </cell>
        </row>
        <row r="227">
          <cell r="A227" t="str">
            <v>E9613</v>
          </cell>
          <cell r="B227" t="str">
            <v>Guindaste móvel sobre esteiras com pinça com capacidade de 40 t - 186 kW</v>
          </cell>
          <cell r="C227">
            <v>758.92589999999996</v>
          </cell>
          <cell r="D227">
            <v>377.46230000000003</v>
          </cell>
        </row>
        <row r="228">
          <cell r="A228" t="str">
            <v>E9614</v>
          </cell>
          <cell r="B228" t="str">
            <v>Bomba com capacidade de 136 m³/h e câmara de vácuo - 5,60 kW</v>
          </cell>
          <cell r="C228">
            <v>1.2051000000000001</v>
          </cell>
          <cell r="D228">
            <v>0.69779999999999998</v>
          </cell>
        </row>
        <row r="229">
          <cell r="A229" t="str">
            <v>E9615</v>
          </cell>
          <cell r="B229" t="str">
            <v>Usina misturadora de solos com capacidade de 300 t/h - 44 kW</v>
          </cell>
          <cell r="C229">
            <v>145.1908</v>
          </cell>
          <cell r="D229">
            <v>96.971100000000007</v>
          </cell>
        </row>
        <row r="230">
          <cell r="A230" t="str">
            <v>E9617</v>
          </cell>
          <cell r="B230" t="str">
            <v>Usina misturadora de pré misturado a frio com capacidade de 60 t/h - 23,50 kW</v>
          </cell>
          <cell r="C230">
            <v>46.203000000000003</v>
          </cell>
          <cell r="D230">
            <v>38.339399999999998</v>
          </cell>
        </row>
        <row r="231">
          <cell r="A231" t="str">
            <v>E9618</v>
          </cell>
          <cell r="B231" t="str">
            <v>Batelão autopropelido com capacidade de 300 m³ - 224 kW</v>
          </cell>
          <cell r="C231">
            <v>827.00980000000004</v>
          </cell>
          <cell r="D231">
            <v>382.4692</v>
          </cell>
        </row>
        <row r="232">
          <cell r="A232" t="str">
            <v>E9619</v>
          </cell>
          <cell r="B232" t="str">
            <v>Batelão autopropelido com capacidade de 500 m³ - 373 kW</v>
          </cell>
          <cell r="C232">
            <v>1016.8704</v>
          </cell>
          <cell r="D232">
            <v>447.35890000000001</v>
          </cell>
        </row>
        <row r="233">
          <cell r="A233" t="str">
            <v>E9620</v>
          </cell>
          <cell r="B233" t="str">
            <v>Pontão flutuante de 15 x 30 x 1,8 m com capacidade de 500 t</v>
          </cell>
          <cell r="C233">
            <v>86.544600000000003</v>
          </cell>
          <cell r="D233">
            <v>53.822200000000002</v>
          </cell>
        </row>
        <row r="234">
          <cell r="A234" t="str">
            <v>E9621</v>
          </cell>
          <cell r="B234" t="str">
            <v>Bomba de injeção de argamassa e nata com capacidade de 1,08 m³/h (18 l/min) e misturador com tambor de 0,100 m³ - 6,20 kW</v>
          </cell>
          <cell r="C234">
            <v>32.072499999999998</v>
          </cell>
          <cell r="D234">
            <v>24.261299999999999</v>
          </cell>
        </row>
        <row r="235">
          <cell r="A235" t="str">
            <v>E9622</v>
          </cell>
          <cell r="B235" t="str">
            <v>Máquina de bancada universal para corte de chapa - 1,50 kW</v>
          </cell>
          <cell r="C235">
            <v>5.4450000000000003</v>
          </cell>
          <cell r="D235">
            <v>3.4245999999999999</v>
          </cell>
        </row>
        <row r="236">
          <cell r="A236" t="str">
            <v>E9623</v>
          </cell>
          <cell r="B236" t="str">
            <v>Máquina de bancada guilhotina - 4,00 kW</v>
          </cell>
          <cell r="C236">
            <v>14.4422</v>
          </cell>
          <cell r="D236">
            <v>9.0832999999999995</v>
          </cell>
        </row>
        <row r="237">
          <cell r="A237" t="str">
            <v>E9624</v>
          </cell>
          <cell r="B237" t="str">
            <v>Draga hopper com capacidade de 10.000 m³</v>
          </cell>
          <cell r="C237">
            <v>25336.3609</v>
          </cell>
          <cell r="D237">
            <v>9275.7579999999998</v>
          </cell>
        </row>
        <row r="238">
          <cell r="A238" t="str">
            <v>E9625</v>
          </cell>
          <cell r="B238" t="str">
            <v>Draga hopper com capacidade de 15.000 m³</v>
          </cell>
          <cell r="C238">
            <v>36514.775699999998</v>
          </cell>
          <cell r="D238">
            <v>13272.882</v>
          </cell>
        </row>
        <row r="239">
          <cell r="A239" t="str">
            <v>E9626</v>
          </cell>
          <cell r="B239" t="str">
            <v>Draga hopper com capacidade de 20.000 m³</v>
          </cell>
          <cell r="C239">
            <v>47742.125699999997</v>
          </cell>
          <cell r="D239">
            <v>17269.729200000002</v>
          </cell>
        </row>
        <row r="240">
          <cell r="A240" t="str">
            <v>E9627</v>
          </cell>
          <cell r="B240" t="str">
            <v>Embarcação hotel com capacidade para 15 pessoas - 199 kW</v>
          </cell>
          <cell r="C240">
            <v>273.6311</v>
          </cell>
          <cell r="D240">
            <v>73.324399999999997</v>
          </cell>
        </row>
        <row r="241">
          <cell r="A241" t="str">
            <v>E9628</v>
          </cell>
          <cell r="B241" t="str">
            <v>Fábrica de pré-moldado de concreto para balizador - 2,20 kW</v>
          </cell>
          <cell r="C241">
            <v>3.2410999999999999</v>
          </cell>
          <cell r="D241">
            <v>1.9966999999999999</v>
          </cell>
        </row>
        <row r="242">
          <cell r="A242" t="str">
            <v>E9629</v>
          </cell>
          <cell r="B242" t="str">
            <v>Compressor de ar portátil de 185,95 l/s (394 PCM) - 81,50 kW</v>
          </cell>
          <cell r="C242">
            <v>85.448499999999996</v>
          </cell>
          <cell r="D242">
            <v>15.8331</v>
          </cell>
        </row>
        <row r="243">
          <cell r="A243" t="str">
            <v>E9630</v>
          </cell>
          <cell r="B243" t="str">
            <v>Bomba submersível com capacidade de 75 m³/h - 3,6 kW</v>
          </cell>
          <cell r="C243">
            <v>0.74260000000000004</v>
          </cell>
          <cell r="D243">
            <v>0.43</v>
          </cell>
        </row>
        <row r="244">
          <cell r="A244" t="str">
            <v>E9631</v>
          </cell>
          <cell r="B244" t="str">
            <v>Bomba para concreto projetado via seca com capacidade de 6 m³/h - 7,5 kW</v>
          </cell>
          <cell r="C244">
            <v>66.206900000000005</v>
          </cell>
          <cell r="D244">
            <v>52.941099999999999</v>
          </cell>
        </row>
        <row r="245">
          <cell r="A245" t="str">
            <v>E9632</v>
          </cell>
          <cell r="B245" t="str">
            <v>Conjunto vibratório para tubos de concreto com encaixe PB e 3 jogos de fôrmas - D = 0,20 m</v>
          </cell>
          <cell r="C245">
            <v>10.2204</v>
          </cell>
          <cell r="D245">
            <v>6.2964000000000002</v>
          </cell>
        </row>
        <row r="246">
          <cell r="A246" t="str">
            <v>E9633</v>
          </cell>
          <cell r="B246" t="str">
            <v>Conjunto vibratório para tubos de concreto com encaixe PB e 3 jogos de fôrmas - D = 0,30 m</v>
          </cell>
          <cell r="C246">
            <v>11.862299999999999</v>
          </cell>
          <cell r="D246">
            <v>7.3079000000000001</v>
          </cell>
        </row>
        <row r="247">
          <cell r="A247" t="str">
            <v>E9634</v>
          </cell>
          <cell r="B247" t="str">
            <v>Conjunto vibratório para tubos de concreto com encaixe PB e 3 jogos de fôrmas - D = 0,40 m</v>
          </cell>
          <cell r="C247">
            <v>12.5205</v>
          </cell>
          <cell r="D247">
            <v>7.7134</v>
          </cell>
        </row>
        <row r="248">
          <cell r="A248" t="str">
            <v>E9635</v>
          </cell>
          <cell r="B248" t="str">
            <v>Draga de sucção e recalque com potência da bomba de 294 kW e cortador de 30 kW</v>
          </cell>
          <cell r="C248">
            <v>536.99850000000004</v>
          </cell>
          <cell r="D248">
            <v>186.1866</v>
          </cell>
        </row>
        <row r="249">
          <cell r="A249" t="str">
            <v>E9636</v>
          </cell>
          <cell r="B249" t="str">
            <v>Draga de sucção e recalque com potência da bomba de 483 kW e cortador de 55 kW</v>
          </cell>
          <cell r="C249">
            <v>698.798</v>
          </cell>
          <cell r="D249">
            <v>205.4743</v>
          </cell>
        </row>
        <row r="250">
          <cell r="A250" t="str">
            <v>E9637</v>
          </cell>
          <cell r="B250" t="str">
            <v>Draga de sucção e recalque com potência da bomba de 746 kW e cortador de 110 kW</v>
          </cell>
          <cell r="C250">
            <v>1117.7554</v>
          </cell>
          <cell r="D250">
            <v>326.94929999999999</v>
          </cell>
        </row>
        <row r="251">
          <cell r="A251" t="str">
            <v>E9638</v>
          </cell>
          <cell r="B251" t="str">
            <v>Draga de sucção e recalque com potência da bomba de 1.350 kW e cortador de 170 kW</v>
          </cell>
          <cell r="C251">
            <v>1788.992</v>
          </cell>
          <cell r="D251">
            <v>453.88690000000003</v>
          </cell>
        </row>
        <row r="252">
          <cell r="A252" t="str">
            <v>E9639</v>
          </cell>
          <cell r="B252" t="str">
            <v>Embarcação hotel com capacidade para 30 pessoas - 2 x 112 kW</v>
          </cell>
          <cell r="C252">
            <v>411.74270000000001</v>
          </cell>
          <cell r="D252">
            <v>164.85310000000001</v>
          </cell>
        </row>
        <row r="253">
          <cell r="A253" t="str">
            <v>E9640</v>
          </cell>
          <cell r="B253" t="str">
            <v>Compressor de ar portátil de 33,51 l/s (71 PCM) - 14 kW</v>
          </cell>
          <cell r="C253">
            <v>20.9556</v>
          </cell>
          <cell r="D253">
            <v>6.1913999999999998</v>
          </cell>
        </row>
        <row r="254">
          <cell r="A254" t="str">
            <v>E9641</v>
          </cell>
          <cell r="B254" t="str">
            <v>Compressor de ar portátil de 75,04 l/s (159 PCM) - 33 kW</v>
          </cell>
          <cell r="C254">
            <v>37.5762</v>
          </cell>
          <cell r="D254">
            <v>8.0576000000000008</v>
          </cell>
        </row>
        <row r="255">
          <cell r="A255" t="str">
            <v>E9642</v>
          </cell>
          <cell r="B255" t="str">
            <v>Perfuratriz hidráulica sobre esteiras para estaca raiz - 56 kW</v>
          </cell>
          <cell r="C255">
            <v>209.82159999999999</v>
          </cell>
          <cell r="D255">
            <v>115.3689</v>
          </cell>
        </row>
        <row r="256">
          <cell r="A256" t="str">
            <v>E9643</v>
          </cell>
          <cell r="B256" t="str">
            <v>Equipamento para pintura a ar comprimido de pistola com caneca com capacidade de 1.000 ml e compressor de 1,50 kW</v>
          </cell>
          <cell r="C256">
            <v>0.437</v>
          </cell>
          <cell r="D256">
            <v>0.29720000000000002</v>
          </cell>
        </row>
        <row r="257">
          <cell r="A257" t="str">
            <v>E9646</v>
          </cell>
          <cell r="B257" t="str">
            <v>Compressor de ar portátil de 58,52 l/s (124 PCM) - 27 kW</v>
          </cell>
          <cell r="C257">
            <v>32.945300000000003</v>
          </cell>
          <cell r="D257">
            <v>7.8098999999999998</v>
          </cell>
        </row>
        <row r="258">
          <cell r="A258" t="str">
            <v>E9647</v>
          </cell>
          <cell r="B258" t="str">
            <v>Compactador manual com soquete vibratório - 4,10 kW</v>
          </cell>
          <cell r="C258">
            <v>8.8877000000000006</v>
          </cell>
          <cell r="D258">
            <v>0.83840000000000003</v>
          </cell>
        </row>
        <row r="259">
          <cell r="A259" t="str">
            <v>E9648</v>
          </cell>
          <cell r="B259" t="str">
            <v>Compressor de ar portátil de 422,86 l/s (896 PCM) - 213 kW</v>
          </cell>
          <cell r="C259">
            <v>211.2525</v>
          </cell>
          <cell r="D259">
            <v>34.706299999999999</v>
          </cell>
        </row>
        <row r="260">
          <cell r="A260" t="str">
            <v>E9649</v>
          </cell>
          <cell r="B260" t="str">
            <v>Compressor de ar portátil de 94,39 l/s (200 PCM) - 36 kW</v>
          </cell>
          <cell r="C260">
            <v>43.324199999999998</v>
          </cell>
          <cell r="D260">
            <v>10.079800000000001</v>
          </cell>
        </row>
        <row r="261">
          <cell r="A261" t="str">
            <v>E9651</v>
          </cell>
          <cell r="B261" t="str">
            <v>Guindaste móvel sobre esteiras com Hammer Grab - 186 kW</v>
          </cell>
          <cell r="C261">
            <v>427.84249999999997</v>
          </cell>
          <cell r="D261">
            <v>212.05520000000001</v>
          </cell>
        </row>
        <row r="262">
          <cell r="A262" t="str">
            <v>E9652</v>
          </cell>
          <cell r="B262" t="str">
            <v>Compressor de ar portátil de 540,85 l/s (1.146 PCM) - 331,10 kW</v>
          </cell>
          <cell r="C262">
            <v>331.5059</v>
          </cell>
          <cell r="D262">
            <v>55.676299999999998</v>
          </cell>
        </row>
        <row r="263">
          <cell r="A263" t="str">
            <v>E9653</v>
          </cell>
          <cell r="B263" t="str">
            <v>Guindaste móvel sobre esteiras com trado para escavação em solos - 186 kW</v>
          </cell>
          <cell r="C263">
            <v>404.8272</v>
          </cell>
          <cell r="D263">
            <v>200.55690000000001</v>
          </cell>
        </row>
        <row r="264">
          <cell r="A264" t="str">
            <v>E9654</v>
          </cell>
          <cell r="B264" t="str">
            <v>Guindaste móvel sobre esteiras com trado com bits escavação em rocha - 186 kW</v>
          </cell>
          <cell r="C264">
            <v>404.8272</v>
          </cell>
          <cell r="D264">
            <v>200.55690000000001</v>
          </cell>
        </row>
        <row r="265">
          <cell r="A265" t="str">
            <v>E9656</v>
          </cell>
          <cell r="B265" t="str">
            <v>Guindaste móvel sobre esteiras com caçamba para escavação em solos - 186 kW</v>
          </cell>
          <cell r="C265">
            <v>402.85320000000002</v>
          </cell>
          <cell r="D265">
            <v>199.57069999999999</v>
          </cell>
        </row>
        <row r="266">
          <cell r="A266" t="str">
            <v>E9657</v>
          </cell>
          <cell r="B266" t="str">
            <v>Guindaste móvel sobre esteiras com caçamba para escavação em rocha - 186 kW</v>
          </cell>
          <cell r="C266">
            <v>402.85320000000002</v>
          </cell>
          <cell r="D266">
            <v>199.57069999999999</v>
          </cell>
        </row>
        <row r="267">
          <cell r="A267" t="str">
            <v>E9659</v>
          </cell>
          <cell r="B267" t="str">
            <v>Campânula de ar comprimido com capacidade de 3 m³</v>
          </cell>
          <cell r="C267">
            <v>27.738</v>
          </cell>
          <cell r="D267">
            <v>25.630199999999999</v>
          </cell>
        </row>
        <row r="268">
          <cell r="A268" t="str">
            <v>E9660</v>
          </cell>
          <cell r="B268" t="str">
            <v>Guindaste móvel sobre esteiras com capacidade de 40 t - 186 kW</v>
          </cell>
          <cell r="C268">
            <v>406.41759999999999</v>
          </cell>
          <cell r="D268">
            <v>201.35149999999999</v>
          </cell>
        </row>
        <row r="269">
          <cell r="A269" t="str">
            <v>E9661</v>
          </cell>
          <cell r="B269" t="str">
            <v>Compressor de ar portátil de 89,67 l/s (190 PCM) - 36 kW</v>
          </cell>
          <cell r="C269">
            <v>42.899299999999997</v>
          </cell>
          <cell r="D269">
            <v>9.8447999999999993</v>
          </cell>
        </row>
        <row r="270">
          <cell r="A270" t="str">
            <v>E9662</v>
          </cell>
          <cell r="B270" t="str">
            <v>Equipamento para solda e corte com oxiacetileno</v>
          </cell>
          <cell r="C270">
            <v>1.0343</v>
          </cell>
          <cell r="D270">
            <v>0.56489999999999996</v>
          </cell>
        </row>
        <row r="271">
          <cell r="A271" t="str">
            <v>E9664</v>
          </cell>
          <cell r="B271" t="str">
            <v>Guindaste móvel sobre esteiras com capacidade de 80 t - 212 kW</v>
          </cell>
          <cell r="C271">
            <v>494.32459999999998</v>
          </cell>
          <cell r="D271">
            <v>242.60579999999999</v>
          </cell>
        </row>
        <row r="272">
          <cell r="A272" t="str">
            <v>E9668</v>
          </cell>
          <cell r="B272" t="str">
            <v>Mesa vibratória - 2,20 kW</v>
          </cell>
          <cell r="C272">
            <v>3.2831000000000001</v>
          </cell>
          <cell r="D272">
            <v>2.0226000000000002</v>
          </cell>
        </row>
        <row r="273">
          <cell r="A273" t="str">
            <v>E9671</v>
          </cell>
          <cell r="B273" t="str">
            <v>Compressor de ar portátil de 363,87 l/s (771 PCM) - 158,13 kW</v>
          </cell>
          <cell r="C273">
            <v>166.54470000000001</v>
          </cell>
          <cell r="D273">
            <v>31.136900000000001</v>
          </cell>
        </row>
        <row r="274">
          <cell r="A274" t="str">
            <v>E9673</v>
          </cell>
          <cell r="B274" t="str">
            <v>Equipamento de batimetria multifeixe</v>
          </cell>
          <cell r="C274">
            <v>191.6797</v>
          </cell>
          <cell r="D274">
            <v>123.61369999999999</v>
          </cell>
        </row>
        <row r="275">
          <cell r="A275" t="str">
            <v>E9674</v>
          </cell>
          <cell r="B275" t="str">
            <v>Equipamento de medição de descarga líquida com ADCP</v>
          </cell>
          <cell r="C275">
            <v>77.170500000000004</v>
          </cell>
          <cell r="D275">
            <v>63.194800000000001</v>
          </cell>
        </row>
        <row r="276">
          <cell r="A276" t="str">
            <v>E9675</v>
          </cell>
          <cell r="B276" t="str">
            <v>Martelete perfurador/rompedor elétrico - 1,50 kW</v>
          </cell>
          <cell r="C276">
            <v>0.79059999999999997</v>
          </cell>
          <cell r="D276">
            <v>0.43180000000000002</v>
          </cell>
        </row>
        <row r="277">
          <cell r="A277" t="str">
            <v>E9676</v>
          </cell>
          <cell r="B277" t="str">
            <v>Embarcação de transporte de pessoal e apoio logístico - 90 kW</v>
          </cell>
          <cell r="C277">
            <v>228.5222</v>
          </cell>
          <cell r="D277">
            <v>37.945900000000002</v>
          </cell>
        </row>
        <row r="278">
          <cell r="A278" t="str">
            <v>E9677</v>
          </cell>
          <cell r="B278" t="str">
            <v>Martelete perfurador/rompedor a ar comprimido de 10 kg com capacidade de 1.800 gpm</v>
          </cell>
          <cell r="C278">
            <v>22.006599999999999</v>
          </cell>
          <cell r="D278">
            <v>21.402200000000001</v>
          </cell>
        </row>
        <row r="279">
          <cell r="A279" t="str">
            <v>E9678</v>
          </cell>
          <cell r="B279" t="str">
            <v>Fresadora a frio - 410 kW</v>
          </cell>
          <cell r="C279">
            <v>1055.3607999999999</v>
          </cell>
          <cell r="D279">
            <v>372.78179999999998</v>
          </cell>
        </row>
        <row r="280">
          <cell r="A280" t="str">
            <v>E9681</v>
          </cell>
          <cell r="B280" t="str">
            <v>Rolo compactador liso tandem vibratório autopropelido de 10,4 t - 82 kW</v>
          </cell>
          <cell r="C280">
            <v>204.49100000000001</v>
          </cell>
          <cell r="D280">
            <v>74.907799999999995</v>
          </cell>
        </row>
        <row r="281">
          <cell r="A281" t="str">
            <v>E9682</v>
          </cell>
          <cell r="B281" t="str">
            <v>Rolo compactador liso tandem vibratório autopropelido de 1,6 t - 18 kW</v>
          </cell>
          <cell r="C281">
            <v>83.467200000000005</v>
          </cell>
          <cell r="D281">
            <v>47.167999999999999</v>
          </cell>
        </row>
        <row r="282">
          <cell r="A282" t="str">
            <v>E9683</v>
          </cell>
          <cell r="B282" t="str">
            <v>Martelete perfurador/rompedor elétrico - 0,90 kW</v>
          </cell>
          <cell r="C282">
            <v>0.75970000000000004</v>
          </cell>
          <cell r="D282">
            <v>0.41489999999999999</v>
          </cell>
        </row>
        <row r="283">
          <cell r="A283" t="str">
            <v>E9684</v>
          </cell>
          <cell r="B283" t="str">
            <v>Veículo leve picape 4 x 4 com capacidade de 1,10 t - 147 kW</v>
          </cell>
          <cell r="C283">
            <v>89.168400000000005</v>
          </cell>
          <cell r="D283">
            <v>44.083799999999997</v>
          </cell>
        </row>
        <row r="284">
          <cell r="A284" t="str">
            <v>E9685</v>
          </cell>
          <cell r="B284" t="str">
            <v>Rolo compactador pé de carneiro vibratório autopropelido por pneus de 11,6 t - 82 kW</v>
          </cell>
          <cell r="C284">
            <v>157.45590000000001</v>
          </cell>
          <cell r="D284">
            <v>69.352999999999994</v>
          </cell>
        </row>
        <row r="285">
          <cell r="A285" t="str">
            <v>E9689</v>
          </cell>
          <cell r="B285" t="str">
            <v>Usina de asfalto a quente gravimétrica com capacidade de 100/140 t/h - 260 kW</v>
          </cell>
          <cell r="C285">
            <v>952.12879999999996</v>
          </cell>
          <cell r="D285">
            <v>497.70409999999998</v>
          </cell>
        </row>
        <row r="286">
          <cell r="A286" t="str">
            <v>E9691</v>
          </cell>
          <cell r="B286" t="str">
            <v>Guincho tracionador de cordoalhas - 7,50 kW</v>
          </cell>
          <cell r="C286">
            <v>54.830300000000001</v>
          </cell>
          <cell r="D286">
            <v>43.155200000000001</v>
          </cell>
        </row>
        <row r="287">
          <cell r="A287" t="str">
            <v>E9692</v>
          </cell>
          <cell r="B287" t="str">
            <v>Caldeira para aquecimento e injeção de cera - 1 kW</v>
          </cell>
          <cell r="C287">
            <v>27.255199999999999</v>
          </cell>
          <cell r="D287">
            <v>25.861999999999998</v>
          </cell>
        </row>
        <row r="288">
          <cell r="A288" t="str">
            <v>E9694</v>
          </cell>
          <cell r="B288" t="str">
            <v>Misturador de argamassa de alta turbulência com capacidade de 220 l - 13 kW</v>
          </cell>
          <cell r="C288">
            <v>24.491299999999999</v>
          </cell>
          <cell r="D288">
            <v>22.884599999999999</v>
          </cell>
        </row>
        <row r="289">
          <cell r="A289" t="str">
            <v>E9697</v>
          </cell>
          <cell r="B289" t="str">
            <v>Minicarregadeira de pneus com vassoura de 1,8 m - 45,50 kW</v>
          </cell>
          <cell r="C289">
            <v>112.41630000000001</v>
          </cell>
          <cell r="D289">
            <v>48.364199999999997</v>
          </cell>
        </row>
        <row r="290">
          <cell r="A290" t="str">
            <v>E9699</v>
          </cell>
          <cell r="B290" t="str">
            <v>Trituradora de galhos e troncos rebocável com capacidade de até 350 mm de diâmetro com guincho</v>
          </cell>
          <cell r="C290">
            <v>156.64400000000001</v>
          </cell>
          <cell r="D290">
            <v>61.408700000000003</v>
          </cell>
        </row>
        <row r="291">
          <cell r="A291" t="str">
            <v>E9700</v>
          </cell>
          <cell r="B291" t="str">
            <v>Fresadora a frio - 155 kW</v>
          </cell>
          <cell r="C291">
            <v>366.5317</v>
          </cell>
          <cell r="D291">
            <v>137.0703</v>
          </cell>
        </row>
        <row r="292">
          <cell r="A292" t="str">
            <v>E9701</v>
          </cell>
          <cell r="B292" t="str">
            <v>Jateador pressurizado multiabrasivo com capacidade de 280 l</v>
          </cell>
          <cell r="C292">
            <v>24.6921</v>
          </cell>
          <cell r="D292">
            <v>22.85</v>
          </cell>
        </row>
        <row r="293">
          <cell r="A293" t="str">
            <v>E9703</v>
          </cell>
          <cell r="B293" t="str">
            <v>Fábrica de pré-moldado de concreto para mourão - 2,20 kW</v>
          </cell>
          <cell r="C293">
            <v>3.2410999999999999</v>
          </cell>
          <cell r="D293">
            <v>1.9966999999999999</v>
          </cell>
        </row>
        <row r="294">
          <cell r="A294" t="str">
            <v>E9704</v>
          </cell>
          <cell r="B294" t="str">
            <v>Batelão sem propulsão montado na obra com capacidade de 66 m³</v>
          </cell>
          <cell r="C294">
            <v>26.1511</v>
          </cell>
          <cell r="D294">
            <v>23.9343</v>
          </cell>
        </row>
        <row r="295">
          <cell r="A295" t="str">
            <v>E9705</v>
          </cell>
          <cell r="B295" t="str">
            <v>Misturador de lama bentonítica - 4 kW</v>
          </cell>
          <cell r="C295">
            <v>22.680700000000002</v>
          </cell>
          <cell r="D295">
            <v>21.836200000000002</v>
          </cell>
        </row>
        <row r="296">
          <cell r="A296" t="str">
            <v>E9706</v>
          </cell>
          <cell r="B296" t="str">
            <v>Martelete perfurador/rompedor a ar comprimido de 28 kg para concreto com capacidade de 1.230 gpm</v>
          </cell>
          <cell r="C296">
            <v>22.949400000000001</v>
          </cell>
          <cell r="D296">
            <v>21.917100000000001</v>
          </cell>
        </row>
        <row r="297">
          <cell r="A297" t="str">
            <v>E9707</v>
          </cell>
          <cell r="B297" t="str">
            <v>Desarenador - 15 kW</v>
          </cell>
          <cell r="C297">
            <v>22.1769</v>
          </cell>
          <cell r="D297">
            <v>21.495200000000001</v>
          </cell>
        </row>
        <row r="298">
          <cell r="A298" t="str">
            <v>E9708</v>
          </cell>
          <cell r="B298" t="str">
            <v>Microtrator com roçadeira - 10 kW</v>
          </cell>
          <cell r="C298">
            <v>32.350900000000003</v>
          </cell>
          <cell r="D298">
            <v>23.910900000000002</v>
          </cell>
        </row>
        <row r="299">
          <cell r="A299" t="str">
            <v>E9710</v>
          </cell>
          <cell r="B299" t="str">
            <v>Socadora automática de linha - 253 kW</v>
          </cell>
          <cell r="C299">
            <v>3273.7413999999999</v>
          </cell>
          <cell r="D299">
            <v>1851.3489</v>
          </cell>
        </row>
        <row r="300">
          <cell r="A300" t="str">
            <v>E9712</v>
          </cell>
          <cell r="B300" t="str">
            <v>Reguladora e distribuidora de lastro - 300 kW</v>
          </cell>
          <cell r="C300">
            <v>1837.9984999999999</v>
          </cell>
          <cell r="D300">
            <v>1007.2643</v>
          </cell>
        </row>
        <row r="301">
          <cell r="A301" t="str">
            <v>E9714</v>
          </cell>
          <cell r="B301" t="str">
            <v>Bate-estaca com martelo hidráulico - 450 kW</v>
          </cell>
          <cell r="C301">
            <v>643.5557</v>
          </cell>
          <cell r="D301">
            <v>263.8578</v>
          </cell>
        </row>
        <row r="302">
          <cell r="A302" t="str">
            <v>E9716</v>
          </cell>
          <cell r="B302" t="str">
            <v>Conjunto bomba e macaco hidráulico para protensão com capacidade de 590 kN - 3,70 kW</v>
          </cell>
          <cell r="C302">
            <v>36.5565</v>
          </cell>
          <cell r="D302">
            <v>35.737299999999998</v>
          </cell>
        </row>
        <row r="303">
          <cell r="A303" t="str">
            <v>E9717</v>
          </cell>
          <cell r="B303" t="str">
            <v>Máquina policorte - 2,20 kW</v>
          </cell>
          <cell r="C303">
            <v>0.1376</v>
          </cell>
          <cell r="D303">
            <v>9.3600000000000003E-2</v>
          </cell>
        </row>
        <row r="304">
          <cell r="A304" t="str">
            <v>E9718</v>
          </cell>
          <cell r="B304" t="str">
            <v>Pórtico duplo de descarga e posicionamento de dormente - 89 kW</v>
          </cell>
          <cell r="C304">
            <v>923.40899999999999</v>
          </cell>
          <cell r="D304">
            <v>593.37720000000002</v>
          </cell>
        </row>
        <row r="305">
          <cell r="A305" t="str">
            <v>E9719</v>
          </cell>
          <cell r="B305" t="str">
            <v>Talha manual com capacidade de 3 t</v>
          </cell>
          <cell r="C305">
            <v>0.28570000000000001</v>
          </cell>
          <cell r="D305">
            <v>0.1963</v>
          </cell>
        </row>
        <row r="306">
          <cell r="A306" t="str">
            <v>E9720</v>
          </cell>
          <cell r="B306" t="str">
            <v>Conjunto bomba e macaco hidráulico para protensão com capacidade de 250 kN - 3,70 kW</v>
          </cell>
          <cell r="C306">
            <v>36.1663</v>
          </cell>
          <cell r="D306">
            <v>35.518900000000002</v>
          </cell>
        </row>
        <row r="307">
          <cell r="A307" t="str">
            <v>E9721</v>
          </cell>
          <cell r="B307" t="str">
            <v>Conjunto bomba e macaco hidráulico para protensão com capacidade de 1.150 kN - 5 kW</v>
          </cell>
          <cell r="C307">
            <v>37.755699999999997</v>
          </cell>
          <cell r="D307">
            <v>36.408499999999997</v>
          </cell>
        </row>
        <row r="308">
          <cell r="A308" t="str">
            <v>E9722</v>
          </cell>
          <cell r="B308" t="str">
            <v>Conjunto bomba e macaco hidráulico para protensão com capacidade de 2.000 kN - 5 kW</v>
          </cell>
          <cell r="C308">
            <v>39.576099999999997</v>
          </cell>
          <cell r="D308">
            <v>37.427399999999999</v>
          </cell>
        </row>
        <row r="309">
          <cell r="A309" t="str">
            <v>E9723</v>
          </cell>
          <cell r="B309" t="str">
            <v>Conjunto bomba e macaco hidráulico para protensão com capacidade de 2.500 kN - 7 kW</v>
          </cell>
          <cell r="C309">
            <v>40.458500000000001</v>
          </cell>
          <cell r="D309">
            <v>37.921300000000002</v>
          </cell>
        </row>
        <row r="310">
          <cell r="A310" t="str">
            <v>E9724</v>
          </cell>
          <cell r="B310" t="str">
            <v>Conjunto bomba e macaco hidráulico para protensão com capacidade de 4.000 kN - 10 kW</v>
          </cell>
          <cell r="C310">
            <v>40.8583</v>
          </cell>
          <cell r="D310">
            <v>38.145099999999999</v>
          </cell>
        </row>
        <row r="311">
          <cell r="A311" t="str">
            <v>E9725</v>
          </cell>
          <cell r="B311" t="str">
            <v>Conjunto bomba e macaco hidráulico para protensão com capacidade de 5.400 kN - 10 kW</v>
          </cell>
          <cell r="C311">
            <v>41.284999999999997</v>
          </cell>
          <cell r="D311">
            <v>38.383899999999997</v>
          </cell>
        </row>
        <row r="312">
          <cell r="A312" t="str">
            <v>E9726</v>
          </cell>
          <cell r="B312" t="str">
            <v>Bate-estaca Strauss - 15 kW</v>
          </cell>
          <cell r="C312">
            <v>47.692799999999998</v>
          </cell>
          <cell r="D312">
            <v>34.953299999999999</v>
          </cell>
        </row>
        <row r="313">
          <cell r="A313" t="str">
            <v>E9727</v>
          </cell>
          <cell r="B313" t="str">
            <v>Posicionadora de trilhos - 7,40 kW</v>
          </cell>
          <cell r="C313">
            <v>71.494600000000005</v>
          </cell>
          <cell r="D313">
            <v>40.190100000000001</v>
          </cell>
        </row>
        <row r="314">
          <cell r="A314" t="str">
            <v>E9728</v>
          </cell>
          <cell r="B314" t="str">
            <v>Tirefonadora/parafusadora portátil - 3,10 kW</v>
          </cell>
          <cell r="C314">
            <v>13.503399999999999</v>
          </cell>
          <cell r="D314">
            <v>4.9397000000000002</v>
          </cell>
        </row>
        <row r="315">
          <cell r="A315" t="str">
            <v>E9729</v>
          </cell>
          <cell r="B315" t="str">
            <v>Equipamento para pintura eletrostática com cabine simples de 5,50 kW e estufa de 2x120.000 kCal</v>
          </cell>
          <cell r="C315">
            <v>17.276800000000001</v>
          </cell>
          <cell r="D315">
            <v>9.5548000000000002</v>
          </cell>
        </row>
        <row r="316">
          <cell r="A316" t="str">
            <v>E9730</v>
          </cell>
          <cell r="B316" t="str">
            <v>Grupo vibrador com gerador - 2,80 kW</v>
          </cell>
          <cell r="C316">
            <v>10.1622</v>
          </cell>
          <cell r="D316">
            <v>3.97</v>
          </cell>
        </row>
        <row r="317">
          <cell r="A317" t="str">
            <v>E9731</v>
          </cell>
          <cell r="B317" t="str">
            <v>Máquina de furar dormente portátil - 1,50 kW</v>
          </cell>
          <cell r="C317">
            <v>10.998200000000001</v>
          </cell>
          <cell r="D317">
            <v>4.8284000000000002</v>
          </cell>
        </row>
        <row r="318">
          <cell r="A318" t="str">
            <v>E9732</v>
          </cell>
          <cell r="B318" t="str">
            <v>Máquina para furar dormente - 6,70 kW</v>
          </cell>
          <cell r="C318">
            <v>22.9757</v>
          </cell>
          <cell r="D318">
            <v>7.2850000000000001</v>
          </cell>
        </row>
        <row r="319">
          <cell r="A319" t="str">
            <v>E9733</v>
          </cell>
          <cell r="B319" t="str">
            <v>Máquina tirefonadora e parafusadora - 6,70 kW</v>
          </cell>
          <cell r="C319">
            <v>23.583200000000001</v>
          </cell>
          <cell r="D319">
            <v>7.6167999999999996</v>
          </cell>
        </row>
        <row r="320">
          <cell r="A320" t="str">
            <v>E9734</v>
          </cell>
          <cell r="B320" t="str">
            <v>Bomba projetora de argamassa com capacidade de 2 m³/h - 5,50 kW</v>
          </cell>
          <cell r="C320">
            <v>38.219000000000001</v>
          </cell>
          <cell r="D320">
            <v>30.833100000000002</v>
          </cell>
        </row>
        <row r="321">
          <cell r="A321" t="str">
            <v>E9735</v>
          </cell>
          <cell r="B321" t="str">
            <v>Máquina para serrar trilho - 5,00 kW</v>
          </cell>
          <cell r="C321">
            <v>11.6662</v>
          </cell>
          <cell r="D321">
            <v>2.4437000000000002</v>
          </cell>
        </row>
        <row r="322">
          <cell r="A322" t="str">
            <v>E9736</v>
          </cell>
          <cell r="B322" t="str">
            <v>Máquina para furar trilho - 1,20 kW</v>
          </cell>
          <cell r="C322">
            <v>9.1455000000000002</v>
          </cell>
          <cell r="D322">
            <v>4.0522</v>
          </cell>
        </row>
        <row r="323">
          <cell r="A323" t="str">
            <v>E9737</v>
          </cell>
          <cell r="B323" t="str">
            <v>Conjunto para pré-aquecimento de trilho em solda aluminotérmica</v>
          </cell>
          <cell r="C323">
            <v>0.5081</v>
          </cell>
          <cell r="D323">
            <v>0.27750000000000002</v>
          </cell>
        </row>
        <row r="324">
          <cell r="A324" t="str">
            <v>E9738</v>
          </cell>
          <cell r="B324" t="str">
            <v>Máquina de esmerilhar topo e lateral de boleto - 5,20 kW</v>
          </cell>
          <cell r="C324">
            <v>21.900200000000002</v>
          </cell>
          <cell r="D324">
            <v>7.8760000000000003</v>
          </cell>
        </row>
        <row r="325">
          <cell r="A325" t="str">
            <v>E9740</v>
          </cell>
          <cell r="B325" t="str">
            <v>Quadro tubular contraventado para andaime de 1 x 1 x 1 m com capacidade de 2 t</v>
          </cell>
          <cell r="C325">
            <v>0.13389999999999999</v>
          </cell>
          <cell r="D325">
            <v>0.10440000000000001</v>
          </cell>
        </row>
        <row r="326">
          <cell r="A326" t="str">
            <v>E9745</v>
          </cell>
          <cell r="B326" t="str">
            <v>Trator agrícola sobre pneus com roçadeira - 77 kW</v>
          </cell>
          <cell r="C326">
            <v>101.9901</v>
          </cell>
          <cell r="D326">
            <v>35.011699999999998</v>
          </cell>
        </row>
        <row r="327">
          <cell r="A327" t="str">
            <v>E9746</v>
          </cell>
          <cell r="B327" t="str">
            <v>Conjunto bomba e prensa para luva de emenda de 25 mm</v>
          </cell>
          <cell r="C327">
            <v>24.106200000000001</v>
          </cell>
          <cell r="D327">
            <v>22.933299999999999</v>
          </cell>
        </row>
        <row r="328">
          <cell r="A328" t="str">
            <v>E9747</v>
          </cell>
          <cell r="B328" t="str">
            <v>Conjunto bomba e prensa para luva de emenda de 32 mm</v>
          </cell>
          <cell r="C328">
            <v>24.277799999999999</v>
          </cell>
          <cell r="D328">
            <v>23.046199999999999</v>
          </cell>
        </row>
        <row r="329">
          <cell r="A329" t="str">
            <v>E9748</v>
          </cell>
          <cell r="B329" t="str">
            <v>Rosqueadeira para rosca cônica - 0,75 kW</v>
          </cell>
          <cell r="C329">
            <v>21.375699999999998</v>
          </cell>
          <cell r="D329">
            <v>21.0671</v>
          </cell>
        </row>
        <row r="330">
          <cell r="A330" t="str">
            <v>E9749</v>
          </cell>
          <cell r="B330" t="str">
            <v>Jateador portátil multiabrasivo com capacidade de 300 kg</v>
          </cell>
          <cell r="C330">
            <v>21.918700000000001</v>
          </cell>
          <cell r="D330">
            <v>21.348299999999998</v>
          </cell>
        </row>
        <row r="331">
          <cell r="A331" t="str">
            <v>E9750</v>
          </cell>
          <cell r="B331" t="str">
            <v>Bomba de injeção de argamassa com capacidade de 50 l/min</v>
          </cell>
          <cell r="C331">
            <v>5.0926999999999998</v>
          </cell>
          <cell r="D331">
            <v>2.9487000000000001</v>
          </cell>
        </row>
        <row r="332">
          <cell r="A332" t="str">
            <v>E9755</v>
          </cell>
          <cell r="B332" t="str">
            <v>Bomba de alta pressão para jet grouting de até 45 MPa - 150 kW</v>
          </cell>
          <cell r="C332">
            <v>379.89699999999999</v>
          </cell>
          <cell r="D332">
            <v>153.0341</v>
          </cell>
        </row>
        <row r="333">
          <cell r="A333" t="str">
            <v>E9756</v>
          </cell>
          <cell r="B333" t="str">
            <v>Calandra para chapas de aço até 25 mm - 22 kW</v>
          </cell>
          <cell r="C333">
            <v>104.58029999999999</v>
          </cell>
          <cell r="D333">
            <v>71.920900000000003</v>
          </cell>
        </row>
        <row r="334">
          <cell r="A334" t="str">
            <v>E9758</v>
          </cell>
          <cell r="B334" t="str">
            <v>Vibroacabadora de asfalto sobre pneus - 82 kW</v>
          </cell>
          <cell r="C334">
            <v>207.916</v>
          </cell>
          <cell r="D334">
            <v>92.695400000000006</v>
          </cell>
        </row>
        <row r="335">
          <cell r="A335" t="str">
            <v>E9760</v>
          </cell>
          <cell r="B335" t="str">
            <v>Perfuratriz manual para coroa diamantada - 1,60 kW</v>
          </cell>
          <cell r="C335">
            <v>2.3845999999999998</v>
          </cell>
          <cell r="D335">
            <v>1.3024</v>
          </cell>
        </row>
        <row r="336">
          <cell r="A336" t="str">
            <v>E9761</v>
          </cell>
          <cell r="B336" t="str">
            <v>Guincho de coluna com capacidade de 200 kg - 0,92 kW</v>
          </cell>
          <cell r="C336">
            <v>0.5222</v>
          </cell>
          <cell r="D336">
            <v>0.32169999999999999</v>
          </cell>
        </row>
        <row r="337">
          <cell r="A337" t="str">
            <v>E9762</v>
          </cell>
          <cell r="B337" t="str">
            <v>Rolo compactador de pneus autopropelido de 27 t - 85 kW</v>
          </cell>
          <cell r="C337">
            <v>163.06059999999999</v>
          </cell>
          <cell r="D337">
            <v>77.147400000000005</v>
          </cell>
        </row>
        <row r="338">
          <cell r="A338" t="str">
            <v>E9763</v>
          </cell>
          <cell r="B338" t="str">
            <v>Grupo gerador - 36/40 kVA</v>
          </cell>
          <cell r="C338">
            <v>29.151</v>
          </cell>
          <cell r="D338">
            <v>3.7374000000000001</v>
          </cell>
        </row>
        <row r="339">
          <cell r="A339" t="str">
            <v>E9766</v>
          </cell>
          <cell r="B339" t="str">
            <v>Prensa hidráulica para fabricação de blocos pré-moldados - 20 kW</v>
          </cell>
          <cell r="C339">
            <v>35.672699999999999</v>
          </cell>
          <cell r="D339">
            <v>29.572900000000001</v>
          </cell>
        </row>
        <row r="340">
          <cell r="A340" t="str">
            <v>E9767</v>
          </cell>
          <cell r="B340" t="str">
            <v>Compressor de ar portátil de 9,44 l/s (20 PCM) a gasolina - 5,22 kW</v>
          </cell>
          <cell r="C340">
            <v>10.301</v>
          </cell>
          <cell r="D340">
            <v>0.50629999999999997</v>
          </cell>
        </row>
        <row r="341">
          <cell r="A341" t="str">
            <v>E9768</v>
          </cell>
          <cell r="B341" t="str">
            <v>Compressor de ar portátil de 373,78 l/s (792 PCM) - 213,30 kW</v>
          </cell>
          <cell r="C341">
            <v>214.43260000000001</v>
          </cell>
          <cell r="D341">
            <v>36.349299999999999</v>
          </cell>
        </row>
        <row r="342">
          <cell r="A342" t="str">
            <v>E9769</v>
          </cell>
          <cell r="B342" t="str">
            <v>Cunha hidráulica com três cilindros e acessórios com capacidade de 3.000 kN - 5,60 kW</v>
          </cell>
          <cell r="C342">
            <v>75.822900000000004</v>
          </cell>
          <cell r="D342">
            <v>48.411499999999997</v>
          </cell>
        </row>
        <row r="343">
          <cell r="A343" t="str">
            <v>E9775</v>
          </cell>
          <cell r="B343" t="str">
            <v>Escavadeira hidráulica com martelo hidráulico de 1.700 kg - 103 kW</v>
          </cell>
          <cell r="C343">
            <v>431.64519999999999</v>
          </cell>
          <cell r="D343">
            <v>194.73140000000001</v>
          </cell>
        </row>
        <row r="344">
          <cell r="A344" t="str">
            <v>E9776</v>
          </cell>
          <cell r="B344" t="str">
            <v>Grupo gerador - 145/160 kVA</v>
          </cell>
          <cell r="C344">
            <v>100.4178</v>
          </cell>
          <cell r="D344">
            <v>6.492</v>
          </cell>
        </row>
        <row r="345">
          <cell r="A345" t="str">
            <v>E9777</v>
          </cell>
          <cell r="B345" t="str">
            <v>Extrusora de barreira de concreto - 74 kW</v>
          </cell>
          <cell r="C345">
            <v>803.00360000000001</v>
          </cell>
          <cell r="D345">
            <v>384.4796</v>
          </cell>
        </row>
        <row r="346">
          <cell r="A346" t="str">
            <v>E9778</v>
          </cell>
          <cell r="B346" t="str">
            <v>Grupo gerador - 310/340 kVA</v>
          </cell>
          <cell r="C346">
            <v>223.50649999999999</v>
          </cell>
          <cell r="D346">
            <v>13.536300000000001</v>
          </cell>
        </row>
        <row r="347">
          <cell r="A347" t="str">
            <v>E9779</v>
          </cell>
          <cell r="B347" t="str">
            <v>Grupo gerador - 100/110 kVA</v>
          </cell>
          <cell r="C347">
            <v>73.044799999999995</v>
          </cell>
          <cell r="D347">
            <v>4.9135999999999997</v>
          </cell>
        </row>
        <row r="348">
          <cell r="A348" t="str">
            <v>E9780</v>
          </cell>
          <cell r="B348" t="str">
            <v>Misturador automático para grauteamento com capacidade de 20 m³/h - 7 kW</v>
          </cell>
          <cell r="C348">
            <v>62.7117</v>
          </cell>
          <cell r="D348">
            <v>40.654899999999998</v>
          </cell>
        </row>
        <row r="349">
          <cell r="A349" t="str">
            <v>E9781</v>
          </cell>
          <cell r="B349" t="str">
            <v>Misturador com bomba para grauteamento tipo Flex E ou similar - 25 kW</v>
          </cell>
          <cell r="C349">
            <v>113.71120000000001</v>
          </cell>
          <cell r="D349">
            <v>71.487899999999996</v>
          </cell>
        </row>
        <row r="350">
          <cell r="A350" t="str">
            <v>E9782</v>
          </cell>
          <cell r="B350" t="str">
            <v>Perfuratriz pneumática com avanço de coluna de 33,5 kg com capacidade de 2.280 gpm</v>
          </cell>
          <cell r="C350">
            <v>28.658300000000001</v>
          </cell>
          <cell r="D350">
            <v>25.0351</v>
          </cell>
        </row>
        <row r="351">
          <cell r="A351" t="str">
            <v>E9784</v>
          </cell>
          <cell r="B351" t="str">
            <v>Plataforma autopropelida com alcance de 12 m com capacidade de 700 kg - 24 kW</v>
          </cell>
          <cell r="C351">
            <v>120.13639999999999</v>
          </cell>
          <cell r="D351">
            <v>67.516300000000001</v>
          </cell>
        </row>
        <row r="352">
          <cell r="A352" t="str">
            <v>E9785</v>
          </cell>
          <cell r="B352" t="str">
            <v>Guindaste móvel sobre pneus com 2 eixos com capacidade máxima de 55 t - 186 kW</v>
          </cell>
          <cell r="C352">
            <v>379.21699999999998</v>
          </cell>
          <cell r="D352">
            <v>194.04490000000001</v>
          </cell>
        </row>
        <row r="353">
          <cell r="A353" t="str">
            <v>E9788</v>
          </cell>
          <cell r="B353" t="str">
            <v>Misturador de argamassa com capacidade de 0,250 m³ - 3,70 kW</v>
          </cell>
          <cell r="C353">
            <v>25.6235</v>
          </cell>
          <cell r="D353">
            <v>21.803000000000001</v>
          </cell>
        </row>
        <row r="354">
          <cell r="A354" t="str">
            <v>E9789</v>
          </cell>
          <cell r="B354" t="str">
            <v>Carro manual modelo plataforma de 150 x 80 cm com capacidade de 800 kg</v>
          </cell>
          <cell r="C354">
            <v>0.50480000000000003</v>
          </cell>
          <cell r="D354">
            <v>0.34329999999999999</v>
          </cell>
        </row>
        <row r="355">
          <cell r="A355" t="str">
            <v>E9790</v>
          </cell>
          <cell r="B355" t="str">
            <v>Bomba para concreto projetado via úmida com capacidade de 10 m³/h - 14,70 kW</v>
          </cell>
          <cell r="C355">
            <v>86.674700000000001</v>
          </cell>
          <cell r="D355">
            <v>56.829000000000001</v>
          </cell>
        </row>
        <row r="356">
          <cell r="A356" t="str">
            <v>E9791</v>
          </cell>
          <cell r="B356" t="str">
            <v>Bomba pneumática para injeção de resina com capacidade de 0,18 m³/h</v>
          </cell>
          <cell r="C356">
            <v>4.0281000000000002</v>
          </cell>
          <cell r="D356">
            <v>2.3323</v>
          </cell>
        </row>
        <row r="357">
          <cell r="A357" t="str">
            <v>E9793</v>
          </cell>
          <cell r="B357" t="str">
            <v>Robot para concreto projetado com capacidade de 30 m³/h - 70 kW - com compressor diesel</v>
          </cell>
          <cell r="C357">
            <v>1239.4073000000001</v>
          </cell>
          <cell r="D357">
            <v>662.8759</v>
          </cell>
        </row>
        <row r="358">
          <cell r="A358" t="str">
            <v>E9795</v>
          </cell>
          <cell r="B358" t="str">
            <v>Perfuratriz de superfície sobre pneus com martelo de topo e controle remoto via rádio - 60 kW</v>
          </cell>
          <cell r="C358">
            <v>344.54259999999999</v>
          </cell>
          <cell r="D358">
            <v>182.16390000000001</v>
          </cell>
        </row>
        <row r="359">
          <cell r="A359" t="str">
            <v>E9797</v>
          </cell>
          <cell r="B359" t="str">
            <v>Jumbo eletro-hidráulico com 3 braços - 155 kW/237 kW</v>
          </cell>
          <cell r="C359">
            <v>1755.3326999999999</v>
          </cell>
          <cell r="D359">
            <v>824.23260000000005</v>
          </cell>
        </row>
        <row r="360">
          <cell r="A360" t="str">
            <v>E9798</v>
          </cell>
          <cell r="B360" t="str">
            <v>Perfuratriz hidráulica rotopercussiva - 123 kW</v>
          </cell>
          <cell r="C360">
            <v>362.77019999999999</v>
          </cell>
          <cell r="D360">
            <v>170.8117</v>
          </cell>
        </row>
        <row r="361">
          <cell r="A361" t="str">
            <v>E9013</v>
          </cell>
          <cell r="B361" t="str">
            <v>Caminhão tanque de asfalto com capacidade de 31.000 l - 265 kW</v>
          </cell>
          <cell r="C361">
            <v>327.6028</v>
          </cell>
          <cell r="D361">
            <v>73.9559</v>
          </cell>
        </row>
        <row r="362">
          <cell r="A362" t="str">
            <v>E9018</v>
          </cell>
          <cell r="B362" t="str">
            <v>Cavalo mecânico com dolly intermediário e semirreboque de 4 eixos com capacidade de 53 t</v>
          </cell>
          <cell r="C362">
            <v>370.31330000000003</v>
          </cell>
          <cell r="D362">
            <v>110.9609</v>
          </cell>
        </row>
        <row r="363">
          <cell r="A363" t="str">
            <v>E9027</v>
          </cell>
          <cell r="B363" t="str">
            <v>Caminhão distribuidor de cimento e cal com capacidade de 17 m³ - 210 kW</v>
          </cell>
          <cell r="C363">
            <v>322.53219999999999</v>
          </cell>
          <cell r="D363">
            <v>92.757400000000004</v>
          </cell>
        </row>
        <row r="364">
          <cell r="A364" t="str">
            <v>E9037</v>
          </cell>
          <cell r="B364" t="str">
            <v>Plataforma de inspeção sob pontes montada em caminhão com capacidade de 500 kg e alcance de 15 m - 188 kW</v>
          </cell>
          <cell r="C364">
            <v>556.35500000000002</v>
          </cell>
          <cell r="D364">
            <v>238.6405</v>
          </cell>
        </row>
        <row r="365">
          <cell r="A365" t="str">
            <v>E9041</v>
          </cell>
          <cell r="B365" t="str">
            <v>Caminhão carroceria com guindauto com capacidade de 45 t.m - 188 kW</v>
          </cell>
          <cell r="C365">
            <v>302.6703</v>
          </cell>
          <cell r="D365">
            <v>104.9701</v>
          </cell>
        </row>
        <row r="366">
          <cell r="A366" t="str">
            <v>E9082</v>
          </cell>
          <cell r="B366" t="str">
            <v>Bate-estaca hidráulico para defensas montado em caminhão guindauto com capacidade de 20 t.m e carroceria de 4 t -</v>
          </cell>
          <cell r="C366">
            <v>268.56310000000002</v>
          </cell>
          <cell r="D366">
            <v>117.4241</v>
          </cell>
        </row>
        <row r="367">
          <cell r="A367" t="str">
            <v>E9686</v>
          </cell>
          <cell r="B367" t="str">
            <v>Caminhão carroceria com guindauto com capacidade de 20 t.m - 136 kW</v>
          </cell>
          <cell r="C367">
            <v>230.38210000000001</v>
          </cell>
          <cell r="D367">
            <v>87.961299999999994</v>
          </cell>
        </row>
        <row r="368">
          <cell r="A368" t="str">
            <v>E9669</v>
          </cell>
          <cell r="B368" t="str">
            <v>Caminhão tanque com capacidade de 8.000 l - 136 kW</v>
          </cell>
          <cell r="C368">
            <v>195.7029</v>
          </cell>
          <cell r="D368">
            <v>57.508600000000001</v>
          </cell>
        </row>
        <row r="369">
          <cell r="A369" t="str">
            <v>E9097</v>
          </cell>
          <cell r="B369" t="str">
            <v>Caminhão de resgate de veículos leves com plataforma com capacidade de 4 t - 115 kW</v>
          </cell>
          <cell r="C369">
            <v>163.77719999999999</v>
          </cell>
          <cell r="D369">
            <v>51.481200000000001</v>
          </cell>
        </row>
        <row r="370">
          <cell r="A370" t="str">
            <v>E9098</v>
          </cell>
          <cell r="B370" t="str">
            <v>Caminhão de resgate de veículos de porte médio com capacidade do guincho de 20 t</v>
          </cell>
          <cell r="C370">
            <v>223.3433</v>
          </cell>
          <cell r="D370">
            <v>83.749099999999999</v>
          </cell>
        </row>
        <row r="371">
          <cell r="A371" t="str">
            <v>E9099</v>
          </cell>
          <cell r="B371" t="str">
            <v>Caminhão de resgate de veículos pesados com dois guinchos com capacidade de 35 t</v>
          </cell>
          <cell r="C371">
            <v>366.5147</v>
          </cell>
          <cell r="D371">
            <v>116.0196</v>
          </cell>
        </row>
        <row r="372">
          <cell r="A372" t="str">
            <v>E9100</v>
          </cell>
          <cell r="B372" t="str">
            <v>mecânico sem reboque - 210 kW</v>
          </cell>
          <cell r="C372">
            <v>197.01589999999999</v>
          </cell>
          <cell r="D372">
            <v>50.132300000000001</v>
          </cell>
        </row>
        <row r="373">
          <cell r="A373" t="str">
            <v>E9667</v>
          </cell>
          <cell r="B373" t="str">
            <v>Caminhão basculante com capacidade de 14 m³ - 188 kW</v>
          </cell>
          <cell r="C373">
            <v>208.73220000000001</v>
          </cell>
          <cell r="D373">
            <v>64.840800000000002</v>
          </cell>
        </row>
        <row r="374">
          <cell r="A374" t="str">
            <v>E9571</v>
          </cell>
          <cell r="B374" t="str">
            <v>Caminhão tanque com capacidade de 10.000 l - 188 kW</v>
          </cell>
          <cell r="C374">
            <v>246.70949999999999</v>
          </cell>
          <cell r="D374">
            <v>62.819400000000002</v>
          </cell>
        </row>
        <row r="375">
          <cell r="A375" t="str">
            <v>E9575</v>
          </cell>
          <cell r="B375" t="str">
            <v>Caminhão basculante com caçamba estanque com capacidade de 14 m³ - 188 kW</v>
          </cell>
          <cell r="C375">
            <v>208.73220000000001</v>
          </cell>
          <cell r="D375">
            <v>64.840800000000002</v>
          </cell>
        </row>
        <row r="376">
          <cell r="A376" t="str">
            <v>E9687</v>
          </cell>
          <cell r="B376" t="str">
            <v>Caminhão carroceria com capacidade de 5 t - 115 kW</v>
          </cell>
          <cell r="C376">
            <v>110.34910000000001</v>
          </cell>
          <cell r="D376">
            <v>43.5593</v>
          </cell>
        </row>
        <row r="377">
          <cell r="A377" t="str">
            <v>E9792</v>
          </cell>
          <cell r="B377" t="str">
            <v>Caminhão para hidrossemeadura com capacidade de 7.500 l - 136 kW</v>
          </cell>
          <cell r="C377">
            <v>242.5275</v>
          </cell>
          <cell r="D377">
            <v>91.339500000000001</v>
          </cell>
        </row>
        <row r="378">
          <cell r="A378" t="str">
            <v>E9644</v>
          </cell>
          <cell r="B378" t="str">
            <v>Caminhão demarcador de faixas com sistema de pintura a frio - 28 kW/115 kW</v>
          </cell>
          <cell r="C378">
            <v>311.89449999999999</v>
          </cell>
          <cell r="D378">
            <v>135.78700000000001</v>
          </cell>
        </row>
        <row r="379">
          <cell r="A379" t="str">
            <v>E9509</v>
          </cell>
          <cell r="B379" t="str">
            <v>Caminhão tanque distribuidor de asfalto com capacidade de 6.000 l - 7 kW/136 kW</v>
          </cell>
          <cell r="C379">
            <v>200.56540000000001</v>
          </cell>
          <cell r="D379">
            <v>57.446599999999997</v>
          </cell>
        </row>
        <row r="380">
          <cell r="A380" t="str">
            <v>E9672</v>
          </cell>
          <cell r="B380" t="str">
            <v>Caminhão basculante para rocha com capacidade de 12 m³ - 188 kW</v>
          </cell>
          <cell r="C380">
            <v>223.08150000000001</v>
          </cell>
          <cell r="D380">
            <v>72.287300000000002</v>
          </cell>
        </row>
        <row r="381">
          <cell r="A381" t="str">
            <v>E9605</v>
          </cell>
          <cell r="B381" t="str">
            <v>Caminhão tanque com capacidade de 6.000 l - 136 kW</v>
          </cell>
          <cell r="C381">
            <v>191.6011</v>
          </cell>
          <cell r="D381">
            <v>55.420400000000001</v>
          </cell>
        </row>
        <row r="382">
          <cell r="A382" t="str">
            <v>E9665</v>
          </cell>
          <cell r="B382" t="str">
            <v>Cavalo mecânico com semirreboque com capacidade de 22 t - 240 kW</v>
          </cell>
          <cell r="C382">
            <v>271.76549999999997</v>
          </cell>
          <cell r="D382">
            <v>83.304100000000005</v>
          </cell>
        </row>
        <row r="383">
          <cell r="A383">
            <v>0</v>
          </cell>
          <cell r="B383">
            <v>0</v>
          </cell>
          <cell r="C383">
            <v>0</v>
          </cell>
          <cell r="D383">
            <v>0</v>
          </cell>
        </row>
        <row r="384">
          <cell r="A384">
            <v>0</v>
          </cell>
          <cell r="B384">
            <v>0</v>
          </cell>
          <cell r="C384">
            <v>0</v>
          </cell>
          <cell r="D384">
            <v>0</v>
          </cell>
        </row>
        <row r="385">
          <cell r="A385">
            <v>0</v>
          </cell>
          <cell r="B385">
            <v>0</v>
          </cell>
          <cell r="C385">
            <v>0</v>
          </cell>
          <cell r="D385">
            <v>0</v>
          </cell>
        </row>
        <row r="386">
          <cell r="A386">
            <v>0</v>
          </cell>
          <cell r="B386">
            <v>0</v>
          </cell>
          <cell r="C386">
            <v>0</v>
          </cell>
          <cell r="D386">
            <v>0</v>
          </cell>
        </row>
        <row r="387">
          <cell r="A387">
            <v>0</v>
          </cell>
          <cell r="B387">
            <v>0</v>
          </cell>
          <cell r="C387">
            <v>0</v>
          </cell>
          <cell r="D387">
            <v>0</v>
          </cell>
        </row>
        <row r="388">
          <cell r="A388">
            <v>0</v>
          </cell>
          <cell r="B388">
            <v>0</v>
          </cell>
          <cell r="C388">
            <v>0</v>
          </cell>
          <cell r="D388">
            <v>0</v>
          </cell>
        </row>
        <row r="389">
          <cell r="A389">
            <v>0</v>
          </cell>
          <cell r="B389">
            <v>0</v>
          </cell>
          <cell r="C389">
            <v>0</v>
          </cell>
          <cell r="D389">
            <v>0</v>
          </cell>
        </row>
        <row r="390">
          <cell r="A390">
            <v>0</v>
          </cell>
          <cell r="B390">
            <v>0</v>
          </cell>
          <cell r="C390">
            <v>0</v>
          </cell>
          <cell r="D390">
            <v>0</v>
          </cell>
        </row>
        <row r="391">
          <cell r="A391">
            <v>0</v>
          </cell>
          <cell r="B391">
            <v>0</v>
          </cell>
          <cell r="C391">
            <v>0</v>
          </cell>
          <cell r="D391">
            <v>0</v>
          </cell>
        </row>
        <row r="392">
          <cell r="A392">
            <v>0</v>
          </cell>
          <cell r="B392">
            <v>0</v>
          </cell>
          <cell r="C392">
            <v>0</v>
          </cell>
          <cell r="D392">
            <v>0</v>
          </cell>
        </row>
        <row r="393">
          <cell r="A393">
            <v>0</v>
          </cell>
          <cell r="B393">
            <v>0</v>
          </cell>
          <cell r="C393">
            <v>0</v>
          </cell>
          <cell r="D393">
            <v>0</v>
          </cell>
        </row>
        <row r="394">
          <cell r="A394">
            <v>0</v>
          </cell>
          <cell r="B394">
            <v>0</v>
          </cell>
          <cell r="C394">
            <v>0</v>
          </cell>
          <cell r="D394">
            <v>0</v>
          </cell>
        </row>
        <row r="395">
          <cell r="A395">
            <v>0</v>
          </cell>
          <cell r="B395">
            <v>0</v>
          </cell>
          <cell r="C395">
            <v>0</v>
          </cell>
          <cell r="D395">
            <v>0</v>
          </cell>
        </row>
        <row r="396">
          <cell r="A396">
            <v>0</v>
          </cell>
          <cell r="B396">
            <v>0</v>
          </cell>
          <cell r="C396">
            <v>0</v>
          </cell>
          <cell r="D396">
            <v>0</v>
          </cell>
        </row>
        <row r="397">
          <cell r="A397">
            <v>0</v>
          </cell>
          <cell r="B397">
            <v>0</v>
          </cell>
          <cell r="C397">
            <v>0</v>
          </cell>
          <cell r="D397">
            <v>0</v>
          </cell>
        </row>
        <row r="398">
          <cell r="A398">
            <v>0</v>
          </cell>
          <cell r="B398">
            <v>0</v>
          </cell>
          <cell r="C398">
            <v>0</v>
          </cell>
          <cell r="D398">
            <v>0</v>
          </cell>
        </row>
        <row r="399">
          <cell r="A399">
            <v>0</v>
          </cell>
          <cell r="B399">
            <v>0</v>
          </cell>
          <cell r="C399">
            <v>0</v>
          </cell>
          <cell r="D399">
            <v>0</v>
          </cell>
        </row>
        <row r="400">
          <cell r="A400">
            <v>0</v>
          </cell>
          <cell r="B400">
            <v>0</v>
          </cell>
          <cell r="C400">
            <v>0</v>
          </cell>
          <cell r="D400">
            <v>0</v>
          </cell>
        </row>
        <row r="401">
          <cell r="A401">
            <v>0</v>
          </cell>
          <cell r="B401">
            <v>0</v>
          </cell>
          <cell r="C401">
            <v>0</v>
          </cell>
          <cell r="D401">
            <v>0</v>
          </cell>
        </row>
        <row r="402">
          <cell r="A402">
            <v>0</v>
          </cell>
          <cell r="B402">
            <v>0</v>
          </cell>
          <cell r="C402">
            <v>0</v>
          </cell>
          <cell r="D402">
            <v>0</v>
          </cell>
        </row>
        <row r="403">
          <cell r="A403">
            <v>0</v>
          </cell>
          <cell r="B403">
            <v>0</v>
          </cell>
          <cell r="C403">
            <v>0</v>
          </cell>
          <cell r="D403">
            <v>0</v>
          </cell>
        </row>
        <row r="404">
          <cell r="A404">
            <v>0</v>
          </cell>
          <cell r="B404">
            <v>0</v>
          </cell>
          <cell r="C404">
            <v>0</v>
          </cell>
          <cell r="D404">
            <v>0</v>
          </cell>
        </row>
        <row r="405">
          <cell r="A405">
            <v>0</v>
          </cell>
          <cell r="B405">
            <v>0</v>
          </cell>
          <cell r="C405">
            <v>0</v>
          </cell>
          <cell r="D405">
            <v>0</v>
          </cell>
        </row>
        <row r="406">
          <cell r="A406">
            <v>0</v>
          </cell>
          <cell r="B406">
            <v>0</v>
          </cell>
          <cell r="C406">
            <v>0</v>
          </cell>
          <cell r="D406">
            <v>0</v>
          </cell>
        </row>
        <row r="407">
          <cell r="A407">
            <v>0</v>
          </cell>
          <cell r="B407">
            <v>0</v>
          </cell>
          <cell r="C407">
            <v>0</v>
          </cell>
          <cell r="D407">
            <v>0</v>
          </cell>
        </row>
        <row r="408">
          <cell r="A408">
            <v>0</v>
          </cell>
          <cell r="B408">
            <v>0</v>
          </cell>
          <cell r="C408">
            <v>0</v>
          </cell>
          <cell r="D408">
            <v>0</v>
          </cell>
        </row>
        <row r="409">
          <cell r="A409">
            <v>0</v>
          </cell>
          <cell r="B409">
            <v>0</v>
          </cell>
          <cell r="C409">
            <v>0</v>
          </cell>
          <cell r="D409">
            <v>0</v>
          </cell>
        </row>
        <row r="410">
          <cell r="A410">
            <v>0</v>
          </cell>
          <cell r="B410">
            <v>0</v>
          </cell>
          <cell r="C410">
            <v>0</v>
          </cell>
          <cell r="D410">
            <v>0</v>
          </cell>
        </row>
        <row r="411">
          <cell r="A411">
            <v>0</v>
          </cell>
          <cell r="B411">
            <v>0</v>
          </cell>
          <cell r="C411">
            <v>0</v>
          </cell>
          <cell r="D411">
            <v>0</v>
          </cell>
        </row>
        <row r="412">
          <cell r="A412">
            <v>0</v>
          </cell>
          <cell r="B412">
            <v>0</v>
          </cell>
          <cell r="C412">
            <v>0</v>
          </cell>
          <cell r="D412">
            <v>0</v>
          </cell>
        </row>
        <row r="413">
          <cell r="A413">
            <v>0</v>
          </cell>
          <cell r="B413">
            <v>0</v>
          </cell>
          <cell r="C413">
            <v>0</v>
          </cell>
          <cell r="D413">
            <v>0</v>
          </cell>
        </row>
        <row r="414">
          <cell r="A414">
            <v>0</v>
          </cell>
          <cell r="B414">
            <v>0</v>
          </cell>
          <cell r="C414">
            <v>0</v>
          </cell>
          <cell r="D414">
            <v>0</v>
          </cell>
        </row>
        <row r="415">
          <cell r="A415">
            <v>0</v>
          </cell>
          <cell r="B415">
            <v>0</v>
          </cell>
          <cell r="C415">
            <v>0</v>
          </cell>
          <cell r="D415">
            <v>0</v>
          </cell>
        </row>
        <row r="416">
          <cell r="A416">
            <v>0</v>
          </cell>
          <cell r="B416">
            <v>0</v>
          </cell>
          <cell r="C416">
            <v>0</v>
          </cell>
          <cell r="D416">
            <v>0</v>
          </cell>
        </row>
        <row r="417">
          <cell r="A417">
            <v>0</v>
          </cell>
          <cell r="B417">
            <v>0</v>
          </cell>
          <cell r="C417">
            <v>0</v>
          </cell>
          <cell r="D417">
            <v>0</v>
          </cell>
        </row>
        <row r="418">
          <cell r="A418">
            <v>0</v>
          </cell>
          <cell r="B418">
            <v>0</v>
          </cell>
          <cell r="C418">
            <v>0</v>
          </cell>
          <cell r="D418">
            <v>0</v>
          </cell>
        </row>
        <row r="419">
          <cell r="A419">
            <v>0</v>
          </cell>
          <cell r="B419">
            <v>0</v>
          </cell>
          <cell r="C419">
            <v>0</v>
          </cell>
          <cell r="D419">
            <v>0</v>
          </cell>
        </row>
        <row r="420">
          <cell r="A420">
            <v>0</v>
          </cell>
          <cell r="B420">
            <v>0</v>
          </cell>
          <cell r="C420">
            <v>0</v>
          </cell>
          <cell r="D420">
            <v>0</v>
          </cell>
        </row>
        <row r="421">
          <cell r="A421">
            <v>0</v>
          </cell>
          <cell r="B421">
            <v>0</v>
          </cell>
          <cell r="C421">
            <v>0</v>
          </cell>
          <cell r="D421">
            <v>0</v>
          </cell>
        </row>
        <row r="422">
          <cell r="A422">
            <v>0</v>
          </cell>
          <cell r="B422">
            <v>0</v>
          </cell>
          <cell r="C422">
            <v>0</v>
          </cell>
          <cell r="D422">
            <v>0</v>
          </cell>
        </row>
        <row r="423">
          <cell r="A423">
            <v>0</v>
          </cell>
          <cell r="B423">
            <v>0</v>
          </cell>
          <cell r="C423">
            <v>0</v>
          </cell>
          <cell r="D423">
            <v>0</v>
          </cell>
        </row>
        <row r="424">
          <cell r="A424">
            <v>0</v>
          </cell>
          <cell r="B424">
            <v>0</v>
          </cell>
          <cell r="C424">
            <v>0</v>
          </cell>
          <cell r="D424">
            <v>0</v>
          </cell>
        </row>
        <row r="425">
          <cell r="A425">
            <v>0</v>
          </cell>
          <cell r="B425">
            <v>0</v>
          </cell>
          <cell r="C425">
            <v>0</v>
          </cell>
          <cell r="D425">
            <v>0</v>
          </cell>
        </row>
        <row r="426">
          <cell r="A426">
            <v>0</v>
          </cell>
          <cell r="B426">
            <v>0</v>
          </cell>
          <cell r="C426">
            <v>0</v>
          </cell>
          <cell r="D426">
            <v>0</v>
          </cell>
        </row>
        <row r="427">
          <cell r="A427">
            <v>0</v>
          </cell>
          <cell r="B427">
            <v>0</v>
          </cell>
          <cell r="C427">
            <v>0</v>
          </cell>
          <cell r="D427">
            <v>0</v>
          </cell>
        </row>
        <row r="428">
          <cell r="A428">
            <v>0</v>
          </cell>
          <cell r="B428">
            <v>0</v>
          </cell>
          <cell r="C428">
            <v>0</v>
          </cell>
          <cell r="D428">
            <v>0</v>
          </cell>
        </row>
        <row r="429">
          <cell r="A429">
            <v>0</v>
          </cell>
          <cell r="B429">
            <v>0</v>
          </cell>
          <cell r="C429">
            <v>0</v>
          </cell>
          <cell r="D429">
            <v>0</v>
          </cell>
        </row>
        <row r="430">
          <cell r="A430">
            <v>0</v>
          </cell>
          <cell r="B430">
            <v>0</v>
          </cell>
          <cell r="C430">
            <v>0</v>
          </cell>
          <cell r="D430">
            <v>0</v>
          </cell>
        </row>
        <row r="431">
          <cell r="A431">
            <v>0</v>
          </cell>
          <cell r="B431">
            <v>0</v>
          </cell>
          <cell r="C431">
            <v>0</v>
          </cell>
          <cell r="D431">
            <v>0</v>
          </cell>
        </row>
        <row r="432">
          <cell r="A432">
            <v>0</v>
          </cell>
          <cell r="B432">
            <v>0</v>
          </cell>
          <cell r="C432">
            <v>0</v>
          </cell>
          <cell r="D432">
            <v>0</v>
          </cell>
        </row>
        <row r="433">
          <cell r="A433">
            <v>0</v>
          </cell>
          <cell r="B433">
            <v>0</v>
          </cell>
          <cell r="C433">
            <v>0</v>
          </cell>
          <cell r="D433">
            <v>0</v>
          </cell>
        </row>
        <row r="434">
          <cell r="A434">
            <v>0</v>
          </cell>
          <cell r="B434">
            <v>0</v>
          </cell>
          <cell r="C434">
            <v>0</v>
          </cell>
          <cell r="D434">
            <v>0</v>
          </cell>
        </row>
        <row r="435">
          <cell r="A435">
            <v>0</v>
          </cell>
          <cell r="B435">
            <v>0</v>
          </cell>
          <cell r="C435">
            <v>0</v>
          </cell>
          <cell r="D435">
            <v>0</v>
          </cell>
        </row>
        <row r="436">
          <cell r="A436">
            <v>0</v>
          </cell>
          <cell r="B436">
            <v>0</v>
          </cell>
          <cell r="C436">
            <v>0</v>
          </cell>
          <cell r="D436">
            <v>0</v>
          </cell>
        </row>
        <row r="437">
          <cell r="A437">
            <v>0</v>
          </cell>
          <cell r="B437">
            <v>0</v>
          </cell>
          <cell r="C437">
            <v>0</v>
          </cell>
          <cell r="D437">
            <v>0</v>
          </cell>
        </row>
        <row r="438">
          <cell r="A438">
            <v>0</v>
          </cell>
          <cell r="B438">
            <v>0</v>
          </cell>
          <cell r="C438">
            <v>0</v>
          </cell>
          <cell r="D438">
            <v>0</v>
          </cell>
        </row>
        <row r="439">
          <cell r="A439">
            <v>0</v>
          </cell>
          <cell r="B439">
            <v>0</v>
          </cell>
          <cell r="C439">
            <v>0</v>
          </cell>
          <cell r="D439">
            <v>0</v>
          </cell>
        </row>
        <row r="440">
          <cell r="A440">
            <v>0</v>
          </cell>
          <cell r="B440">
            <v>0</v>
          </cell>
          <cell r="C440">
            <v>0</v>
          </cell>
          <cell r="D440">
            <v>0</v>
          </cell>
        </row>
        <row r="441">
          <cell r="A441">
            <v>0</v>
          </cell>
          <cell r="B441">
            <v>0</v>
          </cell>
          <cell r="C441">
            <v>0</v>
          </cell>
          <cell r="D441">
            <v>0</v>
          </cell>
        </row>
        <row r="442">
          <cell r="A442">
            <v>0</v>
          </cell>
          <cell r="B442">
            <v>0</v>
          </cell>
          <cell r="C442">
            <v>0</v>
          </cell>
          <cell r="D442">
            <v>0</v>
          </cell>
        </row>
        <row r="443">
          <cell r="A443">
            <v>0</v>
          </cell>
          <cell r="B443">
            <v>0</v>
          </cell>
          <cell r="C443">
            <v>0</v>
          </cell>
          <cell r="D443">
            <v>0</v>
          </cell>
        </row>
        <row r="444">
          <cell r="A444">
            <v>0</v>
          </cell>
          <cell r="B444">
            <v>0</v>
          </cell>
          <cell r="C444">
            <v>0</v>
          </cell>
          <cell r="D444">
            <v>0</v>
          </cell>
        </row>
        <row r="445">
          <cell r="A445">
            <v>0</v>
          </cell>
          <cell r="B445">
            <v>0</v>
          </cell>
          <cell r="C445">
            <v>0</v>
          </cell>
          <cell r="D445">
            <v>0</v>
          </cell>
        </row>
        <row r="446">
          <cell r="A446">
            <v>0</v>
          </cell>
          <cell r="B446">
            <v>0</v>
          </cell>
          <cell r="C446">
            <v>0</v>
          </cell>
          <cell r="D446">
            <v>0</v>
          </cell>
        </row>
        <row r="447">
          <cell r="A447">
            <v>0</v>
          </cell>
          <cell r="B447">
            <v>0</v>
          </cell>
          <cell r="C447">
            <v>0</v>
          </cell>
          <cell r="D447">
            <v>0</v>
          </cell>
        </row>
        <row r="448">
          <cell r="A448">
            <v>0</v>
          </cell>
          <cell r="B448">
            <v>0</v>
          </cell>
          <cell r="C448">
            <v>0</v>
          </cell>
          <cell r="D448">
            <v>0</v>
          </cell>
        </row>
        <row r="449">
          <cell r="A449">
            <v>0</v>
          </cell>
          <cell r="B449">
            <v>0</v>
          </cell>
          <cell r="C449">
            <v>0</v>
          </cell>
          <cell r="D449">
            <v>0</v>
          </cell>
        </row>
        <row r="450">
          <cell r="A450">
            <v>0</v>
          </cell>
          <cell r="B450">
            <v>0</v>
          </cell>
          <cell r="C450">
            <v>0</v>
          </cell>
          <cell r="D450">
            <v>0</v>
          </cell>
        </row>
        <row r="451">
          <cell r="A451">
            <v>0</v>
          </cell>
          <cell r="B451">
            <v>0</v>
          </cell>
          <cell r="C451">
            <v>0</v>
          </cell>
          <cell r="D451">
            <v>0</v>
          </cell>
        </row>
        <row r="452">
          <cell r="A452">
            <v>0</v>
          </cell>
          <cell r="B452">
            <v>0</v>
          </cell>
          <cell r="C452">
            <v>0</v>
          </cell>
          <cell r="D452">
            <v>0</v>
          </cell>
        </row>
        <row r="453">
          <cell r="A453">
            <v>0</v>
          </cell>
          <cell r="B453">
            <v>0</v>
          </cell>
          <cell r="C453">
            <v>0</v>
          </cell>
          <cell r="D453">
            <v>0</v>
          </cell>
        </row>
        <row r="454">
          <cell r="A454">
            <v>0</v>
          </cell>
          <cell r="B454">
            <v>0</v>
          </cell>
          <cell r="C454">
            <v>0</v>
          </cell>
          <cell r="D454">
            <v>0</v>
          </cell>
        </row>
        <row r="455">
          <cell r="A455">
            <v>0</v>
          </cell>
          <cell r="B455">
            <v>0</v>
          </cell>
          <cell r="C455">
            <v>0</v>
          </cell>
          <cell r="D455">
            <v>0</v>
          </cell>
        </row>
        <row r="456">
          <cell r="A456">
            <v>0</v>
          </cell>
          <cell r="B456">
            <v>0</v>
          </cell>
          <cell r="C456">
            <v>0</v>
          </cell>
          <cell r="D456">
            <v>0</v>
          </cell>
        </row>
        <row r="457">
          <cell r="A457">
            <v>0</v>
          </cell>
          <cell r="B457">
            <v>0</v>
          </cell>
          <cell r="C457">
            <v>0</v>
          </cell>
          <cell r="D457">
            <v>0</v>
          </cell>
        </row>
        <row r="458">
          <cell r="A458">
            <v>0</v>
          </cell>
          <cell r="B458">
            <v>0</v>
          </cell>
          <cell r="C458">
            <v>0</v>
          </cell>
          <cell r="D458">
            <v>0</v>
          </cell>
        </row>
        <row r="459">
          <cell r="A459">
            <v>0</v>
          </cell>
          <cell r="B459">
            <v>0</v>
          </cell>
          <cell r="C459">
            <v>0</v>
          </cell>
          <cell r="D459">
            <v>0</v>
          </cell>
        </row>
        <row r="460">
          <cell r="A460">
            <v>0</v>
          </cell>
          <cell r="B460">
            <v>0</v>
          </cell>
          <cell r="C460">
            <v>0</v>
          </cell>
          <cell r="D460">
            <v>0</v>
          </cell>
        </row>
        <row r="461">
          <cell r="A461">
            <v>0</v>
          </cell>
          <cell r="B461">
            <v>0</v>
          </cell>
          <cell r="C461">
            <v>0</v>
          </cell>
          <cell r="D461">
            <v>0</v>
          </cell>
        </row>
        <row r="462">
          <cell r="A462">
            <v>0</v>
          </cell>
          <cell r="B462">
            <v>0</v>
          </cell>
          <cell r="C462">
            <v>0</v>
          </cell>
          <cell r="D462">
            <v>0</v>
          </cell>
        </row>
        <row r="463">
          <cell r="A463">
            <v>0</v>
          </cell>
          <cell r="B463">
            <v>0</v>
          </cell>
          <cell r="C463">
            <v>0</v>
          </cell>
          <cell r="D463">
            <v>0</v>
          </cell>
        </row>
        <row r="464">
          <cell r="A464">
            <v>0</v>
          </cell>
          <cell r="B464">
            <v>0</v>
          </cell>
          <cell r="C464">
            <v>0</v>
          </cell>
          <cell r="D464">
            <v>0</v>
          </cell>
        </row>
        <row r="465">
          <cell r="A465">
            <v>0</v>
          </cell>
          <cell r="B465">
            <v>0</v>
          </cell>
          <cell r="C465">
            <v>0</v>
          </cell>
          <cell r="D465">
            <v>0</v>
          </cell>
        </row>
        <row r="466">
          <cell r="A466">
            <v>0</v>
          </cell>
          <cell r="B466">
            <v>0</v>
          </cell>
          <cell r="C466">
            <v>0</v>
          </cell>
          <cell r="D466">
            <v>0</v>
          </cell>
        </row>
        <row r="467">
          <cell r="A467">
            <v>0</v>
          </cell>
          <cell r="B467">
            <v>0</v>
          </cell>
          <cell r="C467">
            <v>0</v>
          </cell>
          <cell r="D467">
            <v>0</v>
          </cell>
        </row>
        <row r="468">
          <cell r="A468">
            <v>0</v>
          </cell>
          <cell r="B468">
            <v>0</v>
          </cell>
          <cell r="C468">
            <v>0</v>
          </cell>
          <cell r="D468">
            <v>0</v>
          </cell>
        </row>
        <row r="469">
          <cell r="A469">
            <v>0</v>
          </cell>
          <cell r="B469">
            <v>0</v>
          </cell>
          <cell r="C469">
            <v>0</v>
          </cell>
          <cell r="D469">
            <v>0</v>
          </cell>
        </row>
        <row r="470">
          <cell r="A470">
            <v>0</v>
          </cell>
          <cell r="B470">
            <v>0</v>
          </cell>
          <cell r="C470">
            <v>0</v>
          </cell>
          <cell r="D470">
            <v>0</v>
          </cell>
        </row>
        <row r="471">
          <cell r="A471">
            <v>0</v>
          </cell>
          <cell r="B471">
            <v>0</v>
          </cell>
          <cell r="C471">
            <v>0</v>
          </cell>
          <cell r="D471">
            <v>0</v>
          </cell>
        </row>
        <row r="472">
          <cell r="A472">
            <v>0</v>
          </cell>
          <cell r="B472">
            <v>0</v>
          </cell>
          <cell r="C472">
            <v>0</v>
          </cell>
          <cell r="D472">
            <v>0</v>
          </cell>
        </row>
        <row r="473">
          <cell r="A473">
            <v>0</v>
          </cell>
          <cell r="B473">
            <v>0</v>
          </cell>
          <cell r="C473">
            <v>0</v>
          </cell>
          <cell r="D473">
            <v>0</v>
          </cell>
        </row>
        <row r="474">
          <cell r="A474">
            <v>0</v>
          </cell>
          <cell r="B474">
            <v>0</v>
          </cell>
          <cell r="C474">
            <v>0</v>
          </cell>
          <cell r="D474">
            <v>0</v>
          </cell>
        </row>
        <row r="475">
          <cell r="A475">
            <v>0</v>
          </cell>
          <cell r="B475">
            <v>0</v>
          </cell>
          <cell r="C475">
            <v>0</v>
          </cell>
          <cell r="D475">
            <v>0</v>
          </cell>
        </row>
        <row r="476">
          <cell r="A476">
            <v>0</v>
          </cell>
          <cell r="B476">
            <v>0</v>
          </cell>
          <cell r="C476">
            <v>0</v>
          </cell>
          <cell r="D476">
            <v>0</v>
          </cell>
        </row>
        <row r="477">
          <cell r="A477">
            <v>0</v>
          </cell>
          <cell r="B477">
            <v>0</v>
          </cell>
          <cell r="C477">
            <v>0</v>
          </cell>
          <cell r="D477">
            <v>0</v>
          </cell>
        </row>
        <row r="478">
          <cell r="A478">
            <v>0</v>
          </cell>
          <cell r="B478">
            <v>0</v>
          </cell>
          <cell r="C478">
            <v>0</v>
          </cell>
          <cell r="D478">
            <v>0</v>
          </cell>
        </row>
        <row r="479">
          <cell r="A479">
            <v>0</v>
          </cell>
          <cell r="B479">
            <v>0</v>
          </cell>
          <cell r="C479">
            <v>0</v>
          </cell>
          <cell r="D479">
            <v>0</v>
          </cell>
        </row>
        <row r="480">
          <cell r="A480">
            <v>0</v>
          </cell>
          <cell r="B480">
            <v>0</v>
          </cell>
          <cell r="C480">
            <v>0</v>
          </cell>
          <cell r="D480">
            <v>0</v>
          </cell>
        </row>
        <row r="481">
          <cell r="A481">
            <v>0</v>
          </cell>
          <cell r="B481">
            <v>0</v>
          </cell>
          <cell r="C481">
            <v>0</v>
          </cell>
          <cell r="D481">
            <v>0</v>
          </cell>
        </row>
        <row r="482">
          <cell r="A482">
            <v>0</v>
          </cell>
          <cell r="B482">
            <v>0</v>
          </cell>
          <cell r="C482">
            <v>0</v>
          </cell>
          <cell r="D482">
            <v>0</v>
          </cell>
        </row>
        <row r="483">
          <cell r="A483">
            <v>0</v>
          </cell>
          <cell r="B483">
            <v>0</v>
          </cell>
          <cell r="C483">
            <v>0</v>
          </cell>
          <cell r="D483">
            <v>0</v>
          </cell>
        </row>
        <row r="484">
          <cell r="A484">
            <v>0</v>
          </cell>
          <cell r="B484">
            <v>0</v>
          </cell>
          <cell r="C484">
            <v>0</v>
          </cell>
          <cell r="D484">
            <v>0</v>
          </cell>
        </row>
        <row r="485">
          <cell r="A485">
            <v>0</v>
          </cell>
          <cell r="B485">
            <v>0</v>
          </cell>
          <cell r="C485">
            <v>0</v>
          </cell>
          <cell r="D485">
            <v>0</v>
          </cell>
        </row>
        <row r="486">
          <cell r="A486">
            <v>0</v>
          </cell>
          <cell r="B486">
            <v>0</v>
          </cell>
          <cell r="C486">
            <v>0</v>
          </cell>
          <cell r="D486">
            <v>0</v>
          </cell>
        </row>
        <row r="487">
          <cell r="A487">
            <v>0</v>
          </cell>
          <cell r="B487">
            <v>0</v>
          </cell>
          <cell r="C487">
            <v>0</v>
          </cell>
          <cell r="D487">
            <v>0</v>
          </cell>
        </row>
        <row r="488">
          <cell r="A488">
            <v>0</v>
          </cell>
          <cell r="B488">
            <v>0</v>
          </cell>
          <cell r="C488">
            <v>0</v>
          </cell>
          <cell r="D488">
            <v>0</v>
          </cell>
        </row>
        <row r="489">
          <cell r="A489">
            <v>0</v>
          </cell>
          <cell r="B489">
            <v>0</v>
          </cell>
          <cell r="C489">
            <v>0</v>
          </cell>
          <cell r="D489">
            <v>0</v>
          </cell>
        </row>
        <row r="490">
          <cell r="A490">
            <v>0</v>
          </cell>
          <cell r="B490">
            <v>0</v>
          </cell>
          <cell r="C490">
            <v>0</v>
          </cell>
          <cell r="D490">
            <v>0</v>
          </cell>
        </row>
        <row r="491">
          <cell r="A491">
            <v>0</v>
          </cell>
          <cell r="B491">
            <v>0</v>
          </cell>
          <cell r="C491">
            <v>0</v>
          </cell>
          <cell r="D491">
            <v>0</v>
          </cell>
        </row>
        <row r="492">
          <cell r="A492">
            <v>0</v>
          </cell>
          <cell r="B492">
            <v>0</v>
          </cell>
          <cell r="C492">
            <v>0</v>
          </cell>
          <cell r="D492">
            <v>0</v>
          </cell>
        </row>
        <row r="493">
          <cell r="A493">
            <v>0</v>
          </cell>
          <cell r="B493">
            <v>0</v>
          </cell>
          <cell r="C493">
            <v>0</v>
          </cell>
          <cell r="D493">
            <v>0</v>
          </cell>
        </row>
        <row r="494">
          <cell r="A494">
            <v>0</v>
          </cell>
          <cell r="B494">
            <v>0</v>
          </cell>
          <cell r="C494">
            <v>0</v>
          </cell>
          <cell r="D494">
            <v>0</v>
          </cell>
        </row>
        <row r="495">
          <cell r="A495">
            <v>0</v>
          </cell>
          <cell r="B495">
            <v>0</v>
          </cell>
          <cell r="C495">
            <v>0</v>
          </cell>
          <cell r="D495">
            <v>0</v>
          </cell>
        </row>
        <row r="496">
          <cell r="A496">
            <v>0</v>
          </cell>
          <cell r="B496">
            <v>0</v>
          </cell>
          <cell r="C496">
            <v>0</v>
          </cell>
          <cell r="D496">
            <v>0</v>
          </cell>
        </row>
        <row r="497">
          <cell r="A497">
            <v>0</v>
          </cell>
          <cell r="B497">
            <v>0</v>
          </cell>
          <cell r="C497">
            <v>0</v>
          </cell>
          <cell r="D497">
            <v>0</v>
          </cell>
        </row>
        <row r="498">
          <cell r="A498">
            <v>0</v>
          </cell>
          <cell r="B498">
            <v>0</v>
          </cell>
          <cell r="C498">
            <v>0</v>
          </cell>
          <cell r="D498">
            <v>0</v>
          </cell>
        </row>
        <row r="499">
          <cell r="A499">
            <v>0</v>
          </cell>
          <cell r="B499">
            <v>0</v>
          </cell>
          <cell r="C499">
            <v>0</v>
          </cell>
          <cell r="D499">
            <v>0</v>
          </cell>
        </row>
        <row r="500">
          <cell r="A500">
            <v>0</v>
          </cell>
          <cell r="B500">
            <v>0</v>
          </cell>
          <cell r="C500">
            <v>0</v>
          </cell>
          <cell r="D500">
            <v>0</v>
          </cell>
        </row>
        <row r="501">
          <cell r="A501">
            <v>0</v>
          </cell>
          <cell r="B501">
            <v>0</v>
          </cell>
          <cell r="C501">
            <v>0</v>
          </cell>
          <cell r="D501">
            <v>0</v>
          </cell>
        </row>
        <row r="502">
          <cell r="A502">
            <v>0</v>
          </cell>
          <cell r="B502">
            <v>0</v>
          </cell>
          <cell r="C502">
            <v>0</v>
          </cell>
          <cell r="D502">
            <v>0</v>
          </cell>
        </row>
        <row r="503">
          <cell r="A503">
            <v>0</v>
          </cell>
          <cell r="B503">
            <v>0</v>
          </cell>
          <cell r="C503">
            <v>0</v>
          </cell>
          <cell r="D503">
            <v>0</v>
          </cell>
        </row>
        <row r="504">
          <cell r="A504">
            <v>0</v>
          </cell>
          <cell r="B504">
            <v>0</v>
          </cell>
          <cell r="C504">
            <v>0</v>
          </cell>
          <cell r="D504">
            <v>0</v>
          </cell>
        </row>
        <row r="505">
          <cell r="A505">
            <v>0</v>
          </cell>
          <cell r="B505">
            <v>0</v>
          </cell>
          <cell r="C505">
            <v>0</v>
          </cell>
          <cell r="D505">
            <v>0</v>
          </cell>
        </row>
        <row r="506">
          <cell r="A506">
            <v>0</v>
          </cell>
          <cell r="B506">
            <v>0</v>
          </cell>
          <cell r="C506">
            <v>0</v>
          </cell>
          <cell r="D506">
            <v>0</v>
          </cell>
        </row>
      </sheetData>
      <sheetData sheetId="5">
        <row r="1">
          <cell r="B1" t="str">
            <v>Código SICRO</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hyperlink" Target="mailto:propostas@nacionalambiental.com" TargetMode="External"/><Relationship Id="rId13" Type="http://schemas.openxmlformats.org/officeDocument/2006/relationships/hyperlink" Target="mailto:dirlene@zugam.com.br" TargetMode="External"/><Relationship Id="rId3" Type="http://schemas.openxmlformats.org/officeDocument/2006/relationships/hyperlink" Target="mailto:e-comercial@conduscamp.com.br" TargetMode="External"/><Relationship Id="rId7" Type="http://schemas.openxmlformats.org/officeDocument/2006/relationships/hyperlink" Target="mailto:dirlene@zugam.com.br" TargetMode="External"/><Relationship Id="rId12" Type="http://schemas.openxmlformats.org/officeDocument/2006/relationships/hyperlink" Target="mailto:dirlene@zugam.com.br" TargetMode="External"/><Relationship Id="rId2" Type="http://schemas.openxmlformats.org/officeDocument/2006/relationships/hyperlink" Target="mailto:orcamentos@ocle.com.br" TargetMode="External"/><Relationship Id="rId1" Type="http://schemas.openxmlformats.org/officeDocument/2006/relationships/hyperlink" Target="mailto:tiago@marcconstrutora.com.br" TargetMode="External"/><Relationship Id="rId6" Type="http://schemas.openxmlformats.org/officeDocument/2006/relationships/hyperlink" Target="mailto:sailon@bioberg.com.br" TargetMode="External"/><Relationship Id="rId11" Type="http://schemas.openxmlformats.org/officeDocument/2006/relationships/hyperlink" Target="mailto:sailon@bioberg.com.br" TargetMode="External"/><Relationship Id="rId5" Type="http://schemas.openxmlformats.org/officeDocument/2006/relationships/hyperlink" Target="mailto:propostas@nacionalambiental.com" TargetMode="External"/><Relationship Id="rId15" Type="http://schemas.openxmlformats.org/officeDocument/2006/relationships/drawing" Target="../drawings/drawing24.xml"/><Relationship Id="rId10" Type="http://schemas.openxmlformats.org/officeDocument/2006/relationships/hyperlink" Target="mailto:sailon@bioberg.com.br" TargetMode="External"/><Relationship Id="rId4" Type="http://schemas.openxmlformats.org/officeDocument/2006/relationships/hyperlink" Target="mailto:gigamax@gigamaxcondutores.com.br" TargetMode="External"/><Relationship Id="rId9" Type="http://schemas.openxmlformats.org/officeDocument/2006/relationships/hyperlink" Target="mailto:propostas@nacionalambiental.com" TargetMode="External"/><Relationship Id="rId14"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2:D41"/>
  <sheetViews>
    <sheetView showGridLines="0" zoomScale="85" zoomScaleNormal="85" zoomScaleSheetLayoutView="100" workbookViewId="0">
      <selection activeCell="G31" sqref="G31"/>
    </sheetView>
  </sheetViews>
  <sheetFormatPr defaultRowHeight="15.75"/>
  <cols>
    <col min="1" max="1" width="8.7109375" style="8" customWidth="1"/>
    <col min="2" max="2" width="129" style="15" customWidth="1"/>
    <col min="3" max="4" width="15.7109375" style="16" bestFit="1" customWidth="1"/>
    <col min="5" max="5" width="26.5703125" style="8" customWidth="1"/>
    <col min="6" max="16384" width="9.140625" style="8"/>
  </cols>
  <sheetData>
    <row r="2" spans="1:4" s="6" customFormat="1">
      <c r="A2" s="495" t="s">
        <v>167</v>
      </c>
      <c r="B2" s="495"/>
      <c r="C2" s="495"/>
      <c r="D2" s="495"/>
    </row>
    <row r="3" spans="1:4" s="6" customFormat="1">
      <c r="A3" s="496" t="s">
        <v>165</v>
      </c>
      <c r="B3" s="496"/>
      <c r="C3" s="496"/>
      <c r="D3" s="496"/>
    </row>
    <row r="4" spans="1:4" s="6" customFormat="1">
      <c r="A4" s="2"/>
      <c r="B4" s="3"/>
      <c r="C4" s="17"/>
      <c r="D4" s="17"/>
    </row>
    <row r="5" spans="1:4" s="6" customFormat="1">
      <c r="A5" s="2" t="s">
        <v>25931</v>
      </c>
      <c r="B5" s="4"/>
      <c r="C5" s="22"/>
      <c r="D5" s="22"/>
    </row>
    <row r="6" spans="1:4" s="6" customFormat="1" ht="15" customHeight="1">
      <c r="A6" s="63"/>
      <c r="B6" s="63"/>
      <c r="C6" s="63"/>
      <c r="D6" s="63"/>
    </row>
    <row r="7" spans="1:4" s="6" customFormat="1">
      <c r="C7" s="63"/>
      <c r="D7" s="63"/>
    </row>
    <row r="8" spans="1:4" s="6" customFormat="1">
      <c r="C8" s="63"/>
      <c r="D8" s="63"/>
    </row>
    <row r="9" spans="1:4" s="6" customFormat="1">
      <c r="A9" s="497" t="s">
        <v>9096</v>
      </c>
      <c r="B9" s="497"/>
      <c r="C9" s="497"/>
      <c r="D9" s="497"/>
    </row>
    <row r="10" spans="1:4">
      <c r="A10" s="63"/>
      <c r="B10" s="63"/>
      <c r="C10" s="63"/>
      <c r="D10" s="63"/>
    </row>
    <row r="11" spans="1:4" s="6" customFormat="1" ht="15.75" customHeight="1">
      <c r="A11" s="498" t="s">
        <v>9097</v>
      </c>
      <c r="B11" s="499"/>
      <c r="C11" s="499"/>
      <c r="D11" s="500"/>
    </row>
    <row r="12" spans="1:4" s="6" customFormat="1" ht="15.75" customHeight="1">
      <c r="C12" s="63"/>
      <c r="D12" s="63"/>
    </row>
    <row r="13" spans="1:4">
      <c r="A13" s="188"/>
      <c r="B13" s="63" t="s">
        <v>9093</v>
      </c>
      <c r="C13" s="63"/>
      <c r="D13" s="63"/>
    </row>
    <row r="14" spans="1:4">
      <c r="A14" s="187"/>
      <c r="B14" s="63" t="s">
        <v>22725</v>
      </c>
      <c r="C14" s="63"/>
      <c r="D14" s="63"/>
    </row>
    <row r="15" spans="1:4">
      <c r="A15" s="166"/>
      <c r="B15" s="63" t="s">
        <v>22726</v>
      </c>
      <c r="C15" s="63"/>
      <c r="D15" s="63"/>
    </row>
    <row r="16" spans="1:4">
      <c r="A16" s="186"/>
      <c r="B16" s="63" t="s">
        <v>22727</v>
      </c>
      <c r="C16" s="63"/>
      <c r="D16" s="63"/>
    </row>
    <row r="17" spans="1:4">
      <c r="A17" s="306"/>
      <c r="B17" s="63" t="s">
        <v>22728</v>
      </c>
      <c r="C17" s="63"/>
      <c r="D17" s="63"/>
    </row>
    <row r="18" spans="1:4">
      <c r="A18" s="307"/>
      <c r="B18" s="63" t="s">
        <v>22731</v>
      </c>
      <c r="C18" s="63"/>
      <c r="D18" s="63"/>
    </row>
    <row r="19" spans="1:4">
      <c r="A19" s="308"/>
      <c r="B19" s="63" t="s">
        <v>22729</v>
      </c>
      <c r="C19" s="63"/>
      <c r="D19" s="63"/>
    </row>
    <row r="20" spans="1:4">
      <c r="A20" s="309"/>
      <c r="B20" s="63" t="s">
        <v>22730</v>
      </c>
      <c r="C20" s="63"/>
      <c r="D20" s="63"/>
    </row>
    <row r="21" spans="1:4">
      <c r="A21" s="63"/>
      <c r="B21" s="63"/>
      <c r="C21" s="63"/>
      <c r="D21" s="63"/>
    </row>
    <row r="22" spans="1:4">
      <c r="A22" s="492" t="s">
        <v>9094</v>
      </c>
      <c r="B22" s="493"/>
      <c r="C22" s="493"/>
      <c r="D22" s="494"/>
    </row>
    <row r="23" spans="1:4">
      <c r="A23" s="63" t="s">
        <v>22732</v>
      </c>
      <c r="B23" s="63"/>
      <c r="C23" s="63"/>
      <c r="D23" s="63"/>
    </row>
    <row r="24" spans="1:4">
      <c r="A24" s="63" t="s">
        <v>22733</v>
      </c>
      <c r="B24" s="63"/>
      <c r="C24" s="63"/>
      <c r="D24" s="63"/>
    </row>
    <row r="25" spans="1:4">
      <c r="A25" s="63" t="s">
        <v>22734</v>
      </c>
      <c r="B25" s="63"/>
      <c r="C25" s="63"/>
      <c r="D25" s="63"/>
    </row>
    <row r="26" spans="1:4">
      <c r="A26" s="63" t="s">
        <v>22735</v>
      </c>
      <c r="B26" s="63"/>
      <c r="C26" s="63"/>
      <c r="D26" s="63"/>
    </row>
    <row r="27" spans="1:4">
      <c r="A27" s="63"/>
      <c r="B27" s="63"/>
      <c r="C27" s="63"/>
      <c r="D27" s="63"/>
    </row>
    <row r="28" spans="1:4">
      <c r="A28" s="492" t="s">
        <v>9095</v>
      </c>
      <c r="B28" s="493"/>
      <c r="C28" s="493"/>
      <c r="D28" s="494"/>
    </row>
    <row r="29" spans="1:4">
      <c r="A29" s="63" t="s">
        <v>25916</v>
      </c>
      <c r="B29" s="63"/>
      <c r="C29" s="63"/>
      <c r="D29" s="63"/>
    </row>
    <row r="30" spans="1:4">
      <c r="A30" s="63"/>
      <c r="B30" s="63"/>
      <c r="C30" s="63"/>
      <c r="D30" s="63"/>
    </row>
    <row r="31" spans="1:4">
      <c r="A31" s="492" t="s">
        <v>9130</v>
      </c>
      <c r="B31" s="493"/>
      <c r="C31" s="493"/>
      <c r="D31" s="494"/>
    </row>
    <row r="32" spans="1:4">
      <c r="A32" s="63" t="s">
        <v>9126</v>
      </c>
      <c r="B32" s="63"/>
      <c r="C32" s="63"/>
      <c r="D32" s="63"/>
    </row>
    <row r="33" spans="1:4">
      <c r="A33" s="63"/>
      <c r="B33" s="63"/>
      <c r="C33" s="63"/>
      <c r="D33" s="63"/>
    </row>
    <row r="34" spans="1:4">
      <c r="A34" s="492" t="s">
        <v>9131</v>
      </c>
      <c r="B34" s="493"/>
      <c r="C34" s="493"/>
      <c r="D34" s="494"/>
    </row>
    <row r="35" spans="1:4">
      <c r="A35" s="63" t="s">
        <v>9132</v>
      </c>
      <c r="B35" s="63"/>
      <c r="C35" s="63"/>
      <c r="D35" s="63"/>
    </row>
    <row r="36" spans="1:4">
      <c r="A36" s="63"/>
      <c r="B36" s="63"/>
      <c r="C36" s="63"/>
      <c r="D36" s="63"/>
    </row>
    <row r="37" spans="1:4">
      <c r="A37" s="63"/>
      <c r="B37" s="63"/>
      <c r="C37" s="63"/>
      <c r="D37" s="63"/>
    </row>
    <row r="38" spans="1:4">
      <c r="A38" s="63"/>
      <c r="B38" s="63"/>
      <c r="C38" s="63"/>
      <c r="D38" s="63"/>
    </row>
    <row r="39" spans="1:4">
      <c r="A39" s="63"/>
      <c r="B39" s="63"/>
      <c r="C39" s="63"/>
      <c r="D39" s="63"/>
    </row>
    <row r="41" spans="1:4">
      <c r="C41" s="21"/>
      <c r="D41" s="21"/>
    </row>
  </sheetData>
  <autoFilter ref="A1:D99"/>
  <mergeCells count="8">
    <mergeCell ref="A28:D28"/>
    <mergeCell ref="A31:D31"/>
    <mergeCell ref="A34:D34"/>
    <mergeCell ref="A2:D2"/>
    <mergeCell ref="A3:D3"/>
    <mergeCell ref="A9:D9"/>
    <mergeCell ref="A11:D11"/>
    <mergeCell ref="A22:D22"/>
  </mergeCells>
  <printOptions horizontalCentered="1"/>
  <pageMargins left="0.59055118110236227" right="0.31496062992125984" top="1.1811023622047245" bottom="0.98425196850393704" header="0.31496062992125984" footer="0.31496062992125984"/>
  <pageSetup paperSize="9" scale="75" fitToHeight="20" orientation="landscape" horizontalDpi="1200" verticalDpi="1200" r:id="rId1"/>
  <headerFooter>
    <oddFooter>&amp;L&amp;9AGÊNCIA DE ASSUNTOS METROPOLITANOS DO PARANÁ - AMEP
DIRETORIA DE OBRAS&amp;C&amp;9ENGª CIBELE CRISTINE MELLO FRANCZAK
DIRETORA DE OBRAS&amp;R&amp;9Página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tabColor theme="8" tint="0.59999389629810485"/>
    <pageSetUpPr fitToPage="1"/>
  </sheetPr>
  <dimension ref="A3:O1464"/>
  <sheetViews>
    <sheetView showGridLines="0" topLeftCell="A40" zoomScale="80" zoomScaleNormal="80" zoomScaleSheetLayoutView="10" workbookViewId="0">
      <selection activeCell="B30" sqref="B30"/>
    </sheetView>
  </sheetViews>
  <sheetFormatPr defaultColWidth="9.140625" defaultRowHeight="15.75"/>
  <cols>
    <col min="1" max="1" width="69.5703125" style="267" customWidth="1"/>
    <col min="2" max="2" width="12.28515625" style="367" customWidth="1"/>
    <col min="3" max="3" width="15.42578125" style="367" customWidth="1"/>
    <col min="4" max="4" width="13" style="367" customWidth="1"/>
    <col min="5" max="6" width="13" style="267" customWidth="1"/>
    <col min="7" max="7" width="10.28515625" style="267" bestFit="1" customWidth="1"/>
    <col min="8" max="8" width="13.85546875" style="267" bestFit="1" customWidth="1"/>
    <col min="9" max="9" width="12.85546875" style="267" bestFit="1" customWidth="1"/>
    <col min="10" max="10" width="14.5703125" style="267" bestFit="1" customWidth="1"/>
    <col min="11" max="11" width="16.42578125" style="267" bestFit="1" customWidth="1"/>
    <col min="12" max="14" width="9.140625" style="267"/>
    <col min="15" max="15" width="13.85546875" style="267" bestFit="1" customWidth="1"/>
    <col min="16" max="16384" width="9.140625" style="267"/>
  </cols>
  <sheetData>
    <row r="3" spans="1:11" s="45" customFormat="1">
      <c r="A3" s="495" t="s">
        <v>167</v>
      </c>
      <c r="B3" s="495"/>
      <c r="C3" s="495"/>
      <c r="D3" s="495"/>
      <c r="E3" s="495"/>
      <c r="F3" s="495"/>
      <c r="G3" s="495"/>
      <c r="H3" s="495"/>
      <c r="I3" s="495"/>
      <c r="J3" s="495"/>
      <c r="K3" s="495"/>
    </row>
    <row r="4" spans="1:11" s="45" customFormat="1">
      <c r="A4" s="541" t="s">
        <v>165</v>
      </c>
      <c r="B4" s="541"/>
      <c r="C4" s="541"/>
      <c r="D4" s="541"/>
      <c r="E4" s="541"/>
      <c r="F4" s="541"/>
      <c r="G4" s="541"/>
      <c r="H4" s="541"/>
      <c r="I4" s="541"/>
      <c r="J4" s="541"/>
      <c r="K4" s="541"/>
    </row>
    <row r="5" spans="1:11" s="45" customFormat="1">
      <c r="A5" s="541"/>
      <c r="B5" s="541"/>
      <c r="C5" s="541"/>
      <c r="D5" s="541"/>
      <c r="E5" s="541"/>
      <c r="F5" s="541"/>
      <c r="G5" s="541"/>
      <c r="H5" s="541"/>
      <c r="I5" s="541"/>
      <c r="J5" s="541"/>
      <c r="K5" s="541"/>
    </row>
    <row r="6" spans="1:11" s="45" customFormat="1">
      <c r="A6" s="541" t="s">
        <v>25931</v>
      </c>
      <c r="B6" s="541"/>
      <c r="C6" s="541"/>
      <c r="D6" s="541"/>
      <c r="E6" s="541"/>
      <c r="F6" s="541"/>
      <c r="G6" s="541"/>
      <c r="H6" s="541"/>
      <c r="I6" s="541"/>
      <c r="J6" s="541"/>
      <c r="K6" s="541"/>
    </row>
    <row r="7" spans="1:11" s="45" customFormat="1">
      <c r="A7" s="3"/>
      <c r="B7" s="3"/>
      <c r="C7" s="3"/>
      <c r="D7" s="3"/>
      <c r="E7" s="3"/>
      <c r="F7" s="4"/>
      <c r="G7" s="353"/>
      <c r="H7" s="353"/>
    </row>
    <row r="8" spans="1:11" s="45" customFormat="1">
      <c r="A8" s="3"/>
      <c r="B8" s="3"/>
      <c r="C8" s="3"/>
      <c r="D8" s="3"/>
      <c r="E8" s="3"/>
      <c r="F8" s="4"/>
      <c r="G8" s="353"/>
      <c r="H8" s="353"/>
    </row>
    <row r="9" spans="1:11">
      <c r="A9" s="504" t="s">
        <v>22723</v>
      </c>
      <c r="B9" s="504"/>
      <c r="C9" s="504"/>
      <c r="D9" s="504"/>
      <c r="E9" s="504"/>
      <c r="F9" s="504"/>
      <c r="G9" s="504"/>
      <c r="H9" s="504"/>
      <c r="I9" s="504"/>
      <c r="J9" s="504"/>
      <c r="K9" s="504"/>
    </row>
    <row r="10" spans="1:11">
      <c r="A10" s="337" t="s">
        <v>22636</v>
      </c>
      <c r="B10" s="337" t="s">
        <v>371</v>
      </c>
      <c r="C10" s="337" t="s">
        <v>326</v>
      </c>
      <c r="D10" s="563" t="s">
        <v>211</v>
      </c>
      <c r="E10" s="563"/>
      <c r="F10" s="563"/>
      <c r="G10" s="563"/>
      <c r="H10" s="563"/>
      <c r="I10" s="563"/>
      <c r="J10" s="253" t="s">
        <v>17667</v>
      </c>
      <c r="K10" s="41">
        <f>K27+K31+K35</f>
        <v>27.468131442300237</v>
      </c>
    </row>
    <row r="11" spans="1:11">
      <c r="A11" s="354" t="s">
        <v>27</v>
      </c>
      <c r="B11" s="355" t="s">
        <v>11308</v>
      </c>
      <c r="C11" s="355" t="s">
        <v>17663</v>
      </c>
      <c r="D11" s="355" t="s">
        <v>0</v>
      </c>
      <c r="E11" s="355" t="s">
        <v>1</v>
      </c>
      <c r="F11" s="355" t="s">
        <v>39</v>
      </c>
      <c r="G11" s="355" t="s">
        <v>40</v>
      </c>
      <c r="H11" s="355" t="s">
        <v>41</v>
      </c>
      <c r="I11" s="355" t="s">
        <v>42</v>
      </c>
      <c r="J11" s="355"/>
      <c r="K11" s="355" t="s">
        <v>43</v>
      </c>
    </row>
    <row r="12" spans="1:11">
      <c r="A12" s="222" t="str">
        <f>VLOOKUP(D12,'17. CUSTOS DER - EQUIPAMENTOS'!A:B,2,0)</f>
        <v>CAM. BASCUL. 1635/45 12M3 LEVE</v>
      </c>
      <c r="B12" s="225" t="s">
        <v>9013</v>
      </c>
      <c r="C12" s="225" t="s">
        <v>22635</v>
      </c>
      <c r="D12" s="225">
        <v>313180</v>
      </c>
      <c r="E12" s="241">
        <v>9</v>
      </c>
      <c r="F12" s="241">
        <v>0.95</v>
      </c>
      <c r="G12" s="356">
        <v>5.0000000000000044E-2</v>
      </c>
      <c r="H12" s="242">
        <f>VLOOKUP(D12,'17. CUSTOS DER - EQUIPAMENTOS'!A:O,15,0)</f>
        <v>336.86</v>
      </c>
      <c r="I12" s="242">
        <f>VLOOKUP(D12,'17. CUSTOS DER - EQUIPAMENTOS'!A:P,16,0)</f>
        <v>89.48</v>
      </c>
      <c r="J12" s="225"/>
      <c r="K12" s="357">
        <f>((F12*H12)+(G12*I12))*E12</f>
        <v>2920.4189999999999</v>
      </c>
    </row>
    <row r="13" spans="1:11">
      <c r="A13" s="222" t="str">
        <f>VLOOKUP(D13,'17. CUSTOS DER - EQUIPAMENTOS'!A:B,2,0)</f>
        <v>ESCAV. HIDRÁULICA 320D L LEVE</v>
      </c>
      <c r="B13" s="225" t="s">
        <v>9013</v>
      </c>
      <c r="C13" s="225" t="s">
        <v>22635</v>
      </c>
      <c r="D13" s="225">
        <v>313200</v>
      </c>
      <c r="E13" s="241">
        <v>1</v>
      </c>
      <c r="F13" s="241">
        <v>1</v>
      </c>
      <c r="G13" s="356">
        <v>0</v>
      </c>
      <c r="H13" s="242">
        <f>VLOOKUP(D13,'17. CUSTOS DER - EQUIPAMENTOS'!A:O,15,0)</f>
        <v>297.01</v>
      </c>
      <c r="I13" s="242">
        <f>VLOOKUP(D13,'17. CUSTOS DER - EQUIPAMENTOS'!A:P,16,0)</f>
        <v>119.19</v>
      </c>
      <c r="J13" s="225"/>
      <c r="K13" s="357">
        <f>((F13*H13)+(G13*I13))*E13</f>
        <v>297.01</v>
      </c>
    </row>
    <row r="14" spans="1:11">
      <c r="A14" s="222" t="str">
        <f>VLOOKUP(D14,'17. CUSTOS DER - EQUIPAMENTOS'!A:B,2,0)</f>
        <v>MOTONIVELADORA 120-K LEVE</v>
      </c>
      <c r="B14" s="225" t="s">
        <v>9013</v>
      </c>
      <c r="C14" s="225" t="s">
        <v>22635</v>
      </c>
      <c r="D14" s="225">
        <v>311200</v>
      </c>
      <c r="E14" s="241">
        <v>1</v>
      </c>
      <c r="F14" s="241">
        <v>0.14000000000000001</v>
      </c>
      <c r="G14" s="356">
        <v>0.86</v>
      </c>
      <c r="H14" s="242">
        <f>VLOOKUP(D14,'17. CUSTOS DER - EQUIPAMENTOS'!A:O,15,0)</f>
        <v>323.98</v>
      </c>
      <c r="I14" s="242">
        <f>VLOOKUP(D14,'17. CUSTOS DER - EQUIPAMENTOS'!A:P,16,0)</f>
        <v>116.88</v>
      </c>
      <c r="J14" s="225"/>
      <c r="K14" s="357">
        <f>((F14*H14)+(G14*I14))*E14</f>
        <v>145.874</v>
      </c>
    </row>
    <row r="15" spans="1:11">
      <c r="A15" s="358"/>
      <c r="B15" s="359"/>
      <c r="C15" s="359"/>
      <c r="D15" s="359"/>
      <c r="E15" s="359"/>
      <c r="F15" s="359"/>
      <c r="G15" s="359"/>
      <c r="H15" s="359"/>
      <c r="I15" s="359"/>
      <c r="J15" s="360" t="s">
        <v>44</v>
      </c>
      <c r="K15" s="361">
        <f>SUM(K12:K14)</f>
        <v>3363.3029999999999</v>
      </c>
    </row>
    <row r="16" spans="1:11">
      <c r="A16" s="354" t="s">
        <v>45</v>
      </c>
      <c r="B16" s="355" t="s">
        <v>11308</v>
      </c>
      <c r="C16" s="355" t="s">
        <v>17663</v>
      </c>
      <c r="D16" s="355" t="s">
        <v>0</v>
      </c>
      <c r="E16" s="355" t="s">
        <v>36</v>
      </c>
      <c r="F16" s="355" t="s">
        <v>46</v>
      </c>
      <c r="G16" s="355" t="s">
        <v>47</v>
      </c>
      <c r="H16" s="355" t="s">
        <v>25</v>
      </c>
      <c r="I16" s="355"/>
      <c r="J16" s="355"/>
      <c r="K16" s="355" t="s">
        <v>43</v>
      </c>
    </row>
    <row r="17" spans="1:15">
      <c r="A17" s="222" t="str">
        <f>VLOOKUP(D17,'15. CUSTOS DER - MÃO DE OBRA'!A:B,2,0)</f>
        <v>APONTADOR</v>
      </c>
      <c r="B17" s="225" t="s">
        <v>9013</v>
      </c>
      <c r="C17" s="225" t="s">
        <v>17664</v>
      </c>
      <c r="D17" s="225">
        <v>200020</v>
      </c>
      <c r="E17" s="242">
        <f>VLOOKUP(D17,'15. CUSTOS DER - MÃO DE OBRA'!A:C,3,0)</f>
        <v>2.25</v>
      </c>
      <c r="F17" s="225"/>
      <c r="G17" s="225">
        <f>VLOOKUP(D17,'15. CUSTOS DER - MÃO DE OBRA'!A:D,4,0)</f>
        <v>32.18</v>
      </c>
      <c r="H17" s="241">
        <v>1</v>
      </c>
      <c r="I17" s="225"/>
      <c r="J17" s="225"/>
      <c r="K17" s="357">
        <f>G17*H17</f>
        <v>32.18</v>
      </c>
    </row>
    <row r="18" spans="1:15">
      <c r="A18" s="222" t="str">
        <f>VLOOKUP(D18,'15. CUSTOS DER - MÃO DE OBRA'!A:B,2,0)</f>
        <v>ENCARREGADO DE SERVIÇO</v>
      </c>
      <c r="B18" s="225" t="s">
        <v>9013</v>
      </c>
      <c r="C18" s="225" t="s">
        <v>17664</v>
      </c>
      <c r="D18" s="225">
        <v>210060</v>
      </c>
      <c r="E18" s="242">
        <f>VLOOKUP(D18,'15. CUSTOS DER - MÃO DE OBRA'!A:C,3,0)</f>
        <v>6</v>
      </c>
      <c r="F18" s="225"/>
      <c r="G18" s="225">
        <f>VLOOKUP(D18,'15. CUSTOS DER - MÃO DE OBRA'!A:D,4,0)</f>
        <v>85.81</v>
      </c>
      <c r="H18" s="241">
        <v>1</v>
      </c>
      <c r="I18" s="225"/>
      <c r="J18" s="225"/>
      <c r="K18" s="357">
        <f>G18*H18</f>
        <v>85.81</v>
      </c>
    </row>
    <row r="19" spans="1:15">
      <c r="A19" s="222" t="str">
        <f>VLOOKUP(D19,'15. CUSTOS DER - MÃO DE OBRA'!A:B,2,0)</f>
        <v>SERVENTE</v>
      </c>
      <c r="B19" s="225" t="s">
        <v>9013</v>
      </c>
      <c r="C19" s="225" t="s">
        <v>17664</v>
      </c>
      <c r="D19" s="225">
        <v>200130</v>
      </c>
      <c r="E19" s="242">
        <f>VLOOKUP(D19,'15. CUSTOS DER - MÃO DE OBRA'!A:C,3,0)</f>
        <v>2.2000000000000002</v>
      </c>
      <c r="F19" s="225"/>
      <c r="G19" s="225">
        <f>VLOOKUP(D19,'15. CUSTOS DER - MÃO DE OBRA'!A:D,4,0)</f>
        <v>31.46</v>
      </c>
      <c r="H19" s="241">
        <v>2</v>
      </c>
      <c r="I19" s="225"/>
      <c r="J19" s="225"/>
      <c r="K19" s="357">
        <f>G19*H19</f>
        <v>62.92</v>
      </c>
    </row>
    <row r="20" spans="1:15">
      <c r="A20" s="358"/>
      <c r="B20" s="359"/>
      <c r="C20" s="359"/>
      <c r="D20" s="359"/>
      <c r="E20" s="359"/>
      <c r="F20" s="359"/>
      <c r="G20" s="359"/>
      <c r="H20" s="359"/>
      <c r="I20" s="359"/>
      <c r="J20" s="360" t="s">
        <v>48</v>
      </c>
      <c r="K20" s="361">
        <f>SUM(K17:K19)</f>
        <v>180.91000000000003</v>
      </c>
    </row>
    <row r="21" spans="1:15">
      <c r="A21" s="354" t="s">
        <v>49</v>
      </c>
      <c r="B21" s="355" t="s">
        <v>11308</v>
      </c>
      <c r="C21" s="355" t="s">
        <v>17663</v>
      </c>
      <c r="D21" s="355" t="s">
        <v>0</v>
      </c>
      <c r="E21" s="355" t="s">
        <v>14</v>
      </c>
      <c r="F21" s="355" t="s">
        <v>50</v>
      </c>
      <c r="G21" s="355" t="s">
        <v>29</v>
      </c>
      <c r="H21" s="355" t="s">
        <v>30</v>
      </c>
      <c r="I21" s="355"/>
      <c r="J21" s="355"/>
      <c r="K21" s="355" t="s">
        <v>33</v>
      </c>
    </row>
    <row r="22" spans="1:15">
      <c r="A22" s="222"/>
      <c r="B22" s="225"/>
      <c r="C22" s="225"/>
      <c r="D22" s="225"/>
      <c r="E22" s="225"/>
      <c r="F22" s="225"/>
      <c r="G22" s="225"/>
      <c r="H22" s="225"/>
      <c r="I22" s="225"/>
      <c r="J22" s="225"/>
      <c r="K22" s="357"/>
    </row>
    <row r="23" spans="1:15">
      <c r="A23" s="222"/>
      <c r="B23" s="225"/>
      <c r="C23" s="225"/>
      <c r="D23" s="225"/>
      <c r="E23" s="225"/>
      <c r="F23" s="225"/>
      <c r="G23" s="225"/>
      <c r="H23" s="225"/>
      <c r="I23" s="225"/>
      <c r="J23" s="225"/>
      <c r="K23" s="357"/>
    </row>
    <row r="24" spans="1:15">
      <c r="A24" s="358"/>
      <c r="B24" s="359"/>
      <c r="C24" s="359"/>
      <c r="D24" s="359"/>
      <c r="E24" s="359"/>
      <c r="F24" s="359"/>
      <c r="G24" s="359"/>
      <c r="H24" s="359"/>
      <c r="I24" s="359"/>
      <c r="J24" s="360" t="s">
        <v>51</v>
      </c>
      <c r="K24" s="361">
        <f>SUM(K22:K23)</f>
        <v>0</v>
      </c>
    </row>
    <row r="25" spans="1:15">
      <c r="A25" s="568" t="s">
        <v>52</v>
      </c>
      <c r="B25" s="568"/>
      <c r="C25" s="568"/>
      <c r="D25" s="568"/>
      <c r="E25" s="568"/>
      <c r="F25" s="568"/>
      <c r="G25" s="568"/>
      <c r="H25" s="568"/>
      <c r="I25" s="568"/>
      <c r="J25" s="568"/>
      <c r="K25" s="361">
        <f>K15+K20+K24</f>
        <v>3544.2129999999997</v>
      </c>
    </row>
    <row r="26" spans="1:15">
      <c r="A26" s="568" t="s">
        <v>53</v>
      </c>
      <c r="B26" s="568"/>
      <c r="C26" s="568"/>
      <c r="D26" s="568"/>
      <c r="E26" s="568"/>
      <c r="F26" s="568"/>
      <c r="G26" s="568"/>
      <c r="H26" s="568"/>
      <c r="I26" s="568"/>
      <c r="J26" s="568"/>
      <c r="K26" s="361">
        <v>129.03</v>
      </c>
    </row>
    <row r="27" spans="1:15">
      <c r="A27" s="566" t="s">
        <v>54</v>
      </c>
      <c r="B27" s="566"/>
      <c r="C27" s="566"/>
      <c r="D27" s="566"/>
      <c r="E27" s="566"/>
      <c r="F27" s="566"/>
      <c r="G27" s="566"/>
      <c r="H27" s="566"/>
      <c r="I27" s="566"/>
      <c r="J27" s="566"/>
      <c r="K27" s="362">
        <f>IF(K25=0,0,K25/K26)</f>
        <v>27.468131442300237</v>
      </c>
    </row>
    <row r="28" spans="1:15">
      <c r="A28" s="354" t="s">
        <v>55</v>
      </c>
      <c r="B28" s="355" t="s">
        <v>11308</v>
      </c>
      <c r="C28" s="355" t="s">
        <v>17663</v>
      </c>
      <c r="D28" s="355" t="s">
        <v>0</v>
      </c>
      <c r="E28" s="355" t="s">
        <v>2</v>
      </c>
      <c r="F28" s="567" t="s">
        <v>9</v>
      </c>
      <c r="G28" s="567"/>
      <c r="H28" s="567" t="s">
        <v>25</v>
      </c>
      <c r="I28" s="567"/>
      <c r="J28" s="355"/>
      <c r="K28" s="355" t="s">
        <v>56</v>
      </c>
    </row>
    <row r="29" spans="1:15">
      <c r="A29" s="222"/>
      <c r="B29" s="225"/>
      <c r="C29" s="225"/>
      <c r="D29" s="225"/>
      <c r="E29" s="225"/>
      <c r="F29" s="225"/>
      <c r="G29" s="225"/>
      <c r="H29" s="225"/>
      <c r="I29" s="225"/>
      <c r="J29" s="225"/>
      <c r="K29" s="357"/>
    </row>
    <row r="30" spans="1:15">
      <c r="A30" s="222"/>
      <c r="B30" s="225"/>
      <c r="C30" s="225"/>
      <c r="D30" s="225"/>
      <c r="E30" s="225"/>
      <c r="F30" s="225"/>
      <c r="G30" s="225"/>
      <c r="H30" s="225"/>
      <c r="I30" s="225"/>
      <c r="J30" s="225"/>
      <c r="K30" s="357"/>
      <c r="O30" s="363"/>
    </row>
    <row r="31" spans="1:15">
      <c r="A31" s="364"/>
      <c r="B31" s="365"/>
      <c r="C31" s="365"/>
      <c r="D31" s="365"/>
      <c r="E31" s="365"/>
      <c r="F31" s="365"/>
      <c r="G31" s="365"/>
      <c r="H31" s="365"/>
      <c r="I31" s="365"/>
      <c r="J31" s="366" t="s">
        <v>57</v>
      </c>
      <c r="K31" s="362">
        <f>SUM(K29:K30)</f>
        <v>0</v>
      </c>
    </row>
    <row r="32" spans="1:15">
      <c r="A32" s="354" t="s">
        <v>58</v>
      </c>
      <c r="B32" s="355" t="s">
        <v>11308</v>
      </c>
      <c r="C32" s="355" t="s">
        <v>17663</v>
      </c>
      <c r="D32" s="355" t="s">
        <v>0</v>
      </c>
      <c r="E32" s="355" t="s">
        <v>2</v>
      </c>
      <c r="F32" s="567" t="s">
        <v>9</v>
      </c>
      <c r="G32" s="567"/>
      <c r="H32" s="567" t="s">
        <v>25</v>
      </c>
      <c r="I32" s="567"/>
      <c r="J32" s="355"/>
      <c r="K32" s="355" t="s">
        <v>56</v>
      </c>
    </row>
    <row r="33" spans="1:11">
      <c r="A33" s="222"/>
      <c r="B33" s="225"/>
      <c r="C33" s="225"/>
      <c r="D33" s="225"/>
      <c r="E33" s="225"/>
      <c r="F33" s="225"/>
      <c r="G33" s="225"/>
      <c r="H33" s="225"/>
      <c r="I33" s="225"/>
      <c r="J33" s="225"/>
      <c r="K33" s="357"/>
    </row>
    <row r="34" spans="1:11">
      <c r="A34" s="222"/>
      <c r="B34" s="225"/>
      <c r="C34" s="225"/>
      <c r="D34" s="225"/>
      <c r="E34" s="225"/>
      <c r="F34" s="225"/>
      <c r="G34" s="225"/>
      <c r="H34" s="225"/>
      <c r="I34" s="225"/>
      <c r="J34" s="225"/>
      <c r="K34" s="357"/>
    </row>
    <row r="35" spans="1:11">
      <c r="A35" s="364"/>
      <c r="B35" s="365"/>
      <c r="C35" s="365"/>
      <c r="D35" s="365"/>
      <c r="E35" s="365"/>
      <c r="F35" s="365"/>
      <c r="G35" s="365"/>
      <c r="H35" s="365"/>
      <c r="I35" s="365"/>
      <c r="J35" s="366" t="s">
        <v>59</v>
      </c>
      <c r="K35" s="362">
        <f>SUM(K33:K34)</f>
        <v>0</v>
      </c>
    </row>
    <row r="36" spans="1:11">
      <c r="E36" s="367"/>
      <c r="F36" s="367"/>
      <c r="G36" s="367"/>
      <c r="H36" s="367"/>
      <c r="I36" s="367"/>
      <c r="J36" s="368"/>
      <c r="K36" s="369"/>
    </row>
    <row r="37" spans="1:11">
      <c r="E37" s="367"/>
      <c r="F37" s="367"/>
      <c r="G37" s="367"/>
      <c r="H37" s="367"/>
      <c r="I37" s="367"/>
      <c r="J37" s="368"/>
      <c r="K37" s="369"/>
    </row>
    <row r="38" spans="1:11">
      <c r="A38" s="370" t="s">
        <v>22637</v>
      </c>
      <c r="B38" s="370" t="s">
        <v>371</v>
      </c>
      <c r="C38" s="370" t="s">
        <v>326</v>
      </c>
      <c r="D38" s="569" t="s">
        <v>212</v>
      </c>
      <c r="E38" s="569"/>
      <c r="F38" s="569"/>
      <c r="G38" s="569"/>
      <c r="H38" s="569"/>
      <c r="I38" s="569"/>
      <c r="J38" s="259" t="s">
        <v>17667</v>
      </c>
      <c r="K38" s="371">
        <f>K55+K59+K63</f>
        <v>27.468131442300237</v>
      </c>
    </row>
    <row r="39" spans="1:11">
      <c r="A39" s="354" t="s">
        <v>27</v>
      </c>
      <c r="B39" s="355" t="s">
        <v>11308</v>
      </c>
      <c r="C39" s="355" t="s">
        <v>17663</v>
      </c>
      <c r="D39" s="355" t="s">
        <v>0</v>
      </c>
      <c r="E39" s="355" t="s">
        <v>1</v>
      </c>
      <c r="F39" s="355" t="s">
        <v>39</v>
      </c>
      <c r="G39" s="355" t="s">
        <v>40</v>
      </c>
      <c r="H39" s="355" t="s">
        <v>41</v>
      </c>
      <c r="I39" s="355" t="s">
        <v>42</v>
      </c>
      <c r="J39" s="355"/>
      <c r="K39" s="355" t="s">
        <v>43</v>
      </c>
    </row>
    <row r="40" spans="1:11">
      <c r="A40" s="222" t="str">
        <f>VLOOKUP(D40,'17. CUSTOS DER - EQUIPAMENTOS'!A:B,2,0)</f>
        <v>CAM. BASCUL. 1635/45 12M3 LEVE</v>
      </c>
      <c r="B40" s="225" t="s">
        <v>9013</v>
      </c>
      <c r="C40" s="225" t="s">
        <v>22635</v>
      </c>
      <c r="D40" s="225">
        <v>313180</v>
      </c>
      <c r="E40" s="241">
        <v>9</v>
      </c>
      <c r="F40" s="241">
        <v>0.95</v>
      </c>
      <c r="G40" s="356">
        <v>5.0000000000000044E-2</v>
      </c>
      <c r="H40" s="242">
        <f>VLOOKUP(D40,'17. CUSTOS DER - EQUIPAMENTOS'!A:O,15,0)</f>
        <v>336.86</v>
      </c>
      <c r="I40" s="242">
        <f>VLOOKUP(D40,'17. CUSTOS DER - EQUIPAMENTOS'!A:P,16,0)</f>
        <v>89.48</v>
      </c>
      <c r="J40" s="225"/>
      <c r="K40" s="242">
        <f>((F40*H40)+(G40*I40))*E40</f>
        <v>2920.4189999999999</v>
      </c>
    </row>
    <row r="41" spans="1:11">
      <c r="A41" s="222" t="str">
        <f>VLOOKUP(D41,'17. CUSTOS DER - EQUIPAMENTOS'!A:B,2,0)</f>
        <v>ESCAV. HIDRÁULICA 320D L LEVE</v>
      </c>
      <c r="B41" s="225" t="s">
        <v>9013</v>
      </c>
      <c r="C41" s="225" t="s">
        <v>22635</v>
      </c>
      <c r="D41" s="225">
        <v>313200</v>
      </c>
      <c r="E41" s="241">
        <v>1</v>
      </c>
      <c r="F41" s="241">
        <v>1</v>
      </c>
      <c r="G41" s="356">
        <v>0</v>
      </c>
      <c r="H41" s="242">
        <f>VLOOKUP(D41,'17. CUSTOS DER - EQUIPAMENTOS'!A:O,15,0)</f>
        <v>297.01</v>
      </c>
      <c r="I41" s="242">
        <f>VLOOKUP(D41,'17. CUSTOS DER - EQUIPAMENTOS'!A:P,16,0)</f>
        <v>119.19</v>
      </c>
      <c r="J41" s="225"/>
      <c r="K41" s="242">
        <f>((F41*H41)+(G41*I41))*E41</f>
        <v>297.01</v>
      </c>
    </row>
    <row r="42" spans="1:11">
      <c r="A42" s="222" t="str">
        <f>VLOOKUP(D42,'17. CUSTOS DER - EQUIPAMENTOS'!A:B,2,0)</f>
        <v>MOTONIVELADORA 120-K LEVE</v>
      </c>
      <c r="B42" s="225" t="s">
        <v>9013</v>
      </c>
      <c r="C42" s="225" t="s">
        <v>22635</v>
      </c>
      <c r="D42" s="225">
        <v>311200</v>
      </c>
      <c r="E42" s="241">
        <v>1</v>
      </c>
      <c r="F42" s="241">
        <v>0.14000000000000001</v>
      </c>
      <c r="G42" s="356">
        <v>0.86</v>
      </c>
      <c r="H42" s="242">
        <f>VLOOKUP(D42,'17. CUSTOS DER - EQUIPAMENTOS'!A:O,15,0)</f>
        <v>323.98</v>
      </c>
      <c r="I42" s="242">
        <f>VLOOKUP(D42,'17. CUSTOS DER - EQUIPAMENTOS'!A:P,16,0)</f>
        <v>116.88</v>
      </c>
      <c r="J42" s="225"/>
      <c r="K42" s="242">
        <f>((F42*H42)+(G42*I42))*E42</f>
        <v>145.874</v>
      </c>
    </row>
    <row r="43" spans="1:11">
      <c r="A43" s="358"/>
      <c r="B43" s="359"/>
      <c r="C43" s="359"/>
      <c r="D43" s="359"/>
      <c r="E43" s="359"/>
      <c r="F43" s="359"/>
      <c r="G43" s="359"/>
      <c r="H43" s="359"/>
      <c r="I43" s="359"/>
      <c r="J43" s="360" t="s">
        <v>44</v>
      </c>
      <c r="K43" s="361">
        <f>SUM(K40:K42)</f>
        <v>3363.3029999999999</v>
      </c>
    </row>
    <row r="44" spans="1:11">
      <c r="A44" s="354" t="s">
        <v>45</v>
      </c>
      <c r="B44" s="355" t="s">
        <v>11308</v>
      </c>
      <c r="C44" s="355" t="s">
        <v>17663</v>
      </c>
      <c r="D44" s="355" t="s">
        <v>0</v>
      </c>
      <c r="E44" s="355" t="s">
        <v>36</v>
      </c>
      <c r="F44" s="355" t="s">
        <v>46</v>
      </c>
      <c r="G44" s="355" t="s">
        <v>47</v>
      </c>
      <c r="H44" s="355" t="s">
        <v>25</v>
      </c>
      <c r="I44" s="355"/>
      <c r="J44" s="355"/>
      <c r="K44" s="355" t="s">
        <v>43</v>
      </c>
    </row>
    <row r="45" spans="1:11">
      <c r="A45" s="222" t="str">
        <f>VLOOKUP(D45,'15. CUSTOS DER - MÃO DE OBRA'!A:B,2,0)</f>
        <v>APONTADOR</v>
      </c>
      <c r="B45" s="225" t="s">
        <v>9013</v>
      </c>
      <c r="C45" s="225" t="s">
        <v>17664</v>
      </c>
      <c r="D45" s="225">
        <v>200020</v>
      </c>
      <c r="E45" s="242">
        <f>VLOOKUP(D45,'15. CUSTOS DER - MÃO DE OBRA'!A:C,3,0)</f>
        <v>2.25</v>
      </c>
      <c r="F45" s="225"/>
      <c r="G45" s="225">
        <f>VLOOKUP(D45,'15. CUSTOS DER - MÃO DE OBRA'!A:D,4,0)</f>
        <v>32.18</v>
      </c>
      <c r="H45" s="241">
        <v>1</v>
      </c>
      <c r="I45" s="225"/>
      <c r="J45" s="225"/>
      <c r="K45" s="242">
        <f>G45*H45</f>
        <v>32.18</v>
      </c>
    </row>
    <row r="46" spans="1:11">
      <c r="A46" s="222" t="str">
        <f>VLOOKUP(D46,'15. CUSTOS DER - MÃO DE OBRA'!A:B,2,0)</f>
        <v>ENCARREGADO DE SERVIÇO</v>
      </c>
      <c r="B46" s="225" t="s">
        <v>9013</v>
      </c>
      <c r="C46" s="225" t="s">
        <v>17664</v>
      </c>
      <c r="D46" s="225">
        <v>210060</v>
      </c>
      <c r="E46" s="242">
        <f>VLOOKUP(D46,'15. CUSTOS DER - MÃO DE OBRA'!A:C,3,0)</f>
        <v>6</v>
      </c>
      <c r="F46" s="225"/>
      <c r="G46" s="225">
        <f>VLOOKUP(D46,'15. CUSTOS DER - MÃO DE OBRA'!A:D,4,0)</f>
        <v>85.81</v>
      </c>
      <c r="H46" s="241">
        <v>1</v>
      </c>
      <c r="I46" s="225"/>
      <c r="J46" s="225"/>
      <c r="K46" s="242">
        <f>G46*H46</f>
        <v>85.81</v>
      </c>
    </row>
    <row r="47" spans="1:11">
      <c r="A47" s="222" t="str">
        <f>VLOOKUP(D47,'15. CUSTOS DER - MÃO DE OBRA'!A:B,2,0)</f>
        <v>SERVENTE</v>
      </c>
      <c r="B47" s="225" t="s">
        <v>9013</v>
      </c>
      <c r="C47" s="225" t="s">
        <v>17664</v>
      </c>
      <c r="D47" s="225">
        <v>200130</v>
      </c>
      <c r="E47" s="242">
        <f>VLOOKUP(D47,'15. CUSTOS DER - MÃO DE OBRA'!A:C,3,0)</f>
        <v>2.2000000000000002</v>
      </c>
      <c r="F47" s="225"/>
      <c r="G47" s="225">
        <f>VLOOKUP(D47,'15. CUSTOS DER - MÃO DE OBRA'!A:D,4,0)</f>
        <v>31.46</v>
      </c>
      <c r="H47" s="241">
        <v>2</v>
      </c>
      <c r="I47" s="225"/>
      <c r="J47" s="225"/>
      <c r="K47" s="242">
        <f>G47*H47</f>
        <v>62.92</v>
      </c>
    </row>
    <row r="48" spans="1:11">
      <c r="A48" s="358"/>
      <c r="B48" s="359"/>
      <c r="C48" s="359"/>
      <c r="D48" s="359"/>
      <c r="E48" s="359"/>
      <c r="F48" s="359"/>
      <c r="G48" s="359"/>
      <c r="H48" s="359"/>
      <c r="I48" s="359"/>
      <c r="J48" s="360" t="s">
        <v>48</v>
      </c>
      <c r="K48" s="361">
        <f>SUM(K45:K47)</f>
        <v>180.91000000000003</v>
      </c>
    </row>
    <row r="49" spans="1:11">
      <c r="A49" s="354" t="s">
        <v>49</v>
      </c>
      <c r="B49" s="355" t="s">
        <v>11308</v>
      </c>
      <c r="C49" s="355" t="s">
        <v>17663</v>
      </c>
      <c r="D49" s="355" t="s">
        <v>0</v>
      </c>
      <c r="E49" s="355" t="s">
        <v>14</v>
      </c>
      <c r="F49" s="355" t="s">
        <v>50</v>
      </c>
      <c r="G49" s="355" t="s">
        <v>29</v>
      </c>
      <c r="H49" s="355" t="s">
        <v>30</v>
      </c>
      <c r="I49" s="355"/>
      <c r="J49" s="355"/>
      <c r="K49" s="355" t="s">
        <v>33</v>
      </c>
    </row>
    <row r="50" spans="1:11">
      <c r="A50" s="222"/>
      <c r="B50" s="225"/>
      <c r="C50" s="225"/>
      <c r="D50" s="225"/>
      <c r="E50" s="225"/>
      <c r="F50" s="225"/>
      <c r="G50" s="225"/>
      <c r="H50" s="225"/>
      <c r="I50" s="225"/>
      <c r="J50" s="225"/>
      <c r="K50" s="242"/>
    </row>
    <row r="51" spans="1:11">
      <c r="A51" s="222"/>
      <c r="B51" s="225"/>
      <c r="C51" s="225"/>
      <c r="D51" s="225"/>
      <c r="E51" s="225"/>
      <c r="F51" s="225"/>
      <c r="G51" s="225"/>
      <c r="H51" s="225"/>
      <c r="I51" s="225"/>
      <c r="J51" s="225"/>
      <c r="K51" s="242"/>
    </row>
    <row r="52" spans="1:11">
      <c r="A52" s="358"/>
      <c r="B52" s="359"/>
      <c r="C52" s="359"/>
      <c r="D52" s="359"/>
      <c r="E52" s="359"/>
      <c r="F52" s="359"/>
      <c r="G52" s="359"/>
      <c r="H52" s="359"/>
      <c r="I52" s="359"/>
      <c r="J52" s="360" t="s">
        <v>51</v>
      </c>
      <c r="K52" s="361">
        <f>SUM(K50:K51)</f>
        <v>0</v>
      </c>
    </row>
    <row r="53" spans="1:11">
      <c r="A53" s="568" t="s">
        <v>52</v>
      </c>
      <c r="B53" s="568"/>
      <c r="C53" s="568"/>
      <c r="D53" s="568"/>
      <c r="E53" s="568"/>
      <c r="F53" s="568"/>
      <c r="G53" s="568"/>
      <c r="H53" s="568"/>
      <c r="I53" s="568"/>
      <c r="J53" s="568"/>
      <c r="K53" s="361">
        <f>K43+K48+K52</f>
        <v>3544.2129999999997</v>
      </c>
    </row>
    <row r="54" spans="1:11">
      <c r="A54" s="568" t="s">
        <v>53</v>
      </c>
      <c r="B54" s="568"/>
      <c r="C54" s="568"/>
      <c r="D54" s="568"/>
      <c r="E54" s="568"/>
      <c r="F54" s="568"/>
      <c r="G54" s="568"/>
      <c r="H54" s="568"/>
      <c r="I54" s="568"/>
      <c r="J54" s="568"/>
      <c r="K54" s="361">
        <v>129.03</v>
      </c>
    </row>
    <row r="55" spans="1:11">
      <c r="A55" s="566" t="s">
        <v>54</v>
      </c>
      <c r="B55" s="566"/>
      <c r="C55" s="566"/>
      <c r="D55" s="566"/>
      <c r="E55" s="566"/>
      <c r="F55" s="566"/>
      <c r="G55" s="566"/>
      <c r="H55" s="566"/>
      <c r="I55" s="566"/>
      <c r="J55" s="566"/>
      <c r="K55" s="362">
        <f>IF(K53=0,0,K53/K54)</f>
        <v>27.468131442300237</v>
      </c>
    </row>
    <row r="56" spans="1:11">
      <c r="A56" s="354" t="s">
        <v>55</v>
      </c>
      <c r="B56" s="355" t="s">
        <v>11308</v>
      </c>
      <c r="C56" s="355" t="s">
        <v>17663</v>
      </c>
      <c r="D56" s="355" t="s">
        <v>0</v>
      </c>
      <c r="E56" s="355" t="s">
        <v>2</v>
      </c>
      <c r="F56" s="567" t="s">
        <v>9</v>
      </c>
      <c r="G56" s="567"/>
      <c r="H56" s="567" t="s">
        <v>25</v>
      </c>
      <c r="I56" s="567"/>
      <c r="J56" s="355"/>
      <c r="K56" s="355" t="s">
        <v>56</v>
      </c>
    </row>
    <row r="57" spans="1:11">
      <c r="A57" s="244"/>
      <c r="B57" s="247"/>
      <c r="C57" s="247"/>
      <c r="D57" s="225"/>
      <c r="E57" s="372"/>
      <c r="F57" s="225"/>
      <c r="G57" s="224"/>
      <c r="H57" s="241"/>
      <c r="I57" s="241"/>
      <c r="J57" s="225"/>
      <c r="K57" s="242"/>
    </row>
    <row r="58" spans="1:11">
      <c r="A58" s="244"/>
      <c r="B58" s="247"/>
      <c r="C58" s="247"/>
      <c r="D58" s="225"/>
      <c r="E58" s="372"/>
      <c r="F58" s="225"/>
      <c r="G58" s="224"/>
      <c r="H58" s="241"/>
      <c r="I58" s="241"/>
      <c r="J58" s="225"/>
      <c r="K58" s="242"/>
    </row>
    <row r="59" spans="1:11">
      <c r="A59" s="364"/>
      <c r="B59" s="365"/>
      <c r="C59" s="365"/>
      <c r="D59" s="365"/>
      <c r="E59" s="365"/>
      <c r="F59" s="365"/>
      <c r="G59" s="365"/>
      <c r="H59" s="365"/>
      <c r="I59" s="365"/>
      <c r="J59" s="366" t="s">
        <v>57</v>
      </c>
      <c r="K59" s="362"/>
    </row>
    <row r="60" spans="1:11">
      <c r="A60" s="354" t="s">
        <v>58</v>
      </c>
      <c r="B60" s="355" t="s">
        <v>11308</v>
      </c>
      <c r="C60" s="355" t="s">
        <v>17663</v>
      </c>
      <c r="D60" s="355" t="s">
        <v>0</v>
      </c>
      <c r="E60" s="355" t="s">
        <v>2</v>
      </c>
      <c r="F60" s="567" t="s">
        <v>9</v>
      </c>
      <c r="G60" s="567"/>
      <c r="H60" s="567" t="s">
        <v>25</v>
      </c>
      <c r="I60" s="567"/>
      <c r="J60" s="355"/>
      <c r="K60" s="355" t="s">
        <v>56</v>
      </c>
    </row>
    <row r="61" spans="1:11">
      <c r="A61" s="222"/>
      <c r="B61" s="225"/>
      <c r="C61" s="225"/>
      <c r="D61" s="225"/>
      <c r="E61" s="225"/>
      <c r="F61" s="225"/>
      <c r="G61" s="225"/>
      <c r="H61" s="241"/>
      <c r="I61" s="243"/>
      <c r="J61" s="241"/>
      <c r="K61" s="242"/>
    </row>
    <row r="62" spans="1:11">
      <c r="A62" s="222"/>
      <c r="B62" s="225"/>
      <c r="C62" s="225"/>
      <c r="D62" s="225"/>
      <c r="E62" s="225"/>
      <c r="F62" s="225"/>
      <c r="G62" s="224"/>
      <c r="H62" s="241"/>
      <c r="I62" s="241"/>
      <c r="J62" s="225"/>
      <c r="K62" s="242"/>
    </row>
    <row r="63" spans="1:11">
      <c r="A63" s="364"/>
      <c r="B63" s="365"/>
      <c r="C63" s="365"/>
      <c r="D63" s="365"/>
      <c r="E63" s="365"/>
      <c r="F63" s="365"/>
      <c r="G63" s="365"/>
      <c r="H63" s="365"/>
      <c r="I63" s="365"/>
      <c r="J63" s="366" t="s">
        <v>59</v>
      </c>
      <c r="K63" s="362">
        <f>SUM(K61:K62)</f>
        <v>0</v>
      </c>
    </row>
    <row r="64" spans="1:11">
      <c r="E64" s="367"/>
      <c r="F64" s="367"/>
      <c r="G64" s="367"/>
      <c r="H64" s="367"/>
      <c r="I64" s="367"/>
      <c r="J64" s="368"/>
      <c r="K64" s="369"/>
    </row>
    <row r="65" spans="1:11">
      <c r="E65" s="367"/>
      <c r="F65" s="367"/>
      <c r="G65" s="367"/>
      <c r="H65" s="367"/>
      <c r="I65" s="367"/>
      <c r="J65" s="368"/>
      <c r="K65" s="369"/>
    </row>
    <row r="66" spans="1:11">
      <c r="A66" s="337" t="s">
        <v>22638</v>
      </c>
      <c r="B66" s="337" t="s">
        <v>371</v>
      </c>
      <c r="C66" s="370" t="s">
        <v>326</v>
      </c>
      <c r="D66" s="563" t="s">
        <v>213</v>
      </c>
      <c r="E66" s="563"/>
      <c r="F66" s="563"/>
      <c r="G66" s="563"/>
      <c r="H66" s="563"/>
      <c r="I66" s="563"/>
      <c r="J66" s="253" t="s">
        <v>17667</v>
      </c>
      <c r="K66" s="373">
        <f>K83+K87+K91</f>
        <v>27.468131442300237</v>
      </c>
    </row>
    <row r="67" spans="1:11">
      <c r="A67" s="354" t="s">
        <v>27</v>
      </c>
      <c r="B67" s="355" t="s">
        <v>11308</v>
      </c>
      <c r="C67" s="355" t="s">
        <v>17663</v>
      </c>
      <c r="D67" s="355" t="s">
        <v>0</v>
      </c>
      <c r="E67" s="355" t="s">
        <v>1</v>
      </c>
      <c r="F67" s="355" t="s">
        <v>39</v>
      </c>
      <c r="G67" s="355" t="s">
        <v>40</v>
      </c>
      <c r="H67" s="355" t="s">
        <v>41</v>
      </c>
      <c r="I67" s="355" t="s">
        <v>42</v>
      </c>
      <c r="J67" s="355"/>
      <c r="K67" s="355" t="s">
        <v>43</v>
      </c>
    </row>
    <row r="68" spans="1:11">
      <c r="A68" s="222" t="str">
        <f>VLOOKUP(D68,'17. CUSTOS DER - EQUIPAMENTOS'!A:B,2,0)</f>
        <v>CAM. BASCUL. 1635/45 12M3 LEVE</v>
      </c>
      <c r="B68" s="225" t="s">
        <v>9013</v>
      </c>
      <c r="C68" s="225" t="s">
        <v>22635</v>
      </c>
      <c r="D68" s="225">
        <v>313180</v>
      </c>
      <c r="E68" s="356">
        <v>9</v>
      </c>
      <c r="F68" s="241">
        <v>0.95</v>
      </c>
      <c r="G68" s="356">
        <v>5.0000000000000044E-2</v>
      </c>
      <c r="H68" s="242">
        <f>VLOOKUP(D68,'17. CUSTOS DER - EQUIPAMENTOS'!A:O,15,0)</f>
        <v>336.86</v>
      </c>
      <c r="I68" s="242">
        <f>VLOOKUP(D68,'17. CUSTOS DER - EQUIPAMENTOS'!A:P,16,0)</f>
        <v>89.48</v>
      </c>
      <c r="J68" s="225"/>
      <c r="K68" s="242">
        <f>((F68*H68)+(G68*I68))*E68</f>
        <v>2920.4189999999999</v>
      </c>
    </row>
    <row r="69" spans="1:11">
      <c r="A69" s="222" t="str">
        <f>VLOOKUP(D69,'17. CUSTOS DER - EQUIPAMENTOS'!A:B,2,0)</f>
        <v>ESCAV. HIDRÁULICA 320D L LEVE</v>
      </c>
      <c r="B69" s="225" t="s">
        <v>9013</v>
      </c>
      <c r="C69" s="225" t="s">
        <v>22635</v>
      </c>
      <c r="D69" s="225">
        <v>313200</v>
      </c>
      <c r="E69" s="356">
        <v>1</v>
      </c>
      <c r="F69" s="241">
        <v>1</v>
      </c>
      <c r="G69" s="356">
        <v>0</v>
      </c>
      <c r="H69" s="242">
        <f>VLOOKUP(D69,'17. CUSTOS DER - EQUIPAMENTOS'!A:O,15,0)</f>
        <v>297.01</v>
      </c>
      <c r="I69" s="242">
        <f>VLOOKUP(D69,'17. CUSTOS DER - EQUIPAMENTOS'!A:P,16,0)</f>
        <v>119.19</v>
      </c>
      <c r="J69" s="225"/>
      <c r="K69" s="242">
        <f>((F69*H69)+(G69*I69))*E69</f>
        <v>297.01</v>
      </c>
    </row>
    <row r="70" spans="1:11">
      <c r="A70" s="222" t="str">
        <f>VLOOKUP(D70,'17. CUSTOS DER - EQUIPAMENTOS'!A:B,2,0)</f>
        <v>MOTONIVELADORA 120-K LEVE</v>
      </c>
      <c r="B70" s="225" t="s">
        <v>9013</v>
      </c>
      <c r="C70" s="225" t="s">
        <v>22635</v>
      </c>
      <c r="D70" s="225">
        <v>311200</v>
      </c>
      <c r="E70" s="356">
        <v>1</v>
      </c>
      <c r="F70" s="241">
        <v>0.14000000000000001</v>
      </c>
      <c r="G70" s="356">
        <v>0.86</v>
      </c>
      <c r="H70" s="242">
        <f>VLOOKUP(D70,'17. CUSTOS DER - EQUIPAMENTOS'!A:O,15,0)</f>
        <v>323.98</v>
      </c>
      <c r="I70" s="242">
        <f>VLOOKUP(D70,'17. CUSTOS DER - EQUIPAMENTOS'!A:P,16,0)</f>
        <v>116.88</v>
      </c>
      <c r="J70" s="225"/>
      <c r="K70" s="242">
        <f>((F70*H70)+(G70*I70))*E70</f>
        <v>145.874</v>
      </c>
    </row>
    <row r="71" spans="1:11">
      <c r="A71" s="358"/>
      <c r="B71" s="359"/>
      <c r="C71" s="359"/>
      <c r="D71" s="359"/>
      <c r="E71" s="359"/>
      <c r="F71" s="359"/>
      <c r="G71" s="359"/>
      <c r="H71" s="359"/>
      <c r="I71" s="359"/>
      <c r="J71" s="360" t="s">
        <v>44</v>
      </c>
      <c r="K71" s="361">
        <f>SUM(K68:K70)</f>
        <v>3363.3029999999999</v>
      </c>
    </row>
    <row r="72" spans="1:11">
      <c r="A72" s="354" t="s">
        <v>45</v>
      </c>
      <c r="B72" s="355" t="s">
        <v>11308</v>
      </c>
      <c r="C72" s="355" t="s">
        <v>17663</v>
      </c>
      <c r="D72" s="355" t="s">
        <v>0</v>
      </c>
      <c r="E72" s="355" t="s">
        <v>36</v>
      </c>
      <c r="F72" s="355" t="s">
        <v>46</v>
      </c>
      <c r="G72" s="355" t="s">
        <v>47</v>
      </c>
      <c r="H72" s="355" t="s">
        <v>25</v>
      </c>
      <c r="I72" s="355"/>
      <c r="J72" s="355"/>
      <c r="K72" s="355" t="s">
        <v>43</v>
      </c>
    </row>
    <row r="73" spans="1:11">
      <c r="A73" s="222" t="str">
        <f>VLOOKUP(D73,'15. CUSTOS DER - MÃO DE OBRA'!A:B,2,0)</f>
        <v>APONTADOR</v>
      </c>
      <c r="B73" s="225" t="s">
        <v>9013</v>
      </c>
      <c r="C73" s="225" t="s">
        <v>17664</v>
      </c>
      <c r="D73" s="225">
        <v>200020</v>
      </c>
      <c r="E73" s="242">
        <f>VLOOKUP(D73,'15. CUSTOS DER - MÃO DE OBRA'!A:C,3,0)</f>
        <v>2.25</v>
      </c>
      <c r="F73" s="225"/>
      <c r="G73" s="225">
        <f>VLOOKUP(D73,'15. CUSTOS DER - MÃO DE OBRA'!A:D,4,0)</f>
        <v>32.18</v>
      </c>
      <c r="H73" s="356">
        <v>1</v>
      </c>
      <c r="I73" s="225"/>
      <c r="J73" s="225"/>
      <c r="K73" s="242">
        <f>G73*H73</f>
        <v>32.18</v>
      </c>
    </row>
    <row r="74" spans="1:11">
      <c r="A74" s="222" t="str">
        <f>VLOOKUP(D74,'15. CUSTOS DER - MÃO DE OBRA'!A:B,2,0)</f>
        <v>ENCARREGADO DE SERVIÇO</v>
      </c>
      <c r="B74" s="225" t="s">
        <v>9013</v>
      </c>
      <c r="C74" s="225" t="s">
        <v>17664</v>
      </c>
      <c r="D74" s="225">
        <v>210060</v>
      </c>
      <c r="E74" s="242">
        <f>VLOOKUP(D74,'15. CUSTOS DER - MÃO DE OBRA'!A:C,3,0)</f>
        <v>6</v>
      </c>
      <c r="F74" s="225"/>
      <c r="G74" s="225">
        <f>VLOOKUP(D74,'15. CUSTOS DER - MÃO DE OBRA'!A:D,4,0)</f>
        <v>85.81</v>
      </c>
      <c r="H74" s="356">
        <v>1</v>
      </c>
      <c r="I74" s="225"/>
      <c r="J74" s="225"/>
      <c r="K74" s="242">
        <f>G74*H74</f>
        <v>85.81</v>
      </c>
    </row>
    <row r="75" spans="1:11">
      <c r="A75" s="222" t="str">
        <f>VLOOKUP(D75,'15. CUSTOS DER - MÃO DE OBRA'!A:B,2,0)</f>
        <v>SERVENTE</v>
      </c>
      <c r="B75" s="225" t="s">
        <v>9013</v>
      </c>
      <c r="C75" s="225" t="s">
        <v>17664</v>
      </c>
      <c r="D75" s="225">
        <v>200130</v>
      </c>
      <c r="E75" s="242">
        <f>VLOOKUP(D75,'15. CUSTOS DER - MÃO DE OBRA'!A:C,3,0)</f>
        <v>2.2000000000000002</v>
      </c>
      <c r="F75" s="225"/>
      <c r="G75" s="225">
        <f>VLOOKUP(D75,'15. CUSTOS DER - MÃO DE OBRA'!A:D,4,0)</f>
        <v>31.46</v>
      </c>
      <c r="H75" s="356">
        <v>2</v>
      </c>
      <c r="I75" s="225"/>
      <c r="J75" s="225"/>
      <c r="K75" s="242">
        <f>G75*H75</f>
        <v>62.92</v>
      </c>
    </row>
    <row r="76" spans="1:11">
      <c r="A76" s="358"/>
      <c r="B76" s="359"/>
      <c r="C76" s="359"/>
      <c r="D76" s="359"/>
      <c r="E76" s="359"/>
      <c r="F76" s="359"/>
      <c r="G76" s="359"/>
      <c r="H76" s="359"/>
      <c r="I76" s="359"/>
      <c r="J76" s="360" t="s">
        <v>48</v>
      </c>
      <c r="K76" s="361">
        <f>SUM(K73:K75)</f>
        <v>180.91000000000003</v>
      </c>
    </row>
    <row r="77" spans="1:11">
      <c r="A77" s="354" t="s">
        <v>49</v>
      </c>
      <c r="B77" s="355" t="s">
        <v>11308</v>
      </c>
      <c r="C77" s="355" t="s">
        <v>17663</v>
      </c>
      <c r="D77" s="355" t="s">
        <v>0</v>
      </c>
      <c r="E77" s="355" t="s">
        <v>14</v>
      </c>
      <c r="F77" s="355" t="s">
        <v>50</v>
      </c>
      <c r="G77" s="355" t="s">
        <v>29</v>
      </c>
      <c r="H77" s="355" t="s">
        <v>30</v>
      </c>
      <c r="I77" s="355"/>
      <c r="J77" s="355"/>
      <c r="K77" s="355" t="s">
        <v>33</v>
      </c>
    </row>
    <row r="78" spans="1:11">
      <c r="A78" s="222"/>
      <c r="B78" s="225"/>
      <c r="C78" s="225"/>
      <c r="D78" s="225"/>
      <c r="E78" s="225"/>
      <c r="F78" s="225"/>
      <c r="G78" s="225"/>
      <c r="H78" s="225"/>
      <c r="I78" s="225"/>
      <c r="J78" s="225"/>
      <c r="K78" s="242"/>
    </row>
    <row r="79" spans="1:11">
      <c r="A79" s="222"/>
      <c r="B79" s="225"/>
      <c r="C79" s="225"/>
      <c r="D79" s="225"/>
      <c r="E79" s="243"/>
      <c r="F79" s="225"/>
      <c r="G79" s="225"/>
      <c r="H79" s="225"/>
      <c r="I79" s="225"/>
      <c r="J79" s="225"/>
      <c r="K79" s="242"/>
    </row>
    <row r="80" spans="1:11">
      <c r="A80" s="358"/>
      <c r="B80" s="359"/>
      <c r="C80" s="359"/>
      <c r="D80" s="359"/>
      <c r="E80" s="359"/>
      <c r="F80" s="359"/>
      <c r="G80" s="359"/>
      <c r="H80" s="359"/>
      <c r="I80" s="359"/>
      <c r="J80" s="360" t="s">
        <v>51</v>
      </c>
      <c r="K80" s="361">
        <f>SUM(K78:K79)</f>
        <v>0</v>
      </c>
    </row>
    <row r="81" spans="1:11">
      <c r="A81" s="568" t="s">
        <v>52</v>
      </c>
      <c r="B81" s="568"/>
      <c r="C81" s="568"/>
      <c r="D81" s="568"/>
      <c r="E81" s="568"/>
      <c r="F81" s="568"/>
      <c r="G81" s="568"/>
      <c r="H81" s="568"/>
      <c r="I81" s="568"/>
      <c r="J81" s="568"/>
      <c r="K81" s="361">
        <f>K71+K76+K80</f>
        <v>3544.2129999999997</v>
      </c>
    </row>
    <row r="82" spans="1:11">
      <c r="A82" s="568" t="s">
        <v>53</v>
      </c>
      <c r="B82" s="568"/>
      <c r="C82" s="568"/>
      <c r="D82" s="568"/>
      <c r="E82" s="568"/>
      <c r="F82" s="568"/>
      <c r="G82" s="568"/>
      <c r="H82" s="568"/>
      <c r="I82" s="568"/>
      <c r="J82" s="568"/>
      <c r="K82" s="361">
        <v>129.03</v>
      </c>
    </row>
    <row r="83" spans="1:11">
      <c r="A83" s="566" t="s">
        <v>54</v>
      </c>
      <c r="B83" s="566"/>
      <c r="C83" s="566"/>
      <c r="D83" s="566"/>
      <c r="E83" s="566"/>
      <c r="F83" s="566"/>
      <c r="G83" s="566"/>
      <c r="H83" s="566"/>
      <c r="I83" s="566"/>
      <c r="J83" s="566"/>
      <c r="K83" s="362">
        <f>IF(K81=0,0,K81/K82)</f>
        <v>27.468131442300237</v>
      </c>
    </row>
    <row r="84" spans="1:11">
      <c r="A84" s="354" t="s">
        <v>55</v>
      </c>
      <c r="B84" s="355" t="s">
        <v>11308</v>
      </c>
      <c r="C84" s="355" t="s">
        <v>17663</v>
      </c>
      <c r="D84" s="355" t="s">
        <v>0</v>
      </c>
      <c r="E84" s="355" t="s">
        <v>2</v>
      </c>
      <c r="F84" s="567" t="s">
        <v>9</v>
      </c>
      <c r="G84" s="567"/>
      <c r="H84" s="567" t="s">
        <v>25</v>
      </c>
      <c r="I84" s="567"/>
      <c r="J84" s="355"/>
      <c r="K84" s="355" t="s">
        <v>56</v>
      </c>
    </row>
    <row r="85" spans="1:11">
      <c r="A85" s="222"/>
      <c r="B85" s="225"/>
      <c r="C85" s="225"/>
      <c r="D85" s="225"/>
      <c r="E85" s="225"/>
      <c r="F85" s="225"/>
      <c r="G85" s="224"/>
      <c r="H85" s="241"/>
      <c r="I85" s="241"/>
      <c r="J85" s="225"/>
      <c r="K85" s="242">
        <f>G85*I85</f>
        <v>0</v>
      </c>
    </row>
    <row r="86" spans="1:11">
      <c r="A86" s="222"/>
      <c r="B86" s="225"/>
      <c r="C86" s="225"/>
      <c r="D86" s="225"/>
      <c r="E86" s="225"/>
      <c r="F86" s="225"/>
      <c r="G86" s="224"/>
      <c r="H86" s="241"/>
      <c r="I86" s="241"/>
      <c r="J86" s="225"/>
      <c r="K86" s="242">
        <f>G86*I86</f>
        <v>0</v>
      </c>
    </row>
    <row r="87" spans="1:11">
      <c r="A87" s="364"/>
      <c r="B87" s="365"/>
      <c r="C87" s="365"/>
      <c r="D87" s="365"/>
      <c r="E87" s="365"/>
      <c r="F87" s="365"/>
      <c r="G87" s="365"/>
      <c r="H87" s="365"/>
      <c r="I87" s="365"/>
      <c r="J87" s="366" t="s">
        <v>57</v>
      </c>
      <c r="K87" s="362">
        <f>SUM(K85:K86)</f>
        <v>0</v>
      </c>
    </row>
    <row r="88" spans="1:11">
      <c r="A88" s="354" t="s">
        <v>58</v>
      </c>
      <c r="B88" s="355" t="s">
        <v>11308</v>
      </c>
      <c r="C88" s="355" t="s">
        <v>17663</v>
      </c>
      <c r="D88" s="355" t="s">
        <v>0</v>
      </c>
      <c r="E88" s="355" t="s">
        <v>2</v>
      </c>
      <c r="F88" s="567" t="s">
        <v>9</v>
      </c>
      <c r="G88" s="567"/>
      <c r="H88" s="567" t="s">
        <v>25</v>
      </c>
      <c r="I88" s="567"/>
      <c r="J88" s="355"/>
      <c r="K88" s="355" t="s">
        <v>56</v>
      </c>
    </row>
    <row r="89" spans="1:11">
      <c r="A89" s="222"/>
      <c r="B89" s="225"/>
      <c r="C89" s="225"/>
      <c r="D89" s="225"/>
      <c r="E89" s="225"/>
      <c r="F89" s="225"/>
      <c r="G89" s="224"/>
      <c r="H89" s="241"/>
      <c r="I89" s="240"/>
      <c r="J89" s="241"/>
      <c r="K89" s="242"/>
    </row>
    <row r="90" spans="1:11">
      <c r="A90" s="222"/>
      <c r="B90" s="225"/>
      <c r="C90" s="225"/>
      <c r="D90" s="225"/>
      <c r="E90" s="225"/>
      <c r="F90" s="225"/>
      <c r="G90" s="224"/>
      <c r="H90" s="241"/>
      <c r="I90" s="240"/>
      <c r="J90" s="241"/>
      <c r="K90" s="242"/>
    </row>
    <row r="91" spans="1:11">
      <c r="A91" s="364"/>
      <c r="B91" s="365"/>
      <c r="C91" s="365"/>
      <c r="D91" s="365"/>
      <c r="E91" s="365"/>
      <c r="F91" s="365"/>
      <c r="G91" s="365"/>
      <c r="H91" s="365"/>
      <c r="I91" s="365"/>
      <c r="J91" s="366" t="s">
        <v>59</v>
      </c>
      <c r="K91" s="362">
        <f>SUM(K89:K90)</f>
        <v>0</v>
      </c>
    </row>
    <row r="92" spans="1:11">
      <c r="E92" s="367"/>
      <c r="F92" s="367"/>
      <c r="G92" s="367"/>
      <c r="H92" s="367"/>
      <c r="I92" s="367"/>
      <c r="J92" s="368"/>
      <c r="K92" s="369"/>
    </row>
    <row r="93" spans="1:11">
      <c r="E93" s="367"/>
      <c r="F93" s="367"/>
      <c r="G93" s="367"/>
      <c r="H93" s="367"/>
      <c r="I93" s="367"/>
      <c r="J93" s="368"/>
      <c r="K93" s="369"/>
    </row>
    <row r="94" spans="1:11">
      <c r="A94" s="337" t="s">
        <v>22639</v>
      </c>
      <c r="B94" s="337" t="s">
        <v>371</v>
      </c>
      <c r="C94" s="370" t="s">
        <v>326</v>
      </c>
      <c r="D94" s="563" t="s">
        <v>214</v>
      </c>
      <c r="E94" s="563"/>
      <c r="F94" s="563"/>
      <c r="G94" s="563"/>
      <c r="H94" s="563"/>
      <c r="I94" s="563"/>
      <c r="J94" s="253" t="s">
        <v>17667</v>
      </c>
      <c r="K94" s="373">
        <f>K111+K115+K119</f>
        <v>27.468131442300237</v>
      </c>
    </row>
    <row r="95" spans="1:11">
      <c r="A95" s="354" t="s">
        <v>27</v>
      </c>
      <c r="B95" s="355" t="s">
        <v>11308</v>
      </c>
      <c r="C95" s="355" t="s">
        <v>17663</v>
      </c>
      <c r="D95" s="355" t="s">
        <v>0</v>
      </c>
      <c r="E95" s="355" t="s">
        <v>1</v>
      </c>
      <c r="F95" s="355" t="s">
        <v>39</v>
      </c>
      <c r="G95" s="355" t="s">
        <v>40</v>
      </c>
      <c r="H95" s="355" t="s">
        <v>41</v>
      </c>
      <c r="I95" s="355" t="s">
        <v>42</v>
      </c>
      <c r="J95" s="355"/>
      <c r="K95" s="355" t="s">
        <v>43</v>
      </c>
    </row>
    <row r="96" spans="1:11">
      <c r="A96" s="222" t="str">
        <f>VLOOKUP(D96,'17. CUSTOS DER - EQUIPAMENTOS'!A:B,2,0)</f>
        <v>CAM. BASCUL. 1635/45 12M3 LEVE</v>
      </c>
      <c r="B96" s="225" t="s">
        <v>9013</v>
      </c>
      <c r="C96" s="225" t="s">
        <v>22635</v>
      </c>
      <c r="D96" s="225">
        <v>313180</v>
      </c>
      <c r="E96" s="356">
        <v>9</v>
      </c>
      <c r="F96" s="241">
        <v>0.95</v>
      </c>
      <c r="G96" s="356">
        <v>5.0000000000000044E-2</v>
      </c>
      <c r="H96" s="242">
        <f>VLOOKUP(D96,'17. CUSTOS DER - EQUIPAMENTOS'!A:O,15,0)</f>
        <v>336.86</v>
      </c>
      <c r="I96" s="242">
        <f>VLOOKUP(D96,'17. CUSTOS DER - EQUIPAMENTOS'!A:P,16,0)</f>
        <v>89.48</v>
      </c>
      <c r="J96" s="225"/>
      <c r="K96" s="242">
        <f>((F96*H96)+(G96*I96))*E96</f>
        <v>2920.4189999999999</v>
      </c>
    </row>
    <row r="97" spans="1:11">
      <c r="A97" s="222" t="str">
        <f>VLOOKUP(D97,'17. CUSTOS DER - EQUIPAMENTOS'!A:B,2,0)</f>
        <v>ESCAV. HIDRÁULICA 320D L LEVE</v>
      </c>
      <c r="B97" s="225" t="s">
        <v>9013</v>
      </c>
      <c r="C97" s="225" t="s">
        <v>22635</v>
      </c>
      <c r="D97" s="225">
        <v>313200</v>
      </c>
      <c r="E97" s="356">
        <v>1</v>
      </c>
      <c r="F97" s="241">
        <v>1</v>
      </c>
      <c r="G97" s="356">
        <v>0</v>
      </c>
      <c r="H97" s="242">
        <f>VLOOKUP(D97,'17. CUSTOS DER - EQUIPAMENTOS'!A:O,15,0)</f>
        <v>297.01</v>
      </c>
      <c r="I97" s="242">
        <f>VLOOKUP(D97,'17. CUSTOS DER - EQUIPAMENTOS'!A:P,16,0)</f>
        <v>119.19</v>
      </c>
      <c r="J97" s="225"/>
      <c r="K97" s="242">
        <f>((F97*H97)+(G97*I97))*E97</f>
        <v>297.01</v>
      </c>
    </row>
    <row r="98" spans="1:11">
      <c r="A98" s="222" t="str">
        <f>VLOOKUP(D98,'17. CUSTOS DER - EQUIPAMENTOS'!A:B,2,0)</f>
        <v>MOTONIVELADORA 120-K LEVE</v>
      </c>
      <c r="B98" s="225" t="s">
        <v>9013</v>
      </c>
      <c r="C98" s="225" t="s">
        <v>22635</v>
      </c>
      <c r="D98" s="225">
        <v>311200</v>
      </c>
      <c r="E98" s="356">
        <v>1</v>
      </c>
      <c r="F98" s="241">
        <v>0.14000000000000001</v>
      </c>
      <c r="G98" s="356">
        <v>0.86</v>
      </c>
      <c r="H98" s="242">
        <f>VLOOKUP(D98,'17. CUSTOS DER - EQUIPAMENTOS'!A:O,15,0)</f>
        <v>323.98</v>
      </c>
      <c r="I98" s="242">
        <f>VLOOKUP(D98,'17. CUSTOS DER - EQUIPAMENTOS'!A:P,16,0)</f>
        <v>116.88</v>
      </c>
      <c r="J98" s="225"/>
      <c r="K98" s="242">
        <f>((F98*H98)+(G98*I98))*E98</f>
        <v>145.874</v>
      </c>
    </row>
    <row r="99" spans="1:11">
      <c r="A99" s="358"/>
      <c r="B99" s="359"/>
      <c r="C99" s="359"/>
      <c r="D99" s="359"/>
      <c r="E99" s="359"/>
      <c r="F99" s="359"/>
      <c r="G99" s="359"/>
      <c r="H99" s="359"/>
      <c r="I99" s="359"/>
      <c r="J99" s="360" t="s">
        <v>44</v>
      </c>
      <c r="K99" s="361">
        <f>SUM(K96:K98)</f>
        <v>3363.3029999999999</v>
      </c>
    </row>
    <row r="100" spans="1:11">
      <c r="A100" s="354" t="s">
        <v>45</v>
      </c>
      <c r="B100" s="355" t="s">
        <v>11308</v>
      </c>
      <c r="C100" s="355" t="s">
        <v>17663</v>
      </c>
      <c r="D100" s="355" t="s">
        <v>0</v>
      </c>
      <c r="E100" s="355" t="s">
        <v>36</v>
      </c>
      <c r="F100" s="355" t="s">
        <v>46</v>
      </c>
      <c r="G100" s="355" t="s">
        <v>47</v>
      </c>
      <c r="H100" s="355" t="s">
        <v>25</v>
      </c>
      <c r="I100" s="355"/>
      <c r="J100" s="355"/>
      <c r="K100" s="355" t="s">
        <v>43</v>
      </c>
    </row>
    <row r="101" spans="1:11">
      <c r="A101" s="222" t="str">
        <f>VLOOKUP(D101,'15. CUSTOS DER - MÃO DE OBRA'!A:B,2,0)</f>
        <v>APONTADOR</v>
      </c>
      <c r="B101" s="225" t="s">
        <v>9013</v>
      </c>
      <c r="C101" s="225" t="s">
        <v>17664</v>
      </c>
      <c r="D101" s="225">
        <v>200020</v>
      </c>
      <c r="E101" s="242">
        <f>VLOOKUP(D101,'15. CUSTOS DER - MÃO DE OBRA'!A:C,3,0)</f>
        <v>2.25</v>
      </c>
      <c r="F101" s="225"/>
      <c r="G101" s="225">
        <f>VLOOKUP(D101,'15. CUSTOS DER - MÃO DE OBRA'!A:D,4,0)</f>
        <v>32.18</v>
      </c>
      <c r="H101" s="356">
        <v>1</v>
      </c>
      <c r="I101" s="225"/>
      <c r="J101" s="225"/>
      <c r="K101" s="242">
        <f>G101*H101</f>
        <v>32.18</v>
      </c>
    </row>
    <row r="102" spans="1:11">
      <c r="A102" s="222" t="str">
        <f>VLOOKUP(D102,'15. CUSTOS DER - MÃO DE OBRA'!A:B,2,0)</f>
        <v>ENCARREGADO DE SERVIÇO</v>
      </c>
      <c r="B102" s="225" t="s">
        <v>9013</v>
      </c>
      <c r="C102" s="225" t="s">
        <v>17664</v>
      </c>
      <c r="D102" s="225">
        <v>210060</v>
      </c>
      <c r="E102" s="242">
        <f>VLOOKUP(D102,'15. CUSTOS DER - MÃO DE OBRA'!A:C,3,0)</f>
        <v>6</v>
      </c>
      <c r="F102" s="225"/>
      <c r="G102" s="225">
        <f>VLOOKUP(D102,'15. CUSTOS DER - MÃO DE OBRA'!A:D,4,0)</f>
        <v>85.81</v>
      </c>
      <c r="H102" s="356">
        <v>1</v>
      </c>
      <c r="I102" s="225"/>
      <c r="J102" s="225"/>
      <c r="K102" s="242">
        <f>G102*H102</f>
        <v>85.81</v>
      </c>
    </row>
    <row r="103" spans="1:11">
      <c r="A103" s="222" t="str">
        <f>VLOOKUP(D103,'15. CUSTOS DER - MÃO DE OBRA'!A:B,2,0)</f>
        <v>SERVENTE</v>
      </c>
      <c r="B103" s="225" t="s">
        <v>9013</v>
      </c>
      <c r="C103" s="225" t="s">
        <v>17664</v>
      </c>
      <c r="D103" s="225">
        <v>200130</v>
      </c>
      <c r="E103" s="242">
        <f>VLOOKUP(D103,'15. CUSTOS DER - MÃO DE OBRA'!A:C,3,0)</f>
        <v>2.2000000000000002</v>
      </c>
      <c r="F103" s="225"/>
      <c r="G103" s="225">
        <f>VLOOKUP(D103,'15. CUSTOS DER - MÃO DE OBRA'!A:D,4,0)</f>
        <v>31.46</v>
      </c>
      <c r="H103" s="356">
        <v>2</v>
      </c>
      <c r="I103" s="225"/>
      <c r="J103" s="225"/>
      <c r="K103" s="242">
        <f>G103*H103</f>
        <v>62.92</v>
      </c>
    </row>
    <row r="104" spans="1:11">
      <c r="A104" s="358"/>
      <c r="B104" s="359"/>
      <c r="C104" s="359"/>
      <c r="D104" s="359"/>
      <c r="E104" s="359"/>
      <c r="F104" s="359"/>
      <c r="G104" s="359"/>
      <c r="H104" s="359"/>
      <c r="I104" s="359"/>
      <c r="J104" s="360" t="s">
        <v>48</v>
      </c>
      <c r="K104" s="361">
        <f>SUM(K101:K103)</f>
        <v>180.91000000000003</v>
      </c>
    </row>
    <row r="105" spans="1:11">
      <c r="A105" s="354" t="s">
        <v>49</v>
      </c>
      <c r="B105" s="355" t="s">
        <v>11308</v>
      </c>
      <c r="C105" s="355" t="s">
        <v>17663</v>
      </c>
      <c r="D105" s="355" t="s">
        <v>0</v>
      </c>
      <c r="E105" s="355" t="s">
        <v>14</v>
      </c>
      <c r="F105" s="355" t="s">
        <v>50</v>
      </c>
      <c r="G105" s="355" t="s">
        <v>29</v>
      </c>
      <c r="H105" s="355" t="s">
        <v>30</v>
      </c>
      <c r="I105" s="355"/>
      <c r="J105" s="355"/>
      <c r="K105" s="355" t="s">
        <v>33</v>
      </c>
    </row>
    <row r="106" spans="1:11">
      <c r="A106" s="222"/>
      <c r="B106" s="225"/>
      <c r="C106" s="225"/>
      <c r="D106" s="225"/>
      <c r="E106" s="243"/>
      <c r="F106" s="225"/>
      <c r="G106" s="225"/>
      <c r="H106" s="225"/>
      <c r="I106" s="225"/>
      <c r="J106" s="225"/>
      <c r="K106" s="242"/>
    </row>
    <row r="107" spans="1:11">
      <c r="A107" s="222"/>
      <c r="B107" s="225"/>
      <c r="C107" s="225"/>
      <c r="D107" s="225"/>
      <c r="E107" s="243"/>
      <c r="F107" s="225"/>
      <c r="G107" s="225"/>
      <c r="H107" s="225"/>
      <c r="I107" s="225"/>
      <c r="J107" s="225"/>
      <c r="K107" s="242"/>
    </row>
    <row r="108" spans="1:11">
      <c r="A108" s="358"/>
      <c r="B108" s="359"/>
      <c r="C108" s="359"/>
      <c r="D108" s="359"/>
      <c r="E108" s="359"/>
      <c r="F108" s="359"/>
      <c r="G108" s="359"/>
      <c r="H108" s="359"/>
      <c r="I108" s="359"/>
      <c r="J108" s="360" t="s">
        <v>51</v>
      </c>
      <c r="K108" s="361">
        <f>SUM(K106:K107)</f>
        <v>0</v>
      </c>
    </row>
    <row r="109" spans="1:11">
      <c r="A109" s="568" t="s">
        <v>52</v>
      </c>
      <c r="B109" s="568"/>
      <c r="C109" s="568"/>
      <c r="D109" s="568"/>
      <c r="E109" s="568"/>
      <c r="F109" s="568"/>
      <c r="G109" s="568"/>
      <c r="H109" s="568"/>
      <c r="I109" s="568"/>
      <c r="J109" s="568"/>
      <c r="K109" s="361">
        <f>K99+K104+K108</f>
        <v>3544.2129999999997</v>
      </c>
    </row>
    <row r="110" spans="1:11">
      <c r="A110" s="568" t="s">
        <v>53</v>
      </c>
      <c r="B110" s="568"/>
      <c r="C110" s="568"/>
      <c r="D110" s="568"/>
      <c r="E110" s="568"/>
      <c r="F110" s="568"/>
      <c r="G110" s="568"/>
      <c r="H110" s="568"/>
      <c r="I110" s="568"/>
      <c r="J110" s="568"/>
      <c r="K110" s="361">
        <v>129.03</v>
      </c>
    </row>
    <row r="111" spans="1:11">
      <c r="A111" s="566" t="s">
        <v>54</v>
      </c>
      <c r="B111" s="566"/>
      <c r="C111" s="566"/>
      <c r="D111" s="566"/>
      <c r="E111" s="566"/>
      <c r="F111" s="566"/>
      <c r="G111" s="566"/>
      <c r="H111" s="566"/>
      <c r="I111" s="566"/>
      <c r="J111" s="566"/>
      <c r="K111" s="362">
        <f>IF(K109=0,0,K109/K110)</f>
        <v>27.468131442300237</v>
      </c>
    </row>
    <row r="112" spans="1:11">
      <c r="A112" s="354" t="s">
        <v>55</v>
      </c>
      <c r="B112" s="355" t="s">
        <v>11308</v>
      </c>
      <c r="C112" s="355" t="s">
        <v>17663</v>
      </c>
      <c r="D112" s="355" t="s">
        <v>0</v>
      </c>
      <c r="E112" s="355" t="s">
        <v>2</v>
      </c>
      <c r="F112" s="567" t="s">
        <v>9</v>
      </c>
      <c r="G112" s="567"/>
      <c r="H112" s="567" t="s">
        <v>25</v>
      </c>
      <c r="I112" s="567"/>
      <c r="J112" s="355"/>
      <c r="K112" s="355" t="s">
        <v>56</v>
      </c>
    </row>
    <row r="113" spans="1:11">
      <c r="A113" s="222"/>
      <c r="B113" s="225"/>
      <c r="C113" s="225"/>
      <c r="D113" s="225"/>
      <c r="E113" s="225"/>
      <c r="F113" s="225"/>
      <c r="G113" s="224"/>
      <c r="H113" s="241"/>
      <c r="I113" s="241"/>
      <c r="J113" s="225"/>
      <c r="K113" s="242">
        <f>G113*I113</f>
        <v>0</v>
      </c>
    </row>
    <row r="114" spans="1:11">
      <c r="A114" s="222"/>
      <c r="B114" s="225"/>
      <c r="C114" s="225"/>
      <c r="D114" s="225"/>
      <c r="E114" s="225"/>
      <c r="F114" s="225"/>
      <c r="G114" s="224"/>
      <c r="H114" s="241"/>
      <c r="I114" s="241"/>
      <c r="J114" s="225"/>
      <c r="K114" s="242">
        <f>G114*I114</f>
        <v>0</v>
      </c>
    </row>
    <row r="115" spans="1:11">
      <c r="A115" s="364"/>
      <c r="B115" s="365"/>
      <c r="C115" s="365"/>
      <c r="D115" s="365"/>
      <c r="E115" s="365"/>
      <c r="F115" s="365"/>
      <c r="G115" s="365"/>
      <c r="H115" s="365"/>
      <c r="I115" s="365"/>
      <c r="J115" s="366" t="s">
        <v>57</v>
      </c>
      <c r="K115" s="362">
        <f>SUM(K114:K114)</f>
        <v>0</v>
      </c>
    </row>
    <row r="116" spans="1:11">
      <c r="A116" s="354" t="s">
        <v>58</v>
      </c>
      <c r="B116" s="355" t="s">
        <v>11308</v>
      </c>
      <c r="C116" s="355" t="s">
        <v>17663</v>
      </c>
      <c r="D116" s="355" t="s">
        <v>0</v>
      </c>
      <c r="E116" s="355" t="s">
        <v>2</v>
      </c>
      <c r="F116" s="567" t="s">
        <v>9</v>
      </c>
      <c r="G116" s="567"/>
      <c r="H116" s="567" t="s">
        <v>25</v>
      </c>
      <c r="I116" s="567"/>
      <c r="J116" s="355"/>
      <c r="K116" s="355" t="s">
        <v>56</v>
      </c>
    </row>
    <row r="117" spans="1:11">
      <c r="A117" s="222"/>
      <c r="B117" s="225"/>
      <c r="C117" s="225"/>
      <c r="D117" s="225"/>
      <c r="E117" s="225"/>
      <c r="F117" s="225"/>
      <c r="G117" s="224"/>
      <c r="H117" s="241"/>
      <c r="I117" s="240"/>
      <c r="J117" s="241"/>
      <c r="K117" s="242"/>
    </row>
    <row r="118" spans="1:11">
      <c r="A118" s="222"/>
      <c r="B118" s="225"/>
      <c r="C118" s="225"/>
      <c r="D118" s="225"/>
      <c r="E118" s="225"/>
      <c r="F118" s="225"/>
      <c r="G118" s="224"/>
      <c r="H118" s="241"/>
      <c r="I118" s="240"/>
      <c r="J118" s="241"/>
      <c r="K118" s="242"/>
    </row>
    <row r="119" spans="1:11">
      <c r="A119" s="364"/>
      <c r="B119" s="365"/>
      <c r="C119" s="365"/>
      <c r="D119" s="365"/>
      <c r="E119" s="365"/>
      <c r="F119" s="365"/>
      <c r="G119" s="365"/>
      <c r="H119" s="365"/>
      <c r="I119" s="365"/>
      <c r="J119" s="366" t="s">
        <v>59</v>
      </c>
      <c r="K119" s="362">
        <f>SUM(K118:K118)</f>
        <v>0</v>
      </c>
    </row>
    <row r="120" spans="1:11">
      <c r="E120" s="367"/>
      <c r="F120" s="367"/>
      <c r="G120" s="367"/>
      <c r="H120" s="367"/>
      <c r="I120" s="367"/>
      <c r="J120" s="368"/>
      <c r="K120" s="369"/>
    </row>
    <row r="121" spans="1:11">
      <c r="E121" s="367"/>
      <c r="F121" s="367"/>
      <c r="G121" s="367"/>
      <c r="H121" s="367"/>
      <c r="I121" s="367"/>
      <c r="J121" s="368"/>
      <c r="K121" s="369"/>
    </row>
    <row r="122" spans="1:11">
      <c r="A122" s="337" t="s">
        <v>22640</v>
      </c>
      <c r="B122" s="337" t="s">
        <v>371</v>
      </c>
      <c r="C122" s="370" t="s">
        <v>326</v>
      </c>
      <c r="D122" s="563" t="s">
        <v>215</v>
      </c>
      <c r="E122" s="563"/>
      <c r="F122" s="563"/>
      <c r="G122" s="563"/>
      <c r="H122" s="563"/>
      <c r="I122" s="563"/>
      <c r="J122" s="253" t="s">
        <v>17667</v>
      </c>
      <c r="K122" s="373">
        <f>K137+K141+K145</f>
        <v>36.5913509493394</v>
      </c>
    </row>
    <row r="123" spans="1:11">
      <c r="A123" s="354" t="s">
        <v>27</v>
      </c>
      <c r="B123" s="355" t="s">
        <v>11308</v>
      </c>
      <c r="C123" s="355" t="s">
        <v>17663</v>
      </c>
      <c r="D123" s="355" t="s">
        <v>0</v>
      </c>
      <c r="E123" s="355" t="s">
        <v>1</v>
      </c>
      <c r="F123" s="355" t="s">
        <v>39</v>
      </c>
      <c r="G123" s="355" t="s">
        <v>40</v>
      </c>
      <c r="H123" s="355" t="s">
        <v>41</v>
      </c>
      <c r="I123" s="355" t="s">
        <v>42</v>
      </c>
      <c r="J123" s="355"/>
      <c r="K123" s="355" t="s">
        <v>43</v>
      </c>
    </row>
    <row r="124" spans="1:11">
      <c r="A124" s="222"/>
      <c r="B124" s="225"/>
      <c r="C124" s="225"/>
      <c r="D124" s="225"/>
      <c r="E124" s="356"/>
      <c r="F124" s="241"/>
      <c r="G124" s="356"/>
      <c r="H124" s="242"/>
      <c r="I124" s="242"/>
      <c r="J124" s="225"/>
      <c r="K124" s="242"/>
    </row>
    <row r="125" spans="1:11">
      <c r="A125" s="222"/>
      <c r="B125" s="225"/>
      <c r="C125" s="225"/>
      <c r="D125" s="225"/>
      <c r="E125" s="356"/>
      <c r="F125" s="241"/>
      <c r="G125" s="356"/>
      <c r="H125" s="242"/>
      <c r="I125" s="242"/>
      <c r="J125" s="225"/>
      <c r="K125" s="242"/>
    </row>
    <row r="126" spans="1:11">
      <c r="A126" s="358"/>
      <c r="B126" s="359"/>
      <c r="C126" s="359"/>
      <c r="D126" s="359"/>
      <c r="E126" s="359"/>
      <c r="F126" s="359"/>
      <c r="G126" s="359"/>
      <c r="H126" s="359"/>
      <c r="I126" s="359"/>
      <c r="J126" s="360" t="s">
        <v>44</v>
      </c>
      <c r="K126" s="361">
        <f>SUM(K125:K125)</f>
        <v>0</v>
      </c>
    </row>
    <row r="127" spans="1:11">
      <c r="A127" s="354" t="s">
        <v>45</v>
      </c>
      <c r="B127" s="355" t="s">
        <v>11308</v>
      </c>
      <c r="C127" s="355" t="s">
        <v>17663</v>
      </c>
      <c r="D127" s="355" t="s">
        <v>0</v>
      </c>
      <c r="E127" s="355" t="s">
        <v>36</v>
      </c>
      <c r="F127" s="355" t="s">
        <v>46</v>
      </c>
      <c r="G127" s="355" t="s">
        <v>47</v>
      </c>
      <c r="H127" s="355" t="s">
        <v>25</v>
      </c>
      <c r="I127" s="355"/>
      <c r="J127" s="355"/>
      <c r="K127" s="355" t="s">
        <v>43</v>
      </c>
    </row>
    <row r="128" spans="1:11">
      <c r="A128" s="222"/>
      <c r="B128" s="225"/>
      <c r="C128" s="225"/>
      <c r="D128" s="225"/>
      <c r="E128" s="242"/>
      <c r="F128" s="225"/>
      <c r="G128" s="243"/>
      <c r="H128" s="356"/>
      <c r="I128" s="225"/>
      <c r="J128" s="225"/>
      <c r="K128" s="242"/>
    </row>
    <row r="129" spans="1:11">
      <c r="A129" s="222"/>
      <c r="B129" s="225"/>
      <c r="C129" s="225"/>
      <c r="D129" s="225"/>
      <c r="E129" s="242"/>
      <c r="F129" s="225"/>
      <c r="G129" s="243"/>
      <c r="H129" s="356"/>
      <c r="I129" s="225"/>
      <c r="J129" s="225"/>
      <c r="K129" s="242"/>
    </row>
    <row r="130" spans="1:11">
      <c r="A130" s="358"/>
      <c r="B130" s="359"/>
      <c r="C130" s="359"/>
      <c r="D130" s="359"/>
      <c r="E130" s="359"/>
      <c r="F130" s="359"/>
      <c r="G130" s="359"/>
      <c r="H130" s="359"/>
      <c r="I130" s="359"/>
      <c r="J130" s="360" t="s">
        <v>48</v>
      </c>
      <c r="K130" s="361">
        <f>SUM(K129:K129)</f>
        <v>0</v>
      </c>
    </row>
    <row r="131" spans="1:11">
      <c r="A131" s="354" t="s">
        <v>49</v>
      </c>
      <c r="B131" s="355" t="s">
        <v>11308</v>
      </c>
      <c r="C131" s="355" t="s">
        <v>17663</v>
      </c>
      <c r="D131" s="355" t="s">
        <v>0</v>
      </c>
      <c r="E131" s="355" t="s">
        <v>14</v>
      </c>
      <c r="F131" s="355" t="s">
        <v>50</v>
      </c>
      <c r="G131" s="355" t="s">
        <v>29</v>
      </c>
      <c r="H131" s="355" t="s">
        <v>30</v>
      </c>
      <c r="I131" s="355"/>
      <c r="J131" s="355"/>
      <c r="K131" s="355" t="s">
        <v>33</v>
      </c>
    </row>
    <row r="132" spans="1:11">
      <c r="A132" s="222"/>
      <c r="B132" s="225"/>
      <c r="C132" s="225"/>
      <c r="D132" s="225"/>
      <c r="E132" s="243"/>
      <c r="F132" s="225"/>
      <c r="G132" s="225"/>
      <c r="H132" s="225"/>
      <c r="I132" s="225"/>
      <c r="J132" s="225"/>
      <c r="K132" s="242"/>
    </row>
    <row r="133" spans="1:11">
      <c r="A133" s="222"/>
      <c r="B133" s="225"/>
      <c r="C133" s="225"/>
      <c r="D133" s="225"/>
      <c r="E133" s="243"/>
      <c r="F133" s="225"/>
      <c r="G133" s="225"/>
      <c r="H133" s="225"/>
      <c r="I133" s="225"/>
      <c r="J133" s="225"/>
      <c r="K133" s="242"/>
    </row>
    <row r="134" spans="1:11">
      <c r="A134" s="358"/>
      <c r="B134" s="359"/>
      <c r="C134" s="359"/>
      <c r="D134" s="359"/>
      <c r="E134" s="359"/>
      <c r="F134" s="359"/>
      <c r="G134" s="359"/>
      <c r="H134" s="359"/>
      <c r="I134" s="359"/>
      <c r="J134" s="360" t="s">
        <v>51</v>
      </c>
      <c r="K134" s="361">
        <f>SUM(K133:K133)</f>
        <v>0</v>
      </c>
    </row>
    <row r="135" spans="1:11">
      <c r="A135" s="568" t="s">
        <v>52</v>
      </c>
      <c r="B135" s="568"/>
      <c r="C135" s="568"/>
      <c r="D135" s="568"/>
      <c r="E135" s="568"/>
      <c r="F135" s="568"/>
      <c r="G135" s="568"/>
      <c r="H135" s="568"/>
      <c r="I135" s="568"/>
      <c r="J135" s="568"/>
      <c r="K135" s="361">
        <f>K126+K130+K134</f>
        <v>0</v>
      </c>
    </row>
    <row r="136" spans="1:11">
      <c r="A136" s="568" t="s">
        <v>53</v>
      </c>
      <c r="B136" s="568"/>
      <c r="C136" s="568"/>
      <c r="D136" s="568"/>
      <c r="E136" s="568"/>
      <c r="F136" s="568"/>
      <c r="G136" s="568"/>
      <c r="H136" s="568"/>
      <c r="I136" s="568"/>
      <c r="J136" s="568"/>
      <c r="K136" s="361">
        <v>1</v>
      </c>
    </row>
    <row r="137" spans="1:11">
      <c r="A137" s="566" t="s">
        <v>54</v>
      </c>
      <c r="B137" s="566"/>
      <c r="C137" s="566"/>
      <c r="D137" s="566"/>
      <c r="E137" s="566"/>
      <c r="F137" s="566"/>
      <c r="G137" s="566"/>
      <c r="H137" s="566"/>
      <c r="I137" s="566"/>
      <c r="J137" s="566"/>
      <c r="K137" s="362">
        <f>IF(K135=0,0,K135/K136)</f>
        <v>0</v>
      </c>
    </row>
    <row r="138" spans="1:11">
      <c r="A138" s="354" t="s">
        <v>55</v>
      </c>
      <c r="B138" s="355" t="s">
        <v>11308</v>
      </c>
      <c r="C138" s="355" t="s">
        <v>17663</v>
      </c>
      <c r="D138" s="355" t="s">
        <v>0</v>
      </c>
      <c r="E138" s="355" t="s">
        <v>2</v>
      </c>
      <c r="F138" s="567" t="s">
        <v>9</v>
      </c>
      <c r="G138" s="567"/>
      <c r="H138" s="567" t="s">
        <v>25</v>
      </c>
      <c r="I138" s="567"/>
      <c r="J138" s="355"/>
      <c r="K138" s="355" t="s">
        <v>56</v>
      </c>
    </row>
    <row r="139" spans="1:11">
      <c r="A139" s="222" t="str">
        <f>VLOOKUP(D139,'23. CUSTOS COTAÇÕES DE MERCADO'!A:B,2,0)</f>
        <v>Material de jazida comercial (saibro)</v>
      </c>
      <c r="B139" s="225" t="s">
        <v>22707</v>
      </c>
      <c r="C139" s="225" t="s">
        <v>22709</v>
      </c>
      <c r="D139" s="225" t="s">
        <v>60</v>
      </c>
      <c r="E139" s="372" t="str">
        <f>VLOOKUP(D139,'23. CUSTOS COTAÇÕES DE MERCADO'!A:D,4,0)</f>
        <v>M3</v>
      </c>
      <c r="F139" s="225"/>
      <c r="G139" s="224">
        <f>VLOOKUP(D139,'23. CUSTOS COTAÇÕES DE MERCADO'!A:F,6,0)</f>
        <v>34.950000000000003</v>
      </c>
      <c r="H139" s="241"/>
      <c r="I139" s="374">
        <v>1</v>
      </c>
      <c r="J139" s="225"/>
      <c r="K139" s="242">
        <f>G139*I139</f>
        <v>34.950000000000003</v>
      </c>
    </row>
    <row r="140" spans="1:11">
      <c r="A140" s="222"/>
      <c r="B140" s="225"/>
      <c r="C140" s="225"/>
      <c r="D140" s="225"/>
      <c r="E140" s="243"/>
      <c r="F140" s="225"/>
      <c r="G140" s="225"/>
      <c r="H140" s="225"/>
      <c r="I140" s="225"/>
      <c r="J140" s="225"/>
      <c r="K140" s="242"/>
    </row>
    <row r="141" spans="1:11">
      <c r="A141" s="364"/>
      <c r="B141" s="365"/>
      <c r="C141" s="365"/>
      <c r="D141" s="365"/>
      <c r="E141" s="365"/>
      <c r="F141" s="365"/>
      <c r="G141" s="365"/>
      <c r="H141" s="365"/>
      <c r="I141" s="365"/>
      <c r="J141" s="366" t="s">
        <v>57</v>
      </c>
      <c r="K141" s="362">
        <f>SUM(K139:K139)</f>
        <v>34.950000000000003</v>
      </c>
    </row>
    <row r="142" spans="1:11">
      <c r="A142" s="354" t="s">
        <v>58</v>
      </c>
      <c r="B142" s="355" t="s">
        <v>11308</v>
      </c>
      <c r="C142" s="355" t="s">
        <v>17663</v>
      </c>
      <c r="D142" s="355" t="s">
        <v>0</v>
      </c>
      <c r="E142" s="355" t="s">
        <v>2</v>
      </c>
      <c r="F142" s="567" t="s">
        <v>9</v>
      </c>
      <c r="G142" s="567"/>
      <c r="H142" s="567" t="s">
        <v>25</v>
      </c>
      <c r="I142" s="567"/>
      <c r="J142" s="355"/>
      <c r="K142" s="355" t="s">
        <v>56</v>
      </c>
    </row>
    <row r="143" spans="1:11" ht="47.25">
      <c r="A143" s="222" t="s">
        <v>108</v>
      </c>
      <c r="B143" s="225" t="s">
        <v>358</v>
      </c>
      <c r="C143" s="225" t="s">
        <v>22710</v>
      </c>
      <c r="D143" s="225" t="s">
        <v>22642</v>
      </c>
      <c r="E143" s="372" t="s">
        <v>18</v>
      </c>
      <c r="F143" s="225"/>
      <c r="G143" s="224">
        <f>K148</f>
        <v>1.6413509493393996</v>
      </c>
      <c r="H143" s="241"/>
      <c r="I143" s="246">
        <v>1</v>
      </c>
      <c r="J143" s="241"/>
      <c r="K143" s="242">
        <f>G143*I143</f>
        <v>1.6413509493393996</v>
      </c>
    </row>
    <row r="144" spans="1:11">
      <c r="A144" s="222"/>
      <c r="B144" s="225"/>
      <c r="C144" s="225"/>
      <c r="D144" s="225"/>
      <c r="E144" s="243"/>
      <c r="F144" s="225"/>
      <c r="G144" s="225"/>
      <c r="H144" s="225"/>
      <c r="I144" s="225"/>
      <c r="J144" s="225"/>
      <c r="K144" s="242"/>
    </row>
    <row r="145" spans="1:11">
      <c r="A145" s="364"/>
      <c r="B145" s="365"/>
      <c r="C145" s="365"/>
      <c r="D145" s="365"/>
      <c r="E145" s="365"/>
      <c r="F145" s="365"/>
      <c r="G145" s="365"/>
      <c r="H145" s="365"/>
      <c r="I145" s="365"/>
      <c r="J145" s="366" t="s">
        <v>59</v>
      </c>
      <c r="K145" s="362">
        <f>SUM(K143:K143)</f>
        <v>1.6413509493393996</v>
      </c>
    </row>
    <row r="146" spans="1:11">
      <c r="E146" s="367"/>
      <c r="F146" s="367"/>
      <c r="G146" s="367"/>
      <c r="H146" s="367"/>
      <c r="I146" s="367"/>
      <c r="J146" s="368"/>
      <c r="K146" s="369"/>
    </row>
    <row r="147" spans="1:11">
      <c r="E147" s="367"/>
      <c r="F147" s="367"/>
      <c r="G147" s="367"/>
      <c r="H147" s="367"/>
      <c r="I147" s="367"/>
      <c r="J147" s="368"/>
      <c r="K147" s="369"/>
    </row>
    <row r="148" spans="1:11">
      <c r="A148" s="337" t="s">
        <v>22642</v>
      </c>
      <c r="B148" s="337" t="s">
        <v>371</v>
      </c>
      <c r="C148" s="370" t="s">
        <v>34</v>
      </c>
      <c r="D148" s="563" t="s">
        <v>22687</v>
      </c>
      <c r="E148" s="563"/>
      <c r="F148" s="563"/>
      <c r="G148" s="563"/>
      <c r="H148" s="563"/>
      <c r="I148" s="563"/>
      <c r="J148" s="253" t="s">
        <v>17667</v>
      </c>
      <c r="K148" s="373">
        <f>K163+K167+K171</f>
        <v>1.6413509493393996</v>
      </c>
    </row>
    <row r="149" spans="1:11">
      <c r="A149" s="354" t="s">
        <v>27</v>
      </c>
      <c r="B149" s="355" t="s">
        <v>11308</v>
      </c>
      <c r="C149" s="355" t="s">
        <v>17663</v>
      </c>
      <c r="D149" s="355" t="s">
        <v>0</v>
      </c>
      <c r="E149" s="355" t="s">
        <v>1</v>
      </c>
      <c r="F149" s="355" t="s">
        <v>39</v>
      </c>
      <c r="G149" s="355" t="s">
        <v>40</v>
      </c>
      <c r="H149" s="355" t="s">
        <v>41</v>
      </c>
      <c r="I149" s="355" t="s">
        <v>42</v>
      </c>
      <c r="J149" s="355"/>
      <c r="K149" s="355" t="s">
        <v>43</v>
      </c>
    </row>
    <row r="150" spans="1:11">
      <c r="A150" s="222" t="s">
        <v>152</v>
      </c>
      <c r="B150" s="225"/>
      <c r="C150" s="225"/>
      <c r="D150" s="225">
        <v>321820</v>
      </c>
      <c r="E150" s="356">
        <v>3</v>
      </c>
      <c r="F150" s="241">
        <v>0.86</v>
      </c>
      <c r="G150" s="356">
        <v>0.14000000000000001</v>
      </c>
      <c r="H150" s="242">
        <v>278.75</v>
      </c>
      <c r="I150" s="242">
        <v>74.25</v>
      </c>
      <c r="J150" s="225"/>
      <c r="K150" s="242">
        <f>((F150*H150)+(G150*I150))*E150</f>
        <v>750.36</v>
      </c>
    </row>
    <row r="151" spans="1:11">
      <c r="A151" s="222"/>
      <c r="B151" s="225"/>
      <c r="C151" s="225"/>
      <c r="D151" s="225"/>
      <c r="E151" s="242"/>
      <c r="F151" s="225"/>
      <c r="G151" s="225"/>
      <c r="H151" s="241"/>
      <c r="I151" s="225"/>
      <c r="J151" s="225"/>
      <c r="K151" s="242"/>
    </row>
    <row r="152" spans="1:11">
      <c r="A152" s="358"/>
      <c r="B152" s="359"/>
      <c r="C152" s="359"/>
      <c r="D152" s="359"/>
      <c r="E152" s="359"/>
      <c r="F152" s="359"/>
      <c r="G152" s="359"/>
      <c r="H152" s="359"/>
      <c r="I152" s="359"/>
      <c r="J152" s="360" t="s">
        <v>44</v>
      </c>
      <c r="K152" s="361">
        <f>SUM(K150:K150)</f>
        <v>750.36</v>
      </c>
    </row>
    <row r="153" spans="1:11">
      <c r="A153" s="354" t="s">
        <v>45</v>
      </c>
      <c r="B153" s="355" t="s">
        <v>11308</v>
      </c>
      <c r="C153" s="355" t="s">
        <v>17663</v>
      </c>
      <c r="D153" s="355" t="s">
        <v>0</v>
      </c>
      <c r="E153" s="355" t="s">
        <v>36</v>
      </c>
      <c r="F153" s="355" t="s">
        <v>46</v>
      </c>
      <c r="G153" s="355" t="s">
        <v>47</v>
      </c>
      <c r="H153" s="355" t="s">
        <v>25</v>
      </c>
      <c r="I153" s="355"/>
      <c r="J153" s="355"/>
      <c r="K153" s="355" t="s">
        <v>43</v>
      </c>
    </row>
    <row r="154" spans="1:11">
      <c r="A154" s="222"/>
      <c r="B154" s="225"/>
      <c r="C154" s="225"/>
      <c r="D154" s="225"/>
      <c r="E154" s="242"/>
      <c r="F154" s="225"/>
      <c r="G154" s="225"/>
      <c r="H154" s="241"/>
      <c r="I154" s="225"/>
      <c r="J154" s="225"/>
      <c r="K154" s="242"/>
    </row>
    <row r="155" spans="1:11">
      <c r="A155" s="222"/>
      <c r="B155" s="225"/>
      <c r="C155" s="225"/>
      <c r="D155" s="225"/>
      <c r="E155" s="242"/>
      <c r="F155" s="225"/>
      <c r="G155" s="225"/>
      <c r="H155" s="241"/>
      <c r="I155" s="225"/>
      <c r="J155" s="225"/>
      <c r="K155" s="242"/>
    </row>
    <row r="156" spans="1:11">
      <c r="A156" s="358"/>
      <c r="B156" s="359"/>
      <c r="C156" s="359"/>
      <c r="D156" s="359"/>
      <c r="E156" s="359"/>
      <c r="F156" s="359"/>
      <c r="G156" s="359"/>
      <c r="H156" s="359"/>
      <c r="I156" s="359"/>
      <c r="J156" s="360" t="s">
        <v>48</v>
      </c>
      <c r="K156" s="361">
        <f>SUM(K155:K155)</f>
        <v>0</v>
      </c>
    </row>
    <row r="157" spans="1:11">
      <c r="A157" s="354" t="s">
        <v>49</v>
      </c>
      <c r="B157" s="355" t="s">
        <v>11308</v>
      </c>
      <c r="C157" s="355" t="s">
        <v>17663</v>
      </c>
      <c r="D157" s="355" t="s">
        <v>0</v>
      </c>
      <c r="E157" s="355" t="s">
        <v>14</v>
      </c>
      <c r="F157" s="355" t="s">
        <v>50</v>
      </c>
      <c r="G157" s="355" t="s">
        <v>29</v>
      </c>
      <c r="H157" s="355" t="s">
        <v>30</v>
      </c>
      <c r="I157" s="355"/>
      <c r="J157" s="355"/>
      <c r="K157" s="355" t="s">
        <v>33</v>
      </c>
    </row>
    <row r="158" spans="1:11">
      <c r="A158" s="222"/>
      <c r="B158" s="225"/>
      <c r="C158" s="225"/>
      <c r="D158" s="225"/>
      <c r="E158" s="225"/>
      <c r="F158" s="225"/>
      <c r="G158" s="225"/>
      <c r="H158" s="225"/>
      <c r="I158" s="225"/>
      <c r="J158" s="225"/>
      <c r="K158" s="357"/>
    </row>
    <row r="159" spans="1:11">
      <c r="A159" s="222"/>
      <c r="B159" s="225"/>
      <c r="C159" s="225"/>
      <c r="D159" s="225"/>
      <c r="E159" s="225"/>
      <c r="F159" s="225"/>
      <c r="G159" s="225"/>
      <c r="H159" s="225"/>
      <c r="I159" s="225"/>
      <c r="J159" s="225"/>
      <c r="K159" s="357"/>
    </row>
    <row r="160" spans="1:11">
      <c r="A160" s="358"/>
      <c r="B160" s="359"/>
      <c r="C160" s="359"/>
      <c r="D160" s="359"/>
      <c r="E160" s="359"/>
      <c r="F160" s="359"/>
      <c r="G160" s="359"/>
      <c r="H160" s="359"/>
      <c r="I160" s="359"/>
      <c r="J160" s="360" t="s">
        <v>51</v>
      </c>
      <c r="K160" s="361">
        <f>SUM(K159:K159)</f>
        <v>0</v>
      </c>
    </row>
    <row r="161" spans="1:11">
      <c r="A161" s="568" t="s">
        <v>52</v>
      </c>
      <c r="B161" s="568"/>
      <c r="C161" s="568"/>
      <c r="D161" s="568"/>
      <c r="E161" s="568"/>
      <c r="F161" s="568"/>
      <c r="G161" s="568"/>
      <c r="H161" s="568"/>
      <c r="I161" s="568"/>
      <c r="J161" s="568"/>
      <c r="K161" s="361">
        <f>K152+K156+K160</f>
        <v>750.36</v>
      </c>
    </row>
    <row r="162" spans="1:11">
      <c r="A162" s="568" t="s">
        <v>53</v>
      </c>
      <c r="B162" s="568"/>
      <c r="C162" s="568"/>
      <c r="D162" s="568"/>
      <c r="E162" s="568"/>
      <c r="F162" s="568"/>
      <c r="G162" s="568"/>
      <c r="H162" s="568"/>
      <c r="I162" s="568"/>
      <c r="J162" s="568"/>
      <c r="K162" s="361">
        <v>457.16</v>
      </c>
    </row>
    <row r="163" spans="1:11">
      <c r="A163" s="566" t="s">
        <v>54</v>
      </c>
      <c r="B163" s="566"/>
      <c r="C163" s="566"/>
      <c r="D163" s="566"/>
      <c r="E163" s="566"/>
      <c r="F163" s="566"/>
      <c r="G163" s="566"/>
      <c r="H163" s="566"/>
      <c r="I163" s="566"/>
      <c r="J163" s="566"/>
      <c r="K163" s="362">
        <f>IF(K161=0,0,K161/K162)</f>
        <v>1.6413509493393996</v>
      </c>
    </row>
    <row r="164" spans="1:11">
      <c r="A164" s="354" t="s">
        <v>55</v>
      </c>
      <c r="B164" s="355" t="s">
        <v>11308</v>
      </c>
      <c r="C164" s="355" t="s">
        <v>17663</v>
      </c>
      <c r="D164" s="355" t="s">
        <v>0</v>
      </c>
      <c r="E164" s="355" t="s">
        <v>2</v>
      </c>
      <c r="F164" s="567" t="s">
        <v>9</v>
      </c>
      <c r="G164" s="567"/>
      <c r="H164" s="567" t="s">
        <v>25</v>
      </c>
      <c r="I164" s="567"/>
      <c r="J164" s="355"/>
      <c r="K164" s="355" t="s">
        <v>56</v>
      </c>
    </row>
    <row r="165" spans="1:11">
      <c r="A165" s="222"/>
      <c r="B165" s="225"/>
      <c r="C165" s="225"/>
      <c r="D165" s="225"/>
      <c r="E165" s="225"/>
      <c r="F165" s="225"/>
      <c r="G165" s="224"/>
      <c r="H165" s="375"/>
      <c r="I165" s="375"/>
      <c r="J165" s="225"/>
      <c r="K165" s="357"/>
    </row>
    <row r="166" spans="1:11">
      <c r="A166" s="222"/>
      <c r="B166" s="225"/>
      <c r="C166" s="225"/>
      <c r="D166" s="225"/>
      <c r="E166" s="225"/>
      <c r="F166" s="225"/>
      <c r="G166" s="224"/>
      <c r="H166" s="375"/>
      <c r="I166" s="375"/>
      <c r="J166" s="225"/>
      <c r="K166" s="357"/>
    </row>
    <row r="167" spans="1:11">
      <c r="A167" s="364"/>
      <c r="B167" s="365"/>
      <c r="C167" s="365"/>
      <c r="D167" s="365"/>
      <c r="E167" s="365"/>
      <c r="F167" s="365"/>
      <c r="G167" s="365"/>
      <c r="H167" s="365"/>
      <c r="I167" s="365"/>
      <c r="J167" s="366" t="s">
        <v>57</v>
      </c>
      <c r="K167" s="362">
        <f>SUM(K166:K166)</f>
        <v>0</v>
      </c>
    </row>
    <row r="168" spans="1:11">
      <c r="A168" s="354" t="s">
        <v>58</v>
      </c>
      <c r="B168" s="355" t="s">
        <v>11308</v>
      </c>
      <c r="C168" s="355" t="s">
        <v>17663</v>
      </c>
      <c r="D168" s="355" t="s">
        <v>0</v>
      </c>
      <c r="E168" s="355" t="s">
        <v>2</v>
      </c>
      <c r="F168" s="567" t="s">
        <v>9</v>
      </c>
      <c r="G168" s="567"/>
      <c r="H168" s="567" t="s">
        <v>25</v>
      </c>
      <c r="I168" s="567"/>
      <c r="J168" s="355"/>
      <c r="K168" s="355" t="s">
        <v>56</v>
      </c>
    </row>
    <row r="169" spans="1:11">
      <c r="A169" s="222"/>
      <c r="B169" s="225"/>
      <c r="C169" s="225"/>
      <c r="D169" s="225"/>
      <c r="E169" s="372"/>
      <c r="F169" s="225"/>
      <c r="G169" s="224"/>
      <c r="H169" s="241"/>
      <c r="I169" s="240"/>
      <c r="J169" s="225"/>
      <c r="K169" s="242"/>
    </row>
    <row r="170" spans="1:11">
      <c r="A170" s="222"/>
      <c r="B170" s="225"/>
      <c r="C170" s="225"/>
      <c r="D170" s="225"/>
      <c r="E170" s="372"/>
      <c r="F170" s="225"/>
      <c r="G170" s="224"/>
      <c r="H170" s="241"/>
      <c r="I170" s="240"/>
      <c r="J170" s="225"/>
      <c r="K170" s="242"/>
    </row>
    <row r="171" spans="1:11">
      <c r="A171" s="364"/>
      <c r="B171" s="365"/>
      <c r="C171" s="365"/>
      <c r="D171" s="365"/>
      <c r="E171" s="365"/>
      <c r="F171" s="365"/>
      <c r="G171" s="365"/>
      <c r="H171" s="365"/>
      <c r="I171" s="365"/>
      <c r="J171" s="366" t="s">
        <v>59</v>
      </c>
      <c r="K171" s="362">
        <f>SUM(K170:K170)</f>
        <v>0</v>
      </c>
    </row>
    <row r="172" spans="1:11">
      <c r="E172" s="367"/>
      <c r="F172" s="367"/>
      <c r="G172" s="367"/>
      <c r="H172" s="367"/>
      <c r="I172" s="367"/>
      <c r="J172" s="368"/>
      <c r="K172" s="369"/>
    </row>
    <row r="173" spans="1:11">
      <c r="E173" s="367"/>
      <c r="F173" s="367"/>
      <c r="G173" s="367"/>
      <c r="H173" s="367"/>
      <c r="I173" s="367"/>
      <c r="J173" s="368"/>
      <c r="K173" s="369"/>
    </row>
    <row r="174" spans="1:11">
      <c r="A174" s="337" t="s">
        <v>22641</v>
      </c>
      <c r="B174" s="337" t="s">
        <v>371</v>
      </c>
      <c r="C174" s="370" t="s">
        <v>326</v>
      </c>
      <c r="D174" s="563" t="s">
        <v>216</v>
      </c>
      <c r="E174" s="563"/>
      <c r="F174" s="563"/>
      <c r="G174" s="563"/>
      <c r="H174" s="563"/>
      <c r="I174" s="563"/>
      <c r="J174" s="253" t="s">
        <v>17667</v>
      </c>
      <c r="K174" s="373">
        <f>K189+K193+K197</f>
        <v>36.5913509493394</v>
      </c>
    </row>
    <row r="175" spans="1:11">
      <c r="A175" s="354" t="s">
        <v>27</v>
      </c>
      <c r="B175" s="355" t="s">
        <v>11308</v>
      </c>
      <c r="C175" s="355" t="s">
        <v>17663</v>
      </c>
      <c r="D175" s="355" t="s">
        <v>0</v>
      </c>
      <c r="E175" s="355" t="s">
        <v>1</v>
      </c>
      <c r="F175" s="355" t="s">
        <v>39</v>
      </c>
      <c r="G175" s="355" t="s">
        <v>40</v>
      </c>
      <c r="H175" s="355" t="s">
        <v>41</v>
      </c>
      <c r="I175" s="355" t="s">
        <v>42</v>
      </c>
      <c r="J175" s="355"/>
      <c r="K175" s="355" t="s">
        <v>43</v>
      </c>
    </row>
    <row r="176" spans="1:11">
      <c r="A176" s="222"/>
      <c r="B176" s="225"/>
      <c r="C176" s="225"/>
      <c r="D176" s="225"/>
      <c r="E176" s="356"/>
      <c r="F176" s="241"/>
      <c r="G176" s="356"/>
      <c r="H176" s="242"/>
      <c r="I176" s="242"/>
      <c r="J176" s="225"/>
      <c r="K176" s="242"/>
    </row>
    <row r="177" spans="1:11">
      <c r="A177" s="222"/>
      <c r="B177" s="225"/>
      <c r="C177" s="225"/>
      <c r="D177" s="225"/>
      <c r="E177" s="356"/>
      <c r="F177" s="241"/>
      <c r="G177" s="356"/>
      <c r="H177" s="242"/>
      <c r="I177" s="242"/>
      <c r="J177" s="225"/>
      <c r="K177" s="242"/>
    </row>
    <row r="178" spans="1:11">
      <c r="A178" s="358"/>
      <c r="B178" s="359"/>
      <c r="C178" s="359"/>
      <c r="D178" s="359"/>
      <c r="E178" s="359"/>
      <c r="F178" s="359"/>
      <c r="G178" s="359"/>
      <c r="H178" s="359"/>
      <c r="I178" s="359"/>
      <c r="J178" s="360" t="s">
        <v>44</v>
      </c>
      <c r="K178" s="361">
        <f>SUM(K177:K177)</f>
        <v>0</v>
      </c>
    </row>
    <row r="179" spans="1:11">
      <c r="A179" s="354" t="s">
        <v>45</v>
      </c>
      <c r="B179" s="355" t="s">
        <v>11308</v>
      </c>
      <c r="C179" s="355" t="s">
        <v>17663</v>
      </c>
      <c r="D179" s="355" t="s">
        <v>0</v>
      </c>
      <c r="E179" s="355" t="s">
        <v>36</v>
      </c>
      <c r="F179" s="355" t="s">
        <v>46</v>
      </c>
      <c r="G179" s="355" t="s">
        <v>47</v>
      </c>
      <c r="H179" s="355" t="s">
        <v>25</v>
      </c>
      <c r="I179" s="355"/>
      <c r="J179" s="355"/>
      <c r="K179" s="355" t="s">
        <v>43</v>
      </c>
    </row>
    <row r="180" spans="1:11">
      <c r="A180" s="222"/>
      <c r="B180" s="225"/>
      <c r="C180" s="225"/>
      <c r="D180" s="225"/>
      <c r="E180" s="242"/>
      <c r="F180" s="225"/>
      <c r="G180" s="243"/>
      <c r="H180" s="356"/>
      <c r="I180" s="225"/>
      <c r="J180" s="225"/>
      <c r="K180" s="242"/>
    </row>
    <row r="181" spans="1:11">
      <c r="A181" s="222"/>
      <c r="B181" s="225"/>
      <c r="C181" s="225"/>
      <c r="D181" s="225"/>
      <c r="E181" s="242"/>
      <c r="F181" s="225"/>
      <c r="G181" s="243"/>
      <c r="H181" s="356"/>
      <c r="I181" s="225"/>
      <c r="J181" s="225"/>
      <c r="K181" s="242"/>
    </row>
    <row r="182" spans="1:11">
      <c r="A182" s="358"/>
      <c r="B182" s="359"/>
      <c r="C182" s="359"/>
      <c r="D182" s="359"/>
      <c r="E182" s="359"/>
      <c r="F182" s="359"/>
      <c r="G182" s="359"/>
      <c r="H182" s="359"/>
      <c r="I182" s="359"/>
      <c r="J182" s="360" t="s">
        <v>48</v>
      </c>
      <c r="K182" s="361">
        <f>SUM(K181:K181)</f>
        <v>0</v>
      </c>
    </row>
    <row r="183" spans="1:11">
      <c r="A183" s="354" t="s">
        <v>49</v>
      </c>
      <c r="B183" s="355" t="s">
        <v>11308</v>
      </c>
      <c r="C183" s="355" t="s">
        <v>17663</v>
      </c>
      <c r="D183" s="355" t="s">
        <v>0</v>
      </c>
      <c r="E183" s="355" t="s">
        <v>14</v>
      </c>
      <c r="F183" s="355" t="s">
        <v>50</v>
      </c>
      <c r="G183" s="355" t="s">
        <v>29</v>
      </c>
      <c r="H183" s="355" t="s">
        <v>30</v>
      </c>
      <c r="I183" s="355"/>
      <c r="J183" s="355"/>
      <c r="K183" s="355" t="s">
        <v>33</v>
      </c>
    </row>
    <row r="184" spans="1:11">
      <c r="A184" s="222"/>
      <c r="B184" s="225"/>
      <c r="C184" s="225"/>
      <c r="D184" s="225"/>
      <c r="E184" s="243"/>
      <c r="F184" s="225"/>
      <c r="G184" s="225"/>
      <c r="H184" s="225"/>
      <c r="I184" s="225"/>
      <c r="J184" s="225"/>
      <c r="K184" s="242"/>
    </row>
    <row r="185" spans="1:11">
      <c r="A185" s="222"/>
      <c r="B185" s="225"/>
      <c r="C185" s="225"/>
      <c r="D185" s="225"/>
      <c r="E185" s="243"/>
      <c r="F185" s="225"/>
      <c r="G185" s="225"/>
      <c r="H185" s="225"/>
      <c r="I185" s="225"/>
      <c r="J185" s="225"/>
      <c r="K185" s="242"/>
    </row>
    <row r="186" spans="1:11">
      <c r="A186" s="358"/>
      <c r="B186" s="359"/>
      <c r="C186" s="359"/>
      <c r="D186" s="359"/>
      <c r="E186" s="359"/>
      <c r="F186" s="359"/>
      <c r="G186" s="359"/>
      <c r="H186" s="359"/>
      <c r="I186" s="359"/>
      <c r="J186" s="360" t="s">
        <v>51</v>
      </c>
      <c r="K186" s="361">
        <f>SUM(K185:K185)</f>
        <v>0</v>
      </c>
    </row>
    <row r="187" spans="1:11">
      <c r="A187" s="568" t="s">
        <v>52</v>
      </c>
      <c r="B187" s="568"/>
      <c r="C187" s="568"/>
      <c r="D187" s="568"/>
      <c r="E187" s="568"/>
      <c r="F187" s="568"/>
      <c r="G187" s="568"/>
      <c r="H187" s="568"/>
      <c r="I187" s="568"/>
      <c r="J187" s="568"/>
      <c r="K187" s="361">
        <f>K178+K182+K186</f>
        <v>0</v>
      </c>
    </row>
    <row r="188" spans="1:11">
      <c r="A188" s="568" t="s">
        <v>53</v>
      </c>
      <c r="B188" s="568"/>
      <c r="C188" s="568"/>
      <c r="D188" s="568"/>
      <c r="E188" s="568"/>
      <c r="F188" s="568"/>
      <c r="G188" s="568"/>
      <c r="H188" s="568"/>
      <c r="I188" s="568"/>
      <c r="J188" s="568"/>
      <c r="K188" s="361">
        <v>1</v>
      </c>
    </row>
    <row r="189" spans="1:11">
      <c r="A189" s="566" t="s">
        <v>54</v>
      </c>
      <c r="B189" s="566"/>
      <c r="C189" s="566"/>
      <c r="D189" s="566"/>
      <c r="E189" s="566"/>
      <c r="F189" s="566"/>
      <c r="G189" s="566"/>
      <c r="H189" s="566"/>
      <c r="I189" s="566"/>
      <c r="J189" s="566"/>
      <c r="K189" s="362">
        <f>IF(K187=0,0,K187/K188)</f>
        <v>0</v>
      </c>
    </row>
    <row r="190" spans="1:11">
      <c r="A190" s="354" t="s">
        <v>55</v>
      </c>
      <c r="B190" s="355" t="s">
        <v>11308</v>
      </c>
      <c r="C190" s="355" t="s">
        <v>17663</v>
      </c>
      <c r="D190" s="355" t="s">
        <v>0</v>
      </c>
      <c r="E190" s="355" t="s">
        <v>2</v>
      </c>
      <c r="F190" s="567" t="s">
        <v>9</v>
      </c>
      <c r="G190" s="567"/>
      <c r="H190" s="567" t="s">
        <v>25</v>
      </c>
      <c r="I190" s="567"/>
      <c r="J190" s="355"/>
      <c r="K190" s="355" t="s">
        <v>56</v>
      </c>
    </row>
    <row r="191" spans="1:11">
      <c r="A191" s="222" t="str">
        <f>VLOOKUP(D191,'23. CUSTOS COTAÇÕES DE MERCADO'!A:B,2,0)</f>
        <v>Material de jazida comercial (saibro)</v>
      </c>
      <c r="B191" s="225" t="s">
        <v>22707</v>
      </c>
      <c r="C191" s="225" t="s">
        <v>22709</v>
      </c>
      <c r="D191" s="225" t="s">
        <v>60</v>
      </c>
      <c r="E191" s="372" t="str">
        <f>VLOOKUP(D191,'23. CUSTOS COTAÇÕES DE MERCADO'!A:D,4,0)</f>
        <v>M3</v>
      </c>
      <c r="F191" s="225"/>
      <c r="G191" s="224">
        <f>VLOOKUP(D191,'23. CUSTOS COTAÇÕES DE MERCADO'!A:F,6,0)</f>
        <v>34.950000000000003</v>
      </c>
      <c r="H191" s="241"/>
      <c r="I191" s="376">
        <v>1</v>
      </c>
      <c r="J191" s="225"/>
      <c r="K191" s="242">
        <f>G191*I191</f>
        <v>34.950000000000003</v>
      </c>
    </row>
    <row r="192" spans="1:11">
      <c r="A192" s="222"/>
      <c r="B192" s="225"/>
      <c r="C192" s="225"/>
      <c r="D192" s="225"/>
      <c r="E192" s="243"/>
      <c r="F192" s="225"/>
      <c r="G192" s="225"/>
      <c r="H192" s="225"/>
      <c r="I192" s="225"/>
      <c r="J192" s="225"/>
      <c r="K192" s="242"/>
    </row>
    <row r="193" spans="1:11">
      <c r="A193" s="364"/>
      <c r="B193" s="365"/>
      <c r="C193" s="365"/>
      <c r="D193" s="365"/>
      <c r="E193" s="365"/>
      <c r="F193" s="365"/>
      <c r="G193" s="365"/>
      <c r="H193" s="365"/>
      <c r="I193" s="365"/>
      <c r="J193" s="366" t="s">
        <v>57</v>
      </c>
      <c r="K193" s="362">
        <f>SUM(K191:K191)</f>
        <v>34.950000000000003</v>
      </c>
    </row>
    <row r="194" spans="1:11">
      <c r="A194" s="354" t="s">
        <v>58</v>
      </c>
      <c r="B194" s="355" t="s">
        <v>11308</v>
      </c>
      <c r="C194" s="355" t="s">
        <v>17663</v>
      </c>
      <c r="D194" s="355" t="s">
        <v>0</v>
      </c>
      <c r="E194" s="355" t="s">
        <v>2</v>
      </c>
      <c r="F194" s="567" t="s">
        <v>9</v>
      </c>
      <c r="G194" s="567"/>
      <c r="H194" s="567" t="s">
        <v>25</v>
      </c>
      <c r="I194" s="567"/>
      <c r="J194" s="355"/>
      <c r="K194" s="355" t="s">
        <v>56</v>
      </c>
    </row>
    <row r="195" spans="1:11" ht="47.25">
      <c r="A195" s="222" t="s">
        <v>108</v>
      </c>
      <c r="B195" s="225" t="s">
        <v>358</v>
      </c>
      <c r="C195" s="225" t="s">
        <v>22710</v>
      </c>
      <c r="D195" s="225" t="s">
        <v>22642</v>
      </c>
      <c r="E195" s="372" t="s">
        <v>18</v>
      </c>
      <c r="F195" s="225"/>
      <c r="G195" s="224">
        <f>K148</f>
        <v>1.6413509493393996</v>
      </c>
      <c r="H195" s="241"/>
      <c r="I195" s="246">
        <v>1</v>
      </c>
      <c r="J195" s="241"/>
      <c r="K195" s="242">
        <f>G195*I195</f>
        <v>1.6413509493393996</v>
      </c>
    </row>
    <row r="196" spans="1:11">
      <c r="A196" s="222"/>
      <c r="B196" s="225"/>
      <c r="C196" s="225"/>
      <c r="D196" s="225"/>
      <c r="E196" s="243"/>
      <c r="F196" s="225"/>
      <c r="G196" s="225"/>
      <c r="H196" s="225"/>
      <c r="I196" s="225"/>
      <c r="J196" s="225"/>
      <c r="K196" s="242"/>
    </row>
    <row r="197" spans="1:11">
      <c r="A197" s="364"/>
      <c r="B197" s="365"/>
      <c r="C197" s="365"/>
      <c r="D197" s="365"/>
      <c r="E197" s="365"/>
      <c r="F197" s="365"/>
      <c r="G197" s="365"/>
      <c r="H197" s="365"/>
      <c r="I197" s="365"/>
      <c r="J197" s="366" t="s">
        <v>59</v>
      </c>
      <c r="K197" s="362">
        <f>SUM(K195:K195)</f>
        <v>1.6413509493393996</v>
      </c>
    </row>
    <row r="198" spans="1:11">
      <c r="E198" s="367"/>
      <c r="F198" s="367"/>
      <c r="G198" s="367"/>
      <c r="H198" s="367"/>
      <c r="I198" s="367"/>
      <c r="J198" s="368"/>
      <c r="K198" s="369"/>
    </row>
    <row r="199" spans="1:11">
      <c r="E199" s="367"/>
      <c r="F199" s="367"/>
      <c r="G199" s="367"/>
      <c r="H199" s="367"/>
      <c r="I199" s="367"/>
      <c r="J199" s="368"/>
      <c r="K199" s="369"/>
    </row>
    <row r="200" spans="1:11">
      <c r="A200" s="337" t="s">
        <v>22643</v>
      </c>
      <c r="B200" s="337" t="s">
        <v>371</v>
      </c>
      <c r="C200" s="370" t="s">
        <v>326</v>
      </c>
      <c r="D200" s="563" t="s">
        <v>217</v>
      </c>
      <c r="E200" s="563"/>
      <c r="F200" s="563"/>
      <c r="G200" s="563"/>
      <c r="H200" s="563"/>
      <c r="I200" s="563"/>
      <c r="J200" s="253" t="s">
        <v>17667</v>
      </c>
      <c r="K200" s="373">
        <f>K215+K219+K223</f>
        <v>36.5913509493394</v>
      </c>
    </row>
    <row r="201" spans="1:11">
      <c r="A201" s="354" t="s">
        <v>27</v>
      </c>
      <c r="B201" s="355" t="s">
        <v>11308</v>
      </c>
      <c r="C201" s="355" t="s">
        <v>17663</v>
      </c>
      <c r="D201" s="355" t="s">
        <v>0</v>
      </c>
      <c r="E201" s="355" t="s">
        <v>1</v>
      </c>
      <c r="F201" s="355" t="s">
        <v>39</v>
      </c>
      <c r="G201" s="355" t="s">
        <v>40</v>
      </c>
      <c r="H201" s="355" t="s">
        <v>41</v>
      </c>
      <c r="I201" s="355" t="s">
        <v>42</v>
      </c>
      <c r="J201" s="355"/>
      <c r="K201" s="355" t="s">
        <v>43</v>
      </c>
    </row>
    <row r="202" spans="1:11">
      <c r="A202" s="222"/>
      <c r="B202" s="225"/>
      <c r="C202" s="225"/>
      <c r="D202" s="225"/>
      <c r="E202" s="356"/>
      <c r="F202" s="241"/>
      <c r="G202" s="356"/>
      <c r="H202" s="242"/>
      <c r="I202" s="242"/>
      <c r="J202" s="225"/>
      <c r="K202" s="242"/>
    </row>
    <row r="203" spans="1:11">
      <c r="A203" s="222"/>
      <c r="B203" s="225"/>
      <c r="C203" s="225"/>
      <c r="D203" s="225"/>
      <c r="E203" s="356"/>
      <c r="F203" s="241"/>
      <c r="G203" s="356"/>
      <c r="H203" s="242"/>
      <c r="I203" s="242"/>
      <c r="J203" s="225"/>
      <c r="K203" s="242"/>
    </row>
    <row r="204" spans="1:11">
      <c r="A204" s="358"/>
      <c r="B204" s="359"/>
      <c r="C204" s="359"/>
      <c r="D204" s="359"/>
      <c r="E204" s="359"/>
      <c r="F204" s="359"/>
      <c r="G204" s="359"/>
      <c r="H204" s="359"/>
      <c r="I204" s="359"/>
      <c r="J204" s="360" t="s">
        <v>44</v>
      </c>
      <c r="K204" s="361">
        <f>SUM(K203:K203)</f>
        <v>0</v>
      </c>
    </row>
    <row r="205" spans="1:11">
      <c r="A205" s="354" t="s">
        <v>45</v>
      </c>
      <c r="B205" s="355" t="s">
        <v>11308</v>
      </c>
      <c r="C205" s="355" t="s">
        <v>17663</v>
      </c>
      <c r="D205" s="355" t="s">
        <v>0</v>
      </c>
      <c r="E205" s="355" t="s">
        <v>36</v>
      </c>
      <c r="F205" s="355" t="s">
        <v>46</v>
      </c>
      <c r="G205" s="355" t="s">
        <v>47</v>
      </c>
      <c r="H205" s="355" t="s">
        <v>25</v>
      </c>
      <c r="I205" s="355"/>
      <c r="J205" s="355"/>
      <c r="K205" s="355" t="s">
        <v>43</v>
      </c>
    </row>
    <row r="206" spans="1:11">
      <c r="A206" s="222"/>
      <c r="B206" s="225"/>
      <c r="C206" s="225"/>
      <c r="D206" s="225"/>
      <c r="E206" s="242"/>
      <c r="F206" s="225"/>
      <c r="G206" s="243"/>
      <c r="H206" s="356"/>
      <c r="I206" s="225"/>
      <c r="J206" s="225"/>
      <c r="K206" s="242"/>
    </row>
    <row r="207" spans="1:11">
      <c r="A207" s="222"/>
      <c r="B207" s="225"/>
      <c r="C207" s="225"/>
      <c r="D207" s="225"/>
      <c r="E207" s="242"/>
      <c r="F207" s="225"/>
      <c r="G207" s="243"/>
      <c r="H207" s="356"/>
      <c r="I207" s="225"/>
      <c r="J207" s="225"/>
      <c r="K207" s="242"/>
    </row>
    <row r="208" spans="1:11">
      <c r="A208" s="358"/>
      <c r="B208" s="359"/>
      <c r="C208" s="359"/>
      <c r="D208" s="359"/>
      <c r="E208" s="359"/>
      <c r="F208" s="359"/>
      <c r="G208" s="359"/>
      <c r="H208" s="359"/>
      <c r="I208" s="359"/>
      <c r="J208" s="360" t="s">
        <v>48</v>
      </c>
      <c r="K208" s="361">
        <f>SUM(K207:K207)</f>
        <v>0</v>
      </c>
    </row>
    <row r="209" spans="1:11">
      <c r="A209" s="354" t="s">
        <v>49</v>
      </c>
      <c r="B209" s="355" t="s">
        <v>11308</v>
      </c>
      <c r="C209" s="355" t="s">
        <v>17663</v>
      </c>
      <c r="D209" s="355" t="s">
        <v>0</v>
      </c>
      <c r="E209" s="355" t="s">
        <v>14</v>
      </c>
      <c r="F209" s="355" t="s">
        <v>50</v>
      </c>
      <c r="G209" s="355" t="s">
        <v>29</v>
      </c>
      <c r="H209" s="355" t="s">
        <v>30</v>
      </c>
      <c r="I209" s="355"/>
      <c r="J209" s="355"/>
      <c r="K209" s="355" t="s">
        <v>33</v>
      </c>
    </row>
    <row r="210" spans="1:11">
      <c r="A210" s="222"/>
      <c r="B210" s="225"/>
      <c r="C210" s="225"/>
      <c r="D210" s="225"/>
      <c r="E210" s="243"/>
      <c r="F210" s="225"/>
      <c r="G210" s="225"/>
      <c r="H210" s="225"/>
      <c r="I210" s="225"/>
      <c r="J210" s="225"/>
      <c r="K210" s="242"/>
    </row>
    <row r="211" spans="1:11">
      <c r="A211" s="222"/>
      <c r="B211" s="225"/>
      <c r="C211" s="225"/>
      <c r="D211" s="225"/>
      <c r="E211" s="243"/>
      <c r="F211" s="225"/>
      <c r="G211" s="225"/>
      <c r="H211" s="225"/>
      <c r="I211" s="225"/>
      <c r="J211" s="225"/>
      <c r="K211" s="242"/>
    </row>
    <row r="212" spans="1:11">
      <c r="A212" s="358"/>
      <c r="B212" s="359"/>
      <c r="C212" s="359"/>
      <c r="D212" s="359"/>
      <c r="E212" s="359"/>
      <c r="F212" s="359"/>
      <c r="G212" s="359"/>
      <c r="H212" s="359"/>
      <c r="I212" s="359"/>
      <c r="J212" s="360" t="s">
        <v>51</v>
      </c>
      <c r="K212" s="361">
        <f>SUM(K211:K211)</f>
        <v>0</v>
      </c>
    </row>
    <row r="213" spans="1:11">
      <c r="A213" s="568" t="s">
        <v>52</v>
      </c>
      <c r="B213" s="568"/>
      <c r="C213" s="568"/>
      <c r="D213" s="568"/>
      <c r="E213" s="568"/>
      <c r="F213" s="568"/>
      <c r="G213" s="568"/>
      <c r="H213" s="568"/>
      <c r="I213" s="568"/>
      <c r="J213" s="568"/>
      <c r="K213" s="361">
        <f>K204+K208+K212</f>
        <v>0</v>
      </c>
    </row>
    <row r="214" spans="1:11">
      <c r="A214" s="568" t="s">
        <v>53</v>
      </c>
      <c r="B214" s="568"/>
      <c r="C214" s="568"/>
      <c r="D214" s="568"/>
      <c r="E214" s="568"/>
      <c r="F214" s="568"/>
      <c r="G214" s="568"/>
      <c r="H214" s="568"/>
      <c r="I214" s="568"/>
      <c r="J214" s="568"/>
      <c r="K214" s="361">
        <v>1</v>
      </c>
    </row>
    <row r="215" spans="1:11">
      <c r="A215" s="566" t="s">
        <v>54</v>
      </c>
      <c r="B215" s="566"/>
      <c r="C215" s="566"/>
      <c r="D215" s="566"/>
      <c r="E215" s="566"/>
      <c r="F215" s="566"/>
      <c r="G215" s="566"/>
      <c r="H215" s="566"/>
      <c r="I215" s="566"/>
      <c r="J215" s="566"/>
      <c r="K215" s="362">
        <f>IF(K213=0,0,K213/K214)</f>
        <v>0</v>
      </c>
    </row>
    <row r="216" spans="1:11">
      <c r="A216" s="354" t="s">
        <v>55</v>
      </c>
      <c r="B216" s="355" t="s">
        <v>11308</v>
      </c>
      <c r="C216" s="355" t="s">
        <v>17663</v>
      </c>
      <c r="D216" s="355" t="s">
        <v>0</v>
      </c>
      <c r="E216" s="355" t="s">
        <v>2</v>
      </c>
      <c r="F216" s="567" t="s">
        <v>9</v>
      </c>
      <c r="G216" s="567"/>
      <c r="H216" s="567" t="s">
        <v>25</v>
      </c>
      <c r="I216" s="567"/>
      <c r="J216" s="355"/>
      <c r="K216" s="355" t="s">
        <v>56</v>
      </c>
    </row>
    <row r="217" spans="1:11">
      <c r="A217" s="222" t="str">
        <f>VLOOKUP(D217,'23. CUSTOS COTAÇÕES DE MERCADO'!A:B,2,0)</f>
        <v>Material de jazida comercial (saibro)</v>
      </c>
      <c r="B217" s="225" t="s">
        <v>22707</v>
      </c>
      <c r="C217" s="225" t="s">
        <v>22709</v>
      </c>
      <c r="D217" s="225" t="s">
        <v>60</v>
      </c>
      <c r="E217" s="372" t="str">
        <f>VLOOKUP(D217,'23. CUSTOS COTAÇÕES DE MERCADO'!A:D,4,0)</f>
        <v>M3</v>
      </c>
      <c r="F217" s="225"/>
      <c r="G217" s="224">
        <f>VLOOKUP(D217,'23. CUSTOS COTAÇÕES DE MERCADO'!A:F,6,0)</f>
        <v>34.950000000000003</v>
      </c>
      <c r="H217" s="241"/>
      <c r="I217" s="374">
        <v>1</v>
      </c>
      <c r="J217" s="225"/>
      <c r="K217" s="242">
        <f>G217*I217</f>
        <v>34.950000000000003</v>
      </c>
    </row>
    <row r="218" spans="1:11">
      <c r="A218" s="222"/>
      <c r="B218" s="225"/>
      <c r="C218" s="225"/>
      <c r="D218" s="225"/>
      <c r="E218" s="243"/>
      <c r="F218" s="225"/>
      <c r="G218" s="225"/>
      <c r="H218" s="225"/>
      <c r="I218" s="225"/>
      <c r="J218" s="225"/>
      <c r="K218" s="242"/>
    </row>
    <row r="219" spans="1:11">
      <c r="A219" s="364"/>
      <c r="B219" s="365"/>
      <c r="C219" s="365"/>
      <c r="D219" s="365"/>
      <c r="E219" s="365"/>
      <c r="F219" s="365"/>
      <c r="G219" s="365"/>
      <c r="H219" s="365"/>
      <c r="I219" s="365"/>
      <c r="J219" s="366" t="s">
        <v>57</v>
      </c>
      <c r="K219" s="362">
        <f>SUM(K217:K217)</f>
        <v>34.950000000000003</v>
      </c>
    </row>
    <row r="220" spans="1:11">
      <c r="A220" s="354" t="s">
        <v>58</v>
      </c>
      <c r="B220" s="355" t="s">
        <v>11308</v>
      </c>
      <c r="C220" s="355" t="s">
        <v>17663</v>
      </c>
      <c r="D220" s="355" t="s">
        <v>0</v>
      </c>
      <c r="E220" s="355" t="s">
        <v>2</v>
      </c>
      <c r="F220" s="567" t="s">
        <v>9</v>
      </c>
      <c r="G220" s="567"/>
      <c r="H220" s="567" t="s">
        <v>25</v>
      </c>
      <c r="I220" s="567"/>
      <c r="J220" s="355"/>
      <c r="K220" s="355" t="s">
        <v>56</v>
      </c>
    </row>
    <row r="221" spans="1:11" ht="47.25">
      <c r="A221" s="222" t="s">
        <v>108</v>
      </c>
      <c r="B221" s="225" t="s">
        <v>358</v>
      </c>
      <c r="C221" s="225" t="s">
        <v>22710</v>
      </c>
      <c r="D221" s="225" t="s">
        <v>22642</v>
      </c>
      <c r="E221" s="372" t="s">
        <v>18</v>
      </c>
      <c r="F221" s="225"/>
      <c r="G221" s="224">
        <f>K148</f>
        <v>1.6413509493393996</v>
      </c>
      <c r="H221" s="241"/>
      <c r="I221" s="246">
        <v>1</v>
      </c>
      <c r="J221" s="241"/>
      <c r="K221" s="242">
        <f>G221*I221</f>
        <v>1.6413509493393996</v>
      </c>
    </row>
    <row r="222" spans="1:11">
      <c r="A222" s="222"/>
      <c r="B222" s="225"/>
      <c r="C222" s="225"/>
      <c r="D222" s="225"/>
      <c r="E222" s="243"/>
      <c r="F222" s="225"/>
      <c r="G222" s="225"/>
      <c r="H222" s="225"/>
      <c r="I222" s="225"/>
      <c r="J222" s="225"/>
      <c r="K222" s="242"/>
    </row>
    <row r="223" spans="1:11">
      <c r="A223" s="364"/>
      <c r="B223" s="365"/>
      <c r="C223" s="365"/>
      <c r="D223" s="365"/>
      <c r="E223" s="365"/>
      <c r="F223" s="365"/>
      <c r="G223" s="365"/>
      <c r="H223" s="365"/>
      <c r="I223" s="365"/>
      <c r="J223" s="366" t="s">
        <v>59</v>
      </c>
      <c r="K223" s="362">
        <f>SUM(K221:K221)</f>
        <v>1.6413509493393996</v>
      </c>
    </row>
    <row r="224" spans="1:11">
      <c r="E224" s="367"/>
      <c r="F224" s="367"/>
      <c r="G224" s="367"/>
      <c r="H224" s="367"/>
      <c r="I224" s="367"/>
      <c r="J224" s="368"/>
      <c r="K224" s="369"/>
    </row>
    <row r="225" spans="1:11">
      <c r="E225" s="367"/>
      <c r="F225" s="367"/>
      <c r="G225" s="367"/>
      <c r="H225" s="367"/>
      <c r="I225" s="367"/>
      <c r="J225" s="368"/>
      <c r="K225" s="369"/>
    </row>
    <row r="226" spans="1:11">
      <c r="A226" s="337" t="s">
        <v>22644</v>
      </c>
      <c r="B226" s="337" t="s">
        <v>371</v>
      </c>
      <c r="C226" s="370" t="s">
        <v>326</v>
      </c>
      <c r="D226" s="563" t="s">
        <v>218</v>
      </c>
      <c r="E226" s="563"/>
      <c r="F226" s="563"/>
      <c r="G226" s="563"/>
      <c r="H226" s="563"/>
      <c r="I226" s="563"/>
      <c r="J226" s="253" t="s">
        <v>17667</v>
      </c>
      <c r="K226" s="373">
        <f>K241+K246+K250</f>
        <v>84.631756234141221</v>
      </c>
    </row>
    <row r="227" spans="1:11">
      <c r="A227" s="354" t="s">
        <v>27</v>
      </c>
      <c r="B227" s="355" t="s">
        <v>11308</v>
      </c>
      <c r="C227" s="355" t="s">
        <v>17663</v>
      </c>
      <c r="D227" s="355" t="s">
        <v>0</v>
      </c>
      <c r="E227" s="355" t="s">
        <v>1</v>
      </c>
      <c r="F227" s="355" t="s">
        <v>39</v>
      </c>
      <c r="G227" s="355" t="s">
        <v>40</v>
      </c>
      <c r="H227" s="355" t="s">
        <v>41</v>
      </c>
      <c r="I227" s="355" t="s">
        <v>42</v>
      </c>
      <c r="J227" s="355"/>
      <c r="K227" s="355" t="s">
        <v>43</v>
      </c>
    </row>
    <row r="228" spans="1:11">
      <c r="A228" s="222"/>
      <c r="B228" s="225"/>
      <c r="C228" s="225"/>
      <c r="D228" s="225"/>
      <c r="E228" s="241"/>
      <c r="F228" s="241"/>
      <c r="G228" s="356"/>
      <c r="H228" s="242"/>
      <c r="I228" s="242"/>
      <c r="J228" s="225"/>
      <c r="K228" s="242">
        <f>((F228*H228)+(G228*I228))*E228</f>
        <v>0</v>
      </c>
    </row>
    <row r="229" spans="1:11">
      <c r="A229" s="222"/>
      <c r="B229" s="225"/>
      <c r="C229" s="225"/>
      <c r="D229" s="225"/>
      <c r="E229" s="241"/>
      <c r="F229" s="241"/>
      <c r="G229" s="356"/>
      <c r="H229" s="242"/>
      <c r="I229" s="242"/>
      <c r="J229" s="225"/>
      <c r="K229" s="242">
        <f>((F229*H229)+(G229*I229))*E229</f>
        <v>0</v>
      </c>
    </row>
    <row r="230" spans="1:11">
      <c r="A230" s="358"/>
      <c r="B230" s="359"/>
      <c r="C230" s="359"/>
      <c r="D230" s="359"/>
      <c r="E230" s="359"/>
      <c r="F230" s="359"/>
      <c r="G230" s="359"/>
      <c r="H230" s="359"/>
      <c r="I230" s="359"/>
      <c r="J230" s="360" t="s">
        <v>44</v>
      </c>
      <c r="K230" s="361">
        <f>SUM(K228:K229)</f>
        <v>0</v>
      </c>
    </row>
    <row r="231" spans="1:11">
      <c r="A231" s="354" t="s">
        <v>45</v>
      </c>
      <c r="B231" s="355" t="s">
        <v>11308</v>
      </c>
      <c r="C231" s="355" t="s">
        <v>17663</v>
      </c>
      <c r="D231" s="355" t="s">
        <v>0</v>
      </c>
      <c r="E231" s="355" t="s">
        <v>36</v>
      </c>
      <c r="F231" s="355" t="s">
        <v>46</v>
      </c>
      <c r="G231" s="355" t="s">
        <v>47</v>
      </c>
      <c r="H231" s="355" t="s">
        <v>25</v>
      </c>
      <c r="I231" s="355"/>
      <c r="J231" s="355"/>
      <c r="K231" s="355" t="s">
        <v>43</v>
      </c>
    </row>
    <row r="232" spans="1:11">
      <c r="A232" s="222"/>
      <c r="B232" s="225"/>
      <c r="C232" s="225"/>
      <c r="D232" s="225"/>
      <c r="E232" s="242"/>
      <c r="F232" s="225"/>
      <c r="G232" s="225"/>
      <c r="H232" s="241"/>
      <c r="I232" s="225"/>
      <c r="J232" s="225"/>
      <c r="K232" s="242">
        <f>G232*H232</f>
        <v>0</v>
      </c>
    </row>
    <row r="233" spans="1:11">
      <c r="A233" s="222"/>
      <c r="B233" s="225"/>
      <c r="C233" s="225"/>
      <c r="D233" s="225"/>
      <c r="E233" s="242"/>
      <c r="F233" s="225"/>
      <c r="G233" s="225"/>
      <c r="H233" s="241"/>
      <c r="I233" s="225"/>
      <c r="J233" s="225"/>
      <c r="K233" s="242">
        <f>G233*H233</f>
        <v>0</v>
      </c>
    </row>
    <row r="234" spans="1:11">
      <c r="A234" s="358"/>
      <c r="B234" s="359"/>
      <c r="C234" s="359"/>
      <c r="D234" s="359"/>
      <c r="E234" s="359"/>
      <c r="F234" s="359"/>
      <c r="G234" s="359"/>
      <c r="H234" s="359"/>
      <c r="I234" s="359"/>
      <c r="J234" s="360" t="s">
        <v>48</v>
      </c>
      <c r="K234" s="361">
        <f>SUM(K232:K233)</f>
        <v>0</v>
      </c>
    </row>
    <row r="235" spans="1:11">
      <c r="A235" s="354" t="s">
        <v>49</v>
      </c>
      <c r="B235" s="355" t="s">
        <v>11308</v>
      </c>
      <c r="C235" s="355" t="s">
        <v>17663</v>
      </c>
      <c r="D235" s="355" t="s">
        <v>0</v>
      </c>
      <c r="E235" s="355" t="s">
        <v>14</v>
      </c>
      <c r="F235" s="355" t="s">
        <v>50</v>
      </c>
      <c r="G235" s="355" t="s">
        <v>29</v>
      </c>
      <c r="H235" s="355" t="s">
        <v>30</v>
      </c>
      <c r="I235" s="355"/>
      <c r="J235" s="355"/>
      <c r="K235" s="355" t="s">
        <v>33</v>
      </c>
    </row>
    <row r="236" spans="1:11">
      <c r="A236" s="222"/>
      <c r="B236" s="225"/>
      <c r="C236" s="225"/>
      <c r="D236" s="225"/>
      <c r="E236" s="225"/>
      <c r="F236" s="225"/>
      <c r="G236" s="225"/>
      <c r="H236" s="225"/>
      <c r="I236" s="225"/>
      <c r="J236" s="225"/>
      <c r="K236" s="357"/>
    </row>
    <row r="237" spans="1:11">
      <c r="A237" s="222"/>
      <c r="B237" s="225"/>
      <c r="C237" s="225"/>
      <c r="D237" s="225"/>
      <c r="E237" s="225"/>
      <c r="F237" s="225"/>
      <c r="G237" s="225"/>
      <c r="H237" s="225"/>
      <c r="I237" s="225"/>
      <c r="J237" s="225"/>
      <c r="K237" s="357"/>
    </row>
    <row r="238" spans="1:11">
      <c r="A238" s="358"/>
      <c r="B238" s="359"/>
      <c r="C238" s="359"/>
      <c r="D238" s="359"/>
      <c r="E238" s="359"/>
      <c r="F238" s="359"/>
      <c r="G238" s="359"/>
      <c r="H238" s="359"/>
      <c r="I238" s="359"/>
      <c r="J238" s="360" t="s">
        <v>51</v>
      </c>
      <c r="K238" s="361">
        <f>SUM(K236:K237)</f>
        <v>0</v>
      </c>
    </row>
    <row r="239" spans="1:11">
      <c r="A239" s="568" t="s">
        <v>52</v>
      </c>
      <c r="B239" s="568"/>
      <c r="C239" s="568"/>
      <c r="D239" s="568"/>
      <c r="E239" s="568"/>
      <c r="F239" s="568"/>
      <c r="G239" s="568"/>
      <c r="H239" s="568"/>
      <c r="I239" s="568"/>
      <c r="J239" s="568"/>
      <c r="K239" s="361">
        <f>K230+K234+K238</f>
        <v>0</v>
      </c>
    </row>
    <row r="240" spans="1:11">
      <c r="A240" s="568" t="s">
        <v>53</v>
      </c>
      <c r="B240" s="568"/>
      <c r="C240" s="568"/>
      <c r="D240" s="568"/>
      <c r="E240" s="568"/>
      <c r="F240" s="568"/>
      <c r="G240" s="568"/>
      <c r="H240" s="568"/>
      <c r="I240" s="568"/>
      <c r="J240" s="568"/>
      <c r="K240" s="361">
        <v>1</v>
      </c>
    </row>
    <row r="241" spans="1:11">
      <c r="A241" s="566" t="s">
        <v>54</v>
      </c>
      <c r="B241" s="566"/>
      <c r="C241" s="566"/>
      <c r="D241" s="566"/>
      <c r="E241" s="566"/>
      <c r="F241" s="566"/>
      <c r="G241" s="566"/>
      <c r="H241" s="566"/>
      <c r="I241" s="566"/>
      <c r="J241" s="566"/>
      <c r="K241" s="362">
        <f>IF(K239=0,0,K239/K240)</f>
        <v>0</v>
      </c>
    </row>
    <row r="242" spans="1:11">
      <c r="A242" s="354" t="s">
        <v>55</v>
      </c>
      <c r="B242" s="355" t="s">
        <v>11308</v>
      </c>
      <c r="C242" s="355" t="s">
        <v>17663</v>
      </c>
      <c r="D242" s="355" t="s">
        <v>0</v>
      </c>
      <c r="E242" s="355" t="s">
        <v>2</v>
      </c>
      <c r="F242" s="567" t="s">
        <v>9</v>
      </c>
      <c r="G242" s="567"/>
      <c r="H242" s="567" t="s">
        <v>25</v>
      </c>
      <c r="I242" s="567"/>
      <c r="J242" s="355"/>
      <c r="K242" s="355" t="s">
        <v>56</v>
      </c>
    </row>
    <row r="243" spans="1:11">
      <c r="A243" s="222" t="str">
        <f>VLOOKUP(D243,'14. CUSTOS DER - MATERIAIS'!A:B,2,0)</f>
        <v>RACHÃO BRITADO (COMERCIAL)</v>
      </c>
      <c r="B243" s="225" t="s">
        <v>9013</v>
      </c>
      <c r="C243" s="225" t="s">
        <v>68</v>
      </c>
      <c r="D243" s="225">
        <v>130180</v>
      </c>
      <c r="E243" s="225" t="str">
        <f>VLOOKUP(D243,'14. CUSTOS DER - MATERIAIS'!A:C,3,0)</f>
        <v>M3</v>
      </c>
      <c r="F243" s="225"/>
      <c r="G243" s="224">
        <f>VLOOKUP(D243,'14. CUSTOS DER - MATERIAIS'!A:D,4,0)</f>
        <v>63.46</v>
      </c>
      <c r="H243" s="241"/>
      <c r="I243" s="241">
        <v>1.3</v>
      </c>
      <c r="J243" s="225"/>
      <c r="K243" s="242">
        <f>G243*I243</f>
        <v>82.498000000000005</v>
      </c>
    </row>
    <row r="244" spans="1:11">
      <c r="A244" s="222"/>
      <c r="B244" s="225"/>
      <c r="C244" s="225"/>
      <c r="D244" s="225"/>
      <c r="E244" s="225"/>
      <c r="F244" s="225"/>
      <c r="G244" s="224"/>
      <c r="H244" s="241"/>
      <c r="I244" s="241"/>
      <c r="J244" s="225"/>
      <c r="K244" s="242"/>
    </row>
    <row r="245" spans="1:11">
      <c r="A245" s="222"/>
      <c r="B245" s="225"/>
      <c r="C245" s="225"/>
      <c r="D245" s="225"/>
      <c r="E245" s="225"/>
      <c r="F245" s="225"/>
      <c r="G245" s="224"/>
      <c r="H245" s="241"/>
      <c r="I245" s="241"/>
      <c r="J245" s="225"/>
      <c r="K245" s="242"/>
    </row>
    <row r="246" spans="1:11">
      <c r="A246" s="364"/>
      <c r="B246" s="365"/>
      <c r="C246" s="365"/>
      <c r="D246" s="365"/>
      <c r="E246" s="365"/>
      <c r="F246" s="365"/>
      <c r="G246" s="365"/>
      <c r="H246" s="365"/>
      <c r="I246" s="365"/>
      <c r="J246" s="366" t="s">
        <v>57</v>
      </c>
      <c r="K246" s="362">
        <f>SUM(K243:K245)</f>
        <v>82.498000000000005</v>
      </c>
    </row>
    <row r="247" spans="1:11">
      <c r="A247" s="354" t="s">
        <v>58</v>
      </c>
      <c r="B247" s="355" t="s">
        <v>11308</v>
      </c>
      <c r="C247" s="355" t="s">
        <v>17663</v>
      </c>
      <c r="D247" s="355" t="s">
        <v>0</v>
      </c>
      <c r="E247" s="355" t="s">
        <v>2</v>
      </c>
      <c r="F247" s="567" t="s">
        <v>9</v>
      </c>
      <c r="G247" s="567"/>
      <c r="H247" s="567" t="s">
        <v>25</v>
      </c>
      <c r="I247" s="567"/>
      <c r="J247" s="355"/>
      <c r="K247" s="355" t="s">
        <v>56</v>
      </c>
    </row>
    <row r="248" spans="1:11" ht="47.25">
      <c r="A248" s="222" t="s">
        <v>108</v>
      </c>
      <c r="B248" s="225" t="s">
        <v>358</v>
      </c>
      <c r="C248" s="225" t="s">
        <v>22710</v>
      </c>
      <c r="D248" s="225" t="s">
        <v>22642</v>
      </c>
      <c r="E248" s="372" t="s">
        <v>18</v>
      </c>
      <c r="F248" s="225"/>
      <c r="G248" s="224">
        <f>K148</f>
        <v>1.6413509493393996</v>
      </c>
      <c r="H248" s="241"/>
      <c r="I248" s="241">
        <v>1.3</v>
      </c>
      <c r="J248" s="225"/>
      <c r="K248" s="242">
        <f>G248*I248</f>
        <v>2.1337562341412197</v>
      </c>
    </row>
    <row r="249" spans="1:11">
      <c r="A249" s="222"/>
      <c r="B249" s="225"/>
      <c r="C249" s="225"/>
      <c r="D249" s="225"/>
      <c r="E249" s="225"/>
      <c r="F249" s="225"/>
      <c r="G249" s="224"/>
      <c r="H249" s="241"/>
      <c r="I249" s="241"/>
      <c r="J249" s="225"/>
      <c r="K249" s="242"/>
    </row>
    <row r="250" spans="1:11">
      <c r="A250" s="364"/>
      <c r="B250" s="365"/>
      <c r="C250" s="365"/>
      <c r="D250" s="365"/>
      <c r="E250" s="365"/>
      <c r="F250" s="365"/>
      <c r="G250" s="365"/>
      <c r="H250" s="365"/>
      <c r="I250" s="365"/>
      <c r="J250" s="366" t="s">
        <v>59</v>
      </c>
      <c r="K250" s="362">
        <f>SUM(K248:K249)</f>
        <v>2.1337562341412197</v>
      </c>
    </row>
    <row r="251" spans="1:11">
      <c r="E251" s="367"/>
      <c r="F251" s="367"/>
      <c r="G251" s="367"/>
      <c r="H251" s="367"/>
      <c r="I251" s="367"/>
      <c r="J251" s="368"/>
      <c r="K251" s="369"/>
    </row>
    <row r="252" spans="1:11">
      <c r="E252" s="367"/>
      <c r="F252" s="367"/>
      <c r="G252" s="367"/>
      <c r="H252" s="367"/>
      <c r="I252" s="367"/>
      <c r="J252" s="368"/>
      <c r="K252" s="369"/>
    </row>
    <row r="253" spans="1:11">
      <c r="A253" s="337" t="s">
        <v>22645</v>
      </c>
      <c r="B253" s="337" t="s">
        <v>371</v>
      </c>
      <c r="C253" s="370" t="s">
        <v>326</v>
      </c>
      <c r="D253" s="563" t="s">
        <v>219</v>
      </c>
      <c r="E253" s="563"/>
      <c r="F253" s="563"/>
      <c r="G253" s="563"/>
      <c r="H253" s="563"/>
      <c r="I253" s="563"/>
      <c r="J253" s="253" t="s">
        <v>17667</v>
      </c>
      <c r="K253" s="373">
        <f>K268+K272+K276</f>
        <v>84.631756234141221</v>
      </c>
    </row>
    <row r="254" spans="1:11">
      <c r="A254" s="354" t="s">
        <v>27</v>
      </c>
      <c r="B254" s="355" t="s">
        <v>11308</v>
      </c>
      <c r="C254" s="355" t="s">
        <v>17663</v>
      </c>
      <c r="D254" s="355" t="s">
        <v>0</v>
      </c>
      <c r="E254" s="355" t="s">
        <v>1</v>
      </c>
      <c r="F254" s="355" t="s">
        <v>39</v>
      </c>
      <c r="G254" s="355" t="s">
        <v>40</v>
      </c>
      <c r="H254" s="355" t="s">
        <v>41</v>
      </c>
      <c r="I254" s="355" t="s">
        <v>42</v>
      </c>
      <c r="J254" s="355"/>
      <c r="K254" s="355" t="s">
        <v>43</v>
      </c>
    </row>
    <row r="255" spans="1:11">
      <c r="A255" s="222"/>
      <c r="B255" s="225"/>
      <c r="C255" s="225"/>
      <c r="D255" s="225"/>
      <c r="E255" s="241"/>
      <c r="F255" s="241"/>
      <c r="G255" s="356"/>
      <c r="H255" s="242"/>
      <c r="I255" s="242"/>
      <c r="J255" s="225"/>
      <c r="K255" s="242">
        <f>((F255*H255)+(G255*I255))*E255</f>
        <v>0</v>
      </c>
    </row>
    <row r="256" spans="1:11">
      <c r="A256" s="222"/>
      <c r="B256" s="225"/>
      <c r="C256" s="225"/>
      <c r="D256" s="225"/>
      <c r="E256" s="241"/>
      <c r="F256" s="241"/>
      <c r="G256" s="356"/>
      <c r="H256" s="242"/>
      <c r="I256" s="242"/>
      <c r="J256" s="225"/>
      <c r="K256" s="242">
        <f>((F256*H256)+(G256*I256))*E256</f>
        <v>0</v>
      </c>
    </row>
    <row r="257" spans="1:11">
      <c r="A257" s="358"/>
      <c r="B257" s="359"/>
      <c r="C257" s="359"/>
      <c r="D257" s="359"/>
      <c r="E257" s="359"/>
      <c r="F257" s="359"/>
      <c r="G257" s="359"/>
      <c r="H257" s="359"/>
      <c r="I257" s="359"/>
      <c r="J257" s="360" t="s">
        <v>44</v>
      </c>
      <c r="K257" s="361">
        <f>SUM(K255:K256)</f>
        <v>0</v>
      </c>
    </row>
    <row r="258" spans="1:11">
      <c r="A258" s="354" t="s">
        <v>45</v>
      </c>
      <c r="B258" s="355" t="s">
        <v>11308</v>
      </c>
      <c r="C258" s="355" t="s">
        <v>17663</v>
      </c>
      <c r="D258" s="355" t="s">
        <v>0</v>
      </c>
      <c r="E258" s="355" t="s">
        <v>36</v>
      </c>
      <c r="F258" s="355" t="s">
        <v>46</v>
      </c>
      <c r="G258" s="355" t="s">
        <v>47</v>
      </c>
      <c r="H258" s="355" t="s">
        <v>25</v>
      </c>
      <c r="I258" s="355"/>
      <c r="J258" s="355"/>
      <c r="K258" s="355" t="s">
        <v>43</v>
      </c>
    </row>
    <row r="259" spans="1:11">
      <c r="A259" s="222"/>
      <c r="B259" s="225"/>
      <c r="C259" s="225"/>
      <c r="D259" s="225"/>
      <c r="E259" s="242"/>
      <c r="F259" s="225"/>
      <c r="G259" s="225"/>
      <c r="H259" s="241"/>
      <c r="I259" s="225"/>
      <c r="J259" s="225"/>
      <c r="K259" s="242">
        <f>G259*H259</f>
        <v>0</v>
      </c>
    </row>
    <row r="260" spans="1:11">
      <c r="A260" s="222"/>
      <c r="B260" s="225"/>
      <c r="C260" s="225"/>
      <c r="D260" s="225"/>
      <c r="E260" s="242"/>
      <c r="F260" s="225"/>
      <c r="G260" s="225"/>
      <c r="H260" s="241"/>
      <c r="I260" s="225"/>
      <c r="J260" s="225"/>
      <c r="K260" s="242">
        <f>G260*H260</f>
        <v>0</v>
      </c>
    </row>
    <row r="261" spans="1:11">
      <c r="A261" s="358"/>
      <c r="B261" s="359"/>
      <c r="C261" s="359"/>
      <c r="D261" s="359"/>
      <c r="E261" s="359"/>
      <c r="F261" s="359"/>
      <c r="G261" s="359"/>
      <c r="H261" s="359"/>
      <c r="I261" s="359"/>
      <c r="J261" s="360" t="s">
        <v>48</v>
      </c>
      <c r="K261" s="361">
        <f>SUM(K259:K260)</f>
        <v>0</v>
      </c>
    </row>
    <row r="262" spans="1:11">
      <c r="A262" s="354" t="s">
        <v>49</v>
      </c>
      <c r="B262" s="355" t="s">
        <v>11308</v>
      </c>
      <c r="C262" s="355" t="s">
        <v>17663</v>
      </c>
      <c r="D262" s="355" t="s">
        <v>0</v>
      </c>
      <c r="E262" s="355" t="s">
        <v>14</v>
      </c>
      <c r="F262" s="355" t="s">
        <v>50</v>
      </c>
      <c r="G262" s="355" t="s">
        <v>29</v>
      </c>
      <c r="H262" s="355" t="s">
        <v>30</v>
      </c>
      <c r="I262" s="355"/>
      <c r="J262" s="355"/>
      <c r="K262" s="355" t="s">
        <v>33</v>
      </c>
    </row>
    <row r="263" spans="1:11">
      <c r="A263" s="222"/>
      <c r="B263" s="225"/>
      <c r="C263" s="225"/>
      <c r="D263" s="225"/>
      <c r="E263" s="225"/>
      <c r="F263" s="225"/>
      <c r="G263" s="225"/>
      <c r="H263" s="225"/>
      <c r="I263" s="225"/>
      <c r="J263" s="225"/>
      <c r="K263" s="357"/>
    </row>
    <row r="264" spans="1:11">
      <c r="A264" s="222"/>
      <c r="B264" s="225"/>
      <c r="C264" s="225"/>
      <c r="D264" s="225"/>
      <c r="E264" s="225"/>
      <c r="F264" s="225"/>
      <c r="G264" s="225"/>
      <c r="H264" s="225"/>
      <c r="I264" s="225"/>
      <c r="J264" s="225"/>
      <c r="K264" s="242"/>
    </row>
    <row r="265" spans="1:11">
      <c r="A265" s="358"/>
      <c r="B265" s="359"/>
      <c r="C265" s="359"/>
      <c r="D265" s="359"/>
      <c r="E265" s="359"/>
      <c r="F265" s="359"/>
      <c r="G265" s="359"/>
      <c r="H265" s="359"/>
      <c r="I265" s="359"/>
      <c r="J265" s="360" t="s">
        <v>51</v>
      </c>
      <c r="K265" s="361">
        <f>SUM(K263:K264)</f>
        <v>0</v>
      </c>
    </row>
    <row r="266" spans="1:11">
      <c r="A266" s="568" t="s">
        <v>52</v>
      </c>
      <c r="B266" s="568"/>
      <c r="C266" s="568"/>
      <c r="D266" s="568"/>
      <c r="E266" s="568"/>
      <c r="F266" s="568"/>
      <c r="G266" s="568"/>
      <c r="H266" s="568"/>
      <c r="I266" s="568"/>
      <c r="J266" s="568"/>
      <c r="K266" s="361">
        <f>K257+K261+K265</f>
        <v>0</v>
      </c>
    </row>
    <row r="267" spans="1:11">
      <c r="A267" s="568" t="s">
        <v>53</v>
      </c>
      <c r="B267" s="568"/>
      <c r="C267" s="568"/>
      <c r="D267" s="568"/>
      <c r="E267" s="568"/>
      <c r="F267" s="568"/>
      <c r="G267" s="568"/>
      <c r="H267" s="568"/>
      <c r="I267" s="568"/>
      <c r="J267" s="568"/>
      <c r="K267" s="361">
        <v>1</v>
      </c>
    </row>
    <row r="268" spans="1:11">
      <c r="A268" s="566" t="s">
        <v>54</v>
      </c>
      <c r="B268" s="566"/>
      <c r="C268" s="566"/>
      <c r="D268" s="566"/>
      <c r="E268" s="566"/>
      <c r="F268" s="566"/>
      <c r="G268" s="566"/>
      <c r="H268" s="566"/>
      <c r="I268" s="566"/>
      <c r="J268" s="566"/>
      <c r="K268" s="362">
        <f>IF(K266=0,0,K266/K267)</f>
        <v>0</v>
      </c>
    </row>
    <row r="269" spans="1:11">
      <c r="A269" s="354" t="s">
        <v>55</v>
      </c>
      <c r="B269" s="355" t="s">
        <v>11308</v>
      </c>
      <c r="C269" s="355" t="s">
        <v>17663</v>
      </c>
      <c r="D269" s="355" t="s">
        <v>0</v>
      </c>
      <c r="E269" s="355" t="s">
        <v>2</v>
      </c>
      <c r="F269" s="567" t="s">
        <v>9</v>
      </c>
      <c r="G269" s="567"/>
      <c r="H269" s="567" t="s">
        <v>25</v>
      </c>
      <c r="I269" s="567"/>
      <c r="J269" s="355"/>
      <c r="K269" s="355" t="s">
        <v>56</v>
      </c>
    </row>
    <row r="270" spans="1:11">
      <c r="A270" s="222" t="str">
        <f>VLOOKUP(D270,'14. CUSTOS DER - MATERIAIS'!A:B,2,0)</f>
        <v>RACHÃO BRITADO (COMERCIAL)</v>
      </c>
      <c r="B270" s="225" t="s">
        <v>9013</v>
      </c>
      <c r="C270" s="225" t="s">
        <v>68</v>
      </c>
      <c r="D270" s="225">
        <v>130180</v>
      </c>
      <c r="E270" s="225" t="str">
        <f>VLOOKUP(D270,'14. CUSTOS DER - MATERIAIS'!A:C,3,0)</f>
        <v>M3</v>
      </c>
      <c r="F270" s="225"/>
      <c r="G270" s="224">
        <f>VLOOKUP(D270,'14. CUSTOS DER - MATERIAIS'!A:D,4,0)</f>
        <v>63.46</v>
      </c>
      <c r="H270" s="241"/>
      <c r="I270" s="241">
        <v>1.3</v>
      </c>
      <c r="J270" s="225"/>
      <c r="K270" s="242">
        <f>G270*I270</f>
        <v>82.498000000000005</v>
      </c>
    </row>
    <row r="271" spans="1:11">
      <c r="A271" s="222"/>
      <c r="B271" s="225"/>
      <c r="C271" s="225"/>
      <c r="D271" s="225"/>
      <c r="E271" s="225"/>
      <c r="F271" s="225"/>
      <c r="G271" s="224"/>
      <c r="H271" s="241"/>
      <c r="I271" s="241"/>
      <c r="J271" s="225"/>
      <c r="K271" s="242"/>
    </row>
    <row r="272" spans="1:11">
      <c r="A272" s="364"/>
      <c r="B272" s="365"/>
      <c r="C272" s="365"/>
      <c r="D272" s="365"/>
      <c r="E272" s="365"/>
      <c r="F272" s="365"/>
      <c r="G272" s="365"/>
      <c r="H272" s="365"/>
      <c r="I272" s="365"/>
      <c r="J272" s="366" t="s">
        <v>57</v>
      </c>
      <c r="K272" s="362">
        <f>SUM(K270:K271)</f>
        <v>82.498000000000005</v>
      </c>
    </row>
    <row r="273" spans="1:11">
      <c r="A273" s="354" t="s">
        <v>58</v>
      </c>
      <c r="B273" s="355" t="s">
        <v>11308</v>
      </c>
      <c r="C273" s="355" t="s">
        <v>17663</v>
      </c>
      <c r="D273" s="355" t="s">
        <v>0</v>
      </c>
      <c r="E273" s="355" t="s">
        <v>2</v>
      </c>
      <c r="F273" s="567" t="s">
        <v>9</v>
      </c>
      <c r="G273" s="567"/>
      <c r="H273" s="567" t="s">
        <v>25</v>
      </c>
      <c r="I273" s="567"/>
      <c r="J273" s="355"/>
      <c r="K273" s="355" t="s">
        <v>56</v>
      </c>
    </row>
    <row r="274" spans="1:11" ht="47.25">
      <c r="A274" s="222" t="s">
        <v>108</v>
      </c>
      <c r="B274" s="225" t="s">
        <v>358</v>
      </c>
      <c r="C274" s="225" t="s">
        <v>22710</v>
      </c>
      <c r="D274" s="225" t="s">
        <v>22642</v>
      </c>
      <c r="E274" s="372" t="s">
        <v>18</v>
      </c>
      <c r="F274" s="225"/>
      <c r="G274" s="224">
        <f>K148</f>
        <v>1.6413509493393996</v>
      </c>
      <c r="H274" s="241"/>
      <c r="I274" s="241">
        <v>1.3</v>
      </c>
      <c r="J274" s="225"/>
      <c r="K274" s="242">
        <f>G274*I274</f>
        <v>2.1337562341412197</v>
      </c>
    </row>
    <row r="275" spans="1:11">
      <c r="A275" s="222"/>
      <c r="B275" s="225"/>
      <c r="C275" s="225"/>
      <c r="D275" s="225"/>
      <c r="E275" s="225"/>
      <c r="F275" s="225"/>
      <c r="G275" s="224"/>
      <c r="H275" s="241"/>
      <c r="I275" s="241"/>
      <c r="J275" s="225"/>
      <c r="K275" s="242"/>
    </row>
    <row r="276" spans="1:11">
      <c r="A276" s="364"/>
      <c r="B276" s="365"/>
      <c r="C276" s="365"/>
      <c r="D276" s="365"/>
      <c r="E276" s="365"/>
      <c r="F276" s="365"/>
      <c r="G276" s="365"/>
      <c r="H276" s="365"/>
      <c r="I276" s="365"/>
      <c r="J276" s="366" t="s">
        <v>59</v>
      </c>
      <c r="K276" s="362">
        <f>SUM(K274:K275)</f>
        <v>2.1337562341412197</v>
      </c>
    </row>
    <row r="277" spans="1:11">
      <c r="E277" s="367"/>
      <c r="F277" s="367"/>
      <c r="G277" s="367"/>
      <c r="H277" s="367"/>
      <c r="I277" s="367"/>
      <c r="J277" s="368"/>
      <c r="K277" s="369"/>
    </row>
    <row r="278" spans="1:11">
      <c r="E278" s="367"/>
      <c r="F278" s="367"/>
      <c r="G278" s="367"/>
      <c r="H278" s="367"/>
      <c r="I278" s="367"/>
      <c r="J278" s="368"/>
      <c r="K278" s="369"/>
    </row>
    <row r="279" spans="1:11">
      <c r="A279" s="337" t="s">
        <v>22646</v>
      </c>
      <c r="B279" s="337" t="s">
        <v>371</v>
      </c>
      <c r="C279" s="370" t="s">
        <v>326</v>
      </c>
      <c r="D279" s="563" t="s">
        <v>22688</v>
      </c>
      <c r="E279" s="563"/>
      <c r="F279" s="563"/>
      <c r="G279" s="563"/>
      <c r="H279" s="563"/>
      <c r="I279" s="563"/>
      <c r="J279" s="253" t="s">
        <v>17667</v>
      </c>
      <c r="K279" s="373">
        <f>K294+K298+K302</f>
        <v>84.631756234141221</v>
      </c>
    </row>
    <row r="280" spans="1:11">
      <c r="A280" s="354" t="s">
        <v>27</v>
      </c>
      <c r="B280" s="355" t="s">
        <v>11308</v>
      </c>
      <c r="C280" s="355" t="s">
        <v>17663</v>
      </c>
      <c r="D280" s="355" t="s">
        <v>0</v>
      </c>
      <c r="E280" s="355" t="s">
        <v>1</v>
      </c>
      <c r="F280" s="355" t="s">
        <v>39</v>
      </c>
      <c r="G280" s="355" t="s">
        <v>40</v>
      </c>
      <c r="H280" s="355" t="s">
        <v>41</v>
      </c>
      <c r="I280" s="355" t="s">
        <v>42</v>
      </c>
      <c r="J280" s="355"/>
      <c r="K280" s="355" t="s">
        <v>43</v>
      </c>
    </row>
    <row r="281" spans="1:11">
      <c r="A281" s="222"/>
      <c r="B281" s="225"/>
      <c r="C281" s="225"/>
      <c r="D281" s="225"/>
      <c r="E281" s="241"/>
      <c r="F281" s="241"/>
      <c r="G281" s="356"/>
      <c r="H281" s="242"/>
      <c r="I281" s="242"/>
      <c r="J281" s="225"/>
      <c r="K281" s="242">
        <f>((F281*H281)+(G281*I281))*E281</f>
        <v>0</v>
      </c>
    </row>
    <row r="282" spans="1:11">
      <c r="A282" s="222"/>
      <c r="B282" s="225"/>
      <c r="C282" s="225"/>
      <c r="D282" s="225"/>
      <c r="E282" s="241"/>
      <c r="F282" s="241"/>
      <c r="G282" s="356"/>
      <c r="H282" s="242"/>
      <c r="I282" s="242"/>
      <c r="J282" s="225"/>
      <c r="K282" s="242">
        <f>((F282*H282)+(G282*I282))*E282</f>
        <v>0</v>
      </c>
    </row>
    <row r="283" spans="1:11">
      <c r="A283" s="358"/>
      <c r="B283" s="359"/>
      <c r="C283" s="359"/>
      <c r="D283" s="359"/>
      <c r="E283" s="359"/>
      <c r="F283" s="359"/>
      <c r="G283" s="359"/>
      <c r="H283" s="359"/>
      <c r="I283" s="359"/>
      <c r="J283" s="360" t="s">
        <v>44</v>
      </c>
      <c r="K283" s="361">
        <f>SUM(K281:K282)</f>
        <v>0</v>
      </c>
    </row>
    <row r="284" spans="1:11">
      <c r="A284" s="354" t="s">
        <v>45</v>
      </c>
      <c r="B284" s="355" t="s">
        <v>11308</v>
      </c>
      <c r="C284" s="355" t="s">
        <v>17663</v>
      </c>
      <c r="D284" s="355" t="s">
        <v>0</v>
      </c>
      <c r="E284" s="355" t="s">
        <v>36</v>
      </c>
      <c r="F284" s="355" t="s">
        <v>46</v>
      </c>
      <c r="G284" s="355" t="s">
        <v>47</v>
      </c>
      <c r="H284" s="355" t="s">
        <v>25</v>
      </c>
      <c r="I284" s="355"/>
      <c r="J284" s="355"/>
      <c r="K284" s="355" t="s">
        <v>43</v>
      </c>
    </row>
    <row r="285" spans="1:11">
      <c r="A285" s="222"/>
      <c r="B285" s="225"/>
      <c r="C285" s="225"/>
      <c r="D285" s="225"/>
      <c r="E285" s="242"/>
      <c r="F285" s="225"/>
      <c r="G285" s="225"/>
      <c r="H285" s="241"/>
      <c r="I285" s="225"/>
      <c r="J285" s="225"/>
      <c r="K285" s="242">
        <f>G285*H285</f>
        <v>0</v>
      </c>
    </row>
    <row r="286" spans="1:11">
      <c r="A286" s="222"/>
      <c r="B286" s="225"/>
      <c r="C286" s="225"/>
      <c r="D286" s="225"/>
      <c r="E286" s="242"/>
      <c r="F286" s="225"/>
      <c r="G286" s="225"/>
      <c r="H286" s="241"/>
      <c r="I286" s="225"/>
      <c r="J286" s="225"/>
      <c r="K286" s="242">
        <f>G286*H286</f>
        <v>0</v>
      </c>
    </row>
    <row r="287" spans="1:11">
      <c r="A287" s="358"/>
      <c r="B287" s="359"/>
      <c r="C287" s="359"/>
      <c r="D287" s="359"/>
      <c r="E287" s="359"/>
      <c r="F287" s="359"/>
      <c r="G287" s="359"/>
      <c r="H287" s="359"/>
      <c r="I287" s="359"/>
      <c r="J287" s="360" t="s">
        <v>48</v>
      </c>
      <c r="K287" s="361">
        <f>SUM(K285:K286)</f>
        <v>0</v>
      </c>
    </row>
    <row r="288" spans="1:11">
      <c r="A288" s="354" t="s">
        <v>49</v>
      </c>
      <c r="B288" s="355" t="s">
        <v>11308</v>
      </c>
      <c r="C288" s="355" t="s">
        <v>17663</v>
      </c>
      <c r="D288" s="355" t="s">
        <v>0</v>
      </c>
      <c r="E288" s="355" t="s">
        <v>14</v>
      </c>
      <c r="F288" s="355" t="s">
        <v>50</v>
      </c>
      <c r="G288" s="355" t="s">
        <v>29</v>
      </c>
      <c r="H288" s="355" t="s">
        <v>30</v>
      </c>
      <c r="I288" s="355"/>
      <c r="J288" s="355"/>
      <c r="K288" s="355" t="s">
        <v>33</v>
      </c>
    </row>
    <row r="289" spans="1:11">
      <c r="A289" s="222"/>
      <c r="B289" s="225"/>
      <c r="C289" s="225"/>
      <c r="D289" s="225"/>
      <c r="E289" s="225"/>
      <c r="F289" s="225"/>
      <c r="G289" s="225"/>
      <c r="H289" s="225"/>
      <c r="I289" s="225"/>
      <c r="J289" s="225"/>
      <c r="K289" s="357"/>
    </row>
    <row r="290" spans="1:11">
      <c r="A290" s="222"/>
      <c r="B290" s="225"/>
      <c r="C290" s="225"/>
      <c r="D290" s="225"/>
      <c r="E290" s="225"/>
      <c r="F290" s="225"/>
      <c r="G290" s="225"/>
      <c r="H290" s="225"/>
      <c r="I290" s="225"/>
      <c r="J290" s="225"/>
      <c r="K290" s="357"/>
    </row>
    <row r="291" spans="1:11">
      <c r="A291" s="358"/>
      <c r="B291" s="359"/>
      <c r="C291" s="359"/>
      <c r="D291" s="359"/>
      <c r="E291" s="359"/>
      <c r="F291" s="359"/>
      <c r="G291" s="359"/>
      <c r="H291" s="359"/>
      <c r="I291" s="359"/>
      <c r="J291" s="360" t="s">
        <v>51</v>
      </c>
      <c r="K291" s="361">
        <f>SUM(K289:K290)</f>
        <v>0</v>
      </c>
    </row>
    <row r="292" spans="1:11">
      <c r="A292" s="568" t="s">
        <v>52</v>
      </c>
      <c r="B292" s="568"/>
      <c r="C292" s="568"/>
      <c r="D292" s="568"/>
      <c r="E292" s="568"/>
      <c r="F292" s="568"/>
      <c r="G292" s="568"/>
      <c r="H292" s="568"/>
      <c r="I292" s="568"/>
      <c r="J292" s="568"/>
      <c r="K292" s="361">
        <f>K283+K287+K291</f>
        <v>0</v>
      </c>
    </row>
    <row r="293" spans="1:11">
      <c r="A293" s="568" t="s">
        <v>53</v>
      </c>
      <c r="B293" s="568"/>
      <c r="C293" s="568"/>
      <c r="D293" s="568"/>
      <c r="E293" s="568"/>
      <c r="F293" s="568"/>
      <c r="G293" s="568"/>
      <c r="H293" s="568"/>
      <c r="I293" s="568"/>
      <c r="J293" s="568"/>
      <c r="K293" s="361">
        <v>1</v>
      </c>
    </row>
    <row r="294" spans="1:11">
      <c r="A294" s="566" t="s">
        <v>54</v>
      </c>
      <c r="B294" s="566"/>
      <c r="C294" s="566"/>
      <c r="D294" s="566"/>
      <c r="E294" s="566"/>
      <c r="F294" s="566"/>
      <c r="G294" s="566"/>
      <c r="H294" s="566"/>
      <c r="I294" s="566"/>
      <c r="J294" s="566"/>
      <c r="K294" s="362">
        <f>IF(K292=0,0,K292/K293)</f>
        <v>0</v>
      </c>
    </row>
    <row r="295" spans="1:11">
      <c r="A295" s="354" t="s">
        <v>55</v>
      </c>
      <c r="B295" s="355" t="s">
        <v>11308</v>
      </c>
      <c r="C295" s="355" t="s">
        <v>17663</v>
      </c>
      <c r="D295" s="355" t="s">
        <v>0</v>
      </c>
      <c r="E295" s="355" t="s">
        <v>2</v>
      </c>
      <c r="F295" s="567" t="s">
        <v>9</v>
      </c>
      <c r="G295" s="567"/>
      <c r="H295" s="567" t="s">
        <v>25</v>
      </c>
      <c r="I295" s="567"/>
      <c r="J295" s="355"/>
      <c r="K295" s="355" t="s">
        <v>56</v>
      </c>
    </row>
    <row r="296" spans="1:11">
      <c r="A296" s="222" t="str">
        <f>VLOOKUP(D296,'14. CUSTOS DER - MATERIAIS'!A:B,2,0)</f>
        <v>RACHÃO BRITADO (COMERCIAL)</v>
      </c>
      <c r="B296" s="225" t="s">
        <v>9013</v>
      </c>
      <c r="C296" s="225" t="s">
        <v>68</v>
      </c>
      <c r="D296" s="225">
        <v>130180</v>
      </c>
      <c r="E296" s="225" t="str">
        <f>VLOOKUP(D296,'14. CUSTOS DER - MATERIAIS'!A:C,3,0)</f>
        <v>M3</v>
      </c>
      <c r="F296" s="225"/>
      <c r="G296" s="224">
        <f>VLOOKUP(D296,'14. CUSTOS DER - MATERIAIS'!A:D,4,0)</f>
        <v>63.46</v>
      </c>
      <c r="H296" s="241"/>
      <c r="I296" s="241">
        <v>1.3</v>
      </c>
      <c r="J296" s="225"/>
      <c r="K296" s="242">
        <f>G296*I296</f>
        <v>82.498000000000005</v>
      </c>
    </row>
    <row r="297" spans="1:11">
      <c r="A297" s="222"/>
      <c r="B297" s="225"/>
      <c r="C297" s="225"/>
      <c r="D297" s="225"/>
      <c r="E297" s="225"/>
      <c r="F297" s="225"/>
      <c r="G297" s="224"/>
      <c r="H297" s="241"/>
      <c r="I297" s="241"/>
      <c r="J297" s="225"/>
      <c r="K297" s="242"/>
    </row>
    <row r="298" spans="1:11">
      <c r="A298" s="364"/>
      <c r="B298" s="365"/>
      <c r="C298" s="365"/>
      <c r="D298" s="365"/>
      <c r="E298" s="365"/>
      <c r="F298" s="365"/>
      <c r="G298" s="365"/>
      <c r="H298" s="365"/>
      <c r="I298" s="365"/>
      <c r="J298" s="366" t="s">
        <v>57</v>
      </c>
      <c r="K298" s="362">
        <f>SUM(K296:K297)</f>
        <v>82.498000000000005</v>
      </c>
    </row>
    <row r="299" spans="1:11">
      <c r="A299" s="354" t="s">
        <v>58</v>
      </c>
      <c r="B299" s="355" t="s">
        <v>11308</v>
      </c>
      <c r="C299" s="355" t="s">
        <v>17663</v>
      </c>
      <c r="D299" s="355" t="s">
        <v>0</v>
      </c>
      <c r="E299" s="355" t="s">
        <v>2</v>
      </c>
      <c r="F299" s="567" t="s">
        <v>9</v>
      </c>
      <c r="G299" s="567"/>
      <c r="H299" s="567" t="s">
        <v>25</v>
      </c>
      <c r="I299" s="567"/>
      <c r="J299" s="355"/>
      <c r="K299" s="355" t="s">
        <v>56</v>
      </c>
    </row>
    <row r="300" spans="1:11" ht="47.25">
      <c r="A300" s="222" t="s">
        <v>108</v>
      </c>
      <c r="B300" s="225"/>
      <c r="C300" s="225"/>
      <c r="D300" s="225" t="s">
        <v>141</v>
      </c>
      <c r="E300" s="372" t="s">
        <v>18</v>
      </c>
      <c r="F300" s="225"/>
      <c r="G300" s="224">
        <v>1.6413509493393996</v>
      </c>
      <c r="H300" s="241"/>
      <c r="I300" s="241">
        <v>1.3</v>
      </c>
      <c r="J300" s="225"/>
      <c r="K300" s="242">
        <f>G300*I300</f>
        <v>2.1337562341412197</v>
      </c>
    </row>
    <row r="301" spans="1:11">
      <c r="A301" s="222"/>
      <c r="B301" s="225"/>
      <c r="C301" s="225"/>
      <c r="D301" s="225"/>
      <c r="E301" s="225"/>
      <c r="F301" s="225"/>
      <c r="G301" s="224"/>
      <c r="H301" s="241"/>
      <c r="I301" s="241"/>
      <c r="J301" s="225"/>
      <c r="K301" s="242"/>
    </row>
    <row r="302" spans="1:11">
      <c r="A302" s="364"/>
      <c r="B302" s="365"/>
      <c r="C302" s="365"/>
      <c r="D302" s="365"/>
      <c r="E302" s="365"/>
      <c r="F302" s="365"/>
      <c r="G302" s="365"/>
      <c r="H302" s="365"/>
      <c r="I302" s="365"/>
      <c r="J302" s="366" t="s">
        <v>59</v>
      </c>
      <c r="K302" s="362">
        <f>SUM(K300:K301)</f>
        <v>2.1337562341412197</v>
      </c>
    </row>
    <row r="303" spans="1:11">
      <c r="E303" s="367"/>
      <c r="F303" s="367"/>
      <c r="G303" s="367"/>
      <c r="H303" s="367"/>
      <c r="I303" s="367"/>
      <c r="J303" s="368"/>
      <c r="K303" s="369"/>
    </row>
    <row r="304" spans="1:11">
      <c r="E304" s="367"/>
      <c r="F304" s="367"/>
      <c r="G304" s="367"/>
      <c r="H304" s="367"/>
      <c r="I304" s="367"/>
      <c r="J304" s="368"/>
      <c r="K304" s="369"/>
    </row>
    <row r="305" spans="1:11">
      <c r="A305" s="337" t="s">
        <v>22647</v>
      </c>
      <c r="B305" s="337" t="s">
        <v>371</v>
      </c>
      <c r="C305" s="370" t="s">
        <v>325</v>
      </c>
      <c r="D305" s="563" t="s">
        <v>230</v>
      </c>
      <c r="E305" s="563"/>
      <c r="F305" s="563"/>
      <c r="G305" s="563"/>
      <c r="H305" s="563"/>
      <c r="I305" s="563"/>
      <c r="J305" s="253" t="s">
        <v>17667</v>
      </c>
      <c r="K305" s="373">
        <f>K321+K327+K331</f>
        <v>129.01800000000003</v>
      </c>
    </row>
    <row r="306" spans="1:11">
      <c r="A306" s="354" t="s">
        <v>27</v>
      </c>
      <c r="B306" s="355" t="s">
        <v>11308</v>
      </c>
      <c r="C306" s="355" t="s">
        <v>17663</v>
      </c>
      <c r="D306" s="355" t="s">
        <v>0</v>
      </c>
      <c r="E306" s="355" t="s">
        <v>1</v>
      </c>
      <c r="F306" s="355" t="s">
        <v>39</v>
      </c>
      <c r="G306" s="355" t="s">
        <v>40</v>
      </c>
      <c r="H306" s="355" t="s">
        <v>41</v>
      </c>
      <c r="I306" s="355" t="s">
        <v>42</v>
      </c>
      <c r="J306" s="355"/>
      <c r="K306" s="355" t="s">
        <v>43</v>
      </c>
    </row>
    <row r="307" spans="1:11">
      <c r="A307" s="222"/>
      <c r="B307" s="225"/>
      <c r="C307" s="225"/>
      <c r="D307" s="225"/>
      <c r="E307" s="241"/>
      <c r="F307" s="241"/>
      <c r="G307" s="356"/>
      <c r="H307" s="242"/>
      <c r="I307" s="242"/>
      <c r="J307" s="225"/>
      <c r="K307" s="242">
        <f>((F307*H307)+(G307*I307))*E307</f>
        <v>0</v>
      </c>
    </row>
    <row r="308" spans="1:11">
      <c r="A308" s="222"/>
      <c r="B308" s="225"/>
      <c r="C308" s="225"/>
      <c r="D308" s="225"/>
      <c r="E308" s="241"/>
      <c r="F308" s="241"/>
      <c r="G308" s="356"/>
      <c r="H308" s="242"/>
      <c r="I308" s="242"/>
      <c r="J308" s="225"/>
      <c r="K308" s="242">
        <f>((F308*H308)+(G308*I308))*E308</f>
        <v>0</v>
      </c>
    </row>
    <row r="309" spans="1:11">
      <c r="A309" s="358"/>
      <c r="B309" s="359"/>
      <c r="C309" s="359"/>
      <c r="D309" s="359"/>
      <c r="E309" s="359"/>
      <c r="F309" s="359"/>
      <c r="G309" s="359"/>
      <c r="H309" s="359"/>
      <c r="I309" s="359"/>
      <c r="J309" s="360" t="s">
        <v>44</v>
      </c>
      <c r="K309" s="361">
        <f>SUM(K307:K308)</f>
        <v>0</v>
      </c>
    </row>
    <row r="310" spans="1:11">
      <c r="A310" s="354" t="s">
        <v>45</v>
      </c>
      <c r="B310" s="355" t="s">
        <v>11308</v>
      </c>
      <c r="C310" s="355" t="s">
        <v>17663</v>
      </c>
      <c r="D310" s="355" t="s">
        <v>0</v>
      </c>
      <c r="E310" s="355" t="s">
        <v>36</v>
      </c>
      <c r="F310" s="355" t="s">
        <v>46</v>
      </c>
      <c r="G310" s="355" t="s">
        <v>47</v>
      </c>
      <c r="H310" s="355" t="s">
        <v>25</v>
      </c>
      <c r="I310" s="355"/>
      <c r="J310" s="355"/>
      <c r="K310" s="355" t="s">
        <v>43</v>
      </c>
    </row>
    <row r="311" spans="1:11">
      <c r="A311" s="222" t="str">
        <f>VLOOKUP(D311,'15. CUSTOS DER - MÃO DE OBRA'!A:B,2,0)</f>
        <v>ENCARREGADO DE SERVIÇO</v>
      </c>
      <c r="B311" s="225" t="s">
        <v>9013</v>
      </c>
      <c r="C311" s="225" t="s">
        <v>17664</v>
      </c>
      <c r="D311" s="225">
        <v>210060</v>
      </c>
      <c r="E311" s="242">
        <f>VLOOKUP(D311,'15. CUSTOS DER - MÃO DE OBRA'!A:C,3,0)</f>
        <v>6</v>
      </c>
      <c r="F311" s="225"/>
      <c r="G311" s="225">
        <f>VLOOKUP(D311,'15. CUSTOS DER - MÃO DE OBRA'!A:D,4,0)</f>
        <v>85.81</v>
      </c>
      <c r="H311" s="241">
        <v>0.1</v>
      </c>
      <c r="I311" s="225"/>
      <c r="J311" s="225"/>
      <c r="K311" s="357">
        <f>ROUND(G311*H311,2)</f>
        <v>8.58</v>
      </c>
    </row>
    <row r="312" spans="1:11">
      <c r="A312" s="222" t="str">
        <f>VLOOKUP(D312,'15. CUSTOS DER - MÃO DE OBRA'!A:B,2,0)</f>
        <v>PEDREIRO</v>
      </c>
      <c r="B312" s="225" t="s">
        <v>9013</v>
      </c>
      <c r="C312" s="225" t="s">
        <v>17664</v>
      </c>
      <c r="D312" s="225">
        <v>200260</v>
      </c>
      <c r="E312" s="242">
        <f>VLOOKUP(D312,'15. CUSTOS DER - MÃO DE OBRA'!A:C,3,0)</f>
        <v>2.85</v>
      </c>
      <c r="F312" s="225"/>
      <c r="G312" s="225">
        <f>VLOOKUP(D312,'15. CUSTOS DER - MÃO DE OBRA'!A:D,4,0)</f>
        <v>40.76</v>
      </c>
      <c r="H312" s="241">
        <v>1.36</v>
      </c>
      <c r="I312" s="225"/>
      <c r="J312" s="225"/>
      <c r="K312" s="357">
        <f>ROUND(G312*H312,2)</f>
        <v>55.43</v>
      </c>
    </row>
    <row r="313" spans="1:11">
      <c r="A313" s="222" t="str">
        <f>VLOOKUP(D313,'15. CUSTOS DER - MÃO DE OBRA'!A:B,2,0)</f>
        <v>SERVENTE</v>
      </c>
      <c r="B313" s="225" t="s">
        <v>9013</v>
      </c>
      <c r="C313" s="225" t="s">
        <v>17664</v>
      </c>
      <c r="D313" s="225">
        <v>200130</v>
      </c>
      <c r="E313" s="242">
        <f>VLOOKUP(D313,'15. CUSTOS DER - MÃO DE OBRA'!A:C,3,0)</f>
        <v>2.2000000000000002</v>
      </c>
      <c r="F313" s="225"/>
      <c r="G313" s="225">
        <f>VLOOKUP(D313,'15. CUSTOS DER - MÃO DE OBRA'!A:D,4,0)</f>
        <v>31.46</v>
      </c>
      <c r="H313" s="241">
        <v>1.2000000000000002</v>
      </c>
      <c r="I313" s="225"/>
      <c r="J313" s="225"/>
      <c r="K313" s="357">
        <f>ROUND(G313*H313,2)</f>
        <v>37.75</v>
      </c>
    </row>
    <row r="314" spans="1:11">
      <c r="A314" s="358"/>
      <c r="B314" s="359"/>
      <c r="C314" s="359"/>
      <c r="D314" s="359"/>
      <c r="E314" s="359"/>
      <c r="F314" s="359"/>
      <c r="G314" s="359"/>
      <c r="H314" s="359"/>
      <c r="I314" s="359"/>
      <c r="J314" s="360" t="s">
        <v>48</v>
      </c>
      <c r="K314" s="361">
        <f>SUM(K311:K313)</f>
        <v>101.76</v>
      </c>
    </row>
    <row r="315" spans="1:11">
      <c r="A315" s="354" t="s">
        <v>49</v>
      </c>
      <c r="B315" s="355" t="s">
        <v>11308</v>
      </c>
      <c r="C315" s="355" t="s">
        <v>17663</v>
      </c>
      <c r="D315" s="355" t="s">
        <v>0</v>
      </c>
      <c r="E315" s="355" t="s">
        <v>14</v>
      </c>
      <c r="F315" s="355" t="s">
        <v>50</v>
      </c>
      <c r="G315" s="355" t="s">
        <v>29</v>
      </c>
      <c r="H315" s="355" t="s">
        <v>30</v>
      </c>
      <c r="I315" s="355"/>
      <c r="J315" s="355"/>
      <c r="K315" s="355" t="s">
        <v>33</v>
      </c>
    </row>
    <row r="316" spans="1:11">
      <c r="A316" s="222" t="s">
        <v>31</v>
      </c>
      <c r="B316" s="225"/>
      <c r="C316" s="225"/>
      <c r="D316" s="225">
        <v>29990</v>
      </c>
      <c r="E316" s="225">
        <v>5</v>
      </c>
      <c r="F316" s="225" t="s">
        <v>32</v>
      </c>
      <c r="G316" s="225"/>
      <c r="H316" s="225"/>
      <c r="I316" s="225"/>
      <c r="J316" s="225"/>
      <c r="K316" s="242">
        <f>K314*(E316/100)</f>
        <v>5.088000000000001</v>
      </c>
    </row>
    <row r="317" spans="1:11">
      <c r="A317" s="222"/>
      <c r="B317" s="225"/>
      <c r="C317" s="225"/>
      <c r="D317" s="225"/>
      <c r="E317" s="225"/>
      <c r="F317" s="225"/>
      <c r="G317" s="225"/>
      <c r="H317" s="225"/>
      <c r="I317" s="225"/>
      <c r="J317" s="225"/>
      <c r="K317" s="357"/>
    </row>
    <row r="318" spans="1:11">
      <c r="A318" s="358"/>
      <c r="B318" s="359"/>
      <c r="C318" s="359"/>
      <c r="D318" s="359"/>
      <c r="E318" s="359"/>
      <c r="F318" s="359"/>
      <c r="G318" s="359"/>
      <c r="H318" s="359"/>
      <c r="I318" s="359"/>
      <c r="J318" s="360" t="s">
        <v>51</v>
      </c>
      <c r="K318" s="361">
        <f>SUM(K316:K317)</f>
        <v>5.088000000000001</v>
      </c>
    </row>
    <row r="319" spans="1:11">
      <c r="A319" s="568" t="s">
        <v>52</v>
      </c>
      <c r="B319" s="568"/>
      <c r="C319" s="568"/>
      <c r="D319" s="568"/>
      <c r="E319" s="568"/>
      <c r="F319" s="568"/>
      <c r="G319" s="568"/>
      <c r="H319" s="568"/>
      <c r="I319" s="568"/>
      <c r="J319" s="568"/>
      <c r="K319" s="361">
        <f>K309+K314+K318</f>
        <v>106.84800000000001</v>
      </c>
    </row>
    <row r="320" spans="1:11">
      <c r="A320" s="568" t="s">
        <v>53</v>
      </c>
      <c r="B320" s="568"/>
      <c r="C320" s="568"/>
      <c r="D320" s="568"/>
      <c r="E320" s="568"/>
      <c r="F320" s="568"/>
      <c r="G320" s="568"/>
      <c r="H320" s="568"/>
      <c r="I320" s="568"/>
      <c r="J320" s="568"/>
      <c r="K320" s="361">
        <v>1</v>
      </c>
    </row>
    <row r="321" spans="1:11">
      <c r="A321" s="566" t="s">
        <v>54</v>
      </c>
      <c r="B321" s="566"/>
      <c r="C321" s="566"/>
      <c r="D321" s="566"/>
      <c r="E321" s="566"/>
      <c r="F321" s="566"/>
      <c r="G321" s="566"/>
      <c r="H321" s="566"/>
      <c r="I321" s="566"/>
      <c r="J321" s="566"/>
      <c r="K321" s="362">
        <f>IF(K319=0,0,K319/K320)</f>
        <v>106.84800000000001</v>
      </c>
    </row>
    <row r="322" spans="1:11">
      <c r="A322" s="354" t="s">
        <v>55</v>
      </c>
      <c r="B322" s="355" t="s">
        <v>11308</v>
      </c>
      <c r="C322" s="355" t="s">
        <v>17663</v>
      </c>
      <c r="D322" s="355" t="s">
        <v>0</v>
      </c>
      <c r="E322" s="355" t="s">
        <v>2</v>
      </c>
      <c r="F322" s="567" t="s">
        <v>9</v>
      </c>
      <c r="G322" s="567"/>
      <c r="H322" s="567" t="s">
        <v>25</v>
      </c>
      <c r="I322" s="567"/>
      <c r="J322" s="355"/>
      <c r="K322" s="355" t="s">
        <v>56</v>
      </c>
    </row>
    <row r="323" spans="1:11">
      <c r="A323" s="222" t="str">
        <f>VLOOKUP(D323,'14. CUSTOS DER - MATERIAIS'!A:B,2,0)</f>
        <v>AREIA</v>
      </c>
      <c r="B323" s="225" t="s">
        <v>9013</v>
      </c>
      <c r="C323" s="225" t="s">
        <v>68</v>
      </c>
      <c r="D323" s="225">
        <v>139000</v>
      </c>
      <c r="E323" s="225" t="str">
        <f>VLOOKUP(D323,'14. CUSTOS DER - MATERIAIS'!A:C,3,0)</f>
        <v>M3</v>
      </c>
      <c r="F323" s="225"/>
      <c r="G323" s="224">
        <f>VLOOKUP(D323,'14. CUSTOS DER - MATERIAIS'!A:D,4,0)</f>
        <v>71.87</v>
      </c>
      <c r="H323" s="241"/>
      <c r="I323" s="241">
        <v>5.2800000000000007E-2</v>
      </c>
      <c r="J323" s="225"/>
      <c r="K323" s="242">
        <f>ROUND(G323*I323,2)</f>
        <v>3.79</v>
      </c>
    </row>
    <row r="324" spans="1:11">
      <c r="A324" s="222" t="str">
        <f>VLOOKUP(D324,'14. CUSTOS DER - MATERIAIS'!A:B,2,0)</f>
        <v>CAL VIRGEM EM PÓ</v>
      </c>
      <c r="B324" s="225" t="s">
        <v>9013</v>
      </c>
      <c r="C324" s="225" t="s">
        <v>68</v>
      </c>
      <c r="D324" s="225">
        <v>170100</v>
      </c>
      <c r="E324" s="225" t="str">
        <f>VLOOKUP(D324,'14. CUSTOS DER - MATERIAIS'!A:C,3,0)</f>
        <v>KG</v>
      </c>
      <c r="F324" s="225"/>
      <c r="G324" s="224">
        <f>VLOOKUP(D324,'14. CUSTOS DER - MATERIAIS'!A:D,4,0)</f>
        <v>0.87</v>
      </c>
      <c r="H324" s="241"/>
      <c r="I324" s="241">
        <v>5.6280000000000001</v>
      </c>
      <c r="J324" s="225"/>
      <c r="K324" s="242">
        <f>ROUND(G324*I324,2)</f>
        <v>4.9000000000000004</v>
      </c>
    </row>
    <row r="325" spans="1:11">
      <c r="A325" s="222" t="str">
        <f>VLOOKUP(D325,'14. CUSTOS DER - MATERIAIS'!A:B,2,0)</f>
        <v>CIMENTO PORTLAND (SACO DE 50KG)</v>
      </c>
      <c r="B325" s="225" t="s">
        <v>9013</v>
      </c>
      <c r="C325" s="225" t="s">
        <v>68</v>
      </c>
      <c r="D325" s="225">
        <v>173200</v>
      </c>
      <c r="E325" s="225" t="str">
        <f>VLOOKUP(D325,'14. CUSTOS DER - MATERIAIS'!A:C,3,0)</f>
        <v>T</v>
      </c>
      <c r="F325" s="225"/>
      <c r="G325" s="224">
        <f>VLOOKUP(D325,'14. CUSTOS DER - MATERIAIS'!A:D,4,0)</f>
        <v>566</v>
      </c>
      <c r="H325" s="241"/>
      <c r="I325" s="241">
        <v>1.176E-2</v>
      </c>
      <c r="J325" s="225"/>
      <c r="K325" s="242">
        <f>ROUND(G325*I325,2)</f>
        <v>6.66</v>
      </c>
    </row>
    <row r="326" spans="1:11">
      <c r="A326" s="222" t="str">
        <f>VLOOKUP(D326,'14. CUSTOS DER - MATERIAIS'!A:B,2,0)</f>
        <v>BLOCO ARTICULADO(BLOKRET) E=8CM (FCK=35 MPA)</v>
      </c>
      <c r="B326" s="225" t="s">
        <v>9013</v>
      </c>
      <c r="C326" s="225" t="s">
        <v>68</v>
      </c>
      <c r="D326" s="225">
        <v>145850</v>
      </c>
      <c r="E326" s="225" t="str">
        <f>VLOOKUP(D326,'14. CUSTOS DER - MATERIAIS'!A:C,3,0)</f>
        <v>M2</v>
      </c>
      <c r="F326" s="225"/>
      <c r="G326" s="224">
        <f>VLOOKUP(D326,'14. CUSTOS DER - MATERIAIS'!A:D,4,0)</f>
        <v>72.5</v>
      </c>
      <c r="H326" s="241"/>
      <c r="I326" s="241">
        <v>9.4E-2</v>
      </c>
      <c r="J326" s="225"/>
      <c r="K326" s="242">
        <f>ROUND(G326*I326,2)</f>
        <v>6.82</v>
      </c>
    </row>
    <row r="327" spans="1:11">
      <c r="A327" s="364"/>
      <c r="B327" s="365"/>
      <c r="C327" s="365"/>
      <c r="D327" s="365"/>
      <c r="E327" s="365"/>
      <c r="F327" s="365"/>
      <c r="G327" s="365"/>
      <c r="H327" s="365"/>
      <c r="I327" s="365"/>
      <c r="J327" s="366" t="s">
        <v>57</v>
      </c>
      <c r="K327" s="362">
        <f>SUM(K323:K326)</f>
        <v>22.17</v>
      </c>
    </row>
    <row r="328" spans="1:11">
      <c r="A328" s="354" t="s">
        <v>58</v>
      </c>
      <c r="B328" s="355" t="s">
        <v>11308</v>
      </c>
      <c r="C328" s="355" t="s">
        <v>17663</v>
      </c>
      <c r="D328" s="355" t="s">
        <v>0</v>
      </c>
      <c r="E328" s="355" t="s">
        <v>2</v>
      </c>
      <c r="F328" s="567" t="s">
        <v>9</v>
      </c>
      <c r="G328" s="567"/>
      <c r="H328" s="567" t="s">
        <v>25</v>
      </c>
      <c r="I328" s="567"/>
      <c r="J328" s="355"/>
      <c r="K328" s="355" t="s">
        <v>56</v>
      </c>
    </row>
    <row r="329" spans="1:11">
      <c r="A329" s="222"/>
      <c r="B329" s="225"/>
      <c r="C329" s="225"/>
      <c r="D329" s="225"/>
      <c r="E329" s="225"/>
      <c r="F329" s="225"/>
      <c r="G329" s="224"/>
      <c r="H329" s="241"/>
      <c r="I329" s="241"/>
      <c r="J329" s="225"/>
      <c r="K329" s="242"/>
    </row>
    <row r="330" spans="1:11">
      <c r="A330" s="222"/>
      <c r="B330" s="225"/>
      <c r="C330" s="225"/>
      <c r="D330" s="225"/>
      <c r="E330" s="225"/>
      <c r="F330" s="225"/>
      <c r="G330" s="224"/>
      <c r="H330" s="241"/>
      <c r="I330" s="241"/>
      <c r="J330" s="225"/>
      <c r="K330" s="242"/>
    </row>
    <row r="331" spans="1:11">
      <c r="A331" s="364"/>
      <c r="B331" s="365"/>
      <c r="C331" s="365"/>
      <c r="D331" s="365"/>
      <c r="E331" s="365"/>
      <c r="F331" s="365"/>
      <c r="G331" s="365"/>
      <c r="H331" s="365"/>
      <c r="I331" s="365"/>
      <c r="J331" s="366" t="s">
        <v>59</v>
      </c>
      <c r="K331" s="362">
        <f>SUM(K330:K330)</f>
        <v>0</v>
      </c>
    </row>
    <row r="332" spans="1:11">
      <c r="E332" s="367"/>
      <c r="F332" s="367"/>
      <c r="G332" s="367"/>
      <c r="H332" s="367"/>
      <c r="I332" s="367"/>
      <c r="J332" s="368"/>
      <c r="K332" s="369"/>
    </row>
    <row r="333" spans="1:11">
      <c r="E333" s="367"/>
      <c r="F333" s="367"/>
      <c r="G333" s="367"/>
      <c r="H333" s="367"/>
      <c r="I333" s="367"/>
      <c r="J333" s="368"/>
      <c r="K333" s="369"/>
    </row>
    <row r="334" spans="1:11">
      <c r="A334" s="337" t="s">
        <v>22648</v>
      </c>
      <c r="B334" s="337" t="s">
        <v>371</v>
      </c>
      <c r="C334" s="370" t="s">
        <v>328</v>
      </c>
      <c r="D334" s="563" t="s">
        <v>22802</v>
      </c>
      <c r="E334" s="563"/>
      <c r="F334" s="563"/>
      <c r="G334" s="563"/>
      <c r="H334" s="563"/>
      <c r="I334" s="563"/>
      <c r="J334" s="253" t="s">
        <v>17667</v>
      </c>
      <c r="K334" s="373">
        <f>K350+K354+K358</f>
        <v>482.42695200000003</v>
      </c>
    </row>
    <row r="335" spans="1:11">
      <c r="A335" s="354" t="s">
        <v>27</v>
      </c>
      <c r="B335" s="355" t="s">
        <v>11308</v>
      </c>
      <c r="C335" s="355" t="s">
        <v>17663</v>
      </c>
      <c r="D335" s="355" t="s">
        <v>0</v>
      </c>
      <c r="E335" s="355" t="s">
        <v>1</v>
      </c>
      <c r="F335" s="355" t="s">
        <v>39</v>
      </c>
      <c r="G335" s="355" t="s">
        <v>40</v>
      </c>
      <c r="H335" s="355" t="s">
        <v>41</v>
      </c>
      <c r="I335" s="355" t="s">
        <v>42</v>
      </c>
      <c r="J335" s="355"/>
      <c r="K335" s="355" t="s">
        <v>43</v>
      </c>
    </row>
    <row r="336" spans="1:11">
      <c r="A336" s="222"/>
      <c r="B336" s="225"/>
      <c r="C336" s="225"/>
      <c r="D336" s="225"/>
      <c r="E336" s="241"/>
      <c r="F336" s="241"/>
      <c r="G336" s="356"/>
      <c r="H336" s="242"/>
      <c r="I336" s="242"/>
      <c r="J336" s="225"/>
      <c r="K336" s="242"/>
    </row>
    <row r="337" spans="1:11">
      <c r="A337" s="222"/>
      <c r="B337" s="225"/>
      <c r="C337" s="225"/>
      <c r="D337" s="225"/>
      <c r="E337" s="241"/>
      <c r="F337" s="241"/>
      <c r="G337" s="356"/>
      <c r="H337" s="242"/>
      <c r="I337" s="242"/>
      <c r="J337" s="225"/>
      <c r="K337" s="242"/>
    </row>
    <row r="338" spans="1:11">
      <c r="A338" s="358"/>
      <c r="B338" s="359"/>
      <c r="C338" s="359"/>
      <c r="D338" s="359"/>
      <c r="E338" s="359"/>
      <c r="F338" s="359"/>
      <c r="G338" s="359"/>
      <c r="H338" s="359"/>
      <c r="I338" s="359"/>
      <c r="J338" s="360" t="s">
        <v>44</v>
      </c>
      <c r="K338" s="361">
        <f>SUM(K336:K337)</f>
        <v>0</v>
      </c>
    </row>
    <row r="339" spans="1:11">
      <c r="A339" s="354" t="s">
        <v>45</v>
      </c>
      <c r="B339" s="355" t="s">
        <v>11308</v>
      </c>
      <c r="C339" s="355" t="s">
        <v>17663</v>
      </c>
      <c r="D339" s="355" t="s">
        <v>0</v>
      </c>
      <c r="E339" s="355" t="s">
        <v>36</v>
      </c>
      <c r="F339" s="355" t="s">
        <v>46</v>
      </c>
      <c r="G339" s="355" t="s">
        <v>47</v>
      </c>
      <c r="H339" s="355" t="s">
        <v>25</v>
      </c>
      <c r="I339" s="355"/>
      <c r="J339" s="355"/>
      <c r="K339" s="355" t="s">
        <v>43</v>
      </c>
    </row>
    <row r="340" spans="1:11">
      <c r="A340" s="222" t="str">
        <f>VLOOKUP(D340,'15. CUSTOS DER - MÃO DE OBRA'!A:B,2,0)</f>
        <v>ENCARREGADO DE SERVIÇO</v>
      </c>
      <c r="B340" s="225" t="s">
        <v>9013</v>
      </c>
      <c r="C340" s="225" t="s">
        <v>17664</v>
      </c>
      <c r="D340" s="225">
        <v>210060</v>
      </c>
      <c r="E340" s="242">
        <f>VLOOKUP(D340,'15. CUSTOS DER - MÃO DE OBRA'!A:C,3,0)</f>
        <v>6</v>
      </c>
      <c r="F340" s="225"/>
      <c r="G340" s="225">
        <f>VLOOKUP(D340,'15. CUSTOS DER - MÃO DE OBRA'!A:D,4,0)</f>
        <v>85.81</v>
      </c>
      <c r="H340" s="241">
        <v>0.1</v>
      </c>
      <c r="I340" s="225"/>
      <c r="J340" s="225"/>
      <c r="K340" s="242">
        <f>G340*H340</f>
        <v>8.5810000000000013</v>
      </c>
    </row>
    <row r="341" spans="1:11">
      <c r="A341" s="222" t="str">
        <f>VLOOKUP(D341,'15. CUSTOS DER - MÃO DE OBRA'!A:B,2,0)</f>
        <v>PEDREIRO</v>
      </c>
      <c r="B341" s="225" t="s">
        <v>9013</v>
      </c>
      <c r="C341" s="225" t="s">
        <v>17664</v>
      </c>
      <c r="D341" s="225">
        <v>200260</v>
      </c>
      <c r="E341" s="242">
        <f>VLOOKUP(D341,'15. CUSTOS DER - MÃO DE OBRA'!A:C,3,0)</f>
        <v>2.85</v>
      </c>
      <c r="F341" s="225"/>
      <c r="G341" s="225">
        <f>VLOOKUP(D341,'15. CUSTOS DER - MÃO DE OBRA'!A:D,4,0)</f>
        <v>40.76</v>
      </c>
      <c r="H341" s="241">
        <v>0.45</v>
      </c>
      <c r="I341" s="225"/>
      <c r="J341" s="225"/>
      <c r="K341" s="242">
        <f>G341*H341</f>
        <v>18.341999999999999</v>
      </c>
    </row>
    <row r="342" spans="1:11">
      <c r="A342" s="222" t="str">
        <f>VLOOKUP(D342,'15. CUSTOS DER - MÃO DE OBRA'!A:B,2,0)</f>
        <v>SERVENTE</v>
      </c>
      <c r="B342" s="225" t="s">
        <v>9013</v>
      </c>
      <c r="C342" s="225" t="s">
        <v>17664</v>
      </c>
      <c r="D342" s="225">
        <v>200130</v>
      </c>
      <c r="E342" s="242">
        <f>VLOOKUP(D342,'15. CUSTOS DER - MÃO DE OBRA'!A:C,3,0)</f>
        <v>2.2000000000000002</v>
      </c>
      <c r="F342" s="225"/>
      <c r="G342" s="225">
        <f>VLOOKUP(D342,'15. CUSTOS DER - MÃO DE OBRA'!A:D,4,0)</f>
        <v>31.46</v>
      </c>
      <c r="H342" s="241">
        <v>1.2</v>
      </c>
      <c r="I342" s="225"/>
      <c r="J342" s="225"/>
      <c r="K342" s="242">
        <f>G342*H342</f>
        <v>37.752000000000002</v>
      </c>
    </row>
    <row r="343" spans="1:11">
      <c r="A343" s="358"/>
      <c r="B343" s="359"/>
      <c r="C343" s="359"/>
      <c r="D343" s="359"/>
      <c r="E343" s="359"/>
      <c r="F343" s="359"/>
      <c r="G343" s="359"/>
      <c r="H343" s="359"/>
      <c r="I343" s="359"/>
      <c r="J343" s="360" t="s">
        <v>48</v>
      </c>
      <c r="K343" s="361">
        <f>SUM(K340:K342)</f>
        <v>64.675000000000011</v>
      </c>
    </row>
    <row r="344" spans="1:11">
      <c r="A344" s="354" t="s">
        <v>49</v>
      </c>
      <c r="B344" s="355" t="s">
        <v>11308</v>
      </c>
      <c r="C344" s="355" t="s">
        <v>17663</v>
      </c>
      <c r="D344" s="355" t="s">
        <v>0</v>
      </c>
      <c r="E344" s="355" t="s">
        <v>14</v>
      </c>
      <c r="F344" s="355" t="s">
        <v>50</v>
      </c>
      <c r="G344" s="355" t="s">
        <v>29</v>
      </c>
      <c r="H344" s="355" t="s">
        <v>30</v>
      </c>
      <c r="I344" s="355"/>
      <c r="J344" s="355"/>
      <c r="K344" s="355" t="s">
        <v>33</v>
      </c>
    </row>
    <row r="345" spans="1:11">
      <c r="A345" s="222" t="s">
        <v>31</v>
      </c>
      <c r="B345" s="225"/>
      <c r="C345" s="225"/>
      <c r="D345" s="225">
        <v>29990</v>
      </c>
      <c r="E345" s="225">
        <v>5</v>
      </c>
      <c r="F345" s="225" t="s">
        <v>32</v>
      </c>
      <c r="G345" s="225"/>
      <c r="H345" s="225"/>
      <c r="I345" s="225"/>
      <c r="J345" s="225"/>
      <c r="K345" s="242">
        <f>K343*(E345/100)</f>
        <v>3.2337500000000006</v>
      </c>
    </row>
    <row r="346" spans="1:11">
      <c r="A346" s="222"/>
      <c r="B346" s="225"/>
      <c r="C346" s="225"/>
      <c r="D346" s="225"/>
      <c r="E346" s="225"/>
      <c r="F346" s="225"/>
      <c r="G346" s="225"/>
      <c r="H346" s="225"/>
      <c r="I346" s="225"/>
      <c r="J346" s="225"/>
      <c r="K346" s="242"/>
    </row>
    <row r="347" spans="1:11">
      <c r="A347" s="358"/>
      <c r="B347" s="359"/>
      <c r="C347" s="359"/>
      <c r="D347" s="359"/>
      <c r="E347" s="359"/>
      <c r="F347" s="359"/>
      <c r="G347" s="359"/>
      <c r="H347" s="359"/>
      <c r="I347" s="359"/>
      <c r="J347" s="360" t="s">
        <v>51</v>
      </c>
      <c r="K347" s="361">
        <f>SUM(K345:K346)</f>
        <v>3.2337500000000006</v>
      </c>
    </row>
    <row r="348" spans="1:11">
      <c r="A348" s="568" t="s">
        <v>52</v>
      </c>
      <c r="B348" s="568"/>
      <c r="C348" s="568"/>
      <c r="D348" s="568"/>
      <c r="E348" s="568"/>
      <c r="F348" s="568"/>
      <c r="G348" s="568"/>
      <c r="H348" s="568"/>
      <c r="I348" s="568"/>
      <c r="J348" s="568"/>
      <c r="K348" s="361">
        <f>K338+K343+K347</f>
        <v>67.908750000000012</v>
      </c>
    </row>
    <row r="349" spans="1:11">
      <c r="A349" s="568" t="s">
        <v>53</v>
      </c>
      <c r="B349" s="568"/>
      <c r="C349" s="568"/>
      <c r="D349" s="568"/>
      <c r="E349" s="568"/>
      <c r="F349" s="568"/>
      <c r="G349" s="568"/>
      <c r="H349" s="568"/>
      <c r="I349" s="568"/>
      <c r="J349" s="568"/>
      <c r="K349" s="361">
        <v>1</v>
      </c>
    </row>
    <row r="350" spans="1:11">
      <c r="A350" s="566" t="s">
        <v>54</v>
      </c>
      <c r="B350" s="566"/>
      <c r="C350" s="566"/>
      <c r="D350" s="566"/>
      <c r="E350" s="566"/>
      <c r="F350" s="566"/>
      <c r="G350" s="566"/>
      <c r="H350" s="566"/>
      <c r="I350" s="566"/>
      <c r="J350" s="566"/>
      <c r="K350" s="362">
        <f>IF(K348=0,0,K348/K349)</f>
        <v>67.908750000000012</v>
      </c>
    </row>
    <row r="351" spans="1:11">
      <c r="A351" s="354" t="s">
        <v>55</v>
      </c>
      <c r="B351" s="355" t="s">
        <v>11308</v>
      </c>
      <c r="C351" s="355" t="s">
        <v>17663</v>
      </c>
      <c r="D351" s="355" t="s">
        <v>0</v>
      </c>
      <c r="E351" s="355" t="s">
        <v>2</v>
      </c>
      <c r="F351" s="567" t="s">
        <v>9</v>
      </c>
      <c r="G351" s="567"/>
      <c r="H351" s="567" t="s">
        <v>25</v>
      </c>
      <c r="I351" s="567"/>
      <c r="J351" s="355"/>
      <c r="K351" s="355" t="s">
        <v>56</v>
      </c>
    </row>
    <row r="352" spans="1:11">
      <c r="A352" s="222" t="str">
        <f>VLOOKUP(D352,'14. CUSTOS DER - MATERIAIS'!A:B,2,0)</f>
        <v>TUBO CONCRETO D=0,40M MF PA-1</v>
      </c>
      <c r="B352" s="225" t="s">
        <v>9013</v>
      </c>
      <c r="C352" s="225" t="s">
        <v>68</v>
      </c>
      <c r="D352" s="225">
        <v>180310</v>
      </c>
      <c r="E352" s="225" t="str">
        <f>VLOOKUP(D352,'14. CUSTOS DER - MATERIAIS'!A:C,3,0)</f>
        <v>UD</v>
      </c>
      <c r="F352" s="225"/>
      <c r="G352" s="224">
        <f>VLOOKUP(D352,'14. CUSTOS DER - MATERIAIS'!A:D,4,0)</f>
        <v>95.33</v>
      </c>
      <c r="H352" s="241"/>
      <c r="I352" s="241">
        <v>1</v>
      </c>
      <c r="J352" s="225"/>
      <c r="K352" s="242">
        <f>G352*I352</f>
        <v>95.33</v>
      </c>
    </row>
    <row r="353" spans="1:11">
      <c r="A353" s="222"/>
      <c r="B353" s="225"/>
      <c r="C353" s="225"/>
      <c r="D353" s="225"/>
      <c r="E353" s="225"/>
      <c r="F353" s="225"/>
      <c r="G353" s="224"/>
      <c r="H353" s="241"/>
      <c r="I353" s="241"/>
      <c r="J353" s="225"/>
      <c r="K353" s="242"/>
    </row>
    <row r="354" spans="1:11">
      <c r="A354" s="364"/>
      <c r="B354" s="365"/>
      <c r="C354" s="365"/>
      <c r="D354" s="365"/>
      <c r="E354" s="365"/>
      <c r="F354" s="365"/>
      <c r="G354" s="365"/>
      <c r="H354" s="365"/>
      <c r="I354" s="365"/>
      <c r="J354" s="366" t="s">
        <v>57</v>
      </c>
      <c r="K354" s="362">
        <f>SUM(K352:K353)</f>
        <v>95.33</v>
      </c>
    </row>
    <row r="355" spans="1:11">
      <c r="A355" s="354" t="s">
        <v>58</v>
      </c>
      <c r="B355" s="355" t="s">
        <v>11308</v>
      </c>
      <c r="C355" s="355" t="s">
        <v>17663</v>
      </c>
      <c r="D355" s="355" t="s">
        <v>0</v>
      </c>
      <c r="E355" s="355" t="s">
        <v>2</v>
      </c>
      <c r="F355" s="567" t="s">
        <v>9</v>
      </c>
      <c r="G355" s="567"/>
      <c r="H355" s="567" t="s">
        <v>25</v>
      </c>
      <c r="I355" s="567"/>
      <c r="J355" s="355"/>
      <c r="K355" s="355" t="s">
        <v>56</v>
      </c>
    </row>
    <row r="356" spans="1:11">
      <c r="A356" s="222" t="s">
        <v>149</v>
      </c>
      <c r="B356" s="225" t="s">
        <v>9013</v>
      </c>
      <c r="C356" s="225" t="s">
        <v>17662</v>
      </c>
      <c r="D356" s="225">
        <v>605200</v>
      </c>
      <c r="E356" s="225" t="s">
        <v>145</v>
      </c>
      <c r="F356" s="225"/>
      <c r="G356" s="225">
        <f>VLOOKUP(D356,'13. CUSTOS DER - SERVIÇOS'!A:G,7,0)</f>
        <v>471.16</v>
      </c>
      <c r="H356" s="241"/>
      <c r="I356" s="240">
        <v>0.63</v>
      </c>
      <c r="J356" s="241"/>
      <c r="K356" s="242">
        <f>G356*I356</f>
        <v>296.83080000000001</v>
      </c>
    </row>
    <row r="357" spans="1:11">
      <c r="A357" s="222" t="s">
        <v>16</v>
      </c>
      <c r="B357" s="225" t="s">
        <v>9013</v>
      </c>
      <c r="C357" s="225" t="s">
        <v>17662</v>
      </c>
      <c r="D357" s="225">
        <v>600000</v>
      </c>
      <c r="E357" s="225" t="s">
        <v>145</v>
      </c>
      <c r="F357" s="225"/>
      <c r="G357" s="225">
        <f>VLOOKUP(D357,'13. CUSTOS DER - SERVIÇOS'!A:G,7,0)</f>
        <v>49.54</v>
      </c>
      <c r="H357" s="241"/>
      <c r="I357" s="240">
        <v>0.45129999999999998</v>
      </c>
      <c r="J357" s="241"/>
      <c r="K357" s="242">
        <f>G357*I357</f>
        <v>22.357401999999997</v>
      </c>
    </row>
    <row r="358" spans="1:11">
      <c r="A358" s="364"/>
      <c r="B358" s="365"/>
      <c r="C358" s="365"/>
      <c r="D358" s="365"/>
      <c r="E358" s="365"/>
      <c r="F358" s="365"/>
      <c r="G358" s="365"/>
      <c r="H358" s="365"/>
      <c r="I358" s="365"/>
      <c r="J358" s="366" t="s">
        <v>59</v>
      </c>
      <c r="K358" s="362">
        <f>SUM(K356:K357)</f>
        <v>319.18820199999999</v>
      </c>
    </row>
    <row r="359" spans="1:11">
      <c r="E359" s="367"/>
      <c r="F359" s="367"/>
      <c r="G359" s="367"/>
      <c r="H359" s="367"/>
      <c r="I359" s="367"/>
      <c r="J359" s="368"/>
      <c r="K359" s="369"/>
    </row>
    <row r="360" spans="1:11">
      <c r="E360" s="367"/>
      <c r="F360" s="367"/>
      <c r="G360" s="367"/>
      <c r="H360" s="367"/>
      <c r="I360" s="367"/>
      <c r="J360" s="368"/>
      <c r="K360" s="369"/>
    </row>
    <row r="361" spans="1:11">
      <c r="A361" s="337" t="s">
        <v>22649</v>
      </c>
      <c r="B361" s="337" t="s">
        <v>371</v>
      </c>
      <c r="C361" s="370" t="s">
        <v>328</v>
      </c>
      <c r="D361" s="563" t="s">
        <v>248</v>
      </c>
      <c r="E361" s="563"/>
      <c r="F361" s="563"/>
      <c r="G361" s="563"/>
      <c r="H361" s="563"/>
      <c r="I361" s="563"/>
      <c r="J361" s="253" t="s">
        <v>17667</v>
      </c>
      <c r="K361" s="373">
        <f>K376+K381+K385</f>
        <v>90.283322123893797</v>
      </c>
    </row>
    <row r="362" spans="1:11">
      <c r="A362" s="354" t="s">
        <v>27</v>
      </c>
      <c r="B362" s="355" t="s">
        <v>11308</v>
      </c>
      <c r="C362" s="355" t="s">
        <v>17663</v>
      </c>
      <c r="D362" s="355" t="s">
        <v>0</v>
      </c>
      <c r="E362" s="355" t="s">
        <v>1</v>
      </c>
      <c r="F362" s="355" t="s">
        <v>39</v>
      </c>
      <c r="G362" s="355" t="s">
        <v>40</v>
      </c>
      <c r="H362" s="355" t="s">
        <v>41</v>
      </c>
      <c r="I362" s="355" t="s">
        <v>42</v>
      </c>
      <c r="J362" s="355"/>
      <c r="K362" s="355" t="s">
        <v>43</v>
      </c>
    </row>
    <row r="363" spans="1:11">
      <c r="A363" s="222"/>
      <c r="B363" s="225"/>
      <c r="C363" s="225"/>
      <c r="D363" s="225"/>
      <c r="E363" s="375"/>
      <c r="F363" s="375"/>
      <c r="G363" s="377"/>
      <c r="H363" s="357"/>
      <c r="I363" s="357"/>
      <c r="J363" s="225"/>
      <c r="K363" s="357"/>
    </row>
    <row r="364" spans="1:11">
      <c r="A364" s="222"/>
      <c r="B364" s="225"/>
      <c r="C364" s="225"/>
      <c r="D364" s="225"/>
      <c r="E364" s="375"/>
      <c r="F364" s="375"/>
      <c r="G364" s="377"/>
      <c r="H364" s="357"/>
      <c r="I364" s="357"/>
      <c r="J364" s="225"/>
      <c r="K364" s="357"/>
    </row>
    <row r="365" spans="1:11">
      <c r="A365" s="358"/>
      <c r="B365" s="359"/>
      <c r="C365" s="359"/>
      <c r="D365" s="359"/>
      <c r="E365" s="359"/>
      <c r="F365" s="359"/>
      <c r="G365" s="359"/>
      <c r="H365" s="359"/>
      <c r="I365" s="359"/>
      <c r="J365" s="360" t="s">
        <v>44</v>
      </c>
      <c r="K365" s="361">
        <f>SUM(K363:K364)</f>
        <v>0</v>
      </c>
    </row>
    <row r="366" spans="1:11">
      <c r="A366" s="354" t="s">
        <v>45</v>
      </c>
      <c r="B366" s="355" t="s">
        <v>11308</v>
      </c>
      <c r="C366" s="355" t="s">
        <v>17663</v>
      </c>
      <c r="D366" s="355" t="s">
        <v>0</v>
      </c>
      <c r="E366" s="355" t="s">
        <v>36</v>
      </c>
      <c r="F366" s="355" t="s">
        <v>46</v>
      </c>
      <c r="G366" s="355" t="s">
        <v>47</v>
      </c>
      <c r="H366" s="355" t="s">
        <v>25</v>
      </c>
      <c r="I366" s="355"/>
      <c r="J366" s="355"/>
      <c r="K366" s="355" t="s">
        <v>43</v>
      </c>
    </row>
    <row r="367" spans="1:11">
      <c r="A367" s="222" t="str">
        <f>VLOOKUP(D367,'15. CUSTOS DER - MÃO DE OBRA'!A:B,2,0)</f>
        <v>PEDREIRO</v>
      </c>
      <c r="B367" s="225" t="s">
        <v>9013</v>
      </c>
      <c r="C367" s="225" t="s">
        <v>17664</v>
      </c>
      <c r="D367" s="225">
        <v>200260</v>
      </c>
      <c r="E367" s="242">
        <f>VLOOKUP(D367,'15. CUSTOS DER - MÃO DE OBRA'!A:C,3,0)</f>
        <v>2.85</v>
      </c>
      <c r="F367" s="225"/>
      <c r="G367" s="225">
        <f>VLOOKUP(D367,'15. CUSTOS DER - MÃO DE OBRA'!A:D,4,0)</f>
        <v>40.76</v>
      </c>
      <c r="H367" s="241">
        <v>1</v>
      </c>
      <c r="I367" s="225"/>
      <c r="J367" s="225"/>
      <c r="K367" s="242">
        <f>G367*H367</f>
        <v>40.76</v>
      </c>
    </row>
    <row r="368" spans="1:11">
      <c r="A368" s="222" t="str">
        <f>VLOOKUP(D368,'15. CUSTOS DER - MÃO DE OBRA'!A:B,2,0)</f>
        <v>SERVENTE</v>
      </c>
      <c r="B368" s="225" t="s">
        <v>9013</v>
      </c>
      <c r="C368" s="225" t="s">
        <v>17664</v>
      </c>
      <c r="D368" s="225">
        <v>200130</v>
      </c>
      <c r="E368" s="242">
        <f>VLOOKUP(D368,'15. CUSTOS DER - MÃO DE OBRA'!A:C,3,0)</f>
        <v>2.2000000000000002</v>
      </c>
      <c r="F368" s="225"/>
      <c r="G368" s="225">
        <f>VLOOKUP(D368,'15. CUSTOS DER - MÃO DE OBRA'!A:D,4,0)</f>
        <v>31.46</v>
      </c>
      <c r="H368" s="241">
        <v>2</v>
      </c>
      <c r="I368" s="225"/>
      <c r="J368" s="225"/>
      <c r="K368" s="242">
        <f>G368*H368</f>
        <v>62.92</v>
      </c>
    </row>
    <row r="369" spans="1:11">
      <c r="A369" s="358"/>
      <c r="B369" s="359"/>
      <c r="C369" s="359"/>
      <c r="D369" s="359"/>
      <c r="E369" s="359"/>
      <c r="F369" s="359"/>
      <c r="G369" s="359"/>
      <c r="H369" s="359"/>
      <c r="I369" s="359"/>
      <c r="J369" s="360" t="s">
        <v>48</v>
      </c>
      <c r="K369" s="361">
        <f>SUM(K367:K368)</f>
        <v>103.68</v>
      </c>
    </row>
    <row r="370" spans="1:11">
      <c r="A370" s="354" t="s">
        <v>49</v>
      </c>
      <c r="B370" s="355" t="s">
        <v>11308</v>
      </c>
      <c r="C370" s="355" t="s">
        <v>17663</v>
      </c>
      <c r="D370" s="355" t="s">
        <v>0</v>
      </c>
      <c r="E370" s="355" t="s">
        <v>14</v>
      </c>
      <c r="F370" s="355" t="s">
        <v>50</v>
      </c>
      <c r="G370" s="355" t="s">
        <v>29</v>
      </c>
      <c r="H370" s="355" t="s">
        <v>30</v>
      </c>
      <c r="I370" s="355"/>
      <c r="J370" s="355"/>
      <c r="K370" s="355" t="s">
        <v>33</v>
      </c>
    </row>
    <row r="371" spans="1:11">
      <c r="A371" s="222"/>
      <c r="B371" s="225"/>
      <c r="C371" s="225"/>
      <c r="D371" s="225"/>
      <c r="E371" s="225"/>
      <c r="F371" s="225"/>
      <c r="G371" s="225"/>
      <c r="H371" s="225"/>
      <c r="I371" s="225"/>
      <c r="J371" s="225"/>
      <c r="K371" s="357"/>
    </row>
    <row r="372" spans="1:11">
      <c r="A372" s="222"/>
      <c r="B372" s="225"/>
      <c r="C372" s="225"/>
      <c r="D372" s="225"/>
      <c r="E372" s="225"/>
      <c r="F372" s="225"/>
      <c r="G372" s="225"/>
      <c r="H372" s="225"/>
      <c r="I372" s="225"/>
      <c r="J372" s="225"/>
      <c r="K372" s="357"/>
    </row>
    <row r="373" spans="1:11">
      <c r="A373" s="358"/>
      <c r="B373" s="359"/>
      <c r="C373" s="359"/>
      <c r="D373" s="359"/>
      <c r="E373" s="359"/>
      <c r="F373" s="359"/>
      <c r="G373" s="359"/>
      <c r="H373" s="359"/>
      <c r="I373" s="359"/>
      <c r="J373" s="360" t="s">
        <v>51</v>
      </c>
      <c r="K373" s="361">
        <f>SUM(K371:K372)</f>
        <v>0</v>
      </c>
    </row>
    <row r="374" spans="1:11">
      <c r="A374" s="568" t="s">
        <v>52</v>
      </c>
      <c r="B374" s="568"/>
      <c r="C374" s="568"/>
      <c r="D374" s="568"/>
      <c r="E374" s="568"/>
      <c r="F374" s="568"/>
      <c r="G374" s="568"/>
      <c r="H374" s="568"/>
      <c r="I374" s="568"/>
      <c r="J374" s="568"/>
      <c r="K374" s="361">
        <f>K365+K369+K373</f>
        <v>103.68</v>
      </c>
    </row>
    <row r="375" spans="1:11">
      <c r="A375" s="568" t="s">
        <v>53</v>
      </c>
      <c r="B375" s="568"/>
      <c r="C375" s="568"/>
      <c r="D375" s="568"/>
      <c r="E375" s="568"/>
      <c r="F375" s="568"/>
      <c r="G375" s="568"/>
      <c r="H375" s="568"/>
      <c r="I375" s="568"/>
      <c r="J375" s="568"/>
      <c r="K375" s="361">
        <v>113</v>
      </c>
    </row>
    <row r="376" spans="1:11">
      <c r="A376" s="566" t="s">
        <v>54</v>
      </c>
      <c r="B376" s="566"/>
      <c r="C376" s="566"/>
      <c r="D376" s="566"/>
      <c r="E376" s="566"/>
      <c r="F376" s="566"/>
      <c r="G376" s="566"/>
      <c r="H376" s="566"/>
      <c r="I376" s="566"/>
      <c r="J376" s="566"/>
      <c r="K376" s="362">
        <f>IF(K374=0,0,K374/K375)</f>
        <v>0.91752212389380539</v>
      </c>
    </row>
    <row r="377" spans="1:11">
      <c r="A377" s="354" t="s">
        <v>55</v>
      </c>
      <c r="B377" s="355" t="s">
        <v>11308</v>
      </c>
      <c r="C377" s="355" t="s">
        <v>17663</v>
      </c>
      <c r="D377" s="355" t="s">
        <v>0</v>
      </c>
      <c r="E377" s="355" t="s">
        <v>2</v>
      </c>
      <c r="F377" s="567" t="s">
        <v>9</v>
      </c>
      <c r="G377" s="567"/>
      <c r="H377" s="567" t="s">
        <v>25</v>
      </c>
      <c r="I377" s="567"/>
      <c r="J377" s="355"/>
      <c r="K377" s="355" t="s">
        <v>56</v>
      </c>
    </row>
    <row r="378" spans="1:11">
      <c r="A378" s="222" t="str">
        <f>VLOOKUP(D378,'14. CUSTOS DER - MATERIAIS'!A:B,2,0)</f>
        <v>GEOCOMPOSTO DRENANTE MACDRAIN TD C/BOLSA P/TUBO</v>
      </c>
      <c r="B378" s="225" t="s">
        <v>9013</v>
      </c>
      <c r="C378" s="225" t="s">
        <v>68</v>
      </c>
      <c r="D378" s="225">
        <v>150055</v>
      </c>
      <c r="E378" s="225" t="str">
        <f>VLOOKUP(D378,'14. CUSTOS DER - MATERIAIS'!A:C,3,0)</f>
        <v>M2</v>
      </c>
      <c r="F378" s="225"/>
      <c r="G378" s="224">
        <f>VLOOKUP(D378,'14. CUSTOS DER - MATERIAIS'!A:D,4,0)</f>
        <v>34.47</v>
      </c>
      <c r="H378" s="241"/>
      <c r="I378" s="241">
        <v>1.5</v>
      </c>
      <c r="J378" s="225"/>
      <c r="K378" s="242">
        <f>G378*I378</f>
        <v>51.704999999999998</v>
      </c>
    </row>
    <row r="379" spans="1:11">
      <c r="A379" s="222" t="str">
        <f>VLOOKUP(D379,'14. CUSTOS DER - MATERIAIS'!A:B,2,0)</f>
        <v>TUBO POLIETILENO (PEAD) P/DRENO 0,10M</v>
      </c>
      <c r="B379" s="225" t="s">
        <v>9013</v>
      </c>
      <c r="C379" s="225" t="s">
        <v>68</v>
      </c>
      <c r="D379" s="225">
        <v>180250</v>
      </c>
      <c r="E379" s="225" t="str">
        <f>VLOOKUP(D379,'14. CUSTOS DER - MATERIAIS'!A:C,3,0)</f>
        <v>M</v>
      </c>
      <c r="F379" s="225"/>
      <c r="G379" s="224">
        <f>VLOOKUP(D379,'14. CUSTOS DER - MATERIAIS'!A:D,4,0)</f>
        <v>9.77</v>
      </c>
      <c r="H379" s="241"/>
      <c r="I379" s="241">
        <v>1</v>
      </c>
      <c r="J379" s="225"/>
      <c r="K379" s="242">
        <f>G379*I379</f>
        <v>9.77</v>
      </c>
    </row>
    <row r="380" spans="1:11">
      <c r="A380" s="222" t="str">
        <f>VLOOKUP(D380,'14. CUSTOS DER - MATERIAIS'!A:B,2,0)</f>
        <v>DENTE CORTE P/FRESADORA/VALETADEIRA WS-24 E S-650</v>
      </c>
      <c r="B380" s="225" t="s">
        <v>9013</v>
      </c>
      <c r="C380" s="225" t="s">
        <v>68</v>
      </c>
      <c r="D380" s="225">
        <v>141050</v>
      </c>
      <c r="E380" s="225" t="str">
        <f>VLOOKUP(D380,'14. CUSTOS DER - MATERIAIS'!A:C,3,0)</f>
        <v>UD</v>
      </c>
      <c r="F380" s="225"/>
      <c r="G380" s="224">
        <f>VLOOKUP(D380,'14. CUSTOS DER - MATERIAIS'!A:D,4,0)</f>
        <v>139</v>
      </c>
      <c r="H380" s="241"/>
      <c r="I380" s="241">
        <v>7.4999999999999997E-2</v>
      </c>
      <c r="J380" s="225"/>
      <c r="K380" s="242">
        <f>G380*I380</f>
        <v>10.424999999999999</v>
      </c>
    </row>
    <row r="381" spans="1:11">
      <c r="A381" s="364"/>
      <c r="B381" s="365"/>
      <c r="C381" s="365"/>
      <c r="D381" s="365"/>
      <c r="E381" s="365"/>
      <c r="F381" s="365"/>
      <c r="G381" s="365"/>
      <c r="H381" s="365"/>
      <c r="I381" s="365"/>
      <c r="J381" s="366" t="s">
        <v>57</v>
      </c>
      <c r="K381" s="362">
        <f>SUM(K378:K380)</f>
        <v>71.899999999999991</v>
      </c>
    </row>
    <row r="382" spans="1:11">
      <c r="A382" s="354" t="s">
        <v>58</v>
      </c>
      <c r="B382" s="355" t="s">
        <v>11308</v>
      </c>
      <c r="C382" s="355" t="s">
        <v>17663</v>
      </c>
      <c r="D382" s="355" t="s">
        <v>0</v>
      </c>
      <c r="E382" s="355" t="s">
        <v>2</v>
      </c>
      <c r="F382" s="567" t="s">
        <v>9</v>
      </c>
      <c r="G382" s="567"/>
      <c r="H382" s="567" t="s">
        <v>25</v>
      </c>
      <c r="I382" s="567"/>
      <c r="J382" s="355"/>
      <c r="K382" s="355" t="s">
        <v>56</v>
      </c>
    </row>
    <row r="383" spans="1:11">
      <c r="A383" s="222" t="s">
        <v>15</v>
      </c>
      <c r="B383" s="225" t="s">
        <v>9013</v>
      </c>
      <c r="C383" s="225" t="s">
        <v>17662</v>
      </c>
      <c r="D383" s="225">
        <v>601200</v>
      </c>
      <c r="E383" s="225" t="s">
        <v>145</v>
      </c>
      <c r="F383" s="225"/>
      <c r="G383" s="225">
        <f>VLOOKUP(D383,'13. CUSTOS DER - SERVIÇOS'!A:G,7,0)</f>
        <v>34.119999999999997</v>
      </c>
      <c r="H383" s="242"/>
      <c r="I383" s="242">
        <v>0.34</v>
      </c>
      <c r="J383" s="241"/>
      <c r="K383" s="242">
        <f>G383*I383</f>
        <v>11.6008</v>
      </c>
    </row>
    <row r="384" spans="1:11" ht="31.5">
      <c r="A384" s="222" t="str">
        <f>VLOOKUP(D384,'18. CUSTOS DNIT - SERVIÇOS'!A:B,2,0)</f>
        <v>Escavação mecânica de vala para drenagem com valetadeira em material de 1ª categoria</v>
      </c>
      <c r="B384" s="225" t="s">
        <v>22708</v>
      </c>
      <c r="C384" s="225" t="s">
        <v>17662</v>
      </c>
      <c r="D384" s="225">
        <v>2004504</v>
      </c>
      <c r="E384" s="372" t="str">
        <f>VLOOKUP(D384,'18. CUSTOS DNIT - SERVIÇOS'!A:C,3,0)</f>
        <v>m³</v>
      </c>
      <c r="F384" s="225"/>
      <c r="G384" s="224">
        <f>VLOOKUP(D384,'18. CUSTOS DNIT - SERVIÇOS'!A:D,4,0)</f>
        <v>15.64</v>
      </c>
      <c r="H384" s="241"/>
      <c r="I384" s="240">
        <v>0.375</v>
      </c>
      <c r="J384" s="225"/>
      <c r="K384" s="242">
        <f>G384*I384</f>
        <v>5.8650000000000002</v>
      </c>
    </row>
    <row r="385" spans="1:11">
      <c r="A385" s="364"/>
      <c r="B385" s="365"/>
      <c r="C385" s="365"/>
      <c r="D385" s="365"/>
      <c r="E385" s="365"/>
      <c r="F385" s="365"/>
      <c r="G385" s="365"/>
      <c r="H385" s="365"/>
      <c r="I385" s="365"/>
      <c r="J385" s="366" t="s">
        <v>59</v>
      </c>
      <c r="K385" s="362">
        <f>SUM(K383:K384)</f>
        <v>17.465800000000002</v>
      </c>
    </row>
    <row r="386" spans="1:11">
      <c r="E386" s="367"/>
      <c r="F386" s="367"/>
      <c r="G386" s="367"/>
      <c r="H386" s="367"/>
      <c r="I386" s="367"/>
      <c r="J386" s="368"/>
      <c r="K386" s="369"/>
    </row>
    <row r="387" spans="1:11">
      <c r="E387" s="367"/>
      <c r="F387" s="367"/>
      <c r="G387" s="367"/>
      <c r="H387" s="367"/>
      <c r="I387" s="367"/>
      <c r="J387" s="368"/>
      <c r="K387" s="369"/>
    </row>
    <row r="388" spans="1:11">
      <c r="A388" s="337" t="s">
        <v>22651</v>
      </c>
      <c r="B388" s="337" t="s">
        <v>371</v>
      </c>
      <c r="C388" s="370" t="s">
        <v>326</v>
      </c>
      <c r="D388" s="563" t="s">
        <v>249</v>
      </c>
      <c r="E388" s="563"/>
      <c r="F388" s="563"/>
      <c r="G388" s="563"/>
      <c r="H388" s="563"/>
      <c r="I388" s="563"/>
      <c r="J388" s="253" t="s">
        <v>17667</v>
      </c>
      <c r="K388" s="373">
        <f>K404+K408+K412</f>
        <v>438.94809520000007</v>
      </c>
    </row>
    <row r="389" spans="1:11">
      <c r="A389" s="354" t="s">
        <v>27</v>
      </c>
      <c r="B389" s="355" t="s">
        <v>11308</v>
      </c>
      <c r="C389" s="355" t="s">
        <v>17663</v>
      </c>
      <c r="D389" s="355" t="s">
        <v>0</v>
      </c>
      <c r="E389" s="355" t="s">
        <v>1</v>
      </c>
      <c r="F389" s="355" t="s">
        <v>39</v>
      </c>
      <c r="G389" s="355" t="s">
        <v>40</v>
      </c>
      <c r="H389" s="355" t="s">
        <v>41</v>
      </c>
      <c r="I389" s="355" t="s">
        <v>42</v>
      </c>
      <c r="J389" s="355"/>
      <c r="K389" s="355" t="s">
        <v>43</v>
      </c>
    </row>
    <row r="390" spans="1:11">
      <c r="A390" s="222" t="str">
        <f>VLOOKUP(D390,'17. CUSTOS DER - EQUIPAMENTOS'!A:B,2,0)</f>
        <v>VIBRADOR IMERSÃO GASOLINA 45MM</v>
      </c>
      <c r="B390" s="225" t="s">
        <v>9013</v>
      </c>
      <c r="C390" s="225" t="s">
        <v>22635</v>
      </c>
      <c r="D390" s="225">
        <v>370450</v>
      </c>
      <c r="E390" s="241">
        <v>1</v>
      </c>
      <c r="F390" s="241">
        <v>1</v>
      </c>
      <c r="G390" s="356">
        <v>0</v>
      </c>
      <c r="H390" s="242">
        <f>VLOOKUP(D390,'17. CUSTOS DER - EQUIPAMENTOS'!A:O,15,0)</f>
        <v>5.59</v>
      </c>
      <c r="I390" s="242">
        <f>VLOOKUP(D390,'17. CUSTOS DER - EQUIPAMENTOS'!A:P,16,0)</f>
        <v>0.4</v>
      </c>
      <c r="J390" s="225"/>
      <c r="K390" s="242">
        <f>((F390*H390)+(G390*I390))*E390</f>
        <v>5.59</v>
      </c>
    </row>
    <row r="391" spans="1:11">
      <c r="A391" s="222"/>
      <c r="B391" s="225"/>
      <c r="C391" s="225"/>
      <c r="D391" s="225"/>
      <c r="E391" s="241"/>
      <c r="F391" s="241"/>
      <c r="G391" s="356"/>
      <c r="H391" s="242"/>
      <c r="I391" s="242"/>
      <c r="J391" s="225"/>
      <c r="K391" s="242"/>
    </row>
    <row r="392" spans="1:11">
      <c r="A392" s="358"/>
      <c r="B392" s="359"/>
      <c r="C392" s="359"/>
      <c r="D392" s="359"/>
      <c r="E392" s="359"/>
      <c r="F392" s="359"/>
      <c r="G392" s="359"/>
      <c r="H392" s="359"/>
      <c r="I392" s="359"/>
      <c r="J392" s="360" t="s">
        <v>44</v>
      </c>
      <c r="K392" s="361">
        <f>SUM(K390:K391)</f>
        <v>5.59</v>
      </c>
    </row>
    <row r="393" spans="1:11">
      <c r="A393" s="354" t="s">
        <v>45</v>
      </c>
      <c r="B393" s="355" t="s">
        <v>11308</v>
      </c>
      <c r="C393" s="355" t="s">
        <v>17663</v>
      </c>
      <c r="D393" s="355" t="s">
        <v>0</v>
      </c>
      <c r="E393" s="355" t="s">
        <v>36</v>
      </c>
      <c r="F393" s="355" t="s">
        <v>46</v>
      </c>
      <c r="G393" s="355" t="s">
        <v>47</v>
      </c>
      <c r="H393" s="355" t="s">
        <v>25</v>
      </c>
      <c r="I393" s="355"/>
      <c r="J393" s="355"/>
      <c r="K393" s="355" t="s">
        <v>43</v>
      </c>
    </row>
    <row r="394" spans="1:11">
      <c r="A394" s="222" t="str">
        <f>VLOOKUP(D394,'15. CUSTOS DER - MÃO DE OBRA'!A:B,2,0)</f>
        <v>ENCARREGADO DE SERVIÇO</v>
      </c>
      <c r="B394" s="225" t="s">
        <v>9013</v>
      </c>
      <c r="C394" s="225" t="s">
        <v>22650</v>
      </c>
      <c r="D394" s="225">
        <v>210060</v>
      </c>
      <c r="E394" s="242">
        <f>VLOOKUP(D394,'15. CUSTOS DER - MÃO DE OBRA'!A:C,3,0)</f>
        <v>6</v>
      </c>
      <c r="F394" s="225"/>
      <c r="G394" s="225">
        <f>VLOOKUP(D394,'15. CUSTOS DER - MÃO DE OBRA'!A:D,4,0)</f>
        <v>85.81</v>
      </c>
      <c r="H394" s="241">
        <v>0.2</v>
      </c>
      <c r="I394" s="225"/>
      <c r="J394" s="225"/>
      <c r="K394" s="242">
        <f>G394*H394</f>
        <v>17.162000000000003</v>
      </c>
    </row>
    <row r="395" spans="1:11">
      <c r="A395" s="222" t="str">
        <f>VLOOKUP(D395,'15. CUSTOS DER - MÃO DE OBRA'!A:B,2,0)</f>
        <v>PEDREIRO</v>
      </c>
      <c r="B395" s="225" t="s">
        <v>9013</v>
      </c>
      <c r="C395" s="225" t="s">
        <v>22650</v>
      </c>
      <c r="D395" s="225">
        <v>200260</v>
      </c>
      <c r="E395" s="242">
        <f>VLOOKUP(D395,'15. CUSTOS DER - MÃO DE OBRA'!A:C,3,0)</f>
        <v>2.85</v>
      </c>
      <c r="F395" s="225"/>
      <c r="G395" s="225">
        <f>VLOOKUP(D395,'15. CUSTOS DER - MÃO DE OBRA'!A:D,4,0)</f>
        <v>40.76</v>
      </c>
      <c r="H395" s="241">
        <v>0.19900000000000001</v>
      </c>
      <c r="I395" s="225"/>
      <c r="J395" s="225"/>
      <c r="K395" s="242">
        <f>G395*H395</f>
        <v>8.1112400000000004</v>
      </c>
    </row>
    <row r="396" spans="1:11">
      <c r="A396" s="222" t="str">
        <f>VLOOKUP(D396,'15. CUSTOS DER - MÃO DE OBRA'!A:B,2,0)</f>
        <v>SERVENTE</v>
      </c>
      <c r="B396" s="225" t="s">
        <v>9013</v>
      </c>
      <c r="C396" s="225" t="s">
        <v>22650</v>
      </c>
      <c r="D396" s="225">
        <v>200130</v>
      </c>
      <c r="E396" s="242">
        <f>VLOOKUP(D396,'15. CUSTOS DER - MÃO DE OBRA'!A:C,3,0)</f>
        <v>2.2000000000000002</v>
      </c>
      <c r="F396" s="225"/>
      <c r="G396" s="225">
        <f>VLOOKUP(D396,'15. CUSTOS DER - MÃO DE OBRA'!A:D,4,0)</f>
        <v>31.46</v>
      </c>
      <c r="H396" s="241">
        <v>1.1919999999999999</v>
      </c>
      <c r="I396" s="225"/>
      <c r="J396" s="225"/>
      <c r="K396" s="242">
        <f>G396*H396</f>
        <v>37.500320000000002</v>
      </c>
    </row>
    <row r="397" spans="1:11">
      <c r="A397" s="358"/>
      <c r="B397" s="359"/>
      <c r="C397" s="359"/>
      <c r="D397" s="359"/>
      <c r="E397" s="359"/>
      <c r="F397" s="359"/>
      <c r="G397" s="359"/>
      <c r="H397" s="359"/>
      <c r="I397" s="359"/>
      <c r="J397" s="360" t="s">
        <v>48</v>
      </c>
      <c r="K397" s="361">
        <f>SUM(K394:K396)</f>
        <v>62.773560000000003</v>
      </c>
    </row>
    <row r="398" spans="1:11">
      <c r="A398" s="354" t="s">
        <v>49</v>
      </c>
      <c r="B398" s="355" t="s">
        <v>11308</v>
      </c>
      <c r="C398" s="355" t="s">
        <v>17663</v>
      </c>
      <c r="D398" s="355" t="s">
        <v>0</v>
      </c>
      <c r="E398" s="355" t="s">
        <v>14</v>
      </c>
      <c r="F398" s="355" t="s">
        <v>50</v>
      </c>
      <c r="G398" s="355" t="s">
        <v>29</v>
      </c>
      <c r="H398" s="355" t="s">
        <v>30</v>
      </c>
      <c r="I398" s="355"/>
      <c r="J398" s="355"/>
      <c r="K398" s="355" t="s">
        <v>33</v>
      </c>
    </row>
    <row r="399" spans="1:11">
      <c r="A399" s="222" t="s">
        <v>31</v>
      </c>
      <c r="B399" s="225"/>
      <c r="C399" s="225"/>
      <c r="D399" s="225">
        <v>29990</v>
      </c>
      <c r="E399" s="225">
        <v>5</v>
      </c>
      <c r="F399" s="225" t="s">
        <v>32</v>
      </c>
      <c r="G399" s="225"/>
      <c r="H399" s="225"/>
      <c r="I399" s="225"/>
      <c r="J399" s="225"/>
      <c r="K399" s="242">
        <f>K397*(E399/100)</f>
        <v>3.1386780000000005</v>
      </c>
    </row>
    <row r="400" spans="1:11">
      <c r="A400" s="222"/>
      <c r="B400" s="225"/>
      <c r="C400" s="225"/>
      <c r="D400" s="225"/>
      <c r="E400" s="225"/>
      <c r="F400" s="225"/>
      <c r="G400" s="225"/>
      <c r="H400" s="225"/>
      <c r="I400" s="225"/>
      <c r="J400" s="225"/>
      <c r="K400" s="242"/>
    </row>
    <row r="401" spans="1:11">
      <c r="A401" s="358"/>
      <c r="B401" s="359"/>
      <c r="C401" s="359"/>
      <c r="D401" s="359"/>
      <c r="E401" s="359"/>
      <c r="F401" s="359"/>
      <c r="G401" s="359"/>
      <c r="H401" s="359"/>
      <c r="I401" s="359"/>
      <c r="J401" s="360" t="s">
        <v>51</v>
      </c>
      <c r="K401" s="361">
        <f>SUM(K399:K400)</f>
        <v>3.1386780000000005</v>
      </c>
    </row>
    <row r="402" spans="1:11">
      <c r="A402" s="568" t="s">
        <v>52</v>
      </c>
      <c r="B402" s="568"/>
      <c r="C402" s="568"/>
      <c r="D402" s="568"/>
      <c r="E402" s="568"/>
      <c r="F402" s="568"/>
      <c r="G402" s="568"/>
      <c r="H402" s="568"/>
      <c r="I402" s="568"/>
      <c r="J402" s="568"/>
      <c r="K402" s="361">
        <f>K392+K397+K401</f>
        <v>71.502238000000006</v>
      </c>
    </row>
    <row r="403" spans="1:11">
      <c r="A403" s="568" t="s">
        <v>53</v>
      </c>
      <c r="B403" s="568"/>
      <c r="C403" s="568"/>
      <c r="D403" s="568"/>
      <c r="E403" s="568"/>
      <c r="F403" s="568"/>
      <c r="G403" s="568"/>
      <c r="H403" s="568"/>
      <c r="I403" s="568"/>
      <c r="J403" s="568"/>
      <c r="K403" s="361">
        <v>2.5</v>
      </c>
    </row>
    <row r="404" spans="1:11">
      <c r="A404" s="566" t="s">
        <v>54</v>
      </c>
      <c r="B404" s="566"/>
      <c r="C404" s="566"/>
      <c r="D404" s="566"/>
      <c r="E404" s="566"/>
      <c r="F404" s="566"/>
      <c r="G404" s="566"/>
      <c r="H404" s="566"/>
      <c r="I404" s="566"/>
      <c r="J404" s="566"/>
      <c r="K404" s="362">
        <f>IF(K402=0,0,K402/K403)</f>
        <v>28.600895200000004</v>
      </c>
    </row>
    <row r="405" spans="1:11">
      <c r="A405" s="354" t="s">
        <v>55</v>
      </c>
      <c r="B405" s="355" t="s">
        <v>11308</v>
      </c>
      <c r="C405" s="355" t="s">
        <v>17663</v>
      </c>
      <c r="D405" s="355" t="s">
        <v>0</v>
      </c>
      <c r="E405" s="355" t="s">
        <v>2</v>
      </c>
      <c r="F405" s="567" t="s">
        <v>9</v>
      </c>
      <c r="G405" s="567"/>
      <c r="H405" s="567" t="s">
        <v>25</v>
      </c>
      <c r="I405" s="567"/>
      <c r="J405" s="355"/>
      <c r="K405" s="355" t="s">
        <v>56</v>
      </c>
    </row>
    <row r="406" spans="1:11" ht="47.25">
      <c r="A406" s="222" t="str">
        <f>VLOOKUP(D406,'22. CUSTOS SINAPI - MATERIAIS'!A:B,2,0)</f>
        <v>CONCRETO USINADO CONVENCIONAL (NAO BOMBEAVEL) CLASSE DE RESISTENCIA C10, COM BRITA 1 E 2, SLUMP = 80 MM +/- 10 MM (NBR 8953)</v>
      </c>
      <c r="B406" s="225" t="s">
        <v>9008</v>
      </c>
      <c r="C406" s="225" t="s">
        <v>68</v>
      </c>
      <c r="D406" s="225">
        <v>14041</v>
      </c>
      <c r="E406" s="372" t="str">
        <f>VLOOKUP(D406,'22. CUSTOS SINAPI - MATERIAIS'!A:C,3,0)</f>
        <v xml:space="preserve">M3    </v>
      </c>
      <c r="F406" s="225"/>
      <c r="G406" s="224">
        <f>VLOOKUP(D406,'22. CUSTOS SINAPI - MATERIAIS'!A:D,4,0)</f>
        <v>387.12</v>
      </c>
      <c r="H406" s="241"/>
      <c r="I406" s="241">
        <v>1.06</v>
      </c>
      <c r="J406" s="225"/>
      <c r="K406" s="242">
        <f>G406*I406</f>
        <v>410.34720000000004</v>
      </c>
    </row>
    <row r="407" spans="1:11">
      <c r="A407" s="222"/>
      <c r="B407" s="225"/>
      <c r="C407" s="225"/>
      <c r="D407" s="225"/>
      <c r="E407" s="225"/>
      <c r="F407" s="225"/>
      <c r="G407" s="224"/>
      <c r="H407" s="241"/>
      <c r="I407" s="241"/>
      <c r="J407" s="225"/>
      <c r="K407" s="242"/>
    </row>
    <row r="408" spans="1:11">
      <c r="A408" s="364"/>
      <c r="B408" s="365"/>
      <c r="C408" s="365"/>
      <c r="D408" s="365"/>
      <c r="E408" s="365"/>
      <c r="F408" s="365"/>
      <c r="G408" s="365"/>
      <c r="H408" s="365"/>
      <c r="I408" s="365"/>
      <c r="J408" s="366" t="s">
        <v>57</v>
      </c>
      <c r="K408" s="362">
        <f>SUM(K406:K407)</f>
        <v>410.34720000000004</v>
      </c>
    </row>
    <row r="409" spans="1:11">
      <c r="A409" s="354" t="s">
        <v>58</v>
      </c>
      <c r="B409" s="355" t="s">
        <v>11308</v>
      </c>
      <c r="C409" s="355" t="s">
        <v>17663</v>
      </c>
      <c r="D409" s="355" t="s">
        <v>0</v>
      </c>
      <c r="E409" s="355" t="s">
        <v>2</v>
      </c>
      <c r="F409" s="567" t="s">
        <v>9</v>
      </c>
      <c r="G409" s="567"/>
      <c r="H409" s="567" t="s">
        <v>25</v>
      </c>
      <c r="I409" s="567"/>
      <c r="J409" s="355"/>
      <c r="K409" s="355" t="s">
        <v>56</v>
      </c>
    </row>
    <row r="410" spans="1:11">
      <c r="A410" s="222"/>
      <c r="B410" s="225"/>
      <c r="C410" s="225"/>
      <c r="D410" s="225"/>
      <c r="E410" s="225"/>
      <c r="F410" s="225"/>
      <c r="G410" s="224"/>
      <c r="H410" s="241"/>
      <c r="I410" s="241"/>
      <c r="J410" s="225"/>
      <c r="K410" s="242"/>
    </row>
    <row r="411" spans="1:11">
      <c r="A411" s="222"/>
      <c r="B411" s="225"/>
      <c r="C411" s="225"/>
      <c r="D411" s="225"/>
      <c r="E411" s="225"/>
      <c r="F411" s="225"/>
      <c r="G411" s="224"/>
      <c r="H411" s="375"/>
      <c r="I411" s="375"/>
      <c r="J411" s="225"/>
      <c r="K411" s="357"/>
    </row>
    <row r="412" spans="1:11">
      <c r="A412" s="364"/>
      <c r="B412" s="365"/>
      <c r="C412" s="365"/>
      <c r="D412" s="365"/>
      <c r="E412" s="365"/>
      <c r="F412" s="365"/>
      <c r="G412" s="365"/>
      <c r="H412" s="365"/>
      <c r="I412" s="365"/>
      <c r="J412" s="366" t="s">
        <v>59</v>
      </c>
      <c r="K412" s="362">
        <f>SUM(K410:K411)</f>
        <v>0</v>
      </c>
    </row>
    <row r="413" spans="1:11">
      <c r="E413" s="367"/>
      <c r="F413" s="367"/>
      <c r="G413" s="367"/>
      <c r="H413" s="367"/>
      <c r="I413" s="367"/>
      <c r="J413" s="368"/>
      <c r="K413" s="369"/>
    </row>
    <row r="414" spans="1:11">
      <c r="E414" s="367"/>
      <c r="F414" s="367"/>
      <c r="G414" s="367"/>
      <c r="H414" s="367"/>
      <c r="I414" s="367"/>
      <c r="J414" s="368"/>
      <c r="K414" s="369"/>
    </row>
    <row r="415" spans="1:11">
      <c r="A415" s="337" t="s">
        <v>22652</v>
      </c>
      <c r="B415" s="337" t="s">
        <v>371</v>
      </c>
      <c r="C415" s="370" t="s">
        <v>328</v>
      </c>
      <c r="D415" s="563" t="s">
        <v>22689</v>
      </c>
      <c r="E415" s="563"/>
      <c r="F415" s="563"/>
      <c r="G415" s="563"/>
      <c r="H415" s="563"/>
      <c r="I415" s="563"/>
      <c r="J415" s="253" t="s">
        <v>17667</v>
      </c>
      <c r="K415" s="373">
        <f>K430+K435+K439</f>
        <v>53.376099999999994</v>
      </c>
    </row>
    <row r="416" spans="1:11">
      <c r="A416" s="354" t="s">
        <v>27</v>
      </c>
      <c r="B416" s="355" t="s">
        <v>11308</v>
      </c>
      <c r="C416" s="355" t="s">
        <v>17663</v>
      </c>
      <c r="D416" s="355" t="s">
        <v>0</v>
      </c>
      <c r="E416" s="355" t="s">
        <v>1</v>
      </c>
      <c r="F416" s="355" t="s">
        <v>39</v>
      </c>
      <c r="G416" s="355" t="s">
        <v>40</v>
      </c>
      <c r="H416" s="355" t="s">
        <v>41</v>
      </c>
      <c r="I416" s="355" t="s">
        <v>42</v>
      </c>
      <c r="J416" s="355"/>
      <c r="K416" s="355" t="s">
        <v>43</v>
      </c>
    </row>
    <row r="417" spans="1:11">
      <c r="A417" s="222"/>
      <c r="B417" s="225"/>
      <c r="C417" s="225"/>
      <c r="D417" s="225"/>
      <c r="E417" s="356"/>
      <c r="F417" s="241"/>
      <c r="G417" s="356"/>
      <c r="H417" s="242"/>
      <c r="I417" s="242"/>
      <c r="J417" s="225"/>
      <c r="K417" s="242"/>
    </row>
    <row r="418" spans="1:11">
      <c r="A418" s="222"/>
      <c r="B418" s="225"/>
      <c r="C418" s="225"/>
      <c r="D418" s="225"/>
      <c r="E418" s="241"/>
      <c r="F418" s="241"/>
      <c r="G418" s="356"/>
      <c r="H418" s="242"/>
      <c r="I418" s="242"/>
      <c r="J418" s="225"/>
      <c r="K418" s="242"/>
    </row>
    <row r="419" spans="1:11">
      <c r="A419" s="358"/>
      <c r="B419" s="359"/>
      <c r="C419" s="359"/>
      <c r="D419" s="359"/>
      <c r="E419" s="359"/>
      <c r="F419" s="359"/>
      <c r="G419" s="359"/>
      <c r="H419" s="359"/>
      <c r="I419" s="359"/>
      <c r="J419" s="360" t="s">
        <v>44</v>
      </c>
      <c r="K419" s="361">
        <f>SUM(K417:K418)</f>
        <v>0</v>
      </c>
    </row>
    <row r="420" spans="1:11">
      <c r="A420" s="354" t="s">
        <v>45</v>
      </c>
      <c r="B420" s="355" t="s">
        <v>11308</v>
      </c>
      <c r="C420" s="355" t="s">
        <v>17663</v>
      </c>
      <c r="D420" s="355" t="s">
        <v>0</v>
      </c>
      <c r="E420" s="355" t="s">
        <v>36</v>
      </c>
      <c r="F420" s="355" t="s">
        <v>46</v>
      </c>
      <c r="G420" s="355" t="s">
        <v>47</v>
      </c>
      <c r="H420" s="355" t="s">
        <v>25</v>
      </c>
      <c r="I420" s="355"/>
      <c r="J420" s="355"/>
      <c r="K420" s="355" t="s">
        <v>43</v>
      </c>
    </row>
    <row r="421" spans="1:11">
      <c r="A421" s="222" t="str">
        <f>VLOOKUP(D421,'15. CUSTOS DER - MÃO DE OBRA'!A:B,2,0)</f>
        <v>ENCARREGADO DE SERVIÇO</v>
      </c>
      <c r="B421" s="225" t="s">
        <v>9013</v>
      </c>
      <c r="C421" s="225" t="s">
        <v>17664</v>
      </c>
      <c r="D421" s="225">
        <v>210060</v>
      </c>
      <c r="E421" s="242">
        <f>VLOOKUP(D421,'15. CUSTOS DER - MÃO DE OBRA'!A:C,3,0)</f>
        <v>6</v>
      </c>
      <c r="F421" s="225"/>
      <c r="G421" s="225">
        <f>VLOOKUP(D421,'15. CUSTOS DER - MÃO DE OBRA'!A:D,4,0)</f>
        <v>85.81</v>
      </c>
      <c r="H421" s="241">
        <v>0.05</v>
      </c>
      <c r="I421" s="225"/>
      <c r="J421" s="225"/>
      <c r="K421" s="242">
        <f>ROUND(G421*H421,2)</f>
        <v>4.29</v>
      </c>
    </row>
    <row r="422" spans="1:11">
      <c r="A422" s="222" t="str">
        <f>VLOOKUP(D422,'15. CUSTOS DER - MÃO DE OBRA'!A:B,2,0)</f>
        <v>SERVENTE</v>
      </c>
      <c r="B422" s="225" t="s">
        <v>9013</v>
      </c>
      <c r="C422" s="225" t="s">
        <v>17664</v>
      </c>
      <c r="D422" s="225">
        <v>200130</v>
      </c>
      <c r="E422" s="242">
        <f>VLOOKUP(D422,'15. CUSTOS DER - MÃO DE OBRA'!A:C,3,0)</f>
        <v>2.2000000000000002</v>
      </c>
      <c r="F422" s="225"/>
      <c r="G422" s="225">
        <f>VLOOKUP(D422,'15. CUSTOS DER - MÃO DE OBRA'!A:D,4,0)</f>
        <v>31.46</v>
      </c>
      <c r="H422" s="241">
        <v>0.3</v>
      </c>
      <c r="I422" s="225"/>
      <c r="J422" s="225"/>
      <c r="K422" s="242">
        <f>ROUND(G422*H422,2)</f>
        <v>9.44</v>
      </c>
    </row>
    <row r="423" spans="1:11">
      <c r="A423" s="358"/>
      <c r="B423" s="359"/>
      <c r="C423" s="359"/>
      <c r="D423" s="359"/>
      <c r="E423" s="359"/>
      <c r="F423" s="359"/>
      <c r="G423" s="359"/>
      <c r="H423" s="359"/>
      <c r="I423" s="359"/>
      <c r="J423" s="360" t="s">
        <v>48</v>
      </c>
      <c r="K423" s="361">
        <f>SUM(K421:K422)</f>
        <v>13.73</v>
      </c>
    </row>
    <row r="424" spans="1:11">
      <c r="A424" s="354" t="s">
        <v>49</v>
      </c>
      <c r="B424" s="355" t="s">
        <v>11308</v>
      </c>
      <c r="C424" s="355" t="s">
        <v>17663</v>
      </c>
      <c r="D424" s="355" t="s">
        <v>0</v>
      </c>
      <c r="E424" s="355" t="s">
        <v>14</v>
      </c>
      <c r="F424" s="355" t="s">
        <v>50</v>
      </c>
      <c r="G424" s="355" t="s">
        <v>29</v>
      </c>
      <c r="H424" s="355" t="s">
        <v>30</v>
      </c>
      <c r="I424" s="355"/>
      <c r="J424" s="355"/>
      <c r="K424" s="355" t="s">
        <v>33</v>
      </c>
    </row>
    <row r="425" spans="1:11">
      <c r="A425" s="222" t="s">
        <v>31</v>
      </c>
      <c r="B425" s="225"/>
      <c r="C425" s="225"/>
      <c r="D425" s="225">
        <v>29990</v>
      </c>
      <c r="E425" s="225">
        <v>5</v>
      </c>
      <c r="F425" s="225" t="s">
        <v>32</v>
      </c>
      <c r="G425" s="225"/>
      <c r="H425" s="225"/>
      <c r="I425" s="225"/>
      <c r="J425" s="225"/>
      <c r="K425" s="242">
        <f>K423*(E425/100)</f>
        <v>0.68650000000000011</v>
      </c>
    </row>
    <row r="426" spans="1:11">
      <c r="A426" s="222"/>
      <c r="B426" s="225"/>
      <c r="C426" s="225"/>
      <c r="D426" s="225"/>
      <c r="E426" s="225"/>
      <c r="F426" s="225"/>
      <c r="G426" s="225"/>
      <c r="H426" s="225"/>
      <c r="I426" s="225"/>
      <c r="J426" s="225"/>
      <c r="K426" s="242"/>
    </row>
    <row r="427" spans="1:11">
      <c r="A427" s="358"/>
      <c r="B427" s="359"/>
      <c r="C427" s="359"/>
      <c r="D427" s="359"/>
      <c r="E427" s="359"/>
      <c r="F427" s="359"/>
      <c r="G427" s="359"/>
      <c r="H427" s="359"/>
      <c r="I427" s="359"/>
      <c r="J427" s="360" t="s">
        <v>51</v>
      </c>
      <c r="K427" s="361">
        <f>SUM(K425:K426)</f>
        <v>0.68650000000000011</v>
      </c>
    </row>
    <row r="428" spans="1:11">
      <c r="A428" s="568" t="s">
        <v>52</v>
      </c>
      <c r="B428" s="568"/>
      <c r="C428" s="568"/>
      <c r="D428" s="568"/>
      <c r="E428" s="568"/>
      <c r="F428" s="568"/>
      <c r="G428" s="568"/>
      <c r="H428" s="568"/>
      <c r="I428" s="568"/>
      <c r="J428" s="568"/>
      <c r="K428" s="361">
        <f>K419+K423+K427</f>
        <v>14.416500000000001</v>
      </c>
    </row>
    <row r="429" spans="1:11">
      <c r="A429" s="568" t="s">
        <v>53</v>
      </c>
      <c r="B429" s="568"/>
      <c r="C429" s="568"/>
      <c r="D429" s="568"/>
      <c r="E429" s="568"/>
      <c r="F429" s="568"/>
      <c r="G429" s="568"/>
      <c r="H429" s="568"/>
      <c r="I429" s="568"/>
      <c r="J429" s="568"/>
      <c r="K429" s="361">
        <v>1</v>
      </c>
    </row>
    <row r="430" spans="1:11">
      <c r="A430" s="566" t="s">
        <v>54</v>
      </c>
      <c r="B430" s="566"/>
      <c r="C430" s="566"/>
      <c r="D430" s="566"/>
      <c r="E430" s="566"/>
      <c r="F430" s="566"/>
      <c r="G430" s="566"/>
      <c r="H430" s="566"/>
      <c r="I430" s="566"/>
      <c r="J430" s="566"/>
      <c r="K430" s="362">
        <f>IF(K428=0,0,K428/K429)</f>
        <v>14.416500000000001</v>
      </c>
    </row>
    <row r="431" spans="1:11">
      <c r="A431" s="354" t="s">
        <v>55</v>
      </c>
      <c r="B431" s="355" t="s">
        <v>11308</v>
      </c>
      <c r="C431" s="355" t="s">
        <v>17663</v>
      </c>
      <c r="D431" s="355" t="s">
        <v>0</v>
      </c>
      <c r="E431" s="355" t="s">
        <v>2</v>
      </c>
      <c r="F431" s="567" t="s">
        <v>9</v>
      </c>
      <c r="G431" s="567"/>
      <c r="H431" s="567" t="s">
        <v>25</v>
      </c>
      <c r="I431" s="567"/>
      <c r="J431" s="355"/>
      <c r="K431" s="355" t="s">
        <v>56</v>
      </c>
    </row>
    <row r="432" spans="1:11">
      <c r="A432" s="222" t="str">
        <f>VLOOKUP(D432,'14. CUSTOS DER - MATERIAIS'!A:B,2,0)</f>
        <v>TUBO POLIETILENO (PEAD) P/DRENO 0,10M</v>
      </c>
      <c r="B432" s="225" t="s">
        <v>9013</v>
      </c>
      <c r="C432" s="225" t="s">
        <v>68</v>
      </c>
      <c r="D432" s="225">
        <v>180250</v>
      </c>
      <c r="E432" s="225" t="str">
        <f>VLOOKUP(D432,'14. CUSTOS DER - MATERIAIS'!A:C,3,0)</f>
        <v>M</v>
      </c>
      <c r="F432" s="225"/>
      <c r="G432" s="224">
        <f>VLOOKUP(D432,'14. CUSTOS DER - MATERIAIS'!A:D,4,0)</f>
        <v>9.77</v>
      </c>
      <c r="H432" s="241"/>
      <c r="I432" s="241">
        <v>1</v>
      </c>
      <c r="J432" s="225"/>
      <c r="K432" s="242">
        <f>ROUND(G432*I432,2)</f>
        <v>9.77</v>
      </c>
    </row>
    <row r="433" spans="1:11">
      <c r="A433" s="222" t="str">
        <f>VLOOKUP(D433,'14. CUSTOS DER - MATERIAIS'!A:B,2,0)</f>
        <v>PEDRA BRITADA (COMERCIAL)</v>
      </c>
      <c r="B433" s="225" t="s">
        <v>9013</v>
      </c>
      <c r="C433" s="225" t="s">
        <v>68</v>
      </c>
      <c r="D433" s="225">
        <v>130000</v>
      </c>
      <c r="E433" s="225" t="str">
        <f>VLOOKUP(D433,'14. CUSTOS DER - MATERIAIS'!A:C,3,0)</f>
        <v>M3</v>
      </c>
      <c r="F433" s="225"/>
      <c r="G433" s="224">
        <f>VLOOKUP(D433,'14. CUSTOS DER - MATERIAIS'!A:D,4,0)</f>
        <v>65.78</v>
      </c>
      <c r="H433" s="241"/>
      <c r="I433" s="241">
        <v>0.16</v>
      </c>
      <c r="J433" s="225"/>
      <c r="K433" s="242">
        <f>ROUND(G433*I433,2)</f>
        <v>10.52</v>
      </c>
    </row>
    <row r="434" spans="1:11">
      <c r="A434" s="222" t="str">
        <f>VLOOKUP(D434,'14. CUSTOS DER - MATERIAIS'!A:B,2,0)</f>
        <v>GEOTEXTIL TECIDO (DRENOS)</v>
      </c>
      <c r="B434" s="225" t="s">
        <v>9013</v>
      </c>
      <c r="C434" s="225" t="s">
        <v>68</v>
      </c>
      <c r="D434" s="225">
        <v>140040</v>
      </c>
      <c r="E434" s="225" t="str">
        <f>VLOOKUP(D434,'14. CUSTOS DER - MATERIAIS'!A:C,3,0)</f>
        <v>M2</v>
      </c>
      <c r="F434" s="225"/>
      <c r="G434" s="224">
        <f>VLOOKUP(D434,'14. CUSTOS DER - MATERIAIS'!A:D,4,0)</f>
        <v>7.3</v>
      </c>
      <c r="H434" s="241"/>
      <c r="I434" s="241">
        <v>2.15</v>
      </c>
      <c r="J434" s="225"/>
      <c r="K434" s="242">
        <f>ROUND(G434*I434,2)</f>
        <v>15.7</v>
      </c>
    </row>
    <row r="435" spans="1:11">
      <c r="A435" s="364"/>
      <c r="B435" s="365"/>
      <c r="C435" s="365"/>
      <c r="D435" s="365"/>
      <c r="E435" s="365"/>
      <c r="F435" s="365"/>
      <c r="G435" s="365"/>
      <c r="H435" s="365"/>
      <c r="I435" s="365"/>
      <c r="J435" s="366" t="s">
        <v>57</v>
      </c>
      <c r="K435" s="362">
        <f>SUM(K432:K434)</f>
        <v>35.989999999999995</v>
      </c>
    </row>
    <row r="436" spans="1:11">
      <c r="A436" s="354" t="s">
        <v>58</v>
      </c>
      <c r="B436" s="355" t="s">
        <v>11308</v>
      </c>
      <c r="C436" s="355" t="s">
        <v>17663</v>
      </c>
      <c r="D436" s="355" t="s">
        <v>0</v>
      </c>
      <c r="E436" s="355" t="s">
        <v>2</v>
      </c>
      <c r="F436" s="567" t="s">
        <v>9</v>
      </c>
      <c r="G436" s="567"/>
      <c r="H436" s="567" t="s">
        <v>25</v>
      </c>
      <c r="I436" s="567"/>
      <c r="J436" s="355"/>
      <c r="K436" s="355" t="s">
        <v>56</v>
      </c>
    </row>
    <row r="437" spans="1:11">
      <c r="A437" s="222" t="s">
        <v>22</v>
      </c>
      <c r="B437" s="225" t="s">
        <v>9013</v>
      </c>
      <c r="C437" s="225" t="s">
        <v>17662</v>
      </c>
      <c r="D437" s="225">
        <v>600600</v>
      </c>
      <c r="E437" s="225" t="s">
        <v>145</v>
      </c>
      <c r="F437" s="225"/>
      <c r="G437" s="225">
        <f>VLOOKUP(D437,'13. CUSTOS DER - SERVIÇOS'!A:G,7,0)</f>
        <v>18.559999999999999</v>
      </c>
      <c r="H437" s="241"/>
      <c r="I437" s="240">
        <v>0.16</v>
      </c>
      <c r="J437" s="241"/>
      <c r="K437" s="242">
        <f>G437*I437</f>
        <v>2.9695999999999998</v>
      </c>
    </row>
    <row r="438" spans="1:11">
      <c r="A438" s="222"/>
      <c r="B438" s="225"/>
      <c r="C438" s="225"/>
      <c r="D438" s="225"/>
      <c r="E438" s="225"/>
      <c r="F438" s="225"/>
      <c r="G438" s="225"/>
      <c r="H438" s="225"/>
      <c r="I438" s="225"/>
      <c r="J438" s="225"/>
      <c r="K438" s="242"/>
    </row>
    <row r="439" spans="1:11">
      <c r="A439" s="364"/>
      <c r="B439" s="365"/>
      <c r="C439" s="365"/>
      <c r="D439" s="365"/>
      <c r="E439" s="365"/>
      <c r="F439" s="365"/>
      <c r="G439" s="365"/>
      <c r="H439" s="365"/>
      <c r="I439" s="365"/>
      <c r="J439" s="366" t="s">
        <v>59</v>
      </c>
      <c r="K439" s="362">
        <f>SUM(K437:K437)</f>
        <v>2.9695999999999998</v>
      </c>
    </row>
    <row r="440" spans="1:11">
      <c r="E440" s="367"/>
      <c r="F440" s="367"/>
      <c r="G440" s="367"/>
      <c r="H440" s="367"/>
      <c r="I440" s="367"/>
      <c r="J440" s="368"/>
      <c r="K440" s="369"/>
    </row>
    <row r="441" spans="1:11">
      <c r="E441" s="367"/>
      <c r="F441" s="367"/>
      <c r="G441" s="367"/>
      <c r="H441" s="367"/>
      <c r="I441" s="367"/>
      <c r="J441" s="368"/>
      <c r="K441" s="369"/>
    </row>
    <row r="442" spans="1:11">
      <c r="A442" s="337" t="s">
        <v>22653</v>
      </c>
      <c r="B442" s="337" t="s">
        <v>371</v>
      </c>
      <c r="C442" s="370" t="s">
        <v>328</v>
      </c>
      <c r="D442" s="563" t="s">
        <v>22690</v>
      </c>
      <c r="E442" s="563"/>
      <c r="F442" s="563"/>
      <c r="G442" s="563"/>
      <c r="H442" s="563"/>
      <c r="I442" s="563"/>
      <c r="J442" s="253" t="s">
        <v>17667</v>
      </c>
      <c r="K442" s="373">
        <f>K457+K461+K465</f>
        <v>106.51</v>
      </c>
    </row>
    <row r="443" spans="1:11">
      <c r="A443" s="354" t="s">
        <v>27</v>
      </c>
      <c r="B443" s="355" t="s">
        <v>11308</v>
      </c>
      <c r="C443" s="355" t="s">
        <v>17663</v>
      </c>
      <c r="D443" s="355" t="s">
        <v>0</v>
      </c>
      <c r="E443" s="355" t="s">
        <v>1</v>
      </c>
      <c r="F443" s="355" t="s">
        <v>39</v>
      </c>
      <c r="G443" s="355" t="s">
        <v>40</v>
      </c>
      <c r="H443" s="355" t="s">
        <v>41</v>
      </c>
      <c r="I443" s="355" t="s">
        <v>42</v>
      </c>
      <c r="J443" s="355"/>
      <c r="K443" s="355" t="s">
        <v>43</v>
      </c>
    </row>
    <row r="444" spans="1:11">
      <c r="A444" s="222"/>
      <c r="B444" s="225"/>
      <c r="C444" s="225"/>
      <c r="D444" s="225"/>
      <c r="E444" s="375"/>
      <c r="F444" s="375"/>
      <c r="G444" s="377"/>
      <c r="H444" s="357"/>
      <c r="I444" s="357"/>
      <c r="J444" s="225"/>
      <c r="K444" s="357"/>
    </row>
    <row r="445" spans="1:11">
      <c r="A445" s="222"/>
      <c r="B445" s="225"/>
      <c r="C445" s="225"/>
      <c r="D445" s="225"/>
      <c r="E445" s="375"/>
      <c r="F445" s="375"/>
      <c r="G445" s="377"/>
      <c r="H445" s="357"/>
      <c r="I445" s="357"/>
      <c r="J445" s="225"/>
      <c r="K445" s="357"/>
    </row>
    <row r="446" spans="1:11">
      <c r="A446" s="358"/>
      <c r="B446" s="359"/>
      <c r="C446" s="359"/>
      <c r="D446" s="359"/>
      <c r="E446" s="359"/>
      <c r="F446" s="359"/>
      <c r="G446" s="359"/>
      <c r="H446" s="359"/>
      <c r="I446" s="359"/>
      <c r="J446" s="360" t="s">
        <v>44</v>
      </c>
      <c r="K446" s="361">
        <f>SUM(K444:K445)</f>
        <v>0</v>
      </c>
    </row>
    <row r="447" spans="1:11">
      <c r="A447" s="354" t="s">
        <v>45</v>
      </c>
      <c r="B447" s="355" t="s">
        <v>11308</v>
      </c>
      <c r="C447" s="355" t="s">
        <v>17663</v>
      </c>
      <c r="D447" s="355" t="s">
        <v>0</v>
      </c>
      <c r="E447" s="355" t="s">
        <v>36</v>
      </c>
      <c r="F447" s="355" t="s">
        <v>46</v>
      </c>
      <c r="G447" s="355" t="s">
        <v>47</v>
      </c>
      <c r="H447" s="355" t="s">
        <v>25</v>
      </c>
      <c r="I447" s="355"/>
      <c r="J447" s="355"/>
      <c r="K447" s="355" t="s">
        <v>43</v>
      </c>
    </row>
    <row r="448" spans="1:11">
      <c r="A448" s="222" t="str">
        <f>VLOOKUP(D448,'15. CUSTOS DER - MÃO DE OBRA'!A:B,2,0)</f>
        <v>PEDREIRO</v>
      </c>
      <c r="B448" s="225" t="s">
        <v>9013</v>
      </c>
      <c r="C448" s="225" t="s">
        <v>17664</v>
      </c>
      <c r="D448" s="225">
        <v>200260</v>
      </c>
      <c r="E448" s="242">
        <f>VLOOKUP(D448,'15. CUSTOS DER - MÃO DE OBRA'!A:C,3,0)</f>
        <v>2.85</v>
      </c>
      <c r="F448" s="225"/>
      <c r="G448" s="225">
        <f>VLOOKUP(D448,'15. CUSTOS DER - MÃO DE OBRA'!A:D,4,0)</f>
        <v>40.76</v>
      </c>
      <c r="H448" s="241">
        <v>1</v>
      </c>
      <c r="I448" s="225"/>
      <c r="J448" s="225"/>
      <c r="K448" s="242">
        <f>G448*H448</f>
        <v>40.76</v>
      </c>
    </row>
    <row r="449" spans="1:11">
      <c r="A449" s="222" t="str">
        <f>VLOOKUP(D449,'15. CUSTOS DER - MÃO DE OBRA'!A:B,2,0)</f>
        <v>SERVENTE</v>
      </c>
      <c r="B449" s="225" t="s">
        <v>9013</v>
      </c>
      <c r="C449" s="225" t="s">
        <v>17664</v>
      </c>
      <c r="D449" s="225">
        <v>200130</v>
      </c>
      <c r="E449" s="242">
        <f>VLOOKUP(D449,'15. CUSTOS DER - MÃO DE OBRA'!A:C,3,0)</f>
        <v>2.2000000000000002</v>
      </c>
      <c r="F449" s="225"/>
      <c r="G449" s="225">
        <f>VLOOKUP(D449,'15. CUSTOS DER - MÃO DE OBRA'!A:D,4,0)</f>
        <v>31.46</v>
      </c>
      <c r="H449" s="241">
        <v>1</v>
      </c>
      <c r="I449" s="225"/>
      <c r="J449" s="225"/>
      <c r="K449" s="242">
        <f>G449*H449</f>
        <v>31.46</v>
      </c>
    </row>
    <row r="450" spans="1:11">
      <c r="A450" s="358"/>
      <c r="B450" s="359"/>
      <c r="C450" s="359"/>
      <c r="D450" s="359"/>
      <c r="E450" s="359"/>
      <c r="F450" s="359"/>
      <c r="G450" s="359"/>
      <c r="H450" s="359"/>
      <c r="I450" s="359"/>
      <c r="J450" s="360" t="s">
        <v>48</v>
      </c>
      <c r="K450" s="361">
        <f>SUM(K448:K449)</f>
        <v>72.22</v>
      </c>
    </row>
    <row r="451" spans="1:11">
      <c r="A451" s="354" t="s">
        <v>49</v>
      </c>
      <c r="B451" s="355" t="s">
        <v>11308</v>
      </c>
      <c r="C451" s="355" t="s">
        <v>17663</v>
      </c>
      <c r="D451" s="355" t="s">
        <v>0</v>
      </c>
      <c r="E451" s="355" t="s">
        <v>14</v>
      </c>
      <c r="F451" s="355" t="s">
        <v>50</v>
      </c>
      <c r="G451" s="355" t="s">
        <v>29</v>
      </c>
      <c r="H451" s="355" t="s">
        <v>30</v>
      </c>
      <c r="I451" s="355"/>
      <c r="J451" s="355"/>
      <c r="K451" s="355" t="s">
        <v>33</v>
      </c>
    </row>
    <row r="452" spans="1:11">
      <c r="A452" s="222"/>
      <c r="B452" s="225"/>
      <c r="C452" s="225"/>
      <c r="D452" s="225"/>
      <c r="E452" s="225"/>
      <c r="F452" s="225"/>
      <c r="G452" s="225"/>
      <c r="H452" s="225"/>
      <c r="I452" s="225"/>
      <c r="J452" s="225"/>
      <c r="K452" s="357"/>
    </row>
    <row r="453" spans="1:11">
      <c r="A453" s="222"/>
      <c r="B453" s="225"/>
      <c r="C453" s="225"/>
      <c r="D453" s="225"/>
      <c r="E453" s="225"/>
      <c r="F453" s="225"/>
      <c r="G453" s="225"/>
      <c r="H453" s="225"/>
      <c r="I453" s="225"/>
      <c r="J453" s="225"/>
      <c r="K453" s="357"/>
    </row>
    <row r="454" spans="1:11">
      <c r="A454" s="358"/>
      <c r="B454" s="359"/>
      <c r="C454" s="359"/>
      <c r="D454" s="359"/>
      <c r="E454" s="359"/>
      <c r="F454" s="359"/>
      <c r="G454" s="359"/>
      <c r="H454" s="359"/>
      <c r="I454" s="359"/>
      <c r="J454" s="360" t="s">
        <v>51</v>
      </c>
      <c r="K454" s="361">
        <f>SUM(K452:K453)</f>
        <v>0</v>
      </c>
    </row>
    <row r="455" spans="1:11">
      <c r="A455" s="568" t="s">
        <v>52</v>
      </c>
      <c r="B455" s="568"/>
      <c r="C455" s="568"/>
      <c r="D455" s="568"/>
      <c r="E455" s="568"/>
      <c r="F455" s="568"/>
      <c r="G455" s="568"/>
      <c r="H455" s="568"/>
      <c r="I455" s="568"/>
      <c r="J455" s="568"/>
      <c r="K455" s="361">
        <f>K446+K450+K454</f>
        <v>72.22</v>
      </c>
    </row>
    <row r="456" spans="1:11">
      <c r="A456" s="568" t="s">
        <v>53</v>
      </c>
      <c r="B456" s="568"/>
      <c r="C456" s="568"/>
      <c r="D456" s="568"/>
      <c r="E456" s="568"/>
      <c r="F456" s="568"/>
      <c r="G456" s="568"/>
      <c r="H456" s="568"/>
      <c r="I456" s="568"/>
      <c r="J456" s="568"/>
      <c r="K456" s="361">
        <v>1</v>
      </c>
    </row>
    <row r="457" spans="1:11">
      <c r="A457" s="566" t="s">
        <v>54</v>
      </c>
      <c r="B457" s="566"/>
      <c r="C457" s="566"/>
      <c r="D457" s="566"/>
      <c r="E457" s="566"/>
      <c r="F457" s="566"/>
      <c r="G457" s="566"/>
      <c r="H457" s="566"/>
      <c r="I457" s="566"/>
      <c r="J457" s="566"/>
      <c r="K457" s="362">
        <f>IF(K455=0,0,K455/K456)</f>
        <v>72.22</v>
      </c>
    </row>
    <row r="458" spans="1:11">
      <c r="A458" s="354" t="s">
        <v>55</v>
      </c>
      <c r="B458" s="355" t="s">
        <v>11308</v>
      </c>
      <c r="C458" s="355" t="s">
        <v>17663</v>
      </c>
      <c r="D458" s="355" t="s">
        <v>0</v>
      </c>
      <c r="E458" s="355" t="s">
        <v>2</v>
      </c>
      <c r="F458" s="567" t="s">
        <v>9</v>
      </c>
      <c r="G458" s="567"/>
      <c r="H458" s="567" t="s">
        <v>25</v>
      </c>
      <c r="I458" s="567"/>
      <c r="J458" s="355"/>
      <c r="K458" s="355" t="s">
        <v>56</v>
      </c>
    </row>
    <row r="459" spans="1:11">
      <c r="A459" s="222" t="str">
        <f>VLOOKUP(D459,'14. CUSTOS DER - MATERIAIS'!A:B,2,0)</f>
        <v>GEOCOMPOSTO DRENANTE MACDRAIN TD C/BOLSA P/TUBO</v>
      </c>
      <c r="B459" s="225" t="s">
        <v>9013</v>
      </c>
      <c r="C459" s="225" t="s">
        <v>68</v>
      </c>
      <c r="D459" s="225">
        <v>150055</v>
      </c>
      <c r="E459" s="225" t="str">
        <f>VLOOKUP(D459,'14. CUSTOS DER - MATERIAIS'!A:C,3,0)</f>
        <v>M2</v>
      </c>
      <c r="F459" s="225"/>
      <c r="G459" s="224">
        <f>VLOOKUP(D459,'14. CUSTOS DER - MATERIAIS'!A:D,4,0)</f>
        <v>34.47</v>
      </c>
      <c r="H459" s="241"/>
      <c r="I459" s="241">
        <v>0.7</v>
      </c>
      <c r="J459" s="225"/>
      <c r="K459" s="242">
        <f>G459*I459</f>
        <v>24.128999999999998</v>
      </c>
    </row>
    <row r="460" spans="1:11">
      <c r="A460" s="222" t="str">
        <f>VLOOKUP(D460,'14. CUSTOS DER - MATERIAIS'!A:B,2,0)</f>
        <v>TUBO POLIETILENO (PEAD) P/DRENO 0,10M</v>
      </c>
      <c r="B460" s="225" t="s">
        <v>9013</v>
      </c>
      <c r="C460" s="225" t="s">
        <v>68</v>
      </c>
      <c r="D460" s="225">
        <v>180250</v>
      </c>
      <c r="E460" s="225" t="str">
        <f>VLOOKUP(D460,'14. CUSTOS DER - MATERIAIS'!A:C,3,0)</f>
        <v>M</v>
      </c>
      <c r="F460" s="225"/>
      <c r="G460" s="224">
        <f>VLOOKUP(D460,'14. CUSTOS DER - MATERIAIS'!A:D,4,0)</f>
        <v>9.77</v>
      </c>
      <c r="H460" s="241"/>
      <c r="I460" s="241">
        <v>1</v>
      </c>
      <c r="J460" s="225"/>
      <c r="K460" s="242">
        <f>G460*I460</f>
        <v>9.77</v>
      </c>
    </row>
    <row r="461" spans="1:11">
      <c r="A461" s="364"/>
      <c r="B461" s="365"/>
      <c r="C461" s="365"/>
      <c r="D461" s="365"/>
      <c r="E461" s="365"/>
      <c r="F461" s="365"/>
      <c r="G461" s="365"/>
      <c r="H461" s="365"/>
      <c r="I461" s="365"/>
      <c r="J461" s="366" t="s">
        <v>57</v>
      </c>
      <c r="K461" s="362">
        <f>SUM(K459:K460)</f>
        <v>33.899000000000001</v>
      </c>
    </row>
    <row r="462" spans="1:11">
      <c r="A462" s="354" t="s">
        <v>58</v>
      </c>
      <c r="B462" s="355" t="s">
        <v>11308</v>
      </c>
      <c r="C462" s="355" t="s">
        <v>17663</v>
      </c>
      <c r="D462" s="355" t="s">
        <v>0</v>
      </c>
      <c r="E462" s="355" t="s">
        <v>2</v>
      </c>
      <c r="F462" s="567" t="s">
        <v>9</v>
      </c>
      <c r="G462" s="567"/>
      <c r="H462" s="567" t="s">
        <v>25</v>
      </c>
      <c r="I462" s="567"/>
      <c r="J462" s="355"/>
      <c r="K462" s="355" t="s">
        <v>56</v>
      </c>
    </row>
    <row r="463" spans="1:11" ht="31.5">
      <c r="A463" s="222" t="str">
        <f>VLOOKUP(D463,'18. CUSTOS DNIT - SERVIÇOS'!A:B,2,0)</f>
        <v>Escavação mecânica de vala para drenagem com valetadeira em material de 1ª categoria</v>
      </c>
      <c r="B463" s="225" t="s">
        <v>22708</v>
      </c>
      <c r="C463" s="225" t="s">
        <v>17662</v>
      </c>
      <c r="D463" s="225">
        <v>2004504</v>
      </c>
      <c r="E463" s="372" t="str">
        <f>VLOOKUP(D463,'18. CUSTOS DNIT - SERVIÇOS'!A:C,3,0)</f>
        <v>m³</v>
      </c>
      <c r="F463" s="225"/>
      <c r="G463" s="224">
        <f>VLOOKUP(D463,'18. CUSTOS DNIT - SERVIÇOS'!A:D,4,0)</f>
        <v>15.64</v>
      </c>
      <c r="H463" s="241"/>
      <c r="I463" s="240">
        <v>2.5000000000000001E-2</v>
      </c>
      <c r="J463" s="225"/>
      <c r="K463" s="242">
        <f>G463*I463</f>
        <v>0.39100000000000001</v>
      </c>
    </row>
    <row r="464" spans="1:11">
      <c r="A464" s="222"/>
      <c r="B464" s="225"/>
      <c r="C464" s="225"/>
      <c r="D464" s="225"/>
      <c r="E464" s="225"/>
      <c r="F464" s="225"/>
      <c r="G464" s="225"/>
      <c r="H464" s="225"/>
      <c r="I464" s="225"/>
      <c r="J464" s="225"/>
      <c r="K464" s="357"/>
    </row>
    <row r="465" spans="1:11">
      <c r="A465" s="364"/>
      <c r="B465" s="365"/>
      <c r="C465" s="365"/>
      <c r="D465" s="365"/>
      <c r="E465" s="365"/>
      <c r="F465" s="365"/>
      <c r="G465" s="365"/>
      <c r="H465" s="365"/>
      <c r="I465" s="365"/>
      <c r="J465" s="366" t="s">
        <v>59</v>
      </c>
      <c r="K465" s="362">
        <f>SUM(K463:K463)</f>
        <v>0.39100000000000001</v>
      </c>
    </row>
    <row r="466" spans="1:11">
      <c r="E466" s="367"/>
      <c r="F466" s="367"/>
      <c r="G466" s="367"/>
      <c r="H466" s="367"/>
      <c r="I466" s="367"/>
      <c r="J466" s="368"/>
      <c r="K466" s="369"/>
    </row>
    <row r="467" spans="1:11">
      <c r="E467" s="367"/>
      <c r="F467" s="367"/>
      <c r="G467" s="367"/>
      <c r="H467" s="367"/>
      <c r="I467" s="367"/>
      <c r="J467" s="368"/>
      <c r="K467" s="369"/>
    </row>
    <row r="468" spans="1:11">
      <c r="A468" s="337" t="s">
        <v>22654</v>
      </c>
      <c r="B468" s="337" t="s">
        <v>371</v>
      </c>
      <c r="C468" s="370" t="s">
        <v>328</v>
      </c>
      <c r="D468" s="563" t="s">
        <v>22691</v>
      </c>
      <c r="E468" s="563"/>
      <c r="F468" s="563"/>
      <c r="G468" s="563"/>
      <c r="H468" s="563"/>
      <c r="I468" s="563"/>
      <c r="J468" s="253" t="s">
        <v>17667</v>
      </c>
      <c r="K468" s="373">
        <f>K485+K489+K494</f>
        <v>117.9667</v>
      </c>
    </row>
    <row r="469" spans="1:11">
      <c r="A469" s="354" t="s">
        <v>27</v>
      </c>
      <c r="B469" s="355" t="s">
        <v>11308</v>
      </c>
      <c r="C469" s="355" t="s">
        <v>17663</v>
      </c>
      <c r="D469" s="355" t="s">
        <v>0</v>
      </c>
      <c r="E469" s="355" t="s">
        <v>1</v>
      </c>
      <c r="F469" s="355" t="s">
        <v>39</v>
      </c>
      <c r="G469" s="355" t="s">
        <v>40</v>
      </c>
      <c r="H469" s="355" t="s">
        <v>41</v>
      </c>
      <c r="I469" s="355" t="s">
        <v>42</v>
      </c>
      <c r="J469" s="355"/>
      <c r="K469" s="355" t="s">
        <v>43</v>
      </c>
    </row>
    <row r="470" spans="1:11">
      <c r="A470" s="222"/>
      <c r="B470" s="225"/>
      <c r="C470" s="225"/>
      <c r="D470" s="225"/>
      <c r="E470" s="241"/>
      <c r="F470" s="241"/>
      <c r="G470" s="356"/>
      <c r="H470" s="242"/>
      <c r="I470" s="242"/>
      <c r="J470" s="225"/>
      <c r="K470" s="242">
        <f>((F470*H470)+(G470*I470))*E470</f>
        <v>0</v>
      </c>
    </row>
    <row r="471" spans="1:11">
      <c r="A471" s="222"/>
      <c r="B471" s="225"/>
      <c r="C471" s="225"/>
      <c r="D471" s="225"/>
      <c r="E471" s="241"/>
      <c r="F471" s="241"/>
      <c r="G471" s="356"/>
      <c r="H471" s="242"/>
      <c r="I471" s="242"/>
      <c r="J471" s="225"/>
      <c r="K471" s="242">
        <f>((F471*H471)+(G471*I471))*E471</f>
        <v>0</v>
      </c>
    </row>
    <row r="472" spans="1:11">
      <c r="A472" s="358"/>
      <c r="B472" s="359"/>
      <c r="C472" s="359"/>
      <c r="D472" s="359"/>
      <c r="E472" s="359"/>
      <c r="F472" s="359"/>
      <c r="G472" s="359"/>
      <c r="H472" s="359"/>
      <c r="I472" s="359"/>
      <c r="J472" s="360" t="s">
        <v>44</v>
      </c>
      <c r="K472" s="361">
        <f>SUM(K470:K471)</f>
        <v>0</v>
      </c>
    </row>
    <row r="473" spans="1:11">
      <c r="A473" s="354" t="s">
        <v>45</v>
      </c>
      <c r="B473" s="355" t="s">
        <v>11308</v>
      </c>
      <c r="C473" s="355" t="s">
        <v>17663</v>
      </c>
      <c r="D473" s="355" t="s">
        <v>0</v>
      </c>
      <c r="E473" s="355" t="s">
        <v>36</v>
      </c>
      <c r="F473" s="355" t="s">
        <v>46</v>
      </c>
      <c r="G473" s="355" t="s">
        <v>47</v>
      </c>
      <c r="H473" s="355" t="s">
        <v>25</v>
      </c>
      <c r="I473" s="355"/>
      <c r="J473" s="355"/>
      <c r="K473" s="355" t="s">
        <v>43</v>
      </c>
    </row>
    <row r="474" spans="1:11">
      <c r="A474" s="222" t="str">
        <f>VLOOKUP(D474,'15. CUSTOS DER - MÃO DE OBRA'!A:B,2,0)</f>
        <v>CARPINTEIRO</v>
      </c>
      <c r="B474" s="225" t="s">
        <v>9013</v>
      </c>
      <c r="C474" s="225" t="s">
        <v>17664</v>
      </c>
      <c r="D474" s="225">
        <v>200240</v>
      </c>
      <c r="E474" s="242">
        <f>VLOOKUP(D474,'15. CUSTOS DER - MÃO DE OBRA'!A:C,3,0)</f>
        <v>2.4</v>
      </c>
      <c r="F474" s="225"/>
      <c r="G474" s="225">
        <f>VLOOKUP(D474,'15. CUSTOS DER - MÃO DE OBRA'!A:D,4,0)</f>
        <v>34.32</v>
      </c>
      <c r="H474" s="241">
        <v>0.1</v>
      </c>
      <c r="I474" s="225"/>
      <c r="J474" s="225"/>
      <c r="K474" s="357">
        <f>ROUND(G474*H474,2)</f>
        <v>3.43</v>
      </c>
    </row>
    <row r="475" spans="1:11">
      <c r="A475" s="222" t="str">
        <f>VLOOKUP(D475,'15. CUSTOS DER - MÃO DE OBRA'!A:B,2,0)</f>
        <v>ENCARREGADO DE SERVIÇO</v>
      </c>
      <c r="B475" s="225" t="s">
        <v>9013</v>
      </c>
      <c r="C475" s="225" t="s">
        <v>17664</v>
      </c>
      <c r="D475" s="225">
        <v>210060</v>
      </c>
      <c r="E475" s="242">
        <f>VLOOKUP(D475,'15. CUSTOS DER - MÃO DE OBRA'!A:C,3,0)</f>
        <v>6</v>
      </c>
      <c r="F475" s="225"/>
      <c r="G475" s="225">
        <f>VLOOKUP(D475,'15. CUSTOS DER - MÃO DE OBRA'!A:D,4,0)</f>
        <v>85.81</v>
      </c>
      <c r="H475" s="241">
        <v>0.1</v>
      </c>
      <c r="I475" s="225"/>
      <c r="J475" s="225"/>
      <c r="K475" s="357">
        <f>ROUND(G475*H475,2)</f>
        <v>8.58</v>
      </c>
    </row>
    <row r="476" spans="1:11">
      <c r="A476" s="222" t="str">
        <f>VLOOKUP(D476,'15. CUSTOS DER - MÃO DE OBRA'!A:B,2,0)</f>
        <v>PEDREIRO</v>
      </c>
      <c r="B476" s="225" t="s">
        <v>9013</v>
      </c>
      <c r="C476" s="225" t="s">
        <v>17664</v>
      </c>
      <c r="D476" s="225">
        <v>200260</v>
      </c>
      <c r="E476" s="242">
        <f>VLOOKUP(D476,'15. CUSTOS DER - MÃO DE OBRA'!A:C,3,0)</f>
        <v>2.85</v>
      </c>
      <c r="F476" s="225"/>
      <c r="G476" s="225">
        <f>VLOOKUP(D476,'15. CUSTOS DER - MÃO DE OBRA'!A:D,4,0)</f>
        <v>40.76</v>
      </c>
      <c r="H476" s="241">
        <v>0.4</v>
      </c>
      <c r="I476" s="225"/>
      <c r="J476" s="225"/>
      <c r="K476" s="357">
        <f>ROUND(G476*H476,2)</f>
        <v>16.3</v>
      </c>
    </row>
    <row r="477" spans="1:11">
      <c r="A477" s="222" t="str">
        <f>VLOOKUP(D477,'15. CUSTOS DER - MÃO DE OBRA'!A:B,2,0)</f>
        <v>SERVENTE</v>
      </c>
      <c r="B477" s="225" t="s">
        <v>9013</v>
      </c>
      <c r="C477" s="225" t="s">
        <v>17664</v>
      </c>
      <c r="D477" s="225">
        <v>200130</v>
      </c>
      <c r="E477" s="242">
        <f>VLOOKUP(D477,'15. CUSTOS DER - MÃO DE OBRA'!A:C,3,0)</f>
        <v>2.2000000000000002</v>
      </c>
      <c r="F477" s="225"/>
      <c r="G477" s="225">
        <f>VLOOKUP(D477,'15. CUSTOS DER - MÃO DE OBRA'!A:D,4,0)</f>
        <v>31.46</v>
      </c>
      <c r="H477" s="241">
        <v>0.95</v>
      </c>
      <c r="I477" s="225"/>
      <c r="J477" s="225"/>
      <c r="K477" s="357">
        <f>ROUND(G477*H477,2)</f>
        <v>29.89</v>
      </c>
    </row>
    <row r="478" spans="1:11">
      <c r="A478" s="358"/>
      <c r="B478" s="359"/>
      <c r="C478" s="359"/>
      <c r="D478" s="359"/>
      <c r="E478" s="359"/>
      <c r="F478" s="359"/>
      <c r="G478" s="359"/>
      <c r="H478" s="359"/>
      <c r="I478" s="359"/>
      <c r="J478" s="360" t="s">
        <v>48</v>
      </c>
      <c r="K478" s="361">
        <f>SUM(K474:K477)</f>
        <v>58.2</v>
      </c>
    </row>
    <row r="479" spans="1:11">
      <c r="A479" s="354" t="s">
        <v>49</v>
      </c>
      <c r="B479" s="355" t="s">
        <v>11308</v>
      </c>
      <c r="C479" s="355" t="s">
        <v>17663</v>
      </c>
      <c r="D479" s="355" t="s">
        <v>0</v>
      </c>
      <c r="E479" s="355" t="s">
        <v>14</v>
      </c>
      <c r="F479" s="355" t="s">
        <v>50</v>
      </c>
      <c r="G479" s="355" t="s">
        <v>29</v>
      </c>
      <c r="H479" s="355" t="s">
        <v>30</v>
      </c>
      <c r="I479" s="355"/>
      <c r="J479" s="355"/>
      <c r="K479" s="355" t="s">
        <v>33</v>
      </c>
    </row>
    <row r="480" spans="1:11">
      <c r="A480" s="222" t="s">
        <v>31</v>
      </c>
      <c r="B480" s="225"/>
      <c r="C480" s="225"/>
      <c r="D480" s="225">
        <v>29990</v>
      </c>
      <c r="E480" s="225">
        <v>5</v>
      </c>
      <c r="F480" s="225" t="s">
        <v>32</v>
      </c>
      <c r="G480" s="225"/>
      <c r="H480" s="225"/>
      <c r="I480" s="225"/>
      <c r="J480" s="225"/>
      <c r="K480" s="242">
        <f>K478*(E480/100)</f>
        <v>2.91</v>
      </c>
    </row>
    <row r="481" spans="1:11">
      <c r="A481" s="222"/>
      <c r="B481" s="225"/>
      <c r="C481" s="225"/>
      <c r="D481" s="225"/>
      <c r="E481" s="225"/>
      <c r="F481" s="225"/>
      <c r="G481" s="225"/>
      <c r="H481" s="225"/>
      <c r="I481" s="225"/>
      <c r="J481" s="225"/>
      <c r="K481" s="357"/>
    </row>
    <row r="482" spans="1:11">
      <c r="A482" s="358"/>
      <c r="B482" s="359"/>
      <c r="C482" s="359"/>
      <c r="D482" s="359"/>
      <c r="E482" s="359"/>
      <c r="F482" s="359"/>
      <c r="G482" s="359"/>
      <c r="H482" s="359"/>
      <c r="I482" s="359"/>
      <c r="J482" s="360" t="s">
        <v>51</v>
      </c>
      <c r="K482" s="361">
        <f>SUM(K480:K481)</f>
        <v>2.91</v>
      </c>
    </row>
    <row r="483" spans="1:11">
      <c r="A483" s="568" t="s">
        <v>52</v>
      </c>
      <c r="B483" s="568"/>
      <c r="C483" s="568"/>
      <c r="D483" s="568"/>
      <c r="E483" s="568"/>
      <c r="F483" s="568"/>
      <c r="G483" s="568"/>
      <c r="H483" s="568"/>
      <c r="I483" s="568"/>
      <c r="J483" s="568"/>
      <c r="K483" s="361">
        <f>K472+K478+K482</f>
        <v>61.11</v>
      </c>
    </row>
    <row r="484" spans="1:11">
      <c r="A484" s="568" t="s">
        <v>53</v>
      </c>
      <c r="B484" s="568"/>
      <c r="C484" s="568"/>
      <c r="D484" s="568"/>
      <c r="E484" s="568"/>
      <c r="F484" s="568"/>
      <c r="G484" s="568"/>
      <c r="H484" s="568"/>
      <c r="I484" s="568"/>
      <c r="J484" s="568"/>
      <c r="K484" s="361">
        <v>1</v>
      </c>
    </row>
    <row r="485" spans="1:11">
      <c r="A485" s="566" t="s">
        <v>54</v>
      </c>
      <c r="B485" s="566"/>
      <c r="C485" s="566"/>
      <c r="D485" s="566"/>
      <c r="E485" s="566"/>
      <c r="F485" s="566"/>
      <c r="G485" s="566"/>
      <c r="H485" s="566"/>
      <c r="I485" s="566"/>
      <c r="J485" s="566"/>
      <c r="K485" s="362">
        <f>IF(K483=0,0,K483/K484)</f>
        <v>61.11</v>
      </c>
    </row>
    <row r="486" spans="1:11">
      <c r="A486" s="354" t="s">
        <v>55</v>
      </c>
      <c r="B486" s="355" t="s">
        <v>11308</v>
      </c>
      <c r="C486" s="355" t="s">
        <v>17663</v>
      </c>
      <c r="D486" s="355" t="s">
        <v>0</v>
      </c>
      <c r="E486" s="355" t="s">
        <v>2</v>
      </c>
      <c r="F486" s="567" t="s">
        <v>9</v>
      </c>
      <c r="G486" s="567"/>
      <c r="H486" s="567" t="s">
        <v>25</v>
      </c>
      <c r="I486" s="567"/>
      <c r="J486" s="355"/>
      <c r="K486" s="355" t="s">
        <v>56</v>
      </c>
    </row>
    <row r="487" spans="1:11">
      <c r="A487" s="222" t="str">
        <f>VLOOKUP(D487,'14. CUSTOS DER - MATERIAIS'!A:B,2,0)</f>
        <v>MADEIRA PINHO  2,5 X 8 CM</v>
      </c>
      <c r="B487" s="225" t="s">
        <v>9013</v>
      </c>
      <c r="C487" s="225" t="s">
        <v>68</v>
      </c>
      <c r="D487" s="225">
        <v>112580</v>
      </c>
      <c r="E487" s="225" t="str">
        <f>VLOOKUP(D487,'14. CUSTOS DER - MATERIAIS'!A:C,3,0)</f>
        <v>M</v>
      </c>
      <c r="F487" s="225"/>
      <c r="G487" s="224">
        <f>VLOOKUP(D487,'14. CUSTOS DER - MATERIAIS'!A:D,4,0)</f>
        <v>5.1100000000000003</v>
      </c>
      <c r="H487" s="241"/>
      <c r="I487" s="241">
        <v>0.05</v>
      </c>
      <c r="J487" s="225"/>
      <c r="K487" s="242">
        <f>ROUND(G487*I487,2)</f>
        <v>0.26</v>
      </c>
    </row>
    <row r="488" spans="1:11">
      <c r="A488" s="222"/>
      <c r="B488" s="225"/>
      <c r="C488" s="225"/>
      <c r="D488" s="225"/>
      <c r="E488" s="225"/>
      <c r="F488" s="225"/>
      <c r="G488" s="224"/>
      <c r="H488" s="241"/>
      <c r="I488" s="241"/>
      <c r="J488" s="225"/>
      <c r="K488" s="242"/>
    </row>
    <row r="489" spans="1:11">
      <c r="A489" s="364"/>
      <c r="B489" s="365"/>
      <c r="C489" s="365"/>
      <c r="D489" s="365"/>
      <c r="E489" s="365"/>
      <c r="F489" s="365"/>
      <c r="G489" s="365"/>
      <c r="H489" s="365"/>
      <c r="I489" s="365"/>
      <c r="J489" s="366" t="s">
        <v>57</v>
      </c>
      <c r="K489" s="362">
        <f>SUM(K487:K488)</f>
        <v>0.26</v>
      </c>
    </row>
    <row r="490" spans="1:11">
      <c r="A490" s="354" t="s">
        <v>58</v>
      </c>
      <c r="B490" s="355" t="s">
        <v>11308</v>
      </c>
      <c r="C490" s="355" t="s">
        <v>17663</v>
      </c>
      <c r="D490" s="355" t="s">
        <v>0</v>
      </c>
      <c r="E490" s="355" t="s">
        <v>2</v>
      </c>
      <c r="F490" s="567" t="s">
        <v>9</v>
      </c>
      <c r="G490" s="567"/>
      <c r="H490" s="567" t="s">
        <v>25</v>
      </c>
      <c r="I490" s="567"/>
      <c r="J490" s="355"/>
      <c r="K490" s="355" t="s">
        <v>56</v>
      </c>
    </row>
    <row r="491" spans="1:11">
      <c r="A491" s="222" t="s">
        <v>151</v>
      </c>
      <c r="B491" s="225" t="s">
        <v>9013</v>
      </c>
      <c r="C491" s="225" t="s">
        <v>17662</v>
      </c>
      <c r="D491" s="225">
        <v>604100</v>
      </c>
      <c r="E491" s="225" t="s">
        <v>145</v>
      </c>
      <c r="F491" s="225"/>
      <c r="G491" s="225">
        <f>VLOOKUP(D491,'13. CUSTOS DER - SERVIÇOS'!A:G,7,0)</f>
        <v>466.54</v>
      </c>
      <c r="H491" s="241"/>
      <c r="I491" s="240">
        <v>1E-3</v>
      </c>
      <c r="J491" s="241"/>
      <c r="K491" s="242">
        <f>G491*I491</f>
        <v>0.46654000000000001</v>
      </c>
    </row>
    <row r="492" spans="1:11">
      <c r="A492" s="222" t="s">
        <v>149</v>
      </c>
      <c r="B492" s="225" t="s">
        <v>9013</v>
      </c>
      <c r="C492" s="225" t="s">
        <v>17662</v>
      </c>
      <c r="D492" s="225">
        <v>605200</v>
      </c>
      <c r="E492" s="225" t="s">
        <v>145</v>
      </c>
      <c r="F492" s="225"/>
      <c r="G492" s="225">
        <f>VLOOKUP(D492,'13. CUSTOS DER - SERVIÇOS'!A:G,7,0)</f>
        <v>471.16</v>
      </c>
      <c r="H492" s="241"/>
      <c r="I492" s="240">
        <v>9.6000000000000002E-2</v>
      </c>
      <c r="J492" s="241"/>
      <c r="K492" s="242">
        <f>G492*I492</f>
        <v>45.231360000000002</v>
      </c>
    </row>
    <row r="493" spans="1:11">
      <c r="A493" s="222" t="s">
        <v>16</v>
      </c>
      <c r="B493" s="225" t="s">
        <v>9013</v>
      </c>
      <c r="C493" s="225" t="s">
        <v>17662</v>
      </c>
      <c r="D493" s="225">
        <v>600000</v>
      </c>
      <c r="E493" s="225" t="s">
        <v>145</v>
      </c>
      <c r="F493" s="225"/>
      <c r="G493" s="225">
        <f>VLOOKUP(D493,'13. CUSTOS DER - SERVIÇOS'!A:G,7,0)</f>
        <v>49.54</v>
      </c>
      <c r="H493" s="241"/>
      <c r="I493" s="240">
        <v>0.22</v>
      </c>
      <c r="J493" s="241"/>
      <c r="K493" s="242">
        <f>G493*I493</f>
        <v>10.8988</v>
      </c>
    </row>
    <row r="494" spans="1:11">
      <c r="A494" s="364"/>
      <c r="B494" s="365"/>
      <c r="C494" s="365"/>
      <c r="D494" s="365"/>
      <c r="E494" s="365"/>
      <c r="F494" s="365"/>
      <c r="G494" s="365"/>
      <c r="H494" s="365"/>
      <c r="I494" s="365"/>
      <c r="J494" s="366" t="s">
        <v>59</v>
      </c>
      <c r="K494" s="362">
        <f>SUM(K491:K493)</f>
        <v>56.596700000000006</v>
      </c>
    </row>
    <row r="495" spans="1:11">
      <c r="E495" s="367"/>
      <c r="F495" s="367"/>
      <c r="G495" s="367"/>
      <c r="H495" s="367"/>
      <c r="I495" s="367"/>
      <c r="J495" s="368"/>
      <c r="K495" s="369"/>
    </row>
    <row r="496" spans="1:11">
      <c r="E496" s="367"/>
      <c r="F496" s="367"/>
      <c r="G496" s="367"/>
      <c r="H496" s="367"/>
      <c r="I496" s="367"/>
      <c r="J496" s="368"/>
      <c r="K496" s="369"/>
    </row>
    <row r="497" spans="1:11">
      <c r="A497" s="337" t="s">
        <v>22655</v>
      </c>
      <c r="B497" s="337" t="s">
        <v>371</v>
      </c>
      <c r="C497" s="370" t="s">
        <v>326</v>
      </c>
      <c r="D497" s="563" t="s">
        <v>22692</v>
      </c>
      <c r="E497" s="563"/>
      <c r="F497" s="563"/>
      <c r="G497" s="563"/>
      <c r="H497" s="563"/>
      <c r="I497" s="563"/>
      <c r="J497" s="253" t="s">
        <v>17667</v>
      </c>
      <c r="K497" s="373">
        <f>K513+K517+K521</f>
        <v>89.188018348623856</v>
      </c>
    </row>
    <row r="498" spans="1:11">
      <c r="A498" s="355" t="s">
        <v>27</v>
      </c>
      <c r="B498" s="355" t="s">
        <v>11308</v>
      </c>
      <c r="C498" s="355" t="s">
        <v>17663</v>
      </c>
      <c r="D498" s="355" t="s">
        <v>0</v>
      </c>
      <c r="E498" s="355" t="s">
        <v>1</v>
      </c>
      <c r="F498" s="355" t="s">
        <v>39</v>
      </c>
      <c r="G498" s="355" t="s">
        <v>40</v>
      </c>
      <c r="H498" s="355" t="s">
        <v>41</v>
      </c>
      <c r="I498" s="355" t="s">
        <v>42</v>
      </c>
      <c r="J498" s="355"/>
      <c r="K498" s="355" t="s">
        <v>43</v>
      </c>
    </row>
    <row r="499" spans="1:11">
      <c r="A499" s="222" t="str">
        <f>VLOOKUP(D499,'17. CUSTOS DER - EQUIPAMENTOS'!A:B,2,0)</f>
        <v>ROLO VIBRATÓRIO LISO AUTOPROP. 3411</v>
      </c>
      <c r="B499" s="225" t="s">
        <v>9013</v>
      </c>
      <c r="C499" s="225" t="s">
        <v>22635</v>
      </c>
      <c r="D499" s="225">
        <v>340250</v>
      </c>
      <c r="E499" s="241">
        <v>1</v>
      </c>
      <c r="F499" s="241">
        <v>1</v>
      </c>
      <c r="G499" s="356">
        <v>0</v>
      </c>
      <c r="H499" s="242">
        <f>VLOOKUP(D499,'17. CUSTOS DER - EQUIPAMENTOS'!A:O,15,0)</f>
        <v>261.85000000000002</v>
      </c>
      <c r="I499" s="242">
        <f>VLOOKUP(D499,'17. CUSTOS DER - EQUIPAMENTOS'!A:P,16,0)</f>
        <v>94.33</v>
      </c>
      <c r="J499" s="225"/>
      <c r="K499" s="242">
        <f>((F499*H499)+(G499*I499))*E499</f>
        <v>261.85000000000002</v>
      </c>
    </row>
    <row r="500" spans="1:11">
      <c r="A500" s="222" t="str">
        <f>VLOOKUP(D500,'17. CUSTOS DER - EQUIPAMENTOS'!A:B,2,0)</f>
        <v>ESCAV. HIDRÁULICA E-215 C LEVE</v>
      </c>
      <c r="B500" s="225" t="s">
        <v>9013</v>
      </c>
      <c r="C500" s="225" t="s">
        <v>22635</v>
      </c>
      <c r="D500" s="225">
        <v>310800</v>
      </c>
      <c r="E500" s="241">
        <v>1</v>
      </c>
      <c r="F500" s="241">
        <v>0.64</v>
      </c>
      <c r="G500" s="356">
        <v>0.36</v>
      </c>
      <c r="H500" s="242">
        <f>VLOOKUP(D500,'17. CUSTOS DER - EQUIPAMENTOS'!A:O,15,0)</f>
        <v>288.26</v>
      </c>
      <c r="I500" s="242">
        <f>VLOOKUP(D500,'17. CUSTOS DER - EQUIPAMENTOS'!A:P,16,0)</f>
        <v>106.46</v>
      </c>
      <c r="J500" s="225"/>
      <c r="K500" s="242">
        <f>((F500*H500)+(G500*I500))*E500</f>
        <v>222.81200000000001</v>
      </c>
    </row>
    <row r="501" spans="1:11">
      <c r="A501" s="358"/>
      <c r="B501" s="359"/>
      <c r="C501" s="359"/>
      <c r="D501" s="359"/>
      <c r="E501" s="359"/>
      <c r="F501" s="359"/>
      <c r="G501" s="359"/>
      <c r="H501" s="359"/>
      <c r="I501" s="359"/>
      <c r="J501" s="360" t="s">
        <v>44</v>
      </c>
      <c r="K501" s="361">
        <f>SUM(K499:K500)</f>
        <v>484.66200000000003</v>
      </c>
    </row>
    <row r="502" spans="1:11">
      <c r="A502" s="354" t="s">
        <v>45</v>
      </c>
      <c r="B502" s="355" t="s">
        <v>11308</v>
      </c>
      <c r="C502" s="355" t="s">
        <v>17663</v>
      </c>
      <c r="D502" s="355" t="s">
        <v>0</v>
      </c>
      <c r="E502" s="355" t="s">
        <v>36</v>
      </c>
      <c r="F502" s="355" t="s">
        <v>46</v>
      </c>
      <c r="G502" s="355" t="s">
        <v>47</v>
      </c>
      <c r="H502" s="355" t="s">
        <v>25</v>
      </c>
      <c r="I502" s="355"/>
      <c r="J502" s="355"/>
      <c r="K502" s="355" t="s">
        <v>43</v>
      </c>
    </row>
    <row r="503" spans="1:11">
      <c r="A503" s="222" t="str">
        <f>VLOOKUP(D503,'15. CUSTOS DER - MÃO DE OBRA'!A:B,2,0)</f>
        <v>APONTADOR</v>
      </c>
      <c r="B503" s="225" t="s">
        <v>9013</v>
      </c>
      <c r="C503" s="225" t="s">
        <v>17664</v>
      </c>
      <c r="D503" s="225">
        <v>200020</v>
      </c>
      <c r="E503" s="242">
        <f>VLOOKUP(D503,'15. CUSTOS DER - MÃO DE OBRA'!A:C,3,0)</f>
        <v>2.25</v>
      </c>
      <c r="F503" s="225"/>
      <c r="G503" s="225">
        <f>VLOOKUP(D503,'15. CUSTOS DER - MÃO DE OBRA'!A:D,4,0)</f>
        <v>32.18</v>
      </c>
      <c r="H503" s="241">
        <v>2</v>
      </c>
      <c r="I503" s="225"/>
      <c r="J503" s="225"/>
      <c r="K503" s="242">
        <f>G503*H503</f>
        <v>64.36</v>
      </c>
    </row>
    <row r="504" spans="1:11">
      <c r="A504" s="222" t="str">
        <f>VLOOKUP(D504,'15. CUSTOS DER - MÃO DE OBRA'!A:B,2,0)</f>
        <v>ENCARREGADO DE SERVIÇO</v>
      </c>
      <c r="B504" s="225" t="s">
        <v>9013</v>
      </c>
      <c r="C504" s="225" t="s">
        <v>17664</v>
      </c>
      <c r="D504" s="225">
        <v>210060</v>
      </c>
      <c r="E504" s="242">
        <f>VLOOKUP(D504,'15. CUSTOS DER - MÃO DE OBRA'!A:C,3,0)</f>
        <v>6</v>
      </c>
      <c r="F504" s="225"/>
      <c r="G504" s="225">
        <f>VLOOKUP(D504,'15. CUSTOS DER - MÃO DE OBRA'!A:D,4,0)</f>
        <v>85.81</v>
      </c>
      <c r="H504" s="241">
        <v>1</v>
      </c>
      <c r="I504" s="225"/>
      <c r="J504" s="225"/>
      <c r="K504" s="242">
        <f>G504*H504</f>
        <v>85.81</v>
      </c>
    </row>
    <row r="505" spans="1:11">
      <c r="A505" s="222" t="str">
        <f>VLOOKUP(D505,'15. CUSTOS DER - MÃO DE OBRA'!A:B,2,0)</f>
        <v>SERVENTE</v>
      </c>
      <c r="B505" s="225" t="s">
        <v>9013</v>
      </c>
      <c r="C505" s="225" t="s">
        <v>17664</v>
      </c>
      <c r="D505" s="225">
        <v>200130</v>
      </c>
      <c r="E505" s="242">
        <f>VLOOKUP(D505,'15. CUSTOS DER - MÃO DE OBRA'!A:C,3,0)</f>
        <v>2.2000000000000002</v>
      </c>
      <c r="F505" s="225"/>
      <c r="G505" s="225">
        <f>VLOOKUP(D505,'15. CUSTOS DER - MÃO DE OBRA'!A:D,4,0)</f>
        <v>31.46</v>
      </c>
      <c r="H505" s="241">
        <v>3</v>
      </c>
      <c r="I505" s="225"/>
      <c r="J505" s="225"/>
      <c r="K505" s="242">
        <f>G505*H505</f>
        <v>94.38</v>
      </c>
    </row>
    <row r="506" spans="1:11">
      <c r="A506" s="358"/>
      <c r="B506" s="359"/>
      <c r="C506" s="359"/>
      <c r="D506" s="359"/>
      <c r="E506" s="359"/>
      <c r="F506" s="359"/>
      <c r="G506" s="359"/>
      <c r="H506" s="359"/>
      <c r="I506" s="359"/>
      <c r="J506" s="360" t="s">
        <v>48</v>
      </c>
      <c r="K506" s="361">
        <f>SUM(K503:K505)</f>
        <v>244.55</v>
      </c>
    </row>
    <row r="507" spans="1:11">
      <c r="A507" s="354" t="s">
        <v>49</v>
      </c>
      <c r="B507" s="355" t="s">
        <v>11308</v>
      </c>
      <c r="C507" s="355" t="s">
        <v>17663</v>
      </c>
      <c r="D507" s="355" t="s">
        <v>0</v>
      </c>
      <c r="E507" s="355" t="s">
        <v>14</v>
      </c>
      <c r="F507" s="355" t="s">
        <v>50</v>
      </c>
      <c r="G507" s="355" t="s">
        <v>29</v>
      </c>
      <c r="H507" s="355" t="s">
        <v>30</v>
      </c>
      <c r="I507" s="355"/>
      <c r="J507" s="355"/>
      <c r="K507" s="355" t="s">
        <v>33</v>
      </c>
    </row>
    <row r="508" spans="1:11">
      <c r="A508" s="222"/>
      <c r="B508" s="225"/>
      <c r="C508" s="225"/>
      <c r="D508" s="225"/>
      <c r="E508" s="225"/>
      <c r="F508" s="225"/>
      <c r="G508" s="225"/>
      <c r="H508" s="225"/>
      <c r="I508" s="225"/>
      <c r="J508" s="225"/>
      <c r="K508" s="357"/>
    </row>
    <row r="509" spans="1:11">
      <c r="A509" s="222"/>
      <c r="B509" s="225"/>
      <c r="C509" s="225"/>
      <c r="D509" s="225"/>
      <c r="E509" s="225"/>
      <c r="F509" s="225"/>
      <c r="G509" s="225"/>
      <c r="H509" s="225"/>
      <c r="I509" s="225"/>
      <c r="J509" s="225"/>
      <c r="K509" s="357"/>
    </row>
    <row r="510" spans="1:11">
      <c r="A510" s="358"/>
      <c r="B510" s="359"/>
      <c r="C510" s="359"/>
      <c r="D510" s="359"/>
      <c r="E510" s="359"/>
      <c r="F510" s="359"/>
      <c r="G510" s="359"/>
      <c r="H510" s="359"/>
      <c r="I510" s="359"/>
      <c r="J510" s="360" t="s">
        <v>51</v>
      </c>
      <c r="K510" s="361">
        <f>SUM(K508:K509)</f>
        <v>0</v>
      </c>
    </row>
    <row r="511" spans="1:11">
      <c r="A511" s="568" t="s">
        <v>52</v>
      </c>
      <c r="B511" s="568"/>
      <c r="C511" s="568"/>
      <c r="D511" s="568"/>
      <c r="E511" s="568"/>
      <c r="F511" s="568"/>
      <c r="G511" s="568"/>
      <c r="H511" s="568"/>
      <c r="I511" s="568"/>
      <c r="J511" s="568"/>
      <c r="K511" s="361">
        <f>K501+K506+K510</f>
        <v>729.21199999999999</v>
      </c>
    </row>
    <row r="512" spans="1:11">
      <c r="A512" s="568" t="s">
        <v>53</v>
      </c>
      <c r="B512" s="568"/>
      <c r="C512" s="568"/>
      <c r="D512" s="568"/>
      <c r="E512" s="568"/>
      <c r="F512" s="568"/>
      <c r="G512" s="568"/>
      <c r="H512" s="568"/>
      <c r="I512" s="568"/>
      <c r="J512" s="568"/>
      <c r="K512" s="361">
        <v>109</v>
      </c>
    </row>
    <row r="513" spans="1:11">
      <c r="A513" s="566" t="s">
        <v>54</v>
      </c>
      <c r="B513" s="566"/>
      <c r="C513" s="566"/>
      <c r="D513" s="566"/>
      <c r="E513" s="566"/>
      <c r="F513" s="566"/>
      <c r="G513" s="566"/>
      <c r="H513" s="566"/>
      <c r="I513" s="566"/>
      <c r="J513" s="566"/>
      <c r="K513" s="362">
        <f>IF(K511=0,0,K511/K512)</f>
        <v>6.6900183486238527</v>
      </c>
    </row>
    <row r="514" spans="1:11">
      <c r="A514" s="354" t="s">
        <v>55</v>
      </c>
      <c r="B514" s="355" t="s">
        <v>11308</v>
      </c>
      <c r="C514" s="355" t="s">
        <v>17663</v>
      </c>
      <c r="D514" s="355" t="s">
        <v>0</v>
      </c>
      <c r="E514" s="355" t="s">
        <v>2</v>
      </c>
      <c r="F514" s="567" t="s">
        <v>9</v>
      </c>
      <c r="G514" s="567"/>
      <c r="H514" s="567" t="s">
        <v>25</v>
      </c>
      <c r="I514" s="567"/>
      <c r="J514" s="355"/>
      <c r="K514" s="355" t="s">
        <v>56</v>
      </c>
    </row>
    <row r="515" spans="1:11">
      <c r="A515" s="222" t="str">
        <f>VLOOKUP(D515,'14. CUSTOS DER - MATERIAIS'!A:B,2,0)</f>
        <v>RACHÃO BRITADO (COMERCIAL)</v>
      </c>
      <c r="B515" s="225" t="s">
        <v>9013</v>
      </c>
      <c r="C515" s="225" t="s">
        <v>68</v>
      </c>
      <c r="D515" s="225">
        <v>130180</v>
      </c>
      <c r="E515" s="225" t="str">
        <f>VLOOKUP(D515,'14. CUSTOS DER - MATERIAIS'!A:C,3,0)</f>
        <v>M3</v>
      </c>
      <c r="F515" s="225"/>
      <c r="G515" s="224">
        <f>VLOOKUP(D515,'14. CUSTOS DER - MATERIAIS'!A:D,4,0)</f>
        <v>63.46</v>
      </c>
      <c r="H515" s="241"/>
      <c r="I515" s="241">
        <v>1.3</v>
      </c>
      <c r="J515" s="225"/>
      <c r="K515" s="242">
        <f>G515*I515</f>
        <v>82.498000000000005</v>
      </c>
    </row>
    <row r="516" spans="1:11">
      <c r="A516" s="222"/>
      <c r="B516" s="225"/>
      <c r="C516" s="225"/>
      <c r="D516" s="225"/>
      <c r="E516" s="225"/>
      <c r="F516" s="225"/>
      <c r="G516" s="224"/>
      <c r="H516" s="241"/>
      <c r="I516" s="241"/>
      <c r="J516" s="225"/>
      <c r="K516" s="242"/>
    </row>
    <row r="517" spans="1:11">
      <c r="A517" s="364"/>
      <c r="B517" s="365"/>
      <c r="C517" s="365"/>
      <c r="D517" s="365"/>
      <c r="E517" s="365"/>
      <c r="F517" s="365"/>
      <c r="G517" s="365"/>
      <c r="H517" s="365"/>
      <c r="I517" s="365"/>
      <c r="J517" s="366" t="s">
        <v>57</v>
      </c>
      <c r="K517" s="362">
        <f>SUM(K515:K516)</f>
        <v>82.498000000000005</v>
      </c>
    </row>
    <row r="518" spans="1:11">
      <c r="A518" s="354" t="s">
        <v>58</v>
      </c>
      <c r="B518" s="355" t="s">
        <v>11308</v>
      </c>
      <c r="C518" s="355" t="s">
        <v>17663</v>
      </c>
      <c r="D518" s="355" t="s">
        <v>0</v>
      </c>
      <c r="E518" s="355" t="s">
        <v>2</v>
      </c>
      <c r="F518" s="567" t="s">
        <v>9</v>
      </c>
      <c r="G518" s="567"/>
      <c r="H518" s="567" t="s">
        <v>25</v>
      </c>
      <c r="I518" s="567"/>
      <c r="J518" s="355"/>
      <c r="K518" s="355" t="s">
        <v>56</v>
      </c>
    </row>
    <row r="519" spans="1:11">
      <c r="A519" s="222"/>
      <c r="B519" s="225"/>
      <c r="C519" s="225"/>
      <c r="D519" s="225"/>
      <c r="E519" s="225"/>
      <c r="F519" s="225"/>
      <c r="G519" s="224"/>
      <c r="H519" s="241"/>
      <c r="I519" s="241"/>
      <c r="J519" s="225"/>
      <c r="K519" s="357"/>
    </row>
    <row r="520" spans="1:11">
      <c r="A520" s="222"/>
      <c r="B520" s="225"/>
      <c r="C520" s="225"/>
      <c r="D520" s="225"/>
      <c r="E520" s="225"/>
      <c r="F520" s="225"/>
      <c r="G520" s="224"/>
      <c r="H520" s="375"/>
      <c r="I520" s="375"/>
      <c r="J520" s="225"/>
      <c r="K520" s="357"/>
    </row>
    <row r="521" spans="1:11">
      <c r="A521" s="364"/>
      <c r="B521" s="365"/>
      <c r="C521" s="365"/>
      <c r="D521" s="365"/>
      <c r="E521" s="365"/>
      <c r="F521" s="365"/>
      <c r="G521" s="365"/>
      <c r="H521" s="365"/>
      <c r="I521" s="365"/>
      <c r="J521" s="366" t="s">
        <v>59</v>
      </c>
      <c r="K521" s="362">
        <f>SUM(K519:K520)</f>
        <v>0</v>
      </c>
    </row>
    <row r="522" spans="1:11">
      <c r="E522" s="367"/>
      <c r="F522" s="367"/>
      <c r="G522" s="367"/>
      <c r="H522" s="367"/>
      <c r="I522" s="367"/>
      <c r="J522" s="368"/>
      <c r="K522" s="369"/>
    </row>
    <row r="523" spans="1:11">
      <c r="E523" s="367"/>
      <c r="F523" s="367"/>
      <c r="G523" s="367"/>
      <c r="H523" s="367"/>
      <c r="I523" s="367"/>
      <c r="J523" s="368"/>
      <c r="K523" s="369"/>
    </row>
    <row r="524" spans="1:11">
      <c r="A524" s="337" t="s">
        <v>22657</v>
      </c>
      <c r="B524" s="337" t="s">
        <v>371</v>
      </c>
      <c r="C524" s="370" t="s">
        <v>328</v>
      </c>
      <c r="D524" s="563" t="s">
        <v>263</v>
      </c>
      <c r="E524" s="563"/>
      <c r="F524" s="563"/>
      <c r="G524" s="563"/>
      <c r="H524" s="563"/>
      <c r="I524" s="563"/>
      <c r="J524" s="253" t="s">
        <v>17667</v>
      </c>
      <c r="K524" s="373">
        <f>K539+K543+K547</f>
        <v>3739.1909125989646</v>
      </c>
    </row>
    <row r="525" spans="1:11">
      <c r="A525" s="354" t="s">
        <v>27</v>
      </c>
      <c r="B525" s="355" t="s">
        <v>11308</v>
      </c>
      <c r="C525" s="355" t="s">
        <v>17663</v>
      </c>
      <c r="D525" s="355" t="s">
        <v>0</v>
      </c>
      <c r="E525" s="355" t="s">
        <v>1</v>
      </c>
      <c r="F525" s="355" t="s">
        <v>39</v>
      </c>
      <c r="G525" s="355" t="s">
        <v>40</v>
      </c>
      <c r="H525" s="355" t="s">
        <v>41</v>
      </c>
      <c r="I525" s="355" t="s">
        <v>42</v>
      </c>
      <c r="J525" s="355"/>
      <c r="K525" s="355" t="s">
        <v>43</v>
      </c>
    </row>
    <row r="526" spans="1:11">
      <c r="A526" s="222"/>
      <c r="B526" s="225"/>
      <c r="C526" s="225"/>
      <c r="D526" s="225"/>
      <c r="E526" s="375"/>
      <c r="F526" s="375"/>
      <c r="G526" s="377"/>
      <c r="H526" s="357"/>
      <c r="I526" s="357"/>
      <c r="J526" s="225"/>
      <c r="K526" s="357"/>
    </row>
    <row r="527" spans="1:11">
      <c r="A527" s="222"/>
      <c r="B527" s="225"/>
      <c r="C527" s="225"/>
      <c r="D527" s="225"/>
      <c r="E527" s="375"/>
      <c r="F527" s="375"/>
      <c r="G527" s="377"/>
      <c r="H527" s="357"/>
      <c r="I527" s="357"/>
      <c r="J527" s="225"/>
      <c r="K527" s="357"/>
    </row>
    <row r="528" spans="1:11">
      <c r="A528" s="358"/>
      <c r="B528" s="359"/>
      <c r="C528" s="359"/>
      <c r="D528" s="359"/>
      <c r="E528" s="359"/>
      <c r="F528" s="359"/>
      <c r="G528" s="359"/>
      <c r="H528" s="359"/>
      <c r="I528" s="359"/>
      <c r="J528" s="360" t="s">
        <v>44</v>
      </c>
      <c r="K528" s="361">
        <f>SUM(K526:K527)</f>
        <v>0</v>
      </c>
    </row>
    <row r="529" spans="1:11">
      <c r="A529" s="354" t="s">
        <v>45</v>
      </c>
      <c r="B529" s="355" t="s">
        <v>11308</v>
      </c>
      <c r="C529" s="355" t="s">
        <v>17663</v>
      </c>
      <c r="D529" s="355" t="s">
        <v>0</v>
      </c>
      <c r="E529" s="355" t="s">
        <v>36</v>
      </c>
      <c r="F529" s="355" t="s">
        <v>46</v>
      </c>
      <c r="G529" s="355" t="s">
        <v>47</v>
      </c>
      <c r="H529" s="355" t="s">
        <v>25</v>
      </c>
      <c r="I529" s="355"/>
      <c r="J529" s="355"/>
      <c r="K529" s="355" t="s">
        <v>43</v>
      </c>
    </row>
    <row r="530" spans="1:11">
      <c r="A530" s="222" t="str">
        <f>VLOOKUP(D530,'15. CUSTOS DER - MÃO DE OBRA'!A:B,2,0)</f>
        <v>SERVENTE</v>
      </c>
      <c r="B530" s="225" t="s">
        <v>9013</v>
      </c>
      <c r="C530" s="225" t="s">
        <v>17664</v>
      </c>
      <c r="D530" s="225">
        <v>200130</v>
      </c>
      <c r="E530" s="242">
        <f>VLOOKUP(D530,'15. CUSTOS DER - MÃO DE OBRA'!A:C,3,0)</f>
        <v>2.2000000000000002</v>
      </c>
      <c r="F530" s="225"/>
      <c r="G530" s="225">
        <f>VLOOKUP(D530,'15. CUSTOS DER - MÃO DE OBRA'!A:D,4,0)</f>
        <v>31.46</v>
      </c>
      <c r="H530" s="356">
        <v>3</v>
      </c>
      <c r="I530" s="225"/>
      <c r="J530" s="225"/>
      <c r="K530" s="242">
        <f>G530*H530</f>
        <v>94.38</v>
      </c>
    </row>
    <row r="531" spans="1:11">
      <c r="A531" s="222"/>
      <c r="B531" s="225"/>
      <c r="C531" s="225"/>
      <c r="D531" s="225"/>
      <c r="E531" s="357"/>
      <c r="F531" s="225"/>
      <c r="G531" s="225"/>
      <c r="H531" s="375"/>
      <c r="I531" s="225"/>
      <c r="J531" s="225"/>
      <c r="K531" s="357"/>
    </row>
    <row r="532" spans="1:11">
      <c r="A532" s="358"/>
      <c r="B532" s="359"/>
      <c r="C532" s="359"/>
      <c r="D532" s="359"/>
      <c r="E532" s="359"/>
      <c r="F532" s="359"/>
      <c r="G532" s="359"/>
      <c r="H532" s="359"/>
      <c r="I532" s="359"/>
      <c r="J532" s="360" t="s">
        <v>48</v>
      </c>
      <c r="K532" s="361">
        <f>SUM(K530:K531)</f>
        <v>94.38</v>
      </c>
    </row>
    <row r="533" spans="1:11">
      <c r="A533" s="354" t="s">
        <v>49</v>
      </c>
      <c r="B533" s="355" t="s">
        <v>11308</v>
      </c>
      <c r="C533" s="355" t="s">
        <v>17663</v>
      </c>
      <c r="D533" s="355" t="s">
        <v>0</v>
      </c>
      <c r="E533" s="355" t="s">
        <v>14</v>
      </c>
      <c r="F533" s="355" t="s">
        <v>50</v>
      </c>
      <c r="G533" s="355" t="s">
        <v>29</v>
      </c>
      <c r="H533" s="355" t="s">
        <v>30</v>
      </c>
      <c r="I533" s="355"/>
      <c r="J533" s="355"/>
      <c r="K533" s="355" t="s">
        <v>33</v>
      </c>
    </row>
    <row r="534" spans="1:11">
      <c r="A534" s="222"/>
      <c r="B534" s="225"/>
      <c r="C534" s="225"/>
      <c r="D534" s="225"/>
      <c r="E534" s="225"/>
      <c r="F534" s="225"/>
      <c r="G534" s="225"/>
      <c r="H534" s="225"/>
      <c r="I534" s="225"/>
      <c r="J534" s="225"/>
      <c r="K534" s="357"/>
    </row>
    <row r="535" spans="1:11">
      <c r="A535" s="222"/>
      <c r="B535" s="225"/>
      <c r="C535" s="225"/>
      <c r="D535" s="225"/>
      <c r="E535" s="225"/>
      <c r="F535" s="225"/>
      <c r="G535" s="225"/>
      <c r="H535" s="225"/>
      <c r="I535" s="225"/>
      <c r="J535" s="225"/>
      <c r="K535" s="242"/>
    </row>
    <row r="536" spans="1:11">
      <c r="A536" s="358"/>
      <c r="B536" s="359"/>
      <c r="C536" s="359"/>
      <c r="D536" s="359"/>
      <c r="E536" s="359"/>
      <c r="F536" s="359"/>
      <c r="G536" s="359"/>
      <c r="H536" s="359"/>
      <c r="I536" s="359"/>
      <c r="J536" s="360" t="s">
        <v>51</v>
      </c>
      <c r="K536" s="361">
        <f>SUM(K534:K535)</f>
        <v>0</v>
      </c>
    </row>
    <row r="537" spans="1:11">
      <c r="A537" s="568" t="s">
        <v>52</v>
      </c>
      <c r="B537" s="568"/>
      <c r="C537" s="568"/>
      <c r="D537" s="568"/>
      <c r="E537" s="568"/>
      <c r="F537" s="568"/>
      <c r="G537" s="568"/>
      <c r="H537" s="568"/>
      <c r="I537" s="568"/>
      <c r="J537" s="568"/>
      <c r="K537" s="361">
        <f>K528+K532+K536</f>
        <v>94.38</v>
      </c>
    </row>
    <row r="538" spans="1:11">
      <c r="A538" s="568" t="s">
        <v>53</v>
      </c>
      <c r="B538" s="568"/>
      <c r="C538" s="568"/>
      <c r="D538" s="568"/>
      <c r="E538" s="568"/>
      <c r="F538" s="568"/>
      <c r="G538" s="568"/>
      <c r="H538" s="568"/>
      <c r="I538" s="568"/>
      <c r="J538" s="568"/>
      <c r="K538" s="378">
        <v>2.84571</v>
      </c>
    </row>
    <row r="539" spans="1:11">
      <c r="A539" s="566" t="s">
        <v>54</v>
      </c>
      <c r="B539" s="566"/>
      <c r="C539" s="566"/>
      <c r="D539" s="566"/>
      <c r="E539" s="566"/>
      <c r="F539" s="566"/>
      <c r="G539" s="566"/>
      <c r="H539" s="566"/>
      <c r="I539" s="566"/>
      <c r="J539" s="566"/>
      <c r="K539" s="362">
        <f>IF(K537=0,0,K537/K538)</f>
        <v>33.16571259896476</v>
      </c>
    </row>
    <row r="540" spans="1:11">
      <c r="A540" s="354" t="s">
        <v>55</v>
      </c>
      <c r="B540" s="355" t="s">
        <v>11308</v>
      </c>
      <c r="C540" s="355" t="s">
        <v>17663</v>
      </c>
      <c r="D540" s="355" t="s">
        <v>0</v>
      </c>
      <c r="E540" s="355" t="s">
        <v>2</v>
      </c>
      <c r="F540" s="567" t="s">
        <v>9</v>
      </c>
      <c r="G540" s="567"/>
      <c r="H540" s="567" t="s">
        <v>25</v>
      </c>
      <c r="I540" s="567"/>
      <c r="J540" s="355"/>
      <c r="K540" s="355" t="s">
        <v>56</v>
      </c>
    </row>
    <row r="541" spans="1:11" ht="31.5">
      <c r="A541" s="222" t="str">
        <f>VLOOKUP(D541,'19. CUSTOS DNIT - MATERIAIS'!A:B,2,0)</f>
        <v>CORPO DE BSCC PRÉ-MOLDADO COMERCIAL - SEÇÃO DE 2,0 M X 2,0 M - TIPO V</v>
      </c>
      <c r="B541" s="225" t="s">
        <v>22708</v>
      </c>
      <c r="C541" s="225" t="s">
        <v>68</v>
      </c>
      <c r="D541" s="225" t="s">
        <v>85</v>
      </c>
      <c r="E541" s="372" t="str">
        <f>VLOOKUP(D541,'19. CUSTOS DNIT - MATERIAIS'!A:C,3,0)</f>
        <v>M</v>
      </c>
      <c r="F541" s="225"/>
      <c r="G541" s="224">
        <f>VLOOKUP(D541,'19. CUSTOS DNIT - MATERIAIS'!A:D,4,0)</f>
        <v>3706.0252</v>
      </c>
      <c r="H541" s="241"/>
      <c r="I541" s="241">
        <v>1</v>
      </c>
      <c r="J541" s="225"/>
      <c r="K541" s="242">
        <f>G541*I541</f>
        <v>3706.0252</v>
      </c>
    </row>
    <row r="542" spans="1:11">
      <c r="A542" s="222"/>
      <c r="B542" s="225"/>
      <c r="C542" s="225"/>
      <c r="D542" s="225"/>
      <c r="E542" s="225"/>
      <c r="F542" s="225"/>
      <c r="G542" s="224"/>
      <c r="H542" s="241"/>
      <c r="I542" s="241"/>
      <c r="J542" s="225"/>
      <c r="K542" s="242"/>
    </row>
    <row r="543" spans="1:11">
      <c r="A543" s="364"/>
      <c r="B543" s="365"/>
      <c r="C543" s="365"/>
      <c r="D543" s="365"/>
      <c r="E543" s="365"/>
      <c r="F543" s="365"/>
      <c r="G543" s="365"/>
      <c r="H543" s="365"/>
      <c r="I543" s="365"/>
      <c r="J543" s="366" t="s">
        <v>57</v>
      </c>
      <c r="K543" s="362">
        <f>SUM(K541:K542)</f>
        <v>3706.0252</v>
      </c>
    </row>
    <row r="544" spans="1:11">
      <c r="A544" s="354" t="s">
        <v>58</v>
      </c>
      <c r="B544" s="355" t="s">
        <v>11308</v>
      </c>
      <c r="C544" s="355" t="s">
        <v>17663</v>
      </c>
      <c r="D544" s="355" t="s">
        <v>0</v>
      </c>
      <c r="E544" s="355" t="s">
        <v>2</v>
      </c>
      <c r="F544" s="567" t="s">
        <v>9</v>
      </c>
      <c r="G544" s="567"/>
      <c r="H544" s="567" t="s">
        <v>25</v>
      </c>
      <c r="I544" s="567"/>
      <c r="J544" s="355"/>
      <c r="K544" s="355" t="s">
        <v>56</v>
      </c>
    </row>
    <row r="545" spans="1:11">
      <c r="A545" s="222"/>
      <c r="B545" s="225"/>
      <c r="C545" s="225"/>
      <c r="D545" s="225"/>
      <c r="E545" s="225"/>
      <c r="F545" s="225"/>
      <c r="G545" s="225"/>
      <c r="H545" s="241"/>
      <c r="I545" s="225"/>
      <c r="J545" s="241"/>
      <c r="K545" s="242"/>
    </row>
    <row r="546" spans="1:11">
      <c r="A546" s="222"/>
      <c r="B546" s="225"/>
      <c r="C546" s="225"/>
      <c r="D546" s="225"/>
      <c r="E546" s="225"/>
      <c r="F546" s="225"/>
      <c r="G546" s="225"/>
      <c r="H546" s="241"/>
      <c r="I546" s="225"/>
      <c r="J546" s="241"/>
      <c r="K546" s="242"/>
    </row>
    <row r="547" spans="1:11">
      <c r="A547" s="364"/>
      <c r="B547" s="365"/>
      <c r="C547" s="365"/>
      <c r="D547" s="365"/>
      <c r="E547" s="365"/>
      <c r="F547" s="365"/>
      <c r="G547" s="365"/>
      <c r="H547" s="365"/>
      <c r="I547" s="365"/>
      <c r="J547" s="366" t="s">
        <v>59</v>
      </c>
      <c r="K547" s="362">
        <f>SUM(K545:K546)</f>
        <v>0</v>
      </c>
    </row>
    <row r="548" spans="1:11">
      <c r="E548" s="367"/>
      <c r="F548" s="367"/>
      <c r="G548" s="367"/>
      <c r="H548" s="367"/>
      <c r="I548" s="367"/>
      <c r="J548" s="368"/>
      <c r="K548" s="369"/>
    </row>
    <row r="549" spans="1:11">
      <c r="E549" s="367"/>
      <c r="F549" s="367"/>
      <c r="G549" s="367"/>
      <c r="H549" s="367"/>
      <c r="I549" s="367"/>
      <c r="J549" s="368"/>
      <c r="K549" s="369"/>
    </row>
    <row r="550" spans="1:11">
      <c r="A550" s="337" t="s">
        <v>22658</v>
      </c>
      <c r="B550" s="337" t="s">
        <v>371</v>
      </c>
      <c r="C550" s="370" t="s">
        <v>328</v>
      </c>
      <c r="D550" s="563" t="s">
        <v>22693</v>
      </c>
      <c r="E550" s="563"/>
      <c r="F550" s="563"/>
      <c r="G550" s="563"/>
      <c r="H550" s="563"/>
      <c r="I550" s="563"/>
      <c r="J550" s="253" t="s">
        <v>17667</v>
      </c>
      <c r="K550" s="373">
        <f>K565+K569+K573</f>
        <v>3538.1690144578315</v>
      </c>
    </row>
    <row r="551" spans="1:11">
      <c r="A551" s="354" t="s">
        <v>27</v>
      </c>
      <c r="B551" s="355" t="s">
        <v>11308</v>
      </c>
      <c r="C551" s="355" t="s">
        <v>17663</v>
      </c>
      <c r="D551" s="355" t="s">
        <v>0</v>
      </c>
      <c r="E551" s="355" t="s">
        <v>1</v>
      </c>
      <c r="F551" s="355" t="s">
        <v>39</v>
      </c>
      <c r="G551" s="355" t="s">
        <v>40</v>
      </c>
      <c r="H551" s="355" t="s">
        <v>41</v>
      </c>
      <c r="I551" s="355" t="s">
        <v>42</v>
      </c>
      <c r="J551" s="355"/>
      <c r="K551" s="355" t="s">
        <v>43</v>
      </c>
    </row>
    <row r="552" spans="1:11">
      <c r="A552" s="222"/>
      <c r="B552" s="225"/>
      <c r="C552" s="225"/>
      <c r="D552" s="225"/>
      <c r="E552" s="375"/>
      <c r="F552" s="375"/>
      <c r="G552" s="377"/>
      <c r="H552" s="357"/>
      <c r="I552" s="357"/>
      <c r="J552" s="225"/>
      <c r="K552" s="357"/>
    </row>
    <row r="553" spans="1:11">
      <c r="A553" s="222"/>
      <c r="B553" s="225"/>
      <c r="C553" s="225"/>
      <c r="D553" s="225"/>
      <c r="E553" s="375"/>
      <c r="F553" s="375"/>
      <c r="G553" s="377"/>
      <c r="H553" s="357"/>
      <c r="I553" s="357"/>
      <c r="J553" s="225"/>
      <c r="K553" s="357"/>
    </row>
    <row r="554" spans="1:11">
      <c r="A554" s="358"/>
      <c r="B554" s="359"/>
      <c r="C554" s="359"/>
      <c r="D554" s="359"/>
      <c r="E554" s="359"/>
      <c r="F554" s="359"/>
      <c r="G554" s="359"/>
      <c r="H554" s="359"/>
      <c r="I554" s="359"/>
      <c r="J554" s="360" t="s">
        <v>44</v>
      </c>
      <c r="K554" s="361">
        <f>SUM(K552:K553)</f>
        <v>0</v>
      </c>
    </row>
    <row r="555" spans="1:11">
      <c r="A555" s="354" t="s">
        <v>45</v>
      </c>
      <c r="B555" s="355" t="s">
        <v>11308</v>
      </c>
      <c r="C555" s="355" t="s">
        <v>17663</v>
      </c>
      <c r="D555" s="355" t="s">
        <v>0</v>
      </c>
      <c r="E555" s="355" t="s">
        <v>36</v>
      </c>
      <c r="F555" s="355" t="s">
        <v>46</v>
      </c>
      <c r="G555" s="355" t="s">
        <v>47</v>
      </c>
      <c r="H555" s="355" t="s">
        <v>25</v>
      </c>
      <c r="I555" s="355"/>
      <c r="J555" s="355"/>
      <c r="K555" s="355" t="s">
        <v>43</v>
      </c>
    </row>
    <row r="556" spans="1:11">
      <c r="A556" s="222" t="str">
        <f>VLOOKUP(D556,'15. CUSTOS DER - MÃO DE OBRA'!A:B,2,0)</f>
        <v>SERVENTE</v>
      </c>
      <c r="B556" s="225" t="s">
        <v>9016</v>
      </c>
      <c r="C556" s="225" t="s">
        <v>17664</v>
      </c>
      <c r="D556" s="225">
        <v>200130</v>
      </c>
      <c r="E556" s="242">
        <f>VLOOKUP(D556,'15. CUSTOS DER - MÃO DE OBRA'!A:C,3,0)</f>
        <v>2.2000000000000002</v>
      </c>
      <c r="F556" s="225"/>
      <c r="G556" s="225">
        <f>VLOOKUP(D556,'15. CUSTOS DER - MÃO DE OBRA'!A:D,4,0)</f>
        <v>31.46</v>
      </c>
      <c r="H556" s="356">
        <v>3</v>
      </c>
      <c r="I556" s="225"/>
      <c r="J556" s="225"/>
      <c r="K556" s="242">
        <f>G556*H556</f>
        <v>94.38</v>
      </c>
    </row>
    <row r="557" spans="1:11">
      <c r="A557" s="222"/>
      <c r="B557" s="225"/>
      <c r="C557" s="225"/>
      <c r="D557" s="225"/>
      <c r="E557" s="242"/>
      <c r="F557" s="225"/>
      <c r="G557" s="225"/>
      <c r="H557" s="241"/>
      <c r="I557" s="225"/>
      <c r="J557" s="225"/>
      <c r="K557" s="242"/>
    </row>
    <row r="558" spans="1:11">
      <c r="A558" s="358"/>
      <c r="B558" s="359"/>
      <c r="C558" s="359"/>
      <c r="D558" s="359"/>
      <c r="E558" s="359"/>
      <c r="F558" s="359"/>
      <c r="G558" s="359"/>
      <c r="H558" s="359"/>
      <c r="I558" s="359"/>
      <c r="J558" s="360" t="s">
        <v>48</v>
      </c>
      <c r="K558" s="361">
        <f>SUM(K556:K557)</f>
        <v>94.38</v>
      </c>
    </row>
    <row r="559" spans="1:11">
      <c r="A559" s="354" t="s">
        <v>49</v>
      </c>
      <c r="B559" s="355" t="s">
        <v>11308</v>
      </c>
      <c r="C559" s="355" t="s">
        <v>17663</v>
      </c>
      <c r="D559" s="355" t="s">
        <v>0</v>
      </c>
      <c r="E559" s="355" t="s">
        <v>14</v>
      </c>
      <c r="F559" s="355" t="s">
        <v>50</v>
      </c>
      <c r="G559" s="355" t="s">
        <v>29</v>
      </c>
      <c r="H559" s="355" t="s">
        <v>30</v>
      </c>
      <c r="I559" s="355"/>
      <c r="J559" s="355"/>
      <c r="K559" s="355" t="s">
        <v>33</v>
      </c>
    </row>
    <row r="560" spans="1:11">
      <c r="A560" s="222"/>
      <c r="B560" s="225"/>
      <c r="C560" s="225"/>
      <c r="D560" s="225"/>
      <c r="E560" s="225"/>
      <c r="F560" s="225"/>
      <c r="G560" s="225"/>
      <c r="H560" s="225"/>
      <c r="I560" s="225"/>
      <c r="J560" s="225"/>
      <c r="K560" s="357"/>
    </row>
    <row r="561" spans="1:11">
      <c r="A561" s="222"/>
      <c r="B561" s="225"/>
      <c r="C561" s="225"/>
      <c r="D561" s="225"/>
      <c r="E561" s="225"/>
      <c r="F561" s="225"/>
      <c r="G561" s="225"/>
      <c r="H561" s="225"/>
      <c r="I561" s="225"/>
      <c r="J561" s="225"/>
      <c r="K561" s="357"/>
    </row>
    <row r="562" spans="1:11">
      <c r="A562" s="358"/>
      <c r="B562" s="359"/>
      <c r="C562" s="359"/>
      <c r="D562" s="359"/>
      <c r="E562" s="359"/>
      <c r="F562" s="359"/>
      <c r="G562" s="359"/>
      <c r="H562" s="359"/>
      <c r="I562" s="359"/>
      <c r="J562" s="360" t="s">
        <v>51</v>
      </c>
      <c r="K562" s="361">
        <f>SUM(K560:K561)</f>
        <v>0</v>
      </c>
    </row>
    <row r="563" spans="1:11">
      <c r="A563" s="568" t="s">
        <v>52</v>
      </c>
      <c r="B563" s="568"/>
      <c r="C563" s="568"/>
      <c r="D563" s="568"/>
      <c r="E563" s="568"/>
      <c r="F563" s="568"/>
      <c r="G563" s="568"/>
      <c r="H563" s="568"/>
      <c r="I563" s="568"/>
      <c r="J563" s="568"/>
      <c r="K563" s="361">
        <f>K554+K558+K562</f>
        <v>94.38</v>
      </c>
    </row>
    <row r="564" spans="1:11">
      <c r="A564" s="568" t="s">
        <v>53</v>
      </c>
      <c r="B564" s="568"/>
      <c r="C564" s="568"/>
      <c r="D564" s="568"/>
      <c r="E564" s="568"/>
      <c r="F564" s="568"/>
      <c r="G564" s="568"/>
      <c r="H564" s="568"/>
      <c r="I564" s="568"/>
      <c r="J564" s="568"/>
      <c r="K564" s="361">
        <v>2.4900000000000002</v>
      </c>
    </row>
    <row r="565" spans="1:11">
      <c r="A565" s="566" t="s">
        <v>54</v>
      </c>
      <c r="B565" s="566"/>
      <c r="C565" s="566"/>
      <c r="D565" s="566"/>
      <c r="E565" s="566"/>
      <c r="F565" s="566"/>
      <c r="G565" s="566"/>
      <c r="H565" s="566"/>
      <c r="I565" s="566"/>
      <c r="J565" s="566"/>
      <c r="K565" s="362">
        <f>IF(K563=0,0,K563/K564)</f>
        <v>37.903614457831317</v>
      </c>
    </row>
    <row r="566" spans="1:11">
      <c r="A566" s="354" t="s">
        <v>55</v>
      </c>
      <c r="B566" s="355" t="s">
        <v>11308</v>
      </c>
      <c r="C566" s="355" t="s">
        <v>17663</v>
      </c>
      <c r="D566" s="355" t="s">
        <v>0</v>
      </c>
      <c r="E566" s="355" t="s">
        <v>2</v>
      </c>
      <c r="F566" s="567" t="s">
        <v>9</v>
      </c>
      <c r="G566" s="567"/>
      <c r="H566" s="567" t="s">
        <v>25</v>
      </c>
      <c r="I566" s="567"/>
      <c r="J566" s="355"/>
      <c r="K566" s="355" t="s">
        <v>56</v>
      </c>
    </row>
    <row r="567" spans="1:11" ht="31.5">
      <c r="A567" s="222" t="str">
        <f>VLOOKUP(D567,'19. CUSTOS DNIT - MATERIAIS'!A:B,2,0)</f>
        <v>CORPO DE BSCC PRÉ-MOLDADO COMERCIAL - SEÇÃO DE 2,5 M X 2,5 M - TIPO I</v>
      </c>
      <c r="B567" s="225" t="s">
        <v>22708</v>
      </c>
      <c r="C567" s="225" t="s">
        <v>68</v>
      </c>
      <c r="D567" s="225" t="s">
        <v>86</v>
      </c>
      <c r="E567" s="372" t="str">
        <f>VLOOKUP(D567,'19. CUSTOS DNIT - MATERIAIS'!A:C,3,0)</f>
        <v>M</v>
      </c>
      <c r="F567" s="225"/>
      <c r="G567" s="224">
        <f>VLOOKUP(D567,'19. CUSTOS DNIT - MATERIAIS'!A:D,4,0)</f>
        <v>3500.2654000000002</v>
      </c>
      <c r="H567" s="241"/>
      <c r="I567" s="241">
        <v>1</v>
      </c>
      <c r="J567" s="225"/>
      <c r="K567" s="242">
        <f>G567*I567</f>
        <v>3500.2654000000002</v>
      </c>
    </row>
    <row r="568" spans="1:11">
      <c r="A568" s="222"/>
      <c r="B568" s="225"/>
      <c r="C568" s="225"/>
      <c r="D568" s="225"/>
      <c r="E568" s="225"/>
      <c r="F568" s="225"/>
      <c r="G568" s="224"/>
      <c r="H568" s="375"/>
      <c r="I568" s="375"/>
      <c r="J568" s="225"/>
      <c r="K568" s="357"/>
    </row>
    <row r="569" spans="1:11">
      <c r="A569" s="364"/>
      <c r="B569" s="365"/>
      <c r="C569" s="365"/>
      <c r="D569" s="365"/>
      <c r="E569" s="365"/>
      <c r="F569" s="365"/>
      <c r="G569" s="365"/>
      <c r="H569" s="365"/>
      <c r="I569" s="365"/>
      <c r="J569" s="366" t="s">
        <v>57</v>
      </c>
      <c r="K569" s="362">
        <f>SUM(K567:K568)</f>
        <v>3500.2654000000002</v>
      </c>
    </row>
    <row r="570" spans="1:11">
      <c r="A570" s="354" t="s">
        <v>58</v>
      </c>
      <c r="B570" s="355" t="s">
        <v>11308</v>
      </c>
      <c r="C570" s="355" t="s">
        <v>17663</v>
      </c>
      <c r="D570" s="355" t="s">
        <v>0</v>
      </c>
      <c r="E570" s="355" t="s">
        <v>2</v>
      </c>
      <c r="F570" s="567" t="s">
        <v>9</v>
      </c>
      <c r="G570" s="567"/>
      <c r="H570" s="567" t="s">
        <v>25</v>
      </c>
      <c r="I570" s="567"/>
      <c r="J570" s="355"/>
      <c r="K570" s="355" t="s">
        <v>56</v>
      </c>
    </row>
    <row r="571" spans="1:11">
      <c r="A571" s="222"/>
      <c r="B571" s="225"/>
      <c r="C571" s="225"/>
      <c r="D571" s="225"/>
      <c r="E571" s="225"/>
      <c r="F571" s="225"/>
      <c r="G571" s="225"/>
      <c r="H571" s="241"/>
      <c r="I571" s="225"/>
      <c r="J571" s="241"/>
      <c r="K571" s="242"/>
    </row>
    <row r="572" spans="1:11">
      <c r="A572" s="222"/>
      <c r="B572" s="225"/>
      <c r="C572" s="225"/>
      <c r="D572" s="225"/>
      <c r="E572" s="225"/>
      <c r="F572" s="225"/>
      <c r="G572" s="225"/>
      <c r="H572" s="241"/>
      <c r="I572" s="225"/>
      <c r="J572" s="241"/>
      <c r="K572" s="242"/>
    </row>
    <row r="573" spans="1:11">
      <c r="A573" s="364"/>
      <c r="B573" s="365"/>
      <c r="C573" s="365"/>
      <c r="D573" s="365"/>
      <c r="E573" s="365"/>
      <c r="F573" s="365"/>
      <c r="G573" s="365"/>
      <c r="H573" s="365"/>
      <c r="I573" s="365"/>
      <c r="J573" s="366" t="s">
        <v>59</v>
      </c>
      <c r="K573" s="362">
        <f>SUM(K571:K572)</f>
        <v>0</v>
      </c>
    </row>
    <row r="574" spans="1:11">
      <c r="E574" s="367"/>
      <c r="F574" s="367"/>
      <c r="G574" s="367"/>
      <c r="H574" s="367"/>
      <c r="I574" s="367"/>
      <c r="J574" s="368"/>
      <c r="K574" s="369"/>
    </row>
    <row r="575" spans="1:11">
      <c r="E575" s="367"/>
      <c r="F575" s="367"/>
      <c r="G575" s="367"/>
      <c r="H575" s="367"/>
      <c r="I575" s="367"/>
      <c r="J575" s="368"/>
      <c r="K575" s="369"/>
    </row>
    <row r="576" spans="1:11">
      <c r="A576" s="337" t="s">
        <v>22659</v>
      </c>
      <c r="B576" s="337" t="s">
        <v>371</v>
      </c>
      <c r="C576" s="370" t="s">
        <v>326</v>
      </c>
      <c r="D576" s="563" t="s">
        <v>22694</v>
      </c>
      <c r="E576" s="563"/>
      <c r="F576" s="563"/>
      <c r="G576" s="563"/>
      <c r="H576" s="563"/>
      <c r="I576" s="563"/>
      <c r="J576" s="253" t="s">
        <v>17667</v>
      </c>
      <c r="K576" s="373">
        <f>K592+K596+K600</f>
        <v>507.28136000000006</v>
      </c>
    </row>
    <row r="577" spans="1:11">
      <c r="A577" s="354" t="s">
        <v>27</v>
      </c>
      <c r="B577" s="355" t="s">
        <v>11308</v>
      </c>
      <c r="C577" s="355" t="s">
        <v>17663</v>
      </c>
      <c r="D577" s="355" t="s">
        <v>0</v>
      </c>
      <c r="E577" s="355" t="s">
        <v>1</v>
      </c>
      <c r="F577" s="355" t="s">
        <v>39</v>
      </c>
      <c r="G577" s="355" t="s">
        <v>40</v>
      </c>
      <c r="H577" s="355" t="s">
        <v>41</v>
      </c>
      <c r="I577" s="355" t="s">
        <v>42</v>
      </c>
      <c r="J577" s="355"/>
      <c r="K577" s="355" t="s">
        <v>43</v>
      </c>
    </row>
    <row r="578" spans="1:11">
      <c r="A578" s="222" t="str">
        <f>VLOOKUP(D578,'17. CUSTOS DER - EQUIPAMENTOS'!A:B,2,0)</f>
        <v>VIBRADOR IMERSÃO GASOLINA 45MM</v>
      </c>
      <c r="B578" s="225" t="s">
        <v>9013</v>
      </c>
      <c r="C578" s="225" t="s">
        <v>22635</v>
      </c>
      <c r="D578" s="225">
        <v>370450</v>
      </c>
      <c r="E578" s="241">
        <v>1</v>
      </c>
      <c r="F578" s="241">
        <v>6.8000000000000005E-2</v>
      </c>
      <c r="G578" s="356">
        <v>0.13100000000000001</v>
      </c>
      <c r="H578" s="242">
        <f>VLOOKUP(D578,'17. CUSTOS DER - EQUIPAMENTOS'!A:O,15,0)</f>
        <v>5.59</v>
      </c>
      <c r="I578" s="242">
        <f>VLOOKUP(D578,'17. CUSTOS DER - EQUIPAMENTOS'!A:P,16,0)</f>
        <v>0.4</v>
      </c>
      <c r="J578" s="225"/>
      <c r="K578" s="242">
        <f>((F578*H578)+(G578*I578))*E578</f>
        <v>0.43252000000000002</v>
      </c>
    </row>
    <row r="579" spans="1:11">
      <c r="A579" s="222"/>
      <c r="B579" s="225"/>
      <c r="C579" s="225"/>
      <c r="D579" s="225"/>
      <c r="E579" s="241"/>
      <c r="F579" s="241"/>
      <c r="G579" s="356"/>
      <c r="H579" s="242"/>
      <c r="I579" s="242"/>
      <c r="J579" s="225"/>
      <c r="K579" s="242"/>
    </row>
    <row r="580" spans="1:11">
      <c r="A580" s="358"/>
      <c r="B580" s="359"/>
      <c r="C580" s="359"/>
      <c r="D580" s="359"/>
      <c r="E580" s="359"/>
      <c r="F580" s="359"/>
      <c r="G580" s="359"/>
      <c r="H580" s="359"/>
      <c r="I580" s="359"/>
      <c r="J580" s="360" t="s">
        <v>44</v>
      </c>
      <c r="K580" s="361">
        <f>SUM(K578:K579)</f>
        <v>0.43252000000000002</v>
      </c>
    </row>
    <row r="581" spans="1:11">
      <c r="A581" s="354" t="s">
        <v>45</v>
      </c>
      <c r="B581" s="355" t="s">
        <v>11308</v>
      </c>
      <c r="C581" s="355" t="s">
        <v>17663</v>
      </c>
      <c r="D581" s="355" t="s">
        <v>0</v>
      </c>
      <c r="E581" s="355" t="s">
        <v>36</v>
      </c>
      <c r="F581" s="355" t="s">
        <v>46</v>
      </c>
      <c r="G581" s="355" t="s">
        <v>47</v>
      </c>
      <c r="H581" s="355" t="s">
        <v>25</v>
      </c>
      <c r="I581" s="355"/>
      <c r="J581" s="355"/>
      <c r="K581" s="355" t="s">
        <v>43</v>
      </c>
    </row>
    <row r="582" spans="1:11">
      <c r="A582" s="222" t="str">
        <f>VLOOKUP(D582,'15. CUSTOS DER - MÃO DE OBRA'!A:B,2,0)</f>
        <v>CARPINTEIRO</v>
      </c>
      <c r="B582" s="225" t="s">
        <v>9013</v>
      </c>
      <c r="C582" s="225" t="s">
        <v>17664</v>
      </c>
      <c r="D582" s="225">
        <v>200240</v>
      </c>
      <c r="E582" s="242">
        <f>VLOOKUP(D582,'15. CUSTOS DER - MÃO DE OBRA'!A:C,3,0)</f>
        <v>2.4</v>
      </c>
      <c r="F582" s="225"/>
      <c r="G582" s="225">
        <f>VLOOKUP(D582,'15. CUSTOS DER - MÃO DE OBRA'!A:D,4,0)</f>
        <v>34.32</v>
      </c>
      <c r="H582" s="241">
        <v>0.19900000000000001</v>
      </c>
      <c r="I582" s="225"/>
      <c r="J582" s="225"/>
      <c r="K582" s="242">
        <f>G582*H582</f>
        <v>6.8296800000000006</v>
      </c>
    </row>
    <row r="583" spans="1:11">
      <c r="A583" s="222" t="str">
        <f>VLOOKUP(D583,'15. CUSTOS DER - MÃO DE OBRA'!A:B,2,0)</f>
        <v>PEDREIRO</v>
      </c>
      <c r="B583" s="225" t="s">
        <v>9013</v>
      </c>
      <c r="C583" s="225" t="s">
        <v>17664</v>
      </c>
      <c r="D583" s="225">
        <v>200260</v>
      </c>
      <c r="E583" s="242">
        <f>VLOOKUP(D583,'15. CUSTOS DER - MÃO DE OBRA'!A:C,3,0)</f>
        <v>2.85</v>
      </c>
      <c r="F583" s="225"/>
      <c r="G583" s="225">
        <f>VLOOKUP(D583,'15. CUSTOS DER - MÃO DE OBRA'!A:D,4,0)</f>
        <v>40.76</v>
      </c>
      <c r="H583" s="241">
        <v>0.19900000000000001</v>
      </c>
      <c r="I583" s="225"/>
      <c r="J583" s="225"/>
      <c r="K583" s="242">
        <f>G583*H583</f>
        <v>8.1112400000000004</v>
      </c>
    </row>
    <row r="584" spans="1:11">
      <c r="A584" s="222" t="str">
        <f>VLOOKUP(D584,'15. CUSTOS DER - MÃO DE OBRA'!A:B,2,0)</f>
        <v>SERVENTE</v>
      </c>
      <c r="B584" s="225" t="s">
        <v>9013</v>
      </c>
      <c r="C584" s="225" t="s">
        <v>17664</v>
      </c>
      <c r="D584" s="225">
        <v>200130</v>
      </c>
      <c r="E584" s="242">
        <f>VLOOKUP(D584,'15. CUSTOS DER - MÃO DE OBRA'!A:C,3,0)</f>
        <v>2.2000000000000002</v>
      </c>
      <c r="F584" s="225"/>
      <c r="G584" s="225">
        <f>VLOOKUP(D584,'15. CUSTOS DER - MÃO DE OBRA'!A:D,4,0)</f>
        <v>31.46</v>
      </c>
      <c r="H584" s="241">
        <v>1.1919999999999999</v>
      </c>
      <c r="I584" s="225"/>
      <c r="J584" s="225"/>
      <c r="K584" s="242">
        <f>G584*H584</f>
        <v>37.500320000000002</v>
      </c>
    </row>
    <row r="585" spans="1:11">
      <c r="A585" s="358"/>
      <c r="B585" s="359"/>
      <c r="C585" s="359"/>
      <c r="D585" s="359"/>
      <c r="E585" s="359"/>
      <c r="F585" s="359"/>
      <c r="G585" s="359"/>
      <c r="H585" s="359"/>
      <c r="I585" s="359"/>
      <c r="J585" s="360" t="s">
        <v>48</v>
      </c>
      <c r="K585" s="361">
        <f>SUM(K582:K584)</f>
        <v>52.441240000000008</v>
      </c>
    </row>
    <row r="586" spans="1:11">
      <c r="A586" s="354" t="s">
        <v>49</v>
      </c>
      <c r="B586" s="355" t="s">
        <v>11308</v>
      </c>
      <c r="C586" s="355" t="s">
        <v>17663</v>
      </c>
      <c r="D586" s="355" t="s">
        <v>0</v>
      </c>
      <c r="E586" s="355" t="s">
        <v>14</v>
      </c>
      <c r="F586" s="355" t="s">
        <v>50</v>
      </c>
      <c r="G586" s="355" t="s">
        <v>29</v>
      </c>
      <c r="H586" s="355" t="s">
        <v>30</v>
      </c>
      <c r="I586" s="355"/>
      <c r="J586" s="355"/>
      <c r="K586" s="355" t="s">
        <v>33</v>
      </c>
    </row>
    <row r="587" spans="1:11">
      <c r="A587" s="222"/>
      <c r="B587" s="225"/>
      <c r="C587" s="225"/>
      <c r="D587" s="225"/>
      <c r="E587" s="225"/>
      <c r="F587" s="225"/>
      <c r="G587" s="225"/>
      <c r="H587" s="225"/>
      <c r="I587" s="225"/>
      <c r="J587" s="225"/>
      <c r="K587" s="357"/>
    </row>
    <row r="588" spans="1:11">
      <c r="A588" s="222"/>
      <c r="B588" s="225"/>
      <c r="C588" s="225"/>
      <c r="D588" s="225"/>
      <c r="E588" s="225"/>
      <c r="F588" s="225"/>
      <c r="G588" s="225"/>
      <c r="H588" s="225"/>
      <c r="I588" s="225"/>
      <c r="J588" s="225"/>
      <c r="K588" s="357"/>
    </row>
    <row r="589" spans="1:11">
      <c r="A589" s="358"/>
      <c r="B589" s="359"/>
      <c r="C589" s="359"/>
      <c r="D589" s="359"/>
      <c r="E589" s="359"/>
      <c r="F589" s="359"/>
      <c r="G589" s="359"/>
      <c r="H589" s="359"/>
      <c r="I589" s="359"/>
      <c r="J589" s="360" t="s">
        <v>51</v>
      </c>
      <c r="K589" s="361">
        <f>SUM(K587:K588)</f>
        <v>0</v>
      </c>
    </row>
    <row r="590" spans="1:11">
      <c r="A590" s="568" t="s">
        <v>52</v>
      </c>
      <c r="B590" s="568"/>
      <c r="C590" s="568"/>
      <c r="D590" s="568"/>
      <c r="E590" s="568"/>
      <c r="F590" s="568"/>
      <c r="G590" s="568"/>
      <c r="H590" s="568"/>
      <c r="I590" s="568"/>
      <c r="J590" s="568"/>
      <c r="K590" s="361">
        <f>K580+K585+K589</f>
        <v>52.873760000000004</v>
      </c>
    </row>
    <row r="591" spans="1:11">
      <c r="A591" s="568" t="s">
        <v>53</v>
      </c>
      <c r="B591" s="568"/>
      <c r="C591" s="568"/>
      <c r="D591" s="568"/>
      <c r="E591" s="568"/>
      <c r="F591" s="568"/>
      <c r="G591" s="568"/>
      <c r="H591" s="568"/>
      <c r="I591" s="568"/>
      <c r="J591" s="568"/>
      <c r="K591" s="361">
        <v>1</v>
      </c>
    </row>
    <row r="592" spans="1:11">
      <c r="A592" s="566" t="s">
        <v>54</v>
      </c>
      <c r="B592" s="566"/>
      <c r="C592" s="566"/>
      <c r="D592" s="566"/>
      <c r="E592" s="566"/>
      <c r="F592" s="566"/>
      <c r="G592" s="566"/>
      <c r="H592" s="566"/>
      <c r="I592" s="566"/>
      <c r="J592" s="566"/>
      <c r="K592" s="362">
        <f>IF(K590=0,0,K590/K591)</f>
        <v>52.873760000000004</v>
      </c>
    </row>
    <row r="593" spans="1:11">
      <c r="A593" s="354" t="s">
        <v>55</v>
      </c>
      <c r="B593" s="355" t="s">
        <v>11308</v>
      </c>
      <c r="C593" s="355" t="s">
        <v>17663</v>
      </c>
      <c r="D593" s="355" t="s">
        <v>0</v>
      </c>
      <c r="E593" s="355" t="s">
        <v>2</v>
      </c>
      <c r="F593" s="567" t="s">
        <v>9</v>
      </c>
      <c r="G593" s="567"/>
      <c r="H593" s="567" t="s">
        <v>25</v>
      </c>
      <c r="I593" s="567"/>
      <c r="J593" s="355"/>
      <c r="K593" s="355" t="s">
        <v>56</v>
      </c>
    </row>
    <row r="594" spans="1:11" ht="47.25">
      <c r="A594" s="222" t="str">
        <f>VLOOKUP(D594,'22. CUSTOS SINAPI - MATERIAIS'!A:B,2,0)</f>
        <v>CONCRETO USINADO BOMBEAVEL, CLASSE DE RESISTENCIA C20, COM BRITA 0 E 1, SLUMP = 130 +/- 20 MM, EXCLUI SERVICO DE BOMBEAMENTO (NBR 8953)</v>
      </c>
      <c r="B594" s="225" t="s">
        <v>9008</v>
      </c>
      <c r="C594" s="225" t="s">
        <v>68</v>
      </c>
      <c r="D594" s="225">
        <v>38404</v>
      </c>
      <c r="E594" s="372" t="str">
        <f>VLOOKUP(D594,'22. CUSTOS SINAPI - MATERIAIS'!A:C,3,0)</f>
        <v xml:space="preserve">M3    </v>
      </c>
      <c r="F594" s="225"/>
      <c r="G594" s="224">
        <f>VLOOKUP(D594,'22. CUSTOS SINAPI - MATERIAIS'!A:D,4,0)</f>
        <v>424.68</v>
      </c>
      <c r="H594" s="241"/>
      <c r="I594" s="241">
        <v>1.07</v>
      </c>
      <c r="J594" s="225"/>
      <c r="K594" s="242">
        <f>G594*I594</f>
        <v>454.40760000000006</v>
      </c>
    </row>
    <row r="595" spans="1:11">
      <c r="A595" s="222"/>
      <c r="B595" s="225"/>
      <c r="C595" s="225"/>
      <c r="D595" s="225"/>
      <c r="E595" s="225"/>
      <c r="F595" s="225"/>
      <c r="G595" s="224"/>
      <c r="H595" s="241"/>
      <c r="I595" s="241"/>
      <c r="J595" s="225"/>
      <c r="K595" s="357"/>
    </row>
    <row r="596" spans="1:11">
      <c r="A596" s="364"/>
      <c r="B596" s="365"/>
      <c r="C596" s="365"/>
      <c r="D596" s="365"/>
      <c r="E596" s="365"/>
      <c r="F596" s="365"/>
      <c r="G596" s="365"/>
      <c r="H596" s="365"/>
      <c r="I596" s="365"/>
      <c r="J596" s="366" t="s">
        <v>57</v>
      </c>
      <c r="K596" s="362">
        <f>SUM(K594:K595)</f>
        <v>454.40760000000006</v>
      </c>
    </row>
    <row r="597" spans="1:11">
      <c r="A597" s="354" t="s">
        <v>58</v>
      </c>
      <c r="B597" s="355" t="s">
        <v>11308</v>
      </c>
      <c r="C597" s="355" t="s">
        <v>17663</v>
      </c>
      <c r="D597" s="355" t="s">
        <v>0</v>
      </c>
      <c r="E597" s="355" t="s">
        <v>2</v>
      </c>
      <c r="F597" s="567" t="s">
        <v>9</v>
      </c>
      <c r="G597" s="567"/>
      <c r="H597" s="567" t="s">
        <v>25</v>
      </c>
      <c r="I597" s="567"/>
      <c r="J597" s="355"/>
      <c r="K597" s="355" t="s">
        <v>56</v>
      </c>
    </row>
    <row r="598" spans="1:11">
      <c r="A598" s="222"/>
      <c r="B598" s="225"/>
      <c r="C598" s="225"/>
      <c r="D598" s="225"/>
      <c r="E598" s="225"/>
      <c r="F598" s="225"/>
      <c r="G598" s="224"/>
      <c r="H598" s="375"/>
      <c r="I598" s="375"/>
      <c r="J598" s="225"/>
      <c r="K598" s="357"/>
    </row>
    <row r="599" spans="1:11">
      <c r="A599" s="222"/>
      <c r="B599" s="225"/>
      <c r="C599" s="225"/>
      <c r="D599" s="225"/>
      <c r="E599" s="225"/>
      <c r="F599" s="225"/>
      <c r="G599" s="224"/>
      <c r="H599" s="375"/>
      <c r="I599" s="375"/>
      <c r="J599" s="225"/>
      <c r="K599" s="357"/>
    </row>
    <row r="600" spans="1:11">
      <c r="A600" s="364"/>
      <c r="B600" s="365"/>
      <c r="C600" s="365"/>
      <c r="D600" s="365"/>
      <c r="E600" s="365"/>
      <c r="F600" s="365"/>
      <c r="G600" s="365"/>
      <c r="H600" s="365"/>
      <c r="I600" s="365"/>
      <c r="J600" s="366" t="s">
        <v>59</v>
      </c>
      <c r="K600" s="362">
        <f>SUM(K598:K599)</f>
        <v>0</v>
      </c>
    </row>
    <row r="601" spans="1:11">
      <c r="E601" s="367"/>
      <c r="F601" s="367"/>
      <c r="G601" s="367"/>
      <c r="H601" s="367"/>
      <c r="I601" s="367"/>
      <c r="J601" s="368"/>
      <c r="K601" s="369"/>
    </row>
    <row r="602" spans="1:11">
      <c r="E602" s="367"/>
      <c r="F602" s="367"/>
      <c r="G602" s="367"/>
      <c r="H602" s="367"/>
      <c r="I602" s="367"/>
      <c r="J602" s="368"/>
      <c r="K602" s="369"/>
    </row>
    <row r="603" spans="1:11">
      <c r="A603" s="337" t="s">
        <v>22660</v>
      </c>
      <c r="B603" s="337" t="s">
        <v>371</v>
      </c>
      <c r="C603" s="370" t="s">
        <v>326</v>
      </c>
      <c r="D603" s="563" t="s">
        <v>266</v>
      </c>
      <c r="E603" s="563"/>
      <c r="F603" s="563"/>
      <c r="G603" s="563"/>
      <c r="H603" s="563"/>
      <c r="I603" s="563"/>
      <c r="J603" s="253" t="s">
        <v>17667</v>
      </c>
      <c r="K603" s="373">
        <f>K620+K624+K628</f>
        <v>21.516184665779505</v>
      </c>
    </row>
    <row r="604" spans="1:11">
      <c r="A604" s="354" t="s">
        <v>27</v>
      </c>
      <c r="B604" s="355" t="s">
        <v>11308</v>
      </c>
      <c r="C604" s="355" t="s">
        <v>17663</v>
      </c>
      <c r="D604" s="355" t="s">
        <v>0</v>
      </c>
      <c r="E604" s="355" t="s">
        <v>1</v>
      </c>
      <c r="F604" s="355" t="s">
        <v>39</v>
      </c>
      <c r="G604" s="355" t="s">
        <v>40</v>
      </c>
      <c r="H604" s="355" t="s">
        <v>41</v>
      </c>
      <c r="I604" s="355" t="s">
        <v>42</v>
      </c>
      <c r="J604" s="355"/>
      <c r="K604" s="355" t="s">
        <v>43</v>
      </c>
    </row>
    <row r="605" spans="1:11">
      <c r="A605" s="222" t="str">
        <f>VLOOKUP(D605,'17. CUSTOS DER - EQUIPAMENTOS'!A:B,2,0)</f>
        <v>CAMINHÃO IRRIGADOR 6000 L</v>
      </c>
      <c r="B605" s="225" t="s">
        <v>9013</v>
      </c>
      <c r="C605" s="225" t="s">
        <v>22635</v>
      </c>
      <c r="D605" s="225">
        <v>346060</v>
      </c>
      <c r="E605" s="241">
        <v>1</v>
      </c>
      <c r="F605" s="241">
        <v>0.38</v>
      </c>
      <c r="G605" s="356">
        <v>0.62</v>
      </c>
      <c r="H605" s="242">
        <f>VLOOKUP(D605,'17. CUSTOS DER - EQUIPAMENTOS'!A:O,15,0)</f>
        <v>257.89999999999998</v>
      </c>
      <c r="I605" s="242">
        <f>VLOOKUP(D605,'17. CUSTOS DER - EQUIPAMENTOS'!A:P,16,0)</f>
        <v>82.24</v>
      </c>
      <c r="J605" s="225"/>
      <c r="K605" s="242">
        <f>((F605*H605)+(G605*I605))*E605</f>
        <v>148.99079999999998</v>
      </c>
    </row>
    <row r="606" spans="1:11">
      <c r="A606" s="222" t="str">
        <f>VLOOKUP(D606,'17. CUSTOS DER - EQUIPAMENTOS'!A:B,2,0)</f>
        <v>MOTONIVELADORA 120-K MÉDIA</v>
      </c>
      <c r="B606" s="225" t="s">
        <v>9013</v>
      </c>
      <c r="C606" s="225" t="s">
        <v>22635</v>
      </c>
      <c r="D606" s="225">
        <v>321200</v>
      </c>
      <c r="E606" s="241">
        <v>1</v>
      </c>
      <c r="F606" s="241">
        <v>0.4</v>
      </c>
      <c r="G606" s="356">
        <v>0.6</v>
      </c>
      <c r="H606" s="242">
        <f>VLOOKUP(D606,'17. CUSTOS DER - EQUIPAMENTOS'!A:O,15,0)</f>
        <v>365.22</v>
      </c>
      <c r="I606" s="242">
        <f>VLOOKUP(D606,'17. CUSTOS DER - EQUIPAMENTOS'!A:P,16,0)</f>
        <v>130.97999999999999</v>
      </c>
      <c r="J606" s="225"/>
      <c r="K606" s="242">
        <f>((F606*H606)+(G606*I606))*E606</f>
        <v>224.67600000000002</v>
      </c>
    </row>
    <row r="607" spans="1:11">
      <c r="A607" s="222" t="str">
        <f>VLOOKUP(D607,'17. CUSTOS DER - EQUIPAMENTOS'!A:B,2,0)</f>
        <v>ROLO VIBRATÓRIO LISO AUTOPROP. CA 150A</v>
      </c>
      <c r="B607" s="225" t="s">
        <v>9013</v>
      </c>
      <c r="C607" s="225" t="s">
        <v>22635</v>
      </c>
      <c r="D607" s="225">
        <v>341150</v>
      </c>
      <c r="E607" s="241">
        <v>1</v>
      </c>
      <c r="F607" s="241">
        <v>1</v>
      </c>
      <c r="G607" s="356">
        <v>0</v>
      </c>
      <c r="H607" s="242">
        <f>VLOOKUP(D607,'17. CUSTOS DER - EQUIPAMENTOS'!A:O,15,0)</f>
        <v>209.49</v>
      </c>
      <c r="I607" s="242">
        <f>VLOOKUP(D607,'17. CUSTOS DER - EQUIPAMENTOS'!A:P,16,0)</f>
        <v>92.29</v>
      </c>
      <c r="J607" s="225"/>
      <c r="K607" s="242">
        <f>((F607*H607)+(G607*I607))*E607</f>
        <v>209.49</v>
      </c>
    </row>
    <row r="608" spans="1:11">
      <c r="A608" s="358"/>
      <c r="B608" s="359"/>
      <c r="C608" s="359"/>
      <c r="D608" s="359"/>
      <c r="E608" s="359"/>
      <c r="F608" s="359"/>
      <c r="G608" s="359"/>
      <c r="H608" s="359"/>
      <c r="I608" s="359"/>
      <c r="J608" s="360" t="s">
        <v>44</v>
      </c>
      <c r="K608" s="361">
        <f>SUM(K605:K607)</f>
        <v>583.15679999999998</v>
      </c>
    </row>
    <row r="609" spans="1:11">
      <c r="A609" s="354" t="s">
        <v>45</v>
      </c>
      <c r="B609" s="355" t="s">
        <v>11308</v>
      </c>
      <c r="C609" s="355" t="s">
        <v>17663</v>
      </c>
      <c r="D609" s="355" t="s">
        <v>0</v>
      </c>
      <c r="E609" s="355" t="s">
        <v>36</v>
      </c>
      <c r="F609" s="355" t="s">
        <v>46</v>
      </c>
      <c r="G609" s="355" t="s">
        <v>47</v>
      </c>
      <c r="H609" s="355" t="s">
        <v>25</v>
      </c>
      <c r="I609" s="355"/>
      <c r="J609" s="355"/>
      <c r="K609" s="355" t="s">
        <v>43</v>
      </c>
    </row>
    <row r="610" spans="1:11">
      <c r="A610" s="222" t="str">
        <f>VLOOKUP(D610,'15. CUSTOS DER - MÃO DE OBRA'!A:B,2,0)</f>
        <v>APONTADOR</v>
      </c>
      <c r="B610" s="225" t="s">
        <v>9013</v>
      </c>
      <c r="C610" s="225" t="s">
        <v>17664</v>
      </c>
      <c r="D610" s="225">
        <v>200020</v>
      </c>
      <c r="E610" s="242">
        <f>VLOOKUP(D610,'15. CUSTOS DER - MÃO DE OBRA'!A:C,3,0)</f>
        <v>2.25</v>
      </c>
      <c r="F610" s="225"/>
      <c r="G610" s="225">
        <f>VLOOKUP(D610,'15. CUSTOS DER - MÃO DE OBRA'!A:D,4,0)</f>
        <v>32.18</v>
      </c>
      <c r="H610" s="241">
        <v>1</v>
      </c>
      <c r="I610" s="225"/>
      <c r="J610" s="225"/>
      <c r="K610" s="242">
        <f>G610*H610</f>
        <v>32.18</v>
      </c>
    </row>
    <row r="611" spans="1:11">
      <c r="A611" s="222" t="str">
        <f>VLOOKUP(D611,'15. CUSTOS DER - MÃO DE OBRA'!A:B,2,0)</f>
        <v>ENCARREGADO DE SERVIÇO</v>
      </c>
      <c r="B611" s="225" t="s">
        <v>9013</v>
      </c>
      <c r="C611" s="225" t="s">
        <v>17664</v>
      </c>
      <c r="D611" s="225">
        <v>210060</v>
      </c>
      <c r="E611" s="242">
        <f>VLOOKUP(D611,'15. CUSTOS DER - MÃO DE OBRA'!A:C,3,0)</f>
        <v>6</v>
      </c>
      <c r="F611" s="225"/>
      <c r="G611" s="225">
        <f>VLOOKUP(D611,'15. CUSTOS DER - MÃO DE OBRA'!A:D,4,0)</f>
        <v>85.81</v>
      </c>
      <c r="H611" s="241">
        <v>0.5</v>
      </c>
      <c r="I611" s="225"/>
      <c r="J611" s="225"/>
      <c r="K611" s="242">
        <f>G611*H611</f>
        <v>42.905000000000001</v>
      </c>
    </row>
    <row r="612" spans="1:11">
      <c r="A612" s="222" t="str">
        <f>VLOOKUP(D612,'15. CUSTOS DER - MÃO DE OBRA'!A:B,2,0)</f>
        <v>SERVENTE</v>
      </c>
      <c r="B612" s="225" t="s">
        <v>9013</v>
      </c>
      <c r="C612" s="225" t="s">
        <v>17664</v>
      </c>
      <c r="D612" s="225">
        <v>200130</v>
      </c>
      <c r="E612" s="242">
        <f>VLOOKUP(D612,'15. CUSTOS DER - MÃO DE OBRA'!A:C,3,0)</f>
        <v>2.2000000000000002</v>
      </c>
      <c r="F612" s="225"/>
      <c r="G612" s="225">
        <f>VLOOKUP(D612,'15. CUSTOS DER - MÃO DE OBRA'!A:D,4,0)</f>
        <v>31.46</v>
      </c>
      <c r="H612" s="241">
        <v>3</v>
      </c>
      <c r="I612" s="225"/>
      <c r="J612" s="225"/>
      <c r="K612" s="242">
        <f>G612*H612</f>
        <v>94.38</v>
      </c>
    </row>
    <row r="613" spans="1:11">
      <c r="A613" s="358"/>
      <c r="B613" s="359"/>
      <c r="C613" s="359"/>
      <c r="D613" s="359"/>
      <c r="E613" s="359"/>
      <c r="F613" s="359"/>
      <c r="G613" s="359"/>
      <c r="H613" s="359"/>
      <c r="I613" s="359"/>
      <c r="J613" s="360" t="s">
        <v>48</v>
      </c>
      <c r="K613" s="361">
        <f>SUM(K610:K612)</f>
        <v>169.465</v>
      </c>
    </row>
    <row r="614" spans="1:11">
      <c r="A614" s="354" t="s">
        <v>49</v>
      </c>
      <c r="B614" s="355" t="s">
        <v>11308</v>
      </c>
      <c r="C614" s="355" t="s">
        <v>17663</v>
      </c>
      <c r="D614" s="355" t="s">
        <v>0</v>
      </c>
      <c r="E614" s="355" t="s">
        <v>14</v>
      </c>
      <c r="F614" s="355" t="s">
        <v>50</v>
      </c>
      <c r="G614" s="355" t="s">
        <v>29</v>
      </c>
      <c r="H614" s="355" t="s">
        <v>30</v>
      </c>
      <c r="I614" s="355"/>
      <c r="J614" s="355"/>
      <c r="K614" s="355" t="s">
        <v>33</v>
      </c>
    </row>
    <row r="615" spans="1:11">
      <c r="A615" s="222" t="s">
        <v>31</v>
      </c>
      <c r="B615" s="225"/>
      <c r="C615" s="225"/>
      <c r="D615" s="225">
        <v>29990</v>
      </c>
      <c r="E615" s="225">
        <v>0</v>
      </c>
      <c r="F615" s="225" t="s">
        <v>32</v>
      </c>
      <c r="G615" s="225"/>
      <c r="H615" s="225"/>
      <c r="I615" s="225"/>
      <c r="J615" s="225"/>
      <c r="K615" s="242">
        <f>K613*(E615/100)</f>
        <v>0</v>
      </c>
    </row>
    <row r="616" spans="1:11">
      <c r="A616" s="222"/>
      <c r="B616" s="225"/>
      <c r="C616" s="225"/>
      <c r="D616" s="225"/>
      <c r="E616" s="225"/>
      <c r="F616" s="225"/>
      <c r="G616" s="225"/>
      <c r="H616" s="225"/>
      <c r="I616" s="225"/>
      <c r="J616" s="225"/>
      <c r="K616" s="242"/>
    </row>
    <row r="617" spans="1:11">
      <c r="A617" s="358"/>
      <c r="B617" s="359"/>
      <c r="C617" s="359"/>
      <c r="D617" s="359"/>
      <c r="E617" s="359"/>
      <c r="F617" s="359"/>
      <c r="G617" s="359"/>
      <c r="H617" s="359"/>
      <c r="I617" s="359"/>
      <c r="J617" s="360" t="s">
        <v>51</v>
      </c>
      <c r="K617" s="361">
        <f>SUM(K615:K616)</f>
        <v>0</v>
      </c>
    </row>
    <row r="618" spans="1:11">
      <c r="A618" s="568" t="s">
        <v>52</v>
      </c>
      <c r="B618" s="568"/>
      <c r="C618" s="568"/>
      <c r="D618" s="568"/>
      <c r="E618" s="568"/>
      <c r="F618" s="568"/>
      <c r="G618" s="568"/>
      <c r="H618" s="568"/>
      <c r="I618" s="568"/>
      <c r="J618" s="568"/>
      <c r="K618" s="361">
        <f>K608+K613+K617</f>
        <v>752.62180000000001</v>
      </c>
    </row>
    <row r="619" spans="1:11">
      <c r="A619" s="568" t="s">
        <v>53</v>
      </c>
      <c r="B619" s="568"/>
      <c r="C619" s="568"/>
      <c r="D619" s="568"/>
      <c r="E619" s="568"/>
      <c r="F619" s="568"/>
      <c r="G619" s="568"/>
      <c r="H619" s="568"/>
      <c r="I619" s="568"/>
      <c r="J619" s="568"/>
      <c r="K619" s="361">
        <v>97.69</v>
      </c>
    </row>
    <row r="620" spans="1:11">
      <c r="A620" s="566" t="s">
        <v>54</v>
      </c>
      <c r="B620" s="566"/>
      <c r="C620" s="566"/>
      <c r="D620" s="566"/>
      <c r="E620" s="566"/>
      <c r="F620" s="566"/>
      <c r="G620" s="566"/>
      <c r="H620" s="566"/>
      <c r="I620" s="566"/>
      <c r="J620" s="566"/>
      <c r="K620" s="362">
        <f>IF(K618=0,0,K618/K619)</f>
        <v>7.7041846657795068</v>
      </c>
    </row>
    <row r="621" spans="1:11">
      <c r="A621" s="354" t="s">
        <v>55</v>
      </c>
      <c r="B621" s="355" t="s">
        <v>11308</v>
      </c>
      <c r="C621" s="355" t="s">
        <v>17663</v>
      </c>
      <c r="D621" s="355" t="s">
        <v>0</v>
      </c>
      <c r="E621" s="355" t="s">
        <v>2</v>
      </c>
      <c r="F621" s="567" t="s">
        <v>9</v>
      </c>
      <c r="G621" s="567"/>
      <c r="H621" s="567" t="s">
        <v>25</v>
      </c>
      <c r="I621" s="567"/>
      <c r="J621" s="355"/>
      <c r="K621" s="355" t="s">
        <v>56</v>
      </c>
    </row>
    <row r="622" spans="1:11">
      <c r="A622" s="222"/>
      <c r="B622" s="225"/>
      <c r="C622" s="225"/>
      <c r="D622" s="225"/>
      <c r="E622" s="225"/>
      <c r="F622" s="225"/>
      <c r="G622" s="224"/>
      <c r="H622" s="241"/>
      <c r="I622" s="241"/>
      <c r="J622" s="225"/>
      <c r="K622" s="242"/>
    </row>
    <row r="623" spans="1:11">
      <c r="A623" s="222"/>
      <c r="B623" s="225"/>
      <c r="C623" s="225"/>
      <c r="D623" s="225"/>
      <c r="E623" s="225"/>
      <c r="F623" s="225"/>
      <c r="G623" s="224"/>
      <c r="H623" s="241"/>
      <c r="I623" s="241"/>
      <c r="J623" s="225"/>
      <c r="K623" s="242"/>
    </row>
    <row r="624" spans="1:11">
      <c r="A624" s="364"/>
      <c r="B624" s="365"/>
      <c r="C624" s="365"/>
      <c r="D624" s="365"/>
      <c r="E624" s="365"/>
      <c r="F624" s="365"/>
      <c r="G624" s="365"/>
      <c r="H624" s="365"/>
      <c r="I624" s="365"/>
      <c r="J624" s="366" t="s">
        <v>57</v>
      </c>
      <c r="K624" s="362">
        <f>SUM(K622:K623)</f>
        <v>0</v>
      </c>
    </row>
    <row r="625" spans="1:11">
      <c r="A625" s="354" t="s">
        <v>58</v>
      </c>
      <c r="B625" s="355" t="s">
        <v>11308</v>
      </c>
      <c r="C625" s="355" t="s">
        <v>17663</v>
      </c>
      <c r="D625" s="355" t="s">
        <v>0</v>
      </c>
      <c r="E625" s="355" t="s">
        <v>2</v>
      </c>
      <c r="F625" s="567" t="s">
        <v>9</v>
      </c>
      <c r="G625" s="567"/>
      <c r="H625" s="567" t="s">
        <v>25</v>
      </c>
      <c r="I625" s="567"/>
      <c r="J625" s="355"/>
      <c r="K625" s="355" t="s">
        <v>56</v>
      </c>
    </row>
    <row r="626" spans="1:11">
      <c r="A626" s="222" t="s">
        <v>147</v>
      </c>
      <c r="B626" s="225" t="s">
        <v>9013</v>
      </c>
      <c r="C626" s="225" t="s">
        <v>17662</v>
      </c>
      <c r="D626" s="225">
        <v>420200</v>
      </c>
      <c r="E626" s="225" t="s">
        <v>145</v>
      </c>
      <c r="F626" s="225"/>
      <c r="G626" s="225">
        <f>VLOOKUP(D626,'13. CUSTOS DER - SERVIÇOS'!A:G,7,0)</f>
        <v>11.51</v>
      </c>
      <c r="H626" s="241"/>
      <c r="I626" s="241">
        <v>1.2</v>
      </c>
      <c r="J626" s="225"/>
      <c r="K626" s="242">
        <f>G626*I626</f>
        <v>13.811999999999999</v>
      </c>
    </row>
    <row r="627" spans="1:11">
      <c r="A627" s="222"/>
      <c r="B627" s="225"/>
      <c r="C627" s="225"/>
      <c r="D627" s="225"/>
      <c r="E627" s="225"/>
      <c r="F627" s="225"/>
      <c r="G627" s="224"/>
      <c r="H627" s="241"/>
      <c r="I627" s="241"/>
      <c r="J627" s="225"/>
      <c r="K627" s="242"/>
    </row>
    <row r="628" spans="1:11">
      <c r="A628" s="364"/>
      <c r="B628" s="365"/>
      <c r="C628" s="365"/>
      <c r="D628" s="365"/>
      <c r="E628" s="365"/>
      <c r="F628" s="365"/>
      <c r="G628" s="365"/>
      <c r="H628" s="365"/>
      <c r="I628" s="365"/>
      <c r="J628" s="366" t="s">
        <v>59</v>
      </c>
      <c r="K628" s="362">
        <f>SUM(K626:K627)</f>
        <v>13.811999999999999</v>
      </c>
    </row>
    <row r="629" spans="1:11">
      <c r="E629" s="367"/>
      <c r="F629" s="367"/>
      <c r="G629" s="367"/>
      <c r="H629" s="367"/>
      <c r="I629" s="367"/>
      <c r="J629" s="368"/>
      <c r="K629" s="369"/>
    </row>
    <row r="630" spans="1:11">
      <c r="E630" s="367"/>
      <c r="F630" s="367"/>
      <c r="G630" s="367"/>
      <c r="H630" s="367"/>
      <c r="I630" s="367"/>
      <c r="J630" s="368"/>
      <c r="K630" s="369"/>
    </row>
    <row r="631" spans="1:11">
      <c r="A631" s="337" t="s">
        <v>22661</v>
      </c>
      <c r="B631" s="337" t="s">
        <v>371</v>
      </c>
      <c r="C631" s="370" t="s">
        <v>326</v>
      </c>
      <c r="D631" s="563" t="s">
        <v>272</v>
      </c>
      <c r="E631" s="563"/>
      <c r="F631" s="563"/>
      <c r="G631" s="563"/>
      <c r="H631" s="563"/>
      <c r="I631" s="563"/>
      <c r="J631" s="253" t="s">
        <v>17667</v>
      </c>
      <c r="K631" s="373">
        <f>K646+K650+K654</f>
        <v>38.235070000000007</v>
      </c>
    </row>
    <row r="632" spans="1:11">
      <c r="A632" s="354" t="s">
        <v>27</v>
      </c>
      <c r="B632" s="355" t="s">
        <v>11308</v>
      </c>
      <c r="C632" s="355" t="s">
        <v>17663</v>
      </c>
      <c r="D632" s="355" t="s">
        <v>0</v>
      </c>
      <c r="E632" s="355" t="s">
        <v>1</v>
      </c>
      <c r="F632" s="355" t="s">
        <v>39</v>
      </c>
      <c r="G632" s="355" t="s">
        <v>40</v>
      </c>
      <c r="H632" s="355" t="s">
        <v>41</v>
      </c>
      <c r="I632" s="355" t="s">
        <v>42</v>
      </c>
      <c r="J632" s="355"/>
      <c r="K632" s="355" t="s">
        <v>43</v>
      </c>
    </row>
    <row r="633" spans="1:11">
      <c r="A633" s="222" t="str">
        <f>VLOOKUP(D633,'17. CUSTOS DER - EQUIPAMENTOS'!A:B,2,0)</f>
        <v>CARRINHO DE CONCRETAGEM 80 L</v>
      </c>
      <c r="B633" s="225" t="s">
        <v>9013</v>
      </c>
      <c r="C633" s="225" t="s">
        <v>22635</v>
      </c>
      <c r="D633" s="225">
        <v>301800</v>
      </c>
      <c r="E633" s="356">
        <v>0.28893000000000002</v>
      </c>
      <c r="F633" s="241">
        <v>1</v>
      </c>
      <c r="G633" s="356">
        <v>0</v>
      </c>
      <c r="H633" s="242">
        <f>VLOOKUP(D633,'17. CUSTOS DER - EQUIPAMENTOS'!A:O,15,0)</f>
        <v>0.3</v>
      </c>
      <c r="I633" s="242">
        <f>VLOOKUP(D633,'17. CUSTOS DER - EQUIPAMENTOS'!A:P,16,0)</f>
        <v>0.21</v>
      </c>
      <c r="J633" s="225"/>
      <c r="K633" s="242">
        <f>((F633*H633)+(G633*I633))*E633</f>
        <v>8.6679000000000006E-2</v>
      </c>
    </row>
    <row r="634" spans="1:11">
      <c r="A634" s="222"/>
      <c r="B634" s="225"/>
      <c r="C634" s="225"/>
      <c r="D634" s="225"/>
      <c r="E634" s="241"/>
      <c r="F634" s="241"/>
      <c r="G634" s="356"/>
      <c r="H634" s="242"/>
      <c r="I634" s="242"/>
      <c r="J634" s="225"/>
      <c r="K634" s="242"/>
    </row>
    <row r="635" spans="1:11">
      <c r="A635" s="358"/>
      <c r="B635" s="359"/>
      <c r="C635" s="359"/>
      <c r="D635" s="359"/>
      <c r="E635" s="359"/>
      <c r="F635" s="359"/>
      <c r="G635" s="359"/>
      <c r="H635" s="359"/>
      <c r="I635" s="359"/>
      <c r="J635" s="360" t="s">
        <v>44</v>
      </c>
      <c r="K635" s="361">
        <f>SUM(K633:K634)</f>
        <v>8.6679000000000006E-2</v>
      </c>
    </row>
    <row r="636" spans="1:11">
      <c r="A636" s="354" t="s">
        <v>45</v>
      </c>
      <c r="B636" s="355" t="s">
        <v>11308</v>
      </c>
      <c r="C636" s="355" t="s">
        <v>17663</v>
      </c>
      <c r="D636" s="355" t="s">
        <v>0</v>
      </c>
      <c r="E636" s="355" t="s">
        <v>36</v>
      </c>
      <c r="F636" s="355" t="s">
        <v>46</v>
      </c>
      <c r="G636" s="355" t="s">
        <v>47</v>
      </c>
      <c r="H636" s="355" t="s">
        <v>25</v>
      </c>
      <c r="I636" s="355"/>
      <c r="J636" s="355"/>
      <c r="K636" s="355" t="s">
        <v>43</v>
      </c>
    </row>
    <row r="637" spans="1:11">
      <c r="A637" s="222" t="str">
        <f>VLOOKUP(D637,'15. CUSTOS DER - MÃO DE OBRA'!A:B,2,0)</f>
        <v>SERVENTE</v>
      </c>
      <c r="B637" s="225" t="s">
        <v>9013</v>
      </c>
      <c r="C637" s="225" t="s">
        <v>17664</v>
      </c>
      <c r="D637" s="225">
        <v>200130</v>
      </c>
      <c r="E637" s="242">
        <f>VLOOKUP(D637,'15. CUSTOS DER - MÃO DE OBRA'!A:C,3,0)</f>
        <v>2.2000000000000002</v>
      </c>
      <c r="F637" s="225"/>
      <c r="G637" s="225">
        <f>VLOOKUP(D637,'15. CUSTOS DER - MÃO DE OBRA'!A:D,4,0)</f>
        <v>31.46</v>
      </c>
      <c r="H637" s="356">
        <v>0.28893000000000002</v>
      </c>
      <c r="I637" s="225"/>
      <c r="J637" s="225"/>
      <c r="K637" s="242">
        <f>G637*H637</f>
        <v>9.0897378000000018</v>
      </c>
    </row>
    <row r="638" spans="1:11">
      <c r="A638" s="222"/>
      <c r="B638" s="225"/>
      <c r="C638" s="225"/>
      <c r="D638" s="225"/>
      <c r="E638" s="242"/>
      <c r="F638" s="225"/>
      <c r="G638" s="225"/>
      <c r="H638" s="241"/>
      <c r="I638" s="225"/>
      <c r="J638" s="225"/>
      <c r="K638" s="242"/>
    </row>
    <row r="639" spans="1:11">
      <c r="A639" s="358"/>
      <c r="B639" s="359"/>
      <c r="C639" s="359"/>
      <c r="D639" s="359"/>
      <c r="E639" s="359"/>
      <c r="F639" s="359"/>
      <c r="G639" s="359"/>
      <c r="H639" s="359"/>
      <c r="I639" s="359"/>
      <c r="J639" s="360" t="s">
        <v>48</v>
      </c>
      <c r="K639" s="361">
        <f>SUM(K637:K638)</f>
        <v>9.0897378000000018</v>
      </c>
    </row>
    <row r="640" spans="1:11">
      <c r="A640" s="354" t="s">
        <v>49</v>
      </c>
      <c r="B640" s="355" t="s">
        <v>11308</v>
      </c>
      <c r="C640" s="355" t="s">
        <v>17663</v>
      </c>
      <c r="D640" s="355" t="s">
        <v>0</v>
      </c>
      <c r="E640" s="355" t="s">
        <v>14</v>
      </c>
      <c r="F640" s="355" t="s">
        <v>50</v>
      </c>
      <c r="G640" s="355" t="s">
        <v>29</v>
      </c>
      <c r="H640" s="355" t="s">
        <v>30</v>
      </c>
      <c r="I640" s="355"/>
      <c r="J640" s="355"/>
      <c r="K640" s="355" t="s">
        <v>33</v>
      </c>
    </row>
    <row r="641" spans="1:11">
      <c r="A641" s="222"/>
      <c r="B641" s="225"/>
      <c r="C641" s="225"/>
      <c r="D641" s="225"/>
      <c r="E641" s="225"/>
      <c r="F641" s="225"/>
      <c r="G641" s="225"/>
      <c r="H641" s="225"/>
      <c r="I641" s="225"/>
      <c r="J641" s="225"/>
      <c r="K641" s="242"/>
    </row>
    <row r="642" spans="1:11">
      <c r="A642" s="222"/>
      <c r="B642" s="225"/>
      <c r="C642" s="225"/>
      <c r="D642" s="225"/>
      <c r="E642" s="225"/>
      <c r="F642" s="225"/>
      <c r="G642" s="225"/>
      <c r="H642" s="225"/>
      <c r="I642" s="225"/>
      <c r="J642" s="225"/>
      <c r="K642" s="242"/>
    </row>
    <row r="643" spans="1:11">
      <c r="A643" s="358"/>
      <c r="B643" s="359"/>
      <c r="C643" s="359"/>
      <c r="D643" s="359"/>
      <c r="E643" s="359"/>
      <c r="F643" s="359"/>
      <c r="G643" s="359"/>
      <c r="H643" s="359"/>
      <c r="I643" s="359"/>
      <c r="J643" s="360" t="s">
        <v>51</v>
      </c>
      <c r="K643" s="361">
        <f>SUM(K641:K642)</f>
        <v>0</v>
      </c>
    </row>
    <row r="644" spans="1:11">
      <c r="A644" s="568" t="s">
        <v>52</v>
      </c>
      <c r="B644" s="568"/>
      <c r="C644" s="568"/>
      <c r="D644" s="568"/>
      <c r="E644" s="568"/>
      <c r="F644" s="568"/>
      <c r="G644" s="568"/>
      <c r="H644" s="568"/>
      <c r="I644" s="568"/>
      <c r="J644" s="568"/>
      <c r="K644" s="361">
        <f>K635+K639+K643</f>
        <v>9.1764168000000019</v>
      </c>
    </row>
    <row r="645" spans="1:11">
      <c r="A645" s="568" t="s">
        <v>53</v>
      </c>
      <c r="B645" s="568"/>
      <c r="C645" s="568"/>
      <c r="D645" s="568"/>
      <c r="E645" s="568"/>
      <c r="F645" s="568"/>
      <c r="G645" s="568"/>
      <c r="H645" s="568"/>
      <c r="I645" s="568"/>
      <c r="J645" s="568"/>
      <c r="K645" s="361">
        <f>ROUND(1.60645*0.15,2)</f>
        <v>0.24</v>
      </c>
    </row>
    <row r="646" spans="1:11">
      <c r="A646" s="566" t="s">
        <v>54</v>
      </c>
      <c r="B646" s="566"/>
      <c r="C646" s="566"/>
      <c r="D646" s="566"/>
      <c r="E646" s="566"/>
      <c r="F646" s="566"/>
      <c r="G646" s="566"/>
      <c r="H646" s="566"/>
      <c r="I646" s="566"/>
      <c r="J646" s="566"/>
      <c r="K646" s="362">
        <f>IF(K644=0,0,K644/K645)</f>
        <v>38.235070000000007</v>
      </c>
    </row>
    <row r="647" spans="1:11">
      <c r="A647" s="354" t="s">
        <v>55</v>
      </c>
      <c r="B647" s="355" t="s">
        <v>11308</v>
      </c>
      <c r="C647" s="355" t="s">
        <v>17663</v>
      </c>
      <c r="D647" s="355" t="s">
        <v>0</v>
      </c>
      <c r="E647" s="355" t="s">
        <v>2</v>
      </c>
      <c r="F647" s="567" t="s">
        <v>9</v>
      </c>
      <c r="G647" s="567"/>
      <c r="H647" s="567" t="s">
        <v>25</v>
      </c>
      <c r="I647" s="567"/>
      <c r="J647" s="355"/>
      <c r="K647" s="355" t="s">
        <v>56</v>
      </c>
    </row>
    <row r="648" spans="1:11">
      <c r="A648" s="222"/>
      <c r="B648" s="225"/>
      <c r="C648" s="225"/>
      <c r="D648" s="225"/>
      <c r="E648" s="225"/>
      <c r="F648" s="225"/>
      <c r="G648" s="224"/>
      <c r="H648" s="241"/>
      <c r="I648" s="241"/>
      <c r="J648" s="225"/>
      <c r="K648" s="242"/>
    </row>
    <row r="649" spans="1:11">
      <c r="A649" s="222"/>
      <c r="B649" s="225"/>
      <c r="C649" s="225"/>
      <c r="D649" s="225"/>
      <c r="E649" s="225"/>
      <c r="F649" s="225"/>
      <c r="G649" s="224"/>
      <c r="H649" s="375"/>
      <c r="I649" s="375"/>
      <c r="J649" s="225"/>
      <c r="K649" s="357"/>
    </row>
    <row r="650" spans="1:11">
      <c r="A650" s="364"/>
      <c r="B650" s="365"/>
      <c r="C650" s="365"/>
      <c r="D650" s="365"/>
      <c r="E650" s="365"/>
      <c r="F650" s="365"/>
      <c r="G650" s="365"/>
      <c r="H650" s="365"/>
      <c r="I650" s="365"/>
      <c r="J650" s="366" t="s">
        <v>57</v>
      </c>
      <c r="K650" s="362">
        <f>SUM(K648:K649)</f>
        <v>0</v>
      </c>
    </row>
    <row r="651" spans="1:11">
      <c r="A651" s="354" t="s">
        <v>58</v>
      </c>
      <c r="B651" s="355" t="s">
        <v>11308</v>
      </c>
      <c r="C651" s="355" t="s">
        <v>17663</v>
      </c>
      <c r="D651" s="355" t="s">
        <v>0</v>
      </c>
      <c r="E651" s="355" t="s">
        <v>2</v>
      </c>
      <c r="F651" s="567" t="s">
        <v>9</v>
      </c>
      <c r="G651" s="567"/>
      <c r="H651" s="567" t="s">
        <v>25</v>
      </c>
      <c r="I651" s="567"/>
      <c r="J651" s="355"/>
      <c r="K651" s="355" t="s">
        <v>56</v>
      </c>
    </row>
    <row r="652" spans="1:11">
      <c r="A652" s="222"/>
      <c r="B652" s="225"/>
      <c r="C652" s="225"/>
      <c r="D652" s="225"/>
      <c r="E652" s="225"/>
      <c r="F652" s="225"/>
      <c r="G652" s="225"/>
      <c r="H652" s="241"/>
      <c r="I652" s="240"/>
      <c r="J652" s="241"/>
      <c r="K652" s="242"/>
    </row>
    <row r="653" spans="1:11">
      <c r="A653" s="222"/>
      <c r="B653" s="225"/>
      <c r="C653" s="225"/>
      <c r="D653" s="225"/>
      <c r="E653" s="225"/>
      <c r="F653" s="225"/>
      <c r="G653" s="225"/>
      <c r="H653" s="241"/>
      <c r="I653" s="240"/>
      <c r="J653" s="241"/>
      <c r="K653" s="242"/>
    </row>
    <row r="654" spans="1:11">
      <c r="A654" s="364"/>
      <c r="B654" s="365"/>
      <c r="C654" s="365"/>
      <c r="D654" s="365"/>
      <c r="E654" s="365"/>
      <c r="F654" s="365"/>
      <c r="G654" s="365"/>
      <c r="H654" s="365"/>
      <c r="I654" s="365"/>
      <c r="J654" s="366" t="s">
        <v>59</v>
      </c>
      <c r="K654" s="362">
        <f>SUM(K652:K653)</f>
        <v>0</v>
      </c>
    </row>
    <row r="655" spans="1:11">
      <c r="E655" s="367"/>
      <c r="F655" s="367"/>
      <c r="G655" s="367"/>
      <c r="H655" s="367"/>
      <c r="I655" s="367"/>
      <c r="J655" s="368"/>
      <c r="K655" s="369"/>
    </row>
    <row r="656" spans="1:11">
      <c r="E656" s="367"/>
      <c r="F656" s="367"/>
      <c r="G656" s="367"/>
      <c r="H656" s="367"/>
      <c r="I656" s="367"/>
      <c r="J656" s="368"/>
      <c r="K656" s="369"/>
    </row>
    <row r="657" spans="1:11">
      <c r="A657" s="337" t="s">
        <v>22662</v>
      </c>
      <c r="B657" s="337" t="s">
        <v>371</v>
      </c>
      <c r="C657" s="370" t="s">
        <v>325</v>
      </c>
      <c r="D657" s="563" t="s">
        <v>274</v>
      </c>
      <c r="E657" s="563"/>
      <c r="F657" s="563"/>
      <c r="G657" s="563"/>
      <c r="H657" s="563"/>
      <c r="I657" s="563"/>
      <c r="J657" s="253" t="s">
        <v>17667</v>
      </c>
      <c r="K657" s="373">
        <f>K673+K677+K682</f>
        <v>45.821842857142855</v>
      </c>
    </row>
    <row r="658" spans="1:11">
      <c r="A658" s="354" t="s">
        <v>27</v>
      </c>
      <c r="B658" s="355" t="s">
        <v>11308</v>
      </c>
      <c r="C658" s="355" t="s">
        <v>17663</v>
      </c>
      <c r="D658" s="355" t="s">
        <v>0</v>
      </c>
      <c r="E658" s="355" t="s">
        <v>1</v>
      </c>
      <c r="F658" s="355" t="s">
        <v>39</v>
      </c>
      <c r="G658" s="355" t="s">
        <v>40</v>
      </c>
      <c r="H658" s="355" t="s">
        <v>41</v>
      </c>
      <c r="I658" s="355" t="s">
        <v>42</v>
      </c>
      <c r="J658" s="355"/>
      <c r="K658" s="355" t="s">
        <v>43</v>
      </c>
    </row>
    <row r="659" spans="1:11">
      <c r="A659" s="222" t="str">
        <f>VLOOKUP(D659,'17. CUSTOS DER - EQUIPAMENTOS'!A:B,2,0)</f>
        <v>CARRINHO DE CONCRETAGEM 80 L</v>
      </c>
      <c r="B659" s="225" t="s">
        <v>9013</v>
      </c>
      <c r="C659" s="225" t="s">
        <v>22635</v>
      </c>
      <c r="D659" s="225">
        <v>301800</v>
      </c>
      <c r="E659" s="356">
        <v>1</v>
      </c>
      <c r="F659" s="241">
        <v>1</v>
      </c>
      <c r="G659" s="356">
        <v>4</v>
      </c>
      <c r="H659" s="242">
        <f>VLOOKUP(D659,'17. CUSTOS DER - EQUIPAMENTOS'!A:O,15,0)</f>
        <v>0.3</v>
      </c>
      <c r="I659" s="242">
        <f>VLOOKUP(D659,'17. CUSTOS DER - EQUIPAMENTOS'!A:P,16,0)</f>
        <v>0.21</v>
      </c>
      <c r="J659" s="225"/>
      <c r="K659" s="242">
        <f>((F659*H659)+(G659*I659))*E659</f>
        <v>1.1399999999999999</v>
      </c>
    </row>
    <row r="660" spans="1:11">
      <c r="A660" s="222" t="str">
        <f>VLOOKUP(D660,'17. CUSTOS DER - EQUIPAMENTOS'!A:B,2,0)</f>
        <v>ROLO TANDEM LISO 6-8 T</v>
      </c>
      <c r="B660" s="225" t="s">
        <v>9013</v>
      </c>
      <c r="C660" s="225" t="s">
        <v>22635</v>
      </c>
      <c r="D660" s="225">
        <v>340620</v>
      </c>
      <c r="E660" s="356">
        <v>1</v>
      </c>
      <c r="F660" s="241">
        <v>1</v>
      </c>
      <c r="G660" s="356">
        <v>0</v>
      </c>
      <c r="H660" s="242">
        <f>VLOOKUP(D660,'17. CUSTOS DER - EQUIPAMENTOS'!A:O,15,0)</f>
        <v>207.51</v>
      </c>
      <c r="I660" s="242">
        <f>VLOOKUP(D660,'17. CUSTOS DER - EQUIPAMENTOS'!A:P,16,0)</f>
        <v>102.36</v>
      </c>
      <c r="J660" s="225"/>
      <c r="K660" s="242">
        <f>((F660*H660)+(G660*I660))*E660</f>
        <v>207.51</v>
      </c>
    </row>
    <row r="661" spans="1:11">
      <c r="A661" s="358"/>
      <c r="B661" s="359"/>
      <c r="C661" s="359"/>
      <c r="D661" s="359"/>
      <c r="E661" s="359"/>
      <c r="F661" s="359"/>
      <c r="G661" s="359"/>
      <c r="H661" s="359"/>
      <c r="I661" s="359"/>
      <c r="J661" s="360" t="s">
        <v>44</v>
      </c>
      <c r="K661" s="361">
        <f>SUM(K659:K660)</f>
        <v>208.64999999999998</v>
      </c>
    </row>
    <row r="662" spans="1:11">
      <c r="A662" s="354" t="s">
        <v>45</v>
      </c>
      <c r="B662" s="355" t="s">
        <v>11308</v>
      </c>
      <c r="C662" s="355" t="s">
        <v>17663</v>
      </c>
      <c r="D662" s="355" t="s">
        <v>0</v>
      </c>
      <c r="E662" s="355" t="s">
        <v>36</v>
      </c>
      <c r="F662" s="355" t="s">
        <v>46</v>
      </c>
      <c r="G662" s="355" t="s">
        <v>47</v>
      </c>
      <c r="H662" s="355" t="s">
        <v>25</v>
      </c>
      <c r="I662" s="355"/>
      <c r="J662" s="355"/>
      <c r="K662" s="355" t="s">
        <v>43</v>
      </c>
    </row>
    <row r="663" spans="1:11">
      <c r="A663" s="222" t="str">
        <f>VLOOKUP(D663,'15. CUSTOS DER - MÃO DE OBRA'!A:B,2,0)</f>
        <v>CALCETEIRO</v>
      </c>
      <c r="B663" s="225" t="s">
        <v>9013</v>
      </c>
      <c r="C663" s="225" t="s">
        <v>17664</v>
      </c>
      <c r="D663" s="225">
        <v>200110</v>
      </c>
      <c r="E663" s="242">
        <f>VLOOKUP(D663,'15. CUSTOS DER - MÃO DE OBRA'!A:C,3,0)</f>
        <v>2.4</v>
      </c>
      <c r="F663" s="225"/>
      <c r="G663" s="225">
        <f>VLOOKUP(D663,'15. CUSTOS DER - MÃO DE OBRA'!A:D,4,0)</f>
        <v>34.32</v>
      </c>
      <c r="H663" s="356">
        <v>9</v>
      </c>
      <c r="I663" s="225"/>
      <c r="J663" s="225"/>
      <c r="K663" s="242">
        <f>G663*H663</f>
        <v>308.88</v>
      </c>
    </row>
    <row r="664" spans="1:11">
      <c r="A664" s="222" t="str">
        <f>VLOOKUP(D664,'15. CUSTOS DER - MÃO DE OBRA'!A:B,2,0)</f>
        <v>ENCARREGADO DE SERVIÇO</v>
      </c>
      <c r="B664" s="225" t="s">
        <v>9013</v>
      </c>
      <c r="C664" s="225" t="s">
        <v>17664</v>
      </c>
      <c r="D664" s="225">
        <v>210060</v>
      </c>
      <c r="E664" s="242">
        <f>VLOOKUP(D664,'15. CUSTOS DER - MÃO DE OBRA'!A:C,3,0)</f>
        <v>6</v>
      </c>
      <c r="F664" s="225"/>
      <c r="G664" s="225">
        <f>VLOOKUP(D664,'15. CUSTOS DER - MÃO DE OBRA'!A:D,4,0)</f>
        <v>85.81</v>
      </c>
      <c r="H664" s="356">
        <v>1</v>
      </c>
      <c r="I664" s="225"/>
      <c r="J664" s="225"/>
      <c r="K664" s="242">
        <f>G664*H664</f>
        <v>85.81</v>
      </c>
    </row>
    <row r="665" spans="1:11">
      <c r="A665" s="222" t="str">
        <f>VLOOKUP(D665,'15. CUSTOS DER - MÃO DE OBRA'!A:B,2,0)</f>
        <v>SERVENTE</v>
      </c>
      <c r="B665" s="225" t="s">
        <v>9013</v>
      </c>
      <c r="C665" s="225" t="s">
        <v>17664</v>
      </c>
      <c r="D665" s="225">
        <v>200130</v>
      </c>
      <c r="E665" s="242">
        <f>VLOOKUP(D665,'15. CUSTOS DER - MÃO DE OBRA'!A:C,3,0)</f>
        <v>2.2000000000000002</v>
      </c>
      <c r="F665" s="225"/>
      <c r="G665" s="225">
        <f>VLOOKUP(D665,'15. CUSTOS DER - MÃO DE OBRA'!A:D,4,0)</f>
        <v>31.46</v>
      </c>
      <c r="H665" s="356">
        <v>9</v>
      </c>
      <c r="I665" s="225"/>
      <c r="J665" s="225"/>
      <c r="K665" s="242">
        <f>G665*H665</f>
        <v>283.14</v>
      </c>
    </row>
    <row r="666" spans="1:11">
      <c r="A666" s="358"/>
      <c r="B666" s="359"/>
      <c r="C666" s="359"/>
      <c r="D666" s="359"/>
      <c r="E666" s="359"/>
      <c r="F666" s="359"/>
      <c r="G666" s="359"/>
      <c r="H666" s="359"/>
      <c r="I666" s="359"/>
      <c r="J666" s="360" t="s">
        <v>48</v>
      </c>
      <c r="K666" s="361">
        <f>SUM(K663:K665)</f>
        <v>677.82999999999993</v>
      </c>
    </row>
    <row r="667" spans="1:11">
      <c r="A667" s="354" t="s">
        <v>49</v>
      </c>
      <c r="B667" s="355" t="s">
        <v>11308</v>
      </c>
      <c r="C667" s="355" t="s">
        <v>17663</v>
      </c>
      <c r="D667" s="355" t="s">
        <v>0</v>
      </c>
      <c r="E667" s="355" t="s">
        <v>14</v>
      </c>
      <c r="F667" s="355" t="s">
        <v>50</v>
      </c>
      <c r="G667" s="355" t="s">
        <v>29</v>
      </c>
      <c r="H667" s="355" t="s">
        <v>30</v>
      </c>
      <c r="I667" s="355"/>
      <c r="J667" s="355"/>
      <c r="K667" s="355" t="s">
        <v>33</v>
      </c>
    </row>
    <row r="668" spans="1:11">
      <c r="A668" s="222" t="s">
        <v>74</v>
      </c>
      <c r="B668" s="225"/>
      <c r="C668" s="225"/>
      <c r="D668" s="225">
        <v>29990</v>
      </c>
      <c r="E668" s="243">
        <v>5</v>
      </c>
      <c r="F668" s="225" t="s">
        <v>32</v>
      </c>
      <c r="G668" s="225"/>
      <c r="H668" s="225"/>
      <c r="I668" s="225"/>
      <c r="J668" s="225"/>
      <c r="K668" s="242">
        <f>TRUNC(K666*E668/100,2)</f>
        <v>33.89</v>
      </c>
    </row>
    <row r="669" spans="1:11">
      <c r="A669" s="222"/>
      <c r="B669" s="225"/>
      <c r="C669" s="225"/>
      <c r="D669" s="225"/>
      <c r="E669" s="242"/>
      <c r="F669" s="225"/>
      <c r="G669" s="225"/>
      <c r="H669" s="356"/>
      <c r="I669" s="225"/>
      <c r="J669" s="225"/>
      <c r="K669" s="242">
        <f>G669*H669</f>
        <v>0</v>
      </c>
    </row>
    <row r="670" spans="1:11">
      <c r="A670" s="358"/>
      <c r="B670" s="359"/>
      <c r="C670" s="359"/>
      <c r="D670" s="359"/>
      <c r="E670" s="359"/>
      <c r="F670" s="359"/>
      <c r="G670" s="359"/>
      <c r="H670" s="359"/>
      <c r="I670" s="359"/>
      <c r="J670" s="360" t="s">
        <v>51</v>
      </c>
      <c r="K670" s="361">
        <f>SUM(K668:K668)</f>
        <v>33.89</v>
      </c>
    </row>
    <row r="671" spans="1:11">
      <c r="A671" s="568" t="s">
        <v>52</v>
      </c>
      <c r="B671" s="568"/>
      <c r="C671" s="568"/>
      <c r="D671" s="568"/>
      <c r="E671" s="568"/>
      <c r="F671" s="568"/>
      <c r="G671" s="568"/>
      <c r="H671" s="568"/>
      <c r="I671" s="568"/>
      <c r="J671" s="568"/>
      <c r="K671" s="361">
        <f>K661+K666+K670</f>
        <v>920.36999999999989</v>
      </c>
    </row>
    <row r="672" spans="1:11">
      <c r="A672" s="568" t="s">
        <v>53</v>
      </c>
      <c r="B672" s="568"/>
      <c r="C672" s="568"/>
      <c r="D672" s="568"/>
      <c r="E672" s="568"/>
      <c r="F672" s="568"/>
      <c r="G672" s="568"/>
      <c r="H672" s="568"/>
      <c r="I672" s="568"/>
      <c r="J672" s="568"/>
      <c r="K672" s="361">
        <v>21</v>
      </c>
    </row>
    <row r="673" spans="1:11">
      <c r="A673" s="566" t="s">
        <v>54</v>
      </c>
      <c r="B673" s="566"/>
      <c r="C673" s="566"/>
      <c r="D673" s="566"/>
      <c r="E673" s="566"/>
      <c r="F673" s="566"/>
      <c r="G673" s="566"/>
      <c r="H673" s="566"/>
      <c r="I673" s="566"/>
      <c r="J673" s="566"/>
      <c r="K673" s="362">
        <f>IF(K671=0,0,K671/K672)</f>
        <v>43.827142857142853</v>
      </c>
    </row>
    <row r="674" spans="1:11">
      <c r="A674" s="354" t="s">
        <v>55</v>
      </c>
      <c r="B674" s="355" t="s">
        <v>11308</v>
      </c>
      <c r="C674" s="355" t="s">
        <v>17663</v>
      </c>
      <c r="D674" s="355" t="s">
        <v>0</v>
      </c>
      <c r="E674" s="355" t="s">
        <v>2</v>
      </c>
      <c r="F674" s="567" t="s">
        <v>9</v>
      </c>
      <c r="G674" s="567"/>
      <c r="H674" s="567" t="s">
        <v>25</v>
      </c>
      <c r="I674" s="567"/>
      <c r="J674" s="355"/>
      <c r="K674" s="355" t="s">
        <v>56</v>
      </c>
    </row>
    <row r="675" spans="1:11">
      <c r="A675" s="222" t="str">
        <f>VLOOKUP(D675,'14. CUSTOS DER - MATERIAIS'!A:B,2,0)</f>
        <v>PÓ DE PEDRA (COMERCIAL)</v>
      </c>
      <c r="B675" s="225" t="s">
        <v>9013</v>
      </c>
      <c r="C675" s="225" t="s">
        <v>68</v>
      </c>
      <c r="D675" s="225">
        <v>130080</v>
      </c>
      <c r="E675" s="225" t="str">
        <f>VLOOKUP(D675,'14. CUSTOS DER - MATERIAIS'!A:C,3,0)</f>
        <v>M3</v>
      </c>
      <c r="F675" s="225"/>
      <c r="G675" s="224">
        <f>VLOOKUP(D675,'14. CUSTOS DER - MATERIAIS'!A:D,4,0)</f>
        <v>66.489999999999995</v>
      </c>
      <c r="H675" s="241"/>
      <c r="I675" s="241">
        <v>0.03</v>
      </c>
      <c r="J675" s="225"/>
      <c r="K675" s="242">
        <f>G675*I675</f>
        <v>1.9946999999999997</v>
      </c>
    </row>
    <row r="676" spans="1:11">
      <c r="A676" s="222"/>
      <c r="B676" s="225"/>
      <c r="C676" s="225"/>
      <c r="D676" s="225"/>
      <c r="E676" s="225"/>
      <c r="F676" s="225"/>
      <c r="G676" s="224"/>
      <c r="H676" s="241"/>
      <c r="I676" s="241"/>
      <c r="J676" s="225"/>
      <c r="K676" s="242">
        <f>G676*I676</f>
        <v>0</v>
      </c>
    </row>
    <row r="677" spans="1:11">
      <c r="A677" s="364"/>
      <c r="B677" s="365"/>
      <c r="C677" s="365"/>
      <c r="D677" s="365"/>
      <c r="E677" s="365"/>
      <c r="F677" s="365"/>
      <c r="G677" s="365"/>
      <c r="H677" s="365"/>
      <c r="I677" s="365"/>
      <c r="J677" s="366" t="s">
        <v>57</v>
      </c>
      <c r="K677" s="362">
        <f>SUM(K675:K676)</f>
        <v>1.9946999999999997</v>
      </c>
    </row>
    <row r="678" spans="1:11">
      <c r="A678" s="222"/>
      <c r="B678" s="225"/>
      <c r="C678" s="225"/>
      <c r="D678" s="225"/>
      <c r="E678" s="225"/>
      <c r="F678" s="225"/>
      <c r="G678" s="225"/>
      <c r="H678" s="225"/>
      <c r="I678" s="225"/>
      <c r="J678" s="225"/>
      <c r="K678" s="225"/>
    </row>
    <row r="679" spans="1:11">
      <c r="A679" s="354" t="s">
        <v>58</v>
      </c>
      <c r="B679" s="355" t="s">
        <v>11308</v>
      </c>
      <c r="C679" s="355" t="s">
        <v>17663</v>
      </c>
      <c r="D679" s="355" t="s">
        <v>0</v>
      </c>
      <c r="E679" s="355" t="s">
        <v>2</v>
      </c>
      <c r="F679" s="567" t="s">
        <v>9</v>
      </c>
      <c r="G679" s="567"/>
      <c r="H679" s="567" t="s">
        <v>25</v>
      </c>
      <c r="I679" s="567"/>
      <c r="J679" s="355"/>
      <c r="K679" s="355" t="s">
        <v>56</v>
      </c>
    </row>
    <row r="680" spans="1:11">
      <c r="A680" s="222"/>
      <c r="B680" s="225"/>
      <c r="C680" s="225"/>
      <c r="D680" s="225"/>
      <c r="E680" s="225"/>
      <c r="F680" s="225"/>
      <c r="G680" s="224"/>
      <c r="H680" s="241"/>
      <c r="I680" s="240"/>
      <c r="J680" s="241"/>
      <c r="K680" s="242"/>
    </row>
    <row r="681" spans="1:11">
      <c r="A681" s="222"/>
      <c r="B681" s="225"/>
      <c r="C681" s="225"/>
      <c r="D681" s="225"/>
      <c r="E681" s="225"/>
      <c r="F681" s="225"/>
      <c r="G681" s="224"/>
      <c r="H681" s="241"/>
      <c r="I681" s="240"/>
      <c r="J681" s="241"/>
      <c r="K681" s="242"/>
    </row>
    <row r="682" spans="1:11">
      <c r="A682" s="364"/>
      <c r="B682" s="365"/>
      <c r="C682" s="365"/>
      <c r="D682" s="365"/>
      <c r="E682" s="365"/>
      <c r="F682" s="365"/>
      <c r="G682" s="365"/>
      <c r="H682" s="365"/>
      <c r="I682" s="365"/>
      <c r="J682" s="366" t="s">
        <v>59</v>
      </c>
      <c r="K682" s="362">
        <f>SUM(K681:K681)</f>
        <v>0</v>
      </c>
    </row>
    <row r="683" spans="1:11">
      <c r="E683" s="367"/>
      <c r="F683" s="367"/>
      <c r="G683" s="367"/>
      <c r="H683" s="367"/>
      <c r="I683" s="367"/>
      <c r="J683" s="368"/>
      <c r="K683" s="369"/>
    </row>
    <row r="684" spans="1:11">
      <c r="E684" s="367"/>
      <c r="F684" s="367"/>
      <c r="G684" s="367"/>
      <c r="H684" s="367"/>
      <c r="I684" s="367"/>
      <c r="J684" s="368"/>
      <c r="K684" s="369"/>
    </row>
    <row r="685" spans="1:11">
      <c r="A685" s="337" t="s">
        <v>22663</v>
      </c>
      <c r="B685" s="337" t="s">
        <v>371</v>
      </c>
      <c r="C685" s="370" t="s">
        <v>325</v>
      </c>
      <c r="D685" s="563" t="s">
        <v>287</v>
      </c>
      <c r="E685" s="563"/>
      <c r="F685" s="563"/>
      <c r="G685" s="563"/>
      <c r="H685" s="563"/>
      <c r="I685" s="563"/>
      <c r="J685" s="253" t="s">
        <v>17667</v>
      </c>
      <c r="K685" s="373">
        <f>K700+K704+K708</f>
        <v>27.597537878787879</v>
      </c>
    </row>
    <row r="686" spans="1:11">
      <c r="A686" s="354" t="s">
        <v>27</v>
      </c>
      <c r="B686" s="355" t="s">
        <v>11308</v>
      </c>
      <c r="C686" s="355" t="s">
        <v>17663</v>
      </c>
      <c r="D686" s="355" t="s">
        <v>0</v>
      </c>
      <c r="E686" s="355" t="s">
        <v>1</v>
      </c>
      <c r="F686" s="355" t="s">
        <v>39</v>
      </c>
      <c r="G686" s="355" t="s">
        <v>40</v>
      </c>
      <c r="H686" s="355" t="s">
        <v>41</v>
      </c>
      <c r="I686" s="355" t="s">
        <v>42</v>
      </c>
      <c r="J686" s="355"/>
      <c r="K686" s="355" t="s">
        <v>43</v>
      </c>
    </row>
    <row r="687" spans="1:11">
      <c r="A687" s="222" t="str">
        <f>VLOOKUP(D687,'17. CUSTOS DER - EQUIPAMENTOS'!A:B,2,0)</f>
        <v>CAMINHÃO CARROCERIA 815/37 6 T</v>
      </c>
      <c r="B687" s="225" t="s">
        <v>9013</v>
      </c>
      <c r="C687" s="225" t="s">
        <v>22635</v>
      </c>
      <c r="D687" s="225">
        <v>346080</v>
      </c>
      <c r="E687" s="241">
        <v>1</v>
      </c>
      <c r="F687" s="241">
        <v>1</v>
      </c>
      <c r="G687" s="356">
        <v>0</v>
      </c>
      <c r="H687" s="242">
        <f>VLOOKUP(D687,'17. CUSTOS DER - EQUIPAMENTOS'!A:O,15,0)</f>
        <v>197.05</v>
      </c>
      <c r="I687" s="242">
        <f>VLOOKUP(D687,'17. CUSTOS DER - EQUIPAMENTOS'!A:P,16,0)</f>
        <v>63.95</v>
      </c>
      <c r="J687" s="225"/>
      <c r="K687" s="242">
        <f>((F687*H687)+(G687*I687))*E687</f>
        <v>197.05</v>
      </c>
    </row>
    <row r="688" spans="1:11">
      <c r="A688" s="222"/>
      <c r="B688" s="225"/>
      <c r="C688" s="225"/>
      <c r="D688" s="225"/>
      <c r="E688" s="225"/>
      <c r="F688" s="225"/>
      <c r="G688" s="225"/>
      <c r="H688" s="225"/>
      <c r="I688" s="225"/>
      <c r="J688" s="225"/>
      <c r="K688" s="357"/>
    </row>
    <row r="689" spans="1:11">
      <c r="A689" s="358"/>
      <c r="B689" s="359"/>
      <c r="C689" s="359"/>
      <c r="D689" s="359"/>
      <c r="E689" s="359"/>
      <c r="F689" s="359"/>
      <c r="G689" s="359"/>
      <c r="H689" s="359"/>
      <c r="I689" s="359"/>
      <c r="J689" s="360" t="s">
        <v>44</v>
      </c>
      <c r="K689" s="361">
        <f>SUM(K687:K687)</f>
        <v>197.05</v>
      </c>
    </row>
    <row r="690" spans="1:11">
      <c r="A690" s="354" t="s">
        <v>45</v>
      </c>
      <c r="B690" s="355" t="s">
        <v>11308</v>
      </c>
      <c r="C690" s="355" t="s">
        <v>17663</v>
      </c>
      <c r="D690" s="355" t="s">
        <v>0</v>
      </c>
      <c r="E690" s="355" t="s">
        <v>36</v>
      </c>
      <c r="F690" s="355" t="s">
        <v>46</v>
      </c>
      <c r="G690" s="355" t="s">
        <v>47</v>
      </c>
      <c r="H690" s="355" t="s">
        <v>25</v>
      </c>
      <c r="I690" s="355"/>
      <c r="J690" s="355"/>
      <c r="K690" s="355" t="s">
        <v>43</v>
      </c>
    </row>
    <row r="691" spans="1:11">
      <c r="A691" s="222" t="str">
        <f>VLOOKUP(D691,'15. CUSTOS DER - MÃO DE OBRA'!A:B,2,0)</f>
        <v>SERVENTE</v>
      </c>
      <c r="B691" s="225" t="s">
        <v>9013</v>
      </c>
      <c r="C691" s="225" t="s">
        <v>17664</v>
      </c>
      <c r="D691" s="225">
        <v>200130</v>
      </c>
      <c r="E691" s="242">
        <f>VLOOKUP(D691,'15. CUSTOS DER - MÃO DE OBRA'!A:C,3,0)</f>
        <v>2.2000000000000002</v>
      </c>
      <c r="F691" s="225"/>
      <c r="G691" s="225">
        <f>VLOOKUP(D691,'15. CUSTOS DER - MÃO DE OBRA'!A:D,4,0)</f>
        <v>31.46</v>
      </c>
      <c r="H691" s="241">
        <v>3</v>
      </c>
      <c r="I691" s="225"/>
      <c r="J691" s="225"/>
      <c r="K691" s="242">
        <f>G691*H691</f>
        <v>94.38</v>
      </c>
    </row>
    <row r="692" spans="1:11">
      <c r="A692" s="222"/>
      <c r="B692" s="225"/>
      <c r="C692" s="225"/>
      <c r="D692" s="225"/>
      <c r="E692" s="225"/>
      <c r="F692" s="225"/>
      <c r="G692" s="225"/>
      <c r="H692" s="225"/>
      <c r="I692" s="225"/>
      <c r="J692" s="225"/>
      <c r="K692" s="357"/>
    </row>
    <row r="693" spans="1:11">
      <c r="A693" s="358"/>
      <c r="B693" s="359"/>
      <c r="C693" s="359"/>
      <c r="D693" s="359"/>
      <c r="E693" s="359"/>
      <c r="F693" s="359"/>
      <c r="G693" s="359"/>
      <c r="H693" s="359"/>
      <c r="I693" s="359"/>
      <c r="J693" s="360" t="s">
        <v>48</v>
      </c>
      <c r="K693" s="361">
        <f>SUM(K691:K691)</f>
        <v>94.38</v>
      </c>
    </row>
    <row r="694" spans="1:11">
      <c r="A694" s="354" t="s">
        <v>49</v>
      </c>
      <c r="B694" s="355" t="s">
        <v>11308</v>
      </c>
      <c r="C694" s="355" t="s">
        <v>17663</v>
      </c>
      <c r="D694" s="355" t="s">
        <v>0</v>
      </c>
      <c r="E694" s="355" t="s">
        <v>14</v>
      </c>
      <c r="F694" s="355" t="s">
        <v>50</v>
      </c>
      <c r="G694" s="355" t="s">
        <v>29</v>
      </c>
      <c r="H694" s="355" t="s">
        <v>30</v>
      </c>
      <c r="I694" s="355"/>
      <c r="J694" s="355"/>
      <c r="K694" s="355" t="s">
        <v>33</v>
      </c>
    </row>
    <row r="695" spans="1:11">
      <c r="A695" s="222"/>
      <c r="B695" s="225"/>
      <c r="C695" s="225"/>
      <c r="D695" s="225"/>
      <c r="E695" s="225"/>
      <c r="F695" s="225"/>
      <c r="G695" s="225"/>
      <c r="H695" s="225"/>
      <c r="I695" s="225"/>
      <c r="J695" s="225"/>
      <c r="K695" s="357"/>
    </row>
    <row r="696" spans="1:11">
      <c r="A696" s="222"/>
      <c r="B696" s="225"/>
      <c r="C696" s="225"/>
      <c r="D696" s="225"/>
      <c r="E696" s="225"/>
      <c r="F696" s="225"/>
      <c r="G696" s="225"/>
      <c r="H696" s="225"/>
      <c r="I696" s="225"/>
      <c r="J696" s="225"/>
      <c r="K696" s="357"/>
    </row>
    <row r="697" spans="1:11">
      <c r="A697" s="358"/>
      <c r="B697" s="359"/>
      <c r="C697" s="359"/>
      <c r="D697" s="359"/>
      <c r="E697" s="359"/>
      <c r="F697" s="359"/>
      <c r="G697" s="359"/>
      <c r="H697" s="359"/>
      <c r="I697" s="359"/>
      <c r="J697" s="360" t="s">
        <v>51</v>
      </c>
      <c r="K697" s="361">
        <f>SUM(K696:K696)</f>
        <v>0</v>
      </c>
    </row>
    <row r="698" spans="1:11">
      <c r="A698" s="568" t="s">
        <v>52</v>
      </c>
      <c r="B698" s="568"/>
      <c r="C698" s="568"/>
      <c r="D698" s="568"/>
      <c r="E698" s="568"/>
      <c r="F698" s="568"/>
      <c r="G698" s="568"/>
      <c r="H698" s="568"/>
      <c r="I698" s="568"/>
      <c r="J698" s="568"/>
      <c r="K698" s="361">
        <f>K689+K693+K697</f>
        <v>291.43</v>
      </c>
    </row>
    <row r="699" spans="1:11">
      <c r="A699" s="568" t="s">
        <v>53</v>
      </c>
      <c r="B699" s="568"/>
      <c r="C699" s="568"/>
      <c r="D699" s="568"/>
      <c r="E699" s="568"/>
      <c r="F699" s="568"/>
      <c r="G699" s="568"/>
      <c r="H699" s="568"/>
      <c r="I699" s="568"/>
      <c r="J699" s="568"/>
      <c r="K699" s="361">
        <v>10.56</v>
      </c>
    </row>
    <row r="700" spans="1:11">
      <c r="A700" s="566" t="s">
        <v>54</v>
      </c>
      <c r="B700" s="566"/>
      <c r="C700" s="566"/>
      <c r="D700" s="566"/>
      <c r="E700" s="566"/>
      <c r="F700" s="566"/>
      <c r="G700" s="566"/>
      <c r="H700" s="566"/>
      <c r="I700" s="566"/>
      <c r="J700" s="566"/>
      <c r="K700" s="362">
        <f>IF(K698=0,0,K698/K699)</f>
        <v>27.597537878787879</v>
      </c>
    </row>
    <row r="701" spans="1:11">
      <c r="A701" s="354" t="s">
        <v>55</v>
      </c>
      <c r="B701" s="355" t="s">
        <v>11308</v>
      </c>
      <c r="C701" s="355" t="s">
        <v>17663</v>
      </c>
      <c r="D701" s="355" t="s">
        <v>0</v>
      </c>
      <c r="E701" s="355" t="s">
        <v>2</v>
      </c>
      <c r="F701" s="567" t="s">
        <v>9</v>
      </c>
      <c r="G701" s="567"/>
      <c r="H701" s="567" t="s">
        <v>25</v>
      </c>
      <c r="I701" s="567"/>
      <c r="J701" s="355"/>
      <c r="K701" s="355" t="s">
        <v>56</v>
      </c>
    </row>
    <row r="702" spans="1:11">
      <c r="A702" s="222"/>
      <c r="B702" s="225"/>
      <c r="C702" s="225"/>
      <c r="D702" s="225"/>
      <c r="E702" s="225"/>
      <c r="F702" s="225"/>
      <c r="G702" s="224"/>
      <c r="H702" s="241"/>
      <c r="I702" s="241"/>
      <c r="J702" s="225"/>
      <c r="K702" s="242"/>
    </row>
    <row r="703" spans="1:11">
      <c r="A703" s="222"/>
      <c r="B703" s="225"/>
      <c r="C703" s="225"/>
      <c r="D703" s="225"/>
      <c r="E703" s="225"/>
      <c r="F703" s="225"/>
      <c r="G703" s="224"/>
      <c r="H703" s="241"/>
      <c r="I703" s="241"/>
      <c r="J703" s="225"/>
      <c r="K703" s="242"/>
    </row>
    <row r="704" spans="1:11">
      <c r="A704" s="364"/>
      <c r="B704" s="365"/>
      <c r="C704" s="365"/>
      <c r="D704" s="365"/>
      <c r="E704" s="365"/>
      <c r="F704" s="365"/>
      <c r="G704" s="365"/>
      <c r="H704" s="365"/>
      <c r="I704" s="365"/>
      <c r="J704" s="366" t="s">
        <v>57</v>
      </c>
      <c r="K704" s="362">
        <f>SUM(K702:K703)</f>
        <v>0</v>
      </c>
    </row>
    <row r="705" spans="1:11">
      <c r="A705" s="354" t="s">
        <v>58</v>
      </c>
      <c r="B705" s="355" t="s">
        <v>11308</v>
      </c>
      <c r="C705" s="355" t="s">
        <v>17663</v>
      </c>
      <c r="D705" s="355" t="s">
        <v>0</v>
      </c>
      <c r="E705" s="355" t="s">
        <v>2</v>
      </c>
      <c r="F705" s="567" t="s">
        <v>9</v>
      </c>
      <c r="G705" s="567"/>
      <c r="H705" s="567" t="s">
        <v>25</v>
      </c>
      <c r="I705" s="567"/>
      <c r="J705" s="355"/>
      <c r="K705" s="355" t="s">
        <v>56</v>
      </c>
    </row>
    <row r="706" spans="1:11">
      <c r="A706" s="222"/>
      <c r="B706" s="225"/>
      <c r="C706" s="225"/>
      <c r="D706" s="225"/>
      <c r="E706" s="225"/>
      <c r="F706" s="225"/>
      <c r="G706" s="225"/>
      <c r="H706" s="241"/>
      <c r="I706" s="225"/>
      <c r="J706" s="241"/>
      <c r="K706" s="242"/>
    </row>
    <row r="707" spans="1:11">
      <c r="A707" s="222"/>
      <c r="B707" s="225"/>
      <c r="C707" s="225"/>
      <c r="D707" s="225"/>
      <c r="E707" s="225"/>
      <c r="F707" s="225"/>
      <c r="G707" s="225"/>
      <c r="H707" s="241"/>
      <c r="I707" s="243"/>
      <c r="J707" s="241"/>
      <c r="K707" s="242"/>
    </row>
    <row r="708" spans="1:11">
      <c r="A708" s="364"/>
      <c r="B708" s="365"/>
      <c r="C708" s="365"/>
      <c r="D708" s="365"/>
      <c r="E708" s="365"/>
      <c r="F708" s="365"/>
      <c r="G708" s="365"/>
      <c r="H708" s="365"/>
      <c r="I708" s="365"/>
      <c r="J708" s="366" t="s">
        <v>59</v>
      </c>
      <c r="K708" s="362">
        <f>SUM(K706:K707)</f>
        <v>0</v>
      </c>
    </row>
    <row r="709" spans="1:11">
      <c r="E709" s="367"/>
      <c r="F709" s="367"/>
      <c r="G709" s="367"/>
      <c r="H709" s="367"/>
      <c r="I709" s="367"/>
      <c r="J709" s="368"/>
      <c r="K709" s="369"/>
    </row>
    <row r="710" spans="1:11">
      <c r="E710" s="367"/>
      <c r="F710" s="367"/>
      <c r="G710" s="367"/>
      <c r="H710" s="367"/>
      <c r="I710" s="367"/>
      <c r="J710" s="368"/>
      <c r="K710" s="369"/>
    </row>
    <row r="711" spans="1:11">
      <c r="A711" s="337" t="s">
        <v>22664</v>
      </c>
      <c r="B711" s="337" t="s">
        <v>371</v>
      </c>
      <c r="C711" s="370" t="s">
        <v>325</v>
      </c>
      <c r="D711" s="563" t="s">
        <v>288</v>
      </c>
      <c r="E711" s="563"/>
      <c r="F711" s="563"/>
      <c r="G711" s="563"/>
      <c r="H711" s="563"/>
      <c r="I711" s="563"/>
      <c r="J711" s="253" t="s">
        <v>17667</v>
      </c>
      <c r="K711" s="373">
        <f>K726+K730+K734</f>
        <v>45.775000000000006</v>
      </c>
    </row>
    <row r="712" spans="1:11">
      <c r="A712" s="354" t="s">
        <v>27</v>
      </c>
      <c r="B712" s="355" t="s">
        <v>11308</v>
      </c>
      <c r="C712" s="355" t="s">
        <v>17663</v>
      </c>
      <c r="D712" s="355" t="s">
        <v>0</v>
      </c>
      <c r="E712" s="355" t="s">
        <v>1</v>
      </c>
      <c r="F712" s="355" t="s">
        <v>39</v>
      </c>
      <c r="G712" s="355" t="s">
        <v>40</v>
      </c>
      <c r="H712" s="355" t="s">
        <v>41</v>
      </c>
      <c r="I712" s="355" t="s">
        <v>42</v>
      </c>
      <c r="J712" s="355"/>
      <c r="K712" s="355" t="s">
        <v>43</v>
      </c>
    </row>
    <row r="713" spans="1:11">
      <c r="A713" s="222" t="str">
        <f>VLOOKUP(D713,'17. CUSTOS DER - EQUIPAMENTOS'!A:B,2,0)</f>
        <v>CAMINHÃO CARROCERIA 815/37 6 T</v>
      </c>
      <c r="B713" s="225" t="s">
        <v>9013</v>
      </c>
      <c r="C713" s="225" t="s">
        <v>22635</v>
      </c>
      <c r="D713" s="225">
        <v>346080</v>
      </c>
      <c r="E713" s="241">
        <v>1</v>
      </c>
      <c r="F713" s="241">
        <v>0.5</v>
      </c>
      <c r="G713" s="356">
        <v>0.5</v>
      </c>
      <c r="H713" s="242">
        <f>VLOOKUP(D713,'17. CUSTOS DER - EQUIPAMENTOS'!A:O,15,0)</f>
        <v>197.05</v>
      </c>
      <c r="I713" s="242">
        <f>VLOOKUP(D713,'17. CUSTOS DER - EQUIPAMENTOS'!A:P,16,0)</f>
        <v>63.95</v>
      </c>
      <c r="J713" s="225"/>
      <c r="K713" s="242">
        <f>((F713*H713)+(G713*I713))*E713</f>
        <v>130.5</v>
      </c>
    </row>
    <row r="714" spans="1:11">
      <c r="A714" s="222"/>
      <c r="B714" s="225"/>
      <c r="C714" s="225"/>
      <c r="D714" s="225"/>
      <c r="E714" s="241"/>
      <c r="F714" s="241"/>
      <c r="G714" s="356"/>
      <c r="H714" s="242"/>
      <c r="I714" s="242"/>
      <c r="J714" s="225"/>
      <c r="K714" s="242"/>
    </row>
    <row r="715" spans="1:11">
      <c r="A715" s="358"/>
      <c r="B715" s="359"/>
      <c r="C715" s="359"/>
      <c r="D715" s="359"/>
      <c r="E715" s="359"/>
      <c r="F715" s="359"/>
      <c r="G715" s="359"/>
      <c r="H715" s="359"/>
      <c r="I715" s="359"/>
      <c r="J715" s="360" t="s">
        <v>44</v>
      </c>
      <c r="K715" s="361">
        <f>SUM(K713:K714)</f>
        <v>130.5</v>
      </c>
    </row>
    <row r="716" spans="1:11">
      <c r="A716" s="354" t="s">
        <v>45</v>
      </c>
      <c r="B716" s="355" t="s">
        <v>11308</v>
      </c>
      <c r="C716" s="355" t="s">
        <v>17663</v>
      </c>
      <c r="D716" s="355" t="s">
        <v>0</v>
      </c>
      <c r="E716" s="355" t="s">
        <v>36</v>
      </c>
      <c r="F716" s="355" t="s">
        <v>46</v>
      </c>
      <c r="G716" s="355" t="s">
        <v>47</v>
      </c>
      <c r="H716" s="355" t="s">
        <v>25</v>
      </c>
      <c r="I716" s="355"/>
      <c r="J716" s="355"/>
      <c r="K716" s="355" t="s">
        <v>43</v>
      </c>
    </row>
    <row r="717" spans="1:11">
      <c r="A717" s="222" t="str">
        <f>VLOOKUP(D717,'15. CUSTOS DER - MÃO DE OBRA'!A:B,2,0)</f>
        <v>SERVENTE</v>
      </c>
      <c r="B717" s="225" t="s">
        <v>9013</v>
      </c>
      <c r="C717" s="225" t="s">
        <v>17664</v>
      </c>
      <c r="D717" s="225">
        <v>200130</v>
      </c>
      <c r="E717" s="242">
        <f>VLOOKUP(D717,'15. CUSTOS DER - MÃO DE OBRA'!A:C,3,0)</f>
        <v>2.2000000000000002</v>
      </c>
      <c r="F717" s="225"/>
      <c r="G717" s="225">
        <f>VLOOKUP(D717,'15. CUSTOS DER - MÃO DE OBRA'!A:D,4,0)</f>
        <v>31.46</v>
      </c>
      <c r="H717" s="241">
        <v>4</v>
      </c>
      <c r="I717" s="225"/>
      <c r="J717" s="225"/>
      <c r="K717" s="242">
        <f>G717*H717</f>
        <v>125.84</v>
      </c>
    </row>
    <row r="718" spans="1:11">
      <c r="A718" s="222"/>
      <c r="B718" s="225"/>
      <c r="C718" s="225"/>
      <c r="D718" s="225"/>
      <c r="E718" s="242"/>
      <c r="F718" s="225"/>
      <c r="G718" s="225"/>
      <c r="H718" s="241"/>
      <c r="I718" s="225"/>
      <c r="J718" s="225"/>
      <c r="K718" s="242"/>
    </row>
    <row r="719" spans="1:11">
      <c r="A719" s="358"/>
      <c r="B719" s="359"/>
      <c r="C719" s="359"/>
      <c r="D719" s="359"/>
      <c r="E719" s="359"/>
      <c r="F719" s="359"/>
      <c r="G719" s="359"/>
      <c r="H719" s="359"/>
      <c r="I719" s="359"/>
      <c r="J719" s="360" t="s">
        <v>48</v>
      </c>
      <c r="K719" s="361">
        <f>SUM(K717:K718)</f>
        <v>125.84</v>
      </c>
    </row>
    <row r="720" spans="1:11">
      <c r="A720" s="354" t="s">
        <v>49</v>
      </c>
      <c r="B720" s="355" t="s">
        <v>11308</v>
      </c>
      <c r="C720" s="355" t="s">
        <v>17663</v>
      </c>
      <c r="D720" s="355" t="s">
        <v>0</v>
      </c>
      <c r="E720" s="355" t="s">
        <v>14</v>
      </c>
      <c r="F720" s="355" t="s">
        <v>50</v>
      </c>
      <c r="G720" s="355" t="s">
        <v>29</v>
      </c>
      <c r="H720" s="355" t="s">
        <v>30</v>
      </c>
      <c r="I720" s="355"/>
      <c r="J720" s="355"/>
      <c r="K720" s="355" t="s">
        <v>33</v>
      </c>
    </row>
    <row r="721" spans="1:11">
      <c r="A721" s="222"/>
      <c r="B721" s="225"/>
      <c r="C721" s="225"/>
      <c r="D721" s="225"/>
      <c r="E721" s="225"/>
      <c r="F721" s="225"/>
      <c r="G721" s="225"/>
      <c r="H721" s="225"/>
      <c r="I721" s="225"/>
      <c r="J721" s="225"/>
      <c r="K721" s="357"/>
    </row>
    <row r="722" spans="1:11">
      <c r="A722" s="222"/>
      <c r="B722" s="225"/>
      <c r="C722" s="225"/>
      <c r="D722" s="225"/>
      <c r="E722" s="225"/>
      <c r="F722" s="225"/>
      <c r="G722" s="225"/>
      <c r="H722" s="225"/>
      <c r="I722" s="225"/>
      <c r="J722" s="225"/>
      <c r="K722" s="357"/>
    </row>
    <row r="723" spans="1:11">
      <c r="A723" s="358"/>
      <c r="B723" s="359"/>
      <c r="C723" s="359"/>
      <c r="D723" s="359"/>
      <c r="E723" s="359"/>
      <c r="F723" s="359"/>
      <c r="G723" s="359"/>
      <c r="H723" s="359"/>
      <c r="I723" s="359"/>
      <c r="J723" s="360" t="s">
        <v>51</v>
      </c>
      <c r="K723" s="361">
        <f>SUM(K722:K722)</f>
        <v>0</v>
      </c>
    </row>
    <row r="724" spans="1:11">
      <c r="A724" s="568" t="s">
        <v>52</v>
      </c>
      <c r="B724" s="568"/>
      <c r="C724" s="568"/>
      <c r="D724" s="568"/>
      <c r="E724" s="568"/>
      <c r="F724" s="568"/>
      <c r="G724" s="568"/>
      <c r="H724" s="568"/>
      <c r="I724" s="568"/>
      <c r="J724" s="568"/>
      <c r="K724" s="361">
        <f>K715+K719+K723</f>
        <v>256.34000000000003</v>
      </c>
    </row>
    <row r="725" spans="1:11">
      <c r="A725" s="568" t="s">
        <v>53</v>
      </c>
      <c r="B725" s="568"/>
      <c r="C725" s="568"/>
      <c r="D725" s="568"/>
      <c r="E725" s="568"/>
      <c r="F725" s="568"/>
      <c r="G725" s="568"/>
      <c r="H725" s="568"/>
      <c r="I725" s="568"/>
      <c r="J725" s="568"/>
      <c r="K725" s="361">
        <v>5.6</v>
      </c>
    </row>
    <row r="726" spans="1:11">
      <c r="A726" s="566" t="s">
        <v>54</v>
      </c>
      <c r="B726" s="566"/>
      <c r="C726" s="566"/>
      <c r="D726" s="566"/>
      <c r="E726" s="566"/>
      <c r="F726" s="566"/>
      <c r="G726" s="566"/>
      <c r="H726" s="566"/>
      <c r="I726" s="566"/>
      <c r="J726" s="566"/>
      <c r="K726" s="362">
        <f>IF(K724=0,0,K724/K725)</f>
        <v>45.775000000000006</v>
      </c>
    </row>
    <row r="727" spans="1:11">
      <c r="A727" s="354" t="s">
        <v>55</v>
      </c>
      <c r="B727" s="355" t="s">
        <v>11308</v>
      </c>
      <c r="C727" s="355" t="s">
        <v>17663</v>
      </c>
      <c r="D727" s="355" t="s">
        <v>0</v>
      </c>
      <c r="E727" s="355" t="s">
        <v>2</v>
      </c>
      <c r="F727" s="567" t="s">
        <v>9</v>
      </c>
      <c r="G727" s="567"/>
      <c r="H727" s="567" t="s">
        <v>25</v>
      </c>
      <c r="I727" s="567"/>
      <c r="J727" s="355"/>
      <c r="K727" s="355" t="s">
        <v>56</v>
      </c>
    </row>
    <row r="728" spans="1:11">
      <c r="A728" s="222"/>
      <c r="B728" s="225"/>
      <c r="C728" s="225"/>
      <c r="D728" s="225"/>
      <c r="E728" s="225"/>
      <c r="F728" s="225"/>
      <c r="G728" s="224"/>
      <c r="H728" s="241"/>
      <c r="I728" s="241"/>
      <c r="J728" s="225"/>
      <c r="K728" s="242"/>
    </row>
    <row r="729" spans="1:11">
      <c r="A729" s="222"/>
      <c r="B729" s="225"/>
      <c r="C729" s="225"/>
      <c r="D729" s="225"/>
      <c r="E729" s="225"/>
      <c r="F729" s="225"/>
      <c r="G729" s="224"/>
      <c r="H729" s="241"/>
      <c r="I729" s="241"/>
      <c r="J729" s="225"/>
      <c r="K729" s="242"/>
    </row>
    <row r="730" spans="1:11">
      <c r="A730" s="364"/>
      <c r="B730" s="365"/>
      <c r="C730" s="365"/>
      <c r="D730" s="365"/>
      <c r="E730" s="365"/>
      <c r="F730" s="365"/>
      <c r="G730" s="365"/>
      <c r="H730" s="365"/>
      <c r="I730" s="365"/>
      <c r="J730" s="366" t="s">
        <v>57</v>
      </c>
      <c r="K730" s="362">
        <f>SUM(K728:K729)</f>
        <v>0</v>
      </c>
    </row>
    <row r="731" spans="1:11">
      <c r="A731" s="354" t="s">
        <v>58</v>
      </c>
      <c r="B731" s="355" t="s">
        <v>11308</v>
      </c>
      <c r="C731" s="355" t="s">
        <v>17663</v>
      </c>
      <c r="D731" s="355" t="s">
        <v>0</v>
      </c>
      <c r="E731" s="355" t="s">
        <v>2</v>
      </c>
      <c r="F731" s="567" t="s">
        <v>9</v>
      </c>
      <c r="G731" s="567"/>
      <c r="H731" s="567" t="s">
        <v>25</v>
      </c>
      <c r="I731" s="567"/>
      <c r="J731" s="355"/>
      <c r="K731" s="355" t="s">
        <v>56</v>
      </c>
    </row>
    <row r="732" spans="1:11">
      <c r="A732" s="222"/>
      <c r="B732" s="225"/>
      <c r="C732" s="225"/>
      <c r="D732" s="225"/>
      <c r="E732" s="225"/>
      <c r="F732" s="225"/>
      <c r="G732" s="225"/>
      <c r="H732" s="241"/>
      <c r="I732" s="225"/>
      <c r="J732" s="241"/>
      <c r="K732" s="242"/>
    </row>
    <row r="733" spans="1:11">
      <c r="A733" s="222"/>
      <c r="B733" s="225"/>
      <c r="C733" s="225"/>
      <c r="D733" s="225"/>
      <c r="E733" s="225"/>
      <c r="F733" s="225"/>
      <c r="G733" s="225"/>
      <c r="H733" s="241"/>
      <c r="I733" s="243"/>
      <c r="J733" s="241"/>
      <c r="K733" s="242"/>
    </row>
    <row r="734" spans="1:11">
      <c r="A734" s="364"/>
      <c r="B734" s="365"/>
      <c r="C734" s="365"/>
      <c r="D734" s="365"/>
      <c r="E734" s="365"/>
      <c r="F734" s="365"/>
      <c r="G734" s="365"/>
      <c r="H734" s="365"/>
      <c r="I734" s="365"/>
      <c r="J734" s="366" t="s">
        <v>59</v>
      </c>
      <c r="K734" s="362">
        <f>SUM(K732:K733)</f>
        <v>0</v>
      </c>
    </row>
    <row r="735" spans="1:11">
      <c r="E735" s="367"/>
      <c r="F735" s="367"/>
      <c r="G735" s="367"/>
      <c r="H735" s="367"/>
      <c r="I735" s="367"/>
      <c r="J735" s="368"/>
      <c r="K735" s="369"/>
    </row>
    <row r="736" spans="1:11">
      <c r="E736" s="367"/>
      <c r="F736" s="367"/>
      <c r="G736" s="367"/>
      <c r="H736" s="367"/>
      <c r="I736" s="367"/>
      <c r="J736" s="368"/>
      <c r="K736" s="369"/>
    </row>
    <row r="737" spans="1:11">
      <c r="A737" s="337" t="s">
        <v>22665</v>
      </c>
      <c r="B737" s="337" t="s">
        <v>371</v>
      </c>
      <c r="C737" s="370" t="s">
        <v>328</v>
      </c>
      <c r="D737" s="563" t="s">
        <v>289</v>
      </c>
      <c r="E737" s="563"/>
      <c r="F737" s="563"/>
      <c r="G737" s="563"/>
      <c r="H737" s="563"/>
      <c r="I737" s="563"/>
      <c r="J737" s="253" t="s">
        <v>17667</v>
      </c>
      <c r="K737" s="373">
        <f>K752+K756+K760</f>
        <v>26.057666666666666</v>
      </c>
    </row>
    <row r="738" spans="1:11">
      <c r="A738" s="354" t="s">
        <v>27</v>
      </c>
      <c r="B738" s="355" t="s">
        <v>11308</v>
      </c>
      <c r="C738" s="355" t="s">
        <v>17663</v>
      </c>
      <c r="D738" s="355" t="s">
        <v>0</v>
      </c>
      <c r="E738" s="355" t="s">
        <v>1</v>
      </c>
      <c r="F738" s="355" t="s">
        <v>39</v>
      </c>
      <c r="G738" s="355" t="s">
        <v>40</v>
      </c>
      <c r="H738" s="355" t="s">
        <v>41</v>
      </c>
      <c r="I738" s="355" t="s">
        <v>42</v>
      </c>
      <c r="J738" s="355"/>
      <c r="K738" s="355" t="s">
        <v>43</v>
      </c>
    </row>
    <row r="739" spans="1:11">
      <c r="A739" s="222" t="str">
        <f>VLOOKUP(D739,'17. CUSTOS DER - EQUIPAMENTOS'!A:B,2,0)</f>
        <v>CAMINHÃO CARROCERIA 815/37 6 T</v>
      </c>
      <c r="B739" s="225" t="s">
        <v>9013</v>
      </c>
      <c r="C739" s="225" t="s">
        <v>22635</v>
      </c>
      <c r="D739" s="225">
        <v>346080</v>
      </c>
      <c r="E739" s="241">
        <v>1</v>
      </c>
      <c r="F739" s="241">
        <v>0.5</v>
      </c>
      <c r="G739" s="356">
        <v>0.5</v>
      </c>
      <c r="H739" s="242">
        <f>VLOOKUP(D739,'17. CUSTOS DER - EQUIPAMENTOS'!A:O,15,0)</f>
        <v>197.05</v>
      </c>
      <c r="I739" s="242">
        <f>VLOOKUP(D739,'17. CUSTOS DER - EQUIPAMENTOS'!A:P,16,0)</f>
        <v>63.95</v>
      </c>
      <c r="J739" s="225"/>
      <c r="K739" s="242">
        <f>((F739*H739)+(G739*I739))*E739</f>
        <v>130.5</v>
      </c>
    </row>
    <row r="740" spans="1:11">
      <c r="A740" s="222" t="str">
        <f>VLOOKUP(D740,'17. CUSTOS DER - EQUIPAMENTOS'!A:B,2,0)</f>
        <v>RETROESCAVADEIRA 580N LEVE</v>
      </c>
      <c r="B740" s="225" t="s">
        <v>9013</v>
      </c>
      <c r="C740" s="225" t="s">
        <v>22635</v>
      </c>
      <c r="D740" s="225">
        <v>312520</v>
      </c>
      <c r="E740" s="241">
        <v>1</v>
      </c>
      <c r="F740" s="241">
        <v>0.24</v>
      </c>
      <c r="G740" s="356">
        <v>0.76</v>
      </c>
      <c r="H740" s="242">
        <f>VLOOKUP(D740,'17. CUSTOS DER - EQUIPAMENTOS'!A:O,15,0)</f>
        <v>149.58000000000001</v>
      </c>
      <c r="I740" s="242">
        <f>VLOOKUP(D740,'17. CUSTOS DER - EQUIPAMENTOS'!A:P,16,0)</f>
        <v>60.78</v>
      </c>
      <c r="J740" s="225"/>
      <c r="K740" s="242">
        <f>((F740*H740)+(G740*I740))*E740</f>
        <v>82.091999999999999</v>
      </c>
    </row>
    <row r="741" spans="1:11">
      <c r="A741" s="358"/>
      <c r="B741" s="359"/>
      <c r="C741" s="359"/>
      <c r="D741" s="359"/>
      <c r="E741" s="359"/>
      <c r="F741" s="359"/>
      <c r="G741" s="359"/>
      <c r="H741" s="359"/>
      <c r="I741" s="359"/>
      <c r="J741" s="360" t="s">
        <v>44</v>
      </c>
      <c r="K741" s="361">
        <f>SUM(K739:K740)</f>
        <v>212.59199999999998</v>
      </c>
    </row>
    <row r="742" spans="1:11">
      <c r="A742" s="354" t="s">
        <v>45</v>
      </c>
      <c r="B742" s="355" t="s">
        <v>11308</v>
      </c>
      <c r="C742" s="355" t="s">
        <v>17663</v>
      </c>
      <c r="D742" s="355" t="s">
        <v>0</v>
      </c>
      <c r="E742" s="355" t="s">
        <v>36</v>
      </c>
      <c r="F742" s="355" t="s">
        <v>46</v>
      </c>
      <c r="G742" s="355" t="s">
        <v>47</v>
      </c>
      <c r="H742" s="355" t="s">
        <v>25</v>
      </c>
      <c r="I742" s="355"/>
      <c r="J742" s="355"/>
      <c r="K742" s="355" t="s">
        <v>43</v>
      </c>
    </row>
    <row r="743" spans="1:11">
      <c r="A743" s="222" t="str">
        <f>VLOOKUP(D743,'15. CUSTOS DER - MÃO DE OBRA'!A:B,2,0)</f>
        <v>SERVENTE</v>
      </c>
      <c r="B743" s="225" t="s">
        <v>9013</v>
      </c>
      <c r="C743" s="225" t="s">
        <v>17664</v>
      </c>
      <c r="D743" s="225">
        <v>200130</v>
      </c>
      <c r="E743" s="242">
        <f>VLOOKUP(D743,'15. CUSTOS DER - MÃO DE OBRA'!A:C,3,0)</f>
        <v>2.2000000000000002</v>
      </c>
      <c r="F743" s="225"/>
      <c r="G743" s="225">
        <f>VLOOKUP(D743,'15. CUSTOS DER - MÃO DE OBRA'!A:D,4,0)</f>
        <v>31.46</v>
      </c>
      <c r="H743" s="241">
        <v>1</v>
      </c>
      <c r="I743" s="225"/>
      <c r="J743" s="225"/>
      <c r="K743" s="242">
        <f>G743*H743</f>
        <v>31.46</v>
      </c>
    </row>
    <row r="744" spans="1:11">
      <c r="A744" s="222" t="str">
        <f>VLOOKUP(D744,'15. CUSTOS DER - MÃO DE OBRA'!A:B,2,0)</f>
        <v>OPERADOR DA LEVE</v>
      </c>
      <c r="B744" s="225" t="s">
        <v>9013</v>
      </c>
      <c r="C744" s="225" t="s">
        <v>17664</v>
      </c>
      <c r="D744" s="225">
        <v>200120</v>
      </c>
      <c r="E744" s="242">
        <f>VLOOKUP(D744,'15. CUSTOS DER - MÃO DE OBRA'!A:C,3,0)</f>
        <v>2.4</v>
      </c>
      <c r="F744" s="225"/>
      <c r="G744" s="225">
        <f>VLOOKUP(D744,'15. CUSTOS DER - MÃO DE OBRA'!A:D,4,0)</f>
        <v>34.32</v>
      </c>
      <c r="H744" s="241">
        <v>2</v>
      </c>
      <c r="I744" s="225"/>
      <c r="J744" s="225"/>
      <c r="K744" s="242">
        <f>G744*H744</f>
        <v>68.64</v>
      </c>
    </row>
    <row r="745" spans="1:11">
      <c r="A745" s="358"/>
      <c r="B745" s="359"/>
      <c r="C745" s="359"/>
      <c r="D745" s="359"/>
      <c r="E745" s="359"/>
      <c r="F745" s="359"/>
      <c r="G745" s="359"/>
      <c r="H745" s="359"/>
      <c r="I745" s="359"/>
      <c r="J745" s="360" t="s">
        <v>48</v>
      </c>
      <c r="K745" s="361">
        <f>SUM(K743:K744)</f>
        <v>100.1</v>
      </c>
    </row>
    <row r="746" spans="1:11">
      <c r="A746" s="354" t="s">
        <v>49</v>
      </c>
      <c r="B746" s="355" t="s">
        <v>11308</v>
      </c>
      <c r="C746" s="355" t="s">
        <v>17663</v>
      </c>
      <c r="D746" s="355" t="s">
        <v>0</v>
      </c>
      <c r="E746" s="355" t="s">
        <v>14</v>
      </c>
      <c r="F746" s="355" t="s">
        <v>50</v>
      </c>
      <c r="G746" s="355" t="s">
        <v>29</v>
      </c>
      <c r="H746" s="355" t="s">
        <v>30</v>
      </c>
      <c r="I746" s="355"/>
      <c r="J746" s="355"/>
      <c r="K746" s="355" t="s">
        <v>33</v>
      </c>
    </row>
    <row r="747" spans="1:11">
      <c r="A747" s="222"/>
      <c r="B747" s="225"/>
      <c r="C747" s="225"/>
      <c r="D747" s="225"/>
      <c r="E747" s="225"/>
      <c r="F747" s="225"/>
      <c r="G747" s="225"/>
      <c r="H747" s="225"/>
      <c r="I747" s="225"/>
      <c r="J747" s="225"/>
      <c r="K747" s="357"/>
    </row>
    <row r="748" spans="1:11">
      <c r="A748" s="222"/>
      <c r="B748" s="225"/>
      <c r="C748" s="225"/>
      <c r="D748" s="225"/>
      <c r="E748" s="225"/>
      <c r="F748" s="225"/>
      <c r="G748" s="225"/>
      <c r="H748" s="225"/>
      <c r="I748" s="225"/>
      <c r="J748" s="225"/>
      <c r="K748" s="357"/>
    </row>
    <row r="749" spans="1:11">
      <c r="A749" s="358"/>
      <c r="B749" s="359"/>
      <c r="C749" s="359"/>
      <c r="D749" s="359"/>
      <c r="E749" s="359"/>
      <c r="F749" s="359"/>
      <c r="G749" s="359"/>
      <c r="H749" s="359"/>
      <c r="I749" s="359"/>
      <c r="J749" s="360" t="s">
        <v>51</v>
      </c>
      <c r="K749" s="361">
        <f>SUM(K748:K748)</f>
        <v>0</v>
      </c>
    </row>
    <row r="750" spans="1:11">
      <c r="A750" s="568" t="s">
        <v>52</v>
      </c>
      <c r="B750" s="568"/>
      <c r="C750" s="568"/>
      <c r="D750" s="568"/>
      <c r="E750" s="568"/>
      <c r="F750" s="568"/>
      <c r="G750" s="568"/>
      <c r="H750" s="568"/>
      <c r="I750" s="568"/>
      <c r="J750" s="568"/>
      <c r="K750" s="361">
        <f>K741+K745+K749</f>
        <v>312.69200000000001</v>
      </c>
    </row>
    <row r="751" spans="1:11">
      <c r="A751" s="568" t="s">
        <v>53</v>
      </c>
      <c r="B751" s="568"/>
      <c r="C751" s="568"/>
      <c r="D751" s="568"/>
      <c r="E751" s="568"/>
      <c r="F751" s="568"/>
      <c r="G751" s="568"/>
      <c r="H751" s="568"/>
      <c r="I751" s="568"/>
      <c r="J751" s="568"/>
      <c r="K751" s="361">
        <v>12</v>
      </c>
    </row>
    <row r="752" spans="1:11">
      <c r="A752" s="566" t="s">
        <v>54</v>
      </c>
      <c r="B752" s="566"/>
      <c r="C752" s="566"/>
      <c r="D752" s="566"/>
      <c r="E752" s="566"/>
      <c r="F752" s="566"/>
      <c r="G752" s="566"/>
      <c r="H752" s="566"/>
      <c r="I752" s="566"/>
      <c r="J752" s="566"/>
      <c r="K752" s="362">
        <f>IF(K750=0,0,K750/K751)</f>
        <v>26.057666666666666</v>
      </c>
    </row>
    <row r="753" spans="1:11">
      <c r="A753" s="354" t="s">
        <v>55</v>
      </c>
      <c r="B753" s="355" t="s">
        <v>11308</v>
      </c>
      <c r="C753" s="355" t="s">
        <v>17663</v>
      </c>
      <c r="D753" s="355" t="s">
        <v>0</v>
      </c>
      <c r="E753" s="355" t="s">
        <v>2</v>
      </c>
      <c r="F753" s="567" t="s">
        <v>9</v>
      </c>
      <c r="G753" s="567"/>
      <c r="H753" s="567" t="s">
        <v>25</v>
      </c>
      <c r="I753" s="567"/>
      <c r="J753" s="355"/>
      <c r="K753" s="355" t="s">
        <v>56</v>
      </c>
    </row>
    <row r="754" spans="1:11">
      <c r="A754" s="222"/>
      <c r="B754" s="225"/>
      <c r="C754" s="225"/>
      <c r="D754" s="225"/>
      <c r="E754" s="225"/>
      <c r="F754" s="225"/>
      <c r="G754" s="224"/>
      <c r="H754" s="241"/>
      <c r="I754" s="241"/>
      <c r="J754" s="225"/>
      <c r="K754" s="242"/>
    </row>
    <row r="755" spans="1:11">
      <c r="A755" s="222"/>
      <c r="B755" s="225"/>
      <c r="C755" s="225"/>
      <c r="D755" s="225"/>
      <c r="E755" s="225"/>
      <c r="F755" s="225"/>
      <c r="G755" s="224"/>
      <c r="H755" s="241"/>
      <c r="I755" s="241"/>
      <c r="J755" s="225"/>
      <c r="K755" s="242"/>
    </row>
    <row r="756" spans="1:11">
      <c r="A756" s="364"/>
      <c r="B756" s="365"/>
      <c r="C756" s="365"/>
      <c r="D756" s="365"/>
      <c r="E756" s="365"/>
      <c r="F756" s="365"/>
      <c r="G756" s="365"/>
      <c r="H756" s="365"/>
      <c r="I756" s="365"/>
      <c r="J756" s="366" t="s">
        <v>57</v>
      </c>
      <c r="K756" s="362">
        <f>SUM(K754:K755)</f>
        <v>0</v>
      </c>
    </row>
    <row r="757" spans="1:11">
      <c r="A757" s="354" t="s">
        <v>58</v>
      </c>
      <c r="B757" s="355" t="s">
        <v>11308</v>
      </c>
      <c r="C757" s="355" t="s">
        <v>17663</v>
      </c>
      <c r="D757" s="355" t="s">
        <v>0</v>
      </c>
      <c r="E757" s="355" t="s">
        <v>2</v>
      </c>
      <c r="F757" s="567" t="s">
        <v>9</v>
      </c>
      <c r="G757" s="567"/>
      <c r="H757" s="567" t="s">
        <v>25</v>
      </c>
      <c r="I757" s="567"/>
      <c r="J757" s="355"/>
      <c r="K757" s="355" t="s">
        <v>56</v>
      </c>
    </row>
    <row r="758" spans="1:11">
      <c r="A758" s="222"/>
      <c r="B758" s="225"/>
      <c r="C758" s="225"/>
      <c r="D758" s="225"/>
      <c r="E758" s="225"/>
      <c r="F758" s="225"/>
      <c r="G758" s="225"/>
      <c r="H758" s="241"/>
      <c r="I758" s="225"/>
      <c r="J758" s="241"/>
      <c r="K758" s="242"/>
    </row>
    <row r="759" spans="1:11">
      <c r="A759" s="222"/>
      <c r="B759" s="225"/>
      <c r="C759" s="225"/>
      <c r="D759" s="225"/>
      <c r="E759" s="225"/>
      <c r="F759" s="225"/>
      <c r="G759" s="225"/>
      <c r="H759" s="241"/>
      <c r="I759" s="243"/>
      <c r="J759" s="241"/>
      <c r="K759" s="242"/>
    </row>
    <row r="760" spans="1:11">
      <c r="A760" s="364"/>
      <c r="B760" s="365"/>
      <c r="C760" s="365"/>
      <c r="D760" s="365"/>
      <c r="E760" s="365"/>
      <c r="F760" s="365"/>
      <c r="G760" s="365"/>
      <c r="H760" s="365"/>
      <c r="I760" s="365"/>
      <c r="J760" s="366" t="s">
        <v>59</v>
      </c>
      <c r="K760" s="362">
        <f>SUM(K758:K759)</f>
        <v>0</v>
      </c>
    </row>
    <row r="761" spans="1:11">
      <c r="E761" s="367"/>
      <c r="F761" s="367"/>
      <c r="G761" s="367"/>
      <c r="H761" s="367"/>
      <c r="I761" s="367"/>
      <c r="J761" s="368"/>
      <c r="K761" s="369"/>
    </row>
    <row r="762" spans="1:11">
      <c r="E762" s="367"/>
      <c r="F762" s="367"/>
      <c r="G762" s="367"/>
      <c r="H762" s="367"/>
      <c r="I762" s="367"/>
      <c r="J762" s="368"/>
      <c r="K762" s="369"/>
    </row>
    <row r="763" spans="1:11">
      <c r="A763" s="337" t="s">
        <v>22666</v>
      </c>
      <c r="B763" s="337" t="s">
        <v>371</v>
      </c>
      <c r="C763" s="370" t="s">
        <v>22696</v>
      </c>
      <c r="D763" s="563" t="s">
        <v>290</v>
      </c>
      <c r="E763" s="563"/>
      <c r="F763" s="563"/>
      <c r="G763" s="563"/>
      <c r="H763" s="563"/>
      <c r="I763" s="563"/>
      <c r="J763" s="253" t="s">
        <v>17667</v>
      </c>
      <c r="K763" s="373">
        <f>K781+K788+K792</f>
        <v>335.54140000000001</v>
      </c>
    </row>
    <row r="764" spans="1:11">
      <c r="A764" s="354" t="s">
        <v>27</v>
      </c>
      <c r="B764" s="355" t="s">
        <v>11308</v>
      </c>
      <c r="C764" s="355" t="s">
        <v>17663</v>
      </c>
      <c r="D764" s="355" t="s">
        <v>0</v>
      </c>
      <c r="E764" s="355" t="s">
        <v>1</v>
      </c>
      <c r="F764" s="355" t="s">
        <v>39</v>
      </c>
      <c r="G764" s="355" t="s">
        <v>40</v>
      </c>
      <c r="H764" s="355" t="s">
        <v>41</v>
      </c>
      <c r="I764" s="355" t="s">
        <v>42</v>
      </c>
      <c r="J764" s="355"/>
      <c r="K764" s="355" t="s">
        <v>43</v>
      </c>
    </row>
    <row r="765" spans="1:11">
      <c r="A765" s="222" t="str">
        <f>VLOOKUP(D765,'17. CUSTOS DER - EQUIPAMENTOS'!A:B,2,0)</f>
        <v>BETONEIRA 600 L GASOLINA</v>
      </c>
      <c r="B765" s="225" t="s">
        <v>9013</v>
      </c>
      <c r="C765" s="225" t="s">
        <v>22635</v>
      </c>
      <c r="D765" s="225">
        <v>373200</v>
      </c>
      <c r="E765" s="356">
        <v>1</v>
      </c>
      <c r="F765" s="241">
        <v>0.02</v>
      </c>
      <c r="G765" s="356">
        <v>0</v>
      </c>
      <c r="H765" s="242">
        <f>VLOOKUP(D765,'17. CUSTOS DER - EQUIPAMENTOS'!A:O,15,0)</f>
        <v>23.95</v>
      </c>
      <c r="I765" s="242">
        <f>VLOOKUP(D765,'17. CUSTOS DER - EQUIPAMENTOS'!A:P,16,0)</f>
        <v>5.28</v>
      </c>
      <c r="J765" s="225"/>
      <c r="K765" s="242">
        <f>ROUND(((F765*H765)+(G765*I765))*E765,2)</f>
        <v>0.48</v>
      </c>
    </row>
    <row r="766" spans="1:11">
      <c r="A766" s="222" t="str">
        <f>VLOOKUP(D766,'17. CUSTOS DER - EQUIPAMENTOS'!A:B,2,0)</f>
        <v>CAMINHÃO CARROCERIA 815/37 6 T</v>
      </c>
      <c r="B766" s="225" t="s">
        <v>9013</v>
      </c>
      <c r="C766" s="225" t="s">
        <v>22635</v>
      </c>
      <c r="D766" s="225">
        <v>346080</v>
      </c>
      <c r="E766" s="356">
        <v>0.2</v>
      </c>
      <c r="F766" s="241">
        <v>0.05</v>
      </c>
      <c r="G766" s="356">
        <v>0</v>
      </c>
      <c r="H766" s="242">
        <f>VLOOKUP(D766,'17. CUSTOS DER - EQUIPAMENTOS'!A:O,15,0)</f>
        <v>197.05</v>
      </c>
      <c r="I766" s="242">
        <f>VLOOKUP(D766,'17. CUSTOS DER - EQUIPAMENTOS'!A:P,16,0)</f>
        <v>63.95</v>
      </c>
      <c r="J766" s="225"/>
      <c r="K766" s="242">
        <f>ROUND(((F766*H766)+(G766*I766))*E766,2)</f>
        <v>1.97</v>
      </c>
    </row>
    <row r="767" spans="1:11">
      <c r="A767" s="222" t="str">
        <f>VLOOKUP(D767,'17. CUSTOS DER - EQUIPAMENTOS'!A:B,2,0)</f>
        <v>CARRINHO DE CONCRETAGEM 80 L</v>
      </c>
      <c r="B767" s="225" t="s">
        <v>9013</v>
      </c>
      <c r="C767" s="225" t="s">
        <v>22635</v>
      </c>
      <c r="D767" s="225">
        <v>301800</v>
      </c>
      <c r="E767" s="356">
        <v>1</v>
      </c>
      <c r="F767" s="241">
        <v>0.15</v>
      </c>
      <c r="G767" s="356">
        <v>0</v>
      </c>
      <c r="H767" s="242">
        <f>VLOOKUP(D767,'17. CUSTOS DER - EQUIPAMENTOS'!A:O,15,0)</f>
        <v>0.3</v>
      </c>
      <c r="I767" s="242">
        <f>VLOOKUP(D767,'17. CUSTOS DER - EQUIPAMENTOS'!A:P,16,0)</f>
        <v>0.21</v>
      </c>
      <c r="J767" s="225"/>
      <c r="K767" s="242">
        <f>ROUND(((F767*H767)+(G767*I767))*E767,2)</f>
        <v>0.05</v>
      </c>
    </row>
    <row r="768" spans="1:11">
      <c r="A768" s="358"/>
      <c r="B768" s="359"/>
      <c r="C768" s="359"/>
      <c r="D768" s="359"/>
      <c r="E768" s="359"/>
      <c r="F768" s="359"/>
      <c r="G768" s="359"/>
      <c r="H768" s="359"/>
      <c r="I768" s="359"/>
      <c r="J768" s="360" t="s">
        <v>44</v>
      </c>
      <c r="K768" s="361">
        <f>SUM(K765:K767)</f>
        <v>2.5</v>
      </c>
    </row>
    <row r="769" spans="1:11">
      <c r="A769" s="354" t="s">
        <v>45</v>
      </c>
      <c r="B769" s="355" t="s">
        <v>11308</v>
      </c>
      <c r="C769" s="355" t="s">
        <v>17663</v>
      </c>
      <c r="D769" s="355" t="s">
        <v>0</v>
      </c>
      <c r="E769" s="355" t="s">
        <v>36</v>
      </c>
      <c r="F769" s="355" t="s">
        <v>46</v>
      </c>
      <c r="G769" s="355" t="s">
        <v>47</v>
      </c>
      <c r="H769" s="355" t="s">
        <v>25</v>
      </c>
      <c r="I769" s="355"/>
      <c r="J769" s="355"/>
      <c r="K769" s="355" t="s">
        <v>43</v>
      </c>
    </row>
    <row r="770" spans="1:11">
      <c r="A770" s="222" t="str">
        <f>VLOOKUP(D770,'15. CUSTOS DER - MÃO DE OBRA'!A:B,2,0)</f>
        <v>CARPINTEIRO</v>
      </c>
      <c r="B770" s="225" t="s">
        <v>9013</v>
      </c>
      <c r="C770" s="225" t="s">
        <v>17664</v>
      </c>
      <c r="D770" s="225">
        <v>200240</v>
      </c>
      <c r="E770" s="242">
        <f>VLOOKUP(D770,'15. CUSTOS DER - MÃO DE OBRA'!A:C,3,0)</f>
        <v>2.4</v>
      </c>
      <c r="F770" s="225"/>
      <c r="G770" s="225">
        <f>VLOOKUP(D770,'15. CUSTOS DER - MÃO DE OBRA'!A:D,4,0)</f>
        <v>34.32</v>
      </c>
      <c r="H770" s="356">
        <v>0.3</v>
      </c>
      <c r="I770" s="225"/>
      <c r="J770" s="225"/>
      <c r="K770" s="242">
        <f>ROUND(G770*H770,2)</f>
        <v>10.3</v>
      </c>
    </row>
    <row r="771" spans="1:11">
      <c r="A771" s="222" t="str">
        <f>VLOOKUP(D771,'15. CUSTOS DER - MÃO DE OBRA'!A:B,2,0)</f>
        <v>PEDREIRO</v>
      </c>
      <c r="B771" s="225" t="s">
        <v>9013</v>
      </c>
      <c r="C771" s="225" t="s">
        <v>17664</v>
      </c>
      <c r="D771" s="225">
        <v>200260</v>
      </c>
      <c r="E771" s="242">
        <f>VLOOKUP(D771,'15. CUSTOS DER - MÃO DE OBRA'!A:C,3,0)</f>
        <v>2.85</v>
      </c>
      <c r="F771" s="225"/>
      <c r="G771" s="225">
        <f>VLOOKUP(D771,'15. CUSTOS DER - MÃO DE OBRA'!A:D,4,0)</f>
        <v>40.76</v>
      </c>
      <c r="H771" s="356">
        <v>0.1</v>
      </c>
      <c r="I771" s="225"/>
      <c r="J771" s="225"/>
      <c r="K771" s="242">
        <f>ROUND(G771*H771,2)</f>
        <v>4.08</v>
      </c>
    </row>
    <row r="772" spans="1:11">
      <c r="A772" s="222" t="str">
        <f>VLOOKUP(D772,'15. CUSTOS DER - MÃO DE OBRA'!A:B,2,0)</f>
        <v>PINTOR</v>
      </c>
      <c r="B772" s="225" t="s">
        <v>9013</v>
      </c>
      <c r="C772" s="225" t="s">
        <v>17664</v>
      </c>
      <c r="D772" s="225">
        <v>200270</v>
      </c>
      <c r="E772" s="242">
        <f>VLOOKUP(D772,'15. CUSTOS DER - MÃO DE OBRA'!A:C,3,0)</f>
        <v>2.85</v>
      </c>
      <c r="F772" s="225"/>
      <c r="G772" s="225">
        <f>VLOOKUP(D772,'15. CUSTOS DER - MÃO DE OBRA'!A:D,4,0)</f>
        <v>40.76</v>
      </c>
      <c r="H772" s="356">
        <v>0.1</v>
      </c>
      <c r="I772" s="225"/>
      <c r="J772" s="225"/>
      <c r="K772" s="242">
        <f>ROUND(G772*H772,2)</f>
        <v>4.08</v>
      </c>
    </row>
    <row r="773" spans="1:11">
      <c r="A773" s="222" t="str">
        <f>VLOOKUP(D773,'15. CUSTOS DER - MÃO DE OBRA'!A:B,2,0)</f>
        <v>SERVENTE</v>
      </c>
      <c r="B773" s="225" t="s">
        <v>9013</v>
      </c>
      <c r="C773" s="225" t="s">
        <v>17664</v>
      </c>
      <c r="D773" s="225">
        <v>200130</v>
      </c>
      <c r="E773" s="242">
        <f>VLOOKUP(D773,'15. CUSTOS DER - MÃO DE OBRA'!A:C,3,0)</f>
        <v>2.2000000000000002</v>
      </c>
      <c r="F773" s="225"/>
      <c r="G773" s="225">
        <f>VLOOKUP(D773,'15. CUSTOS DER - MÃO DE OBRA'!A:D,4,0)</f>
        <v>31.46</v>
      </c>
      <c r="H773" s="356">
        <v>0.6</v>
      </c>
      <c r="I773" s="225"/>
      <c r="J773" s="225"/>
      <c r="K773" s="242">
        <f>ROUND(G773*H773,2)</f>
        <v>18.88</v>
      </c>
    </row>
    <row r="774" spans="1:11">
      <c r="A774" s="358"/>
      <c r="B774" s="359"/>
      <c r="C774" s="359"/>
      <c r="D774" s="359"/>
      <c r="E774" s="359"/>
      <c r="F774" s="359"/>
      <c r="G774" s="359"/>
      <c r="H774" s="359"/>
      <c r="I774" s="359"/>
      <c r="J774" s="360" t="s">
        <v>48</v>
      </c>
      <c r="K774" s="361">
        <f>SUM(K770:K773)</f>
        <v>37.340000000000003</v>
      </c>
    </row>
    <row r="775" spans="1:11">
      <c r="A775" s="354" t="s">
        <v>49</v>
      </c>
      <c r="B775" s="355" t="s">
        <v>11308</v>
      </c>
      <c r="C775" s="355" t="s">
        <v>17663</v>
      </c>
      <c r="D775" s="355" t="s">
        <v>0</v>
      </c>
      <c r="E775" s="355" t="s">
        <v>14</v>
      </c>
      <c r="F775" s="355" t="s">
        <v>50</v>
      </c>
      <c r="G775" s="355" t="s">
        <v>29</v>
      </c>
      <c r="H775" s="355" t="s">
        <v>30</v>
      </c>
      <c r="I775" s="355"/>
      <c r="J775" s="355"/>
      <c r="K775" s="355" t="s">
        <v>33</v>
      </c>
    </row>
    <row r="776" spans="1:11">
      <c r="A776" s="222" t="s">
        <v>74</v>
      </c>
      <c r="B776" s="225"/>
      <c r="C776" s="225"/>
      <c r="D776" s="225">
        <v>29990</v>
      </c>
      <c r="E776" s="243">
        <v>5</v>
      </c>
      <c r="F776" s="225" t="s">
        <v>32</v>
      </c>
      <c r="G776" s="225"/>
      <c r="H776" s="225"/>
      <c r="I776" s="225"/>
      <c r="J776" s="225"/>
      <c r="K776" s="242">
        <f>TRUNC(K774*E776/100,2)</f>
        <v>1.86</v>
      </c>
    </row>
    <row r="777" spans="1:11">
      <c r="A777" s="222"/>
      <c r="B777" s="225"/>
      <c r="C777" s="225"/>
      <c r="D777" s="225"/>
      <c r="E777" s="225"/>
      <c r="F777" s="225"/>
      <c r="G777" s="224"/>
      <c r="H777" s="241"/>
      <c r="I777" s="240"/>
      <c r="J777" s="241"/>
      <c r="K777" s="242"/>
    </row>
    <row r="778" spans="1:11">
      <c r="A778" s="358"/>
      <c r="B778" s="359"/>
      <c r="C778" s="359"/>
      <c r="D778" s="359"/>
      <c r="E778" s="359"/>
      <c r="F778" s="359"/>
      <c r="G778" s="359"/>
      <c r="H778" s="359"/>
      <c r="I778" s="359"/>
      <c r="J778" s="360" t="s">
        <v>51</v>
      </c>
      <c r="K778" s="361">
        <f>SUM(K776:K776)</f>
        <v>1.86</v>
      </c>
    </row>
    <row r="779" spans="1:11">
      <c r="A779" s="568" t="s">
        <v>52</v>
      </c>
      <c r="B779" s="568"/>
      <c r="C779" s="568"/>
      <c r="D779" s="568"/>
      <c r="E779" s="568"/>
      <c r="F779" s="568"/>
      <c r="G779" s="568"/>
      <c r="H779" s="568"/>
      <c r="I779" s="568"/>
      <c r="J779" s="568"/>
      <c r="K779" s="361">
        <f>K768+K774+K778</f>
        <v>41.7</v>
      </c>
    </row>
    <row r="780" spans="1:11">
      <c r="A780" s="568" t="s">
        <v>53</v>
      </c>
      <c r="B780" s="568"/>
      <c r="C780" s="568"/>
      <c r="D780" s="568"/>
      <c r="E780" s="568"/>
      <c r="F780" s="568"/>
      <c r="G780" s="568"/>
      <c r="H780" s="568"/>
      <c r="I780" s="568"/>
      <c r="J780" s="568"/>
      <c r="K780" s="361">
        <v>0.5</v>
      </c>
    </row>
    <row r="781" spans="1:11">
      <c r="A781" s="566" t="s">
        <v>54</v>
      </c>
      <c r="B781" s="566"/>
      <c r="C781" s="566"/>
      <c r="D781" s="566"/>
      <c r="E781" s="566"/>
      <c r="F781" s="566"/>
      <c r="G781" s="566"/>
      <c r="H781" s="566"/>
      <c r="I781" s="566"/>
      <c r="J781" s="566"/>
      <c r="K781" s="362">
        <f>IF(K779=0,0,K779/K780)</f>
        <v>83.4</v>
      </c>
    </row>
    <row r="782" spans="1:11">
      <c r="A782" s="354" t="s">
        <v>55</v>
      </c>
      <c r="B782" s="355" t="s">
        <v>11308</v>
      </c>
      <c r="C782" s="355" t="s">
        <v>17663</v>
      </c>
      <c r="D782" s="355" t="s">
        <v>0</v>
      </c>
      <c r="E782" s="355" t="s">
        <v>2</v>
      </c>
      <c r="F782" s="567" t="s">
        <v>9</v>
      </c>
      <c r="G782" s="567"/>
      <c r="H782" s="567" t="s">
        <v>25</v>
      </c>
      <c r="I782" s="567"/>
      <c r="J782" s="355"/>
      <c r="K782" s="355" t="s">
        <v>56</v>
      </c>
    </row>
    <row r="783" spans="1:11">
      <c r="A783" s="222" t="str">
        <f>VLOOKUP(D783,'14. CUSTOS DER - MATERIAIS'!A:B,2,0)</f>
        <v>AREIA</v>
      </c>
      <c r="B783" s="225" t="s">
        <v>9013</v>
      </c>
      <c r="C783" s="225" t="s">
        <v>68</v>
      </c>
      <c r="D783" s="225">
        <v>139000</v>
      </c>
      <c r="E783" s="225" t="str">
        <f>VLOOKUP(D783,'14. CUSTOS DER - MATERIAIS'!A:C,3,0)</f>
        <v>M3</v>
      </c>
      <c r="F783" s="225"/>
      <c r="G783" s="224">
        <f>VLOOKUP(D783,'14. CUSTOS DER - MATERIAIS'!A:D,4,0)</f>
        <v>71.87</v>
      </c>
      <c r="H783" s="241"/>
      <c r="I783" s="241">
        <v>6.4000000000000001E-2</v>
      </c>
      <c r="J783" s="225"/>
      <c r="K783" s="242">
        <f>G783*I783</f>
        <v>4.5996800000000002</v>
      </c>
    </row>
    <row r="784" spans="1:11">
      <c r="A784" s="222" t="str">
        <f>VLOOKUP(D784,'14. CUSTOS DER - MATERIAIS'!A:B,2,0)</f>
        <v>CIMENTO PORTLAND (SACO DE 50KG)</v>
      </c>
      <c r="B784" s="225" t="s">
        <v>9013</v>
      </c>
      <c r="C784" s="225" t="s">
        <v>68</v>
      </c>
      <c r="D784" s="225">
        <v>173200</v>
      </c>
      <c r="E784" s="225" t="str">
        <f>VLOOKUP(D784,'14. CUSTOS DER - MATERIAIS'!A:C,3,0)</f>
        <v>T</v>
      </c>
      <c r="F784" s="225"/>
      <c r="G784" s="224">
        <f>VLOOKUP(D784,'14. CUSTOS DER - MATERIAIS'!A:D,4,0)</f>
        <v>566</v>
      </c>
      <c r="H784" s="241"/>
      <c r="I784" s="241">
        <v>2.7E-2</v>
      </c>
      <c r="J784" s="225"/>
      <c r="K784" s="242">
        <f>G784*I784</f>
        <v>15.282</v>
      </c>
    </row>
    <row r="785" spans="1:11">
      <c r="A785" s="222" t="str">
        <f>VLOOKUP(D785,'14. CUSTOS DER - MATERIAIS'!A:B,2,0)</f>
        <v>PEDRA BRITADA (COMERCIAL)</v>
      </c>
      <c r="B785" s="225" t="s">
        <v>9013</v>
      </c>
      <c r="C785" s="225" t="s">
        <v>68</v>
      </c>
      <c r="D785" s="225">
        <v>130000</v>
      </c>
      <c r="E785" s="225" t="str">
        <f>VLOOKUP(D785,'14. CUSTOS DER - MATERIAIS'!A:C,3,0)</f>
        <v>M3</v>
      </c>
      <c r="F785" s="225"/>
      <c r="G785" s="224">
        <f>VLOOKUP(D785,'14. CUSTOS DER - MATERIAIS'!A:D,4,0)</f>
        <v>65.78</v>
      </c>
      <c r="H785" s="241"/>
      <c r="I785" s="241">
        <v>7.3999999999999996E-2</v>
      </c>
      <c r="J785" s="225"/>
      <c r="K785" s="242">
        <f>G785*I785</f>
        <v>4.8677200000000003</v>
      </c>
    </row>
    <row r="786" spans="1:11">
      <c r="A786" s="222" t="str">
        <f>VLOOKUP(D786,'14. CUSTOS DER - MATERIAIS'!A:B,2,0)</f>
        <v>SUPORTE MADEIRA LEI 3"X3" PLACA SINALIZAÇÃO(3M)</v>
      </c>
      <c r="B786" s="225" t="s">
        <v>9013</v>
      </c>
      <c r="C786" s="225" t="s">
        <v>68</v>
      </c>
      <c r="D786" s="225">
        <v>160330</v>
      </c>
      <c r="E786" s="225" t="str">
        <f>VLOOKUP(D786,'14. CUSTOS DER - MATERIAIS'!A:C,3,0)</f>
        <v>UD</v>
      </c>
      <c r="F786" s="225"/>
      <c r="G786" s="224">
        <f>VLOOKUP(D786,'14. CUSTOS DER - MATERIAIS'!A:D,4,0)</f>
        <v>108.57</v>
      </c>
      <c r="H786" s="241"/>
      <c r="I786" s="241">
        <v>2</v>
      </c>
      <c r="J786" s="225"/>
      <c r="K786" s="242">
        <f>G786*I786</f>
        <v>217.14</v>
      </c>
    </row>
    <row r="787" spans="1:11">
      <c r="A787" s="222" t="str">
        <f>VLOOKUP(D787,'14. CUSTOS DER - MATERIAIS'!A:B,2,0)</f>
        <v>TINTA BASE RESINA ACRÍLICA EMULS. SOLVENTE-2 ANOS</v>
      </c>
      <c r="B787" s="225" t="s">
        <v>9013</v>
      </c>
      <c r="C787" s="225" t="s">
        <v>68</v>
      </c>
      <c r="D787" s="225">
        <v>100120</v>
      </c>
      <c r="E787" s="225" t="str">
        <f>VLOOKUP(D787,'14. CUSTOS DER - MATERIAIS'!A:C,3,0)</f>
        <v>L</v>
      </c>
      <c r="F787" s="225"/>
      <c r="G787" s="224">
        <f>VLOOKUP(D787,'14. CUSTOS DER - MATERIAIS'!A:D,4,0)</f>
        <v>25.63</v>
      </c>
      <c r="H787" s="241"/>
      <c r="I787" s="241">
        <v>0.4</v>
      </c>
      <c r="J787" s="225"/>
      <c r="K787" s="242">
        <f>G787*I787</f>
        <v>10.252000000000001</v>
      </c>
    </row>
    <row r="788" spans="1:11">
      <c r="A788" s="364"/>
      <c r="B788" s="365"/>
      <c r="C788" s="365"/>
      <c r="D788" s="365"/>
      <c r="E788" s="365"/>
      <c r="F788" s="365"/>
      <c r="G788" s="365"/>
      <c r="H788" s="365"/>
      <c r="I788" s="365"/>
      <c r="J788" s="366" t="s">
        <v>57</v>
      </c>
      <c r="K788" s="362">
        <f>SUM(K783:K787)</f>
        <v>252.1414</v>
      </c>
    </row>
    <row r="789" spans="1:11">
      <c r="A789" s="354" t="s">
        <v>58</v>
      </c>
      <c r="B789" s="355" t="s">
        <v>11308</v>
      </c>
      <c r="C789" s="355" t="s">
        <v>17663</v>
      </c>
      <c r="D789" s="355" t="s">
        <v>0</v>
      </c>
      <c r="E789" s="355" t="s">
        <v>2</v>
      </c>
      <c r="F789" s="567" t="s">
        <v>9</v>
      </c>
      <c r="G789" s="567"/>
      <c r="H789" s="567" t="s">
        <v>25</v>
      </c>
      <c r="I789" s="567"/>
      <c r="J789" s="355"/>
      <c r="K789" s="355" t="s">
        <v>56</v>
      </c>
    </row>
    <row r="790" spans="1:11">
      <c r="A790" s="222"/>
      <c r="B790" s="225"/>
      <c r="C790" s="225"/>
      <c r="D790" s="225"/>
      <c r="E790" s="225"/>
      <c r="F790" s="225"/>
      <c r="G790" s="224"/>
      <c r="H790" s="241"/>
      <c r="I790" s="240"/>
      <c r="J790" s="241"/>
      <c r="K790" s="242"/>
    </row>
    <row r="791" spans="1:11">
      <c r="A791" s="222"/>
      <c r="B791" s="225"/>
      <c r="C791" s="225"/>
      <c r="D791" s="225"/>
      <c r="E791" s="225"/>
      <c r="F791" s="225"/>
      <c r="G791" s="224"/>
      <c r="H791" s="241"/>
      <c r="I791" s="240"/>
      <c r="J791" s="241"/>
      <c r="K791" s="242"/>
    </row>
    <row r="792" spans="1:11">
      <c r="A792" s="364"/>
      <c r="B792" s="365"/>
      <c r="C792" s="365"/>
      <c r="D792" s="365"/>
      <c r="E792" s="365"/>
      <c r="F792" s="365"/>
      <c r="G792" s="365"/>
      <c r="H792" s="365"/>
      <c r="I792" s="365"/>
      <c r="J792" s="366" t="s">
        <v>59</v>
      </c>
      <c r="K792" s="362">
        <f>SUM(K791:K791)</f>
        <v>0</v>
      </c>
    </row>
    <row r="793" spans="1:11">
      <c r="E793" s="367"/>
      <c r="F793" s="367"/>
      <c r="G793" s="367"/>
      <c r="H793" s="367"/>
      <c r="I793" s="367"/>
      <c r="J793" s="368"/>
      <c r="K793" s="369"/>
    </row>
    <row r="794" spans="1:11">
      <c r="E794" s="367"/>
      <c r="F794" s="367"/>
      <c r="G794" s="367"/>
      <c r="H794" s="367"/>
      <c r="I794" s="367"/>
      <c r="J794" s="368"/>
      <c r="K794" s="369"/>
    </row>
    <row r="795" spans="1:11">
      <c r="A795" s="337" t="s">
        <v>22667</v>
      </c>
      <c r="B795" s="337" t="s">
        <v>371</v>
      </c>
      <c r="C795" s="370" t="s">
        <v>328</v>
      </c>
      <c r="D795" s="563" t="s">
        <v>298</v>
      </c>
      <c r="E795" s="563"/>
      <c r="F795" s="563"/>
      <c r="G795" s="563"/>
      <c r="H795" s="563"/>
      <c r="I795" s="563"/>
      <c r="J795" s="253" t="s">
        <v>17667</v>
      </c>
      <c r="K795" s="373">
        <f>K815+K823+K827</f>
        <v>92.439369333333332</v>
      </c>
    </row>
    <row r="796" spans="1:11">
      <c r="A796" s="354" t="s">
        <v>27</v>
      </c>
      <c r="B796" s="355" t="s">
        <v>11308</v>
      </c>
      <c r="C796" s="355" t="s">
        <v>17663</v>
      </c>
      <c r="D796" s="355" t="s">
        <v>0</v>
      </c>
      <c r="E796" s="355" t="s">
        <v>1</v>
      </c>
      <c r="F796" s="355" t="s">
        <v>39</v>
      </c>
      <c r="G796" s="355" t="s">
        <v>40</v>
      </c>
      <c r="H796" s="355" t="s">
        <v>41</v>
      </c>
      <c r="I796" s="355" t="s">
        <v>42</v>
      </c>
      <c r="J796" s="355"/>
      <c r="K796" s="355" t="s">
        <v>43</v>
      </c>
    </row>
    <row r="797" spans="1:11">
      <c r="A797" s="222" t="str">
        <f>VLOOKUP(D797,'17. CUSTOS DER - EQUIPAMENTOS'!A:B,2,0)</f>
        <v>BETONEIRA 600 L GASOLINA</v>
      </c>
      <c r="B797" s="225" t="s">
        <v>9013</v>
      </c>
      <c r="C797" s="225" t="s">
        <v>22635</v>
      </c>
      <c r="D797" s="225">
        <v>373200</v>
      </c>
      <c r="E797" s="241">
        <v>1</v>
      </c>
      <c r="F797" s="241">
        <v>0.1</v>
      </c>
      <c r="G797" s="356">
        <v>0</v>
      </c>
      <c r="H797" s="242">
        <f>VLOOKUP(D797,'17. CUSTOS DER - EQUIPAMENTOS'!A:O,15,0)</f>
        <v>23.95</v>
      </c>
      <c r="I797" s="242">
        <f>VLOOKUP(D797,'17. CUSTOS DER - EQUIPAMENTOS'!A:P,16,0)</f>
        <v>5.28</v>
      </c>
      <c r="J797" s="225"/>
      <c r="K797" s="242">
        <f t="shared" ref="K797:K802" si="0">((F797*H797)+(G797*I797))*E797</f>
        <v>2.395</v>
      </c>
    </row>
    <row r="798" spans="1:11">
      <c r="A798" s="222" t="str">
        <f>VLOOKUP(D798,'17. CUSTOS DER - EQUIPAMENTOS'!A:B,2,0)</f>
        <v>CAM. BASCUL. 1419 6M3 LEVE</v>
      </c>
      <c r="B798" s="225" t="s">
        <v>9013</v>
      </c>
      <c r="C798" s="225" t="s">
        <v>22635</v>
      </c>
      <c r="D798" s="225">
        <v>316060</v>
      </c>
      <c r="E798" s="241">
        <v>1</v>
      </c>
      <c r="F798" s="241">
        <v>0.1</v>
      </c>
      <c r="G798" s="356">
        <v>0</v>
      </c>
      <c r="H798" s="242">
        <f>VLOOKUP(D798,'17. CUSTOS DER - EQUIPAMENTOS'!A:O,15,0)</f>
        <v>254.76</v>
      </c>
      <c r="I798" s="242">
        <f>VLOOKUP(D798,'17. CUSTOS DER - EQUIPAMENTOS'!A:P,16,0)</f>
        <v>84.6</v>
      </c>
      <c r="J798" s="225"/>
      <c r="K798" s="242">
        <f t="shared" si="0"/>
        <v>25.475999999999999</v>
      </c>
    </row>
    <row r="799" spans="1:11">
      <c r="A799" s="222" t="str">
        <f>VLOOKUP(D799,'17. CUSTOS DER - EQUIPAMENTOS'!A:B,2,0)</f>
        <v>CAMINHÃO CARROCERIA 1419 14 T</v>
      </c>
      <c r="B799" s="225" t="s">
        <v>9013</v>
      </c>
      <c r="C799" s="225" t="s">
        <v>22635</v>
      </c>
      <c r="D799" s="225">
        <v>346000</v>
      </c>
      <c r="E799" s="241">
        <v>1</v>
      </c>
      <c r="F799" s="241">
        <v>0.08</v>
      </c>
      <c r="G799" s="356">
        <v>0</v>
      </c>
      <c r="H799" s="242">
        <f>VLOOKUP(D799,'17. CUSTOS DER - EQUIPAMENTOS'!A:O,15,0)</f>
        <v>248.47</v>
      </c>
      <c r="I799" s="242">
        <f>VLOOKUP(D799,'17. CUSTOS DER - EQUIPAMENTOS'!A:P,16,0)</f>
        <v>83.12</v>
      </c>
      <c r="J799" s="225"/>
      <c r="K799" s="242">
        <f t="shared" si="0"/>
        <v>19.877600000000001</v>
      </c>
    </row>
    <row r="800" spans="1:11">
      <c r="A800" s="222" t="str">
        <f>VLOOKUP(D800,'17. CUSTOS DER - EQUIPAMENTOS'!A:B,2,0)</f>
        <v>CARRINHO DE CONCRETAGEM 80 L</v>
      </c>
      <c r="B800" s="225" t="s">
        <v>9013</v>
      </c>
      <c r="C800" s="225" t="s">
        <v>22635</v>
      </c>
      <c r="D800" s="225">
        <v>301800</v>
      </c>
      <c r="E800" s="241">
        <v>1</v>
      </c>
      <c r="F800" s="241">
        <v>0.7</v>
      </c>
      <c r="G800" s="356">
        <v>0</v>
      </c>
      <c r="H800" s="242">
        <f>VLOOKUP(D800,'17. CUSTOS DER - EQUIPAMENTOS'!A:O,15,0)</f>
        <v>0.3</v>
      </c>
      <c r="I800" s="242">
        <f>VLOOKUP(D800,'17. CUSTOS DER - EQUIPAMENTOS'!A:P,16,0)</f>
        <v>0.21</v>
      </c>
      <c r="J800" s="225"/>
      <c r="K800" s="242">
        <f t="shared" si="0"/>
        <v>0.21</v>
      </c>
    </row>
    <row r="801" spans="1:11">
      <c r="A801" s="222" t="str">
        <f>VLOOKUP(D801,'17. CUSTOS DER - EQUIPAMENTOS'!A:B,2,0)</f>
        <v>GRUPO GERADOR  55 KVA</v>
      </c>
      <c r="B801" s="225" t="s">
        <v>9013</v>
      </c>
      <c r="C801" s="225" t="s">
        <v>22635</v>
      </c>
      <c r="D801" s="225">
        <v>340610</v>
      </c>
      <c r="E801" s="241">
        <v>1</v>
      </c>
      <c r="F801" s="241">
        <v>0.5</v>
      </c>
      <c r="G801" s="356">
        <v>0.5</v>
      </c>
      <c r="H801" s="242">
        <f>VLOOKUP(D801,'17. CUSTOS DER - EQUIPAMENTOS'!A:O,15,0)</f>
        <v>62.41</v>
      </c>
      <c r="I801" s="242">
        <f>VLOOKUP(D801,'17. CUSTOS DER - EQUIPAMENTOS'!A:P,16,0)</f>
        <v>3.8</v>
      </c>
      <c r="J801" s="225"/>
      <c r="K801" s="242">
        <f t="shared" si="0"/>
        <v>33.104999999999997</v>
      </c>
    </row>
    <row r="802" spans="1:11">
      <c r="A802" s="222" t="str">
        <f>VLOOKUP(D802,'17. CUSTOS DER - EQUIPAMENTOS'!A:B,2,0)</f>
        <v>MESA VIBRAT. COMPLETA ELÉTRICA</v>
      </c>
      <c r="B802" s="225" t="s">
        <v>9013</v>
      </c>
      <c r="C802" s="225" t="s">
        <v>22635</v>
      </c>
      <c r="D802" s="225">
        <v>300050</v>
      </c>
      <c r="E802" s="241">
        <v>1</v>
      </c>
      <c r="F802" s="241">
        <v>0.5</v>
      </c>
      <c r="G802" s="356">
        <v>0.5</v>
      </c>
      <c r="H802" s="242">
        <f>VLOOKUP(D802,'17. CUSTOS DER - EQUIPAMENTOS'!A:O,15,0)</f>
        <v>2.73</v>
      </c>
      <c r="I802" s="242">
        <f>VLOOKUP(D802,'17. CUSTOS DER - EQUIPAMENTOS'!A:P,16,0)</f>
        <v>1.91</v>
      </c>
      <c r="J802" s="225"/>
      <c r="K802" s="242">
        <f t="shared" si="0"/>
        <v>2.3199999999999998</v>
      </c>
    </row>
    <row r="803" spans="1:11">
      <c r="A803" s="358"/>
      <c r="B803" s="359"/>
      <c r="C803" s="359"/>
      <c r="D803" s="359"/>
      <c r="E803" s="359"/>
      <c r="F803" s="359"/>
      <c r="G803" s="359"/>
      <c r="H803" s="359"/>
      <c r="I803" s="359"/>
      <c r="J803" s="360" t="s">
        <v>44</v>
      </c>
      <c r="K803" s="361">
        <f>SUM(K797:K802)</f>
        <v>83.383599999999987</v>
      </c>
    </row>
    <row r="804" spans="1:11">
      <c r="A804" s="354" t="s">
        <v>45</v>
      </c>
      <c r="B804" s="355" t="s">
        <v>11308</v>
      </c>
      <c r="C804" s="355" t="s">
        <v>17663</v>
      </c>
      <c r="D804" s="355" t="s">
        <v>0</v>
      </c>
      <c r="E804" s="355" t="s">
        <v>36</v>
      </c>
      <c r="F804" s="355" t="s">
        <v>46</v>
      </c>
      <c r="G804" s="355" t="s">
        <v>47</v>
      </c>
      <c r="H804" s="355" t="s">
        <v>25</v>
      </c>
      <c r="I804" s="355"/>
      <c r="J804" s="355"/>
      <c r="K804" s="355" t="s">
        <v>43</v>
      </c>
    </row>
    <row r="805" spans="1:11">
      <c r="A805" s="222" t="str">
        <f>VLOOKUP(D805,'15. CUSTOS DER - MÃO DE OBRA'!A:B,2,0)</f>
        <v>ENCARREGADO DE SERVIÇO</v>
      </c>
      <c r="B805" s="225" t="s">
        <v>9013</v>
      </c>
      <c r="C805" s="225" t="s">
        <v>17664</v>
      </c>
      <c r="D805" s="225">
        <v>210060</v>
      </c>
      <c r="E805" s="242">
        <f>VLOOKUP(D805,'15. CUSTOS DER - MÃO DE OBRA'!A:C,3,0)</f>
        <v>6</v>
      </c>
      <c r="F805" s="225"/>
      <c r="G805" s="225">
        <f>VLOOKUP(D805,'15. CUSTOS DER - MÃO DE OBRA'!A:D,4,0)</f>
        <v>85.81</v>
      </c>
      <c r="H805" s="241">
        <v>1</v>
      </c>
      <c r="I805" s="225"/>
      <c r="J805" s="225"/>
      <c r="K805" s="242">
        <f>G805*H805</f>
        <v>85.81</v>
      </c>
    </row>
    <row r="806" spans="1:11">
      <c r="A806" s="222" t="str">
        <f>VLOOKUP(D806,'15. CUSTOS DER - MÃO DE OBRA'!A:B,2,0)</f>
        <v>PEDREIRO</v>
      </c>
      <c r="B806" s="225" t="s">
        <v>9013</v>
      </c>
      <c r="C806" s="225" t="s">
        <v>17664</v>
      </c>
      <c r="D806" s="225">
        <v>200260</v>
      </c>
      <c r="E806" s="242">
        <f>VLOOKUP(D806,'15. CUSTOS DER - MÃO DE OBRA'!A:C,3,0)</f>
        <v>2.85</v>
      </c>
      <c r="F806" s="225"/>
      <c r="G806" s="225">
        <f>VLOOKUP(D806,'15. CUSTOS DER - MÃO DE OBRA'!A:D,4,0)</f>
        <v>40.76</v>
      </c>
      <c r="H806" s="241">
        <v>1</v>
      </c>
      <c r="I806" s="225"/>
      <c r="J806" s="225"/>
      <c r="K806" s="242">
        <f>G806*H806</f>
        <v>40.76</v>
      </c>
    </row>
    <row r="807" spans="1:11">
      <c r="A807" s="222" t="str">
        <f>VLOOKUP(D807,'15. CUSTOS DER - MÃO DE OBRA'!A:B,2,0)</f>
        <v>SERVENTE</v>
      </c>
      <c r="B807" s="225" t="s">
        <v>9013</v>
      </c>
      <c r="C807" s="225" t="s">
        <v>17664</v>
      </c>
      <c r="D807" s="225">
        <v>200130</v>
      </c>
      <c r="E807" s="242">
        <f>VLOOKUP(D807,'15. CUSTOS DER - MÃO DE OBRA'!A:C,3,0)</f>
        <v>2.2000000000000002</v>
      </c>
      <c r="F807" s="225"/>
      <c r="G807" s="225">
        <f>VLOOKUP(D807,'15. CUSTOS DER - MÃO DE OBRA'!A:D,4,0)</f>
        <v>31.46</v>
      </c>
      <c r="H807" s="241">
        <v>20</v>
      </c>
      <c r="I807" s="225"/>
      <c r="J807" s="225"/>
      <c r="K807" s="242">
        <f>G807*H807</f>
        <v>629.20000000000005</v>
      </c>
    </row>
    <row r="808" spans="1:11">
      <c r="A808" s="358"/>
      <c r="B808" s="359"/>
      <c r="C808" s="359"/>
      <c r="D808" s="359"/>
      <c r="E808" s="359"/>
      <c r="F808" s="359"/>
      <c r="G808" s="359"/>
      <c r="H808" s="359"/>
      <c r="I808" s="359"/>
      <c r="J808" s="360" t="s">
        <v>48</v>
      </c>
      <c r="K808" s="361">
        <f>SUM(K805:K807)</f>
        <v>755.77</v>
      </c>
    </row>
    <row r="809" spans="1:11">
      <c r="A809" s="354" t="s">
        <v>49</v>
      </c>
      <c r="B809" s="355" t="s">
        <v>11308</v>
      </c>
      <c r="C809" s="355" t="s">
        <v>17663</v>
      </c>
      <c r="D809" s="355" t="s">
        <v>0</v>
      </c>
      <c r="E809" s="355" t="s">
        <v>14</v>
      </c>
      <c r="F809" s="355" t="s">
        <v>50</v>
      </c>
      <c r="G809" s="355" t="s">
        <v>29</v>
      </c>
      <c r="H809" s="355" t="s">
        <v>30</v>
      </c>
      <c r="I809" s="355"/>
      <c r="J809" s="355"/>
      <c r="K809" s="355" t="s">
        <v>33</v>
      </c>
    </row>
    <row r="810" spans="1:11">
      <c r="A810" s="222" t="s">
        <v>31</v>
      </c>
      <c r="B810" s="225"/>
      <c r="C810" s="225"/>
      <c r="D810" s="225">
        <v>29990</v>
      </c>
      <c r="E810" s="225">
        <v>5</v>
      </c>
      <c r="F810" s="225" t="s">
        <v>32</v>
      </c>
      <c r="G810" s="225"/>
      <c r="H810" s="225"/>
      <c r="I810" s="225"/>
      <c r="J810" s="225"/>
      <c r="K810" s="242">
        <f>K808*(E810/100)</f>
        <v>37.788499999999999</v>
      </c>
    </row>
    <row r="811" spans="1:11">
      <c r="A811" s="222"/>
      <c r="B811" s="225"/>
      <c r="C811" s="225"/>
      <c r="D811" s="225"/>
      <c r="E811" s="225"/>
      <c r="F811" s="225"/>
      <c r="G811" s="225"/>
      <c r="H811" s="225"/>
      <c r="I811" s="225"/>
      <c r="J811" s="225"/>
      <c r="K811" s="357"/>
    </row>
    <row r="812" spans="1:11">
      <c r="A812" s="358"/>
      <c r="B812" s="359"/>
      <c r="C812" s="359"/>
      <c r="D812" s="359"/>
      <c r="E812" s="359"/>
      <c r="F812" s="359"/>
      <c r="G812" s="359"/>
      <c r="H812" s="359"/>
      <c r="I812" s="359"/>
      <c r="J812" s="360" t="s">
        <v>51</v>
      </c>
      <c r="K812" s="361">
        <f>SUM(K810:K811)</f>
        <v>37.788499999999999</v>
      </c>
    </row>
    <row r="813" spans="1:11">
      <c r="A813" s="568" t="s">
        <v>52</v>
      </c>
      <c r="B813" s="568"/>
      <c r="C813" s="568"/>
      <c r="D813" s="568"/>
      <c r="E813" s="568"/>
      <c r="F813" s="568"/>
      <c r="G813" s="568"/>
      <c r="H813" s="568"/>
      <c r="I813" s="568"/>
      <c r="J813" s="568"/>
      <c r="K813" s="361">
        <f>K803+K808+K812</f>
        <v>876.94209999999998</v>
      </c>
    </row>
    <row r="814" spans="1:11">
      <c r="A814" s="568" t="s">
        <v>53</v>
      </c>
      <c r="B814" s="568"/>
      <c r="C814" s="568"/>
      <c r="D814" s="568"/>
      <c r="E814" s="568"/>
      <c r="F814" s="568"/>
      <c r="G814" s="568"/>
      <c r="H814" s="568"/>
      <c r="I814" s="568"/>
      <c r="J814" s="568"/>
      <c r="K814" s="361">
        <v>30</v>
      </c>
    </row>
    <row r="815" spans="1:11">
      <c r="A815" s="566" t="s">
        <v>54</v>
      </c>
      <c r="B815" s="566"/>
      <c r="C815" s="566"/>
      <c r="D815" s="566"/>
      <c r="E815" s="566"/>
      <c r="F815" s="566"/>
      <c r="G815" s="566"/>
      <c r="H815" s="566"/>
      <c r="I815" s="566"/>
      <c r="J815" s="566"/>
      <c r="K815" s="362">
        <f>IF(K813=0,0,K813/K814)</f>
        <v>29.231403333333333</v>
      </c>
    </row>
    <row r="816" spans="1:11">
      <c r="A816" s="354" t="s">
        <v>55</v>
      </c>
      <c r="B816" s="355" t="s">
        <v>11308</v>
      </c>
      <c r="C816" s="355" t="s">
        <v>17663</v>
      </c>
      <c r="D816" s="355" t="s">
        <v>0</v>
      </c>
      <c r="E816" s="355" t="s">
        <v>2</v>
      </c>
      <c r="F816" s="567" t="s">
        <v>9</v>
      </c>
      <c r="G816" s="567"/>
      <c r="H816" s="567" t="s">
        <v>25</v>
      </c>
      <c r="I816" s="567"/>
      <c r="J816" s="355"/>
      <c r="K816" s="355" t="s">
        <v>56</v>
      </c>
    </row>
    <row r="817" spans="1:11">
      <c r="A817" s="222" t="str">
        <f>VLOOKUP(D817,'14. CUSTOS DER - MATERIAIS'!A:B,2,0)</f>
        <v>AREIA</v>
      </c>
      <c r="B817" s="225" t="s">
        <v>9013</v>
      </c>
      <c r="C817" s="225" t="s">
        <v>68</v>
      </c>
      <c r="D817" s="225">
        <v>139000</v>
      </c>
      <c r="E817" s="225" t="str">
        <f>VLOOKUP(D817,'14. CUSTOS DER - MATERIAIS'!A:C,3,0)</f>
        <v>M3</v>
      </c>
      <c r="F817" s="225"/>
      <c r="G817" s="224">
        <f>VLOOKUP(D817,'14. CUSTOS DER - MATERIAIS'!A:D,4,0)</f>
        <v>71.87</v>
      </c>
      <c r="H817" s="241"/>
      <c r="I817" s="241">
        <v>0.04</v>
      </c>
      <c r="J817" s="225"/>
      <c r="K817" s="242">
        <f t="shared" ref="K817:K822" si="1">G817*I817</f>
        <v>2.8748</v>
      </c>
    </row>
    <row r="818" spans="1:11">
      <c r="A818" s="222" t="str">
        <f>VLOOKUP(D818,'14. CUSTOS DER - MATERIAIS'!A:B,2,0)</f>
        <v>CIMENTO PORTLAND (SACO DE 50KG)</v>
      </c>
      <c r="B818" s="225" t="s">
        <v>9013</v>
      </c>
      <c r="C818" s="225" t="s">
        <v>68</v>
      </c>
      <c r="D818" s="225">
        <v>173200</v>
      </c>
      <c r="E818" s="225" t="str">
        <f>VLOOKUP(D818,'14. CUSTOS DER - MATERIAIS'!A:C,3,0)</f>
        <v>T</v>
      </c>
      <c r="F818" s="225"/>
      <c r="G818" s="224">
        <f>VLOOKUP(D818,'14. CUSTOS DER - MATERIAIS'!A:D,4,0)</f>
        <v>566</v>
      </c>
      <c r="H818" s="241"/>
      <c r="I818" s="241">
        <v>2E-3</v>
      </c>
      <c r="J818" s="225"/>
      <c r="K818" s="242">
        <f t="shared" si="1"/>
        <v>1.1320000000000001</v>
      </c>
    </row>
    <row r="819" spans="1:11">
      <c r="A819" s="222" t="str">
        <f>VLOOKUP(D819,'14. CUSTOS DER - MATERIAIS'!A:B,2,0)</f>
        <v>FERRO REDONDO CA-50 10,0MM</v>
      </c>
      <c r="B819" s="225" t="s">
        <v>9013</v>
      </c>
      <c r="C819" s="225" t="s">
        <v>68</v>
      </c>
      <c r="D819" s="225">
        <v>155380</v>
      </c>
      <c r="E819" s="225" t="str">
        <f>VLOOKUP(D819,'14. CUSTOS DER - MATERIAIS'!A:C,3,0)</f>
        <v>KG</v>
      </c>
      <c r="F819" s="225"/>
      <c r="G819" s="224">
        <f>VLOOKUP(D819,'14. CUSTOS DER - MATERIAIS'!A:D,4,0)</f>
        <v>7.59</v>
      </c>
      <c r="H819" s="241"/>
      <c r="I819" s="241">
        <v>0.8</v>
      </c>
      <c r="J819" s="225"/>
      <c r="K819" s="242">
        <f t="shared" si="1"/>
        <v>6.0720000000000001</v>
      </c>
    </row>
    <row r="820" spans="1:11">
      <c r="A820" s="222" t="str">
        <f>VLOOKUP(D820,'14. CUSTOS DER - MATERIAIS'!A:B,2,0)</f>
        <v>PEDRA BRITADA (COMERCIAL)</v>
      </c>
      <c r="B820" s="225" t="s">
        <v>9013</v>
      </c>
      <c r="C820" s="225" t="s">
        <v>68</v>
      </c>
      <c r="D820" s="225">
        <v>130000</v>
      </c>
      <c r="E820" s="225" t="str">
        <f>VLOOKUP(D820,'14. CUSTOS DER - MATERIAIS'!A:C,3,0)</f>
        <v>M3</v>
      </c>
      <c r="F820" s="225"/>
      <c r="G820" s="224">
        <f>VLOOKUP(D820,'14. CUSTOS DER - MATERIAIS'!A:D,4,0)</f>
        <v>65.78</v>
      </c>
      <c r="H820" s="241"/>
      <c r="I820" s="241">
        <v>4.7000000000000002E-3</v>
      </c>
      <c r="J820" s="225"/>
      <c r="K820" s="242">
        <f t="shared" si="1"/>
        <v>0.309166</v>
      </c>
    </row>
    <row r="821" spans="1:11" ht="31.5">
      <c r="A821" s="222" t="str">
        <f>VLOOKUP(D821,'22. CUSTOS SINAPI - MATERIAIS'!A:B,2,0)</f>
        <v>TELA DE ARAME GALVANIZADA QUADRANGULAR / LOSANGULAR, FIO 2,11 MM (14 BWG), MALHA 5 X 5 CM, H = 2 M</v>
      </c>
      <c r="B821" s="225" t="s">
        <v>9008</v>
      </c>
      <c r="C821" s="225" t="s">
        <v>68</v>
      </c>
      <c r="D821" s="225">
        <v>7167</v>
      </c>
      <c r="E821" s="372" t="str">
        <f>VLOOKUP(D821,'22. CUSTOS SINAPI - MATERIAIS'!A:C,3,0)</f>
        <v xml:space="preserve">M2    </v>
      </c>
      <c r="F821" s="225"/>
      <c r="G821" s="224">
        <f>VLOOKUP(D821,'22. CUSTOS SINAPI - MATERIAIS'!A:D,4,0)</f>
        <v>29.35</v>
      </c>
      <c r="H821" s="241"/>
      <c r="I821" s="241">
        <v>0.5</v>
      </c>
      <c r="J821" s="225"/>
      <c r="K821" s="242">
        <f t="shared" si="1"/>
        <v>14.675000000000001</v>
      </c>
    </row>
    <row r="822" spans="1:11" ht="31.5">
      <c r="A822" s="222" t="str">
        <f>VLOOKUP(D822,'22. CUSTOS SINAPI - MATERIAIS'!A:B,2,0)</f>
        <v>TELA DE ARAME GALVANIZADA QUADRANGULAR / LOSANGULAR, FIO 2,77 MM (12 BWG), MALHA 10 X 10 CM, H = 2 M</v>
      </c>
      <c r="B822" s="225" t="s">
        <v>9008</v>
      </c>
      <c r="C822" s="225" t="s">
        <v>68</v>
      </c>
      <c r="D822" s="225">
        <v>10933</v>
      </c>
      <c r="E822" s="372" t="str">
        <f>VLOOKUP(D822,'22. CUSTOS SINAPI - MATERIAIS'!A:C,3,0)</f>
        <v xml:space="preserve">M2    </v>
      </c>
      <c r="F822" s="225"/>
      <c r="G822" s="224">
        <f>VLOOKUP(D822,'22. CUSTOS SINAPI - MATERIAIS'!A:D,4,0)</f>
        <v>25.43</v>
      </c>
      <c r="H822" s="241"/>
      <c r="I822" s="241">
        <v>1.5</v>
      </c>
      <c r="J822" s="225"/>
      <c r="K822" s="242">
        <f t="shared" si="1"/>
        <v>38.144999999999996</v>
      </c>
    </row>
    <row r="823" spans="1:11">
      <c r="A823" s="364"/>
      <c r="B823" s="365"/>
      <c r="C823" s="365"/>
      <c r="D823" s="365"/>
      <c r="E823" s="365"/>
      <c r="F823" s="365"/>
      <c r="G823" s="365"/>
      <c r="H823" s="365"/>
      <c r="I823" s="365"/>
      <c r="J823" s="366" t="s">
        <v>57</v>
      </c>
      <c r="K823" s="362">
        <f>SUM(K817:K822)</f>
        <v>63.207965999999999</v>
      </c>
    </row>
    <row r="824" spans="1:11">
      <c r="A824" s="354" t="s">
        <v>58</v>
      </c>
      <c r="B824" s="355" t="s">
        <v>11308</v>
      </c>
      <c r="C824" s="355" t="s">
        <v>17663</v>
      </c>
      <c r="D824" s="355" t="s">
        <v>0</v>
      </c>
      <c r="E824" s="355" t="s">
        <v>2</v>
      </c>
      <c r="F824" s="567" t="s">
        <v>9</v>
      </c>
      <c r="G824" s="567"/>
      <c r="H824" s="567" t="s">
        <v>25</v>
      </c>
      <c r="I824" s="567"/>
      <c r="J824" s="355"/>
      <c r="K824" s="355" t="s">
        <v>56</v>
      </c>
    </row>
    <row r="825" spans="1:11">
      <c r="A825" s="222"/>
      <c r="B825" s="225"/>
      <c r="C825" s="225"/>
      <c r="D825" s="225"/>
      <c r="E825" s="225"/>
      <c r="F825" s="225"/>
      <c r="G825" s="225"/>
      <c r="H825" s="241"/>
      <c r="I825" s="225"/>
      <c r="J825" s="241"/>
      <c r="K825" s="242"/>
    </row>
    <row r="826" spans="1:11">
      <c r="A826" s="222"/>
      <c r="B826" s="225"/>
      <c r="C826" s="225"/>
      <c r="D826" s="225"/>
      <c r="E826" s="225"/>
      <c r="F826" s="225"/>
      <c r="G826" s="225"/>
      <c r="H826" s="241"/>
      <c r="I826" s="243"/>
      <c r="J826" s="241"/>
      <c r="K826" s="242"/>
    </row>
    <row r="827" spans="1:11">
      <c r="A827" s="364"/>
      <c r="B827" s="365"/>
      <c r="C827" s="365"/>
      <c r="D827" s="365"/>
      <c r="E827" s="365"/>
      <c r="F827" s="365"/>
      <c r="G827" s="365"/>
      <c r="H827" s="365"/>
      <c r="I827" s="365"/>
      <c r="J827" s="366" t="s">
        <v>59</v>
      </c>
      <c r="K827" s="362">
        <f>SUM(K825:K826)</f>
        <v>0</v>
      </c>
    </row>
    <row r="828" spans="1:11">
      <c r="E828" s="367"/>
      <c r="F828" s="367"/>
      <c r="G828" s="367"/>
      <c r="H828" s="367"/>
      <c r="I828" s="367"/>
      <c r="J828" s="368"/>
      <c r="K828" s="369"/>
    </row>
    <row r="829" spans="1:11">
      <c r="E829" s="367"/>
      <c r="F829" s="367"/>
      <c r="G829" s="367"/>
      <c r="H829" s="367"/>
      <c r="I829" s="367"/>
      <c r="J829" s="368"/>
      <c r="K829" s="369"/>
    </row>
    <row r="830" spans="1:11">
      <c r="A830" s="337" t="s">
        <v>22668</v>
      </c>
      <c r="B830" s="337" t="s">
        <v>371</v>
      </c>
      <c r="C830" s="370" t="s">
        <v>328</v>
      </c>
      <c r="D830" s="563" t="s">
        <v>299</v>
      </c>
      <c r="E830" s="563"/>
      <c r="F830" s="563"/>
      <c r="G830" s="563"/>
      <c r="H830" s="563"/>
      <c r="I830" s="563"/>
      <c r="J830" s="253" t="s">
        <v>17667</v>
      </c>
      <c r="K830" s="373">
        <f>K850+K857+K861</f>
        <v>90.479369333333324</v>
      </c>
    </row>
    <row r="831" spans="1:11">
      <c r="A831" s="354" t="s">
        <v>27</v>
      </c>
      <c r="B831" s="355" t="s">
        <v>11308</v>
      </c>
      <c r="C831" s="355" t="s">
        <v>17663</v>
      </c>
      <c r="D831" s="355" t="s">
        <v>0</v>
      </c>
      <c r="E831" s="355" t="s">
        <v>1</v>
      </c>
      <c r="F831" s="355" t="s">
        <v>39</v>
      </c>
      <c r="G831" s="355" t="s">
        <v>40</v>
      </c>
      <c r="H831" s="355" t="s">
        <v>41</v>
      </c>
      <c r="I831" s="355" t="s">
        <v>42</v>
      </c>
      <c r="J831" s="355"/>
      <c r="K831" s="355" t="s">
        <v>43</v>
      </c>
    </row>
    <row r="832" spans="1:11">
      <c r="A832" s="222" t="str">
        <f>VLOOKUP(D832,'17. CUSTOS DER - EQUIPAMENTOS'!A:B,2,0)</f>
        <v>BETONEIRA 600 L GASOLINA</v>
      </c>
      <c r="B832" s="225" t="s">
        <v>9013</v>
      </c>
      <c r="C832" s="225" t="s">
        <v>22635</v>
      </c>
      <c r="D832" s="225">
        <v>373200</v>
      </c>
      <c r="E832" s="241">
        <v>1</v>
      </c>
      <c r="F832" s="241">
        <v>0.1</v>
      </c>
      <c r="G832" s="356">
        <v>0</v>
      </c>
      <c r="H832" s="242">
        <f>VLOOKUP(D832,'17. CUSTOS DER - EQUIPAMENTOS'!A:O,15,0)</f>
        <v>23.95</v>
      </c>
      <c r="I832" s="242">
        <f>VLOOKUP(D832,'17. CUSTOS DER - EQUIPAMENTOS'!A:P,16,0)</f>
        <v>5.28</v>
      </c>
      <c r="J832" s="225"/>
      <c r="K832" s="242">
        <f t="shared" ref="K832:K837" si="2">((F832*H832)+(G832*I832))*E832</f>
        <v>2.395</v>
      </c>
    </row>
    <row r="833" spans="1:11">
      <c r="A833" s="222" t="str">
        <f>VLOOKUP(D833,'17. CUSTOS DER - EQUIPAMENTOS'!A:B,2,0)</f>
        <v>CAM. BASCUL. 1419 6M3 LEVE</v>
      </c>
      <c r="B833" s="225" t="s">
        <v>9013</v>
      </c>
      <c r="C833" s="225" t="s">
        <v>22635</v>
      </c>
      <c r="D833" s="225">
        <v>316060</v>
      </c>
      <c r="E833" s="241">
        <v>1</v>
      </c>
      <c r="F833" s="241">
        <v>0.1</v>
      </c>
      <c r="G833" s="356">
        <v>0</v>
      </c>
      <c r="H833" s="242">
        <f>VLOOKUP(D833,'17. CUSTOS DER - EQUIPAMENTOS'!A:O,15,0)</f>
        <v>254.76</v>
      </c>
      <c r="I833" s="242">
        <f>VLOOKUP(D833,'17. CUSTOS DER - EQUIPAMENTOS'!A:P,16,0)</f>
        <v>84.6</v>
      </c>
      <c r="J833" s="225"/>
      <c r="K833" s="242">
        <f t="shared" si="2"/>
        <v>25.475999999999999</v>
      </c>
    </row>
    <row r="834" spans="1:11">
      <c r="A834" s="222" t="str">
        <f>VLOOKUP(D834,'17. CUSTOS DER - EQUIPAMENTOS'!A:B,2,0)</f>
        <v>CAMINHÃO CARROCERIA 1419 14 T</v>
      </c>
      <c r="B834" s="225" t="s">
        <v>9013</v>
      </c>
      <c r="C834" s="225" t="s">
        <v>22635</v>
      </c>
      <c r="D834" s="225">
        <v>346000</v>
      </c>
      <c r="E834" s="241">
        <v>1</v>
      </c>
      <c r="F834" s="241">
        <v>0.08</v>
      </c>
      <c r="G834" s="356">
        <v>0</v>
      </c>
      <c r="H834" s="242">
        <f>VLOOKUP(D834,'17. CUSTOS DER - EQUIPAMENTOS'!A:O,15,0)</f>
        <v>248.47</v>
      </c>
      <c r="I834" s="242">
        <f>VLOOKUP(D834,'17. CUSTOS DER - EQUIPAMENTOS'!A:P,16,0)</f>
        <v>83.12</v>
      </c>
      <c r="J834" s="225"/>
      <c r="K834" s="242">
        <f t="shared" si="2"/>
        <v>19.877600000000001</v>
      </c>
    </row>
    <row r="835" spans="1:11">
      <c r="A835" s="222" t="str">
        <f>VLOOKUP(D835,'17. CUSTOS DER - EQUIPAMENTOS'!A:B,2,0)</f>
        <v>CARRINHO DE CONCRETAGEM 80 L</v>
      </c>
      <c r="B835" s="225" t="s">
        <v>9013</v>
      </c>
      <c r="C835" s="225" t="s">
        <v>22635</v>
      </c>
      <c r="D835" s="225">
        <v>301800</v>
      </c>
      <c r="E835" s="241">
        <v>1</v>
      </c>
      <c r="F835" s="241">
        <v>0.7</v>
      </c>
      <c r="G835" s="356">
        <v>0</v>
      </c>
      <c r="H835" s="242">
        <f>VLOOKUP(D835,'17. CUSTOS DER - EQUIPAMENTOS'!A:O,15,0)</f>
        <v>0.3</v>
      </c>
      <c r="I835" s="242">
        <f>VLOOKUP(D835,'17. CUSTOS DER - EQUIPAMENTOS'!A:P,16,0)</f>
        <v>0.21</v>
      </c>
      <c r="J835" s="225"/>
      <c r="K835" s="242">
        <f t="shared" si="2"/>
        <v>0.21</v>
      </c>
    </row>
    <row r="836" spans="1:11">
      <c r="A836" s="222" t="str">
        <f>VLOOKUP(D836,'17. CUSTOS DER - EQUIPAMENTOS'!A:B,2,0)</f>
        <v>GRUPO GERADOR  55 KVA</v>
      </c>
      <c r="B836" s="225" t="s">
        <v>9013</v>
      </c>
      <c r="C836" s="225" t="s">
        <v>22635</v>
      </c>
      <c r="D836" s="225">
        <v>340610</v>
      </c>
      <c r="E836" s="241">
        <v>1</v>
      </c>
      <c r="F836" s="241">
        <v>0.5</v>
      </c>
      <c r="G836" s="356">
        <v>0.5</v>
      </c>
      <c r="H836" s="242">
        <f>VLOOKUP(D836,'17. CUSTOS DER - EQUIPAMENTOS'!A:O,15,0)</f>
        <v>62.41</v>
      </c>
      <c r="I836" s="242">
        <f>VLOOKUP(D836,'17. CUSTOS DER - EQUIPAMENTOS'!A:P,16,0)</f>
        <v>3.8</v>
      </c>
      <c r="J836" s="225"/>
      <c r="K836" s="242">
        <f t="shared" si="2"/>
        <v>33.104999999999997</v>
      </c>
    </row>
    <row r="837" spans="1:11">
      <c r="A837" s="222" t="str">
        <f>VLOOKUP(D837,'17. CUSTOS DER - EQUIPAMENTOS'!A:B,2,0)</f>
        <v>MESA VIBRAT. COMPLETA ELÉTRICA</v>
      </c>
      <c r="B837" s="225" t="s">
        <v>9013</v>
      </c>
      <c r="C837" s="225" t="s">
        <v>22635</v>
      </c>
      <c r="D837" s="225">
        <v>300050</v>
      </c>
      <c r="E837" s="241">
        <v>1</v>
      </c>
      <c r="F837" s="241">
        <v>0.5</v>
      </c>
      <c r="G837" s="356">
        <v>0.5</v>
      </c>
      <c r="H837" s="242">
        <f>VLOOKUP(D837,'17. CUSTOS DER - EQUIPAMENTOS'!A:O,15,0)</f>
        <v>2.73</v>
      </c>
      <c r="I837" s="242">
        <f>VLOOKUP(D837,'17. CUSTOS DER - EQUIPAMENTOS'!A:P,16,0)</f>
        <v>1.91</v>
      </c>
      <c r="J837" s="225"/>
      <c r="K837" s="242">
        <f t="shared" si="2"/>
        <v>2.3199999999999998</v>
      </c>
    </row>
    <row r="838" spans="1:11">
      <c r="A838" s="358"/>
      <c r="B838" s="359"/>
      <c r="C838" s="359"/>
      <c r="D838" s="359"/>
      <c r="E838" s="359"/>
      <c r="F838" s="359"/>
      <c r="G838" s="359"/>
      <c r="H838" s="359"/>
      <c r="I838" s="359"/>
      <c r="J838" s="360" t="s">
        <v>44</v>
      </c>
      <c r="K838" s="361">
        <f>SUM(K832:K837)</f>
        <v>83.383599999999987</v>
      </c>
    </row>
    <row r="839" spans="1:11">
      <c r="A839" s="354" t="s">
        <v>45</v>
      </c>
      <c r="B839" s="355" t="s">
        <v>11308</v>
      </c>
      <c r="C839" s="355" t="s">
        <v>17663</v>
      </c>
      <c r="D839" s="355" t="s">
        <v>0</v>
      </c>
      <c r="E839" s="355" t="s">
        <v>36</v>
      </c>
      <c r="F839" s="355" t="s">
        <v>46</v>
      </c>
      <c r="G839" s="355" t="s">
        <v>47</v>
      </c>
      <c r="H839" s="355" t="s">
        <v>25</v>
      </c>
      <c r="I839" s="355"/>
      <c r="J839" s="355"/>
      <c r="K839" s="355" t="s">
        <v>43</v>
      </c>
    </row>
    <row r="840" spans="1:11">
      <c r="A840" s="222" t="str">
        <f>VLOOKUP(D840,'15. CUSTOS DER - MÃO DE OBRA'!A:B,2,0)</f>
        <v>ENCARREGADO DE SERVIÇO</v>
      </c>
      <c r="B840" s="225" t="s">
        <v>9013</v>
      </c>
      <c r="C840" s="225" t="s">
        <v>17664</v>
      </c>
      <c r="D840" s="225">
        <v>210060</v>
      </c>
      <c r="E840" s="242">
        <f>VLOOKUP(D840,'15. CUSTOS DER - MÃO DE OBRA'!A:C,3,0)</f>
        <v>6</v>
      </c>
      <c r="F840" s="225"/>
      <c r="G840" s="225">
        <f>VLOOKUP(D840,'15. CUSTOS DER - MÃO DE OBRA'!A:D,4,0)</f>
        <v>85.81</v>
      </c>
      <c r="H840" s="241">
        <v>1</v>
      </c>
      <c r="I840" s="225"/>
      <c r="J840" s="225"/>
      <c r="K840" s="242">
        <f>G840*H840</f>
        <v>85.81</v>
      </c>
    </row>
    <row r="841" spans="1:11">
      <c r="A841" s="222" t="str">
        <f>VLOOKUP(D841,'15. CUSTOS DER - MÃO DE OBRA'!A:B,2,0)</f>
        <v>PEDREIRO</v>
      </c>
      <c r="B841" s="225" t="s">
        <v>9013</v>
      </c>
      <c r="C841" s="225" t="s">
        <v>17664</v>
      </c>
      <c r="D841" s="225">
        <v>200260</v>
      </c>
      <c r="E841" s="242">
        <f>VLOOKUP(D841,'15. CUSTOS DER - MÃO DE OBRA'!A:C,3,0)</f>
        <v>2.85</v>
      </c>
      <c r="F841" s="225"/>
      <c r="G841" s="225">
        <f>VLOOKUP(D841,'15. CUSTOS DER - MÃO DE OBRA'!A:D,4,0)</f>
        <v>40.76</v>
      </c>
      <c r="H841" s="241">
        <v>1</v>
      </c>
      <c r="I841" s="225"/>
      <c r="J841" s="225"/>
      <c r="K841" s="242">
        <f>G841*H841</f>
        <v>40.76</v>
      </c>
    </row>
    <row r="842" spans="1:11">
      <c r="A842" s="222" t="str">
        <f>VLOOKUP(D842,'15. CUSTOS DER - MÃO DE OBRA'!A:B,2,0)</f>
        <v>SERVENTE</v>
      </c>
      <c r="B842" s="225" t="s">
        <v>9013</v>
      </c>
      <c r="C842" s="225" t="s">
        <v>17664</v>
      </c>
      <c r="D842" s="225">
        <v>200130</v>
      </c>
      <c r="E842" s="242">
        <f>VLOOKUP(D842,'15. CUSTOS DER - MÃO DE OBRA'!A:C,3,0)</f>
        <v>2.2000000000000002</v>
      </c>
      <c r="F842" s="225"/>
      <c r="G842" s="225">
        <f>VLOOKUP(D842,'15. CUSTOS DER - MÃO DE OBRA'!A:D,4,0)</f>
        <v>31.46</v>
      </c>
      <c r="H842" s="241">
        <v>20</v>
      </c>
      <c r="I842" s="225"/>
      <c r="J842" s="225"/>
      <c r="K842" s="242">
        <f>G842*H842</f>
        <v>629.20000000000005</v>
      </c>
    </row>
    <row r="843" spans="1:11">
      <c r="A843" s="358"/>
      <c r="B843" s="359"/>
      <c r="C843" s="359"/>
      <c r="D843" s="359"/>
      <c r="E843" s="359"/>
      <c r="F843" s="359"/>
      <c r="G843" s="359"/>
      <c r="H843" s="359"/>
      <c r="I843" s="359"/>
      <c r="J843" s="360" t="s">
        <v>48</v>
      </c>
      <c r="K843" s="361">
        <f>SUM(K840:K842)</f>
        <v>755.77</v>
      </c>
    </row>
    <row r="844" spans="1:11">
      <c r="A844" s="354" t="s">
        <v>49</v>
      </c>
      <c r="B844" s="355" t="s">
        <v>11308</v>
      </c>
      <c r="C844" s="355" t="s">
        <v>17663</v>
      </c>
      <c r="D844" s="355" t="s">
        <v>0</v>
      </c>
      <c r="E844" s="355" t="s">
        <v>14</v>
      </c>
      <c r="F844" s="355" t="s">
        <v>50</v>
      </c>
      <c r="G844" s="355" t="s">
        <v>29</v>
      </c>
      <c r="H844" s="355" t="s">
        <v>30</v>
      </c>
      <c r="I844" s="355"/>
      <c r="J844" s="355"/>
      <c r="K844" s="355" t="s">
        <v>33</v>
      </c>
    </row>
    <row r="845" spans="1:11">
      <c r="A845" s="222" t="s">
        <v>31</v>
      </c>
      <c r="B845" s="225"/>
      <c r="C845" s="225"/>
      <c r="D845" s="225">
        <v>29990</v>
      </c>
      <c r="E845" s="243">
        <v>5</v>
      </c>
      <c r="F845" s="225" t="s">
        <v>32</v>
      </c>
      <c r="G845" s="225"/>
      <c r="H845" s="225"/>
      <c r="I845" s="225"/>
      <c r="J845" s="225"/>
      <c r="K845" s="242">
        <f>K843*(E845/100)</f>
        <v>37.788499999999999</v>
      </c>
    </row>
    <row r="846" spans="1:11">
      <c r="A846" s="222"/>
      <c r="B846" s="225"/>
      <c r="C846" s="225"/>
      <c r="D846" s="225"/>
      <c r="E846" s="225"/>
      <c r="F846" s="225"/>
      <c r="G846" s="225"/>
      <c r="H846" s="225"/>
      <c r="I846" s="225"/>
      <c r="J846" s="225"/>
      <c r="K846" s="357"/>
    </row>
    <row r="847" spans="1:11">
      <c r="A847" s="358"/>
      <c r="B847" s="359"/>
      <c r="C847" s="359"/>
      <c r="D847" s="359"/>
      <c r="E847" s="359"/>
      <c r="F847" s="359"/>
      <c r="G847" s="359"/>
      <c r="H847" s="359"/>
      <c r="I847" s="359"/>
      <c r="J847" s="360" t="s">
        <v>51</v>
      </c>
      <c r="K847" s="361">
        <f>SUM(K845:K846)</f>
        <v>37.788499999999999</v>
      </c>
    </row>
    <row r="848" spans="1:11">
      <c r="A848" s="568" t="s">
        <v>52</v>
      </c>
      <c r="B848" s="568"/>
      <c r="C848" s="568"/>
      <c r="D848" s="568"/>
      <c r="E848" s="568"/>
      <c r="F848" s="568"/>
      <c r="G848" s="568"/>
      <c r="H848" s="568"/>
      <c r="I848" s="568"/>
      <c r="J848" s="568"/>
      <c r="K848" s="361">
        <f>K838+K843+K847</f>
        <v>876.94209999999998</v>
      </c>
    </row>
    <row r="849" spans="1:11">
      <c r="A849" s="568" t="s">
        <v>53</v>
      </c>
      <c r="B849" s="568"/>
      <c r="C849" s="568"/>
      <c r="D849" s="568"/>
      <c r="E849" s="568"/>
      <c r="F849" s="568"/>
      <c r="G849" s="568"/>
      <c r="H849" s="568"/>
      <c r="I849" s="568"/>
      <c r="J849" s="568"/>
      <c r="K849" s="361">
        <v>30</v>
      </c>
    </row>
    <row r="850" spans="1:11">
      <c r="A850" s="566" t="s">
        <v>54</v>
      </c>
      <c r="B850" s="566"/>
      <c r="C850" s="566"/>
      <c r="D850" s="566"/>
      <c r="E850" s="566"/>
      <c r="F850" s="566"/>
      <c r="G850" s="566"/>
      <c r="H850" s="566"/>
      <c r="I850" s="566"/>
      <c r="J850" s="566"/>
      <c r="K850" s="362">
        <f>IF(K848=0,0,K848/K849)</f>
        <v>29.231403333333333</v>
      </c>
    </row>
    <row r="851" spans="1:11">
      <c r="A851" s="354" t="s">
        <v>55</v>
      </c>
      <c r="B851" s="355" t="s">
        <v>11308</v>
      </c>
      <c r="C851" s="355" t="s">
        <v>17663</v>
      </c>
      <c r="D851" s="355" t="s">
        <v>0</v>
      </c>
      <c r="E851" s="355" t="s">
        <v>2</v>
      </c>
      <c r="F851" s="567" t="s">
        <v>9</v>
      </c>
      <c r="G851" s="567"/>
      <c r="H851" s="567" t="s">
        <v>25</v>
      </c>
      <c r="I851" s="567"/>
      <c r="J851" s="355"/>
      <c r="K851" s="355" t="s">
        <v>56</v>
      </c>
    </row>
    <row r="852" spans="1:11">
      <c r="A852" s="222" t="str">
        <f>VLOOKUP(D852,'14. CUSTOS DER - MATERIAIS'!A:B,2,0)</f>
        <v>AREIA</v>
      </c>
      <c r="B852" s="225" t="s">
        <v>9013</v>
      </c>
      <c r="C852" s="225" t="s">
        <v>68</v>
      </c>
      <c r="D852" s="225">
        <v>139000</v>
      </c>
      <c r="E852" s="225" t="str">
        <f>VLOOKUP(D852,'14. CUSTOS DER - MATERIAIS'!A:C,3,0)</f>
        <v>M3</v>
      </c>
      <c r="F852" s="225"/>
      <c r="G852" s="224">
        <f>VLOOKUP(D852,'14. CUSTOS DER - MATERIAIS'!A:D,4,0)</f>
        <v>71.87</v>
      </c>
      <c r="H852" s="241"/>
      <c r="I852" s="241">
        <v>0.04</v>
      </c>
      <c r="J852" s="225"/>
      <c r="K852" s="242">
        <f>G852*I852</f>
        <v>2.8748</v>
      </c>
    </row>
    <row r="853" spans="1:11">
      <c r="A853" s="222" t="str">
        <f>VLOOKUP(D853,'14. CUSTOS DER - MATERIAIS'!A:B,2,0)</f>
        <v>CIMENTO PORTLAND (SACO DE 50KG)</v>
      </c>
      <c r="B853" s="225" t="s">
        <v>9013</v>
      </c>
      <c r="C853" s="225" t="s">
        <v>68</v>
      </c>
      <c r="D853" s="225">
        <v>173200</v>
      </c>
      <c r="E853" s="225" t="str">
        <f>VLOOKUP(D853,'14. CUSTOS DER - MATERIAIS'!A:C,3,0)</f>
        <v>T</v>
      </c>
      <c r="F853" s="225"/>
      <c r="G853" s="224">
        <f>VLOOKUP(D853,'14. CUSTOS DER - MATERIAIS'!A:D,4,0)</f>
        <v>566</v>
      </c>
      <c r="H853" s="241"/>
      <c r="I853" s="241">
        <v>2E-3</v>
      </c>
      <c r="J853" s="225"/>
      <c r="K853" s="242">
        <f>G853*I853</f>
        <v>1.1320000000000001</v>
      </c>
    </row>
    <row r="854" spans="1:11">
      <c r="A854" s="222" t="str">
        <f>VLOOKUP(D854,'14. CUSTOS DER - MATERIAIS'!A:B,2,0)</f>
        <v>FERRO REDONDO CA-50 10,0MM</v>
      </c>
      <c r="B854" s="225" t="s">
        <v>9013</v>
      </c>
      <c r="C854" s="225" t="s">
        <v>68</v>
      </c>
      <c r="D854" s="225">
        <v>155380</v>
      </c>
      <c r="E854" s="225" t="str">
        <f>VLOOKUP(D854,'14. CUSTOS DER - MATERIAIS'!A:C,3,0)</f>
        <v>KG</v>
      </c>
      <c r="F854" s="225"/>
      <c r="G854" s="224">
        <f>VLOOKUP(D854,'14. CUSTOS DER - MATERIAIS'!A:D,4,0)</f>
        <v>7.59</v>
      </c>
      <c r="H854" s="241"/>
      <c r="I854" s="241">
        <v>0.8</v>
      </c>
      <c r="J854" s="225"/>
      <c r="K854" s="242">
        <f>G854*I854</f>
        <v>6.0720000000000001</v>
      </c>
    </row>
    <row r="855" spans="1:11">
      <c r="A855" s="222" t="str">
        <f>VLOOKUP(D855,'14. CUSTOS DER - MATERIAIS'!A:B,2,0)</f>
        <v>PEDRA BRITADA (COMERCIAL)</v>
      </c>
      <c r="B855" s="225" t="s">
        <v>9013</v>
      </c>
      <c r="C855" s="225" t="s">
        <v>68</v>
      </c>
      <c r="D855" s="225">
        <v>130000</v>
      </c>
      <c r="E855" s="225" t="str">
        <f>VLOOKUP(D855,'14. CUSTOS DER - MATERIAIS'!A:C,3,0)</f>
        <v>M3</v>
      </c>
      <c r="F855" s="225"/>
      <c r="G855" s="224">
        <f>VLOOKUP(D855,'14. CUSTOS DER - MATERIAIS'!A:D,4,0)</f>
        <v>65.78</v>
      </c>
      <c r="H855" s="241"/>
      <c r="I855" s="241">
        <v>4.7000000000000002E-3</v>
      </c>
      <c r="J855" s="225"/>
      <c r="K855" s="242">
        <f>G855*I855</f>
        <v>0.309166</v>
      </c>
    </row>
    <row r="856" spans="1:11" ht="31.5">
      <c r="A856" s="222" t="str">
        <f>VLOOKUP(D856,'22. CUSTOS SINAPI - MATERIAIS'!A:B,2,0)</f>
        <v>TELA DE ARAME GALVANIZADA QUADRANGULAR / LOSANGULAR, FIO 2,77 MM (12 BWG), MALHA 10 X 10 CM, H = 2 M</v>
      </c>
      <c r="B856" s="225" t="s">
        <v>9008</v>
      </c>
      <c r="C856" s="225" t="s">
        <v>68</v>
      </c>
      <c r="D856" s="225">
        <v>10933</v>
      </c>
      <c r="E856" s="372" t="str">
        <f>VLOOKUP(D856,'22. CUSTOS SINAPI - MATERIAIS'!A:C,3,0)</f>
        <v xml:space="preserve">M2    </v>
      </c>
      <c r="F856" s="225"/>
      <c r="G856" s="224">
        <f>VLOOKUP(D856,'22. CUSTOS SINAPI - MATERIAIS'!A:D,4,0)</f>
        <v>25.43</v>
      </c>
      <c r="H856" s="241"/>
      <c r="I856" s="241">
        <v>2</v>
      </c>
      <c r="J856" s="225"/>
      <c r="K856" s="242">
        <f>G856*I856</f>
        <v>50.86</v>
      </c>
    </row>
    <row r="857" spans="1:11">
      <c r="A857" s="364"/>
      <c r="B857" s="365"/>
      <c r="C857" s="365"/>
      <c r="D857" s="365"/>
      <c r="E857" s="365"/>
      <c r="F857" s="365"/>
      <c r="G857" s="365"/>
      <c r="H857" s="365"/>
      <c r="I857" s="365"/>
      <c r="J857" s="366" t="s">
        <v>57</v>
      </c>
      <c r="K857" s="362">
        <f>SUM(K852:K856)</f>
        <v>61.247965999999998</v>
      </c>
    </row>
    <row r="858" spans="1:11">
      <c r="A858" s="354" t="s">
        <v>58</v>
      </c>
      <c r="B858" s="355" t="s">
        <v>11308</v>
      </c>
      <c r="C858" s="355" t="s">
        <v>17663</v>
      </c>
      <c r="D858" s="355" t="s">
        <v>0</v>
      </c>
      <c r="E858" s="355" t="s">
        <v>2</v>
      </c>
      <c r="F858" s="567" t="s">
        <v>9</v>
      </c>
      <c r="G858" s="567"/>
      <c r="H858" s="567" t="s">
        <v>25</v>
      </c>
      <c r="I858" s="567"/>
      <c r="J858" s="355"/>
      <c r="K858" s="355" t="s">
        <v>56</v>
      </c>
    </row>
    <row r="859" spans="1:11">
      <c r="A859" s="222"/>
      <c r="B859" s="225"/>
      <c r="C859" s="225"/>
      <c r="D859" s="225"/>
      <c r="E859" s="225"/>
      <c r="F859" s="225"/>
      <c r="G859" s="225"/>
      <c r="H859" s="241"/>
      <c r="I859" s="225"/>
      <c r="J859" s="241"/>
      <c r="K859" s="242"/>
    </row>
    <row r="860" spans="1:11">
      <c r="A860" s="222"/>
      <c r="B860" s="225"/>
      <c r="C860" s="225"/>
      <c r="D860" s="225"/>
      <c r="E860" s="225"/>
      <c r="F860" s="225"/>
      <c r="G860" s="225"/>
      <c r="H860" s="241"/>
      <c r="I860" s="243"/>
      <c r="J860" s="241"/>
      <c r="K860" s="242"/>
    </row>
    <row r="861" spans="1:11">
      <c r="A861" s="364"/>
      <c r="B861" s="365"/>
      <c r="C861" s="365"/>
      <c r="D861" s="365"/>
      <c r="E861" s="365"/>
      <c r="F861" s="365"/>
      <c r="G861" s="365"/>
      <c r="H861" s="365"/>
      <c r="I861" s="365"/>
      <c r="J861" s="366" t="s">
        <v>59</v>
      </c>
      <c r="K861" s="362">
        <f>SUM(K859:K860)</f>
        <v>0</v>
      </c>
    </row>
    <row r="862" spans="1:11">
      <c r="E862" s="367"/>
      <c r="F862" s="367"/>
      <c r="G862" s="367"/>
      <c r="H862" s="367"/>
      <c r="I862" s="367"/>
      <c r="J862" s="368"/>
      <c r="K862" s="369"/>
    </row>
    <row r="863" spans="1:11">
      <c r="E863" s="367"/>
      <c r="F863" s="367"/>
      <c r="G863" s="367"/>
      <c r="H863" s="367"/>
      <c r="I863" s="367"/>
      <c r="J863" s="368"/>
      <c r="K863" s="369"/>
    </row>
    <row r="864" spans="1:11">
      <c r="A864" s="337" t="s">
        <v>22669</v>
      </c>
      <c r="B864" s="337" t="s">
        <v>371</v>
      </c>
      <c r="C864" s="370" t="s">
        <v>325</v>
      </c>
      <c r="D864" s="563" t="s">
        <v>301</v>
      </c>
      <c r="E864" s="563"/>
      <c r="F864" s="563"/>
      <c r="G864" s="563"/>
      <c r="H864" s="563"/>
      <c r="I864" s="563"/>
      <c r="J864" s="253" t="s">
        <v>17667</v>
      </c>
      <c r="K864" s="373">
        <f>K879+K883+K887</f>
        <v>36.546399999999998</v>
      </c>
    </row>
    <row r="865" spans="1:11">
      <c r="A865" s="354" t="s">
        <v>27</v>
      </c>
      <c r="B865" s="355" t="s">
        <v>11308</v>
      </c>
      <c r="C865" s="355" t="s">
        <v>17663</v>
      </c>
      <c r="D865" s="355" t="s">
        <v>0</v>
      </c>
      <c r="E865" s="355" t="s">
        <v>1</v>
      </c>
      <c r="F865" s="355" t="s">
        <v>39</v>
      </c>
      <c r="G865" s="355" t="s">
        <v>40</v>
      </c>
      <c r="H865" s="355" t="s">
        <v>41</v>
      </c>
      <c r="I865" s="355" t="s">
        <v>42</v>
      </c>
      <c r="J865" s="355"/>
      <c r="K865" s="355" t="s">
        <v>43</v>
      </c>
    </row>
    <row r="866" spans="1:11">
      <c r="A866" s="222"/>
      <c r="B866" s="225"/>
      <c r="C866" s="225"/>
      <c r="D866" s="225"/>
      <c r="E866" s="241"/>
      <c r="F866" s="241"/>
      <c r="G866" s="356"/>
      <c r="H866" s="242"/>
      <c r="I866" s="242"/>
      <c r="J866" s="225"/>
      <c r="K866" s="242"/>
    </row>
    <row r="867" spans="1:11">
      <c r="A867" s="222"/>
      <c r="B867" s="225"/>
      <c r="C867" s="225"/>
      <c r="D867" s="225"/>
      <c r="E867" s="241"/>
      <c r="F867" s="241"/>
      <c r="G867" s="356"/>
      <c r="H867" s="242"/>
      <c r="I867" s="242"/>
      <c r="J867" s="225"/>
      <c r="K867" s="242"/>
    </row>
    <row r="868" spans="1:11">
      <c r="A868" s="358"/>
      <c r="B868" s="359"/>
      <c r="C868" s="359"/>
      <c r="D868" s="359"/>
      <c r="E868" s="359"/>
      <c r="F868" s="359"/>
      <c r="G868" s="359"/>
      <c r="H868" s="359"/>
      <c r="I868" s="359"/>
      <c r="J868" s="360" t="s">
        <v>44</v>
      </c>
      <c r="K868" s="361">
        <f>SUM(K866:K867)</f>
        <v>0</v>
      </c>
    </row>
    <row r="869" spans="1:11">
      <c r="A869" s="354" t="s">
        <v>45</v>
      </c>
      <c r="B869" s="355" t="s">
        <v>11308</v>
      </c>
      <c r="C869" s="355" t="s">
        <v>17663</v>
      </c>
      <c r="D869" s="355" t="s">
        <v>0</v>
      </c>
      <c r="E869" s="355" t="s">
        <v>36</v>
      </c>
      <c r="F869" s="355" t="s">
        <v>46</v>
      </c>
      <c r="G869" s="355" t="s">
        <v>47</v>
      </c>
      <c r="H869" s="355" t="s">
        <v>25</v>
      </c>
      <c r="I869" s="355"/>
      <c r="J869" s="355"/>
      <c r="K869" s="355" t="s">
        <v>43</v>
      </c>
    </row>
    <row r="870" spans="1:11">
      <c r="A870" s="222"/>
      <c r="B870" s="225"/>
      <c r="C870" s="225"/>
      <c r="D870" s="225"/>
      <c r="E870" s="242"/>
      <c r="F870" s="225"/>
      <c r="G870" s="225"/>
      <c r="H870" s="241"/>
      <c r="I870" s="225"/>
      <c r="J870" s="225"/>
      <c r="K870" s="242"/>
    </row>
    <row r="871" spans="1:11">
      <c r="A871" s="222"/>
      <c r="B871" s="225"/>
      <c r="C871" s="225"/>
      <c r="D871" s="225"/>
      <c r="E871" s="242"/>
      <c r="F871" s="225"/>
      <c r="G871" s="225"/>
      <c r="H871" s="241"/>
      <c r="I871" s="225"/>
      <c r="J871" s="225"/>
      <c r="K871" s="242"/>
    </row>
    <row r="872" spans="1:11">
      <c r="A872" s="358"/>
      <c r="B872" s="359"/>
      <c r="C872" s="359"/>
      <c r="D872" s="359"/>
      <c r="E872" s="359"/>
      <c r="F872" s="359"/>
      <c r="G872" s="359"/>
      <c r="H872" s="359"/>
      <c r="I872" s="359"/>
      <c r="J872" s="360" t="s">
        <v>48</v>
      </c>
      <c r="K872" s="361">
        <f>SUM(K870:K871)</f>
        <v>0</v>
      </c>
    </row>
    <row r="873" spans="1:11">
      <c r="A873" s="354" t="s">
        <v>49</v>
      </c>
      <c r="B873" s="355" t="s">
        <v>11308</v>
      </c>
      <c r="C873" s="355" t="s">
        <v>17663</v>
      </c>
      <c r="D873" s="355" t="s">
        <v>0</v>
      </c>
      <c r="E873" s="355" t="s">
        <v>14</v>
      </c>
      <c r="F873" s="355" t="s">
        <v>50</v>
      </c>
      <c r="G873" s="355" t="s">
        <v>29</v>
      </c>
      <c r="H873" s="355" t="s">
        <v>30</v>
      </c>
      <c r="I873" s="355"/>
      <c r="J873" s="355"/>
      <c r="K873" s="355" t="s">
        <v>33</v>
      </c>
    </row>
    <row r="874" spans="1:11">
      <c r="A874" s="222"/>
      <c r="B874" s="225"/>
      <c r="C874" s="225"/>
      <c r="D874" s="225"/>
      <c r="E874" s="225"/>
      <c r="F874" s="225"/>
      <c r="G874" s="225"/>
      <c r="H874" s="225"/>
      <c r="I874" s="225"/>
      <c r="J874" s="225"/>
      <c r="K874" s="242"/>
    </row>
    <row r="875" spans="1:11">
      <c r="A875" s="222"/>
      <c r="B875" s="225"/>
      <c r="C875" s="225"/>
      <c r="D875" s="225"/>
      <c r="E875" s="225"/>
      <c r="F875" s="225"/>
      <c r="G875" s="225"/>
      <c r="H875" s="225"/>
      <c r="I875" s="225"/>
      <c r="J875" s="225"/>
      <c r="K875" s="242"/>
    </row>
    <row r="876" spans="1:11">
      <c r="A876" s="358"/>
      <c r="B876" s="359"/>
      <c r="C876" s="359"/>
      <c r="D876" s="359"/>
      <c r="E876" s="359"/>
      <c r="F876" s="359"/>
      <c r="G876" s="359"/>
      <c r="H876" s="359"/>
      <c r="I876" s="359"/>
      <c r="J876" s="360" t="s">
        <v>51</v>
      </c>
      <c r="K876" s="361">
        <f>SUM(K874:K875)</f>
        <v>0</v>
      </c>
    </row>
    <row r="877" spans="1:11">
      <c r="A877" s="568" t="s">
        <v>52</v>
      </c>
      <c r="B877" s="568"/>
      <c r="C877" s="568"/>
      <c r="D877" s="568"/>
      <c r="E877" s="568"/>
      <c r="F877" s="568"/>
      <c r="G877" s="568"/>
      <c r="H877" s="568"/>
      <c r="I877" s="568"/>
      <c r="J877" s="568"/>
      <c r="K877" s="361">
        <f>K868+K872+K876</f>
        <v>0</v>
      </c>
    </row>
    <row r="878" spans="1:11">
      <c r="A878" s="568" t="s">
        <v>53</v>
      </c>
      <c r="B878" s="568"/>
      <c r="C878" s="568"/>
      <c r="D878" s="568"/>
      <c r="E878" s="568"/>
      <c r="F878" s="568"/>
      <c r="G878" s="568"/>
      <c r="H878" s="568"/>
      <c r="I878" s="568"/>
      <c r="J878" s="568"/>
      <c r="K878" s="361">
        <v>1</v>
      </c>
    </row>
    <row r="879" spans="1:11">
      <c r="A879" s="566" t="s">
        <v>54</v>
      </c>
      <c r="B879" s="566"/>
      <c r="C879" s="566"/>
      <c r="D879" s="566"/>
      <c r="E879" s="566"/>
      <c r="F879" s="566"/>
      <c r="G879" s="566"/>
      <c r="H879" s="566"/>
      <c r="I879" s="566"/>
      <c r="J879" s="566"/>
      <c r="K879" s="362">
        <f>IF(K877=0,0,K877/K878)</f>
        <v>0</v>
      </c>
    </row>
    <row r="880" spans="1:11">
      <c r="A880" s="354" t="s">
        <v>55</v>
      </c>
      <c r="B880" s="355" t="s">
        <v>11308</v>
      </c>
      <c r="C880" s="355" t="s">
        <v>17663</v>
      </c>
      <c r="D880" s="355" t="s">
        <v>0</v>
      </c>
      <c r="E880" s="355" t="s">
        <v>2</v>
      </c>
      <c r="F880" s="567" t="s">
        <v>9</v>
      </c>
      <c r="G880" s="567"/>
      <c r="H880" s="567" t="s">
        <v>25</v>
      </c>
      <c r="I880" s="567"/>
      <c r="J880" s="355"/>
      <c r="K880" s="355" t="s">
        <v>56</v>
      </c>
    </row>
    <row r="881" spans="1:11">
      <c r="A881" s="222"/>
      <c r="B881" s="225"/>
      <c r="C881" s="225"/>
      <c r="D881" s="225"/>
      <c r="E881" s="225"/>
      <c r="F881" s="225"/>
      <c r="G881" s="224"/>
      <c r="H881" s="241"/>
      <c r="I881" s="241"/>
      <c r="J881" s="225"/>
      <c r="K881" s="242"/>
    </row>
    <row r="882" spans="1:11">
      <c r="A882" s="222"/>
      <c r="B882" s="225"/>
      <c r="C882" s="225"/>
      <c r="D882" s="225"/>
      <c r="E882" s="225"/>
      <c r="F882" s="225"/>
      <c r="G882" s="224"/>
      <c r="H882" s="241"/>
      <c r="I882" s="241"/>
      <c r="J882" s="225"/>
      <c r="K882" s="242"/>
    </row>
    <row r="883" spans="1:11">
      <c r="A883" s="364"/>
      <c r="B883" s="365"/>
      <c r="C883" s="365"/>
      <c r="D883" s="365"/>
      <c r="E883" s="365"/>
      <c r="F883" s="365"/>
      <c r="G883" s="365"/>
      <c r="H883" s="365"/>
      <c r="I883" s="365"/>
      <c r="J883" s="366" t="s">
        <v>57</v>
      </c>
      <c r="K883" s="362">
        <f>SUM(K881:K882)</f>
        <v>0</v>
      </c>
    </row>
    <row r="884" spans="1:11">
      <c r="A884" s="354" t="s">
        <v>58</v>
      </c>
      <c r="B884" s="355" t="s">
        <v>11308</v>
      </c>
      <c r="C884" s="355" t="s">
        <v>17663</v>
      </c>
      <c r="D884" s="355" t="s">
        <v>0</v>
      </c>
      <c r="E884" s="355" t="s">
        <v>2</v>
      </c>
      <c r="F884" s="567" t="s">
        <v>9</v>
      </c>
      <c r="G884" s="567"/>
      <c r="H884" s="567" t="s">
        <v>25</v>
      </c>
      <c r="I884" s="567"/>
      <c r="J884" s="355"/>
      <c r="K884" s="355" t="s">
        <v>56</v>
      </c>
    </row>
    <row r="885" spans="1:11">
      <c r="A885" s="222" t="s">
        <v>24</v>
      </c>
      <c r="B885" s="225" t="s">
        <v>9013</v>
      </c>
      <c r="C885" s="225" t="s">
        <v>17662</v>
      </c>
      <c r="D885" s="225">
        <v>603900</v>
      </c>
      <c r="E885" s="225" t="s">
        <v>145</v>
      </c>
      <c r="F885" s="225"/>
      <c r="G885" s="225">
        <f>VLOOKUP(D885,'13. CUSTOS DER - SERVIÇOS'!A:G,7,0)</f>
        <v>131.84</v>
      </c>
      <c r="H885" s="241"/>
      <c r="I885" s="240">
        <v>5.5E-2</v>
      </c>
      <c r="J885" s="241"/>
      <c r="K885" s="242">
        <f>G885*I885</f>
        <v>7.2511999999999999</v>
      </c>
    </row>
    <row r="886" spans="1:11">
      <c r="A886" s="222" t="s">
        <v>21</v>
      </c>
      <c r="B886" s="225" t="s">
        <v>9013</v>
      </c>
      <c r="C886" s="225" t="s">
        <v>17662</v>
      </c>
      <c r="D886" s="225">
        <v>605500</v>
      </c>
      <c r="E886" s="225" t="s">
        <v>145</v>
      </c>
      <c r="F886" s="225"/>
      <c r="G886" s="225">
        <f>VLOOKUP(D886,'13. CUSTOS DER - SERVIÇOS'!A:G,7,0)</f>
        <v>532.64</v>
      </c>
      <c r="H886" s="241"/>
      <c r="I886" s="240">
        <v>5.5E-2</v>
      </c>
      <c r="J886" s="241"/>
      <c r="K886" s="242">
        <f>G886*I886</f>
        <v>29.295199999999998</v>
      </c>
    </row>
    <row r="887" spans="1:11">
      <c r="A887" s="364"/>
      <c r="B887" s="365"/>
      <c r="C887" s="365"/>
      <c r="D887" s="365"/>
      <c r="E887" s="365"/>
      <c r="F887" s="365"/>
      <c r="G887" s="365"/>
      <c r="H887" s="365"/>
      <c r="I887" s="365"/>
      <c r="J887" s="366" t="s">
        <v>59</v>
      </c>
      <c r="K887" s="362">
        <f>SUM(K885:K886)</f>
        <v>36.546399999999998</v>
      </c>
    </row>
    <row r="888" spans="1:11">
      <c r="E888" s="367"/>
      <c r="F888" s="367"/>
      <c r="G888" s="367"/>
      <c r="H888" s="367"/>
      <c r="I888" s="367"/>
      <c r="J888" s="368"/>
      <c r="K888" s="369"/>
    </row>
    <row r="889" spans="1:11">
      <c r="E889" s="367"/>
      <c r="F889" s="367"/>
      <c r="G889" s="367"/>
      <c r="H889" s="367"/>
      <c r="I889" s="367"/>
      <c r="J889" s="368"/>
      <c r="K889" s="369"/>
    </row>
    <row r="890" spans="1:11">
      <c r="A890" s="337" t="s">
        <v>22670</v>
      </c>
      <c r="B890" s="337" t="s">
        <v>371</v>
      </c>
      <c r="C890" s="370" t="s">
        <v>328</v>
      </c>
      <c r="D890" s="563" t="s">
        <v>302</v>
      </c>
      <c r="E890" s="563"/>
      <c r="F890" s="563"/>
      <c r="G890" s="563"/>
      <c r="H890" s="563"/>
      <c r="I890" s="563"/>
      <c r="J890" s="253" t="s">
        <v>17667</v>
      </c>
      <c r="K890" s="373">
        <f>K905+K909+K917</f>
        <v>593.845842686624</v>
      </c>
    </row>
    <row r="891" spans="1:11">
      <c r="A891" s="354" t="s">
        <v>27</v>
      </c>
      <c r="B891" s="355" t="s">
        <v>11308</v>
      </c>
      <c r="C891" s="355" t="s">
        <v>17663</v>
      </c>
      <c r="D891" s="355" t="s">
        <v>0</v>
      </c>
      <c r="E891" s="355" t="s">
        <v>1</v>
      </c>
      <c r="F891" s="355" t="s">
        <v>39</v>
      </c>
      <c r="G891" s="355" t="s">
        <v>40</v>
      </c>
      <c r="H891" s="355" t="s">
        <v>41</v>
      </c>
      <c r="I891" s="355" t="s">
        <v>42</v>
      </c>
      <c r="J891" s="355"/>
      <c r="K891" s="355" t="s">
        <v>43</v>
      </c>
    </row>
    <row r="892" spans="1:11">
      <c r="A892" s="222"/>
      <c r="B892" s="225"/>
      <c r="C892" s="225"/>
      <c r="D892" s="225"/>
      <c r="E892" s="356"/>
      <c r="F892" s="241"/>
      <c r="G892" s="356"/>
      <c r="H892" s="242"/>
      <c r="I892" s="242"/>
      <c r="J892" s="225"/>
      <c r="K892" s="242"/>
    </row>
    <row r="893" spans="1:11">
      <c r="A893" s="222"/>
      <c r="B893" s="225"/>
      <c r="C893" s="225"/>
      <c r="D893" s="225"/>
      <c r="E893" s="356"/>
      <c r="F893" s="241"/>
      <c r="G893" s="356"/>
      <c r="H893" s="242"/>
      <c r="I893" s="242"/>
      <c r="J893" s="225"/>
      <c r="K893" s="242"/>
    </row>
    <row r="894" spans="1:11">
      <c r="A894" s="358"/>
      <c r="B894" s="359"/>
      <c r="C894" s="359"/>
      <c r="D894" s="359"/>
      <c r="E894" s="359"/>
      <c r="F894" s="359"/>
      <c r="G894" s="359"/>
      <c r="H894" s="359"/>
      <c r="I894" s="359"/>
      <c r="J894" s="360" t="s">
        <v>44</v>
      </c>
      <c r="K894" s="361">
        <f>SUM(K893:K893)</f>
        <v>0</v>
      </c>
    </row>
    <row r="895" spans="1:11">
      <c r="A895" s="354" t="s">
        <v>45</v>
      </c>
      <c r="B895" s="355" t="s">
        <v>11308</v>
      </c>
      <c r="C895" s="355" t="s">
        <v>17663</v>
      </c>
      <c r="D895" s="355" t="s">
        <v>0</v>
      </c>
      <c r="E895" s="355" t="s">
        <v>36</v>
      </c>
      <c r="F895" s="355" t="s">
        <v>46</v>
      </c>
      <c r="G895" s="355" t="s">
        <v>47</v>
      </c>
      <c r="H895" s="355" t="s">
        <v>25</v>
      </c>
      <c r="I895" s="355"/>
      <c r="J895" s="355"/>
      <c r="K895" s="355" t="s">
        <v>43</v>
      </c>
    </row>
    <row r="896" spans="1:11">
      <c r="A896" s="222"/>
      <c r="B896" s="225"/>
      <c r="C896" s="225"/>
      <c r="D896" s="225"/>
      <c r="E896" s="242"/>
      <c r="F896" s="225"/>
      <c r="G896" s="225"/>
      <c r="H896" s="356"/>
      <c r="I896" s="225"/>
      <c r="J896" s="225"/>
      <c r="K896" s="242"/>
    </row>
    <row r="897" spans="1:11">
      <c r="A897" s="222"/>
      <c r="B897" s="225"/>
      <c r="C897" s="225"/>
      <c r="D897" s="225"/>
      <c r="E897" s="242"/>
      <c r="F897" s="225"/>
      <c r="G897" s="225"/>
      <c r="H897" s="356"/>
      <c r="I897" s="225"/>
      <c r="J897" s="225"/>
      <c r="K897" s="242"/>
    </row>
    <row r="898" spans="1:11">
      <c r="A898" s="358"/>
      <c r="B898" s="359"/>
      <c r="C898" s="359"/>
      <c r="D898" s="359"/>
      <c r="E898" s="359"/>
      <c r="F898" s="359"/>
      <c r="G898" s="359"/>
      <c r="H898" s="359"/>
      <c r="I898" s="359"/>
      <c r="J898" s="360" t="s">
        <v>48</v>
      </c>
      <c r="K898" s="361">
        <f>SUM(K896:K897)</f>
        <v>0</v>
      </c>
    </row>
    <row r="899" spans="1:11">
      <c r="A899" s="354" t="s">
        <v>49</v>
      </c>
      <c r="B899" s="355" t="s">
        <v>11308</v>
      </c>
      <c r="C899" s="355" t="s">
        <v>17663</v>
      </c>
      <c r="D899" s="355" t="s">
        <v>0</v>
      </c>
      <c r="E899" s="355" t="s">
        <v>14</v>
      </c>
      <c r="F899" s="355" t="s">
        <v>50</v>
      </c>
      <c r="G899" s="355" t="s">
        <v>29</v>
      </c>
      <c r="H899" s="355" t="s">
        <v>30</v>
      </c>
      <c r="I899" s="355"/>
      <c r="J899" s="355"/>
      <c r="K899" s="355" t="s">
        <v>33</v>
      </c>
    </row>
    <row r="900" spans="1:11">
      <c r="A900" s="222"/>
      <c r="B900" s="225"/>
      <c r="C900" s="225"/>
      <c r="D900" s="225"/>
      <c r="E900" s="225"/>
      <c r="F900" s="225"/>
      <c r="G900" s="225"/>
      <c r="H900" s="225"/>
      <c r="I900" s="225"/>
      <c r="J900" s="225"/>
      <c r="K900" s="242"/>
    </row>
    <row r="901" spans="1:11">
      <c r="A901" s="222"/>
      <c r="B901" s="225"/>
      <c r="C901" s="225"/>
      <c r="D901" s="225"/>
      <c r="E901" s="225"/>
      <c r="F901" s="225"/>
      <c r="G901" s="225"/>
      <c r="H901" s="225"/>
      <c r="I901" s="225"/>
      <c r="J901" s="225"/>
      <c r="K901" s="242"/>
    </row>
    <row r="902" spans="1:11">
      <c r="A902" s="358"/>
      <c r="B902" s="359"/>
      <c r="C902" s="359"/>
      <c r="D902" s="359"/>
      <c r="E902" s="359"/>
      <c r="F902" s="359"/>
      <c r="G902" s="359"/>
      <c r="H902" s="359"/>
      <c r="I902" s="359"/>
      <c r="J902" s="360" t="s">
        <v>51</v>
      </c>
      <c r="K902" s="361">
        <f>SUM(K901:K901)</f>
        <v>0</v>
      </c>
    </row>
    <row r="903" spans="1:11">
      <c r="A903" s="568" t="s">
        <v>52</v>
      </c>
      <c r="B903" s="568"/>
      <c r="C903" s="568"/>
      <c r="D903" s="568"/>
      <c r="E903" s="568"/>
      <c r="F903" s="568"/>
      <c r="G903" s="568"/>
      <c r="H903" s="568"/>
      <c r="I903" s="568"/>
      <c r="J903" s="568"/>
      <c r="K903" s="361">
        <f>K894+K898+K902</f>
        <v>0</v>
      </c>
    </row>
    <row r="904" spans="1:11">
      <c r="A904" s="568" t="s">
        <v>53</v>
      </c>
      <c r="B904" s="568"/>
      <c r="C904" s="568"/>
      <c r="D904" s="568"/>
      <c r="E904" s="568"/>
      <c r="F904" s="568"/>
      <c r="G904" s="568"/>
      <c r="H904" s="568"/>
      <c r="I904" s="568"/>
      <c r="J904" s="568"/>
      <c r="K904" s="361">
        <v>1</v>
      </c>
    </row>
    <row r="905" spans="1:11">
      <c r="A905" s="566" t="s">
        <v>54</v>
      </c>
      <c r="B905" s="566"/>
      <c r="C905" s="566"/>
      <c r="D905" s="566"/>
      <c r="E905" s="566"/>
      <c r="F905" s="566"/>
      <c r="G905" s="566"/>
      <c r="H905" s="566"/>
      <c r="I905" s="566"/>
      <c r="J905" s="566"/>
      <c r="K905" s="362">
        <f>IF(K903=0,0,K903/K904)</f>
        <v>0</v>
      </c>
    </row>
    <row r="906" spans="1:11">
      <c r="A906" s="354" t="s">
        <v>55</v>
      </c>
      <c r="B906" s="355" t="s">
        <v>11308</v>
      </c>
      <c r="C906" s="355" t="s">
        <v>17663</v>
      </c>
      <c r="D906" s="355" t="s">
        <v>0</v>
      </c>
      <c r="E906" s="355" t="s">
        <v>2</v>
      </c>
      <c r="F906" s="567" t="s">
        <v>9</v>
      </c>
      <c r="G906" s="567"/>
      <c r="H906" s="567" t="s">
        <v>25</v>
      </c>
      <c r="I906" s="567"/>
      <c r="J906" s="355"/>
      <c r="K906" s="355" t="s">
        <v>56</v>
      </c>
    </row>
    <row r="907" spans="1:11">
      <c r="A907" s="222"/>
      <c r="B907" s="225"/>
      <c r="C907" s="225"/>
      <c r="D907" s="225"/>
      <c r="E907" s="225"/>
      <c r="F907" s="225"/>
      <c r="G907" s="224"/>
      <c r="H907" s="375"/>
      <c r="I907" s="375"/>
      <c r="J907" s="225"/>
      <c r="K907" s="357"/>
    </row>
    <row r="908" spans="1:11">
      <c r="A908" s="222"/>
      <c r="B908" s="225"/>
      <c r="C908" s="225"/>
      <c r="D908" s="225"/>
      <c r="E908" s="225"/>
      <c r="F908" s="225"/>
      <c r="G908" s="224"/>
      <c r="H908" s="375"/>
      <c r="I908" s="375"/>
      <c r="J908" s="225"/>
      <c r="K908" s="357"/>
    </row>
    <row r="909" spans="1:11">
      <c r="A909" s="364"/>
      <c r="B909" s="365"/>
      <c r="C909" s="365"/>
      <c r="D909" s="365"/>
      <c r="E909" s="365"/>
      <c r="F909" s="365"/>
      <c r="G909" s="365"/>
      <c r="H909" s="365"/>
      <c r="I909" s="365"/>
      <c r="J909" s="366" t="s">
        <v>57</v>
      </c>
      <c r="K909" s="362">
        <f>SUM(K908:K908)</f>
        <v>0</v>
      </c>
    </row>
    <row r="910" spans="1:11">
      <c r="A910" s="354" t="s">
        <v>58</v>
      </c>
      <c r="B910" s="355" t="s">
        <v>11308</v>
      </c>
      <c r="C910" s="355" t="s">
        <v>17663</v>
      </c>
      <c r="D910" s="355" t="s">
        <v>0</v>
      </c>
      <c r="E910" s="355" t="s">
        <v>2</v>
      </c>
      <c r="F910" s="567" t="s">
        <v>9</v>
      </c>
      <c r="G910" s="567"/>
      <c r="H910" s="567" t="s">
        <v>25</v>
      </c>
      <c r="I910" s="567"/>
      <c r="J910" s="355"/>
      <c r="K910" s="355" t="s">
        <v>56</v>
      </c>
    </row>
    <row r="911" spans="1:11">
      <c r="A911" s="222" t="s">
        <v>150</v>
      </c>
      <c r="B911" s="225" t="s">
        <v>9013</v>
      </c>
      <c r="C911" s="225" t="s">
        <v>17662</v>
      </c>
      <c r="D911" s="225">
        <v>602100</v>
      </c>
      <c r="E911" s="225" t="s">
        <v>146</v>
      </c>
      <c r="F911" s="225"/>
      <c r="G911" s="225">
        <f>VLOOKUP(D911,'13. CUSTOS DER - SERVIÇOS'!A:G,7,0)</f>
        <v>78.33</v>
      </c>
      <c r="H911" s="241"/>
      <c r="I911" s="240">
        <v>1.3280000000000001</v>
      </c>
      <c r="J911" s="241"/>
      <c r="K911" s="242">
        <f t="shared" ref="K911:K915" si="3">G911*I911</f>
        <v>104.02224</v>
      </c>
    </row>
    <row r="912" spans="1:11">
      <c r="A912" s="222" t="s">
        <v>21</v>
      </c>
      <c r="B912" s="225" t="s">
        <v>9013</v>
      </c>
      <c r="C912" s="225" t="s">
        <v>17662</v>
      </c>
      <c r="D912" s="225">
        <v>605500</v>
      </c>
      <c r="E912" s="225" t="s">
        <v>145</v>
      </c>
      <c r="F912" s="225"/>
      <c r="G912" s="225">
        <f>VLOOKUP(D912,'13. CUSTOS DER - SERVIÇOS'!A:G,7,0)</f>
        <v>532.64</v>
      </c>
      <c r="H912" s="241"/>
      <c r="I912" s="240">
        <v>0.14399999999999999</v>
      </c>
      <c r="J912" s="241"/>
      <c r="K912" s="242">
        <f t="shared" si="3"/>
        <v>76.700159999999997</v>
      </c>
    </row>
    <row r="913" spans="1:11">
      <c r="A913" s="222" t="s">
        <v>73</v>
      </c>
      <c r="B913" s="225" t="s">
        <v>9013</v>
      </c>
      <c r="C913" s="225" t="s">
        <v>17662</v>
      </c>
      <c r="D913" s="225">
        <v>603000</v>
      </c>
      <c r="E913" s="225" t="s">
        <v>10</v>
      </c>
      <c r="F913" s="225"/>
      <c r="G913" s="225">
        <f>VLOOKUP(D913,'13. CUSTOS DER - SERVIÇOS'!A:G,7,0)</f>
        <v>18.34</v>
      </c>
      <c r="H913" s="241"/>
      <c r="I913" s="240">
        <v>6.9039999999999999</v>
      </c>
      <c r="J913" s="241"/>
      <c r="K913" s="242">
        <f t="shared" si="3"/>
        <v>126.61936</v>
      </c>
    </row>
    <row r="914" spans="1:11" ht="31.5">
      <c r="A914" s="222" t="s">
        <v>142</v>
      </c>
      <c r="B914" s="225" t="s">
        <v>358</v>
      </c>
      <c r="C914" s="225" t="s">
        <v>22710</v>
      </c>
      <c r="D914" s="225" t="s">
        <v>22711</v>
      </c>
      <c r="E914" s="225" t="s">
        <v>3</v>
      </c>
      <c r="F914" s="225"/>
      <c r="G914" s="224">
        <f>VLOOKUP(D914,A:K,11,0)</f>
        <v>175.95412451913998</v>
      </c>
      <c r="H914" s="241"/>
      <c r="I914" s="240">
        <v>1.6</v>
      </c>
      <c r="J914" s="241"/>
      <c r="K914" s="242">
        <f>G914*I914</f>
        <v>281.52659923062396</v>
      </c>
    </row>
    <row r="915" spans="1:11">
      <c r="A915" s="222" t="s">
        <v>20</v>
      </c>
      <c r="B915" s="225" t="s">
        <v>9013</v>
      </c>
      <c r="C915" s="225" t="s">
        <v>17662</v>
      </c>
      <c r="D915" s="225">
        <v>604000</v>
      </c>
      <c r="E915" s="225" t="s">
        <v>145</v>
      </c>
      <c r="F915" s="225"/>
      <c r="G915" s="224">
        <f>VLOOKUP(D915,'13. CUSTOS DER - SERVIÇOS'!A:G,7,0)</f>
        <v>523.20000000000005</v>
      </c>
      <c r="H915" s="241"/>
      <c r="I915" s="240">
        <v>2E-3</v>
      </c>
      <c r="J915" s="241"/>
      <c r="K915" s="242">
        <f t="shared" si="3"/>
        <v>1.0464000000000002</v>
      </c>
    </row>
    <row r="916" spans="1:11">
      <c r="A916" s="222" t="s">
        <v>144</v>
      </c>
      <c r="B916" s="225" t="s">
        <v>358</v>
      </c>
      <c r="C916" s="225" t="s">
        <v>17662</v>
      </c>
      <c r="D916" s="225" t="s">
        <v>22721</v>
      </c>
      <c r="E916" s="225" t="s">
        <v>5</v>
      </c>
      <c r="F916" s="225"/>
      <c r="G916" s="224">
        <f>K1439</f>
        <v>491.38543199999998</v>
      </c>
      <c r="H916" s="241"/>
      <c r="I916" s="240">
        <v>8.0000000000000002E-3</v>
      </c>
      <c r="J916" s="241"/>
      <c r="K916" s="242">
        <f>G916*I916</f>
        <v>3.9310834560000001</v>
      </c>
    </row>
    <row r="917" spans="1:11">
      <c r="A917" s="364"/>
      <c r="B917" s="365"/>
      <c r="C917" s="365"/>
      <c r="D917" s="365"/>
      <c r="E917" s="365"/>
      <c r="F917" s="365"/>
      <c r="G917" s="365"/>
      <c r="H917" s="365"/>
      <c r="I917" s="365"/>
      <c r="J917" s="366" t="s">
        <v>59</v>
      </c>
      <c r="K917" s="362">
        <f>SUM(K911:K916)</f>
        <v>593.845842686624</v>
      </c>
    </row>
    <row r="918" spans="1:11">
      <c r="E918" s="367"/>
      <c r="F918" s="367"/>
      <c r="G918" s="367"/>
      <c r="H918" s="367"/>
      <c r="I918" s="367"/>
      <c r="J918" s="368"/>
      <c r="K918" s="369"/>
    </row>
    <row r="919" spans="1:11">
      <c r="E919" s="367"/>
      <c r="F919" s="367"/>
      <c r="G919" s="367"/>
      <c r="H919" s="367"/>
      <c r="I919" s="367"/>
      <c r="J919" s="368"/>
      <c r="K919" s="369"/>
    </row>
    <row r="920" spans="1:11">
      <c r="A920" s="337" t="s">
        <v>22671</v>
      </c>
      <c r="B920" s="337" t="s">
        <v>371</v>
      </c>
      <c r="C920" s="370" t="s">
        <v>328</v>
      </c>
      <c r="D920" s="563" t="s">
        <v>303</v>
      </c>
      <c r="E920" s="563"/>
      <c r="F920" s="563"/>
      <c r="G920" s="563"/>
      <c r="H920" s="563"/>
      <c r="I920" s="563"/>
      <c r="J920" s="253" t="s">
        <v>17667</v>
      </c>
      <c r="K920" s="373">
        <f>K936+K940+K945</f>
        <v>57.81397599999999</v>
      </c>
    </row>
    <row r="921" spans="1:11">
      <c r="A921" s="354" t="s">
        <v>27</v>
      </c>
      <c r="B921" s="355" t="s">
        <v>11308</v>
      </c>
      <c r="C921" s="355" t="s">
        <v>17663</v>
      </c>
      <c r="D921" s="355" t="s">
        <v>0</v>
      </c>
      <c r="E921" s="355" t="s">
        <v>1</v>
      </c>
      <c r="F921" s="355" t="s">
        <v>39</v>
      </c>
      <c r="G921" s="355" t="s">
        <v>40</v>
      </c>
      <c r="H921" s="355" t="s">
        <v>41</v>
      </c>
      <c r="I921" s="355" t="s">
        <v>42</v>
      </c>
      <c r="J921" s="355"/>
      <c r="K921" s="355" t="s">
        <v>43</v>
      </c>
    </row>
    <row r="922" spans="1:11">
      <c r="A922" s="222"/>
      <c r="B922" s="225"/>
      <c r="C922" s="225"/>
      <c r="D922" s="225"/>
      <c r="E922" s="241"/>
      <c r="F922" s="241"/>
      <c r="G922" s="356"/>
      <c r="H922" s="242"/>
      <c r="I922" s="242"/>
      <c r="J922" s="225"/>
      <c r="K922" s="242"/>
    </row>
    <row r="923" spans="1:11">
      <c r="A923" s="222"/>
      <c r="B923" s="225"/>
      <c r="C923" s="225"/>
      <c r="D923" s="225"/>
      <c r="E923" s="241"/>
      <c r="F923" s="241"/>
      <c r="G923" s="356"/>
      <c r="H923" s="242"/>
      <c r="I923" s="242"/>
      <c r="J923" s="225"/>
      <c r="K923" s="242"/>
    </row>
    <row r="924" spans="1:11">
      <c r="A924" s="358"/>
      <c r="B924" s="359"/>
      <c r="C924" s="359"/>
      <c r="D924" s="359"/>
      <c r="E924" s="359"/>
      <c r="F924" s="359"/>
      <c r="G924" s="359"/>
      <c r="H924" s="359"/>
      <c r="I924" s="359"/>
      <c r="J924" s="360" t="s">
        <v>44</v>
      </c>
      <c r="K924" s="361">
        <f>SUM(K923:K923)</f>
        <v>0</v>
      </c>
    </row>
    <row r="925" spans="1:11">
      <c r="A925" s="354" t="s">
        <v>45</v>
      </c>
      <c r="B925" s="355" t="s">
        <v>11308</v>
      </c>
      <c r="C925" s="355" t="s">
        <v>17663</v>
      </c>
      <c r="D925" s="355" t="s">
        <v>0</v>
      </c>
      <c r="E925" s="355" t="s">
        <v>36</v>
      </c>
      <c r="F925" s="355" t="s">
        <v>46</v>
      </c>
      <c r="G925" s="355" t="s">
        <v>47</v>
      </c>
      <c r="H925" s="355" t="s">
        <v>25</v>
      </c>
      <c r="I925" s="355"/>
      <c r="J925" s="355"/>
      <c r="K925" s="355" t="s">
        <v>43</v>
      </c>
    </row>
    <row r="926" spans="1:11">
      <c r="A926" s="222" t="str">
        <f>VLOOKUP(D926,'15. CUSTOS DER - MÃO DE OBRA'!A:B,2,0)</f>
        <v>ENCARREGADO DE SERVIÇO</v>
      </c>
      <c r="B926" s="225" t="s">
        <v>9013</v>
      </c>
      <c r="C926" s="225" t="s">
        <v>17664</v>
      </c>
      <c r="D926" s="225">
        <v>210060</v>
      </c>
      <c r="E926" s="242">
        <f>VLOOKUP(D926,'15. CUSTOS DER - MÃO DE OBRA'!A:C,3,0)</f>
        <v>6</v>
      </c>
      <c r="F926" s="225"/>
      <c r="G926" s="225">
        <f>VLOOKUP(D926,'15. CUSTOS DER - MÃO DE OBRA'!A:D,4,0)</f>
        <v>85.81</v>
      </c>
      <c r="H926" s="356">
        <v>1.26E-2</v>
      </c>
      <c r="I926" s="225"/>
      <c r="J926" s="225"/>
      <c r="K926" s="242">
        <f>G926*H926</f>
        <v>1.0812060000000001</v>
      </c>
    </row>
    <row r="927" spans="1:11">
      <c r="A927" s="222" t="str">
        <f>VLOOKUP(D927,'15. CUSTOS DER - MÃO DE OBRA'!A:B,2,0)</f>
        <v>PEDREIRO</v>
      </c>
      <c r="B927" s="225" t="s">
        <v>9013</v>
      </c>
      <c r="C927" s="225" t="s">
        <v>17664</v>
      </c>
      <c r="D927" s="225">
        <v>200260</v>
      </c>
      <c r="E927" s="242">
        <f>VLOOKUP(D927,'15. CUSTOS DER - MÃO DE OBRA'!A:C,3,0)</f>
        <v>2.85</v>
      </c>
      <c r="F927" s="225"/>
      <c r="G927" s="225">
        <f>VLOOKUP(D927,'15. CUSTOS DER - MÃO DE OBRA'!A:D,4,0)</f>
        <v>40.76</v>
      </c>
      <c r="H927" s="356">
        <v>6.4000000000000001E-2</v>
      </c>
      <c r="I927" s="225"/>
      <c r="J927" s="225"/>
      <c r="K927" s="242">
        <f>G927*H927</f>
        <v>2.6086399999999998</v>
      </c>
    </row>
    <row r="928" spans="1:11">
      <c r="A928" s="222" t="str">
        <f>VLOOKUP(D928,'15. CUSTOS DER - MÃO DE OBRA'!A:B,2,0)</f>
        <v>SERVENTE</v>
      </c>
      <c r="B928" s="225" t="s">
        <v>9013</v>
      </c>
      <c r="C928" s="225" t="s">
        <v>17664</v>
      </c>
      <c r="D928" s="225">
        <v>200130</v>
      </c>
      <c r="E928" s="242">
        <f>VLOOKUP(D928,'15. CUSTOS DER - MÃO DE OBRA'!A:C,3,0)</f>
        <v>2.2000000000000002</v>
      </c>
      <c r="F928" s="225"/>
      <c r="G928" s="225">
        <f>VLOOKUP(D928,'15. CUSTOS DER - MÃO DE OBRA'!A:D,4,0)</f>
        <v>31.46</v>
      </c>
      <c r="H928" s="356">
        <v>0.128</v>
      </c>
      <c r="I928" s="225"/>
      <c r="J928" s="225"/>
      <c r="K928" s="242">
        <f>G928*H928</f>
        <v>4.0268800000000002</v>
      </c>
    </row>
    <row r="929" spans="1:11">
      <c r="A929" s="358"/>
      <c r="B929" s="359"/>
      <c r="C929" s="359"/>
      <c r="D929" s="359"/>
      <c r="E929" s="359"/>
      <c r="F929" s="359"/>
      <c r="G929" s="359"/>
      <c r="H929" s="359"/>
      <c r="I929" s="359"/>
      <c r="J929" s="360" t="s">
        <v>48</v>
      </c>
      <c r="K929" s="361">
        <f>SUM(K926:K928)</f>
        <v>7.7167260000000004</v>
      </c>
    </row>
    <row r="930" spans="1:11">
      <c r="A930" s="354" t="s">
        <v>49</v>
      </c>
      <c r="B930" s="355" t="s">
        <v>11308</v>
      </c>
      <c r="C930" s="355" t="s">
        <v>17663</v>
      </c>
      <c r="D930" s="355" t="s">
        <v>0</v>
      </c>
      <c r="E930" s="355" t="s">
        <v>14</v>
      </c>
      <c r="F930" s="355" t="s">
        <v>50</v>
      </c>
      <c r="G930" s="355" t="s">
        <v>29</v>
      </c>
      <c r="H930" s="355" t="s">
        <v>30</v>
      </c>
      <c r="I930" s="355"/>
      <c r="J930" s="355"/>
      <c r="K930" s="355" t="s">
        <v>33</v>
      </c>
    </row>
    <row r="931" spans="1:11">
      <c r="A931" s="222"/>
      <c r="B931" s="225"/>
      <c r="C931" s="225"/>
      <c r="D931" s="225"/>
      <c r="E931" s="225"/>
      <c r="F931" s="225"/>
      <c r="G931" s="225"/>
      <c r="H931" s="225"/>
      <c r="I931" s="225"/>
      <c r="J931" s="225"/>
      <c r="K931" s="242"/>
    </row>
    <row r="932" spans="1:11">
      <c r="A932" s="222"/>
      <c r="B932" s="225"/>
      <c r="C932" s="225"/>
      <c r="D932" s="225"/>
      <c r="E932" s="225"/>
      <c r="F932" s="225"/>
      <c r="G932" s="225"/>
      <c r="H932" s="225"/>
      <c r="I932" s="225"/>
      <c r="J932" s="225"/>
      <c r="K932" s="242"/>
    </row>
    <row r="933" spans="1:11">
      <c r="A933" s="358"/>
      <c r="B933" s="359"/>
      <c r="C933" s="359"/>
      <c r="D933" s="359"/>
      <c r="E933" s="359"/>
      <c r="F933" s="359"/>
      <c r="G933" s="359"/>
      <c r="H933" s="359"/>
      <c r="I933" s="359"/>
      <c r="J933" s="360" t="s">
        <v>51</v>
      </c>
      <c r="K933" s="361">
        <f>SUM(K931:K932)</f>
        <v>0</v>
      </c>
    </row>
    <row r="934" spans="1:11">
      <c r="A934" s="568" t="s">
        <v>52</v>
      </c>
      <c r="B934" s="568"/>
      <c r="C934" s="568"/>
      <c r="D934" s="568"/>
      <c r="E934" s="568"/>
      <c r="F934" s="568"/>
      <c r="G934" s="568"/>
      <c r="H934" s="568"/>
      <c r="I934" s="568"/>
      <c r="J934" s="568"/>
      <c r="K934" s="361">
        <f>K924+K929+K933</f>
        <v>7.7167260000000004</v>
      </c>
    </row>
    <row r="935" spans="1:11">
      <c r="A935" s="568" t="s">
        <v>53</v>
      </c>
      <c r="B935" s="568"/>
      <c r="C935" s="568"/>
      <c r="D935" s="568"/>
      <c r="E935" s="568"/>
      <c r="F935" s="568"/>
      <c r="G935" s="568"/>
      <c r="H935" s="568"/>
      <c r="I935" s="568"/>
      <c r="J935" s="568"/>
      <c r="K935" s="361">
        <v>1</v>
      </c>
    </row>
    <row r="936" spans="1:11">
      <c r="A936" s="566" t="s">
        <v>54</v>
      </c>
      <c r="B936" s="566"/>
      <c r="C936" s="566"/>
      <c r="D936" s="566"/>
      <c r="E936" s="566"/>
      <c r="F936" s="566"/>
      <c r="G936" s="566"/>
      <c r="H936" s="566"/>
      <c r="I936" s="566"/>
      <c r="J936" s="566"/>
      <c r="K936" s="362">
        <f>IF(K934=0,0,K934/K935)</f>
        <v>7.7167260000000004</v>
      </c>
    </row>
    <row r="937" spans="1:11">
      <c r="A937" s="354" t="s">
        <v>55</v>
      </c>
      <c r="B937" s="355" t="s">
        <v>11308</v>
      </c>
      <c r="C937" s="355" t="s">
        <v>17663</v>
      </c>
      <c r="D937" s="355" t="s">
        <v>0</v>
      </c>
      <c r="E937" s="355" t="s">
        <v>2</v>
      </c>
      <c r="F937" s="567" t="s">
        <v>9</v>
      </c>
      <c r="G937" s="567"/>
      <c r="H937" s="567" t="s">
        <v>25</v>
      </c>
      <c r="I937" s="567"/>
      <c r="J937" s="355"/>
      <c r="K937" s="355" t="s">
        <v>56</v>
      </c>
    </row>
    <row r="938" spans="1:11">
      <c r="A938" s="222" t="s">
        <v>76</v>
      </c>
      <c r="B938" s="225" t="s">
        <v>75</v>
      </c>
      <c r="C938" s="225" t="s">
        <v>68</v>
      </c>
      <c r="D938" s="225">
        <v>12387</v>
      </c>
      <c r="E938" s="372" t="s">
        <v>6</v>
      </c>
      <c r="F938" s="225"/>
      <c r="G938" s="224">
        <v>0.86</v>
      </c>
      <c r="H938" s="241"/>
      <c r="I938" s="241">
        <v>1</v>
      </c>
      <c r="J938" s="225"/>
      <c r="K938" s="242">
        <f>ROUND(G938*I938,2)</f>
        <v>0.86</v>
      </c>
    </row>
    <row r="939" spans="1:11">
      <c r="A939" s="222"/>
      <c r="B939" s="225"/>
      <c r="C939" s="225"/>
      <c r="D939" s="225"/>
      <c r="E939" s="225"/>
      <c r="F939" s="225"/>
      <c r="G939" s="225"/>
      <c r="H939" s="225"/>
      <c r="I939" s="225"/>
      <c r="J939" s="225"/>
      <c r="K939" s="242"/>
    </row>
    <row r="940" spans="1:11">
      <c r="A940" s="364"/>
      <c r="B940" s="365"/>
      <c r="C940" s="365"/>
      <c r="D940" s="365"/>
      <c r="E940" s="365"/>
      <c r="F940" s="365"/>
      <c r="G940" s="365"/>
      <c r="H940" s="365"/>
      <c r="I940" s="365"/>
      <c r="J940" s="366" t="s">
        <v>57</v>
      </c>
      <c r="K940" s="362">
        <f>SUM(K938:K938)</f>
        <v>0.86</v>
      </c>
    </row>
    <row r="941" spans="1:11">
      <c r="A941" s="354" t="s">
        <v>58</v>
      </c>
      <c r="B941" s="355" t="s">
        <v>11308</v>
      </c>
      <c r="C941" s="355" t="s">
        <v>17663</v>
      </c>
      <c r="D941" s="355" t="s">
        <v>0</v>
      </c>
      <c r="E941" s="355" t="s">
        <v>2</v>
      </c>
      <c r="F941" s="567" t="s">
        <v>9</v>
      </c>
      <c r="G941" s="567"/>
      <c r="H941" s="567" t="s">
        <v>25</v>
      </c>
      <c r="I941" s="567"/>
      <c r="J941" s="355"/>
      <c r="K941" s="355" t="s">
        <v>56</v>
      </c>
    </row>
    <row r="942" spans="1:11">
      <c r="A942" s="222" t="s">
        <v>17</v>
      </c>
      <c r="B942" s="225" t="s">
        <v>9013</v>
      </c>
      <c r="C942" s="225" t="s">
        <v>17662</v>
      </c>
      <c r="D942" s="225">
        <v>601100</v>
      </c>
      <c r="E942" s="225" t="s">
        <v>145</v>
      </c>
      <c r="F942" s="225"/>
      <c r="G942" s="225">
        <f>VLOOKUP(D942,'13. CUSTOS DER - SERVIÇOS'!A:G,7,0)</f>
        <v>54.05</v>
      </c>
      <c r="H942" s="241"/>
      <c r="I942" s="245">
        <v>0.25</v>
      </c>
      <c r="J942" s="241"/>
      <c r="K942" s="242">
        <f>G942*I942</f>
        <v>13.512499999999999</v>
      </c>
    </row>
    <row r="943" spans="1:11">
      <c r="A943" s="222" t="s">
        <v>16</v>
      </c>
      <c r="B943" s="225" t="s">
        <v>9013</v>
      </c>
      <c r="C943" s="225" t="s">
        <v>17662</v>
      </c>
      <c r="D943" s="225">
        <v>600000</v>
      </c>
      <c r="E943" s="225" t="s">
        <v>145</v>
      </c>
      <c r="F943" s="225"/>
      <c r="G943" s="225">
        <f>VLOOKUP(D943,'13. CUSTOS DER - SERVIÇOS'!A:G,7,0)</f>
        <v>49.54</v>
      </c>
      <c r="H943" s="241"/>
      <c r="I943" s="245">
        <v>0.42499999999999999</v>
      </c>
      <c r="J943" s="241"/>
      <c r="K943" s="242">
        <f>G943*I943</f>
        <v>21.054499999999997</v>
      </c>
    </row>
    <row r="944" spans="1:11">
      <c r="A944" s="222" t="s">
        <v>72</v>
      </c>
      <c r="B944" s="225" t="s">
        <v>9013</v>
      </c>
      <c r="C944" s="225" t="s">
        <v>17662</v>
      </c>
      <c r="D944" s="225">
        <v>400500</v>
      </c>
      <c r="E944" s="225" t="s">
        <v>145</v>
      </c>
      <c r="F944" s="225"/>
      <c r="G944" s="225">
        <f>VLOOKUP(D944,'13. CUSTOS DER - SERVIÇOS'!A:G,7,0)</f>
        <v>83.83</v>
      </c>
      <c r="H944" s="241"/>
      <c r="I944" s="245">
        <v>0.17499999999999999</v>
      </c>
      <c r="J944" s="241"/>
      <c r="K944" s="242">
        <f>G944*I944</f>
        <v>14.670249999999999</v>
      </c>
    </row>
    <row r="945" spans="1:11">
      <c r="A945" s="364"/>
      <c r="B945" s="365"/>
      <c r="C945" s="365"/>
      <c r="D945" s="365"/>
      <c r="E945" s="365"/>
      <c r="F945" s="365"/>
      <c r="G945" s="365"/>
      <c r="H945" s="365"/>
      <c r="I945" s="365"/>
      <c r="J945" s="366" t="s">
        <v>59</v>
      </c>
      <c r="K945" s="362">
        <f>SUM(K942:K944)</f>
        <v>49.237249999999989</v>
      </c>
    </row>
    <row r="946" spans="1:11">
      <c r="E946" s="367"/>
      <c r="F946" s="367"/>
      <c r="G946" s="367"/>
      <c r="H946" s="367"/>
      <c r="I946" s="367"/>
      <c r="J946" s="368"/>
      <c r="K946" s="369"/>
    </row>
    <row r="947" spans="1:11">
      <c r="E947" s="367"/>
      <c r="F947" s="367"/>
      <c r="G947" s="367"/>
      <c r="H947" s="367"/>
      <c r="I947" s="367"/>
      <c r="J947" s="368"/>
      <c r="K947" s="369"/>
    </row>
    <row r="948" spans="1:11">
      <c r="A948" s="337" t="s">
        <v>22672</v>
      </c>
      <c r="B948" s="337" t="s">
        <v>371</v>
      </c>
      <c r="C948" s="370" t="s">
        <v>330</v>
      </c>
      <c r="D948" s="563" t="s">
        <v>304</v>
      </c>
      <c r="E948" s="563"/>
      <c r="F948" s="563"/>
      <c r="G948" s="563"/>
      <c r="H948" s="563"/>
      <c r="I948" s="563"/>
      <c r="J948" s="253" t="s">
        <v>17667</v>
      </c>
      <c r="K948" s="373">
        <f>K963+K967+K972</f>
        <v>791.38519999999994</v>
      </c>
    </row>
    <row r="949" spans="1:11">
      <c r="A949" s="354" t="s">
        <v>27</v>
      </c>
      <c r="B949" s="355" t="s">
        <v>11308</v>
      </c>
      <c r="C949" s="355" t="s">
        <v>17663</v>
      </c>
      <c r="D949" s="355" t="s">
        <v>0</v>
      </c>
      <c r="E949" s="355" t="s">
        <v>1</v>
      </c>
      <c r="F949" s="355" t="s">
        <v>39</v>
      </c>
      <c r="G949" s="355" t="s">
        <v>40</v>
      </c>
      <c r="H949" s="355" t="s">
        <v>41</v>
      </c>
      <c r="I949" s="355" t="s">
        <v>42</v>
      </c>
      <c r="J949" s="355"/>
      <c r="K949" s="355" t="s">
        <v>43</v>
      </c>
    </row>
    <row r="950" spans="1:11">
      <c r="A950" s="222"/>
      <c r="B950" s="225"/>
      <c r="C950" s="225"/>
      <c r="D950" s="225"/>
      <c r="E950" s="241"/>
      <c r="F950" s="241"/>
      <c r="G950" s="356"/>
      <c r="H950" s="242"/>
      <c r="I950" s="242"/>
      <c r="J950" s="225"/>
      <c r="K950" s="242"/>
    </row>
    <row r="951" spans="1:11">
      <c r="A951" s="222"/>
      <c r="B951" s="225"/>
      <c r="C951" s="225"/>
      <c r="D951" s="225"/>
      <c r="E951" s="241"/>
      <c r="F951" s="241"/>
      <c r="G951" s="356"/>
      <c r="H951" s="242"/>
      <c r="I951" s="242"/>
      <c r="J951" s="225"/>
      <c r="K951" s="242"/>
    </row>
    <row r="952" spans="1:11">
      <c r="A952" s="358"/>
      <c r="B952" s="359"/>
      <c r="C952" s="359"/>
      <c r="D952" s="359"/>
      <c r="E952" s="359"/>
      <c r="F952" s="359"/>
      <c r="G952" s="359"/>
      <c r="H952" s="359"/>
      <c r="I952" s="359"/>
      <c r="J952" s="360" t="s">
        <v>44</v>
      </c>
      <c r="K952" s="361">
        <f>SUM(K951:K951)</f>
        <v>0</v>
      </c>
    </row>
    <row r="953" spans="1:11">
      <c r="A953" s="354" t="s">
        <v>45</v>
      </c>
      <c r="B953" s="355" t="s">
        <v>11308</v>
      </c>
      <c r="C953" s="355" t="s">
        <v>17663</v>
      </c>
      <c r="D953" s="355" t="s">
        <v>0</v>
      </c>
      <c r="E953" s="355" t="s">
        <v>36</v>
      </c>
      <c r="F953" s="355" t="s">
        <v>46</v>
      </c>
      <c r="G953" s="355" t="s">
        <v>47</v>
      </c>
      <c r="H953" s="355" t="s">
        <v>25</v>
      </c>
      <c r="I953" s="355"/>
      <c r="J953" s="355"/>
      <c r="K953" s="355" t="s">
        <v>43</v>
      </c>
    </row>
    <row r="954" spans="1:11">
      <c r="A954" s="222"/>
      <c r="B954" s="225"/>
      <c r="C954" s="225"/>
      <c r="D954" s="225"/>
      <c r="E954" s="242"/>
      <c r="F954" s="225"/>
      <c r="G954" s="225"/>
      <c r="H954" s="356"/>
      <c r="I954" s="225"/>
      <c r="J954" s="225"/>
      <c r="K954" s="242"/>
    </row>
    <row r="955" spans="1:11">
      <c r="A955" s="222"/>
      <c r="B955" s="225"/>
      <c r="C955" s="225"/>
      <c r="D955" s="225"/>
      <c r="E955" s="242"/>
      <c r="F955" s="225"/>
      <c r="G955" s="225"/>
      <c r="H955" s="356"/>
      <c r="I955" s="225"/>
      <c r="J955" s="225"/>
      <c r="K955" s="242"/>
    </row>
    <row r="956" spans="1:11">
      <c r="A956" s="358"/>
      <c r="B956" s="359"/>
      <c r="C956" s="359"/>
      <c r="D956" s="359"/>
      <c r="E956" s="359"/>
      <c r="F956" s="359"/>
      <c r="G956" s="359"/>
      <c r="H956" s="359"/>
      <c r="I956" s="359"/>
      <c r="J956" s="360" t="s">
        <v>48</v>
      </c>
      <c r="K956" s="361">
        <f>SUM(K955:K955)</f>
        <v>0</v>
      </c>
    </row>
    <row r="957" spans="1:11">
      <c r="A957" s="354" t="s">
        <v>49</v>
      </c>
      <c r="B957" s="355" t="s">
        <v>11308</v>
      </c>
      <c r="C957" s="355" t="s">
        <v>17663</v>
      </c>
      <c r="D957" s="355" t="s">
        <v>0</v>
      </c>
      <c r="E957" s="355" t="s">
        <v>14</v>
      </c>
      <c r="F957" s="355" t="s">
        <v>50</v>
      </c>
      <c r="G957" s="355" t="s">
        <v>29</v>
      </c>
      <c r="H957" s="355" t="s">
        <v>30</v>
      </c>
      <c r="I957" s="355"/>
      <c r="J957" s="355"/>
      <c r="K957" s="355" t="s">
        <v>33</v>
      </c>
    </row>
    <row r="958" spans="1:11">
      <c r="A958" s="222"/>
      <c r="B958" s="225"/>
      <c r="C958" s="225"/>
      <c r="D958" s="225"/>
      <c r="E958" s="225"/>
      <c r="F958" s="225"/>
      <c r="G958" s="225"/>
      <c r="H958" s="225"/>
      <c r="I958" s="225"/>
      <c r="J958" s="225"/>
      <c r="K958" s="242"/>
    </row>
    <row r="959" spans="1:11">
      <c r="A959" s="222"/>
      <c r="B959" s="225"/>
      <c r="C959" s="225"/>
      <c r="D959" s="225"/>
      <c r="E959" s="225"/>
      <c r="F959" s="225"/>
      <c r="G959" s="225"/>
      <c r="H959" s="225"/>
      <c r="I959" s="225"/>
      <c r="J959" s="225"/>
      <c r="K959" s="242"/>
    </row>
    <row r="960" spans="1:11">
      <c r="A960" s="358"/>
      <c r="B960" s="359"/>
      <c r="C960" s="359"/>
      <c r="D960" s="359"/>
      <c r="E960" s="359"/>
      <c r="F960" s="359"/>
      <c r="G960" s="359"/>
      <c r="H960" s="359"/>
      <c r="I960" s="359"/>
      <c r="J960" s="360" t="s">
        <v>51</v>
      </c>
      <c r="K960" s="361">
        <f>SUM(K959:K959)</f>
        <v>0</v>
      </c>
    </row>
    <row r="961" spans="1:11">
      <c r="A961" s="568" t="s">
        <v>52</v>
      </c>
      <c r="B961" s="568"/>
      <c r="C961" s="568"/>
      <c r="D961" s="568"/>
      <c r="E961" s="568"/>
      <c r="F961" s="568"/>
      <c r="G961" s="568"/>
      <c r="H961" s="568"/>
      <c r="I961" s="568"/>
      <c r="J961" s="568"/>
      <c r="K961" s="361">
        <f>K952+K956+K960</f>
        <v>0</v>
      </c>
    </row>
    <row r="962" spans="1:11">
      <c r="A962" s="568" t="s">
        <v>53</v>
      </c>
      <c r="B962" s="568"/>
      <c r="C962" s="568"/>
      <c r="D962" s="568"/>
      <c r="E962" s="568"/>
      <c r="F962" s="568"/>
      <c r="G962" s="568"/>
      <c r="H962" s="568"/>
      <c r="I962" s="568"/>
      <c r="J962" s="568"/>
      <c r="K962" s="361">
        <v>1</v>
      </c>
    </row>
    <row r="963" spans="1:11">
      <c r="A963" s="566" t="s">
        <v>54</v>
      </c>
      <c r="B963" s="566"/>
      <c r="C963" s="566"/>
      <c r="D963" s="566"/>
      <c r="E963" s="566"/>
      <c r="F963" s="566"/>
      <c r="G963" s="566"/>
      <c r="H963" s="566"/>
      <c r="I963" s="566"/>
      <c r="J963" s="566"/>
      <c r="K963" s="362">
        <f>IF(K961=0,0,K961/K962)</f>
        <v>0</v>
      </c>
    </row>
    <row r="964" spans="1:11">
      <c r="A964" s="354" t="s">
        <v>55</v>
      </c>
      <c r="B964" s="355" t="s">
        <v>11308</v>
      </c>
      <c r="C964" s="355" t="s">
        <v>17663</v>
      </c>
      <c r="D964" s="355" t="s">
        <v>0</v>
      </c>
      <c r="E964" s="355" t="s">
        <v>2</v>
      </c>
      <c r="F964" s="567" t="s">
        <v>9</v>
      </c>
      <c r="G964" s="567"/>
      <c r="H964" s="567" t="s">
        <v>25</v>
      </c>
      <c r="I964" s="567"/>
      <c r="J964" s="355"/>
      <c r="K964" s="355" t="s">
        <v>56</v>
      </c>
    </row>
    <row r="965" spans="1:11">
      <c r="A965" s="222"/>
      <c r="B965" s="225"/>
      <c r="C965" s="225"/>
      <c r="D965" s="225"/>
      <c r="E965" s="225"/>
      <c r="F965" s="225"/>
      <c r="G965" s="224"/>
      <c r="H965" s="375"/>
      <c r="I965" s="375"/>
      <c r="J965" s="225"/>
      <c r="K965" s="357"/>
    </row>
    <row r="966" spans="1:11">
      <c r="A966" s="222"/>
      <c r="B966" s="225"/>
      <c r="C966" s="225"/>
      <c r="D966" s="225"/>
      <c r="E966" s="225"/>
      <c r="F966" s="225"/>
      <c r="G966" s="224"/>
      <c r="H966" s="375"/>
      <c r="I966" s="375"/>
      <c r="J966" s="225"/>
      <c r="K966" s="357"/>
    </row>
    <row r="967" spans="1:11">
      <c r="A967" s="364"/>
      <c r="B967" s="365"/>
      <c r="C967" s="365"/>
      <c r="D967" s="365"/>
      <c r="E967" s="365"/>
      <c r="F967" s="365"/>
      <c r="G967" s="365"/>
      <c r="H967" s="365"/>
      <c r="I967" s="365"/>
      <c r="J967" s="366" t="s">
        <v>57</v>
      </c>
      <c r="K967" s="362">
        <f>SUM(K966:K966)</f>
        <v>0</v>
      </c>
    </row>
    <row r="968" spans="1:11">
      <c r="A968" s="354" t="s">
        <v>58</v>
      </c>
      <c r="B968" s="355" t="s">
        <v>11308</v>
      </c>
      <c r="C968" s="355" t="s">
        <v>17663</v>
      </c>
      <c r="D968" s="355" t="s">
        <v>0</v>
      </c>
      <c r="E968" s="355" t="s">
        <v>2</v>
      </c>
      <c r="F968" s="567" t="s">
        <v>9</v>
      </c>
      <c r="G968" s="567"/>
      <c r="H968" s="567" t="s">
        <v>25</v>
      </c>
      <c r="I968" s="567"/>
      <c r="J968" s="355"/>
      <c r="K968" s="355" t="s">
        <v>56</v>
      </c>
    </row>
    <row r="969" spans="1:11">
      <c r="A969" s="222" t="s">
        <v>150</v>
      </c>
      <c r="B969" s="225" t="s">
        <v>9013</v>
      </c>
      <c r="C969" s="225" t="s">
        <v>17662</v>
      </c>
      <c r="D969" s="225">
        <v>602100</v>
      </c>
      <c r="E969" s="225" t="s">
        <v>146</v>
      </c>
      <c r="F969" s="225"/>
      <c r="G969" s="225">
        <f>VLOOKUP(D969,'13. CUSTOS DER - SERVIÇOS'!A:G,7,0)</f>
        <v>78.33</v>
      </c>
      <c r="H969" s="241"/>
      <c r="I969" s="240">
        <v>4.2</v>
      </c>
      <c r="J969" s="241"/>
      <c r="K969" s="242">
        <f>G969*I969</f>
        <v>328.98599999999999</v>
      </c>
    </row>
    <row r="970" spans="1:11">
      <c r="A970" s="222" t="s">
        <v>21</v>
      </c>
      <c r="B970" s="225" t="s">
        <v>9013</v>
      </c>
      <c r="C970" s="225" t="s">
        <v>17662</v>
      </c>
      <c r="D970" s="225">
        <v>605500</v>
      </c>
      <c r="E970" s="225" t="s">
        <v>145</v>
      </c>
      <c r="F970" s="225"/>
      <c r="G970" s="225">
        <f>VLOOKUP(D970,'13. CUSTOS DER - SERVIÇOS'!A:G,7,0)</f>
        <v>532.64</v>
      </c>
      <c r="H970" s="241"/>
      <c r="I970" s="240">
        <v>0.28000000000000003</v>
      </c>
      <c r="J970" s="241"/>
      <c r="K970" s="242">
        <f>G970*I970</f>
        <v>149.13920000000002</v>
      </c>
    </row>
    <row r="971" spans="1:11">
      <c r="A971" s="222" t="s">
        <v>94</v>
      </c>
      <c r="B971" s="225" t="s">
        <v>9013</v>
      </c>
      <c r="C971" s="225" t="s">
        <v>17662</v>
      </c>
      <c r="D971" s="225">
        <v>610600</v>
      </c>
      <c r="E971" s="225" t="s">
        <v>6</v>
      </c>
      <c r="F971" s="225"/>
      <c r="G971" s="225">
        <f>VLOOKUP(D971,'13. CUSTOS DER - SERVIÇOS'!A:G,7,0)</f>
        <v>313.26</v>
      </c>
      <c r="H971" s="241"/>
      <c r="I971" s="240">
        <v>1</v>
      </c>
      <c r="J971" s="241"/>
      <c r="K971" s="242">
        <f>G971*I971</f>
        <v>313.26</v>
      </c>
    </row>
    <row r="972" spans="1:11">
      <c r="A972" s="364"/>
      <c r="B972" s="365"/>
      <c r="C972" s="365"/>
      <c r="D972" s="365"/>
      <c r="E972" s="365"/>
      <c r="F972" s="365"/>
      <c r="G972" s="365"/>
      <c r="H972" s="365"/>
      <c r="I972" s="365"/>
      <c r="J972" s="366" t="s">
        <v>59</v>
      </c>
      <c r="K972" s="362">
        <f>SUM(K969:K971)</f>
        <v>791.38519999999994</v>
      </c>
    </row>
    <row r="973" spans="1:11">
      <c r="E973" s="367"/>
      <c r="F973" s="367"/>
      <c r="G973" s="367"/>
      <c r="H973" s="367"/>
      <c r="I973" s="367"/>
      <c r="J973" s="368"/>
      <c r="K973" s="369"/>
    </row>
    <row r="974" spans="1:11">
      <c r="E974" s="367"/>
      <c r="F974" s="367"/>
      <c r="G974" s="367"/>
      <c r="H974" s="367"/>
      <c r="I974" s="367"/>
      <c r="J974" s="368"/>
      <c r="K974" s="369"/>
    </row>
    <row r="975" spans="1:11">
      <c r="A975" s="337" t="s">
        <v>22673</v>
      </c>
      <c r="B975" s="337" t="s">
        <v>371</v>
      </c>
      <c r="C975" s="370" t="s">
        <v>328</v>
      </c>
      <c r="D975" s="563" t="s">
        <v>305</v>
      </c>
      <c r="E975" s="563"/>
      <c r="F975" s="563"/>
      <c r="G975" s="563"/>
      <c r="H975" s="563"/>
      <c r="I975" s="563"/>
      <c r="J975" s="253" t="s">
        <v>17667</v>
      </c>
      <c r="K975" s="373">
        <f>K990+K994+K998</f>
        <v>29.588666666666668</v>
      </c>
    </row>
    <row r="976" spans="1:11">
      <c r="A976" s="354" t="s">
        <v>27</v>
      </c>
      <c r="B976" s="355" t="s">
        <v>11308</v>
      </c>
      <c r="C976" s="355" t="s">
        <v>17663</v>
      </c>
      <c r="D976" s="355" t="s">
        <v>0</v>
      </c>
      <c r="E976" s="355" t="s">
        <v>1</v>
      </c>
      <c r="F976" s="355" t="s">
        <v>39</v>
      </c>
      <c r="G976" s="355" t="s">
        <v>40</v>
      </c>
      <c r="H976" s="355" t="s">
        <v>41</v>
      </c>
      <c r="I976" s="355" t="s">
        <v>42</v>
      </c>
      <c r="J976" s="355"/>
      <c r="K976" s="355" t="s">
        <v>43</v>
      </c>
    </row>
    <row r="977" spans="1:11">
      <c r="A977" s="222"/>
      <c r="B977" s="225"/>
      <c r="C977" s="225"/>
      <c r="D977" s="225"/>
      <c r="E977" s="356"/>
      <c r="F977" s="241"/>
      <c r="G977" s="356"/>
      <c r="H977" s="242"/>
      <c r="I977" s="242"/>
      <c r="J977" s="225"/>
      <c r="K977" s="242">
        <f>((F977*H977)+(G977*I977))*E977</f>
        <v>0</v>
      </c>
    </row>
    <row r="978" spans="1:11">
      <c r="A978" s="222"/>
      <c r="B978" s="225"/>
      <c r="C978" s="225"/>
      <c r="D978" s="225"/>
      <c r="E978" s="356"/>
      <c r="F978" s="241"/>
      <c r="G978" s="356"/>
      <c r="H978" s="242"/>
      <c r="I978" s="242"/>
      <c r="J978" s="225"/>
      <c r="K978" s="242">
        <f>((F978*H978)+(G978*I978))*E978</f>
        <v>0</v>
      </c>
    </row>
    <row r="979" spans="1:11">
      <c r="A979" s="358"/>
      <c r="B979" s="359"/>
      <c r="C979" s="359"/>
      <c r="D979" s="359"/>
      <c r="E979" s="359"/>
      <c r="F979" s="359"/>
      <c r="G979" s="359"/>
      <c r="H979" s="359"/>
      <c r="I979" s="359"/>
      <c r="J979" s="360" t="s">
        <v>44</v>
      </c>
      <c r="K979" s="361">
        <f>SUM(K978:K978)</f>
        <v>0</v>
      </c>
    </row>
    <row r="980" spans="1:11">
      <c r="A980" s="354" t="s">
        <v>45</v>
      </c>
      <c r="B980" s="355" t="s">
        <v>11308</v>
      </c>
      <c r="C980" s="355" t="s">
        <v>17663</v>
      </c>
      <c r="D980" s="355" t="s">
        <v>0</v>
      </c>
      <c r="E980" s="355" t="s">
        <v>36</v>
      </c>
      <c r="F980" s="355" t="s">
        <v>46</v>
      </c>
      <c r="G980" s="355" t="s">
        <v>47</v>
      </c>
      <c r="H980" s="355" t="s">
        <v>25</v>
      </c>
      <c r="I980" s="355"/>
      <c r="J980" s="355"/>
      <c r="K980" s="355" t="s">
        <v>43</v>
      </c>
    </row>
    <row r="981" spans="1:11">
      <c r="A981" s="222" t="str">
        <f>VLOOKUP(D981,'15. CUSTOS DER - MÃO DE OBRA'!A:B,2,0)</f>
        <v>ENCARREGADO DE SERVIÇO</v>
      </c>
      <c r="B981" s="225" t="s">
        <v>9013</v>
      </c>
      <c r="C981" s="225" t="s">
        <v>17664</v>
      </c>
      <c r="D981" s="225">
        <v>210060</v>
      </c>
      <c r="E981" s="242">
        <f>VLOOKUP(D981,'15. CUSTOS DER - MÃO DE OBRA'!A:C,3,0)</f>
        <v>6</v>
      </c>
      <c r="F981" s="225"/>
      <c r="G981" s="225">
        <f>VLOOKUP(D981,'15. CUSTOS DER - MÃO DE OBRA'!A:D,4,0)</f>
        <v>85.81</v>
      </c>
      <c r="H981" s="356">
        <v>0.2</v>
      </c>
      <c r="I981" s="225"/>
      <c r="J981" s="225"/>
      <c r="K981" s="242">
        <f>G981*H981</f>
        <v>17.162000000000003</v>
      </c>
    </row>
    <row r="982" spans="1:11">
      <c r="A982" s="222" t="s">
        <v>100</v>
      </c>
      <c r="B982" s="225"/>
      <c r="C982" s="225"/>
      <c r="D982" s="225">
        <v>200130</v>
      </c>
      <c r="E982" s="242">
        <v>2.2000000000000002</v>
      </c>
      <c r="F982" s="225"/>
      <c r="G982" s="225">
        <v>25.32</v>
      </c>
      <c r="H982" s="356">
        <v>6</v>
      </c>
      <c r="I982" s="225"/>
      <c r="J982" s="225"/>
      <c r="K982" s="242">
        <f>G982*H982</f>
        <v>151.92000000000002</v>
      </c>
    </row>
    <row r="983" spans="1:11">
      <c r="A983" s="358"/>
      <c r="B983" s="359"/>
      <c r="C983" s="359"/>
      <c r="D983" s="359"/>
      <c r="E983" s="359"/>
      <c r="F983" s="359"/>
      <c r="G983" s="359"/>
      <c r="H983" s="359"/>
      <c r="I983" s="359"/>
      <c r="J983" s="360" t="s">
        <v>48</v>
      </c>
      <c r="K983" s="361">
        <f>SUM(K981:K982)</f>
        <v>169.08200000000002</v>
      </c>
    </row>
    <row r="984" spans="1:11">
      <c r="A984" s="354" t="s">
        <v>49</v>
      </c>
      <c r="B984" s="355" t="s">
        <v>11308</v>
      </c>
      <c r="C984" s="355" t="s">
        <v>17663</v>
      </c>
      <c r="D984" s="355" t="s">
        <v>0</v>
      </c>
      <c r="E984" s="355" t="s">
        <v>14</v>
      </c>
      <c r="F984" s="355" t="s">
        <v>50</v>
      </c>
      <c r="G984" s="355" t="s">
        <v>29</v>
      </c>
      <c r="H984" s="355" t="s">
        <v>30</v>
      </c>
      <c r="I984" s="355"/>
      <c r="J984" s="355"/>
      <c r="K984" s="355" t="s">
        <v>33</v>
      </c>
    </row>
    <row r="985" spans="1:11">
      <c r="A985" s="222" t="s">
        <v>74</v>
      </c>
      <c r="B985" s="225"/>
      <c r="C985" s="225"/>
      <c r="D985" s="225">
        <v>29990</v>
      </c>
      <c r="E985" s="243">
        <v>5</v>
      </c>
      <c r="F985" s="225" t="s">
        <v>32</v>
      </c>
      <c r="G985" s="225"/>
      <c r="H985" s="225"/>
      <c r="I985" s="225"/>
      <c r="J985" s="225"/>
      <c r="K985" s="242">
        <f>TRUNC(K983*E985/100,2)</f>
        <v>8.4499999999999993</v>
      </c>
    </row>
    <row r="986" spans="1:11">
      <c r="A986" s="222"/>
      <c r="B986" s="225"/>
      <c r="C986" s="225"/>
      <c r="D986" s="225"/>
      <c r="E986" s="356"/>
      <c r="F986" s="241"/>
      <c r="G986" s="356"/>
      <c r="H986" s="242"/>
      <c r="I986" s="242"/>
      <c r="J986" s="225"/>
      <c r="K986" s="242">
        <f>((F986*H986)+(G986*I986))*E986</f>
        <v>0</v>
      </c>
    </row>
    <row r="987" spans="1:11">
      <c r="A987" s="358"/>
      <c r="B987" s="359"/>
      <c r="C987" s="359"/>
      <c r="D987" s="359"/>
      <c r="E987" s="359"/>
      <c r="F987" s="359"/>
      <c r="G987" s="359"/>
      <c r="H987" s="359"/>
      <c r="I987" s="359"/>
      <c r="J987" s="360" t="s">
        <v>51</v>
      </c>
      <c r="K987" s="361">
        <f>SUM(K985:K985)</f>
        <v>8.4499999999999993</v>
      </c>
    </row>
    <row r="988" spans="1:11">
      <c r="A988" s="568" t="s">
        <v>52</v>
      </c>
      <c r="B988" s="568"/>
      <c r="C988" s="568"/>
      <c r="D988" s="568"/>
      <c r="E988" s="568"/>
      <c r="F988" s="568"/>
      <c r="G988" s="568"/>
      <c r="H988" s="568"/>
      <c r="I988" s="568"/>
      <c r="J988" s="568"/>
      <c r="K988" s="361">
        <f>K979+K983+K987</f>
        <v>177.53200000000001</v>
      </c>
    </row>
    <row r="989" spans="1:11">
      <c r="A989" s="568" t="s">
        <v>53</v>
      </c>
      <c r="B989" s="568"/>
      <c r="C989" s="568"/>
      <c r="D989" s="568"/>
      <c r="E989" s="568"/>
      <c r="F989" s="568"/>
      <c r="G989" s="568"/>
      <c r="H989" s="568"/>
      <c r="I989" s="568"/>
      <c r="J989" s="568"/>
      <c r="K989" s="361">
        <v>6</v>
      </c>
    </row>
    <row r="990" spans="1:11">
      <c r="A990" s="566" t="s">
        <v>54</v>
      </c>
      <c r="B990" s="566"/>
      <c r="C990" s="566"/>
      <c r="D990" s="566"/>
      <c r="E990" s="566"/>
      <c r="F990" s="566"/>
      <c r="G990" s="566"/>
      <c r="H990" s="566"/>
      <c r="I990" s="566"/>
      <c r="J990" s="566"/>
      <c r="K990" s="362">
        <f>IF(K988=0,0,K988/K989)</f>
        <v>29.588666666666668</v>
      </c>
    </row>
    <row r="991" spans="1:11">
      <c r="A991" s="354" t="s">
        <v>55</v>
      </c>
      <c r="B991" s="355" t="s">
        <v>11308</v>
      </c>
      <c r="C991" s="355" t="s">
        <v>17663</v>
      </c>
      <c r="D991" s="355" t="s">
        <v>0</v>
      </c>
      <c r="E991" s="355" t="s">
        <v>2</v>
      </c>
      <c r="F991" s="567" t="s">
        <v>9</v>
      </c>
      <c r="G991" s="567"/>
      <c r="H991" s="567" t="s">
        <v>25</v>
      </c>
      <c r="I991" s="567"/>
      <c r="J991" s="355"/>
      <c r="K991" s="355" t="s">
        <v>56</v>
      </c>
    </row>
    <row r="992" spans="1:11">
      <c r="A992" s="222"/>
      <c r="B992" s="225"/>
      <c r="C992" s="225"/>
      <c r="D992" s="225"/>
      <c r="E992" s="225"/>
      <c r="F992" s="225"/>
      <c r="G992" s="224"/>
      <c r="H992" s="241"/>
      <c r="I992" s="241"/>
      <c r="J992" s="225"/>
      <c r="K992" s="242"/>
    </row>
    <row r="993" spans="1:11">
      <c r="A993" s="222"/>
      <c r="B993" s="225"/>
      <c r="C993" s="225"/>
      <c r="D993" s="225"/>
      <c r="E993" s="225"/>
      <c r="F993" s="225"/>
      <c r="G993" s="224"/>
      <c r="H993" s="241"/>
      <c r="I993" s="241"/>
      <c r="J993" s="225"/>
      <c r="K993" s="242"/>
    </row>
    <row r="994" spans="1:11">
      <c r="A994" s="364"/>
      <c r="B994" s="365"/>
      <c r="C994" s="365"/>
      <c r="D994" s="365"/>
      <c r="E994" s="365"/>
      <c r="F994" s="365"/>
      <c r="G994" s="365"/>
      <c r="H994" s="365"/>
      <c r="I994" s="365"/>
      <c r="J994" s="366" t="s">
        <v>57</v>
      </c>
      <c r="K994" s="362">
        <f>SUM(K993:K993)</f>
        <v>0</v>
      </c>
    </row>
    <row r="995" spans="1:11">
      <c r="A995" s="354" t="s">
        <v>58</v>
      </c>
      <c r="B995" s="355" t="s">
        <v>11308</v>
      </c>
      <c r="C995" s="355" t="s">
        <v>17663</v>
      </c>
      <c r="D995" s="355" t="s">
        <v>0</v>
      </c>
      <c r="E995" s="355" t="s">
        <v>2</v>
      </c>
      <c r="F995" s="567" t="s">
        <v>9</v>
      </c>
      <c r="G995" s="567"/>
      <c r="H995" s="567" t="s">
        <v>25</v>
      </c>
      <c r="I995" s="567"/>
      <c r="J995" s="355"/>
      <c r="K995" s="355" t="s">
        <v>56</v>
      </c>
    </row>
    <row r="996" spans="1:11">
      <c r="A996" s="222"/>
      <c r="B996" s="225"/>
      <c r="C996" s="225"/>
      <c r="D996" s="225"/>
      <c r="E996" s="225"/>
      <c r="F996" s="225"/>
      <c r="G996" s="224"/>
      <c r="H996" s="241"/>
      <c r="I996" s="240"/>
      <c r="J996" s="241"/>
      <c r="K996" s="242"/>
    </row>
    <row r="997" spans="1:11">
      <c r="A997" s="222"/>
      <c r="B997" s="225"/>
      <c r="C997" s="225"/>
      <c r="D997" s="225"/>
      <c r="E997" s="225"/>
      <c r="F997" s="225"/>
      <c r="G997" s="224"/>
      <c r="H997" s="241"/>
      <c r="I997" s="240"/>
      <c r="J997" s="241"/>
      <c r="K997" s="242"/>
    </row>
    <row r="998" spans="1:11">
      <c r="A998" s="364"/>
      <c r="B998" s="365"/>
      <c r="C998" s="365"/>
      <c r="D998" s="365"/>
      <c r="E998" s="365"/>
      <c r="F998" s="365"/>
      <c r="G998" s="365"/>
      <c r="H998" s="365"/>
      <c r="I998" s="365"/>
      <c r="J998" s="366" t="s">
        <v>59</v>
      </c>
      <c r="K998" s="362">
        <f>SUM(K997:K997)</f>
        <v>0</v>
      </c>
    </row>
    <row r="999" spans="1:11">
      <c r="E999" s="367"/>
      <c r="F999" s="367"/>
      <c r="G999" s="367"/>
      <c r="H999" s="367"/>
      <c r="I999" s="367"/>
      <c r="J999" s="368"/>
      <c r="K999" s="369"/>
    </row>
    <row r="1000" spans="1:11">
      <c r="E1000" s="367"/>
      <c r="F1000" s="367"/>
      <c r="G1000" s="367"/>
      <c r="H1000" s="367"/>
      <c r="I1000" s="367"/>
      <c r="J1000" s="368"/>
      <c r="K1000" s="369"/>
    </row>
    <row r="1001" spans="1:11">
      <c r="A1001" s="337" t="s">
        <v>22674</v>
      </c>
      <c r="B1001" s="337" t="s">
        <v>371</v>
      </c>
      <c r="C1001" s="370" t="s">
        <v>326</v>
      </c>
      <c r="D1001" s="563" t="s">
        <v>306</v>
      </c>
      <c r="E1001" s="563"/>
      <c r="F1001" s="563"/>
      <c r="G1001" s="563"/>
      <c r="H1001" s="563"/>
      <c r="I1001" s="563"/>
      <c r="J1001" s="253" t="s">
        <v>17667</v>
      </c>
      <c r="K1001" s="373">
        <f>K1016+K1020+K1024</f>
        <v>6.3513377345378732</v>
      </c>
    </row>
    <row r="1002" spans="1:11">
      <c r="A1002" s="354" t="s">
        <v>27</v>
      </c>
      <c r="B1002" s="355" t="s">
        <v>11308</v>
      </c>
      <c r="C1002" s="355" t="s">
        <v>17663</v>
      </c>
      <c r="D1002" s="355" t="s">
        <v>0</v>
      </c>
      <c r="E1002" s="355" t="s">
        <v>1</v>
      </c>
      <c r="F1002" s="355" t="s">
        <v>39</v>
      </c>
      <c r="G1002" s="355" t="s">
        <v>40</v>
      </c>
      <c r="H1002" s="355" t="s">
        <v>41</v>
      </c>
      <c r="I1002" s="355" t="s">
        <v>42</v>
      </c>
      <c r="J1002" s="355"/>
      <c r="K1002" s="355" t="s">
        <v>43</v>
      </c>
    </row>
    <row r="1003" spans="1:11">
      <c r="A1003" s="222" t="str">
        <f>VLOOKUP(D1003,'17. CUSTOS DER - EQUIPAMENTOS'!A:B,2,0)</f>
        <v>CAM. CAÇAMBA MINÉRIO 10M3 SEVERA</v>
      </c>
      <c r="B1003" s="225" t="s">
        <v>9013</v>
      </c>
      <c r="C1003" s="225" t="s">
        <v>22635</v>
      </c>
      <c r="D1003" s="225">
        <v>336090</v>
      </c>
      <c r="E1003" s="356">
        <v>1</v>
      </c>
      <c r="F1003" s="241">
        <v>0.55000000000000004</v>
      </c>
      <c r="G1003" s="356">
        <v>0.44999999999999996</v>
      </c>
      <c r="H1003" s="242">
        <f>VLOOKUP(D1003,'17. CUSTOS DER - EQUIPAMENTOS'!A:O,15,0)</f>
        <v>343.5</v>
      </c>
      <c r="I1003" s="242">
        <f>VLOOKUP(D1003,'17. CUSTOS DER - EQUIPAMENTOS'!A:P,16,0)</f>
        <v>99.53</v>
      </c>
      <c r="J1003" s="225"/>
      <c r="K1003" s="242">
        <f>((F1003*H1003)+(G1003*I1003))*E1003</f>
        <v>233.71350000000001</v>
      </c>
    </row>
    <row r="1004" spans="1:11">
      <c r="A1004" s="222" t="str">
        <f>VLOOKUP(D1004,'17. CUSTOS DER - EQUIPAMENTOS'!A:B,2,0)</f>
        <v>CARREG. FRONTAL PNEUS 924-K LEVE</v>
      </c>
      <c r="B1004" s="225" t="s">
        <v>9013</v>
      </c>
      <c r="C1004" s="225" t="s">
        <v>22635</v>
      </c>
      <c r="D1004" s="225">
        <v>319300</v>
      </c>
      <c r="E1004" s="356">
        <v>1</v>
      </c>
      <c r="F1004" s="241">
        <v>1</v>
      </c>
      <c r="G1004" s="356">
        <v>0</v>
      </c>
      <c r="H1004" s="242">
        <f>VLOOKUP(D1004,'17. CUSTOS DER - EQUIPAMENTOS'!A:O,15,0)</f>
        <v>306.08</v>
      </c>
      <c r="I1004" s="242">
        <f>VLOOKUP(D1004,'17. CUSTOS DER - EQUIPAMENTOS'!A:P,16,0)</f>
        <v>115.91</v>
      </c>
      <c r="J1004" s="225"/>
      <c r="K1004" s="242">
        <f>((F1004*H1004)+(G1004*I1004))*E1004</f>
        <v>306.08</v>
      </c>
    </row>
    <row r="1005" spans="1:11">
      <c r="A1005" s="358"/>
      <c r="B1005" s="359"/>
      <c r="C1005" s="359"/>
      <c r="D1005" s="359"/>
      <c r="E1005" s="359"/>
      <c r="F1005" s="359"/>
      <c r="G1005" s="359"/>
      <c r="H1005" s="359"/>
      <c r="I1005" s="359"/>
      <c r="J1005" s="360" t="s">
        <v>44</v>
      </c>
      <c r="K1005" s="361">
        <f>SUM(K1003:K1004)</f>
        <v>539.79349999999999</v>
      </c>
    </row>
    <row r="1006" spans="1:11">
      <c r="A1006" s="354" t="s">
        <v>45</v>
      </c>
      <c r="B1006" s="355" t="s">
        <v>11308</v>
      </c>
      <c r="C1006" s="355" t="s">
        <v>17663</v>
      </c>
      <c r="D1006" s="355" t="s">
        <v>0</v>
      </c>
      <c r="E1006" s="355" t="s">
        <v>36</v>
      </c>
      <c r="F1006" s="355" t="s">
        <v>46</v>
      </c>
      <c r="G1006" s="355" t="s">
        <v>47</v>
      </c>
      <c r="H1006" s="355" t="s">
        <v>25</v>
      </c>
      <c r="I1006" s="355"/>
      <c r="J1006" s="355"/>
      <c r="K1006" s="355" t="s">
        <v>43</v>
      </c>
    </row>
    <row r="1007" spans="1:11">
      <c r="A1007" s="222" t="str">
        <f>VLOOKUP(D1007,'15. CUSTOS DER - MÃO DE OBRA'!A:B,2,0)</f>
        <v>ENCARREGADO DE SERVIÇO</v>
      </c>
      <c r="B1007" s="225" t="s">
        <v>9013</v>
      </c>
      <c r="C1007" s="225" t="s">
        <v>17664</v>
      </c>
      <c r="D1007" s="225">
        <v>210060</v>
      </c>
      <c r="E1007" s="242">
        <f>VLOOKUP(D1007,'15. CUSTOS DER - MÃO DE OBRA'!A:C,3,0)</f>
        <v>6</v>
      </c>
      <c r="F1007" s="225"/>
      <c r="G1007" s="225">
        <f>VLOOKUP(D1007,'15. CUSTOS DER - MÃO DE OBRA'!A:D,4,0)</f>
        <v>85.81</v>
      </c>
      <c r="H1007" s="356">
        <v>0.1</v>
      </c>
      <c r="I1007" s="225"/>
      <c r="J1007" s="225"/>
      <c r="K1007" s="242">
        <f>G1007*H1007</f>
        <v>8.5810000000000013</v>
      </c>
    </row>
    <row r="1008" spans="1:11">
      <c r="A1008" s="222"/>
      <c r="B1008" s="225"/>
      <c r="C1008" s="225"/>
      <c r="D1008" s="225"/>
      <c r="E1008" s="243"/>
      <c r="F1008" s="225"/>
      <c r="G1008" s="225"/>
      <c r="H1008" s="225"/>
      <c r="I1008" s="225"/>
      <c r="J1008" s="225"/>
      <c r="K1008" s="242"/>
    </row>
    <row r="1009" spans="1:11">
      <c r="A1009" s="358"/>
      <c r="B1009" s="359"/>
      <c r="C1009" s="359"/>
      <c r="D1009" s="359"/>
      <c r="E1009" s="359"/>
      <c r="F1009" s="359"/>
      <c r="G1009" s="359"/>
      <c r="H1009" s="359"/>
      <c r="I1009" s="359"/>
      <c r="J1009" s="360" t="s">
        <v>48</v>
      </c>
      <c r="K1009" s="361">
        <f>SUM(K1007:K1007)</f>
        <v>8.5810000000000013</v>
      </c>
    </row>
    <row r="1010" spans="1:11">
      <c r="A1010" s="354" t="s">
        <v>49</v>
      </c>
      <c r="B1010" s="355" t="s">
        <v>11308</v>
      </c>
      <c r="C1010" s="355" t="s">
        <v>17663</v>
      </c>
      <c r="D1010" s="355" t="s">
        <v>0</v>
      </c>
      <c r="E1010" s="355" t="s">
        <v>14</v>
      </c>
      <c r="F1010" s="355" t="s">
        <v>50</v>
      </c>
      <c r="G1010" s="355" t="s">
        <v>29</v>
      </c>
      <c r="H1010" s="355" t="s">
        <v>30</v>
      </c>
      <c r="I1010" s="355"/>
      <c r="J1010" s="355"/>
      <c r="K1010" s="355" t="s">
        <v>33</v>
      </c>
    </row>
    <row r="1011" spans="1:11">
      <c r="A1011" s="222"/>
      <c r="B1011" s="225"/>
      <c r="C1011" s="225"/>
      <c r="D1011" s="225"/>
      <c r="E1011" s="243"/>
      <c r="F1011" s="225"/>
      <c r="G1011" s="225"/>
      <c r="H1011" s="225"/>
      <c r="I1011" s="225"/>
      <c r="J1011" s="225"/>
      <c r="K1011" s="242"/>
    </row>
    <row r="1012" spans="1:11">
      <c r="A1012" s="222"/>
      <c r="B1012" s="225"/>
      <c r="C1012" s="225"/>
      <c r="D1012" s="225"/>
      <c r="E1012" s="243"/>
      <c r="F1012" s="225"/>
      <c r="G1012" s="225"/>
      <c r="H1012" s="225"/>
      <c r="I1012" s="225"/>
      <c r="J1012" s="225"/>
      <c r="K1012" s="242"/>
    </row>
    <row r="1013" spans="1:11">
      <c r="A1013" s="358"/>
      <c r="B1013" s="359"/>
      <c r="C1013" s="359"/>
      <c r="D1013" s="359"/>
      <c r="E1013" s="359"/>
      <c r="F1013" s="359"/>
      <c r="G1013" s="359"/>
      <c r="H1013" s="359"/>
      <c r="I1013" s="359"/>
      <c r="J1013" s="360" t="s">
        <v>51</v>
      </c>
      <c r="K1013" s="361">
        <f>SUM(K1012:K1012)</f>
        <v>0</v>
      </c>
    </row>
    <row r="1014" spans="1:11">
      <c r="A1014" s="568" t="s">
        <v>52</v>
      </c>
      <c r="B1014" s="568"/>
      <c r="C1014" s="568"/>
      <c r="D1014" s="568"/>
      <c r="E1014" s="568"/>
      <c r="F1014" s="568"/>
      <c r="G1014" s="568"/>
      <c r="H1014" s="568"/>
      <c r="I1014" s="568"/>
      <c r="J1014" s="568"/>
      <c r="K1014" s="361">
        <f>K1005+K1009+K1013</f>
        <v>548.37450000000001</v>
      </c>
    </row>
    <row r="1015" spans="1:11">
      <c r="A1015" s="568" t="s">
        <v>53</v>
      </c>
      <c r="B1015" s="568"/>
      <c r="C1015" s="568"/>
      <c r="D1015" s="568"/>
      <c r="E1015" s="568"/>
      <c r="F1015" s="568"/>
      <c r="G1015" s="568"/>
      <c r="H1015" s="568"/>
      <c r="I1015" s="568"/>
      <c r="J1015" s="568"/>
      <c r="K1015" s="361">
        <v>86.34</v>
      </c>
    </row>
    <row r="1016" spans="1:11">
      <c r="A1016" s="566" t="s">
        <v>54</v>
      </c>
      <c r="B1016" s="566"/>
      <c r="C1016" s="566"/>
      <c r="D1016" s="566"/>
      <c r="E1016" s="566"/>
      <c r="F1016" s="566"/>
      <c r="G1016" s="566"/>
      <c r="H1016" s="566"/>
      <c r="I1016" s="566"/>
      <c r="J1016" s="566"/>
      <c r="K1016" s="362">
        <f>IF(K1014=0,0,K1014/K1015)</f>
        <v>6.3513377345378732</v>
      </c>
    </row>
    <row r="1017" spans="1:11">
      <c r="A1017" s="354" t="s">
        <v>55</v>
      </c>
      <c r="B1017" s="355" t="s">
        <v>11308</v>
      </c>
      <c r="C1017" s="355" t="s">
        <v>17663</v>
      </c>
      <c r="D1017" s="355" t="s">
        <v>0</v>
      </c>
      <c r="E1017" s="355" t="s">
        <v>2</v>
      </c>
      <c r="F1017" s="567" t="s">
        <v>9</v>
      </c>
      <c r="G1017" s="567"/>
      <c r="H1017" s="567" t="s">
        <v>25</v>
      </c>
      <c r="I1017" s="567"/>
      <c r="J1017" s="355"/>
      <c r="K1017" s="355" t="s">
        <v>56</v>
      </c>
    </row>
    <row r="1018" spans="1:11">
      <c r="A1018" s="222"/>
      <c r="B1018" s="225"/>
      <c r="C1018" s="225"/>
      <c r="D1018" s="225"/>
      <c r="E1018" s="225"/>
      <c r="F1018" s="225"/>
      <c r="G1018" s="224"/>
      <c r="H1018" s="241"/>
      <c r="I1018" s="241"/>
      <c r="J1018" s="225"/>
      <c r="K1018" s="242"/>
    </row>
    <row r="1019" spans="1:11">
      <c r="A1019" s="222"/>
      <c r="B1019" s="225"/>
      <c r="C1019" s="225"/>
      <c r="D1019" s="225"/>
      <c r="E1019" s="225"/>
      <c r="F1019" s="225"/>
      <c r="G1019" s="224"/>
      <c r="H1019" s="241"/>
      <c r="I1019" s="241"/>
      <c r="J1019" s="225"/>
      <c r="K1019" s="242"/>
    </row>
    <row r="1020" spans="1:11">
      <c r="A1020" s="364"/>
      <c r="B1020" s="365"/>
      <c r="C1020" s="365"/>
      <c r="D1020" s="365"/>
      <c r="E1020" s="365"/>
      <c r="F1020" s="365"/>
      <c r="G1020" s="365"/>
      <c r="H1020" s="365"/>
      <c r="I1020" s="365"/>
      <c r="J1020" s="366" t="s">
        <v>57</v>
      </c>
      <c r="K1020" s="362">
        <f>SUM(K1019:K1019)</f>
        <v>0</v>
      </c>
    </row>
    <row r="1021" spans="1:11">
      <c r="A1021" s="354" t="s">
        <v>58</v>
      </c>
      <c r="B1021" s="355" t="s">
        <v>11308</v>
      </c>
      <c r="C1021" s="355" t="s">
        <v>17663</v>
      </c>
      <c r="D1021" s="355" t="s">
        <v>0</v>
      </c>
      <c r="E1021" s="355" t="s">
        <v>2</v>
      </c>
      <c r="F1021" s="567" t="s">
        <v>9</v>
      </c>
      <c r="G1021" s="567"/>
      <c r="H1021" s="567" t="s">
        <v>25</v>
      </c>
      <c r="I1021" s="567"/>
      <c r="J1021" s="355"/>
      <c r="K1021" s="355" t="s">
        <v>56</v>
      </c>
    </row>
    <row r="1022" spans="1:11">
      <c r="A1022" s="222"/>
      <c r="B1022" s="225"/>
      <c r="C1022" s="225"/>
      <c r="D1022" s="225"/>
      <c r="E1022" s="225"/>
      <c r="F1022" s="225"/>
      <c r="G1022" s="224"/>
      <c r="H1022" s="241"/>
      <c r="I1022" s="240"/>
      <c r="J1022" s="241"/>
      <c r="K1022" s="242">
        <f>G1022*I1022</f>
        <v>0</v>
      </c>
    </row>
    <row r="1023" spans="1:11">
      <c r="A1023" s="222"/>
      <c r="B1023" s="225"/>
      <c r="C1023" s="225"/>
      <c r="D1023" s="225"/>
      <c r="E1023" s="225"/>
      <c r="F1023" s="225"/>
      <c r="G1023" s="224"/>
      <c r="H1023" s="241"/>
      <c r="I1023" s="240"/>
      <c r="J1023" s="241"/>
      <c r="K1023" s="242">
        <f>G1023*I1023</f>
        <v>0</v>
      </c>
    </row>
    <row r="1024" spans="1:11">
      <c r="A1024" s="364"/>
      <c r="B1024" s="365"/>
      <c r="C1024" s="365"/>
      <c r="D1024" s="365"/>
      <c r="E1024" s="365"/>
      <c r="F1024" s="365"/>
      <c r="G1024" s="365"/>
      <c r="H1024" s="365"/>
      <c r="I1024" s="365"/>
      <c r="J1024" s="366" t="s">
        <v>59</v>
      </c>
      <c r="K1024" s="362">
        <f>SUM(K1023:K1023)</f>
        <v>0</v>
      </c>
    </row>
    <row r="1025" spans="1:11">
      <c r="E1025" s="367"/>
      <c r="F1025" s="367"/>
      <c r="G1025" s="367"/>
      <c r="H1025" s="367"/>
      <c r="I1025" s="367"/>
      <c r="J1025" s="368"/>
      <c r="K1025" s="369"/>
    </row>
    <row r="1026" spans="1:11">
      <c r="E1026" s="367"/>
      <c r="F1026" s="367"/>
      <c r="G1026" s="367"/>
      <c r="H1026" s="367"/>
      <c r="I1026" s="367"/>
      <c r="J1026" s="368"/>
      <c r="K1026" s="369"/>
    </row>
    <row r="1027" spans="1:11">
      <c r="A1027" s="337" t="s">
        <v>22675</v>
      </c>
      <c r="B1027" s="337" t="s">
        <v>371</v>
      </c>
      <c r="C1027" s="370" t="s">
        <v>326</v>
      </c>
      <c r="D1027" s="563" t="s">
        <v>307</v>
      </c>
      <c r="E1027" s="563"/>
      <c r="F1027" s="563"/>
      <c r="G1027" s="563"/>
      <c r="H1027" s="563"/>
      <c r="I1027" s="563"/>
      <c r="J1027" s="253" t="s">
        <v>17667</v>
      </c>
      <c r="K1027" s="373">
        <f>K1043+K1047+K1051</f>
        <v>34.122109090909092</v>
      </c>
    </row>
    <row r="1028" spans="1:11">
      <c r="A1028" s="354" t="s">
        <v>27</v>
      </c>
      <c r="B1028" s="355" t="s">
        <v>11308</v>
      </c>
      <c r="C1028" s="355" t="s">
        <v>17663</v>
      </c>
      <c r="D1028" s="355" t="s">
        <v>0</v>
      </c>
      <c r="E1028" s="355" t="s">
        <v>1</v>
      </c>
      <c r="F1028" s="355" t="s">
        <v>39</v>
      </c>
      <c r="G1028" s="355" t="s">
        <v>40</v>
      </c>
      <c r="H1028" s="355" t="s">
        <v>41</v>
      </c>
      <c r="I1028" s="355" t="s">
        <v>42</v>
      </c>
      <c r="J1028" s="355"/>
      <c r="K1028" s="355" t="s">
        <v>43</v>
      </c>
    </row>
    <row r="1029" spans="1:11">
      <c r="A1029" s="222" t="str">
        <f>VLOOKUP(D1029,'17. CUSTOS DER - EQUIPAMENTOS'!A:B,2,0)</f>
        <v>COMPACTADOR MANUAL SOLOS GASOLINA</v>
      </c>
      <c r="B1029" s="225" t="s">
        <v>9013</v>
      </c>
      <c r="C1029" s="225" t="s">
        <v>22635</v>
      </c>
      <c r="D1029" s="225">
        <v>340200</v>
      </c>
      <c r="E1029" s="241">
        <v>1</v>
      </c>
      <c r="F1029" s="241">
        <v>1</v>
      </c>
      <c r="G1029" s="356">
        <v>0</v>
      </c>
      <c r="H1029" s="242">
        <f>VLOOKUP(D1029,'17. CUSTOS DER - EQUIPAMENTOS'!A:O,15,0)</f>
        <v>41.25</v>
      </c>
      <c r="I1029" s="242">
        <f>VLOOKUP(D1029,'17. CUSTOS DER - EQUIPAMENTOS'!A:P,16,0)</f>
        <v>33.24</v>
      </c>
      <c r="J1029" s="225"/>
      <c r="K1029" s="242">
        <f>((F1029*H1029)+(G1029*I1029))*E1029</f>
        <v>41.25</v>
      </c>
    </row>
    <row r="1030" spans="1:11">
      <c r="A1030" s="222"/>
      <c r="B1030" s="225"/>
      <c r="C1030" s="225"/>
      <c r="D1030" s="225"/>
      <c r="E1030" s="375"/>
      <c r="F1030" s="375"/>
      <c r="G1030" s="377"/>
      <c r="H1030" s="357"/>
      <c r="I1030" s="357"/>
      <c r="J1030" s="225"/>
      <c r="K1030" s="357"/>
    </row>
    <row r="1031" spans="1:11">
      <c r="A1031" s="358"/>
      <c r="B1031" s="359"/>
      <c r="C1031" s="359"/>
      <c r="D1031" s="359"/>
      <c r="E1031" s="359"/>
      <c r="F1031" s="359"/>
      <c r="G1031" s="359"/>
      <c r="H1031" s="359"/>
      <c r="I1031" s="359"/>
      <c r="J1031" s="360" t="s">
        <v>44</v>
      </c>
      <c r="K1031" s="361">
        <f>SUM(K1029:K1030)</f>
        <v>41.25</v>
      </c>
    </row>
    <row r="1032" spans="1:11">
      <c r="A1032" s="354" t="s">
        <v>45</v>
      </c>
      <c r="B1032" s="355" t="s">
        <v>11308</v>
      </c>
      <c r="C1032" s="355" t="s">
        <v>17663</v>
      </c>
      <c r="D1032" s="355" t="s">
        <v>0</v>
      </c>
      <c r="E1032" s="355" t="s">
        <v>36</v>
      </c>
      <c r="F1032" s="355" t="s">
        <v>46</v>
      </c>
      <c r="G1032" s="355" t="s">
        <v>47</v>
      </c>
      <c r="H1032" s="355" t="s">
        <v>25</v>
      </c>
      <c r="I1032" s="355"/>
      <c r="J1032" s="355"/>
      <c r="K1032" s="355" t="s">
        <v>43</v>
      </c>
    </row>
    <row r="1033" spans="1:11">
      <c r="A1033" s="222" t="str">
        <f>VLOOKUP(D1033,'15. CUSTOS DER - MÃO DE OBRA'!A:B,2,0)</f>
        <v>APONTADOR</v>
      </c>
      <c r="B1033" s="225" t="s">
        <v>9013</v>
      </c>
      <c r="C1033" s="225" t="s">
        <v>17664</v>
      </c>
      <c r="D1033" s="225">
        <v>200020</v>
      </c>
      <c r="E1033" s="242">
        <f>VLOOKUP(D1033,'15. CUSTOS DER - MÃO DE OBRA'!A:C,3,0)</f>
        <v>2.25</v>
      </c>
      <c r="F1033" s="225"/>
      <c r="G1033" s="225">
        <f>VLOOKUP(D1033,'15. CUSTOS DER - MÃO DE OBRA'!A:D,4,0)</f>
        <v>32.18</v>
      </c>
      <c r="H1033" s="241">
        <v>1</v>
      </c>
      <c r="I1033" s="225"/>
      <c r="J1033" s="225"/>
      <c r="K1033" s="242">
        <f>G1033*H1033</f>
        <v>32.18</v>
      </c>
    </row>
    <row r="1034" spans="1:11">
      <c r="A1034" s="222" t="str">
        <f>VLOOKUP(D1034,'15. CUSTOS DER - MÃO DE OBRA'!A:B,2,0)</f>
        <v>ENCARREGADO DE SERVIÇO</v>
      </c>
      <c r="B1034" s="225" t="s">
        <v>9013</v>
      </c>
      <c r="C1034" s="225" t="s">
        <v>17664</v>
      </c>
      <c r="D1034" s="225">
        <v>210060</v>
      </c>
      <c r="E1034" s="242">
        <f>VLOOKUP(D1034,'15. CUSTOS DER - MÃO DE OBRA'!A:C,3,0)</f>
        <v>6</v>
      </c>
      <c r="F1034" s="225"/>
      <c r="G1034" s="225">
        <f>VLOOKUP(D1034,'15. CUSTOS DER - MÃO DE OBRA'!A:D,4,0)</f>
        <v>85.81</v>
      </c>
      <c r="H1034" s="241">
        <v>0.4</v>
      </c>
      <c r="I1034" s="225"/>
      <c r="J1034" s="225"/>
      <c r="K1034" s="242">
        <f>G1034*H1034</f>
        <v>34.324000000000005</v>
      </c>
    </row>
    <row r="1035" spans="1:11">
      <c r="A1035" s="222" t="str">
        <f>VLOOKUP(D1035,'15. CUSTOS DER - MÃO DE OBRA'!A:B,2,0)</f>
        <v>SERVENTE</v>
      </c>
      <c r="B1035" s="225" t="s">
        <v>9013</v>
      </c>
      <c r="C1035" s="225" t="s">
        <v>17664</v>
      </c>
      <c r="D1035" s="225">
        <v>200130</v>
      </c>
      <c r="E1035" s="242">
        <f>VLOOKUP(D1035,'15. CUSTOS DER - MÃO DE OBRA'!A:C,3,0)</f>
        <v>2.2000000000000002</v>
      </c>
      <c r="F1035" s="225"/>
      <c r="G1035" s="225">
        <f>VLOOKUP(D1035,'15. CUSTOS DER - MÃO DE OBRA'!A:D,4,0)</f>
        <v>31.46</v>
      </c>
      <c r="H1035" s="241">
        <v>8</v>
      </c>
      <c r="I1035" s="225"/>
      <c r="J1035" s="225"/>
      <c r="K1035" s="242">
        <f>G1035*H1035</f>
        <v>251.68</v>
      </c>
    </row>
    <row r="1036" spans="1:11">
      <c r="A1036" s="358"/>
      <c r="B1036" s="359"/>
      <c r="C1036" s="359"/>
      <c r="D1036" s="359"/>
      <c r="E1036" s="359"/>
      <c r="F1036" s="359"/>
      <c r="G1036" s="359"/>
      <c r="H1036" s="359"/>
      <c r="I1036" s="359"/>
      <c r="J1036" s="360" t="s">
        <v>48</v>
      </c>
      <c r="K1036" s="361">
        <f>SUM(K1033:K1035)</f>
        <v>318.18400000000003</v>
      </c>
    </row>
    <row r="1037" spans="1:11">
      <c r="A1037" s="354" t="s">
        <v>49</v>
      </c>
      <c r="B1037" s="355" t="s">
        <v>11308</v>
      </c>
      <c r="C1037" s="355" t="s">
        <v>17663</v>
      </c>
      <c r="D1037" s="355" t="s">
        <v>0</v>
      </c>
      <c r="E1037" s="355" t="s">
        <v>14</v>
      </c>
      <c r="F1037" s="355" t="s">
        <v>50</v>
      </c>
      <c r="G1037" s="355" t="s">
        <v>29</v>
      </c>
      <c r="H1037" s="355" t="s">
        <v>30</v>
      </c>
      <c r="I1037" s="355"/>
      <c r="J1037" s="355"/>
      <c r="K1037" s="355" t="s">
        <v>33</v>
      </c>
    </row>
    <row r="1038" spans="1:11">
      <c r="A1038" s="222" t="s">
        <v>31</v>
      </c>
      <c r="B1038" s="225"/>
      <c r="C1038" s="225"/>
      <c r="D1038" s="225">
        <v>29990</v>
      </c>
      <c r="E1038" s="225">
        <v>5</v>
      </c>
      <c r="F1038" s="225" t="s">
        <v>32</v>
      </c>
      <c r="G1038" s="225"/>
      <c r="H1038" s="225"/>
      <c r="I1038" s="225"/>
      <c r="J1038" s="225"/>
      <c r="K1038" s="242">
        <f>K1036*(E1038/100)</f>
        <v>15.909200000000002</v>
      </c>
    </row>
    <row r="1039" spans="1:11">
      <c r="A1039" s="222"/>
      <c r="B1039" s="225"/>
      <c r="C1039" s="225"/>
      <c r="D1039" s="225"/>
      <c r="E1039" s="225"/>
      <c r="F1039" s="225"/>
      <c r="G1039" s="225"/>
      <c r="H1039" s="225"/>
      <c r="I1039" s="225"/>
      <c r="J1039" s="225"/>
      <c r="K1039" s="242"/>
    </row>
    <row r="1040" spans="1:11">
      <c r="A1040" s="358"/>
      <c r="B1040" s="359"/>
      <c r="C1040" s="359"/>
      <c r="D1040" s="359"/>
      <c r="E1040" s="359"/>
      <c r="F1040" s="359"/>
      <c r="G1040" s="359"/>
      <c r="H1040" s="359"/>
      <c r="I1040" s="359"/>
      <c r="J1040" s="360" t="s">
        <v>51</v>
      </c>
      <c r="K1040" s="361">
        <f>SUM(K1038:K1039)</f>
        <v>15.909200000000002</v>
      </c>
    </row>
    <row r="1041" spans="1:11">
      <c r="A1041" s="568" t="s">
        <v>52</v>
      </c>
      <c r="B1041" s="568"/>
      <c r="C1041" s="568"/>
      <c r="D1041" s="568"/>
      <c r="E1041" s="568"/>
      <c r="F1041" s="568"/>
      <c r="G1041" s="568"/>
      <c r="H1041" s="568"/>
      <c r="I1041" s="568"/>
      <c r="J1041" s="568"/>
      <c r="K1041" s="361">
        <f>K1031+K1036+K1040</f>
        <v>375.34320000000002</v>
      </c>
    </row>
    <row r="1042" spans="1:11">
      <c r="A1042" s="568" t="s">
        <v>53</v>
      </c>
      <c r="B1042" s="568"/>
      <c r="C1042" s="568"/>
      <c r="D1042" s="568"/>
      <c r="E1042" s="568"/>
      <c r="F1042" s="568"/>
      <c r="G1042" s="568"/>
      <c r="H1042" s="568"/>
      <c r="I1042" s="568"/>
      <c r="J1042" s="568"/>
      <c r="K1042" s="361">
        <v>11</v>
      </c>
    </row>
    <row r="1043" spans="1:11">
      <c r="A1043" s="566" t="s">
        <v>54</v>
      </c>
      <c r="B1043" s="566"/>
      <c r="C1043" s="566"/>
      <c r="D1043" s="566"/>
      <c r="E1043" s="566"/>
      <c r="F1043" s="566"/>
      <c r="G1043" s="566"/>
      <c r="H1043" s="566"/>
      <c r="I1043" s="566"/>
      <c r="J1043" s="566"/>
      <c r="K1043" s="362">
        <f>IF(K1041=0,0,K1041/K1042)</f>
        <v>34.122109090909092</v>
      </c>
    </row>
    <row r="1044" spans="1:11">
      <c r="A1044" s="354" t="s">
        <v>55</v>
      </c>
      <c r="B1044" s="355" t="s">
        <v>11308</v>
      </c>
      <c r="C1044" s="355" t="s">
        <v>17663</v>
      </c>
      <c r="D1044" s="355" t="s">
        <v>0</v>
      </c>
      <c r="E1044" s="355" t="s">
        <v>2</v>
      </c>
      <c r="F1044" s="567" t="s">
        <v>9</v>
      </c>
      <c r="G1044" s="567"/>
      <c r="H1044" s="567" t="s">
        <v>25</v>
      </c>
      <c r="I1044" s="567"/>
      <c r="J1044" s="355"/>
      <c r="K1044" s="355" t="s">
        <v>56</v>
      </c>
    </row>
    <row r="1045" spans="1:11">
      <c r="A1045" s="222"/>
      <c r="B1045" s="225"/>
      <c r="C1045" s="225"/>
      <c r="D1045" s="225"/>
      <c r="E1045" s="225"/>
      <c r="F1045" s="225"/>
      <c r="G1045" s="224"/>
      <c r="H1045" s="375"/>
      <c r="I1045" s="375"/>
      <c r="J1045" s="225"/>
      <c r="K1045" s="357"/>
    </row>
    <row r="1046" spans="1:11">
      <c r="A1046" s="222"/>
      <c r="B1046" s="225"/>
      <c r="C1046" s="225"/>
      <c r="D1046" s="225"/>
      <c r="E1046" s="225"/>
      <c r="F1046" s="225"/>
      <c r="G1046" s="224"/>
      <c r="H1046" s="375"/>
      <c r="I1046" s="375"/>
      <c r="J1046" s="225"/>
      <c r="K1046" s="357"/>
    </row>
    <row r="1047" spans="1:11">
      <c r="A1047" s="364"/>
      <c r="B1047" s="365"/>
      <c r="C1047" s="365"/>
      <c r="D1047" s="365"/>
      <c r="E1047" s="365"/>
      <c r="F1047" s="365"/>
      <c r="G1047" s="365"/>
      <c r="H1047" s="365"/>
      <c r="I1047" s="365"/>
      <c r="J1047" s="366" t="s">
        <v>57</v>
      </c>
      <c r="K1047" s="362">
        <f>SUM(K1045:K1046)</f>
        <v>0</v>
      </c>
    </row>
    <row r="1048" spans="1:11">
      <c r="A1048" s="354" t="s">
        <v>58</v>
      </c>
      <c r="B1048" s="355" t="s">
        <v>11308</v>
      </c>
      <c r="C1048" s="355" t="s">
        <v>17663</v>
      </c>
      <c r="D1048" s="355" t="s">
        <v>0</v>
      </c>
      <c r="E1048" s="355" t="s">
        <v>2</v>
      </c>
      <c r="F1048" s="567" t="s">
        <v>9</v>
      </c>
      <c r="G1048" s="567"/>
      <c r="H1048" s="567" t="s">
        <v>25</v>
      </c>
      <c r="I1048" s="567"/>
      <c r="J1048" s="355"/>
      <c r="K1048" s="355" t="s">
        <v>56</v>
      </c>
    </row>
    <row r="1049" spans="1:11">
      <c r="A1049" s="222"/>
      <c r="B1049" s="225"/>
      <c r="C1049" s="225"/>
      <c r="D1049" s="225"/>
      <c r="E1049" s="225"/>
      <c r="F1049" s="225"/>
      <c r="G1049" s="224"/>
      <c r="H1049" s="375"/>
      <c r="I1049" s="375"/>
      <c r="J1049" s="225"/>
      <c r="K1049" s="357"/>
    </row>
    <row r="1050" spans="1:11">
      <c r="A1050" s="222"/>
      <c r="B1050" s="225"/>
      <c r="C1050" s="225"/>
      <c r="D1050" s="225"/>
      <c r="E1050" s="225"/>
      <c r="F1050" s="225"/>
      <c r="G1050" s="224"/>
      <c r="H1050" s="375"/>
      <c r="I1050" s="375"/>
      <c r="J1050" s="225"/>
      <c r="K1050" s="357"/>
    </row>
    <row r="1051" spans="1:11">
      <c r="A1051" s="364"/>
      <c r="B1051" s="365"/>
      <c r="C1051" s="365"/>
      <c r="D1051" s="365"/>
      <c r="E1051" s="365"/>
      <c r="F1051" s="365"/>
      <c r="G1051" s="365"/>
      <c r="H1051" s="365"/>
      <c r="I1051" s="365"/>
      <c r="J1051" s="366" t="s">
        <v>59</v>
      </c>
      <c r="K1051" s="362">
        <f>SUM(K1049:K1050)</f>
        <v>0</v>
      </c>
    </row>
    <row r="1052" spans="1:11">
      <c r="E1052" s="367"/>
      <c r="F1052" s="367"/>
      <c r="G1052" s="367"/>
      <c r="H1052" s="367"/>
      <c r="I1052" s="367"/>
      <c r="J1052" s="368"/>
      <c r="K1052" s="369"/>
    </row>
    <row r="1053" spans="1:11">
      <c r="E1053" s="367"/>
      <c r="F1053" s="367"/>
      <c r="G1053" s="367"/>
      <c r="H1053" s="367"/>
      <c r="I1053" s="367"/>
      <c r="J1053" s="368"/>
      <c r="K1053" s="369"/>
    </row>
    <row r="1054" spans="1:11">
      <c r="A1054" s="337" t="s">
        <v>22676</v>
      </c>
      <c r="B1054" s="337" t="s">
        <v>371</v>
      </c>
      <c r="C1054" s="370" t="s">
        <v>328</v>
      </c>
      <c r="D1054" s="563" t="s">
        <v>308</v>
      </c>
      <c r="E1054" s="563"/>
      <c r="F1054" s="563"/>
      <c r="G1054" s="563"/>
      <c r="H1054" s="563"/>
      <c r="I1054" s="563"/>
      <c r="J1054" s="253" t="s">
        <v>17667</v>
      </c>
      <c r="K1054" s="373">
        <f>K1069+K1074+K1078</f>
        <v>28.355223000000002</v>
      </c>
    </row>
    <row r="1055" spans="1:11">
      <c r="A1055" s="354" t="s">
        <v>27</v>
      </c>
      <c r="B1055" s="355" t="s">
        <v>11308</v>
      </c>
      <c r="C1055" s="355" t="s">
        <v>17663</v>
      </c>
      <c r="D1055" s="355" t="s">
        <v>0</v>
      </c>
      <c r="E1055" s="355" t="s">
        <v>1</v>
      </c>
      <c r="F1055" s="355" t="s">
        <v>39</v>
      </c>
      <c r="G1055" s="355" t="s">
        <v>40</v>
      </c>
      <c r="H1055" s="355" t="s">
        <v>41</v>
      </c>
      <c r="I1055" s="355" t="s">
        <v>42</v>
      </c>
      <c r="J1055" s="355"/>
      <c r="K1055" s="355" t="s">
        <v>43</v>
      </c>
    </row>
    <row r="1056" spans="1:11">
      <c r="A1056" s="222"/>
      <c r="B1056" s="225"/>
      <c r="C1056" s="225"/>
      <c r="D1056" s="225"/>
      <c r="E1056" s="375"/>
      <c r="F1056" s="375"/>
      <c r="G1056" s="377"/>
      <c r="H1056" s="357"/>
      <c r="I1056" s="357"/>
      <c r="J1056" s="225"/>
      <c r="K1056" s="357"/>
    </row>
    <row r="1057" spans="1:11">
      <c r="A1057" s="222"/>
      <c r="B1057" s="225"/>
      <c r="C1057" s="225"/>
      <c r="D1057" s="225"/>
      <c r="E1057" s="375"/>
      <c r="F1057" s="375"/>
      <c r="G1057" s="377"/>
      <c r="H1057" s="357"/>
      <c r="I1057" s="357"/>
      <c r="J1057" s="225"/>
      <c r="K1057" s="357"/>
    </row>
    <row r="1058" spans="1:11">
      <c r="A1058" s="358"/>
      <c r="B1058" s="359"/>
      <c r="C1058" s="359"/>
      <c r="D1058" s="359"/>
      <c r="E1058" s="359"/>
      <c r="F1058" s="359"/>
      <c r="G1058" s="359"/>
      <c r="H1058" s="359"/>
      <c r="I1058" s="359"/>
      <c r="J1058" s="360" t="s">
        <v>44</v>
      </c>
      <c r="K1058" s="361">
        <f>SUM(K1056:K1057)</f>
        <v>0</v>
      </c>
    </row>
    <row r="1059" spans="1:11">
      <c r="A1059" s="354" t="s">
        <v>45</v>
      </c>
      <c r="B1059" s="355" t="s">
        <v>11308</v>
      </c>
      <c r="C1059" s="355" t="s">
        <v>17663</v>
      </c>
      <c r="D1059" s="355" t="s">
        <v>0</v>
      </c>
      <c r="E1059" s="355" t="s">
        <v>36</v>
      </c>
      <c r="F1059" s="355" t="s">
        <v>46</v>
      </c>
      <c r="G1059" s="355" t="s">
        <v>47</v>
      </c>
      <c r="H1059" s="355" t="s">
        <v>25</v>
      </c>
      <c r="I1059" s="355"/>
      <c r="J1059" s="355"/>
      <c r="K1059" s="355" t="s">
        <v>43</v>
      </c>
    </row>
    <row r="1060" spans="1:11">
      <c r="A1060" s="222" t="str">
        <f>VLOOKUP(D1060,'15. CUSTOS DER - MÃO DE OBRA'!A:B,2,0)</f>
        <v>ENCARREGADO DE SERVIÇO</v>
      </c>
      <c r="B1060" s="225" t="s">
        <v>9013</v>
      </c>
      <c r="C1060" s="225" t="s">
        <v>17664</v>
      </c>
      <c r="D1060" s="225">
        <v>210060</v>
      </c>
      <c r="E1060" s="242">
        <f>VLOOKUP(D1060,'15. CUSTOS DER - MÃO DE OBRA'!A:C,3,0)</f>
        <v>6</v>
      </c>
      <c r="F1060" s="225"/>
      <c r="G1060" s="225">
        <f>VLOOKUP(D1060,'15. CUSTOS DER - MÃO DE OBRA'!A:D,4,0)</f>
        <v>85.81</v>
      </c>
      <c r="H1060" s="241">
        <v>0.2</v>
      </c>
      <c r="I1060" s="225"/>
      <c r="J1060" s="225"/>
      <c r="K1060" s="242">
        <f>G1060*H1060</f>
        <v>17.162000000000003</v>
      </c>
    </row>
    <row r="1061" spans="1:11">
      <c r="A1061" s="222" t="str">
        <f>VLOOKUP(D1061,'15. CUSTOS DER - MÃO DE OBRA'!A:B,2,0)</f>
        <v>SERVENTE</v>
      </c>
      <c r="B1061" s="225" t="s">
        <v>9013</v>
      </c>
      <c r="C1061" s="225" t="s">
        <v>17664</v>
      </c>
      <c r="D1061" s="225">
        <v>200130</v>
      </c>
      <c r="E1061" s="242">
        <f>VLOOKUP(D1061,'15. CUSTOS DER - MÃO DE OBRA'!A:C,3,0)</f>
        <v>2.2000000000000002</v>
      </c>
      <c r="F1061" s="225"/>
      <c r="G1061" s="225">
        <f>VLOOKUP(D1061,'15. CUSTOS DER - MÃO DE OBRA'!A:D,4,0)</f>
        <v>31.46</v>
      </c>
      <c r="H1061" s="241">
        <v>6.2</v>
      </c>
      <c r="I1061" s="225"/>
      <c r="J1061" s="225"/>
      <c r="K1061" s="242">
        <f>G1061*H1061</f>
        <v>195.05200000000002</v>
      </c>
    </row>
    <row r="1062" spans="1:11">
      <c r="A1062" s="358"/>
      <c r="B1062" s="359"/>
      <c r="C1062" s="359"/>
      <c r="D1062" s="359"/>
      <c r="E1062" s="359"/>
      <c r="F1062" s="359"/>
      <c r="G1062" s="359"/>
      <c r="H1062" s="359"/>
      <c r="I1062" s="359"/>
      <c r="J1062" s="360" t="s">
        <v>48</v>
      </c>
      <c r="K1062" s="361">
        <f>SUM(K1060:K1061)</f>
        <v>212.21400000000003</v>
      </c>
    </row>
    <row r="1063" spans="1:11">
      <c r="A1063" s="354" t="s">
        <v>49</v>
      </c>
      <c r="B1063" s="355" t="s">
        <v>11308</v>
      </c>
      <c r="C1063" s="355" t="s">
        <v>17663</v>
      </c>
      <c r="D1063" s="355" t="s">
        <v>0</v>
      </c>
      <c r="E1063" s="355" t="s">
        <v>14</v>
      </c>
      <c r="F1063" s="355" t="s">
        <v>50</v>
      </c>
      <c r="G1063" s="355" t="s">
        <v>29</v>
      </c>
      <c r="H1063" s="355" t="s">
        <v>30</v>
      </c>
      <c r="I1063" s="355"/>
      <c r="J1063" s="355"/>
      <c r="K1063" s="355" t="s">
        <v>33</v>
      </c>
    </row>
    <row r="1064" spans="1:11">
      <c r="A1064" s="222" t="s">
        <v>31</v>
      </c>
      <c r="B1064" s="225"/>
      <c r="C1064" s="225"/>
      <c r="D1064" s="225">
        <v>29990</v>
      </c>
      <c r="E1064" s="225">
        <v>5</v>
      </c>
      <c r="F1064" s="225" t="s">
        <v>32</v>
      </c>
      <c r="G1064" s="225"/>
      <c r="H1064" s="225"/>
      <c r="I1064" s="225"/>
      <c r="J1064" s="225"/>
      <c r="K1064" s="242">
        <f>K1062*(E1064/100)</f>
        <v>10.610700000000001</v>
      </c>
    </row>
    <row r="1065" spans="1:11">
      <c r="A1065" s="222"/>
      <c r="B1065" s="225"/>
      <c r="C1065" s="225"/>
      <c r="D1065" s="225"/>
      <c r="E1065" s="225"/>
      <c r="F1065" s="225"/>
      <c r="G1065" s="225"/>
      <c r="H1065" s="225"/>
      <c r="I1065" s="225"/>
      <c r="J1065" s="225"/>
      <c r="K1065" s="357"/>
    </row>
    <row r="1066" spans="1:11">
      <c r="A1066" s="358"/>
      <c r="B1066" s="359"/>
      <c r="C1066" s="359"/>
      <c r="D1066" s="359"/>
      <c r="E1066" s="359"/>
      <c r="F1066" s="359"/>
      <c r="G1066" s="359"/>
      <c r="H1066" s="359"/>
      <c r="I1066" s="359"/>
      <c r="J1066" s="360" t="s">
        <v>51</v>
      </c>
      <c r="K1066" s="361">
        <f>SUM(K1064:K1065)</f>
        <v>10.610700000000001</v>
      </c>
    </row>
    <row r="1067" spans="1:11">
      <c r="A1067" s="568" t="s">
        <v>52</v>
      </c>
      <c r="B1067" s="568"/>
      <c r="C1067" s="568"/>
      <c r="D1067" s="568"/>
      <c r="E1067" s="568"/>
      <c r="F1067" s="568"/>
      <c r="G1067" s="568"/>
      <c r="H1067" s="568"/>
      <c r="I1067" s="568"/>
      <c r="J1067" s="568"/>
      <c r="K1067" s="361">
        <f>K1058+K1062+K1066</f>
        <v>222.82470000000004</v>
      </c>
    </row>
    <row r="1068" spans="1:11">
      <c r="A1068" s="568" t="s">
        <v>53</v>
      </c>
      <c r="B1068" s="568"/>
      <c r="C1068" s="568"/>
      <c r="D1068" s="568"/>
      <c r="E1068" s="568"/>
      <c r="F1068" s="568"/>
      <c r="G1068" s="568"/>
      <c r="H1068" s="568"/>
      <c r="I1068" s="568"/>
      <c r="J1068" s="568"/>
      <c r="K1068" s="361">
        <v>100</v>
      </c>
    </row>
    <row r="1069" spans="1:11">
      <c r="A1069" s="566" t="s">
        <v>54</v>
      </c>
      <c r="B1069" s="566"/>
      <c r="C1069" s="566"/>
      <c r="D1069" s="566"/>
      <c r="E1069" s="566"/>
      <c r="F1069" s="566"/>
      <c r="G1069" s="566"/>
      <c r="H1069" s="566"/>
      <c r="I1069" s="566"/>
      <c r="J1069" s="566"/>
      <c r="K1069" s="362">
        <f>IF(K1067=0,0,K1067/K1068)</f>
        <v>2.2282470000000005</v>
      </c>
    </row>
    <row r="1070" spans="1:11">
      <c r="A1070" s="354" t="s">
        <v>55</v>
      </c>
      <c r="B1070" s="355" t="s">
        <v>11308</v>
      </c>
      <c r="C1070" s="355" t="s">
        <v>17663</v>
      </c>
      <c r="D1070" s="355" t="s">
        <v>0</v>
      </c>
      <c r="E1070" s="355" t="s">
        <v>2</v>
      </c>
      <c r="F1070" s="567" t="s">
        <v>9</v>
      </c>
      <c r="G1070" s="567"/>
      <c r="H1070" s="567" t="s">
        <v>25</v>
      </c>
      <c r="I1070" s="567"/>
      <c r="J1070" s="355"/>
      <c r="K1070" s="355" t="s">
        <v>56</v>
      </c>
    </row>
    <row r="1071" spans="1:11">
      <c r="A1071" s="222" t="str">
        <f>VLOOKUP(D1071,'14. CUSTOS DER - MATERIAIS'!A:B,2,0)</f>
        <v>MADEIRA ROLIÇA D=10/15 CM</v>
      </c>
      <c r="B1071" s="225" t="s">
        <v>9013</v>
      </c>
      <c r="C1071" s="225" t="s">
        <v>68</v>
      </c>
      <c r="D1071" s="225">
        <v>110150</v>
      </c>
      <c r="E1071" s="225" t="str">
        <f>VLOOKUP(D1071,'14. CUSTOS DER - MATERIAIS'!A:C,3,0)</f>
        <v>M</v>
      </c>
      <c r="F1071" s="225"/>
      <c r="G1071" s="224">
        <f>VLOOKUP(D1071,'14. CUSTOS DER - MATERIAIS'!A:D,4,0)</f>
        <v>15.64</v>
      </c>
      <c r="H1071" s="241"/>
      <c r="I1071" s="241">
        <v>0.81599999999999995</v>
      </c>
      <c r="J1071" s="225"/>
      <c r="K1071" s="242">
        <f>G1071*I1071</f>
        <v>12.76224</v>
      </c>
    </row>
    <row r="1072" spans="1:11">
      <c r="A1072" s="222" t="str">
        <f>VLOOKUP(D1072,'14. CUSTOS DER - MATERIAIS'!A:B,2,0)</f>
        <v>ARAME RECOZIDO Nº 18</v>
      </c>
      <c r="B1072" s="225" t="s">
        <v>9013</v>
      </c>
      <c r="C1072" s="225" t="s">
        <v>68</v>
      </c>
      <c r="D1072" s="225">
        <v>150180</v>
      </c>
      <c r="E1072" s="225" t="str">
        <f>VLOOKUP(D1072,'14. CUSTOS DER - MATERIAIS'!A:C,3,0)</f>
        <v>KG</v>
      </c>
      <c r="F1072" s="225"/>
      <c r="G1072" s="224">
        <f>VLOOKUP(D1072,'14. CUSTOS DER - MATERIAIS'!A:D,4,0)</f>
        <v>21.49</v>
      </c>
      <c r="H1072" s="241"/>
      <c r="I1072" s="241">
        <v>6.4000000000000003E-3</v>
      </c>
      <c r="J1072" s="225"/>
      <c r="K1072" s="242">
        <f>G1072*I1072</f>
        <v>0.13753599999999999</v>
      </c>
    </row>
    <row r="1073" spans="1:11">
      <c r="A1073" s="222" t="str">
        <f>VLOOKUP(D1073,'14. CUSTOS DER - MATERIAIS'!A:B,2,0)</f>
        <v>MADEIRA PINHO  2,5 X 6 CM</v>
      </c>
      <c r="B1073" s="225" t="s">
        <v>9013</v>
      </c>
      <c r="C1073" s="225" t="s">
        <v>68</v>
      </c>
      <c r="D1073" s="225">
        <v>112560</v>
      </c>
      <c r="E1073" s="225" t="str">
        <f>VLOOKUP(D1073,'14. CUSTOS DER - MATERIAIS'!A:C,3,0)</f>
        <v>M</v>
      </c>
      <c r="F1073" s="225"/>
      <c r="G1073" s="224">
        <f>VLOOKUP(D1073,'14. CUSTOS DER - MATERIAIS'!A:D,4,0)</f>
        <v>3.83</v>
      </c>
      <c r="H1073" s="241"/>
      <c r="I1073" s="241">
        <v>0.34</v>
      </c>
      <c r="J1073" s="225"/>
      <c r="K1073" s="242">
        <f>G1073*I1073</f>
        <v>1.3022</v>
      </c>
    </row>
    <row r="1074" spans="1:11">
      <c r="A1074" s="364"/>
      <c r="B1074" s="365"/>
      <c r="C1074" s="365"/>
      <c r="D1074" s="365"/>
      <c r="E1074" s="365"/>
      <c r="F1074" s="365"/>
      <c r="G1074" s="365"/>
      <c r="H1074" s="365"/>
      <c r="I1074" s="365"/>
      <c r="J1074" s="366" t="s">
        <v>57</v>
      </c>
      <c r="K1074" s="362">
        <f>SUM(K1071:K1073)</f>
        <v>14.201976000000002</v>
      </c>
    </row>
    <row r="1075" spans="1:11">
      <c r="A1075" s="354" t="s">
        <v>58</v>
      </c>
      <c r="B1075" s="355" t="s">
        <v>11308</v>
      </c>
      <c r="C1075" s="355" t="s">
        <v>17663</v>
      </c>
      <c r="D1075" s="355" t="s">
        <v>0</v>
      </c>
      <c r="E1075" s="355" t="s">
        <v>2</v>
      </c>
      <c r="F1075" s="567" t="s">
        <v>9</v>
      </c>
      <c r="G1075" s="567"/>
      <c r="H1075" s="567" t="s">
        <v>25</v>
      </c>
      <c r="I1075" s="567"/>
      <c r="J1075" s="355"/>
      <c r="K1075" s="355" t="s">
        <v>56</v>
      </c>
    </row>
    <row r="1076" spans="1:11">
      <c r="A1076" s="222" t="s">
        <v>23</v>
      </c>
      <c r="B1076" s="225" t="s">
        <v>9013</v>
      </c>
      <c r="C1076" s="225" t="s">
        <v>17662</v>
      </c>
      <c r="D1076" s="225">
        <v>607000</v>
      </c>
      <c r="E1076" s="225" t="s">
        <v>146</v>
      </c>
      <c r="F1076" s="225"/>
      <c r="G1076" s="225">
        <f>VLOOKUP(D1076,'13. CUSTOS DER - SERVIÇOS'!A:G,7,0)</f>
        <v>7.95</v>
      </c>
      <c r="H1076" s="241"/>
      <c r="I1076" s="243">
        <v>1.5</v>
      </c>
      <c r="J1076" s="241"/>
      <c r="K1076" s="242">
        <f>G1076*I1076</f>
        <v>11.925000000000001</v>
      </c>
    </row>
    <row r="1077" spans="1:11">
      <c r="A1077" s="222"/>
      <c r="B1077" s="225"/>
      <c r="C1077" s="225"/>
      <c r="D1077" s="225"/>
      <c r="E1077" s="225"/>
      <c r="F1077" s="225"/>
      <c r="G1077" s="224"/>
      <c r="H1077" s="375"/>
      <c r="I1077" s="375"/>
      <c r="J1077" s="225"/>
      <c r="K1077" s="357"/>
    </row>
    <row r="1078" spans="1:11">
      <c r="A1078" s="364"/>
      <c r="B1078" s="365"/>
      <c r="C1078" s="365"/>
      <c r="D1078" s="365"/>
      <c r="E1078" s="365"/>
      <c r="F1078" s="365"/>
      <c r="G1078" s="365"/>
      <c r="H1078" s="365"/>
      <c r="I1078" s="365"/>
      <c r="J1078" s="366" t="s">
        <v>59</v>
      </c>
      <c r="K1078" s="362">
        <f>SUM(K1076:K1077)</f>
        <v>11.925000000000001</v>
      </c>
    </row>
    <row r="1079" spans="1:11">
      <c r="E1079" s="367"/>
      <c r="F1079" s="367"/>
      <c r="G1079" s="367"/>
      <c r="H1079" s="367"/>
      <c r="I1079" s="367"/>
      <c r="J1079" s="368"/>
      <c r="K1079" s="369"/>
    </row>
    <row r="1080" spans="1:11">
      <c r="E1080" s="367"/>
      <c r="F1080" s="367"/>
      <c r="G1080" s="367"/>
      <c r="H1080" s="367"/>
      <c r="I1080" s="367"/>
      <c r="J1080" s="368"/>
      <c r="K1080" s="369"/>
    </row>
    <row r="1081" spans="1:11">
      <c r="A1081" s="337" t="s">
        <v>22677</v>
      </c>
      <c r="B1081" s="337" t="s">
        <v>371</v>
      </c>
      <c r="C1081" s="370" t="s">
        <v>326</v>
      </c>
      <c r="D1081" s="563" t="s">
        <v>22695</v>
      </c>
      <c r="E1081" s="563"/>
      <c r="F1081" s="563"/>
      <c r="G1081" s="563"/>
      <c r="H1081" s="563"/>
      <c r="I1081" s="563"/>
      <c r="J1081" s="253" t="s">
        <v>17667</v>
      </c>
      <c r="K1081" s="373">
        <f>K1100+K1104+K1108</f>
        <v>187.37377000000001</v>
      </c>
    </row>
    <row r="1082" spans="1:11">
      <c r="A1082" s="354" t="s">
        <v>27</v>
      </c>
      <c r="B1082" s="355" t="s">
        <v>11308</v>
      </c>
      <c r="C1082" s="355" t="s">
        <v>17663</v>
      </c>
      <c r="D1082" s="355" t="s">
        <v>0</v>
      </c>
      <c r="E1082" s="355" t="s">
        <v>1</v>
      </c>
      <c r="F1082" s="355" t="s">
        <v>39</v>
      </c>
      <c r="G1082" s="355" t="s">
        <v>40</v>
      </c>
      <c r="H1082" s="355" t="s">
        <v>41</v>
      </c>
      <c r="I1082" s="355" t="s">
        <v>42</v>
      </c>
      <c r="J1082" s="355"/>
      <c r="K1082" s="355" t="s">
        <v>43</v>
      </c>
    </row>
    <row r="1083" spans="1:11">
      <c r="A1083" s="222" t="str">
        <f>VLOOKUP(D1083,'17. CUSTOS DER - EQUIPAMENTOS'!A:B,2,0)</f>
        <v>CAMINHÃO C/ GUINDAUTO</v>
      </c>
      <c r="B1083" s="225" t="s">
        <v>9013</v>
      </c>
      <c r="C1083" s="225" t="s">
        <v>22635</v>
      </c>
      <c r="D1083" s="225">
        <v>346020</v>
      </c>
      <c r="E1083" s="241">
        <v>1</v>
      </c>
      <c r="F1083" s="241">
        <v>0.6</v>
      </c>
      <c r="G1083" s="356">
        <v>0.4</v>
      </c>
      <c r="H1083" s="242">
        <f>VLOOKUP(D1083,'17. CUSTOS DER - EQUIPAMENTOS'!A:O,15,0)</f>
        <v>279.58</v>
      </c>
      <c r="I1083" s="242">
        <f>VLOOKUP(D1083,'17. CUSTOS DER - EQUIPAMENTOS'!A:P,16,0)</f>
        <v>98.13</v>
      </c>
      <c r="J1083" s="225"/>
      <c r="K1083" s="242">
        <f>((F1083*H1083)+(G1083*I1083))*E1083</f>
        <v>207</v>
      </c>
    </row>
    <row r="1084" spans="1:11">
      <c r="A1084" s="222" t="str">
        <f>VLOOKUP(D1084,'17. CUSTOS DER - EQUIPAMENTOS'!A:B,2,0)</f>
        <v>CARREG. FRONTAL PNEUS 924-K MÉDIA</v>
      </c>
      <c r="B1084" s="225" t="s">
        <v>9013</v>
      </c>
      <c r="C1084" s="225" t="s">
        <v>22635</v>
      </c>
      <c r="D1084" s="225">
        <v>329300</v>
      </c>
      <c r="E1084" s="241">
        <v>1</v>
      </c>
      <c r="F1084" s="241">
        <v>0.3</v>
      </c>
      <c r="G1084" s="356">
        <v>0.7</v>
      </c>
      <c r="H1084" s="242">
        <f>VLOOKUP(D1084,'17. CUSTOS DER - EQUIPAMENTOS'!A:O,15,0)</f>
        <v>340.56</v>
      </c>
      <c r="I1084" s="242">
        <f>VLOOKUP(D1084,'17. CUSTOS DER - EQUIPAMENTOS'!A:P,16,0)</f>
        <v>124.35</v>
      </c>
      <c r="J1084" s="225"/>
      <c r="K1084" s="242">
        <f>((F1084*H1084)+(G1084*I1084))*E1084</f>
        <v>189.21299999999997</v>
      </c>
    </row>
    <row r="1085" spans="1:11">
      <c r="A1085" s="222" t="str">
        <f>VLOOKUP(D1085,'17. CUSTOS DER - EQUIPAMENTOS'!A:B,2,0)</f>
        <v>MOTOSSERRA A GASOLINA</v>
      </c>
      <c r="B1085" s="225" t="s">
        <v>9013</v>
      </c>
      <c r="C1085" s="225" t="s">
        <v>22635</v>
      </c>
      <c r="D1085" s="225">
        <v>370200</v>
      </c>
      <c r="E1085" s="241">
        <v>2</v>
      </c>
      <c r="F1085" s="241">
        <v>1</v>
      </c>
      <c r="G1085" s="356">
        <v>0</v>
      </c>
      <c r="H1085" s="242">
        <f>VLOOKUP(D1085,'17. CUSTOS DER - EQUIPAMENTOS'!A:O,15,0)</f>
        <v>3.96</v>
      </c>
      <c r="I1085" s="242">
        <f>VLOOKUP(D1085,'17. CUSTOS DER - EQUIPAMENTOS'!A:P,16,0)</f>
        <v>0.14000000000000001</v>
      </c>
      <c r="J1085" s="225"/>
      <c r="K1085" s="242">
        <f>((F1085*H1085)+(G1085*I1085))*E1085</f>
        <v>7.92</v>
      </c>
    </row>
    <row r="1086" spans="1:11">
      <c r="A1086" s="222" t="str">
        <f>VLOOKUP(D1086,'17. CUSTOS DER - EQUIPAMENTOS'!A:B,2,0)</f>
        <v>TRATOR AGRÍCOLA  5105 4X4</v>
      </c>
      <c r="B1086" s="225" t="s">
        <v>9013</v>
      </c>
      <c r="C1086" s="225" t="s">
        <v>22635</v>
      </c>
      <c r="D1086" s="225">
        <v>341000</v>
      </c>
      <c r="E1086" s="241">
        <v>1</v>
      </c>
      <c r="F1086" s="241">
        <v>0.3</v>
      </c>
      <c r="G1086" s="356">
        <v>0.7</v>
      </c>
      <c r="H1086" s="242">
        <f>VLOOKUP(D1086,'17. CUSTOS DER - EQUIPAMENTOS'!A:O,15,0)</f>
        <v>216.5</v>
      </c>
      <c r="I1086" s="242">
        <f>VLOOKUP(D1086,'17. CUSTOS DER - EQUIPAMENTOS'!A:P,16,0)</f>
        <v>56.9</v>
      </c>
      <c r="J1086" s="225"/>
      <c r="K1086" s="242">
        <f>((F1086*H1086)+(G1086*I1086))*E1086</f>
        <v>104.78</v>
      </c>
    </row>
    <row r="1087" spans="1:11">
      <c r="A1087" s="358"/>
      <c r="B1087" s="359"/>
      <c r="C1087" s="359"/>
      <c r="D1087" s="359"/>
      <c r="E1087" s="359"/>
      <c r="F1087" s="359"/>
      <c r="G1087" s="359"/>
      <c r="H1087" s="359"/>
      <c r="I1087" s="359"/>
      <c r="J1087" s="360" t="s">
        <v>44</v>
      </c>
      <c r="K1087" s="361">
        <f>SUM(K1083:K1086)</f>
        <v>508.91300000000001</v>
      </c>
    </row>
    <row r="1088" spans="1:11">
      <c r="A1088" s="354" t="s">
        <v>45</v>
      </c>
      <c r="B1088" s="355" t="s">
        <v>11308</v>
      </c>
      <c r="C1088" s="355" t="s">
        <v>17663</v>
      </c>
      <c r="D1088" s="355" t="s">
        <v>0</v>
      </c>
      <c r="E1088" s="355" t="s">
        <v>36</v>
      </c>
      <c r="F1088" s="355" t="s">
        <v>46</v>
      </c>
      <c r="G1088" s="355" t="s">
        <v>47</v>
      </c>
      <c r="H1088" s="355" t="s">
        <v>25</v>
      </c>
      <c r="I1088" s="355"/>
      <c r="J1088" s="355"/>
      <c r="K1088" s="355" t="s">
        <v>43</v>
      </c>
    </row>
    <row r="1089" spans="1:11">
      <c r="A1089" s="222" t="str">
        <f>VLOOKUP(D1089,'15. CUSTOS DER - MÃO DE OBRA'!A:B,2,0)</f>
        <v>CLASSIFICADOR DE MADEIRA</v>
      </c>
      <c r="B1089" s="225" t="s">
        <v>9013</v>
      </c>
      <c r="C1089" s="225" t="s">
        <v>17664</v>
      </c>
      <c r="D1089" s="225">
        <v>200311</v>
      </c>
      <c r="E1089" s="242">
        <f>VLOOKUP(D1089,'15. CUSTOS DER - MÃO DE OBRA'!A:C,3,0)</f>
        <v>6.6</v>
      </c>
      <c r="F1089" s="225"/>
      <c r="G1089" s="225">
        <f>VLOOKUP(D1089,'15. CUSTOS DER - MÃO DE OBRA'!A:D,4,0)</f>
        <v>94.39</v>
      </c>
      <c r="H1089" s="241">
        <v>1</v>
      </c>
      <c r="I1089" s="225"/>
      <c r="J1089" s="225"/>
      <c r="K1089" s="242">
        <f>G1089*H1089</f>
        <v>94.39</v>
      </c>
    </row>
    <row r="1090" spans="1:11">
      <c r="A1090" s="222" t="str">
        <f>VLOOKUP(D1090,'15. CUSTOS DER - MÃO DE OBRA'!A:B,2,0)</f>
        <v>ENCARREGADO DE SERVIÇO</v>
      </c>
      <c r="B1090" s="225" t="s">
        <v>9013</v>
      </c>
      <c r="C1090" s="225" t="s">
        <v>17664</v>
      </c>
      <c r="D1090" s="225">
        <v>210060</v>
      </c>
      <c r="E1090" s="242">
        <f>VLOOKUP(D1090,'15. CUSTOS DER - MÃO DE OBRA'!A:C,3,0)</f>
        <v>6</v>
      </c>
      <c r="F1090" s="225"/>
      <c r="G1090" s="225">
        <f>VLOOKUP(D1090,'15. CUSTOS DER - MÃO DE OBRA'!A:D,4,0)</f>
        <v>85.81</v>
      </c>
      <c r="H1090" s="241">
        <v>0.7</v>
      </c>
      <c r="I1090" s="225"/>
      <c r="J1090" s="225"/>
      <c r="K1090" s="242">
        <f>G1090*H1090</f>
        <v>60.067</v>
      </c>
    </row>
    <row r="1091" spans="1:11">
      <c r="A1091" s="222" t="str">
        <f>VLOOKUP(D1091,'15. CUSTOS DER - MÃO DE OBRA'!A:B,2,0)</f>
        <v>OPERADOR DE EQUIPAMENTOS MANUAIS</v>
      </c>
      <c r="B1091" s="225" t="s">
        <v>9013</v>
      </c>
      <c r="C1091" s="225" t="s">
        <v>17664</v>
      </c>
      <c r="D1091" s="225">
        <v>200160</v>
      </c>
      <c r="E1091" s="242">
        <f>VLOOKUP(D1091,'15. CUSTOS DER - MÃO DE OBRA'!A:C,3,0)</f>
        <v>2.25</v>
      </c>
      <c r="F1091" s="225"/>
      <c r="G1091" s="225">
        <f>VLOOKUP(D1091,'15. CUSTOS DER - MÃO DE OBRA'!A:D,4,0)</f>
        <v>32.18</v>
      </c>
      <c r="H1091" s="241">
        <v>2</v>
      </c>
      <c r="I1091" s="225"/>
      <c r="J1091" s="225"/>
      <c r="K1091" s="242">
        <f>G1091*H1091</f>
        <v>64.36</v>
      </c>
    </row>
    <row r="1092" spans="1:11">
      <c r="A1092" s="222" t="str">
        <f>VLOOKUP(D1092,'15. CUSTOS DER - MÃO DE OBRA'!A:B,2,0)</f>
        <v>SERVENTE</v>
      </c>
      <c r="B1092" s="225" t="s">
        <v>9013</v>
      </c>
      <c r="C1092" s="225" t="s">
        <v>17664</v>
      </c>
      <c r="D1092" s="225">
        <v>200130</v>
      </c>
      <c r="E1092" s="242">
        <f>VLOOKUP(D1092,'15. CUSTOS DER - MÃO DE OBRA'!A:C,3,0)</f>
        <v>2.2000000000000002</v>
      </c>
      <c r="F1092" s="225"/>
      <c r="G1092" s="225">
        <f>VLOOKUP(D1092,'15. CUSTOS DER - MÃO DE OBRA'!A:D,4,0)</f>
        <v>31.46</v>
      </c>
      <c r="H1092" s="241">
        <v>6</v>
      </c>
      <c r="I1092" s="225"/>
      <c r="J1092" s="225"/>
      <c r="K1092" s="242">
        <f>G1092*H1092</f>
        <v>188.76</v>
      </c>
    </row>
    <row r="1093" spans="1:11">
      <c r="A1093" s="358"/>
      <c r="B1093" s="359"/>
      <c r="C1093" s="359"/>
      <c r="D1093" s="359"/>
      <c r="E1093" s="359"/>
      <c r="F1093" s="359"/>
      <c r="G1093" s="359"/>
      <c r="H1093" s="359"/>
      <c r="I1093" s="359"/>
      <c r="J1093" s="360" t="s">
        <v>48</v>
      </c>
      <c r="K1093" s="361">
        <f>SUM(K1089:K1092)</f>
        <v>407.577</v>
      </c>
    </row>
    <row r="1094" spans="1:11">
      <c r="A1094" s="354" t="s">
        <v>49</v>
      </c>
      <c r="B1094" s="355" t="s">
        <v>11308</v>
      </c>
      <c r="C1094" s="355" t="s">
        <v>17663</v>
      </c>
      <c r="D1094" s="355" t="s">
        <v>0</v>
      </c>
      <c r="E1094" s="355" t="s">
        <v>14</v>
      </c>
      <c r="F1094" s="355" t="s">
        <v>50</v>
      </c>
      <c r="G1094" s="355" t="s">
        <v>29</v>
      </c>
      <c r="H1094" s="355" t="s">
        <v>30</v>
      </c>
      <c r="I1094" s="355"/>
      <c r="J1094" s="355"/>
      <c r="K1094" s="355" t="s">
        <v>33</v>
      </c>
    </row>
    <row r="1095" spans="1:11">
      <c r="A1095" s="222" t="s">
        <v>31</v>
      </c>
      <c r="B1095" s="225"/>
      <c r="C1095" s="225"/>
      <c r="D1095" s="225">
        <v>29990</v>
      </c>
      <c r="E1095" s="225">
        <v>5</v>
      </c>
      <c r="F1095" s="225" t="s">
        <v>32</v>
      </c>
      <c r="G1095" s="225"/>
      <c r="H1095" s="225"/>
      <c r="I1095" s="225"/>
      <c r="J1095" s="225"/>
      <c r="K1095" s="242">
        <f>K1093*(E1095/100)</f>
        <v>20.37885</v>
      </c>
    </row>
    <row r="1096" spans="1:11">
      <c r="A1096" s="222"/>
      <c r="B1096" s="225"/>
      <c r="C1096" s="225"/>
      <c r="D1096" s="225"/>
      <c r="E1096" s="225"/>
      <c r="F1096" s="225"/>
      <c r="G1096" s="225"/>
      <c r="H1096" s="225"/>
      <c r="I1096" s="225"/>
      <c r="J1096" s="225"/>
      <c r="K1096" s="357"/>
    </row>
    <row r="1097" spans="1:11">
      <c r="A1097" s="358"/>
      <c r="B1097" s="359"/>
      <c r="C1097" s="359"/>
      <c r="D1097" s="359"/>
      <c r="E1097" s="359"/>
      <c r="F1097" s="359"/>
      <c r="G1097" s="359"/>
      <c r="H1097" s="359"/>
      <c r="I1097" s="359"/>
      <c r="J1097" s="360" t="s">
        <v>51</v>
      </c>
      <c r="K1097" s="361">
        <f>SUM(K1095:K1096)</f>
        <v>20.37885</v>
      </c>
    </row>
    <row r="1098" spans="1:11">
      <c r="A1098" s="568" t="s">
        <v>52</v>
      </c>
      <c r="B1098" s="568"/>
      <c r="C1098" s="568"/>
      <c r="D1098" s="568"/>
      <c r="E1098" s="568"/>
      <c r="F1098" s="568"/>
      <c r="G1098" s="568"/>
      <c r="H1098" s="568"/>
      <c r="I1098" s="568"/>
      <c r="J1098" s="568"/>
      <c r="K1098" s="361">
        <f>K1087+K1093+K1097</f>
        <v>936.86885000000007</v>
      </c>
    </row>
    <row r="1099" spans="1:11">
      <c r="A1099" s="568" t="s">
        <v>53</v>
      </c>
      <c r="B1099" s="568"/>
      <c r="C1099" s="568"/>
      <c r="D1099" s="568"/>
      <c r="E1099" s="568"/>
      <c r="F1099" s="568"/>
      <c r="G1099" s="568"/>
      <c r="H1099" s="568"/>
      <c r="I1099" s="568"/>
      <c r="J1099" s="568"/>
      <c r="K1099" s="361">
        <v>5</v>
      </c>
    </row>
    <row r="1100" spans="1:11">
      <c r="A1100" s="566" t="s">
        <v>54</v>
      </c>
      <c r="B1100" s="566"/>
      <c r="C1100" s="566"/>
      <c r="D1100" s="566"/>
      <c r="E1100" s="566"/>
      <c r="F1100" s="566"/>
      <c r="G1100" s="566"/>
      <c r="H1100" s="566"/>
      <c r="I1100" s="566"/>
      <c r="J1100" s="566"/>
      <c r="K1100" s="362">
        <f>IF(K1098=0,0,K1098/K1099)</f>
        <v>187.37377000000001</v>
      </c>
    </row>
    <row r="1101" spans="1:11">
      <c r="A1101" s="354" t="s">
        <v>55</v>
      </c>
      <c r="B1101" s="355" t="s">
        <v>11308</v>
      </c>
      <c r="C1101" s="355" t="s">
        <v>17663</v>
      </c>
      <c r="D1101" s="355" t="s">
        <v>0</v>
      </c>
      <c r="E1101" s="355" t="s">
        <v>2</v>
      </c>
      <c r="F1101" s="567" t="s">
        <v>9</v>
      </c>
      <c r="G1101" s="567"/>
      <c r="H1101" s="567" t="s">
        <v>25</v>
      </c>
      <c r="I1101" s="567"/>
      <c r="J1101" s="355"/>
      <c r="K1101" s="355" t="s">
        <v>56</v>
      </c>
    </row>
    <row r="1102" spans="1:11">
      <c r="A1102" s="222"/>
      <c r="B1102" s="225"/>
      <c r="C1102" s="225"/>
      <c r="D1102" s="225"/>
      <c r="E1102" s="225"/>
      <c r="F1102" s="225"/>
      <c r="G1102" s="224"/>
      <c r="H1102" s="375"/>
      <c r="I1102" s="375"/>
      <c r="J1102" s="225"/>
      <c r="K1102" s="357"/>
    </row>
    <row r="1103" spans="1:11">
      <c r="A1103" s="222"/>
      <c r="B1103" s="225"/>
      <c r="C1103" s="225"/>
      <c r="D1103" s="225"/>
      <c r="E1103" s="225"/>
      <c r="F1103" s="225"/>
      <c r="G1103" s="224"/>
      <c r="H1103" s="375"/>
      <c r="I1103" s="375"/>
      <c r="J1103" s="225"/>
      <c r="K1103" s="357"/>
    </row>
    <row r="1104" spans="1:11">
      <c r="A1104" s="364"/>
      <c r="B1104" s="365"/>
      <c r="C1104" s="365"/>
      <c r="D1104" s="365"/>
      <c r="E1104" s="365"/>
      <c r="F1104" s="365"/>
      <c r="G1104" s="365"/>
      <c r="H1104" s="365"/>
      <c r="I1104" s="365"/>
      <c r="J1104" s="366" t="s">
        <v>57</v>
      </c>
      <c r="K1104" s="362">
        <f>SUM(K1102:K1103)</f>
        <v>0</v>
      </c>
    </row>
    <row r="1105" spans="1:11">
      <c r="A1105" s="354" t="s">
        <v>58</v>
      </c>
      <c r="B1105" s="355" t="s">
        <v>11308</v>
      </c>
      <c r="C1105" s="355" t="s">
        <v>17663</v>
      </c>
      <c r="D1105" s="355" t="s">
        <v>0</v>
      </c>
      <c r="E1105" s="355" t="s">
        <v>2</v>
      </c>
      <c r="F1105" s="567" t="s">
        <v>9</v>
      </c>
      <c r="G1105" s="567"/>
      <c r="H1105" s="567" t="s">
        <v>25</v>
      </c>
      <c r="I1105" s="567"/>
      <c r="J1105" s="355"/>
      <c r="K1105" s="355" t="s">
        <v>56</v>
      </c>
    </row>
    <row r="1106" spans="1:11">
      <c r="A1106" s="222"/>
      <c r="B1106" s="225"/>
      <c r="C1106" s="225"/>
      <c r="D1106" s="225"/>
      <c r="E1106" s="225"/>
      <c r="F1106" s="225"/>
      <c r="G1106" s="224"/>
      <c r="H1106" s="375"/>
      <c r="I1106" s="375"/>
      <c r="J1106" s="225"/>
      <c r="K1106" s="357"/>
    </row>
    <row r="1107" spans="1:11">
      <c r="A1107" s="222"/>
      <c r="B1107" s="225"/>
      <c r="C1107" s="225"/>
      <c r="D1107" s="225"/>
      <c r="E1107" s="225"/>
      <c r="F1107" s="225"/>
      <c r="G1107" s="224"/>
      <c r="H1107" s="375"/>
      <c r="I1107" s="375"/>
      <c r="J1107" s="225"/>
      <c r="K1107" s="357"/>
    </row>
    <row r="1108" spans="1:11">
      <c r="A1108" s="364"/>
      <c r="B1108" s="365"/>
      <c r="C1108" s="365"/>
      <c r="D1108" s="365"/>
      <c r="E1108" s="365"/>
      <c r="F1108" s="365"/>
      <c r="G1108" s="365"/>
      <c r="H1108" s="365"/>
      <c r="I1108" s="365"/>
      <c r="J1108" s="366" t="s">
        <v>59</v>
      </c>
      <c r="K1108" s="362">
        <f>SUM(K1106:K1107)</f>
        <v>0</v>
      </c>
    </row>
    <row r="1109" spans="1:11">
      <c r="E1109" s="367"/>
      <c r="F1109" s="367"/>
      <c r="G1109" s="367"/>
      <c r="H1109" s="367"/>
      <c r="I1109" s="367"/>
      <c r="J1109" s="368"/>
      <c r="K1109" s="369"/>
    </row>
    <row r="1110" spans="1:11">
      <c r="E1110" s="367"/>
      <c r="F1110" s="367"/>
      <c r="G1110" s="367"/>
      <c r="H1110" s="367"/>
      <c r="I1110" s="367"/>
      <c r="J1110" s="368"/>
      <c r="K1110" s="369"/>
    </row>
    <row r="1111" spans="1:11">
      <c r="A1111" s="337" t="s">
        <v>22678</v>
      </c>
      <c r="B1111" s="337" t="s">
        <v>371</v>
      </c>
      <c r="C1111" s="370" t="s">
        <v>328</v>
      </c>
      <c r="D1111" s="563" t="s">
        <v>311</v>
      </c>
      <c r="E1111" s="563"/>
      <c r="F1111" s="563"/>
      <c r="G1111" s="563"/>
      <c r="H1111" s="563"/>
      <c r="I1111" s="563"/>
      <c r="J1111" s="253" t="s">
        <v>17667</v>
      </c>
      <c r="K1111" s="373">
        <f>K1126+K1130+K1134</f>
        <v>1990.0197108433736</v>
      </c>
    </row>
    <row r="1112" spans="1:11">
      <c r="A1112" s="354" t="s">
        <v>27</v>
      </c>
      <c r="B1112" s="355" t="s">
        <v>11308</v>
      </c>
      <c r="C1112" s="355" t="s">
        <v>17663</v>
      </c>
      <c r="D1112" s="355" t="s">
        <v>0</v>
      </c>
      <c r="E1112" s="355" t="s">
        <v>1</v>
      </c>
      <c r="F1112" s="355" t="s">
        <v>39</v>
      </c>
      <c r="G1112" s="355" t="s">
        <v>40</v>
      </c>
      <c r="H1112" s="355" t="s">
        <v>41</v>
      </c>
      <c r="I1112" s="355" t="s">
        <v>42</v>
      </c>
      <c r="J1112" s="355"/>
      <c r="K1112" s="355" t="s">
        <v>43</v>
      </c>
    </row>
    <row r="1113" spans="1:11">
      <c r="A1113" s="222"/>
      <c r="B1113" s="225"/>
      <c r="C1113" s="225"/>
      <c r="D1113" s="225"/>
      <c r="E1113" s="375"/>
      <c r="F1113" s="375"/>
      <c r="G1113" s="377"/>
      <c r="H1113" s="357"/>
      <c r="I1113" s="357"/>
      <c r="J1113" s="225"/>
      <c r="K1113" s="357"/>
    </row>
    <row r="1114" spans="1:11">
      <c r="A1114" s="222"/>
      <c r="B1114" s="225"/>
      <c r="C1114" s="225"/>
      <c r="D1114" s="225"/>
      <c r="E1114" s="375"/>
      <c r="F1114" s="375"/>
      <c r="G1114" s="377"/>
      <c r="H1114" s="357"/>
      <c r="I1114" s="357"/>
      <c r="J1114" s="225"/>
      <c r="K1114" s="357"/>
    </row>
    <row r="1115" spans="1:11">
      <c r="A1115" s="358"/>
      <c r="B1115" s="359"/>
      <c r="C1115" s="359"/>
      <c r="D1115" s="359"/>
      <c r="E1115" s="359"/>
      <c r="F1115" s="359"/>
      <c r="G1115" s="359"/>
      <c r="H1115" s="359"/>
      <c r="I1115" s="359"/>
      <c r="J1115" s="360" t="s">
        <v>44</v>
      </c>
      <c r="K1115" s="361">
        <f>SUM(K1113:K1114)</f>
        <v>0</v>
      </c>
    </row>
    <row r="1116" spans="1:11">
      <c r="A1116" s="354" t="s">
        <v>45</v>
      </c>
      <c r="B1116" s="355" t="s">
        <v>11308</v>
      </c>
      <c r="C1116" s="355" t="s">
        <v>17663</v>
      </c>
      <c r="D1116" s="355" t="s">
        <v>0</v>
      </c>
      <c r="E1116" s="355" t="s">
        <v>36</v>
      </c>
      <c r="F1116" s="355" t="s">
        <v>46</v>
      </c>
      <c r="G1116" s="355" t="s">
        <v>47</v>
      </c>
      <c r="H1116" s="355" t="s">
        <v>25</v>
      </c>
      <c r="I1116" s="355"/>
      <c r="J1116" s="355"/>
      <c r="K1116" s="355" t="s">
        <v>43</v>
      </c>
    </row>
    <row r="1117" spans="1:11">
      <c r="A1117" s="222" t="str">
        <f>VLOOKUP(D1117,'15. CUSTOS DER - MÃO DE OBRA'!A:B,2,0)</f>
        <v>SERVENTE</v>
      </c>
      <c r="B1117" s="225" t="s">
        <v>9013</v>
      </c>
      <c r="C1117" s="225" t="s">
        <v>17664</v>
      </c>
      <c r="D1117" s="225">
        <v>200130</v>
      </c>
      <c r="E1117" s="242">
        <f>VLOOKUP(D1117,'15. CUSTOS DER - MÃO DE OBRA'!A:C,3,0)</f>
        <v>2.2000000000000002</v>
      </c>
      <c r="F1117" s="225"/>
      <c r="G1117" s="225">
        <f>VLOOKUP(D1117,'15. CUSTOS DER - MÃO DE OBRA'!A:D,4,0)</f>
        <v>31.46</v>
      </c>
      <c r="H1117" s="356">
        <v>3</v>
      </c>
      <c r="I1117" s="225"/>
      <c r="J1117" s="225"/>
      <c r="K1117" s="242">
        <f>G1117*H1117</f>
        <v>94.38</v>
      </c>
    </row>
    <row r="1118" spans="1:11">
      <c r="A1118" s="222"/>
      <c r="B1118" s="225"/>
      <c r="C1118" s="225"/>
      <c r="D1118" s="225"/>
      <c r="E1118" s="357"/>
      <c r="F1118" s="225"/>
      <c r="G1118" s="225"/>
      <c r="H1118" s="375"/>
      <c r="I1118" s="225"/>
      <c r="J1118" s="225"/>
      <c r="K1118" s="357"/>
    </row>
    <row r="1119" spans="1:11">
      <c r="A1119" s="358"/>
      <c r="B1119" s="359"/>
      <c r="C1119" s="359"/>
      <c r="D1119" s="359"/>
      <c r="E1119" s="359"/>
      <c r="F1119" s="359"/>
      <c r="G1119" s="359"/>
      <c r="H1119" s="359"/>
      <c r="I1119" s="359"/>
      <c r="J1119" s="360" t="s">
        <v>48</v>
      </c>
      <c r="K1119" s="361">
        <f>SUM(K1117:K1118)</f>
        <v>94.38</v>
      </c>
    </row>
    <row r="1120" spans="1:11">
      <c r="A1120" s="354" t="s">
        <v>49</v>
      </c>
      <c r="B1120" s="355" t="s">
        <v>11308</v>
      </c>
      <c r="C1120" s="355" t="s">
        <v>17663</v>
      </c>
      <c r="D1120" s="355" t="s">
        <v>0</v>
      </c>
      <c r="E1120" s="355" t="s">
        <v>14</v>
      </c>
      <c r="F1120" s="355" t="s">
        <v>50</v>
      </c>
      <c r="G1120" s="355" t="s">
        <v>29</v>
      </c>
      <c r="H1120" s="355" t="s">
        <v>30</v>
      </c>
      <c r="I1120" s="355"/>
      <c r="J1120" s="355"/>
      <c r="K1120" s="355" t="s">
        <v>33</v>
      </c>
    </row>
    <row r="1121" spans="1:11">
      <c r="A1121" s="222"/>
      <c r="B1121" s="225"/>
      <c r="C1121" s="225"/>
      <c r="D1121" s="225"/>
      <c r="E1121" s="225"/>
      <c r="F1121" s="225"/>
      <c r="G1121" s="225"/>
      <c r="H1121" s="225"/>
      <c r="I1121" s="225"/>
      <c r="J1121" s="225"/>
      <c r="K1121" s="357"/>
    </row>
    <row r="1122" spans="1:11">
      <c r="A1122" s="222"/>
      <c r="B1122" s="225"/>
      <c r="C1122" s="225"/>
      <c r="D1122" s="225"/>
      <c r="E1122" s="225"/>
      <c r="F1122" s="225"/>
      <c r="G1122" s="225"/>
      <c r="H1122" s="225"/>
      <c r="I1122" s="225"/>
      <c r="J1122" s="225"/>
      <c r="K1122" s="242"/>
    </row>
    <row r="1123" spans="1:11">
      <c r="A1123" s="358"/>
      <c r="B1123" s="359"/>
      <c r="C1123" s="359"/>
      <c r="D1123" s="359"/>
      <c r="E1123" s="359"/>
      <c r="F1123" s="359"/>
      <c r="G1123" s="359"/>
      <c r="H1123" s="359"/>
      <c r="I1123" s="359"/>
      <c r="J1123" s="360" t="s">
        <v>51</v>
      </c>
      <c r="K1123" s="361">
        <f>SUM(K1121:K1122)</f>
        <v>0</v>
      </c>
    </row>
    <row r="1124" spans="1:11">
      <c r="A1124" s="568" t="s">
        <v>52</v>
      </c>
      <c r="B1124" s="568"/>
      <c r="C1124" s="568"/>
      <c r="D1124" s="568"/>
      <c r="E1124" s="568"/>
      <c r="F1124" s="568"/>
      <c r="G1124" s="568"/>
      <c r="H1124" s="568"/>
      <c r="I1124" s="568"/>
      <c r="J1124" s="568"/>
      <c r="K1124" s="361">
        <f>K1115+K1119+K1123</f>
        <v>94.38</v>
      </c>
    </row>
    <row r="1125" spans="1:11">
      <c r="A1125" s="568" t="s">
        <v>53</v>
      </c>
      <c r="B1125" s="568"/>
      <c r="C1125" s="568"/>
      <c r="D1125" s="568"/>
      <c r="E1125" s="568"/>
      <c r="F1125" s="568"/>
      <c r="G1125" s="568"/>
      <c r="H1125" s="568"/>
      <c r="I1125" s="568"/>
      <c r="J1125" s="568"/>
      <c r="K1125" s="361">
        <v>3.32</v>
      </c>
    </row>
    <row r="1126" spans="1:11">
      <c r="A1126" s="566" t="s">
        <v>54</v>
      </c>
      <c r="B1126" s="566"/>
      <c r="C1126" s="566"/>
      <c r="D1126" s="566"/>
      <c r="E1126" s="566"/>
      <c r="F1126" s="566"/>
      <c r="G1126" s="566"/>
      <c r="H1126" s="566"/>
      <c r="I1126" s="566"/>
      <c r="J1126" s="566"/>
      <c r="K1126" s="362">
        <f>IF(K1124=0,0,K1124/K1125)</f>
        <v>28.427710843373493</v>
      </c>
    </row>
    <row r="1127" spans="1:11">
      <c r="A1127" s="354" t="s">
        <v>55</v>
      </c>
      <c r="B1127" s="355" t="s">
        <v>11308</v>
      </c>
      <c r="C1127" s="355" t="s">
        <v>17663</v>
      </c>
      <c r="D1127" s="355" t="s">
        <v>0</v>
      </c>
      <c r="E1127" s="355" t="s">
        <v>2</v>
      </c>
      <c r="F1127" s="567" t="s">
        <v>9</v>
      </c>
      <c r="G1127" s="567"/>
      <c r="H1127" s="567" t="s">
        <v>25</v>
      </c>
      <c r="I1127" s="567"/>
      <c r="J1127" s="355"/>
      <c r="K1127" s="355" t="s">
        <v>56</v>
      </c>
    </row>
    <row r="1128" spans="1:11" ht="31.5">
      <c r="A1128" s="222" t="str">
        <f>VLOOKUP(D1128,'19. CUSTOS DNIT - MATERIAIS'!A:B,2,0)</f>
        <v>CORPO DE BSCC PRÉ-MOLDADO COMERCIAL - SEÇÃO DE 1,5 M X 1,5 M - TIPO I</v>
      </c>
      <c r="B1128" s="225" t="s">
        <v>22708</v>
      </c>
      <c r="C1128" s="225" t="s">
        <v>68</v>
      </c>
      <c r="D1128" s="225" t="s">
        <v>83</v>
      </c>
      <c r="E1128" s="372" t="str">
        <f>VLOOKUP(D1128,'19. CUSTOS DNIT - MATERIAIS'!A:C,3,0)</f>
        <v>M</v>
      </c>
      <c r="F1128" s="225"/>
      <c r="G1128" s="224">
        <f>VLOOKUP(D1128,'19. CUSTOS DNIT - MATERIAIS'!A:D,4,0)</f>
        <v>1961.5920000000001</v>
      </c>
      <c r="H1128" s="241"/>
      <c r="I1128" s="241">
        <v>1</v>
      </c>
      <c r="J1128" s="225"/>
      <c r="K1128" s="242">
        <f>G1128*I1128</f>
        <v>1961.5920000000001</v>
      </c>
    </row>
    <row r="1129" spans="1:11">
      <c r="A1129" s="222"/>
      <c r="B1129" s="225"/>
      <c r="C1129" s="225"/>
      <c r="D1129" s="225"/>
      <c r="E1129" s="225"/>
      <c r="F1129" s="225"/>
      <c r="G1129" s="224"/>
      <c r="H1129" s="241"/>
      <c r="I1129" s="241"/>
      <c r="J1129" s="225"/>
      <c r="K1129" s="242"/>
    </row>
    <row r="1130" spans="1:11">
      <c r="A1130" s="364"/>
      <c r="B1130" s="365"/>
      <c r="C1130" s="365"/>
      <c r="D1130" s="365"/>
      <c r="E1130" s="365"/>
      <c r="F1130" s="365"/>
      <c r="G1130" s="365"/>
      <c r="H1130" s="365"/>
      <c r="I1130" s="365"/>
      <c r="J1130" s="366" t="s">
        <v>57</v>
      </c>
      <c r="K1130" s="362">
        <f>SUM(K1128:K1129)</f>
        <v>1961.5920000000001</v>
      </c>
    </row>
    <row r="1131" spans="1:11">
      <c r="A1131" s="354" t="s">
        <v>58</v>
      </c>
      <c r="B1131" s="355" t="s">
        <v>11308</v>
      </c>
      <c r="C1131" s="355" t="s">
        <v>17663</v>
      </c>
      <c r="D1131" s="355" t="s">
        <v>0</v>
      </c>
      <c r="E1131" s="355" t="s">
        <v>2</v>
      </c>
      <c r="F1131" s="567" t="s">
        <v>9</v>
      </c>
      <c r="G1131" s="567"/>
      <c r="H1131" s="567" t="s">
        <v>25</v>
      </c>
      <c r="I1131" s="567"/>
      <c r="J1131" s="355"/>
      <c r="K1131" s="355" t="s">
        <v>56</v>
      </c>
    </row>
    <row r="1132" spans="1:11">
      <c r="A1132" s="222"/>
      <c r="B1132" s="225"/>
      <c r="C1132" s="225"/>
      <c r="D1132" s="225"/>
      <c r="E1132" s="225"/>
      <c r="F1132" s="225"/>
      <c r="G1132" s="225"/>
      <c r="H1132" s="241"/>
      <c r="I1132" s="225"/>
      <c r="J1132" s="241"/>
      <c r="K1132" s="242"/>
    </row>
    <row r="1133" spans="1:11">
      <c r="A1133" s="222"/>
      <c r="B1133" s="225"/>
      <c r="C1133" s="225"/>
      <c r="D1133" s="225"/>
      <c r="E1133" s="225"/>
      <c r="F1133" s="225"/>
      <c r="G1133" s="225"/>
      <c r="H1133" s="241"/>
      <c r="I1133" s="225"/>
      <c r="J1133" s="241"/>
      <c r="K1133" s="242"/>
    </row>
    <row r="1134" spans="1:11">
      <c r="A1134" s="364"/>
      <c r="B1134" s="365"/>
      <c r="C1134" s="365"/>
      <c r="D1134" s="365"/>
      <c r="E1134" s="365"/>
      <c r="F1134" s="365"/>
      <c r="G1134" s="365"/>
      <c r="H1134" s="365"/>
      <c r="I1134" s="365"/>
      <c r="J1134" s="366" t="s">
        <v>59</v>
      </c>
      <c r="K1134" s="362">
        <f>SUM(K1132:K1133)</f>
        <v>0</v>
      </c>
    </row>
    <row r="1135" spans="1:11">
      <c r="E1135" s="367"/>
      <c r="F1135" s="367"/>
      <c r="G1135" s="367"/>
      <c r="H1135" s="367"/>
      <c r="I1135" s="367"/>
      <c r="J1135" s="368"/>
      <c r="K1135" s="369"/>
    </row>
    <row r="1136" spans="1:11">
      <c r="E1136" s="367"/>
      <c r="F1136" s="367"/>
      <c r="G1136" s="367"/>
      <c r="H1136" s="367"/>
      <c r="I1136" s="367"/>
      <c r="J1136" s="368"/>
      <c r="K1136" s="369"/>
    </row>
    <row r="1137" spans="1:11">
      <c r="A1137" s="337" t="s">
        <v>22679</v>
      </c>
      <c r="B1137" s="337" t="s">
        <v>371</v>
      </c>
      <c r="C1137" s="370" t="s">
        <v>330</v>
      </c>
      <c r="D1137" s="563" t="s">
        <v>313</v>
      </c>
      <c r="E1137" s="563"/>
      <c r="F1137" s="563"/>
      <c r="G1137" s="563"/>
      <c r="H1137" s="563"/>
      <c r="I1137" s="563"/>
      <c r="J1137" s="253" t="s">
        <v>17667</v>
      </c>
      <c r="K1137" s="373">
        <f>K1154+K1158+K1162</f>
        <v>2521.4999999999995</v>
      </c>
    </row>
    <row r="1138" spans="1:11">
      <c r="A1138" s="354" t="s">
        <v>27</v>
      </c>
      <c r="B1138" s="355" t="s">
        <v>11308</v>
      </c>
      <c r="C1138" s="355" t="s">
        <v>17663</v>
      </c>
      <c r="D1138" s="355" t="s">
        <v>0</v>
      </c>
      <c r="E1138" s="355" t="s">
        <v>1</v>
      </c>
      <c r="F1138" s="355" t="s">
        <v>39</v>
      </c>
      <c r="G1138" s="355" t="s">
        <v>40</v>
      </c>
      <c r="H1138" s="355" t="s">
        <v>41</v>
      </c>
      <c r="I1138" s="355" t="s">
        <v>42</v>
      </c>
      <c r="J1138" s="355"/>
      <c r="K1138" s="355" t="s">
        <v>43</v>
      </c>
    </row>
    <row r="1139" spans="1:11">
      <c r="A1139" s="222" t="str">
        <f>VLOOKUP(D1139,'17. CUSTOS DER - EQUIPAMENTOS'!A:B,2,0)</f>
        <v>CAMINHÃO C/ GUINDAUTO</v>
      </c>
      <c r="B1139" s="225" t="s">
        <v>9013</v>
      </c>
      <c r="C1139" s="225" t="s">
        <v>22635</v>
      </c>
      <c r="D1139" s="225">
        <v>346020</v>
      </c>
      <c r="E1139" s="356">
        <v>1</v>
      </c>
      <c r="F1139" s="241">
        <v>1</v>
      </c>
      <c r="G1139" s="356">
        <v>0</v>
      </c>
      <c r="H1139" s="242">
        <f>VLOOKUP(D1139,'17. CUSTOS DER - EQUIPAMENTOS'!A:O,15,0)</f>
        <v>279.58</v>
      </c>
      <c r="I1139" s="242">
        <f>VLOOKUP(D1139,'17. CUSTOS DER - EQUIPAMENTOS'!A:P,16,0)</f>
        <v>98.13</v>
      </c>
      <c r="J1139" s="225"/>
      <c r="K1139" s="242">
        <f>((F1139*H1139)+(G1139*I1139))*E1139</f>
        <v>279.58</v>
      </c>
    </row>
    <row r="1140" spans="1:11">
      <c r="A1140" s="222"/>
      <c r="B1140" s="225"/>
      <c r="C1140" s="225"/>
      <c r="D1140" s="225"/>
      <c r="E1140" s="225"/>
      <c r="F1140" s="225"/>
      <c r="G1140" s="225"/>
      <c r="H1140" s="225"/>
      <c r="I1140" s="225"/>
      <c r="J1140" s="225"/>
      <c r="K1140" s="225"/>
    </row>
    <row r="1141" spans="1:11">
      <c r="A1141" s="358"/>
      <c r="B1141" s="359"/>
      <c r="C1141" s="359"/>
      <c r="D1141" s="359"/>
      <c r="E1141" s="359"/>
      <c r="F1141" s="359"/>
      <c r="G1141" s="359"/>
      <c r="H1141" s="359"/>
      <c r="I1141" s="359"/>
      <c r="J1141" s="360" t="s">
        <v>44</v>
      </c>
      <c r="K1141" s="361">
        <f>SUM(K1139:K1139)</f>
        <v>279.58</v>
      </c>
    </row>
    <row r="1142" spans="1:11">
      <c r="A1142" s="354" t="s">
        <v>45</v>
      </c>
      <c r="B1142" s="355" t="s">
        <v>11308</v>
      </c>
      <c r="C1142" s="355" t="s">
        <v>17663</v>
      </c>
      <c r="D1142" s="355" t="s">
        <v>0</v>
      </c>
      <c r="E1142" s="355" t="s">
        <v>36</v>
      </c>
      <c r="F1142" s="355" t="s">
        <v>46</v>
      </c>
      <c r="G1142" s="355" t="s">
        <v>47</v>
      </c>
      <c r="H1142" s="355" t="s">
        <v>25</v>
      </c>
      <c r="I1142" s="355"/>
      <c r="J1142" s="355"/>
      <c r="K1142" s="355" t="s">
        <v>43</v>
      </c>
    </row>
    <row r="1143" spans="1:11">
      <c r="A1143" s="222" t="str">
        <f>VLOOKUP(D1143,'15. CUSTOS DER - MÃO DE OBRA'!A:B,2,0)</f>
        <v>ENCARREGADO DE SERVIÇO</v>
      </c>
      <c r="B1143" s="225" t="s">
        <v>9013</v>
      </c>
      <c r="C1143" s="225" t="s">
        <v>17664</v>
      </c>
      <c r="D1143" s="225">
        <v>210060</v>
      </c>
      <c r="E1143" s="242">
        <f>VLOOKUP(D1143,'15. CUSTOS DER - MÃO DE OBRA'!A:C,3,0)</f>
        <v>6</v>
      </c>
      <c r="F1143" s="225"/>
      <c r="G1143" s="225">
        <f>VLOOKUP(D1143,'15. CUSTOS DER - MÃO DE OBRA'!A:D,4,0)</f>
        <v>85.81</v>
      </c>
      <c r="H1143" s="356">
        <v>1</v>
      </c>
      <c r="I1143" s="225"/>
      <c r="J1143" s="225"/>
      <c r="K1143" s="242">
        <f>G1143*H1143</f>
        <v>85.81</v>
      </c>
    </row>
    <row r="1144" spans="1:11">
      <c r="A1144" s="222" t="str">
        <f>VLOOKUP(D1144,'15. CUSTOS DER - MÃO DE OBRA'!A:B,2,0)</f>
        <v>ELETRICISTA</v>
      </c>
      <c r="B1144" s="225" t="s">
        <v>9013</v>
      </c>
      <c r="C1144" s="225" t="s">
        <v>17664</v>
      </c>
      <c r="D1144" s="225">
        <v>210150</v>
      </c>
      <c r="E1144" s="242">
        <f>VLOOKUP(D1144,'15. CUSTOS DER - MÃO DE OBRA'!A:C,3,0)</f>
        <v>3.5</v>
      </c>
      <c r="F1144" s="225"/>
      <c r="G1144" s="225">
        <f>VLOOKUP(D1144,'15. CUSTOS DER - MÃO DE OBRA'!A:D,4,0)</f>
        <v>50.05</v>
      </c>
      <c r="H1144" s="356">
        <v>2</v>
      </c>
      <c r="I1144" s="225"/>
      <c r="J1144" s="225"/>
      <c r="K1144" s="242">
        <f>G1144*H1144</f>
        <v>100.1</v>
      </c>
    </row>
    <row r="1145" spans="1:11">
      <c r="A1145" s="222" t="str">
        <f>VLOOKUP(D1145,'15. CUSTOS DER - MÃO DE OBRA'!A:B,2,0)</f>
        <v>TOPÓGRAFO</v>
      </c>
      <c r="B1145" s="225" t="s">
        <v>9013</v>
      </c>
      <c r="C1145" s="225" t="s">
        <v>17664</v>
      </c>
      <c r="D1145" s="225">
        <v>210080</v>
      </c>
      <c r="E1145" s="242">
        <f>VLOOKUP(D1145,'15. CUSTOS DER - MÃO DE OBRA'!A:C,3,0)</f>
        <v>6.6</v>
      </c>
      <c r="F1145" s="225"/>
      <c r="G1145" s="225">
        <f>VLOOKUP(D1145,'15. CUSTOS DER - MÃO DE OBRA'!A:D,4,0)</f>
        <v>94.39</v>
      </c>
      <c r="H1145" s="356">
        <v>1</v>
      </c>
      <c r="I1145" s="225"/>
      <c r="J1145" s="225"/>
      <c r="K1145" s="242">
        <f>G1145*H1145</f>
        <v>94.39</v>
      </c>
    </row>
    <row r="1146" spans="1:11">
      <c r="A1146" s="222" t="str">
        <f>VLOOKUP(D1146,'15. CUSTOS DER - MÃO DE OBRA'!A:B,2,0)</f>
        <v>SERVENTE</v>
      </c>
      <c r="B1146" s="225" t="s">
        <v>9013</v>
      </c>
      <c r="C1146" s="225" t="s">
        <v>17664</v>
      </c>
      <c r="D1146" s="225">
        <v>200130</v>
      </c>
      <c r="E1146" s="242">
        <f>VLOOKUP(D1146,'15. CUSTOS DER - MÃO DE OBRA'!A:C,3,0)</f>
        <v>2.2000000000000002</v>
      </c>
      <c r="F1146" s="225"/>
      <c r="G1146" s="225">
        <f>VLOOKUP(D1146,'15. CUSTOS DER - MÃO DE OBRA'!A:D,4,0)</f>
        <v>31.46</v>
      </c>
      <c r="H1146" s="356">
        <v>4</v>
      </c>
      <c r="I1146" s="225"/>
      <c r="J1146" s="225"/>
      <c r="K1146" s="242">
        <f>G1146*H1146</f>
        <v>125.84</v>
      </c>
    </row>
    <row r="1147" spans="1:11">
      <c r="A1147" s="358"/>
      <c r="B1147" s="359"/>
      <c r="C1147" s="359"/>
      <c r="D1147" s="359"/>
      <c r="E1147" s="359"/>
      <c r="F1147" s="359"/>
      <c r="G1147" s="359"/>
      <c r="H1147" s="359"/>
      <c r="I1147" s="359"/>
      <c r="J1147" s="360" t="s">
        <v>48</v>
      </c>
      <c r="K1147" s="361">
        <f>SUM(K1143:K1146)</f>
        <v>406.14</v>
      </c>
    </row>
    <row r="1148" spans="1:11">
      <c r="A1148" s="354" t="s">
        <v>49</v>
      </c>
      <c r="B1148" s="355" t="s">
        <v>11308</v>
      </c>
      <c r="C1148" s="355" t="s">
        <v>17663</v>
      </c>
      <c r="D1148" s="355" t="s">
        <v>0</v>
      </c>
      <c r="E1148" s="355" t="s">
        <v>14</v>
      </c>
      <c r="F1148" s="355" t="s">
        <v>50</v>
      </c>
      <c r="G1148" s="355" t="s">
        <v>29</v>
      </c>
      <c r="H1148" s="355" t="s">
        <v>30</v>
      </c>
      <c r="I1148" s="355"/>
      <c r="J1148" s="355"/>
      <c r="K1148" s="355" t="s">
        <v>33</v>
      </c>
    </row>
    <row r="1149" spans="1:11">
      <c r="A1149" s="222" t="s">
        <v>74</v>
      </c>
      <c r="B1149" s="225"/>
      <c r="C1149" s="225"/>
      <c r="D1149" s="225">
        <v>29990</v>
      </c>
      <c r="E1149" s="243">
        <v>5</v>
      </c>
      <c r="F1149" s="225" t="s">
        <v>32</v>
      </c>
      <c r="G1149" s="225"/>
      <c r="H1149" s="225"/>
      <c r="I1149" s="225"/>
      <c r="J1149" s="225"/>
      <c r="K1149" s="242">
        <f>TRUNC(K1147*E1149/100,2)</f>
        <v>20.3</v>
      </c>
    </row>
    <row r="1150" spans="1:11">
      <c r="A1150" s="222"/>
      <c r="B1150" s="225"/>
      <c r="C1150" s="225"/>
      <c r="D1150" s="225"/>
      <c r="E1150" s="225"/>
      <c r="F1150" s="225"/>
      <c r="G1150" s="225"/>
      <c r="H1150" s="225"/>
      <c r="I1150" s="225"/>
      <c r="J1150" s="225"/>
      <c r="K1150" s="225"/>
    </row>
    <row r="1151" spans="1:11">
      <c r="A1151" s="358"/>
      <c r="B1151" s="359"/>
      <c r="C1151" s="359"/>
      <c r="D1151" s="359"/>
      <c r="E1151" s="359"/>
      <c r="F1151" s="359"/>
      <c r="G1151" s="359"/>
      <c r="H1151" s="359"/>
      <c r="I1151" s="359"/>
      <c r="J1151" s="360" t="s">
        <v>51</v>
      </c>
      <c r="K1151" s="361">
        <f>SUM(K1149:K1149)</f>
        <v>20.3</v>
      </c>
    </row>
    <row r="1152" spans="1:11">
      <c r="A1152" s="568" t="s">
        <v>52</v>
      </c>
      <c r="B1152" s="568"/>
      <c r="C1152" s="568"/>
      <c r="D1152" s="568"/>
      <c r="E1152" s="568"/>
      <c r="F1152" s="568"/>
      <c r="G1152" s="568"/>
      <c r="H1152" s="568"/>
      <c r="I1152" s="568"/>
      <c r="J1152" s="568"/>
      <c r="K1152" s="361">
        <f>K1141+K1147+K1151</f>
        <v>706.02</v>
      </c>
    </row>
    <row r="1153" spans="1:11">
      <c r="A1153" s="568" t="s">
        <v>53</v>
      </c>
      <c r="B1153" s="568"/>
      <c r="C1153" s="568"/>
      <c r="D1153" s="568"/>
      <c r="E1153" s="568"/>
      <c r="F1153" s="568"/>
      <c r="G1153" s="568"/>
      <c r="H1153" s="568"/>
      <c r="I1153" s="568"/>
      <c r="J1153" s="568"/>
      <c r="K1153" s="361">
        <v>0.28000000000000003</v>
      </c>
    </row>
    <row r="1154" spans="1:11">
      <c r="A1154" s="566" t="s">
        <v>54</v>
      </c>
      <c r="B1154" s="566"/>
      <c r="C1154" s="566"/>
      <c r="D1154" s="566"/>
      <c r="E1154" s="566"/>
      <c r="F1154" s="566"/>
      <c r="G1154" s="566"/>
      <c r="H1154" s="566"/>
      <c r="I1154" s="566"/>
      <c r="J1154" s="566"/>
      <c r="K1154" s="362">
        <f>IF(K1152=0,0,K1152/K1153)</f>
        <v>2521.4999999999995</v>
      </c>
    </row>
    <row r="1155" spans="1:11">
      <c r="A1155" s="354" t="s">
        <v>55</v>
      </c>
      <c r="B1155" s="355" t="s">
        <v>11308</v>
      </c>
      <c r="C1155" s="355" t="s">
        <v>17663</v>
      </c>
      <c r="D1155" s="355" t="s">
        <v>0</v>
      </c>
      <c r="E1155" s="355" t="s">
        <v>2</v>
      </c>
      <c r="F1155" s="567" t="s">
        <v>9</v>
      </c>
      <c r="G1155" s="567"/>
      <c r="H1155" s="567" t="s">
        <v>25</v>
      </c>
      <c r="I1155" s="567"/>
      <c r="J1155" s="355"/>
      <c r="K1155" s="355" t="s">
        <v>56</v>
      </c>
    </row>
    <row r="1156" spans="1:11">
      <c r="A1156" s="222"/>
      <c r="B1156" s="225"/>
      <c r="C1156" s="225"/>
      <c r="D1156" s="225"/>
      <c r="E1156" s="225"/>
      <c r="F1156" s="225"/>
      <c r="G1156" s="224"/>
      <c r="H1156" s="241"/>
      <c r="I1156" s="241"/>
      <c r="J1156" s="225"/>
      <c r="K1156" s="242"/>
    </row>
    <row r="1157" spans="1:11">
      <c r="A1157" s="222"/>
      <c r="B1157" s="225"/>
      <c r="C1157" s="225"/>
      <c r="D1157" s="225"/>
      <c r="E1157" s="225"/>
      <c r="F1157" s="225"/>
      <c r="G1157" s="224"/>
      <c r="H1157" s="241"/>
      <c r="I1157" s="241"/>
      <c r="J1157" s="225"/>
      <c r="K1157" s="242"/>
    </row>
    <row r="1158" spans="1:11">
      <c r="A1158" s="364"/>
      <c r="B1158" s="365"/>
      <c r="C1158" s="365"/>
      <c r="D1158" s="365"/>
      <c r="E1158" s="365"/>
      <c r="F1158" s="365"/>
      <c r="G1158" s="365"/>
      <c r="H1158" s="365"/>
      <c r="I1158" s="365"/>
      <c r="J1158" s="366" t="s">
        <v>57</v>
      </c>
      <c r="K1158" s="362">
        <f>SUM(K1157:K1157)</f>
        <v>0</v>
      </c>
    </row>
    <row r="1159" spans="1:11">
      <c r="A1159" s="354" t="s">
        <v>58</v>
      </c>
      <c r="B1159" s="355" t="s">
        <v>11308</v>
      </c>
      <c r="C1159" s="355" t="s">
        <v>17663</v>
      </c>
      <c r="D1159" s="355" t="s">
        <v>0</v>
      </c>
      <c r="E1159" s="355" t="s">
        <v>2</v>
      </c>
      <c r="F1159" s="567" t="s">
        <v>9</v>
      </c>
      <c r="G1159" s="567"/>
      <c r="H1159" s="567" t="s">
        <v>25</v>
      </c>
      <c r="I1159" s="567"/>
      <c r="J1159" s="355"/>
      <c r="K1159" s="355" t="s">
        <v>56</v>
      </c>
    </row>
    <row r="1160" spans="1:11">
      <c r="A1160" s="222"/>
      <c r="B1160" s="225"/>
      <c r="C1160" s="225"/>
      <c r="D1160" s="225"/>
      <c r="E1160" s="225"/>
      <c r="F1160" s="225"/>
      <c r="G1160" s="224"/>
      <c r="H1160" s="241"/>
      <c r="I1160" s="240"/>
      <c r="J1160" s="241"/>
      <c r="K1160" s="242"/>
    </row>
    <row r="1161" spans="1:11">
      <c r="A1161" s="222"/>
      <c r="B1161" s="225"/>
      <c r="C1161" s="225"/>
      <c r="D1161" s="225"/>
      <c r="E1161" s="225"/>
      <c r="F1161" s="225"/>
      <c r="G1161" s="224"/>
      <c r="H1161" s="241"/>
      <c r="I1161" s="240"/>
      <c r="J1161" s="241"/>
      <c r="K1161" s="242"/>
    </row>
    <row r="1162" spans="1:11">
      <c r="A1162" s="364"/>
      <c r="B1162" s="365"/>
      <c r="C1162" s="365"/>
      <c r="D1162" s="365"/>
      <c r="E1162" s="365"/>
      <c r="F1162" s="365"/>
      <c r="G1162" s="365"/>
      <c r="H1162" s="365"/>
      <c r="I1162" s="365"/>
      <c r="J1162" s="366" t="s">
        <v>59</v>
      </c>
      <c r="K1162" s="362">
        <f>SUM(K1161:K1161)</f>
        <v>0</v>
      </c>
    </row>
    <row r="1163" spans="1:11">
      <c r="E1163" s="367"/>
      <c r="F1163" s="367"/>
      <c r="G1163" s="367"/>
      <c r="H1163" s="367"/>
      <c r="I1163" s="367"/>
      <c r="J1163" s="368"/>
      <c r="K1163" s="369"/>
    </row>
    <row r="1164" spans="1:11">
      <c r="E1164" s="367"/>
      <c r="F1164" s="367"/>
      <c r="G1164" s="367"/>
      <c r="H1164" s="367"/>
      <c r="I1164" s="367"/>
      <c r="J1164" s="368"/>
      <c r="K1164" s="369"/>
    </row>
    <row r="1165" spans="1:11">
      <c r="A1165" s="337" t="s">
        <v>22680</v>
      </c>
      <c r="B1165" s="337" t="s">
        <v>371</v>
      </c>
      <c r="C1165" s="370" t="s">
        <v>328</v>
      </c>
      <c r="D1165" s="563" t="s">
        <v>315</v>
      </c>
      <c r="E1165" s="563"/>
      <c r="F1165" s="563"/>
      <c r="G1165" s="563"/>
      <c r="H1165" s="563"/>
      <c r="I1165" s="563"/>
      <c r="J1165" s="253" t="s">
        <v>17667</v>
      </c>
      <c r="K1165" s="373">
        <f>K1180+K1184+K1188</f>
        <v>11.530429999999999</v>
      </c>
    </row>
    <row r="1166" spans="1:11">
      <c r="A1166" s="354" t="s">
        <v>27</v>
      </c>
      <c r="B1166" s="355" t="s">
        <v>11308</v>
      </c>
      <c r="C1166" s="355" t="s">
        <v>17663</v>
      </c>
      <c r="D1166" s="355" t="s">
        <v>0</v>
      </c>
      <c r="E1166" s="355" t="s">
        <v>1</v>
      </c>
      <c r="F1166" s="355" t="s">
        <v>39</v>
      </c>
      <c r="G1166" s="355" t="s">
        <v>40</v>
      </c>
      <c r="H1166" s="355" t="s">
        <v>41</v>
      </c>
      <c r="I1166" s="355" t="s">
        <v>42</v>
      </c>
      <c r="J1166" s="355"/>
      <c r="K1166" s="355" t="s">
        <v>43</v>
      </c>
    </row>
    <row r="1167" spans="1:11">
      <c r="A1167" s="222"/>
      <c r="B1167" s="225"/>
      <c r="C1167" s="225"/>
      <c r="D1167" s="225"/>
      <c r="E1167" s="356"/>
      <c r="F1167" s="241"/>
      <c r="G1167" s="356"/>
      <c r="H1167" s="242"/>
      <c r="I1167" s="242"/>
      <c r="J1167" s="225"/>
      <c r="K1167" s="242"/>
    </row>
    <row r="1168" spans="1:11">
      <c r="A1168" s="222"/>
      <c r="B1168" s="225"/>
      <c r="C1168" s="225"/>
      <c r="D1168" s="225"/>
      <c r="E1168" s="356"/>
      <c r="F1168" s="241"/>
      <c r="G1168" s="356"/>
      <c r="H1168" s="242"/>
      <c r="I1168" s="242"/>
      <c r="J1168" s="225"/>
      <c r="K1168" s="242"/>
    </row>
    <row r="1169" spans="1:11">
      <c r="A1169" s="358"/>
      <c r="B1169" s="359"/>
      <c r="C1169" s="359"/>
      <c r="D1169" s="359"/>
      <c r="E1169" s="359"/>
      <c r="F1169" s="359"/>
      <c r="G1169" s="359"/>
      <c r="H1169" s="359"/>
      <c r="I1169" s="359"/>
      <c r="J1169" s="360" t="s">
        <v>44</v>
      </c>
      <c r="K1169" s="361">
        <f>SUM(K1168:K1168)</f>
        <v>0</v>
      </c>
    </row>
    <row r="1170" spans="1:11">
      <c r="A1170" s="354" t="s">
        <v>45</v>
      </c>
      <c r="B1170" s="355" t="s">
        <v>11308</v>
      </c>
      <c r="C1170" s="355" t="s">
        <v>17663</v>
      </c>
      <c r="D1170" s="355" t="s">
        <v>0</v>
      </c>
      <c r="E1170" s="355" t="s">
        <v>36</v>
      </c>
      <c r="F1170" s="355" t="s">
        <v>46</v>
      </c>
      <c r="G1170" s="355" t="s">
        <v>47</v>
      </c>
      <c r="H1170" s="355" t="s">
        <v>25</v>
      </c>
      <c r="I1170" s="355"/>
      <c r="J1170" s="355"/>
      <c r="K1170" s="355" t="s">
        <v>43</v>
      </c>
    </row>
    <row r="1171" spans="1:11">
      <c r="A1171" s="222" t="str">
        <f>VLOOKUP(D1171,'15. CUSTOS DER - MÃO DE OBRA'!A:B,2,0)</f>
        <v>ELETRICISTA</v>
      </c>
      <c r="B1171" s="225" t="s">
        <v>9013</v>
      </c>
      <c r="C1171" s="225" t="s">
        <v>17664</v>
      </c>
      <c r="D1171" s="225">
        <v>210150</v>
      </c>
      <c r="E1171" s="242">
        <f>VLOOKUP(D1171,'15. CUSTOS DER - MÃO DE OBRA'!A:C,3,0)</f>
        <v>3.5</v>
      </c>
      <c r="F1171" s="225"/>
      <c r="G1171" s="225">
        <f>VLOOKUP(D1171,'15. CUSTOS DER - MÃO DE OBRA'!A:D,4,0)</f>
        <v>50.05</v>
      </c>
      <c r="H1171" s="356">
        <v>0.04</v>
      </c>
      <c r="I1171" s="225"/>
      <c r="J1171" s="225"/>
      <c r="K1171" s="242">
        <f>G1171*H1171</f>
        <v>2.0019999999999998</v>
      </c>
    </row>
    <row r="1172" spans="1:11">
      <c r="A1172" s="222" t="str">
        <f>VLOOKUP(D1172,'15. CUSTOS DER - MÃO DE OBRA'!A:B,2,0)</f>
        <v>SERVENTE</v>
      </c>
      <c r="B1172" s="225" t="s">
        <v>9013</v>
      </c>
      <c r="C1172" s="225" t="s">
        <v>17664</v>
      </c>
      <c r="D1172" s="225">
        <v>200130</v>
      </c>
      <c r="E1172" s="242">
        <f>VLOOKUP(D1172,'15. CUSTOS DER - MÃO DE OBRA'!A:C,3,0)</f>
        <v>2.2000000000000002</v>
      </c>
      <c r="F1172" s="225"/>
      <c r="G1172" s="225">
        <f>VLOOKUP(D1172,'15. CUSTOS DER - MÃO DE OBRA'!A:D,4,0)</f>
        <v>31.46</v>
      </c>
      <c r="H1172" s="356">
        <v>0.04</v>
      </c>
      <c r="I1172" s="225"/>
      <c r="J1172" s="225"/>
      <c r="K1172" s="242">
        <f>G1172*H1172</f>
        <v>1.2584</v>
      </c>
    </row>
    <row r="1173" spans="1:11">
      <c r="A1173" s="358"/>
      <c r="B1173" s="359"/>
      <c r="C1173" s="359"/>
      <c r="D1173" s="359"/>
      <c r="E1173" s="359"/>
      <c r="F1173" s="359"/>
      <c r="G1173" s="359"/>
      <c r="H1173" s="359"/>
      <c r="I1173" s="359"/>
      <c r="J1173" s="360" t="s">
        <v>48</v>
      </c>
      <c r="K1173" s="361">
        <f>SUM(K1171:K1172)</f>
        <v>3.2603999999999997</v>
      </c>
    </row>
    <row r="1174" spans="1:11">
      <c r="A1174" s="354" t="s">
        <v>49</v>
      </c>
      <c r="B1174" s="355" t="s">
        <v>11308</v>
      </c>
      <c r="C1174" s="355" t="s">
        <v>17663</v>
      </c>
      <c r="D1174" s="355" t="s">
        <v>0</v>
      </c>
      <c r="E1174" s="355" t="s">
        <v>14</v>
      </c>
      <c r="F1174" s="355" t="s">
        <v>50</v>
      </c>
      <c r="G1174" s="355" t="s">
        <v>29</v>
      </c>
      <c r="H1174" s="355" t="s">
        <v>30</v>
      </c>
      <c r="I1174" s="355"/>
      <c r="J1174" s="355"/>
      <c r="K1174" s="355" t="s">
        <v>33</v>
      </c>
    </row>
    <row r="1175" spans="1:11">
      <c r="A1175" s="222" t="s">
        <v>74</v>
      </c>
      <c r="B1175" s="225"/>
      <c r="C1175" s="225"/>
      <c r="D1175" s="225">
        <v>29990</v>
      </c>
      <c r="E1175" s="243">
        <v>5</v>
      </c>
      <c r="F1175" s="225" t="s">
        <v>32</v>
      </c>
      <c r="G1175" s="225"/>
      <c r="H1175" s="225"/>
      <c r="I1175" s="225"/>
      <c r="J1175" s="225"/>
      <c r="K1175" s="242">
        <f>TRUNC(K1173*E1175/100,2)</f>
        <v>0.16</v>
      </c>
    </row>
    <row r="1176" spans="1:11">
      <c r="A1176" s="222"/>
      <c r="B1176" s="225"/>
      <c r="C1176" s="225"/>
      <c r="D1176" s="225"/>
      <c r="E1176" s="356"/>
      <c r="F1176" s="241"/>
      <c r="G1176" s="356"/>
      <c r="H1176" s="242"/>
      <c r="I1176" s="242"/>
      <c r="J1176" s="225"/>
      <c r="K1176" s="242"/>
    </row>
    <row r="1177" spans="1:11">
      <c r="A1177" s="358"/>
      <c r="B1177" s="359"/>
      <c r="C1177" s="359"/>
      <c r="D1177" s="359"/>
      <c r="E1177" s="359"/>
      <c r="F1177" s="359"/>
      <c r="G1177" s="359"/>
      <c r="H1177" s="359"/>
      <c r="I1177" s="359"/>
      <c r="J1177" s="360" t="s">
        <v>51</v>
      </c>
      <c r="K1177" s="361">
        <f>SUM(K1175:K1175)</f>
        <v>0.16</v>
      </c>
    </row>
    <row r="1178" spans="1:11">
      <c r="A1178" s="568" t="s">
        <v>52</v>
      </c>
      <c r="B1178" s="568"/>
      <c r="C1178" s="568"/>
      <c r="D1178" s="568"/>
      <c r="E1178" s="568"/>
      <c r="F1178" s="568"/>
      <c r="G1178" s="568"/>
      <c r="H1178" s="568"/>
      <c r="I1178" s="568"/>
      <c r="J1178" s="568"/>
      <c r="K1178" s="361">
        <f>K1169+K1173+K1177</f>
        <v>3.4203999999999999</v>
      </c>
    </row>
    <row r="1179" spans="1:11">
      <c r="A1179" s="568" t="s">
        <v>53</v>
      </c>
      <c r="B1179" s="568"/>
      <c r="C1179" s="568"/>
      <c r="D1179" s="568"/>
      <c r="E1179" s="568"/>
      <c r="F1179" s="568"/>
      <c r="G1179" s="568"/>
      <c r="H1179" s="568"/>
      <c r="I1179" s="568"/>
      <c r="J1179" s="568"/>
      <c r="K1179" s="361">
        <v>1</v>
      </c>
    </row>
    <row r="1180" spans="1:11">
      <c r="A1180" s="566" t="s">
        <v>54</v>
      </c>
      <c r="B1180" s="566"/>
      <c r="C1180" s="566"/>
      <c r="D1180" s="566"/>
      <c r="E1180" s="566"/>
      <c r="F1180" s="566"/>
      <c r="G1180" s="566"/>
      <c r="H1180" s="566"/>
      <c r="I1180" s="566"/>
      <c r="J1180" s="566"/>
      <c r="K1180" s="362">
        <f>IF(K1178=0,0,K1178/K1179)</f>
        <v>3.4203999999999999</v>
      </c>
    </row>
    <row r="1181" spans="1:11">
      <c r="A1181" s="354" t="s">
        <v>55</v>
      </c>
      <c r="B1181" s="355" t="s">
        <v>11308</v>
      </c>
      <c r="C1181" s="355" t="s">
        <v>17663</v>
      </c>
      <c r="D1181" s="355" t="s">
        <v>0</v>
      </c>
      <c r="E1181" s="355" t="s">
        <v>2</v>
      </c>
      <c r="F1181" s="567" t="s">
        <v>9</v>
      </c>
      <c r="G1181" s="567"/>
      <c r="H1181" s="567" t="s">
        <v>25</v>
      </c>
      <c r="I1181" s="567"/>
      <c r="J1181" s="355"/>
      <c r="K1181" s="355" t="s">
        <v>56</v>
      </c>
    </row>
    <row r="1182" spans="1:11" ht="31.5">
      <c r="A1182" s="222" t="str">
        <f>VLOOKUP(D1182,'23. CUSTOS COTAÇÕES DE MERCADO'!A:B,2,0)</f>
        <v>Cabo de cobre PP Cordplast 3 x 2.5 mm2, 450/750v - fornecimento - CORFIO OU RCM CABOS</v>
      </c>
      <c r="B1182" s="225" t="s">
        <v>22707</v>
      </c>
      <c r="C1182" s="225" t="s">
        <v>22709</v>
      </c>
      <c r="D1182" s="225" t="s">
        <v>62</v>
      </c>
      <c r="E1182" s="372" t="str">
        <f>VLOOKUP(D1182,'23. CUSTOS COTAÇÕES DE MERCADO'!A:D,4,0)</f>
        <v>M</v>
      </c>
      <c r="F1182" s="225"/>
      <c r="G1182" s="224">
        <f>VLOOKUP(D1182,'23. CUSTOS COTAÇÕES DE MERCADO'!A:F,6,0)</f>
        <v>6.7700000000000005</v>
      </c>
      <c r="H1182" s="241"/>
      <c r="I1182" s="241">
        <v>1.19</v>
      </c>
      <c r="J1182" s="225"/>
      <c r="K1182" s="242">
        <f>G1182*I1182</f>
        <v>8.0563000000000002</v>
      </c>
    </row>
    <row r="1183" spans="1:11" ht="31.5">
      <c r="A1183" s="222" t="str">
        <f>VLOOKUP(D1183,'22. CUSTOS SINAPI - MATERIAIS'!A:B,2,0)</f>
        <v>FITA ISOLANTE ADESIVA ANTICHAMA, USO ATE 750 V, EM ROLO DE 19 MM X 5 M</v>
      </c>
      <c r="B1183" s="225" t="s">
        <v>9008</v>
      </c>
      <c r="C1183" s="225" t="s">
        <v>68</v>
      </c>
      <c r="D1183" s="379">
        <v>21127</v>
      </c>
      <c r="E1183" s="372" t="str">
        <f>VLOOKUP(D1183,'22. CUSTOS SINAPI - MATERIAIS'!A:C,3,0)</f>
        <v xml:space="preserve">UN    </v>
      </c>
      <c r="F1183" s="225"/>
      <c r="G1183" s="224">
        <f>VLOOKUP(D1183,'22. CUSTOS SINAPI - MATERIAIS'!A:D,4,0)</f>
        <v>5.97</v>
      </c>
      <c r="H1183" s="241"/>
      <c r="I1183" s="241">
        <v>8.9999999999999993E-3</v>
      </c>
      <c r="J1183" s="225"/>
      <c r="K1183" s="242">
        <f>G1183*I1183</f>
        <v>5.3729999999999993E-2</v>
      </c>
    </row>
    <row r="1184" spans="1:11">
      <c r="A1184" s="364"/>
      <c r="B1184" s="365"/>
      <c r="C1184" s="365"/>
      <c r="D1184" s="365"/>
      <c r="E1184" s="365"/>
      <c r="F1184" s="365"/>
      <c r="G1184" s="365"/>
      <c r="H1184" s="365"/>
      <c r="I1184" s="365"/>
      <c r="J1184" s="366" t="s">
        <v>57</v>
      </c>
      <c r="K1184" s="362">
        <f>SUM(K1182:K1183)</f>
        <v>8.1100300000000001</v>
      </c>
    </row>
    <row r="1185" spans="1:11">
      <c r="A1185" s="354" t="s">
        <v>58</v>
      </c>
      <c r="B1185" s="355" t="s">
        <v>11308</v>
      </c>
      <c r="C1185" s="355" t="s">
        <v>17663</v>
      </c>
      <c r="D1185" s="355" t="s">
        <v>0</v>
      </c>
      <c r="E1185" s="355" t="s">
        <v>2</v>
      </c>
      <c r="F1185" s="567" t="s">
        <v>9</v>
      </c>
      <c r="G1185" s="567"/>
      <c r="H1185" s="567" t="s">
        <v>25</v>
      </c>
      <c r="I1185" s="567"/>
      <c r="J1185" s="355"/>
      <c r="K1185" s="355" t="s">
        <v>56</v>
      </c>
    </row>
    <row r="1186" spans="1:11">
      <c r="A1186" s="222"/>
      <c r="B1186" s="225"/>
      <c r="C1186" s="225"/>
      <c r="D1186" s="225"/>
      <c r="E1186" s="225"/>
      <c r="F1186" s="225"/>
      <c r="G1186" s="224"/>
      <c r="H1186" s="241"/>
      <c r="I1186" s="240"/>
      <c r="J1186" s="241"/>
      <c r="K1186" s="242"/>
    </row>
    <row r="1187" spans="1:11">
      <c r="A1187" s="222"/>
      <c r="B1187" s="225"/>
      <c r="C1187" s="225"/>
      <c r="D1187" s="225"/>
      <c r="E1187" s="225"/>
      <c r="F1187" s="225"/>
      <c r="G1187" s="224"/>
      <c r="H1187" s="241"/>
      <c r="I1187" s="240"/>
      <c r="J1187" s="241"/>
      <c r="K1187" s="242"/>
    </row>
    <row r="1188" spans="1:11">
      <c r="A1188" s="364"/>
      <c r="B1188" s="365"/>
      <c r="C1188" s="365"/>
      <c r="D1188" s="365"/>
      <c r="E1188" s="365"/>
      <c r="F1188" s="365"/>
      <c r="G1188" s="365"/>
      <c r="H1188" s="365"/>
      <c r="I1188" s="365"/>
      <c r="J1188" s="366" t="s">
        <v>59</v>
      </c>
      <c r="K1188" s="362">
        <f>SUM(K1186:K1187)</f>
        <v>0</v>
      </c>
    </row>
    <row r="1189" spans="1:11">
      <c r="E1189" s="367"/>
      <c r="F1189" s="367"/>
      <c r="G1189" s="367"/>
      <c r="H1189" s="367"/>
      <c r="I1189" s="367"/>
      <c r="J1189" s="368"/>
      <c r="K1189" s="369"/>
    </row>
    <row r="1190" spans="1:11">
      <c r="E1190" s="367"/>
      <c r="F1190" s="367"/>
      <c r="G1190" s="367"/>
      <c r="H1190" s="367"/>
      <c r="I1190" s="367"/>
      <c r="J1190" s="368"/>
      <c r="K1190" s="369"/>
    </row>
    <row r="1191" spans="1:11">
      <c r="A1191" s="337" t="s">
        <v>22681</v>
      </c>
      <c r="B1191" s="337" t="s">
        <v>371</v>
      </c>
      <c r="C1191" s="370" t="s">
        <v>330</v>
      </c>
      <c r="D1191" s="563" t="s">
        <v>316</v>
      </c>
      <c r="E1191" s="563"/>
      <c r="F1191" s="563"/>
      <c r="G1191" s="563"/>
      <c r="H1191" s="563"/>
      <c r="I1191" s="563"/>
      <c r="J1191" s="253" t="s">
        <v>17667</v>
      </c>
      <c r="K1191" s="373">
        <f>K1205+K1208+K1212</f>
        <v>19.021000000000001</v>
      </c>
    </row>
    <row r="1192" spans="1:11">
      <c r="A1192" s="354" t="s">
        <v>27</v>
      </c>
      <c r="B1192" s="355" t="s">
        <v>11308</v>
      </c>
      <c r="C1192" s="355" t="s">
        <v>17663</v>
      </c>
      <c r="D1192" s="355" t="s">
        <v>0</v>
      </c>
      <c r="E1192" s="355" t="s">
        <v>1</v>
      </c>
      <c r="F1192" s="355" t="s">
        <v>39</v>
      </c>
      <c r="G1192" s="355" t="s">
        <v>40</v>
      </c>
      <c r="H1192" s="355" t="s">
        <v>41</v>
      </c>
      <c r="I1192" s="355" t="s">
        <v>42</v>
      </c>
      <c r="J1192" s="355"/>
      <c r="K1192" s="355" t="s">
        <v>43</v>
      </c>
    </row>
    <row r="1193" spans="1:11">
      <c r="A1193" s="222"/>
      <c r="B1193" s="225"/>
      <c r="C1193" s="225"/>
      <c r="D1193" s="225"/>
      <c r="E1193" s="356"/>
      <c r="F1193" s="241"/>
      <c r="G1193" s="356"/>
      <c r="H1193" s="242"/>
      <c r="I1193" s="242"/>
      <c r="J1193" s="225"/>
      <c r="K1193" s="242"/>
    </row>
    <row r="1194" spans="1:11">
      <c r="A1194" s="222"/>
      <c r="B1194" s="225"/>
      <c r="C1194" s="225"/>
      <c r="D1194" s="225"/>
      <c r="E1194" s="356"/>
      <c r="F1194" s="241"/>
      <c r="G1194" s="356"/>
      <c r="H1194" s="242"/>
      <c r="I1194" s="242"/>
      <c r="J1194" s="225"/>
      <c r="K1194" s="242"/>
    </row>
    <row r="1195" spans="1:11">
      <c r="A1195" s="358"/>
      <c r="B1195" s="359"/>
      <c r="C1195" s="359"/>
      <c r="D1195" s="359"/>
      <c r="E1195" s="359"/>
      <c r="F1195" s="359"/>
      <c r="G1195" s="359"/>
      <c r="H1195" s="359"/>
      <c r="I1195" s="359"/>
      <c r="J1195" s="360" t="s">
        <v>44</v>
      </c>
      <c r="K1195" s="361">
        <f>SUM(K1194:K1194)</f>
        <v>0</v>
      </c>
    </row>
    <row r="1196" spans="1:11">
      <c r="A1196" s="354" t="s">
        <v>45</v>
      </c>
      <c r="B1196" s="355" t="s">
        <v>11308</v>
      </c>
      <c r="C1196" s="355" t="s">
        <v>17663</v>
      </c>
      <c r="D1196" s="355" t="s">
        <v>0</v>
      </c>
      <c r="E1196" s="355" t="s">
        <v>36</v>
      </c>
      <c r="F1196" s="355" t="s">
        <v>46</v>
      </c>
      <c r="G1196" s="355" t="s">
        <v>47</v>
      </c>
      <c r="H1196" s="355" t="s">
        <v>25</v>
      </c>
      <c r="I1196" s="355"/>
      <c r="J1196" s="355"/>
      <c r="K1196" s="355" t="s">
        <v>43</v>
      </c>
    </row>
    <row r="1197" spans="1:11">
      <c r="A1197" s="222" t="str">
        <f>VLOOKUP(D1197,'15. CUSTOS DER - MÃO DE OBRA'!A:B,2,0)</f>
        <v>ELETRICISTA</v>
      </c>
      <c r="B1197" s="225" t="s">
        <v>9013</v>
      </c>
      <c r="C1197" s="225" t="s">
        <v>17664</v>
      </c>
      <c r="D1197" s="225">
        <v>210150</v>
      </c>
      <c r="E1197" s="242">
        <f>VLOOKUP(D1197,'15. CUSTOS DER - MÃO DE OBRA'!A:C,3,0)</f>
        <v>3.5</v>
      </c>
      <c r="F1197" s="225"/>
      <c r="G1197" s="225">
        <f>VLOOKUP(D1197,'15. CUSTOS DER - MÃO DE OBRA'!A:D,4,0)</f>
        <v>50.05</v>
      </c>
      <c r="H1197" s="356">
        <v>0.1</v>
      </c>
      <c r="I1197" s="225"/>
      <c r="J1197" s="225"/>
      <c r="K1197" s="242">
        <f>G1197*H1197</f>
        <v>5.0049999999999999</v>
      </c>
    </row>
    <row r="1198" spans="1:11">
      <c r="A1198" s="222" t="str">
        <f>VLOOKUP(D1198,'15. CUSTOS DER - MÃO DE OBRA'!A:B,2,0)</f>
        <v>SERVENTE</v>
      </c>
      <c r="B1198" s="225" t="s">
        <v>9013</v>
      </c>
      <c r="C1198" s="225" t="s">
        <v>17664</v>
      </c>
      <c r="D1198" s="225">
        <v>200130</v>
      </c>
      <c r="E1198" s="242">
        <f>VLOOKUP(D1198,'15. CUSTOS DER - MÃO DE OBRA'!A:C,3,0)</f>
        <v>2.2000000000000002</v>
      </c>
      <c r="F1198" s="225"/>
      <c r="G1198" s="225">
        <f>VLOOKUP(D1198,'15. CUSTOS DER - MÃO DE OBRA'!A:D,4,0)</f>
        <v>31.46</v>
      </c>
      <c r="H1198" s="356">
        <v>0.1</v>
      </c>
      <c r="I1198" s="225"/>
      <c r="J1198" s="225"/>
      <c r="K1198" s="242">
        <f>G1198*H1198</f>
        <v>3.1460000000000004</v>
      </c>
    </row>
    <row r="1199" spans="1:11">
      <c r="A1199" s="358"/>
      <c r="B1199" s="359"/>
      <c r="C1199" s="359"/>
      <c r="D1199" s="359"/>
      <c r="E1199" s="359"/>
      <c r="F1199" s="359"/>
      <c r="G1199" s="359"/>
      <c r="H1199" s="359"/>
      <c r="I1199" s="359"/>
      <c r="J1199" s="360" t="s">
        <v>48</v>
      </c>
      <c r="K1199" s="361">
        <f>SUM(K1197:K1198)</f>
        <v>8.1509999999999998</v>
      </c>
    </row>
    <row r="1200" spans="1:11">
      <c r="A1200" s="354" t="s">
        <v>49</v>
      </c>
      <c r="B1200" s="355" t="s">
        <v>11308</v>
      </c>
      <c r="C1200" s="355" t="s">
        <v>17663</v>
      </c>
      <c r="D1200" s="355" t="s">
        <v>0</v>
      </c>
      <c r="E1200" s="355" t="s">
        <v>14</v>
      </c>
      <c r="F1200" s="355" t="s">
        <v>50</v>
      </c>
      <c r="G1200" s="355" t="s">
        <v>29</v>
      </c>
      <c r="H1200" s="355" t="s">
        <v>30</v>
      </c>
      <c r="I1200" s="355"/>
      <c r="J1200" s="355"/>
      <c r="K1200" s="355" t="s">
        <v>33</v>
      </c>
    </row>
    <row r="1201" spans="1:11">
      <c r="A1201" s="222" t="s">
        <v>74</v>
      </c>
      <c r="B1201" s="225"/>
      <c r="C1201" s="225"/>
      <c r="D1201" s="225">
        <v>29990</v>
      </c>
      <c r="E1201" s="243">
        <v>5</v>
      </c>
      <c r="F1201" s="225" t="s">
        <v>32</v>
      </c>
      <c r="G1201" s="225"/>
      <c r="H1201" s="225"/>
      <c r="I1201" s="225"/>
      <c r="J1201" s="225"/>
      <c r="K1201" s="242">
        <f>TRUNC(K1199*E1201/100,2)</f>
        <v>0.4</v>
      </c>
    </row>
    <row r="1202" spans="1:11">
      <c r="A1202" s="358"/>
      <c r="B1202" s="359"/>
      <c r="C1202" s="359"/>
      <c r="D1202" s="359"/>
      <c r="E1202" s="359"/>
      <c r="F1202" s="359"/>
      <c r="G1202" s="359"/>
      <c r="H1202" s="359"/>
      <c r="I1202" s="359"/>
      <c r="J1202" s="360" t="s">
        <v>51</v>
      </c>
      <c r="K1202" s="361">
        <f>SUM(K1201:K1201)</f>
        <v>0.4</v>
      </c>
    </row>
    <row r="1203" spans="1:11">
      <c r="A1203" s="568" t="s">
        <v>52</v>
      </c>
      <c r="B1203" s="568"/>
      <c r="C1203" s="568"/>
      <c r="D1203" s="568"/>
      <c r="E1203" s="568"/>
      <c r="F1203" s="568"/>
      <c r="G1203" s="568"/>
      <c r="H1203" s="568"/>
      <c r="I1203" s="568"/>
      <c r="J1203" s="568"/>
      <c r="K1203" s="361">
        <f>K1195+K1199+K1202</f>
        <v>8.5510000000000002</v>
      </c>
    </row>
    <row r="1204" spans="1:11">
      <c r="A1204" s="568" t="s">
        <v>53</v>
      </c>
      <c r="B1204" s="568"/>
      <c r="C1204" s="568"/>
      <c r="D1204" s="568"/>
      <c r="E1204" s="568"/>
      <c r="F1204" s="568"/>
      <c r="G1204" s="568"/>
      <c r="H1204" s="568"/>
      <c r="I1204" s="568"/>
      <c r="J1204" s="568"/>
      <c r="K1204" s="361">
        <v>1</v>
      </c>
    </row>
    <row r="1205" spans="1:11">
      <c r="A1205" s="566" t="s">
        <v>54</v>
      </c>
      <c r="B1205" s="566"/>
      <c r="C1205" s="566"/>
      <c r="D1205" s="566"/>
      <c r="E1205" s="566"/>
      <c r="F1205" s="566"/>
      <c r="G1205" s="566"/>
      <c r="H1205" s="566"/>
      <c r="I1205" s="566"/>
      <c r="J1205" s="566"/>
      <c r="K1205" s="362">
        <f>IF(K1203=0,0,K1203/K1204)</f>
        <v>8.5510000000000002</v>
      </c>
    </row>
    <row r="1206" spans="1:11">
      <c r="A1206" s="354" t="s">
        <v>55</v>
      </c>
      <c r="B1206" s="355" t="s">
        <v>11308</v>
      </c>
      <c r="C1206" s="355" t="s">
        <v>17663</v>
      </c>
      <c r="D1206" s="355" t="s">
        <v>0</v>
      </c>
      <c r="E1206" s="355" t="s">
        <v>2</v>
      </c>
      <c r="F1206" s="567" t="s">
        <v>9</v>
      </c>
      <c r="G1206" s="567"/>
      <c r="H1206" s="567" t="s">
        <v>25</v>
      </c>
      <c r="I1206" s="567"/>
      <c r="J1206" s="355"/>
      <c r="K1206" s="355" t="s">
        <v>56</v>
      </c>
    </row>
    <row r="1207" spans="1:11">
      <c r="A1207" s="222" t="str">
        <f>VLOOKUP(D1207,'23. CUSTOS COTAÇÕES DE MERCADO'!A:B,2,0)</f>
        <v>Conector Pierce IP-66 10mm²</v>
      </c>
      <c r="B1207" s="225" t="s">
        <v>22707</v>
      </c>
      <c r="C1207" s="225" t="s">
        <v>22709</v>
      </c>
      <c r="D1207" s="225" t="s">
        <v>64</v>
      </c>
      <c r="E1207" s="372" t="str">
        <f>VLOOKUP(D1207,'23. CUSTOS COTAÇÕES DE MERCADO'!A:D,4,0)</f>
        <v>UN</v>
      </c>
      <c r="F1207" s="225"/>
      <c r="G1207" s="224">
        <f>VLOOKUP(D1207,'23. CUSTOS COTAÇÕES DE MERCADO'!A:F,6,0)</f>
        <v>10.47</v>
      </c>
      <c r="H1207" s="241"/>
      <c r="I1207" s="241">
        <v>1</v>
      </c>
      <c r="J1207" s="225"/>
      <c r="K1207" s="242">
        <f>G1207*I1207</f>
        <v>10.47</v>
      </c>
    </row>
    <row r="1208" spans="1:11">
      <c r="A1208" s="364"/>
      <c r="B1208" s="365"/>
      <c r="C1208" s="365"/>
      <c r="D1208" s="365"/>
      <c r="E1208" s="365"/>
      <c r="F1208" s="365"/>
      <c r="G1208" s="365"/>
      <c r="H1208" s="365"/>
      <c r="I1208" s="365"/>
      <c r="J1208" s="366" t="s">
        <v>57</v>
      </c>
      <c r="K1208" s="362">
        <f>SUM(K1207:K1207)</f>
        <v>10.47</v>
      </c>
    </row>
    <row r="1209" spans="1:11">
      <c r="A1209" s="354" t="s">
        <v>58</v>
      </c>
      <c r="B1209" s="355" t="s">
        <v>11308</v>
      </c>
      <c r="C1209" s="355" t="s">
        <v>17663</v>
      </c>
      <c r="D1209" s="355" t="s">
        <v>0</v>
      </c>
      <c r="E1209" s="355" t="s">
        <v>2</v>
      </c>
      <c r="F1209" s="567" t="s">
        <v>9</v>
      </c>
      <c r="G1209" s="567"/>
      <c r="H1209" s="567" t="s">
        <v>25</v>
      </c>
      <c r="I1209" s="567"/>
      <c r="J1209" s="355"/>
      <c r="K1209" s="355" t="s">
        <v>56</v>
      </c>
    </row>
    <row r="1210" spans="1:11">
      <c r="A1210" s="222"/>
      <c r="B1210" s="225"/>
      <c r="C1210" s="225"/>
      <c r="D1210" s="225"/>
      <c r="E1210" s="225"/>
      <c r="F1210" s="225"/>
      <c r="G1210" s="224"/>
      <c r="H1210" s="241"/>
      <c r="I1210" s="240"/>
      <c r="J1210" s="241"/>
      <c r="K1210" s="242"/>
    </row>
    <row r="1211" spans="1:11">
      <c r="A1211" s="222"/>
      <c r="B1211" s="225"/>
      <c r="C1211" s="225"/>
      <c r="D1211" s="225"/>
      <c r="E1211" s="225"/>
      <c r="F1211" s="225"/>
      <c r="G1211" s="224"/>
      <c r="H1211" s="241"/>
      <c r="I1211" s="240"/>
      <c r="J1211" s="241"/>
      <c r="K1211" s="242"/>
    </row>
    <row r="1212" spans="1:11">
      <c r="A1212" s="364"/>
      <c r="B1212" s="365"/>
      <c r="C1212" s="365"/>
      <c r="D1212" s="365"/>
      <c r="E1212" s="365"/>
      <c r="F1212" s="365"/>
      <c r="G1212" s="365"/>
      <c r="H1212" s="365"/>
      <c r="I1212" s="365"/>
      <c r="J1212" s="366" t="s">
        <v>59</v>
      </c>
      <c r="K1212" s="362">
        <f>SUM(K1210:K1211)</f>
        <v>0</v>
      </c>
    </row>
    <row r="1213" spans="1:11">
      <c r="E1213" s="367"/>
      <c r="F1213" s="367"/>
      <c r="G1213" s="367"/>
      <c r="H1213" s="367"/>
      <c r="I1213" s="367"/>
      <c r="J1213" s="368"/>
      <c r="K1213" s="369"/>
    </row>
    <row r="1214" spans="1:11">
      <c r="E1214" s="367"/>
      <c r="F1214" s="367"/>
      <c r="G1214" s="367"/>
      <c r="H1214" s="367"/>
      <c r="I1214" s="367"/>
      <c r="J1214" s="368"/>
      <c r="K1214" s="369"/>
    </row>
    <row r="1215" spans="1:11">
      <c r="A1215" s="337" t="s">
        <v>22682</v>
      </c>
      <c r="B1215" s="337" t="s">
        <v>371</v>
      </c>
      <c r="C1215" s="370" t="s">
        <v>330</v>
      </c>
      <c r="D1215" s="563" t="s">
        <v>317</v>
      </c>
      <c r="E1215" s="563"/>
      <c r="F1215" s="563"/>
      <c r="G1215" s="563"/>
      <c r="H1215" s="563"/>
      <c r="I1215" s="563"/>
      <c r="J1215" s="253" t="s">
        <v>17667</v>
      </c>
      <c r="K1215" s="373">
        <f>K1230+K1234+K1238</f>
        <v>1142.8080376666667</v>
      </c>
    </row>
    <row r="1216" spans="1:11">
      <c r="A1216" s="354" t="s">
        <v>27</v>
      </c>
      <c r="B1216" s="355" t="s">
        <v>11308</v>
      </c>
      <c r="C1216" s="355" t="s">
        <v>17663</v>
      </c>
      <c r="D1216" s="355" t="s">
        <v>0</v>
      </c>
      <c r="E1216" s="355" t="s">
        <v>1</v>
      </c>
      <c r="F1216" s="355" t="s">
        <v>39</v>
      </c>
      <c r="G1216" s="355" t="s">
        <v>40</v>
      </c>
      <c r="H1216" s="355" t="s">
        <v>41</v>
      </c>
      <c r="I1216" s="355" t="s">
        <v>42</v>
      </c>
      <c r="J1216" s="355"/>
      <c r="K1216" s="355" t="s">
        <v>43</v>
      </c>
    </row>
    <row r="1217" spans="1:11">
      <c r="A1217" s="222" t="str">
        <f>VLOOKUP(D1217,'17. CUSTOS DER - EQUIPAMENTOS'!A:B,2,0)</f>
        <v>CAMINHÃO C/ GUINDAUTO</v>
      </c>
      <c r="B1217" s="225" t="s">
        <v>9013</v>
      </c>
      <c r="C1217" s="225" t="s">
        <v>22635</v>
      </c>
      <c r="D1217" s="225">
        <v>346020</v>
      </c>
      <c r="E1217" s="356">
        <v>1</v>
      </c>
      <c r="F1217" s="241">
        <v>0.23880000000000001</v>
      </c>
      <c r="G1217" s="356">
        <v>0.76119999999999999</v>
      </c>
      <c r="H1217" s="242">
        <f>VLOOKUP(D1217,'17. CUSTOS DER - EQUIPAMENTOS'!A:O,15,0)</f>
        <v>279.58</v>
      </c>
      <c r="I1217" s="242">
        <f>VLOOKUP(D1217,'17. CUSTOS DER - EQUIPAMENTOS'!A:P,16,0)</f>
        <v>98.13</v>
      </c>
      <c r="J1217" s="225"/>
      <c r="K1217" s="242">
        <f>((F1217*H1217)+(G1217*I1217))*E1217</f>
        <v>141.46026000000001</v>
      </c>
    </row>
    <row r="1218" spans="1:11">
      <c r="A1218" s="222"/>
      <c r="B1218" s="225"/>
      <c r="C1218" s="225"/>
      <c r="D1218" s="225"/>
      <c r="E1218" s="225"/>
      <c r="F1218" s="225"/>
      <c r="G1218" s="224"/>
      <c r="H1218" s="241"/>
      <c r="I1218" s="240"/>
      <c r="J1218" s="241"/>
      <c r="K1218" s="242"/>
    </row>
    <row r="1219" spans="1:11">
      <c r="A1219" s="358"/>
      <c r="B1219" s="359"/>
      <c r="C1219" s="359"/>
      <c r="D1219" s="359"/>
      <c r="E1219" s="359"/>
      <c r="F1219" s="359"/>
      <c r="G1219" s="359"/>
      <c r="H1219" s="359"/>
      <c r="I1219" s="359"/>
      <c r="J1219" s="360" t="s">
        <v>44</v>
      </c>
      <c r="K1219" s="361">
        <f>SUM(K1217:K1217)</f>
        <v>141.46026000000001</v>
      </c>
    </row>
    <row r="1220" spans="1:11">
      <c r="A1220" s="354" t="s">
        <v>45</v>
      </c>
      <c r="B1220" s="355" t="s">
        <v>11308</v>
      </c>
      <c r="C1220" s="355" t="s">
        <v>17663</v>
      </c>
      <c r="D1220" s="355" t="s">
        <v>0</v>
      </c>
      <c r="E1220" s="355" t="s">
        <v>36</v>
      </c>
      <c r="F1220" s="355" t="s">
        <v>46</v>
      </c>
      <c r="G1220" s="355" t="s">
        <v>47</v>
      </c>
      <c r="H1220" s="355" t="s">
        <v>25</v>
      </c>
      <c r="I1220" s="355"/>
      <c r="J1220" s="355"/>
      <c r="K1220" s="355" t="s">
        <v>43</v>
      </c>
    </row>
    <row r="1221" spans="1:11">
      <c r="A1221" s="222" t="str">
        <f>VLOOKUP(D1221,'15. CUSTOS DER - MÃO DE OBRA'!A:B,2,0)</f>
        <v>ELETRICISTA</v>
      </c>
      <c r="B1221" s="225" t="s">
        <v>9013</v>
      </c>
      <c r="C1221" s="225" t="s">
        <v>17664</v>
      </c>
      <c r="D1221" s="225">
        <v>210150</v>
      </c>
      <c r="E1221" s="242">
        <f>VLOOKUP(D1221,'15. CUSTOS DER - MÃO DE OBRA'!A:C,3,0)</f>
        <v>3.5</v>
      </c>
      <c r="F1221" s="225"/>
      <c r="G1221" s="225">
        <f>VLOOKUP(D1221,'15. CUSTOS DER - MÃO DE OBRA'!A:D,4,0)</f>
        <v>50.05</v>
      </c>
      <c r="H1221" s="356">
        <v>0.23810000000000001</v>
      </c>
      <c r="I1221" s="225"/>
      <c r="J1221" s="225"/>
      <c r="K1221" s="242">
        <f>G1221*H1221</f>
        <v>11.916905</v>
      </c>
    </row>
    <row r="1222" spans="1:11">
      <c r="A1222" s="222" t="str">
        <f>VLOOKUP(D1222,'15. CUSTOS DER - MÃO DE OBRA'!A:B,2,0)</f>
        <v>SERVENTE</v>
      </c>
      <c r="B1222" s="225" t="s">
        <v>9013</v>
      </c>
      <c r="C1222" s="225" t="s">
        <v>17664</v>
      </c>
      <c r="D1222" s="225">
        <v>200130</v>
      </c>
      <c r="E1222" s="242">
        <f>VLOOKUP(D1222,'15. CUSTOS DER - MÃO DE OBRA'!A:C,3,0)</f>
        <v>2.2000000000000002</v>
      </c>
      <c r="F1222" s="225"/>
      <c r="G1222" s="225">
        <f>VLOOKUP(D1222,'15. CUSTOS DER - MÃO DE OBRA'!A:D,4,0)</f>
        <v>31.46</v>
      </c>
      <c r="H1222" s="356">
        <v>0.23810000000000001</v>
      </c>
      <c r="I1222" s="225"/>
      <c r="J1222" s="225"/>
      <c r="K1222" s="242">
        <f>G1222*H1222</f>
        <v>7.4906260000000007</v>
      </c>
    </row>
    <row r="1223" spans="1:11">
      <c r="A1223" s="358"/>
      <c r="B1223" s="359"/>
      <c r="C1223" s="359"/>
      <c r="D1223" s="359"/>
      <c r="E1223" s="359"/>
      <c r="F1223" s="359"/>
      <c r="G1223" s="359"/>
      <c r="H1223" s="359"/>
      <c r="I1223" s="359"/>
      <c r="J1223" s="360" t="s">
        <v>48</v>
      </c>
      <c r="K1223" s="361">
        <f>SUM(K1221:K1222)</f>
        <v>19.407530999999999</v>
      </c>
    </row>
    <row r="1224" spans="1:11">
      <c r="A1224" s="354" t="s">
        <v>49</v>
      </c>
      <c r="B1224" s="355" t="s">
        <v>11308</v>
      </c>
      <c r="C1224" s="355" t="s">
        <v>17663</v>
      </c>
      <c r="D1224" s="355" t="s">
        <v>0</v>
      </c>
      <c r="E1224" s="355" t="s">
        <v>14</v>
      </c>
      <c r="F1224" s="355" t="s">
        <v>50</v>
      </c>
      <c r="G1224" s="355" t="s">
        <v>29</v>
      </c>
      <c r="H1224" s="355" t="s">
        <v>30</v>
      </c>
      <c r="I1224" s="355"/>
      <c r="J1224" s="355"/>
      <c r="K1224" s="355" t="s">
        <v>33</v>
      </c>
    </row>
    <row r="1225" spans="1:11">
      <c r="A1225" s="222" t="s">
        <v>74</v>
      </c>
      <c r="B1225" s="225"/>
      <c r="C1225" s="225"/>
      <c r="D1225" s="225">
        <v>29990</v>
      </c>
      <c r="E1225" s="243">
        <v>5</v>
      </c>
      <c r="F1225" s="225" t="s">
        <v>32</v>
      </c>
      <c r="G1225" s="225"/>
      <c r="H1225" s="225"/>
      <c r="I1225" s="225"/>
      <c r="J1225" s="225"/>
      <c r="K1225" s="242">
        <f>TRUNC(K1223*E1225/100,2)</f>
        <v>0.97</v>
      </c>
    </row>
    <row r="1226" spans="1:11">
      <c r="A1226" s="222"/>
      <c r="B1226" s="225"/>
      <c r="C1226" s="225"/>
      <c r="D1226" s="225"/>
      <c r="E1226" s="225"/>
      <c r="F1226" s="225"/>
      <c r="G1226" s="224"/>
      <c r="H1226" s="241"/>
      <c r="I1226" s="240"/>
      <c r="J1226" s="241"/>
      <c r="K1226" s="242"/>
    </row>
    <row r="1227" spans="1:11">
      <c r="A1227" s="358"/>
      <c r="B1227" s="359"/>
      <c r="C1227" s="359"/>
      <c r="D1227" s="359"/>
      <c r="E1227" s="359"/>
      <c r="F1227" s="359"/>
      <c r="G1227" s="359"/>
      <c r="H1227" s="359"/>
      <c r="I1227" s="359"/>
      <c r="J1227" s="360" t="s">
        <v>51</v>
      </c>
      <c r="K1227" s="361">
        <f>SUM(K1225:K1225)</f>
        <v>0.97</v>
      </c>
    </row>
    <row r="1228" spans="1:11">
      <c r="A1228" s="568" t="s">
        <v>52</v>
      </c>
      <c r="B1228" s="568"/>
      <c r="C1228" s="568"/>
      <c r="D1228" s="568"/>
      <c r="E1228" s="568"/>
      <c r="F1228" s="568"/>
      <c r="G1228" s="568"/>
      <c r="H1228" s="568"/>
      <c r="I1228" s="568"/>
      <c r="J1228" s="568"/>
      <c r="K1228" s="361">
        <f>K1219+K1223+K1227</f>
        <v>161.83779100000001</v>
      </c>
    </row>
    <row r="1229" spans="1:11">
      <c r="A1229" s="568" t="s">
        <v>53</v>
      </c>
      <c r="B1229" s="568"/>
      <c r="C1229" s="568"/>
      <c r="D1229" s="568"/>
      <c r="E1229" s="568"/>
      <c r="F1229" s="568"/>
      <c r="G1229" s="568"/>
      <c r="H1229" s="568"/>
      <c r="I1229" s="568"/>
      <c r="J1229" s="568"/>
      <c r="K1229" s="361">
        <v>1</v>
      </c>
    </row>
    <row r="1230" spans="1:11">
      <c r="A1230" s="566" t="s">
        <v>54</v>
      </c>
      <c r="B1230" s="566"/>
      <c r="C1230" s="566"/>
      <c r="D1230" s="566"/>
      <c r="E1230" s="566"/>
      <c r="F1230" s="566"/>
      <c r="G1230" s="566"/>
      <c r="H1230" s="566"/>
      <c r="I1230" s="566"/>
      <c r="J1230" s="566"/>
      <c r="K1230" s="362">
        <f>IF(K1228=0,0,K1228/K1229)</f>
        <v>161.83779100000001</v>
      </c>
    </row>
    <row r="1231" spans="1:11">
      <c r="A1231" s="354" t="s">
        <v>55</v>
      </c>
      <c r="B1231" s="355" t="s">
        <v>11308</v>
      </c>
      <c r="C1231" s="355" t="s">
        <v>17663</v>
      </c>
      <c r="D1231" s="355" t="s">
        <v>0</v>
      </c>
      <c r="E1231" s="355" t="s">
        <v>2</v>
      </c>
      <c r="F1231" s="567" t="s">
        <v>9</v>
      </c>
      <c r="G1231" s="567"/>
      <c r="H1231" s="567" t="s">
        <v>25</v>
      </c>
      <c r="I1231" s="567"/>
      <c r="J1231" s="355"/>
      <c r="K1231" s="355" t="s">
        <v>56</v>
      </c>
    </row>
    <row r="1232" spans="1:11" ht="47.25">
      <c r="A1232" s="222" t="str">
        <f>VLOOKUP(D1232,'23. CUSTOS COTAÇÕES DE MERCADO'!A:B,2,0)</f>
        <v>Luminária LED externa, com 01 lampada LED 70W, com driver multitensão (100A 250V) integrado, com acessório de fixação, cor 3000K com fotocontrolador</v>
      </c>
      <c r="B1232" s="225" t="s">
        <v>22707</v>
      </c>
      <c r="C1232" s="225" t="s">
        <v>22709</v>
      </c>
      <c r="D1232" s="225" t="s">
        <v>65</v>
      </c>
      <c r="E1232" s="372" t="str">
        <f>VLOOKUP(D1232,'23. CUSTOS COTAÇÕES DE MERCADO'!A:D,4,0)</f>
        <v>UN</v>
      </c>
      <c r="F1232" s="225"/>
      <c r="G1232" s="224">
        <f>VLOOKUP(D1232,'23. CUSTOS COTAÇÕES DE MERCADO'!A:F,6,0)</f>
        <v>980.88666666666666</v>
      </c>
      <c r="H1232" s="241"/>
      <c r="I1232" s="241">
        <v>1</v>
      </c>
      <c r="J1232" s="225"/>
      <c r="K1232" s="242">
        <f>G1232*I1232</f>
        <v>980.88666666666666</v>
      </c>
    </row>
    <row r="1233" spans="1:11" ht="31.5">
      <c r="A1233" s="222" t="str">
        <f>VLOOKUP(D1233,'22. CUSTOS SINAPI - MATERIAIS'!A:B,2,0)</f>
        <v>FITA ISOLANTE ADESIVA ANTICHAMA, USO ATE 750 V, EM ROLO DE 19 MM X 5 M</v>
      </c>
      <c r="B1233" s="225" t="s">
        <v>9008</v>
      </c>
      <c r="C1233" s="225" t="s">
        <v>68</v>
      </c>
      <c r="D1233" s="379">
        <v>21127</v>
      </c>
      <c r="E1233" s="372" t="str">
        <f>VLOOKUP(D1233,'22. CUSTOS SINAPI - MATERIAIS'!A:C,3,0)</f>
        <v xml:space="preserve">UN    </v>
      </c>
      <c r="F1233" s="225"/>
      <c r="G1233" s="224">
        <f>VLOOKUP(D1233,'22. CUSTOS SINAPI - MATERIAIS'!A:D,4,0)</f>
        <v>5.97</v>
      </c>
      <c r="H1233" s="241"/>
      <c r="I1233" s="241">
        <v>1.4E-2</v>
      </c>
      <c r="J1233" s="225"/>
      <c r="K1233" s="242">
        <f>G1233*I1233</f>
        <v>8.3580000000000002E-2</v>
      </c>
    </row>
    <row r="1234" spans="1:11">
      <c r="A1234" s="364"/>
      <c r="B1234" s="365"/>
      <c r="C1234" s="365"/>
      <c r="D1234" s="365"/>
      <c r="E1234" s="365"/>
      <c r="F1234" s="365"/>
      <c r="G1234" s="365"/>
      <c r="H1234" s="365"/>
      <c r="I1234" s="365"/>
      <c r="J1234" s="366" t="s">
        <v>57</v>
      </c>
      <c r="K1234" s="362">
        <f>SUM(K1232:K1233)</f>
        <v>980.97024666666664</v>
      </c>
    </row>
    <row r="1235" spans="1:11">
      <c r="A1235" s="354" t="s">
        <v>58</v>
      </c>
      <c r="B1235" s="355" t="s">
        <v>11308</v>
      </c>
      <c r="C1235" s="355" t="s">
        <v>17663</v>
      </c>
      <c r="D1235" s="355" t="s">
        <v>0</v>
      </c>
      <c r="E1235" s="355" t="s">
        <v>2</v>
      </c>
      <c r="F1235" s="567" t="s">
        <v>9</v>
      </c>
      <c r="G1235" s="567"/>
      <c r="H1235" s="567" t="s">
        <v>25</v>
      </c>
      <c r="I1235" s="567"/>
      <c r="J1235" s="355"/>
      <c r="K1235" s="355" t="s">
        <v>56</v>
      </c>
    </row>
    <row r="1236" spans="1:11">
      <c r="A1236" s="222"/>
      <c r="B1236" s="225"/>
      <c r="C1236" s="225"/>
      <c r="D1236" s="225"/>
      <c r="E1236" s="225"/>
      <c r="F1236" s="225"/>
      <c r="G1236" s="224"/>
      <c r="H1236" s="241"/>
      <c r="I1236" s="240"/>
      <c r="J1236" s="241"/>
      <c r="K1236" s="242"/>
    </row>
    <row r="1237" spans="1:11">
      <c r="A1237" s="222"/>
      <c r="B1237" s="225"/>
      <c r="C1237" s="225"/>
      <c r="D1237" s="225"/>
      <c r="E1237" s="225"/>
      <c r="F1237" s="225"/>
      <c r="G1237" s="224"/>
      <c r="H1237" s="241"/>
      <c r="I1237" s="240"/>
      <c r="J1237" s="241"/>
      <c r="K1237" s="242"/>
    </row>
    <row r="1238" spans="1:11">
      <c r="A1238" s="364"/>
      <c r="B1238" s="365"/>
      <c r="C1238" s="365"/>
      <c r="D1238" s="365"/>
      <c r="E1238" s="365"/>
      <c r="F1238" s="365"/>
      <c r="G1238" s="365"/>
      <c r="H1238" s="365"/>
      <c r="I1238" s="365"/>
      <c r="J1238" s="366" t="s">
        <v>59</v>
      </c>
      <c r="K1238" s="362">
        <f>SUM(K1236:K1237)</f>
        <v>0</v>
      </c>
    </row>
    <row r="1239" spans="1:11">
      <c r="E1239" s="367"/>
      <c r="F1239" s="367"/>
      <c r="G1239" s="367"/>
      <c r="H1239" s="367"/>
      <c r="I1239" s="367"/>
      <c r="J1239" s="368"/>
      <c r="K1239" s="369"/>
    </row>
    <row r="1240" spans="1:11">
      <c r="E1240" s="367"/>
      <c r="F1240" s="367"/>
      <c r="G1240" s="367"/>
      <c r="H1240" s="367"/>
      <c r="I1240" s="367"/>
      <c r="J1240" s="368"/>
      <c r="K1240" s="369"/>
    </row>
    <row r="1241" spans="1:11">
      <c r="A1241" s="337" t="s">
        <v>22683</v>
      </c>
      <c r="B1241" s="337" t="s">
        <v>371</v>
      </c>
      <c r="C1241" s="370" t="s">
        <v>330</v>
      </c>
      <c r="D1241" s="563" t="s">
        <v>318</v>
      </c>
      <c r="E1241" s="563"/>
      <c r="F1241" s="563"/>
      <c r="G1241" s="563"/>
      <c r="H1241" s="563"/>
      <c r="I1241" s="563"/>
      <c r="J1241" s="253" t="s">
        <v>17667</v>
      </c>
      <c r="K1241" s="373">
        <f>K1256+K1260+K1264</f>
        <v>352.67982333333339</v>
      </c>
    </row>
    <row r="1242" spans="1:11">
      <c r="A1242" s="354" t="s">
        <v>27</v>
      </c>
      <c r="B1242" s="355" t="s">
        <v>11308</v>
      </c>
      <c r="C1242" s="355" t="s">
        <v>17663</v>
      </c>
      <c r="D1242" s="355" t="s">
        <v>0</v>
      </c>
      <c r="E1242" s="355" t="s">
        <v>1</v>
      </c>
      <c r="F1242" s="355" t="s">
        <v>39</v>
      </c>
      <c r="G1242" s="355" t="s">
        <v>40</v>
      </c>
      <c r="H1242" s="355" t="s">
        <v>41</v>
      </c>
      <c r="I1242" s="355" t="s">
        <v>42</v>
      </c>
      <c r="J1242" s="355"/>
      <c r="K1242" s="355" t="s">
        <v>43</v>
      </c>
    </row>
    <row r="1243" spans="1:11">
      <c r="A1243" s="222" t="str">
        <f>VLOOKUP(D1243,'17. CUSTOS DER - EQUIPAMENTOS'!A:B,2,0)</f>
        <v>CAMINHÃO C/ GUINDAUTO</v>
      </c>
      <c r="B1243" s="225" t="s">
        <v>9013</v>
      </c>
      <c r="C1243" s="225" t="s">
        <v>22635</v>
      </c>
      <c r="D1243" s="225">
        <v>346020</v>
      </c>
      <c r="E1243" s="356">
        <v>1</v>
      </c>
      <c r="F1243" s="241">
        <v>0.23880000000000001</v>
      </c>
      <c r="G1243" s="356">
        <v>0.76119999999999999</v>
      </c>
      <c r="H1243" s="242">
        <f>VLOOKUP(D1243,'17. CUSTOS DER - EQUIPAMENTOS'!A:O,15,0)</f>
        <v>279.58</v>
      </c>
      <c r="I1243" s="242">
        <f>VLOOKUP(D1243,'17. CUSTOS DER - EQUIPAMENTOS'!A:P,16,0)</f>
        <v>98.13</v>
      </c>
      <c r="J1243" s="225"/>
      <c r="K1243" s="242">
        <f>((F1243*H1243)+(G1243*I1243))*E1243</f>
        <v>141.46026000000001</v>
      </c>
    </row>
    <row r="1244" spans="1:11">
      <c r="A1244" s="222"/>
      <c r="B1244" s="225"/>
      <c r="C1244" s="225"/>
      <c r="D1244" s="225"/>
      <c r="E1244" s="225"/>
      <c r="F1244" s="225"/>
      <c r="G1244" s="224"/>
      <c r="H1244" s="241"/>
      <c r="I1244" s="240"/>
      <c r="J1244" s="241"/>
      <c r="K1244" s="242"/>
    </row>
    <row r="1245" spans="1:11">
      <c r="A1245" s="358"/>
      <c r="B1245" s="359"/>
      <c r="C1245" s="359"/>
      <c r="D1245" s="359"/>
      <c r="E1245" s="359"/>
      <c r="F1245" s="359"/>
      <c r="G1245" s="359"/>
      <c r="H1245" s="359"/>
      <c r="I1245" s="359"/>
      <c r="J1245" s="360" t="s">
        <v>44</v>
      </c>
      <c r="K1245" s="361">
        <f>SUM(K1243:K1243)</f>
        <v>141.46026000000001</v>
      </c>
    </row>
    <row r="1246" spans="1:11">
      <c r="A1246" s="354" t="s">
        <v>45</v>
      </c>
      <c r="B1246" s="355" t="s">
        <v>11308</v>
      </c>
      <c r="C1246" s="355" t="s">
        <v>17663</v>
      </c>
      <c r="D1246" s="355" t="s">
        <v>0</v>
      </c>
      <c r="E1246" s="355" t="s">
        <v>36</v>
      </c>
      <c r="F1246" s="355" t="s">
        <v>46</v>
      </c>
      <c r="G1246" s="355" t="s">
        <v>47</v>
      </c>
      <c r="H1246" s="355" t="s">
        <v>25</v>
      </c>
      <c r="I1246" s="355"/>
      <c r="J1246" s="355"/>
      <c r="K1246" s="355" t="s">
        <v>43</v>
      </c>
    </row>
    <row r="1247" spans="1:11">
      <c r="A1247" s="222" t="str">
        <f>VLOOKUP(D1247,'15. CUSTOS DER - MÃO DE OBRA'!A:B,2,0)</f>
        <v>ELETRICISTA</v>
      </c>
      <c r="B1247" s="225" t="s">
        <v>9013</v>
      </c>
      <c r="C1247" s="225" t="s">
        <v>17664</v>
      </c>
      <c r="D1247" s="225">
        <v>210150</v>
      </c>
      <c r="E1247" s="242">
        <f>VLOOKUP(D1247,'15. CUSTOS DER - MÃO DE OBRA'!A:C,3,0)</f>
        <v>3.5</v>
      </c>
      <c r="F1247" s="225"/>
      <c r="G1247" s="225">
        <f>VLOOKUP(D1247,'15. CUSTOS DER - MÃO DE OBRA'!A:D,4,0)</f>
        <v>50.05</v>
      </c>
      <c r="H1247" s="356">
        <v>0.67300000000000004</v>
      </c>
      <c r="I1247" s="225"/>
      <c r="J1247" s="225"/>
      <c r="K1247" s="242">
        <f>G1247*H1247</f>
        <v>33.68365</v>
      </c>
    </row>
    <row r="1248" spans="1:11">
      <c r="A1248" s="222" t="str">
        <f>VLOOKUP(D1248,'15. CUSTOS DER - MÃO DE OBRA'!A:B,2,0)</f>
        <v>SERVENTE</v>
      </c>
      <c r="B1248" s="225" t="s">
        <v>9013</v>
      </c>
      <c r="C1248" s="225" t="s">
        <v>17664</v>
      </c>
      <c r="D1248" s="225">
        <v>200130</v>
      </c>
      <c r="E1248" s="242">
        <f>VLOOKUP(D1248,'15. CUSTOS DER - MÃO DE OBRA'!A:C,3,0)</f>
        <v>2.2000000000000002</v>
      </c>
      <c r="F1248" s="225"/>
      <c r="G1248" s="225">
        <f>VLOOKUP(D1248,'15. CUSTOS DER - MÃO DE OBRA'!A:D,4,0)</f>
        <v>31.46</v>
      </c>
      <c r="H1248" s="356">
        <v>0.67300000000000004</v>
      </c>
      <c r="I1248" s="225"/>
      <c r="J1248" s="225"/>
      <c r="K1248" s="242">
        <f>G1248*H1248</f>
        <v>21.172580000000004</v>
      </c>
    </row>
    <row r="1249" spans="1:11">
      <c r="A1249" s="358"/>
      <c r="B1249" s="359"/>
      <c r="C1249" s="359"/>
      <c r="D1249" s="359"/>
      <c r="E1249" s="359"/>
      <c r="F1249" s="359"/>
      <c r="G1249" s="359"/>
      <c r="H1249" s="359"/>
      <c r="I1249" s="359"/>
      <c r="J1249" s="360" t="s">
        <v>48</v>
      </c>
      <c r="K1249" s="361">
        <f>SUM(K1247:K1248)</f>
        <v>54.856230000000004</v>
      </c>
    </row>
    <row r="1250" spans="1:11">
      <c r="A1250" s="354" t="s">
        <v>49</v>
      </c>
      <c r="B1250" s="355" t="s">
        <v>11308</v>
      </c>
      <c r="C1250" s="355" t="s">
        <v>17663</v>
      </c>
      <c r="D1250" s="355" t="s">
        <v>0</v>
      </c>
      <c r="E1250" s="355" t="s">
        <v>14</v>
      </c>
      <c r="F1250" s="355" t="s">
        <v>50</v>
      </c>
      <c r="G1250" s="355" t="s">
        <v>29</v>
      </c>
      <c r="H1250" s="355" t="s">
        <v>30</v>
      </c>
      <c r="I1250" s="355"/>
      <c r="J1250" s="355"/>
      <c r="K1250" s="355" t="s">
        <v>33</v>
      </c>
    </row>
    <row r="1251" spans="1:11">
      <c r="A1251" s="222" t="s">
        <v>74</v>
      </c>
      <c r="B1251" s="225"/>
      <c r="C1251" s="225"/>
      <c r="D1251" s="225">
        <v>29990</v>
      </c>
      <c r="E1251" s="243">
        <v>5</v>
      </c>
      <c r="F1251" s="225" t="s">
        <v>32</v>
      </c>
      <c r="G1251" s="225"/>
      <c r="H1251" s="225"/>
      <c r="I1251" s="225"/>
      <c r="J1251" s="225"/>
      <c r="K1251" s="242">
        <f>TRUNC(K1249*E1251/100,2)</f>
        <v>2.74</v>
      </c>
    </row>
    <row r="1252" spans="1:11">
      <c r="A1252" s="222"/>
      <c r="B1252" s="225"/>
      <c r="C1252" s="225"/>
      <c r="D1252" s="225"/>
      <c r="E1252" s="225"/>
      <c r="F1252" s="225"/>
      <c r="G1252" s="224"/>
      <c r="H1252" s="241"/>
      <c r="I1252" s="240"/>
      <c r="J1252" s="241"/>
      <c r="K1252" s="242"/>
    </row>
    <row r="1253" spans="1:11">
      <c r="A1253" s="358"/>
      <c r="B1253" s="359"/>
      <c r="C1253" s="359"/>
      <c r="D1253" s="359"/>
      <c r="E1253" s="359"/>
      <c r="F1253" s="359"/>
      <c r="G1253" s="359"/>
      <c r="H1253" s="359"/>
      <c r="I1253" s="359"/>
      <c r="J1253" s="360" t="s">
        <v>51</v>
      </c>
      <c r="K1253" s="361">
        <f>SUM(K1251:K1251)</f>
        <v>2.74</v>
      </c>
    </row>
    <row r="1254" spans="1:11">
      <c r="A1254" s="568" t="s">
        <v>52</v>
      </c>
      <c r="B1254" s="568"/>
      <c r="C1254" s="568"/>
      <c r="D1254" s="568"/>
      <c r="E1254" s="568"/>
      <c r="F1254" s="568"/>
      <c r="G1254" s="568"/>
      <c r="H1254" s="568"/>
      <c r="I1254" s="568"/>
      <c r="J1254" s="568"/>
      <c r="K1254" s="361">
        <f>K1245+K1249+K1253</f>
        <v>199.05649000000003</v>
      </c>
    </row>
    <row r="1255" spans="1:11">
      <c r="A1255" s="568" t="s">
        <v>53</v>
      </c>
      <c r="B1255" s="568"/>
      <c r="C1255" s="568"/>
      <c r="D1255" s="568"/>
      <c r="E1255" s="568"/>
      <c r="F1255" s="568"/>
      <c r="G1255" s="568"/>
      <c r="H1255" s="568"/>
      <c r="I1255" s="568"/>
      <c r="J1255" s="568"/>
      <c r="K1255" s="361">
        <v>1</v>
      </c>
    </row>
    <row r="1256" spans="1:11">
      <c r="A1256" s="566" t="s">
        <v>54</v>
      </c>
      <c r="B1256" s="566"/>
      <c r="C1256" s="566"/>
      <c r="D1256" s="566"/>
      <c r="E1256" s="566"/>
      <c r="F1256" s="566"/>
      <c r="G1256" s="566"/>
      <c r="H1256" s="566"/>
      <c r="I1256" s="566"/>
      <c r="J1256" s="566"/>
      <c r="K1256" s="362">
        <f>IF(K1254=0,0,K1254/K1255)</f>
        <v>199.05649000000003</v>
      </c>
    </row>
    <row r="1257" spans="1:11">
      <c r="A1257" s="354" t="s">
        <v>55</v>
      </c>
      <c r="B1257" s="355" t="s">
        <v>11308</v>
      </c>
      <c r="C1257" s="355" t="s">
        <v>17663</v>
      </c>
      <c r="D1257" s="355" t="s">
        <v>0</v>
      </c>
      <c r="E1257" s="355" t="s">
        <v>2</v>
      </c>
      <c r="F1257" s="567" t="s">
        <v>9</v>
      </c>
      <c r="G1257" s="567"/>
      <c r="H1257" s="567" t="s">
        <v>25</v>
      </c>
      <c r="I1257" s="567"/>
      <c r="J1257" s="355"/>
      <c r="K1257" s="355" t="s">
        <v>56</v>
      </c>
    </row>
    <row r="1258" spans="1:11" ht="31.5">
      <c r="A1258" s="222" t="str">
        <f>VLOOKUP(D1258,'23. CUSTOS COTAÇÕES DE MERCADO'!A:B,2,0)</f>
        <v>Braco para Luminária Pública em ferro galvanizado, Ø25mm, comprimento de 2,00m</v>
      </c>
      <c r="B1258" s="225" t="s">
        <v>22707</v>
      </c>
      <c r="C1258" s="225" t="s">
        <v>22709</v>
      </c>
      <c r="D1258" s="225" t="s">
        <v>66</v>
      </c>
      <c r="E1258" s="372" t="str">
        <f>VLOOKUP(D1258,'23. CUSTOS COTAÇÕES DE MERCADO'!A:D,4,0)</f>
        <v>UN</v>
      </c>
      <c r="F1258" s="225"/>
      <c r="G1258" s="224">
        <f>VLOOKUP(D1258,'23. CUSTOS COTAÇÕES DE MERCADO'!A:F,6,0)</f>
        <v>153.62333333333333</v>
      </c>
      <c r="H1258" s="241"/>
      <c r="I1258" s="241">
        <v>1</v>
      </c>
      <c r="J1258" s="225"/>
      <c r="K1258" s="242">
        <f>G1258*I1258</f>
        <v>153.62333333333333</v>
      </c>
    </row>
    <row r="1259" spans="1:11">
      <c r="A1259" s="222"/>
      <c r="B1259" s="225"/>
      <c r="C1259" s="225"/>
      <c r="D1259" s="225"/>
      <c r="E1259" s="225"/>
      <c r="F1259" s="225"/>
      <c r="G1259" s="224"/>
      <c r="H1259" s="241"/>
      <c r="I1259" s="240"/>
      <c r="J1259" s="241"/>
      <c r="K1259" s="242"/>
    </row>
    <row r="1260" spans="1:11">
      <c r="A1260" s="364"/>
      <c r="B1260" s="365"/>
      <c r="C1260" s="365"/>
      <c r="D1260" s="365"/>
      <c r="E1260" s="365"/>
      <c r="F1260" s="365"/>
      <c r="G1260" s="365"/>
      <c r="H1260" s="365"/>
      <c r="I1260" s="365"/>
      <c r="J1260" s="366" t="s">
        <v>57</v>
      </c>
      <c r="K1260" s="362">
        <f>SUM(K1258:K1258)</f>
        <v>153.62333333333333</v>
      </c>
    </row>
    <row r="1261" spans="1:11">
      <c r="A1261" s="354" t="s">
        <v>58</v>
      </c>
      <c r="B1261" s="355" t="s">
        <v>11308</v>
      </c>
      <c r="C1261" s="355" t="s">
        <v>17663</v>
      </c>
      <c r="D1261" s="355" t="s">
        <v>0</v>
      </c>
      <c r="E1261" s="355" t="s">
        <v>2</v>
      </c>
      <c r="F1261" s="567" t="s">
        <v>9</v>
      </c>
      <c r="G1261" s="567"/>
      <c r="H1261" s="567" t="s">
        <v>25</v>
      </c>
      <c r="I1261" s="567"/>
      <c r="J1261" s="355"/>
      <c r="K1261" s="355" t="s">
        <v>56</v>
      </c>
    </row>
    <row r="1262" spans="1:11">
      <c r="A1262" s="222"/>
      <c r="B1262" s="225"/>
      <c r="C1262" s="225"/>
      <c r="D1262" s="225"/>
      <c r="E1262" s="225"/>
      <c r="F1262" s="225"/>
      <c r="G1262" s="224"/>
      <c r="H1262" s="241"/>
      <c r="I1262" s="240"/>
      <c r="J1262" s="241"/>
      <c r="K1262" s="242"/>
    </row>
    <row r="1263" spans="1:11">
      <c r="A1263" s="222"/>
      <c r="B1263" s="225"/>
      <c r="C1263" s="225"/>
      <c r="D1263" s="225"/>
      <c r="E1263" s="225"/>
      <c r="F1263" s="225"/>
      <c r="G1263" s="224"/>
      <c r="H1263" s="241"/>
      <c r="I1263" s="240"/>
      <c r="J1263" s="241"/>
      <c r="K1263" s="242"/>
    </row>
    <row r="1264" spans="1:11">
      <c r="A1264" s="364"/>
      <c r="B1264" s="365"/>
      <c r="C1264" s="365"/>
      <c r="D1264" s="365"/>
      <c r="E1264" s="365"/>
      <c r="F1264" s="365"/>
      <c r="G1264" s="365"/>
      <c r="H1264" s="365"/>
      <c r="I1264" s="365"/>
      <c r="J1264" s="366" t="s">
        <v>59</v>
      </c>
      <c r="K1264" s="362">
        <f>SUM(K1262:K1263)</f>
        <v>0</v>
      </c>
    </row>
    <row r="1265" spans="1:11">
      <c r="E1265" s="367"/>
      <c r="F1265" s="367"/>
      <c r="G1265" s="367"/>
      <c r="H1265" s="367"/>
      <c r="I1265" s="367"/>
      <c r="J1265" s="368"/>
      <c r="K1265" s="369"/>
    </row>
    <row r="1266" spans="1:11">
      <c r="E1266" s="367"/>
      <c r="F1266" s="367"/>
      <c r="G1266" s="367"/>
      <c r="H1266" s="367"/>
      <c r="I1266" s="367"/>
      <c r="J1266" s="368"/>
      <c r="K1266" s="369"/>
    </row>
    <row r="1267" spans="1:11">
      <c r="A1267" s="337" t="s">
        <v>22684</v>
      </c>
      <c r="B1267" s="337" t="s">
        <v>371</v>
      </c>
      <c r="C1267" s="370" t="s">
        <v>330</v>
      </c>
      <c r="D1267" s="563" t="s">
        <v>319</v>
      </c>
      <c r="E1267" s="563"/>
      <c r="F1267" s="563"/>
      <c r="G1267" s="563"/>
      <c r="H1267" s="563"/>
      <c r="I1267" s="563"/>
      <c r="J1267" s="253" t="s">
        <v>17667</v>
      </c>
      <c r="K1267" s="373">
        <f>K1286+K1282+K1290</f>
        <v>2838.8766300000002</v>
      </c>
    </row>
    <row r="1268" spans="1:11">
      <c r="A1268" s="354" t="s">
        <v>27</v>
      </c>
      <c r="B1268" s="355" t="s">
        <v>11308</v>
      </c>
      <c r="C1268" s="355" t="s">
        <v>17663</v>
      </c>
      <c r="D1268" s="355" t="s">
        <v>0</v>
      </c>
      <c r="E1268" s="355" t="s">
        <v>1</v>
      </c>
      <c r="F1268" s="355" t="s">
        <v>39</v>
      </c>
      <c r="G1268" s="355" t="s">
        <v>40</v>
      </c>
      <c r="H1268" s="355" t="s">
        <v>41</v>
      </c>
      <c r="I1268" s="355" t="s">
        <v>42</v>
      </c>
      <c r="J1268" s="355"/>
      <c r="K1268" s="355" t="s">
        <v>43</v>
      </c>
    </row>
    <row r="1269" spans="1:11">
      <c r="A1269" s="222" t="str">
        <f>VLOOKUP(D1269,'17. CUSTOS DER - EQUIPAMENTOS'!A:B,2,0)</f>
        <v>CAMINHÃO C/ GUINDAUTO</v>
      </c>
      <c r="B1269" s="225" t="s">
        <v>9013</v>
      </c>
      <c r="C1269" s="225" t="s">
        <v>22635</v>
      </c>
      <c r="D1269" s="225">
        <v>346020</v>
      </c>
      <c r="E1269" s="356">
        <v>1</v>
      </c>
      <c r="F1269" s="241">
        <v>8.1000000000000003E-2</v>
      </c>
      <c r="G1269" s="356">
        <v>0.91900000000000004</v>
      </c>
      <c r="H1269" s="242">
        <f>VLOOKUP(D1269,'17. CUSTOS DER - EQUIPAMENTOS'!A:O,15,0)</f>
        <v>279.58</v>
      </c>
      <c r="I1269" s="242">
        <f>VLOOKUP(D1269,'17. CUSTOS DER - EQUIPAMENTOS'!A:P,16,0)</f>
        <v>98.13</v>
      </c>
      <c r="J1269" s="225"/>
      <c r="K1269" s="242">
        <f>((F1269*H1269)+(G1269*I1269))*E1269</f>
        <v>112.82745</v>
      </c>
    </row>
    <row r="1270" spans="1:11">
      <c r="A1270" s="222"/>
      <c r="B1270" s="225"/>
      <c r="C1270" s="225"/>
      <c r="D1270" s="225"/>
      <c r="E1270" s="225"/>
      <c r="F1270" s="225"/>
      <c r="G1270" s="224"/>
      <c r="H1270" s="241"/>
      <c r="I1270" s="240"/>
      <c r="J1270" s="241"/>
      <c r="K1270" s="242"/>
    </row>
    <row r="1271" spans="1:11">
      <c r="A1271" s="358"/>
      <c r="B1271" s="359"/>
      <c r="C1271" s="359"/>
      <c r="D1271" s="359"/>
      <c r="E1271" s="359"/>
      <c r="F1271" s="359"/>
      <c r="G1271" s="359"/>
      <c r="H1271" s="359"/>
      <c r="I1271" s="359"/>
      <c r="J1271" s="360" t="s">
        <v>44</v>
      </c>
      <c r="K1271" s="361">
        <f>SUM(K1269:K1269)</f>
        <v>112.82745</v>
      </c>
    </row>
    <row r="1272" spans="1:11">
      <c r="A1272" s="354" t="s">
        <v>45</v>
      </c>
      <c r="B1272" s="355" t="s">
        <v>11308</v>
      </c>
      <c r="C1272" s="355" t="s">
        <v>17663</v>
      </c>
      <c r="D1272" s="355" t="s">
        <v>0</v>
      </c>
      <c r="E1272" s="355" t="s">
        <v>36</v>
      </c>
      <c r="F1272" s="355" t="s">
        <v>46</v>
      </c>
      <c r="G1272" s="355" t="s">
        <v>47</v>
      </c>
      <c r="H1272" s="355" t="s">
        <v>25</v>
      </c>
      <c r="I1272" s="355"/>
      <c r="J1272" s="355"/>
      <c r="K1272" s="355" t="s">
        <v>43</v>
      </c>
    </row>
    <row r="1273" spans="1:11">
      <c r="A1273" s="222" t="str">
        <f>VLOOKUP(D1273,'15. CUSTOS DER - MÃO DE OBRA'!A:B,2,0)</f>
        <v>ELETRICISTA</v>
      </c>
      <c r="B1273" s="225" t="s">
        <v>9013</v>
      </c>
      <c r="C1273" s="225" t="s">
        <v>17664</v>
      </c>
      <c r="D1273" s="225">
        <v>210150</v>
      </c>
      <c r="E1273" s="242">
        <f>VLOOKUP(D1273,'15. CUSTOS DER - MÃO DE OBRA'!A:C,3,0)</f>
        <v>3.5</v>
      </c>
      <c r="F1273" s="225"/>
      <c r="G1273" s="225">
        <f>VLOOKUP(D1273,'15. CUSTOS DER - MÃO DE OBRA'!A:D,4,0)</f>
        <v>50.05</v>
      </c>
      <c r="H1273" s="356">
        <v>9.5820000000000007</v>
      </c>
      <c r="I1273" s="225"/>
      <c r="J1273" s="225"/>
      <c r="K1273" s="242">
        <f>G1273*H1273</f>
        <v>479.57909999999998</v>
      </c>
    </row>
    <row r="1274" spans="1:11">
      <c r="A1274" s="222" t="str">
        <f>VLOOKUP(D1274,'15. CUSTOS DER - MÃO DE OBRA'!A:B,2,0)</f>
        <v>SERVENTE</v>
      </c>
      <c r="B1274" s="225" t="s">
        <v>9013</v>
      </c>
      <c r="C1274" s="225" t="s">
        <v>17664</v>
      </c>
      <c r="D1274" s="225">
        <v>200130</v>
      </c>
      <c r="E1274" s="242">
        <f>VLOOKUP(D1274,'15. CUSTOS DER - MÃO DE OBRA'!A:C,3,0)</f>
        <v>2.2000000000000002</v>
      </c>
      <c r="F1274" s="225"/>
      <c r="G1274" s="225">
        <f>VLOOKUP(D1274,'15. CUSTOS DER - MÃO DE OBRA'!A:D,4,0)</f>
        <v>31.46</v>
      </c>
      <c r="H1274" s="356">
        <v>2.948</v>
      </c>
      <c r="I1274" s="225"/>
      <c r="J1274" s="225"/>
      <c r="K1274" s="242">
        <f>G1274*H1274</f>
        <v>92.744079999999997</v>
      </c>
    </row>
    <row r="1275" spans="1:11">
      <c r="A1275" s="358"/>
      <c r="B1275" s="359"/>
      <c r="C1275" s="359"/>
      <c r="D1275" s="359"/>
      <c r="E1275" s="359"/>
      <c r="F1275" s="359"/>
      <c r="G1275" s="359"/>
      <c r="H1275" s="359"/>
      <c r="I1275" s="359"/>
      <c r="J1275" s="360" t="s">
        <v>48</v>
      </c>
      <c r="K1275" s="361">
        <f>SUM(K1273:K1274)</f>
        <v>572.32317999999998</v>
      </c>
    </row>
    <row r="1276" spans="1:11">
      <c r="A1276" s="354" t="s">
        <v>49</v>
      </c>
      <c r="B1276" s="355" t="s">
        <v>11308</v>
      </c>
      <c r="C1276" s="355" t="s">
        <v>17663</v>
      </c>
      <c r="D1276" s="355" t="s">
        <v>0</v>
      </c>
      <c r="E1276" s="355" t="s">
        <v>14</v>
      </c>
      <c r="F1276" s="355" t="s">
        <v>50</v>
      </c>
      <c r="G1276" s="355" t="s">
        <v>29</v>
      </c>
      <c r="H1276" s="355" t="s">
        <v>30</v>
      </c>
      <c r="I1276" s="355"/>
      <c r="J1276" s="355"/>
      <c r="K1276" s="355" t="s">
        <v>33</v>
      </c>
    </row>
    <row r="1277" spans="1:11">
      <c r="A1277" s="222" t="s">
        <v>74</v>
      </c>
      <c r="B1277" s="225"/>
      <c r="C1277" s="225"/>
      <c r="D1277" s="225">
        <v>29990</v>
      </c>
      <c r="E1277" s="243">
        <v>5</v>
      </c>
      <c r="F1277" s="225" t="s">
        <v>32</v>
      </c>
      <c r="G1277" s="225"/>
      <c r="H1277" s="225"/>
      <c r="I1277" s="225"/>
      <c r="J1277" s="225"/>
      <c r="K1277" s="242">
        <f>TRUNC(K1275*E1277/100,2)</f>
        <v>28.61</v>
      </c>
    </row>
    <row r="1278" spans="1:11">
      <c r="A1278" s="222"/>
      <c r="B1278" s="225"/>
      <c r="C1278" s="225"/>
      <c r="D1278" s="225"/>
      <c r="E1278" s="225"/>
      <c r="F1278" s="225"/>
      <c r="G1278" s="224"/>
      <c r="H1278" s="241"/>
      <c r="I1278" s="240"/>
      <c r="J1278" s="241"/>
      <c r="K1278" s="242"/>
    </row>
    <row r="1279" spans="1:11">
      <c r="A1279" s="358"/>
      <c r="B1279" s="359"/>
      <c r="C1279" s="359"/>
      <c r="D1279" s="359"/>
      <c r="E1279" s="359"/>
      <c r="F1279" s="359"/>
      <c r="G1279" s="359"/>
      <c r="H1279" s="359"/>
      <c r="I1279" s="359"/>
      <c r="J1279" s="360" t="s">
        <v>51</v>
      </c>
      <c r="K1279" s="361">
        <f>SUM(K1277:K1277)</f>
        <v>28.61</v>
      </c>
    </row>
    <row r="1280" spans="1:11">
      <c r="A1280" s="568" t="s">
        <v>52</v>
      </c>
      <c r="B1280" s="568"/>
      <c r="C1280" s="568"/>
      <c r="D1280" s="568"/>
      <c r="E1280" s="568"/>
      <c r="F1280" s="568"/>
      <c r="G1280" s="568"/>
      <c r="H1280" s="568"/>
      <c r="I1280" s="568"/>
      <c r="J1280" s="568"/>
      <c r="K1280" s="361">
        <f>K1271+K1275+K1279</f>
        <v>713.76062999999999</v>
      </c>
    </row>
    <row r="1281" spans="1:11">
      <c r="A1281" s="568" t="s">
        <v>53</v>
      </c>
      <c r="B1281" s="568"/>
      <c r="C1281" s="568"/>
      <c r="D1281" s="568"/>
      <c r="E1281" s="568"/>
      <c r="F1281" s="568"/>
      <c r="G1281" s="568"/>
      <c r="H1281" s="568"/>
      <c r="I1281" s="568"/>
      <c r="J1281" s="568"/>
      <c r="K1281" s="361">
        <v>1</v>
      </c>
    </row>
    <row r="1282" spans="1:11">
      <c r="A1282" s="566" t="s">
        <v>54</v>
      </c>
      <c r="B1282" s="566"/>
      <c r="C1282" s="566"/>
      <c r="D1282" s="566"/>
      <c r="E1282" s="566"/>
      <c r="F1282" s="566"/>
      <c r="G1282" s="566"/>
      <c r="H1282" s="566"/>
      <c r="I1282" s="566"/>
      <c r="J1282" s="566"/>
      <c r="K1282" s="362">
        <f>IF(K1280=0,0,K1280/K1281)</f>
        <v>713.76062999999999</v>
      </c>
    </row>
    <row r="1283" spans="1:11">
      <c r="A1283" s="354" t="s">
        <v>55</v>
      </c>
      <c r="B1283" s="355" t="s">
        <v>11308</v>
      </c>
      <c r="C1283" s="355" t="s">
        <v>17663</v>
      </c>
      <c r="D1283" s="355" t="s">
        <v>0</v>
      </c>
      <c r="E1283" s="355" t="s">
        <v>2</v>
      </c>
      <c r="F1283" s="567" t="s">
        <v>9</v>
      </c>
      <c r="G1283" s="567"/>
      <c r="H1283" s="567" t="s">
        <v>25</v>
      </c>
      <c r="I1283" s="567"/>
      <c r="J1283" s="355"/>
      <c r="K1283" s="355" t="s">
        <v>56</v>
      </c>
    </row>
    <row r="1284" spans="1:11" ht="31.5">
      <c r="A1284" s="222" t="str">
        <f>VLOOKUP(D1284,'22. CUSTOS SINAPI - MATERIAIS'!A:B,2,0)</f>
        <v>POSTE DE CONCRETO ARMADO DE SECAO DUPLO T, EXTENSAO DE 12,00 M, RESISTENCIA DE 600 DAN, TIPO B</v>
      </c>
      <c r="B1284" s="225" t="s">
        <v>9008</v>
      </c>
      <c r="C1284" s="225" t="s">
        <v>68</v>
      </c>
      <c r="D1284" s="225">
        <v>41209</v>
      </c>
      <c r="E1284" s="372" t="str">
        <f>VLOOKUP(D1284,'22. CUSTOS SINAPI - MATERIAIS'!A:C,3,0)</f>
        <v xml:space="preserve">UN    </v>
      </c>
      <c r="F1284" s="225"/>
      <c r="G1284" s="224">
        <f>VLOOKUP(D1284,'22. CUSTOS SINAPI - MATERIAIS'!A:D,4,0)</f>
        <v>1791.72</v>
      </c>
      <c r="H1284" s="241"/>
      <c r="I1284" s="241">
        <v>1</v>
      </c>
      <c r="J1284" s="225"/>
      <c r="K1284" s="242">
        <f>G1284*I1284</f>
        <v>1791.72</v>
      </c>
    </row>
    <row r="1285" spans="1:11">
      <c r="A1285" s="222"/>
      <c r="B1285" s="225"/>
      <c r="C1285" s="225"/>
      <c r="D1285" s="225"/>
      <c r="E1285" s="225"/>
      <c r="F1285" s="225"/>
      <c r="G1285" s="224"/>
      <c r="H1285" s="241"/>
      <c r="I1285" s="240"/>
      <c r="J1285" s="241"/>
      <c r="K1285" s="242"/>
    </row>
    <row r="1286" spans="1:11">
      <c r="A1286" s="364"/>
      <c r="B1286" s="365"/>
      <c r="C1286" s="365"/>
      <c r="D1286" s="365"/>
      <c r="E1286" s="365"/>
      <c r="F1286" s="365"/>
      <c r="G1286" s="365"/>
      <c r="H1286" s="365"/>
      <c r="I1286" s="365"/>
      <c r="J1286" s="366" t="s">
        <v>57</v>
      </c>
      <c r="K1286" s="362">
        <f>SUM(K1284:K1284)</f>
        <v>1791.72</v>
      </c>
    </row>
    <row r="1287" spans="1:11">
      <c r="A1287" s="354" t="s">
        <v>58</v>
      </c>
      <c r="B1287" s="355" t="s">
        <v>11308</v>
      </c>
      <c r="C1287" s="355" t="s">
        <v>17663</v>
      </c>
      <c r="D1287" s="355" t="s">
        <v>0</v>
      </c>
      <c r="E1287" s="355" t="s">
        <v>2</v>
      </c>
      <c r="F1287" s="567" t="s">
        <v>9</v>
      </c>
      <c r="G1287" s="567"/>
      <c r="H1287" s="567" t="s">
        <v>25</v>
      </c>
      <c r="I1287" s="567"/>
      <c r="J1287" s="355"/>
      <c r="K1287" s="355" t="s">
        <v>56</v>
      </c>
    </row>
    <row r="1288" spans="1:11">
      <c r="A1288" s="222" t="s">
        <v>19</v>
      </c>
      <c r="B1288" s="225" t="s">
        <v>9013</v>
      </c>
      <c r="C1288" s="225" t="s">
        <v>17662</v>
      </c>
      <c r="D1288" s="225">
        <v>605000</v>
      </c>
      <c r="E1288" s="225" t="s">
        <v>145</v>
      </c>
      <c r="F1288" s="225"/>
      <c r="G1288" s="225">
        <f>VLOOKUP(D1288,'13. CUSTOS DER - SERVIÇOS'!A:G,7,0)</f>
        <v>425.25</v>
      </c>
      <c r="H1288" s="241"/>
      <c r="I1288" s="240">
        <v>0.78400000000000003</v>
      </c>
      <c r="J1288" s="241"/>
      <c r="K1288" s="242">
        <f>G1288*I1288</f>
        <v>333.39600000000002</v>
      </c>
    </row>
    <row r="1289" spans="1:11">
      <c r="A1289" s="222"/>
      <c r="B1289" s="225"/>
      <c r="C1289" s="225"/>
      <c r="D1289" s="225"/>
      <c r="E1289" s="225"/>
      <c r="F1289" s="225"/>
      <c r="G1289" s="224"/>
      <c r="H1289" s="241"/>
      <c r="I1289" s="240"/>
      <c r="J1289" s="241"/>
      <c r="K1289" s="242"/>
    </row>
    <row r="1290" spans="1:11">
      <c r="A1290" s="364"/>
      <c r="B1290" s="365"/>
      <c r="C1290" s="365"/>
      <c r="D1290" s="365"/>
      <c r="E1290" s="365"/>
      <c r="F1290" s="365"/>
      <c r="G1290" s="365"/>
      <c r="H1290" s="365"/>
      <c r="I1290" s="365"/>
      <c r="J1290" s="366" t="s">
        <v>59</v>
      </c>
      <c r="K1290" s="362">
        <f>SUM(K1288:K1288)</f>
        <v>333.39600000000002</v>
      </c>
    </row>
    <row r="1291" spans="1:11">
      <c r="E1291" s="367"/>
      <c r="F1291" s="367"/>
      <c r="G1291" s="367"/>
      <c r="H1291" s="367"/>
      <c r="I1291" s="367"/>
      <c r="J1291" s="368"/>
      <c r="K1291" s="369"/>
    </row>
    <row r="1292" spans="1:11">
      <c r="E1292" s="367"/>
      <c r="F1292" s="367"/>
      <c r="G1292" s="367"/>
      <c r="H1292" s="367"/>
      <c r="I1292" s="367"/>
      <c r="J1292" s="368"/>
      <c r="K1292" s="369"/>
    </row>
    <row r="1293" spans="1:11">
      <c r="A1293" s="337" t="s">
        <v>22685</v>
      </c>
      <c r="B1293" s="337" t="s">
        <v>371</v>
      </c>
      <c r="C1293" s="370" t="s">
        <v>330</v>
      </c>
      <c r="D1293" s="563" t="s">
        <v>320</v>
      </c>
      <c r="E1293" s="563"/>
      <c r="F1293" s="563"/>
      <c r="G1293" s="563"/>
      <c r="H1293" s="563"/>
      <c r="I1293" s="563"/>
      <c r="J1293" s="253" t="s">
        <v>17667</v>
      </c>
      <c r="K1293" s="373">
        <f>K1313+K1309+K1317</f>
        <v>141.46026000000001</v>
      </c>
    </row>
    <row r="1294" spans="1:11">
      <c r="A1294" s="354" t="s">
        <v>27</v>
      </c>
      <c r="B1294" s="355" t="s">
        <v>11308</v>
      </c>
      <c r="C1294" s="355" t="s">
        <v>17663</v>
      </c>
      <c r="D1294" s="355" t="s">
        <v>0</v>
      </c>
      <c r="E1294" s="355" t="s">
        <v>1</v>
      </c>
      <c r="F1294" s="355" t="s">
        <v>39</v>
      </c>
      <c r="G1294" s="355" t="s">
        <v>40</v>
      </c>
      <c r="H1294" s="355" t="s">
        <v>41</v>
      </c>
      <c r="I1294" s="355" t="s">
        <v>42</v>
      </c>
      <c r="J1294" s="355"/>
      <c r="K1294" s="355" t="s">
        <v>43</v>
      </c>
    </row>
    <row r="1295" spans="1:11">
      <c r="A1295" s="222" t="str">
        <f>VLOOKUP(D1295,'17. CUSTOS DER - EQUIPAMENTOS'!A:B,2,0)</f>
        <v>CAMINHÃO C/ GUINDAUTO</v>
      </c>
      <c r="B1295" s="225" t="s">
        <v>9013</v>
      </c>
      <c r="C1295" s="225" t="s">
        <v>22635</v>
      </c>
      <c r="D1295" s="225">
        <v>346020</v>
      </c>
      <c r="E1295" s="356">
        <v>1</v>
      </c>
      <c r="F1295" s="241">
        <v>0.23880000000000001</v>
      </c>
      <c r="G1295" s="356">
        <v>0.76119999999999999</v>
      </c>
      <c r="H1295" s="242">
        <f>VLOOKUP(D1295,'17. CUSTOS DER - EQUIPAMENTOS'!A:O,15,0)</f>
        <v>279.58</v>
      </c>
      <c r="I1295" s="242">
        <f>VLOOKUP(D1295,'17. CUSTOS DER - EQUIPAMENTOS'!A:P,16,0)</f>
        <v>98.13</v>
      </c>
      <c r="J1295" s="225"/>
      <c r="K1295" s="242">
        <f>((F1295*H1295)+(G1295*I1295))*E1295</f>
        <v>141.46026000000001</v>
      </c>
    </row>
    <row r="1296" spans="1:11">
      <c r="A1296" s="222"/>
      <c r="B1296" s="225"/>
      <c r="C1296" s="225"/>
      <c r="D1296" s="225"/>
      <c r="E1296" s="225"/>
      <c r="F1296" s="225"/>
      <c r="G1296" s="224"/>
      <c r="H1296" s="241"/>
      <c r="I1296" s="240"/>
      <c r="J1296" s="241"/>
      <c r="K1296" s="242"/>
    </row>
    <row r="1297" spans="1:11">
      <c r="A1297" s="358"/>
      <c r="B1297" s="359"/>
      <c r="C1297" s="359"/>
      <c r="D1297" s="359"/>
      <c r="E1297" s="359"/>
      <c r="F1297" s="359"/>
      <c r="G1297" s="359"/>
      <c r="H1297" s="359"/>
      <c r="I1297" s="359"/>
      <c r="J1297" s="360" t="s">
        <v>44</v>
      </c>
      <c r="K1297" s="361">
        <f>SUM(K1295:K1295)</f>
        <v>141.46026000000001</v>
      </c>
    </row>
    <row r="1298" spans="1:11">
      <c r="A1298" s="222"/>
      <c r="B1298" s="225"/>
      <c r="C1298" s="225"/>
      <c r="D1298" s="225"/>
      <c r="E1298" s="225"/>
      <c r="F1298" s="225"/>
      <c r="G1298" s="225"/>
      <c r="H1298" s="225"/>
      <c r="I1298" s="225"/>
      <c r="J1298" s="225"/>
      <c r="K1298" s="225"/>
    </row>
    <row r="1299" spans="1:11">
      <c r="A1299" s="354" t="s">
        <v>45</v>
      </c>
      <c r="B1299" s="355" t="s">
        <v>11308</v>
      </c>
      <c r="C1299" s="355" t="s">
        <v>17663</v>
      </c>
      <c r="D1299" s="355" t="s">
        <v>0</v>
      </c>
      <c r="E1299" s="355" t="s">
        <v>36</v>
      </c>
      <c r="F1299" s="355" t="s">
        <v>46</v>
      </c>
      <c r="G1299" s="355" t="s">
        <v>47</v>
      </c>
      <c r="H1299" s="355" t="s">
        <v>25</v>
      </c>
      <c r="I1299" s="355"/>
      <c r="J1299" s="355"/>
      <c r="K1299" s="355" t="s">
        <v>43</v>
      </c>
    </row>
    <row r="1300" spans="1:11">
      <c r="A1300" s="222" t="str">
        <f>VLOOKUP(D1300,'15. CUSTOS DER - MÃO DE OBRA'!A:B,2,0)</f>
        <v>ELETRICISTA</v>
      </c>
      <c r="B1300" s="225" t="s">
        <v>9013</v>
      </c>
      <c r="C1300" s="225" t="s">
        <v>17664</v>
      </c>
      <c r="D1300" s="225">
        <v>210150</v>
      </c>
      <c r="E1300" s="242">
        <f>VLOOKUP(D1300,'15. CUSTOS DER - MÃO DE OBRA'!A:C,3,0)</f>
        <v>3.5</v>
      </c>
      <c r="F1300" s="225"/>
      <c r="G1300" s="225">
        <f>VLOOKUP(D1300,'15. CUSTOS DER - MÃO DE OBRA'!A:D,4,0)</f>
        <v>50.05</v>
      </c>
      <c r="H1300" s="242"/>
      <c r="I1300" s="242"/>
      <c r="J1300" s="225"/>
      <c r="K1300" s="242">
        <f>G1300*H1300</f>
        <v>0</v>
      </c>
    </row>
    <row r="1301" spans="1:11">
      <c r="A1301" s="222" t="str">
        <f>VLOOKUP(D1301,'15. CUSTOS DER - MÃO DE OBRA'!A:B,2,0)</f>
        <v>SERVENTE</v>
      </c>
      <c r="B1301" s="225" t="s">
        <v>9013</v>
      </c>
      <c r="C1301" s="225" t="s">
        <v>17664</v>
      </c>
      <c r="D1301" s="225">
        <v>200130</v>
      </c>
      <c r="E1301" s="242">
        <f>VLOOKUP(D1301,'15. CUSTOS DER - MÃO DE OBRA'!A:C,3,0)</f>
        <v>2.2000000000000002</v>
      </c>
      <c r="F1301" s="225"/>
      <c r="G1301" s="225">
        <f>VLOOKUP(D1301,'15. CUSTOS DER - MÃO DE OBRA'!A:D,4,0)</f>
        <v>31.46</v>
      </c>
      <c r="H1301" s="242"/>
      <c r="I1301" s="242"/>
      <c r="J1301" s="225"/>
      <c r="K1301" s="242">
        <f>G1301*H1301</f>
        <v>0</v>
      </c>
    </row>
    <row r="1302" spans="1:11">
      <c r="A1302" s="358"/>
      <c r="B1302" s="359"/>
      <c r="C1302" s="359"/>
      <c r="D1302" s="359"/>
      <c r="E1302" s="359"/>
      <c r="F1302" s="359"/>
      <c r="G1302" s="359"/>
      <c r="H1302" s="359"/>
      <c r="I1302" s="359"/>
      <c r="J1302" s="360" t="s">
        <v>48</v>
      </c>
      <c r="K1302" s="361">
        <f>SUM(K1300:K1301)</f>
        <v>0</v>
      </c>
    </row>
    <row r="1303" spans="1:11">
      <c r="A1303" s="354" t="s">
        <v>49</v>
      </c>
      <c r="B1303" s="355" t="s">
        <v>11308</v>
      </c>
      <c r="C1303" s="355" t="s">
        <v>17663</v>
      </c>
      <c r="D1303" s="355" t="s">
        <v>0</v>
      </c>
      <c r="E1303" s="355" t="s">
        <v>14</v>
      </c>
      <c r="F1303" s="355" t="s">
        <v>50</v>
      </c>
      <c r="G1303" s="355" t="s">
        <v>29</v>
      </c>
      <c r="H1303" s="355" t="s">
        <v>30</v>
      </c>
      <c r="I1303" s="355"/>
      <c r="J1303" s="355"/>
      <c r="K1303" s="355" t="s">
        <v>33</v>
      </c>
    </row>
    <row r="1304" spans="1:11">
      <c r="A1304" s="222" t="s">
        <v>74</v>
      </c>
      <c r="B1304" s="225"/>
      <c r="C1304" s="225"/>
      <c r="D1304" s="225">
        <v>29990</v>
      </c>
      <c r="E1304" s="243">
        <v>5</v>
      </c>
      <c r="F1304" s="225" t="s">
        <v>32</v>
      </c>
      <c r="G1304" s="225"/>
      <c r="H1304" s="225"/>
      <c r="I1304" s="225"/>
      <c r="J1304" s="225"/>
      <c r="K1304" s="242">
        <f>TRUNC(K1302*E1304/100,2)</f>
        <v>0</v>
      </c>
    </row>
    <row r="1305" spans="1:11">
      <c r="A1305" s="222"/>
      <c r="B1305" s="225"/>
      <c r="C1305" s="225"/>
      <c r="D1305" s="225"/>
      <c r="E1305" s="225"/>
      <c r="F1305" s="225"/>
      <c r="G1305" s="224"/>
      <c r="H1305" s="241"/>
      <c r="I1305" s="240"/>
      <c r="J1305" s="241"/>
      <c r="K1305" s="242"/>
    </row>
    <row r="1306" spans="1:11">
      <c r="A1306" s="358"/>
      <c r="B1306" s="359"/>
      <c r="C1306" s="359"/>
      <c r="D1306" s="359"/>
      <c r="E1306" s="359"/>
      <c r="F1306" s="359"/>
      <c r="G1306" s="359"/>
      <c r="H1306" s="359"/>
      <c r="I1306" s="359"/>
      <c r="J1306" s="360" t="s">
        <v>51</v>
      </c>
      <c r="K1306" s="361">
        <f>SUM(K1304:K1304)</f>
        <v>0</v>
      </c>
    </row>
    <row r="1307" spans="1:11">
      <c r="A1307" s="568" t="s">
        <v>52</v>
      </c>
      <c r="B1307" s="568"/>
      <c r="C1307" s="568"/>
      <c r="D1307" s="568"/>
      <c r="E1307" s="568"/>
      <c r="F1307" s="568"/>
      <c r="G1307" s="568"/>
      <c r="H1307" s="568"/>
      <c r="I1307" s="568"/>
      <c r="J1307" s="568"/>
      <c r="K1307" s="361">
        <f>K1297+K1302+K1306</f>
        <v>141.46026000000001</v>
      </c>
    </row>
    <row r="1308" spans="1:11">
      <c r="A1308" s="568" t="s">
        <v>53</v>
      </c>
      <c r="B1308" s="568"/>
      <c r="C1308" s="568"/>
      <c r="D1308" s="568"/>
      <c r="E1308" s="568"/>
      <c r="F1308" s="568"/>
      <c r="G1308" s="568"/>
      <c r="H1308" s="568"/>
      <c r="I1308" s="568"/>
      <c r="J1308" s="568"/>
      <c r="K1308" s="361">
        <v>1</v>
      </c>
    </row>
    <row r="1309" spans="1:11">
      <c r="A1309" s="566" t="s">
        <v>54</v>
      </c>
      <c r="B1309" s="566"/>
      <c r="C1309" s="566"/>
      <c r="D1309" s="566"/>
      <c r="E1309" s="566"/>
      <c r="F1309" s="566"/>
      <c r="G1309" s="566"/>
      <c r="H1309" s="566"/>
      <c r="I1309" s="566"/>
      <c r="J1309" s="566"/>
      <c r="K1309" s="362">
        <f>IF(K1307=0,0,K1307/K1308)</f>
        <v>141.46026000000001</v>
      </c>
    </row>
    <row r="1310" spans="1:11">
      <c r="A1310" s="354" t="s">
        <v>55</v>
      </c>
      <c r="B1310" s="355" t="s">
        <v>11308</v>
      </c>
      <c r="C1310" s="355" t="s">
        <v>17663</v>
      </c>
      <c r="D1310" s="355" t="s">
        <v>0</v>
      </c>
      <c r="E1310" s="355" t="s">
        <v>2</v>
      </c>
      <c r="F1310" s="567" t="s">
        <v>9</v>
      </c>
      <c r="G1310" s="567"/>
      <c r="H1310" s="567" t="s">
        <v>25</v>
      </c>
      <c r="I1310" s="567"/>
      <c r="J1310" s="355"/>
      <c r="K1310" s="355" t="s">
        <v>56</v>
      </c>
    </row>
    <row r="1311" spans="1:11">
      <c r="A1311" s="222"/>
      <c r="B1311" s="225"/>
      <c r="C1311" s="225"/>
      <c r="D1311" s="225"/>
      <c r="E1311" s="225"/>
      <c r="F1311" s="225"/>
      <c r="G1311" s="224"/>
      <c r="H1311" s="241"/>
      <c r="I1311" s="241"/>
      <c r="J1311" s="225"/>
      <c r="K1311" s="242"/>
    </row>
    <row r="1312" spans="1:11">
      <c r="A1312" s="222"/>
      <c r="B1312" s="225"/>
      <c r="C1312" s="225"/>
      <c r="D1312" s="225"/>
      <c r="E1312" s="225"/>
      <c r="F1312" s="225"/>
      <c r="G1312" s="224"/>
      <c r="H1312" s="241"/>
      <c r="I1312" s="241"/>
      <c r="J1312" s="225"/>
      <c r="K1312" s="242"/>
    </row>
    <row r="1313" spans="1:11">
      <c r="A1313" s="364"/>
      <c r="B1313" s="365"/>
      <c r="C1313" s="365"/>
      <c r="D1313" s="365"/>
      <c r="E1313" s="365"/>
      <c r="F1313" s="365"/>
      <c r="G1313" s="365"/>
      <c r="H1313" s="365"/>
      <c r="I1313" s="365"/>
      <c r="J1313" s="366" t="s">
        <v>57</v>
      </c>
      <c r="K1313" s="362">
        <f>SUM(K1312:K1312)</f>
        <v>0</v>
      </c>
    </row>
    <row r="1314" spans="1:11">
      <c r="A1314" s="354" t="s">
        <v>58</v>
      </c>
      <c r="B1314" s="355" t="s">
        <v>11308</v>
      </c>
      <c r="C1314" s="355" t="s">
        <v>17663</v>
      </c>
      <c r="D1314" s="355" t="s">
        <v>0</v>
      </c>
      <c r="E1314" s="355" t="s">
        <v>2</v>
      </c>
      <c r="F1314" s="567" t="s">
        <v>9</v>
      </c>
      <c r="G1314" s="567"/>
      <c r="H1314" s="567" t="s">
        <v>25</v>
      </c>
      <c r="I1314" s="567"/>
      <c r="J1314" s="355"/>
      <c r="K1314" s="355" t="s">
        <v>56</v>
      </c>
    </row>
    <row r="1315" spans="1:11">
      <c r="A1315" s="222"/>
      <c r="B1315" s="225"/>
      <c r="C1315" s="225"/>
      <c r="D1315" s="225"/>
      <c r="E1315" s="225"/>
      <c r="F1315" s="225"/>
      <c r="G1315" s="224"/>
      <c r="H1315" s="241"/>
      <c r="I1315" s="240"/>
      <c r="J1315" s="241"/>
      <c r="K1315" s="242"/>
    </row>
    <row r="1316" spans="1:11">
      <c r="A1316" s="222"/>
      <c r="B1316" s="225"/>
      <c r="C1316" s="225"/>
      <c r="D1316" s="225"/>
      <c r="E1316" s="225"/>
      <c r="F1316" s="225"/>
      <c r="G1316" s="224"/>
      <c r="H1316" s="241"/>
      <c r="I1316" s="240"/>
      <c r="J1316" s="241"/>
      <c r="K1316" s="242"/>
    </row>
    <row r="1317" spans="1:11">
      <c r="A1317" s="364"/>
      <c r="B1317" s="365"/>
      <c r="C1317" s="365"/>
      <c r="D1317" s="365"/>
      <c r="E1317" s="365"/>
      <c r="F1317" s="365"/>
      <c r="G1317" s="365"/>
      <c r="H1317" s="365"/>
      <c r="I1317" s="365"/>
      <c r="J1317" s="366" t="s">
        <v>59</v>
      </c>
      <c r="K1317" s="362">
        <f>SUM(K1316:K1316)</f>
        <v>0</v>
      </c>
    </row>
    <row r="1318" spans="1:11">
      <c r="E1318" s="367"/>
      <c r="F1318" s="367"/>
      <c r="G1318" s="367"/>
      <c r="H1318" s="367"/>
      <c r="I1318" s="367"/>
      <c r="J1318" s="368"/>
      <c r="K1318" s="369"/>
    </row>
    <row r="1319" spans="1:11">
      <c r="E1319" s="367"/>
      <c r="F1319" s="367"/>
      <c r="G1319" s="367"/>
      <c r="H1319" s="367"/>
      <c r="I1319" s="367"/>
      <c r="J1319" s="368"/>
      <c r="K1319" s="369"/>
    </row>
    <row r="1320" spans="1:11">
      <c r="A1320" s="337" t="s">
        <v>22686</v>
      </c>
      <c r="B1320" s="337" t="s">
        <v>371</v>
      </c>
      <c r="C1320" s="370" t="s">
        <v>330</v>
      </c>
      <c r="D1320" s="563" t="s">
        <v>321</v>
      </c>
      <c r="E1320" s="563"/>
      <c r="F1320" s="563"/>
      <c r="G1320" s="563"/>
      <c r="H1320" s="563"/>
      <c r="I1320" s="563"/>
      <c r="J1320" s="253" t="s">
        <v>17667</v>
      </c>
      <c r="K1320" s="373">
        <f>K1335+K1339+K1343</f>
        <v>14.250049999999998</v>
      </c>
    </row>
    <row r="1321" spans="1:11">
      <c r="A1321" s="354" t="s">
        <v>27</v>
      </c>
      <c r="B1321" s="355" t="s">
        <v>11308</v>
      </c>
      <c r="C1321" s="355" t="s">
        <v>17663</v>
      </c>
      <c r="D1321" s="355" t="s">
        <v>0</v>
      </c>
      <c r="E1321" s="355" t="s">
        <v>1</v>
      </c>
      <c r="F1321" s="355" t="s">
        <v>39</v>
      </c>
      <c r="G1321" s="355" t="s">
        <v>40</v>
      </c>
      <c r="H1321" s="355" t="s">
        <v>41</v>
      </c>
      <c r="I1321" s="355" t="s">
        <v>42</v>
      </c>
      <c r="J1321" s="355"/>
      <c r="K1321" s="355" t="s">
        <v>43</v>
      </c>
    </row>
    <row r="1322" spans="1:11">
      <c r="A1322" s="222"/>
      <c r="B1322" s="225"/>
      <c r="C1322" s="225"/>
      <c r="D1322" s="225"/>
      <c r="E1322" s="356"/>
      <c r="F1322" s="241"/>
      <c r="G1322" s="356"/>
      <c r="H1322" s="242"/>
      <c r="I1322" s="242"/>
      <c r="J1322" s="225"/>
      <c r="K1322" s="242"/>
    </row>
    <row r="1323" spans="1:11">
      <c r="A1323" s="222"/>
      <c r="B1323" s="225"/>
      <c r="C1323" s="225"/>
      <c r="D1323" s="225"/>
      <c r="E1323" s="356"/>
      <c r="F1323" s="241"/>
      <c r="G1323" s="356"/>
      <c r="H1323" s="242"/>
      <c r="I1323" s="242"/>
      <c r="J1323" s="225"/>
      <c r="K1323" s="242"/>
    </row>
    <row r="1324" spans="1:11">
      <c r="A1324" s="358"/>
      <c r="B1324" s="359"/>
      <c r="C1324" s="359"/>
      <c r="D1324" s="359"/>
      <c r="E1324" s="359"/>
      <c r="F1324" s="359"/>
      <c r="G1324" s="359"/>
      <c r="H1324" s="359"/>
      <c r="I1324" s="359"/>
      <c r="J1324" s="360" t="s">
        <v>44</v>
      </c>
      <c r="K1324" s="361">
        <f>SUM(K1323:K1323)</f>
        <v>0</v>
      </c>
    </row>
    <row r="1325" spans="1:11">
      <c r="A1325" s="354" t="s">
        <v>45</v>
      </c>
      <c r="B1325" s="355" t="s">
        <v>11308</v>
      </c>
      <c r="C1325" s="355" t="s">
        <v>17663</v>
      </c>
      <c r="D1325" s="355" t="s">
        <v>0</v>
      </c>
      <c r="E1325" s="355" t="s">
        <v>36</v>
      </c>
      <c r="F1325" s="355" t="s">
        <v>46</v>
      </c>
      <c r="G1325" s="355" t="s">
        <v>47</v>
      </c>
      <c r="H1325" s="355" t="s">
        <v>25</v>
      </c>
      <c r="I1325" s="355"/>
      <c r="J1325" s="355"/>
      <c r="K1325" s="355" t="s">
        <v>43</v>
      </c>
    </row>
    <row r="1326" spans="1:11">
      <c r="A1326" s="222" t="str">
        <f>VLOOKUP(D1326,'15. CUSTOS DER - MÃO DE OBRA'!A:B,2,0)</f>
        <v>ELETRICISTA</v>
      </c>
      <c r="B1326" s="225" t="s">
        <v>9013</v>
      </c>
      <c r="C1326" s="225" t="s">
        <v>17664</v>
      </c>
      <c r="D1326" s="225">
        <v>210150</v>
      </c>
      <c r="E1326" s="242">
        <f>VLOOKUP(D1326,'15. CUSTOS DER - MÃO DE OBRA'!A:C,3,0)</f>
        <v>3.5</v>
      </c>
      <c r="F1326" s="225"/>
      <c r="G1326" s="225">
        <f>VLOOKUP(D1326,'15. CUSTOS DER - MÃO DE OBRA'!A:D,4,0)</f>
        <v>50.05</v>
      </c>
      <c r="H1326" s="356">
        <v>7.6999999999999999E-2</v>
      </c>
      <c r="I1326" s="225"/>
      <c r="J1326" s="225"/>
      <c r="K1326" s="242">
        <f>G1326*H1326</f>
        <v>3.8538499999999996</v>
      </c>
    </row>
    <row r="1327" spans="1:11">
      <c r="A1327" s="222" t="str">
        <f>VLOOKUP(D1327,'15. CUSTOS DER - MÃO DE OBRA'!A:B,2,0)</f>
        <v>SERVENTE</v>
      </c>
      <c r="B1327" s="225" t="s">
        <v>9013</v>
      </c>
      <c r="C1327" s="225" t="s">
        <v>17664</v>
      </c>
      <c r="D1327" s="225">
        <v>200130</v>
      </c>
      <c r="E1327" s="242">
        <f>VLOOKUP(D1327,'15. CUSTOS DER - MÃO DE OBRA'!A:C,3,0)</f>
        <v>2.2000000000000002</v>
      </c>
      <c r="F1327" s="225"/>
      <c r="G1327" s="225">
        <f>VLOOKUP(D1327,'15. CUSTOS DER - MÃO DE OBRA'!A:D,4,0)</f>
        <v>31.46</v>
      </c>
      <c r="H1327" s="356">
        <v>7.6999999999999999E-2</v>
      </c>
      <c r="I1327" s="225"/>
      <c r="J1327" s="225"/>
      <c r="K1327" s="242">
        <f>G1327*H1327</f>
        <v>2.4224200000000002</v>
      </c>
    </row>
    <row r="1328" spans="1:11">
      <c r="A1328" s="358"/>
      <c r="B1328" s="359"/>
      <c r="C1328" s="359"/>
      <c r="D1328" s="359"/>
      <c r="E1328" s="359"/>
      <c r="F1328" s="359"/>
      <c r="G1328" s="359"/>
      <c r="H1328" s="359"/>
      <c r="I1328" s="359"/>
      <c r="J1328" s="360" t="s">
        <v>48</v>
      </c>
      <c r="K1328" s="361">
        <f>SUM(K1326:K1327)</f>
        <v>6.2762700000000002</v>
      </c>
    </row>
    <row r="1329" spans="1:11">
      <c r="A1329" s="354" t="s">
        <v>49</v>
      </c>
      <c r="B1329" s="355" t="s">
        <v>11308</v>
      </c>
      <c r="C1329" s="355" t="s">
        <v>17663</v>
      </c>
      <c r="D1329" s="355" t="s">
        <v>0</v>
      </c>
      <c r="E1329" s="355" t="s">
        <v>14</v>
      </c>
      <c r="F1329" s="355" t="s">
        <v>50</v>
      </c>
      <c r="G1329" s="355" t="s">
        <v>29</v>
      </c>
      <c r="H1329" s="355" t="s">
        <v>30</v>
      </c>
      <c r="I1329" s="355"/>
      <c r="J1329" s="355"/>
      <c r="K1329" s="355" t="s">
        <v>33</v>
      </c>
    </row>
    <row r="1330" spans="1:11">
      <c r="A1330" s="222" t="s">
        <v>74</v>
      </c>
      <c r="B1330" s="225"/>
      <c r="C1330" s="225"/>
      <c r="D1330" s="225">
        <v>29990</v>
      </c>
      <c r="E1330" s="243">
        <v>5</v>
      </c>
      <c r="F1330" s="225" t="s">
        <v>32</v>
      </c>
      <c r="G1330" s="225"/>
      <c r="H1330" s="225"/>
      <c r="I1330" s="225"/>
      <c r="J1330" s="225"/>
      <c r="K1330" s="242">
        <f>TRUNC(K1328*E1330/100,2)</f>
        <v>0.31</v>
      </c>
    </row>
    <row r="1331" spans="1:11">
      <c r="A1331" s="222"/>
      <c r="B1331" s="225"/>
      <c r="C1331" s="225"/>
      <c r="D1331" s="225"/>
      <c r="E1331" s="356"/>
      <c r="F1331" s="241"/>
      <c r="G1331" s="356"/>
      <c r="H1331" s="242"/>
      <c r="I1331" s="242"/>
      <c r="J1331" s="225"/>
      <c r="K1331" s="242"/>
    </row>
    <row r="1332" spans="1:11">
      <c r="A1332" s="358"/>
      <c r="B1332" s="359"/>
      <c r="C1332" s="359"/>
      <c r="D1332" s="359"/>
      <c r="E1332" s="359"/>
      <c r="F1332" s="359"/>
      <c r="G1332" s="359"/>
      <c r="H1332" s="359"/>
      <c r="I1332" s="359"/>
      <c r="J1332" s="360" t="s">
        <v>51</v>
      </c>
      <c r="K1332" s="361">
        <f>SUM(K1330:K1330)</f>
        <v>0.31</v>
      </c>
    </row>
    <row r="1333" spans="1:11">
      <c r="A1333" s="568" t="s">
        <v>52</v>
      </c>
      <c r="B1333" s="568"/>
      <c r="C1333" s="568"/>
      <c r="D1333" s="568"/>
      <c r="E1333" s="568"/>
      <c r="F1333" s="568"/>
      <c r="G1333" s="568"/>
      <c r="H1333" s="568"/>
      <c r="I1333" s="568"/>
      <c r="J1333" s="568"/>
      <c r="K1333" s="361">
        <f>K1324+K1328+K1332</f>
        <v>6.5862699999999998</v>
      </c>
    </row>
    <row r="1334" spans="1:11">
      <c r="A1334" s="568" t="s">
        <v>53</v>
      </c>
      <c r="B1334" s="568"/>
      <c r="C1334" s="568"/>
      <c r="D1334" s="568"/>
      <c r="E1334" s="568"/>
      <c r="F1334" s="568"/>
      <c r="G1334" s="568"/>
      <c r="H1334" s="568"/>
      <c r="I1334" s="568"/>
      <c r="J1334" s="568"/>
      <c r="K1334" s="361">
        <v>1</v>
      </c>
    </row>
    <row r="1335" spans="1:11">
      <c r="A1335" s="566" t="s">
        <v>54</v>
      </c>
      <c r="B1335" s="566"/>
      <c r="C1335" s="566"/>
      <c r="D1335" s="566"/>
      <c r="E1335" s="566"/>
      <c r="F1335" s="566"/>
      <c r="G1335" s="566"/>
      <c r="H1335" s="566"/>
      <c r="I1335" s="566"/>
      <c r="J1335" s="566"/>
      <c r="K1335" s="362">
        <f>IF(K1333=0,0,K1333/K1334)</f>
        <v>6.5862699999999998</v>
      </c>
    </row>
    <row r="1336" spans="1:11">
      <c r="A1336" s="354" t="s">
        <v>55</v>
      </c>
      <c r="B1336" s="355" t="s">
        <v>11308</v>
      </c>
      <c r="C1336" s="355" t="s">
        <v>17663</v>
      </c>
      <c r="D1336" s="355" t="s">
        <v>0</v>
      </c>
      <c r="E1336" s="355" t="s">
        <v>2</v>
      </c>
      <c r="F1336" s="567" t="s">
        <v>9</v>
      </c>
      <c r="G1336" s="567"/>
      <c r="H1336" s="567" t="s">
        <v>25</v>
      </c>
      <c r="I1336" s="567"/>
      <c r="J1336" s="355"/>
      <c r="K1336" s="355" t="s">
        <v>56</v>
      </c>
    </row>
    <row r="1337" spans="1:11" ht="31.5">
      <c r="A1337" s="222" t="str">
        <f>VLOOKUP(D1337,'22. CUSTOS SINAPI - MATERIAIS'!A:B,2,0)</f>
        <v>FITA ISOLANTE ADESIVA ANTICHAMA, USO ATE 750 V, EM ROLO DE 19 MM X 5 M</v>
      </c>
      <c r="B1337" s="225" t="s">
        <v>9008</v>
      </c>
      <c r="C1337" s="225" t="s">
        <v>68</v>
      </c>
      <c r="D1337" s="225">
        <v>21127</v>
      </c>
      <c r="E1337" s="372" t="str">
        <f>VLOOKUP(D1337,'22. CUSTOS SINAPI - MATERIAIS'!A:C,3,0)</f>
        <v xml:space="preserve">UN    </v>
      </c>
      <c r="F1337" s="225"/>
      <c r="G1337" s="224">
        <f>VLOOKUP(D1337,'22. CUSTOS SINAPI - MATERIAIS'!A:D,4,0)</f>
        <v>5.97</v>
      </c>
      <c r="H1337" s="241"/>
      <c r="I1337" s="241">
        <v>8.9999999999999993E-3</v>
      </c>
      <c r="J1337" s="225"/>
      <c r="K1337" s="242">
        <f>G1337*I1337</f>
        <v>5.3729999999999993E-2</v>
      </c>
    </row>
    <row r="1338" spans="1:11" ht="47.25">
      <c r="A1338" s="222" t="str">
        <f>VLOOKUP(D1338,'23. CUSTOS COTAÇÕES DE MERCADO'!A:B,2,0)</f>
        <v>Ramal de Alimentação Elétrica Trifásico para Iluminação - padrão COPEL -  cabo em Alumínio Multiplexado (3+1) de 10mm² com neutro isolado</v>
      </c>
      <c r="B1338" s="225" t="s">
        <v>22707</v>
      </c>
      <c r="C1338" s="225" t="s">
        <v>22709</v>
      </c>
      <c r="D1338" s="225" t="s">
        <v>63</v>
      </c>
      <c r="E1338" s="372" t="str">
        <f>VLOOKUP(D1338,'23. CUSTOS COTAÇÕES DE MERCADO'!A:D,4,0)</f>
        <v>M</v>
      </c>
      <c r="F1338" s="225"/>
      <c r="G1338" s="224">
        <f>VLOOKUP(D1338,'23. CUSTOS COTAÇÕES DE MERCADO'!A:F,6,0)</f>
        <v>6.3949999999999996</v>
      </c>
      <c r="H1338" s="241"/>
      <c r="I1338" s="241">
        <v>1.19</v>
      </c>
      <c r="J1338" s="225"/>
      <c r="K1338" s="242">
        <f>G1338*I1338</f>
        <v>7.6100499999999993</v>
      </c>
    </row>
    <row r="1339" spans="1:11">
      <c r="A1339" s="364"/>
      <c r="B1339" s="365"/>
      <c r="C1339" s="365"/>
      <c r="D1339" s="365"/>
      <c r="E1339" s="365"/>
      <c r="F1339" s="365"/>
      <c r="G1339" s="365"/>
      <c r="H1339" s="365"/>
      <c r="I1339" s="365"/>
      <c r="J1339" s="366" t="s">
        <v>57</v>
      </c>
      <c r="K1339" s="362">
        <f>SUM(K1337:K1338)</f>
        <v>7.6637799999999991</v>
      </c>
    </row>
    <row r="1340" spans="1:11">
      <c r="A1340" s="354" t="s">
        <v>58</v>
      </c>
      <c r="B1340" s="355" t="s">
        <v>11308</v>
      </c>
      <c r="C1340" s="355" t="s">
        <v>17663</v>
      </c>
      <c r="D1340" s="355" t="s">
        <v>0</v>
      </c>
      <c r="E1340" s="355" t="s">
        <v>2</v>
      </c>
      <c r="F1340" s="567" t="s">
        <v>9</v>
      </c>
      <c r="G1340" s="567"/>
      <c r="H1340" s="567" t="s">
        <v>25</v>
      </c>
      <c r="I1340" s="567"/>
      <c r="J1340" s="355"/>
      <c r="K1340" s="355" t="s">
        <v>56</v>
      </c>
    </row>
    <row r="1341" spans="1:11">
      <c r="A1341" s="222"/>
      <c r="B1341" s="225"/>
      <c r="C1341" s="225"/>
      <c r="D1341" s="225"/>
      <c r="E1341" s="225"/>
      <c r="F1341" s="225"/>
      <c r="G1341" s="224"/>
      <c r="H1341" s="241"/>
      <c r="I1341" s="240"/>
      <c r="J1341" s="241"/>
      <c r="K1341" s="242"/>
    </row>
    <row r="1342" spans="1:11">
      <c r="A1342" s="222"/>
      <c r="B1342" s="225"/>
      <c r="C1342" s="225"/>
      <c r="D1342" s="225"/>
      <c r="E1342" s="225"/>
      <c r="F1342" s="225"/>
      <c r="G1342" s="224"/>
      <c r="H1342" s="241"/>
      <c r="I1342" s="240"/>
      <c r="J1342" s="241"/>
      <c r="K1342" s="242"/>
    </row>
    <row r="1343" spans="1:11">
      <c r="A1343" s="364"/>
      <c r="B1343" s="365"/>
      <c r="C1343" s="365"/>
      <c r="D1343" s="365"/>
      <c r="E1343" s="365"/>
      <c r="F1343" s="365"/>
      <c r="G1343" s="365"/>
      <c r="H1343" s="365"/>
      <c r="I1343" s="365"/>
      <c r="J1343" s="366" t="s">
        <v>59</v>
      </c>
      <c r="K1343" s="362">
        <f>SUM(K1341:K1342)</f>
        <v>0</v>
      </c>
    </row>
    <row r="1344" spans="1:11">
      <c r="E1344" s="367"/>
      <c r="F1344" s="367"/>
      <c r="G1344" s="367"/>
      <c r="H1344" s="367"/>
      <c r="I1344" s="367"/>
      <c r="J1344" s="368"/>
      <c r="K1344" s="369"/>
    </row>
    <row r="1345" spans="1:11">
      <c r="E1345" s="367"/>
      <c r="F1345" s="367"/>
      <c r="G1345" s="367"/>
      <c r="H1345" s="367"/>
      <c r="I1345" s="367"/>
      <c r="J1345" s="368"/>
      <c r="K1345" s="369"/>
    </row>
    <row r="1346" spans="1:11" ht="38.25" customHeight="1">
      <c r="A1346" s="337" t="s">
        <v>22711</v>
      </c>
      <c r="B1346" s="337" t="s">
        <v>158</v>
      </c>
      <c r="C1346" s="337" t="s">
        <v>951</v>
      </c>
      <c r="D1346" s="563" t="s">
        <v>22712</v>
      </c>
      <c r="E1346" s="563"/>
      <c r="F1346" s="563"/>
      <c r="G1346" s="563"/>
      <c r="H1346" s="563"/>
      <c r="I1346" s="563"/>
      <c r="J1346" s="253" t="s">
        <v>17667</v>
      </c>
      <c r="K1346" s="373">
        <f>K1361+K1367+K1371</f>
        <v>175.95412451913998</v>
      </c>
    </row>
    <row r="1347" spans="1:11">
      <c r="A1347" s="354" t="s">
        <v>27</v>
      </c>
      <c r="B1347" s="355" t="s">
        <v>11308</v>
      </c>
      <c r="C1347" s="355" t="s">
        <v>17663</v>
      </c>
      <c r="D1347" s="355" t="s">
        <v>0</v>
      </c>
      <c r="E1347" s="355" t="s">
        <v>1</v>
      </c>
      <c r="F1347" s="355" t="s">
        <v>39</v>
      </c>
      <c r="G1347" s="355" t="s">
        <v>40</v>
      </c>
      <c r="H1347" s="355" t="s">
        <v>41</v>
      </c>
      <c r="I1347" s="355" t="s">
        <v>42</v>
      </c>
      <c r="J1347" s="355"/>
      <c r="K1347" s="355" t="s">
        <v>43</v>
      </c>
    </row>
    <row r="1348" spans="1:11">
      <c r="A1348" s="222"/>
      <c r="B1348" s="225"/>
      <c r="C1348" s="225"/>
      <c r="D1348" s="225"/>
      <c r="E1348" s="356"/>
      <c r="F1348" s="241"/>
      <c r="G1348" s="356"/>
      <c r="H1348" s="242"/>
      <c r="I1348" s="242"/>
      <c r="J1348" s="225"/>
      <c r="K1348" s="242"/>
    </row>
    <row r="1349" spans="1:11">
      <c r="A1349" s="222"/>
      <c r="B1349" s="225"/>
      <c r="C1349" s="225"/>
      <c r="D1349" s="225"/>
      <c r="E1349" s="356"/>
      <c r="F1349" s="241"/>
      <c r="G1349" s="356"/>
      <c r="H1349" s="242"/>
      <c r="I1349" s="242"/>
      <c r="J1349" s="225"/>
      <c r="K1349" s="242"/>
    </row>
    <row r="1350" spans="1:11">
      <c r="A1350" s="358"/>
      <c r="B1350" s="359"/>
      <c r="C1350" s="359"/>
      <c r="D1350" s="359"/>
      <c r="E1350" s="359"/>
      <c r="F1350" s="359"/>
      <c r="G1350" s="359"/>
      <c r="H1350" s="359"/>
      <c r="I1350" s="359"/>
      <c r="J1350" s="360" t="s">
        <v>44</v>
      </c>
      <c r="K1350" s="361">
        <f>SUM(K1349:K1349)</f>
        <v>0</v>
      </c>
    </row>
    <row r="1351" spans="1:11">
      <c r="A1351" s="354" t="s">
        <v>45</v>
      </c>
      <c r="B1351" s="355" t="s">
        <v>11308</v>
      </c>
      <c r="C1351" s="355" t="s">
        <v>17663</v>
      </c>
      <c r="D1351" s="355" t="s">
        <v>0</v>
      </c>
      <c r="E1351" s="355" t="s">
        <v>36</v>
      </c>
      <c r="F1351" s="355" t="s">
        <v>46</v>
      </c>
      <c r="G1351" s="355" t="s">
        <v>47</v>
      </c>
      <c r="H1351" s="355" t="s">
        <v>25</v>
      </c>
      <c r="I1351" s="355"/>
      <c r="J1351" s="355"/>
      <c r="K1351" s="355" t="s">
        <v>43</v>
      </c>
    </row>
    <row r="1352" spans="1:11">
      <c r="A1352" s="222" t="str">
        <f>VLOOKUP(D1352,'15. CUSTOS DER - MÃO DE OBRA'!A:B,2,0)</f>
        <v>PEDREIRO</v>
      </c>
      <c r="B1352" s="225" t="s">
        <v>9013</v>
      </c>
      <c r="C1352" s="225" t="s">
        <v>17664</v>
      </c>
      <c r="D1352" s="225">
        <v>200260</v>
      </c>
      <c r="E1352" s="242">
        <f>VLOOKUP(D1352,'15. CUSTOS DER - MÃO DE OBRA'!A:C,3,0)</f>
        <v>2.85</v>
      </c>
      <c r="F1352" s="225"/>
      <c r="G1352" s="225">
        <f>VLOOKUP(D1352,'15. CUSTOS DER - MÃO DE OBRA'!A:D,4,0)</f>
        <v>40.76</v>
      </c>
      <c r="H1352" s="356">
        <v>2.3199999999999998</v>
      </c>
      <c r="I1352" s="225"/>
      <c r="J1352" s="225"/>
      <c r="K1352" s="242">
        <f>G1352*H1352</f>
        <v>94.563199999999995</v>
      </c>
    </row>
    <row r="1353" spans="1:11">
      <c r="A1353" s="222" t="str">
        <f>VLOOKUP(D1353,'15. CUSTOS DER - MÃO DE OBRA'!A:B,2,0)</f>
        <v>SERVENTE</v>
      </c>
      <c r="B1353" s="225" t="s">
        <v>9013</v>
      </c>
      <c r="C1353" s="225" t="s">
        <v>17664</v>
      </c>
      <c r="D1353" s="225">
        <v>200130</v>
      </c>
      <c r="E1353" s="242">
        <f>VLOOKUP(D1353,'15. CUSTOS DER - MÃO DE OBRA'!A:C,3,0)</f>
        <v>2.2000000000000002</v>
      </c>
      <c r="F1353" s="225"/>
      <c r="G1353" s="225">
        <f>VLOOKUP(D1353,'15. CUSTOS DER - MÃO DE OBRA'!A:D,4,0)</f>
        <v>31.46</v>
      </c>
      <c r="H1353" s="356">
        <v>1.36313</v>
      </c>
      <c r="I1353" s="225"/>
      <c r="J1353" s="225"/>
      <c r="K1353" s="242">
        <f>G1353*H1353</f>
        <v>42.884069799999999</v>
      </c>
    </row>
    <row r="1354" spans="1:11">
      <c r="A1354" s="358"/>
      <c r="B1354" s="359"/>
      <c r="C1354" s="359"/>
      <c r="D1354" s="359"/>
      <c r="E1354" s="359"/>
      <c r="F1354" s="359"/>
      <c r="G1354" s="359"/>
      <c r="H1354" s="359"/>
      <c r="I1354" s="359"/>
      <c r="J1354" s="360" t="s">
        <v>48</v>
      </c>
      <c r="K1354" s="361">
        <f>SUM(K1352:K1353)</f>
        <v>137.44726979999999</v>
      </c>
    </row>
    <row r="1355" spans="1:11">
      <c r="A1355" s="354" t="s">
        <v>49</v>
      </c>
      <c r="B1355" s="355" t="s">
        <v>11308</v>
      </c>
      <c r="C1355" s="355" t="s">
        <v>17663</v>
      </c>
      <c r="D1355" s="355" t="s">
        <v>0</v>
      </c>
      <c r="E1355" s="355" t="s">
        <v>14</v>
      </c>
      <c r="F1355" s="355" t="s">
        <v>50</v>
      </c>
      <c r="G1355" s="355" t="s">
        <v>29</v>
      </c>
      <c r="H1355" s="355" t="s">
        <v>30</v>
      </c>
      <c r="I1355" s="355"/>
      <c r="J1355" s="355"/>
      <c r="K1355" s="355" t="s">
        <v>33</v>
      </c>
    </row>
    <row r="1356" spans="1:11">
      <c r="A1356" s="222"/>
      <c r="B1356" s="225"/>
      <c r="C1356" s="225"/>
      <c r="D1356" s="225"/>
      <c r="E1356" s="243"/>
      <c r="F1356" s="225"/>
      <c r="G1356" s="225"/>
      <c r="H1356" s="225"/>
      <c r="I1356" s="225"/>
      <c r="J1356" s="225"/>
      <c r="K1356" s="242"/>
    </row>
    <row r="1357" spans="1:11">
      <c r="A1357" s="222"/>
      <c r="B1357" s="225"/>
      <c r="C1357" s="225"/>
      <c r="D1357" s="225"/>
      <c r="E1357" s="243"/>
      <c r="F1357" s="225"/>
      <c r="G1357" s="225"/>
      <c r="H1357" s="225"/>
      <c r="I1357" s="225"/>
      <c r="J1357" s="225"/>
      <c r="K1357" s="242"/>
    </row>
    <row r="1358" spans="1:11">
      <c r="A1358" s="358"/>
      <c r="B1358" s="359"/>
      <c r="C1358" s="359"/>
      <c r="D1358" s="359"/>
      <c r="E1358" s="359"/>
      <c r="F1358" s="359"/>
      <c r="G1358" s="359"/>
      <c r="H1358" s="359"/>
      <c r="I1358" s="359"/>
      <c r="J1358" s="360" t="s">
        <v>51</v>
      </c>
      <c r="K1358" s="361">
        <f>SUM(K1357:K1357)</f>
        <v>0</v>
      </c>
    </row>
    <row r="1359" spans="1:11">
      <c r="A1359" s="568" t="s">
        <v>52</v>
      </c>
      <c r="B1359" s="568"/>
      <c r="C1359" s="568"/>
      <c r="D1359" s="568"/>
      <c r="E1359" s="568"/>
      <c r="F1359" s="568"/>
      <c r="G1359" s="568"/>
      <c r="H1359" s="568"/>
      <c r="I1359" s="568"/>
      <c r="J1359" s="568"/>
      <c r="K1359" s="361">
        <f>K1350+K1354+K1358</f>
        <v>137.44726979999999</v>
      </c>
    </row>
    <row r="1360" spans="1:11">
      <c r="A1360" s="568" t="s">
        <v>53</v>
      </c>
      <c r="B1360" s="568"/>
      <c r="C1360" s="568"/>
      <c r="D1360" s="568"/>
      <c r="E1360" s="568"/>
      <c r="F1360" s="568"/>
      <c r="G1360" s="568"/>
      <c r="H1360" s="568"/>
      <c r="I1360" s="568"/>
      <c r="J1360" s="568"/>
      <c r="K1360" s="361">
        <v>1</v>
      </c>
    </row>
    <row r="1361" spans="1:11">
      <c r="A1361" s="566" t="s">
        <v>54</v>
      </c>
      <c r="B1361" s="566"/>
      <c r="C1361" s="566"/>
      <c r="D1361" s="566"/>
      <c r="E1361" s="566"/>
      <c r="F1361" s="566"/>
      <c r="G1361" s="566"/>
      <c r="H1361" s="566"/>
      <c r="I1361" s="566"/>
      <c r="J1361" s="566"/>
      <c r="K1361" s="362">
        <f>IF(K1359=0,0,K1359/K1360)</f>
        <v>137.44726979999999</v>
      </c>
    </row>
    <row r="1362" spans="1:11">
      <c r="A1362" s="354" t="s">
        <v>55</v>
      </c>
      <c r="B1362" s="355" t="s">
        <v>11308</v>
      </c>
      <c r="C1362" s="355" t="s">
        <v>17663</v>
      </c>
      <c r="D1362" s="355" t="s">
        <v>0</v>
      </c>
      <c r="E1362" s="355" t="s">
        <v>2</v>
      </c>
      <c r="F1362" s="567" t="s">
        <v>9</v>
      </c>
      <c r="G1362" s="567"/>
      <c r="H1362" s="567" t="s">
        <v>25</v>
      </c>
      <c r="I1362" s="567"/>
      <c r="J1362" s="355"/>
      <c r="K1362" s="355" t="s">
        <v>56</v>
      </c>
    </row>
    <row r="1363" spans="1:11">
      <c r="A1363" s="222" t="str">
        <f>VLOOKUP(D1363,'14. CUSTOS DER - MATERIAIS'!A:B,2,0)</f>
        <v>AREIA</v>
      </c>
      <c r="B1363" s="225" t="s">
        <v>9013</v>
      </c>
      <c r="C1363" s="225" t="s">
        <v>68</v>
      </c>
      <c r="D1363" s="225">
        <v>139000</v>
      </c>
      <c r="E1363" s="225" t="str">
        <f>VLOOKUP(D1363,'14. CUSTOS DER - MATERIAIS'!A:C,3,0)</f>
        <v>M3</v>
      </c>
      <c r="F1363" s="225"/>
      <c r="G1363" s="224">
        <f>VLOOKUP(D1363,'14. CUSTOS DER - MATERIAIS'!A:D,4,0)</f>
        <v>71.87</v>
      </c>
      <c r="H1363" s="241"/>
      <c r="I1363" s="241">
        <v>2.0861999999999999E-2</v>
      </c>
      <c r="J1363" s="225"/>
      <c r="K1363" s="242">
        <f>G1363*I1363</f>
        <v>1.4993519399999999</v>
      </c>
    </row>
    <row r="1364" spans="1:11">
      <c r="A1364" s="222" t="str">
        <f>VLOOKUP(D1364,'14. CUSTOS DER - MATERIAIS'!A:B,2,0)</f>
        <v>CAL HIDRATADA CH-I</v>
      </c>
      <c r="B1364" s="225" t="s">
        <v>9013</v>
      </c>
      <c r="C1364" s="225" t="s">
        <v>68</v>
      </c>
      <c r="D1364" s="225">
        <v>170010</v>
      </c>
      <c r="E1364" s="225" t="str">
        <f>VLOOKUP(D1364,'14. CUSTOS DER - MATERIAIS'!A:C,3,0)</f>
        <v>T</v>
      </c>
      <c r="F1364" s="225"/>
      <c r="G1364" s="224">
        <f>VLOOKUP(D1364,'14. CUSTOS DER - MATERIAIS'!A:D,4,0)</f>
        <v>585.66</v>
      </c>
      <c r="H1364" s="241"/>
      <c r="I1364" s="241">
        <v>3.1316790000000001E-3</v>
      </c>
      <c r="J1364" s="225"/>
      <c r="K1364" s="242">
        <f>G1364*I1364</f>
        <v>1.8340991231399999</v>
      </c>
    </row>
    <row r="1365" spans="1:11">
      <c r="A1365" s="222" t="str">
        <f>VLOOKUP(D1365,'14. CUSTOS DER - MATERIAIS'!A:B,2,0)</f>
        <v>CIMENTO PORTLAND (SACO DE 50KG)</v>
      </c>
      <c r="B1365" s="225" t="s">
        <v>9013</v>
      </c>
      <c r="C1365" s="225" t="s">
        <v>68</v>
      </c>
      <c r="D1365" s="225">
        <v>173200</v>
      </c>
      <c r="E1365" s="225" t="str">
        <f>VLOOKUP(D1365,'14. CUSTOS DER - MATERIAIS'!A:C,3,0)</f>
        <v>T</v>
      </c>
      <c r="F1365" s="225"/>
      <c r="G1365" s="224">
        <f>VLOOKUP(D1365,'14. CUSTOS DER - MATERIAIS'!A:D,4,0)</f>
        <v>566</v>
      </c>
      <c r="H1365" s="241"/>
      <c r="I1365" s="241">
        <v>3.5231160000000002E-3</v>
      </c>
      <c r="J1365" s="225"/>
      <c r="K1365" s="242">
        <f>G1365*I1365</f>
        <v>1.9940836560000001</v>
      </c>
    </row>
    <row r="1366" spans="1:11">
      <c r="A1366" s="222" t="str">
        <f>VLOOKUP(D1366,'14. CUSTOS DER - MATERIAIS'!A:B,2,0)</f>
        <v>TIJOLO 6 FUROS</v>
      </c>
      <c r="B1366" s="225" t="s">
        <v>9013</v>
      </c>
      <c r="C1366" s="225" t="s">
        <v>68</v>
      </c>
      <c r="D1366" s="225">
        <v>100020</v>
      </c>
      <c r="E1366" s="225" t="str">
        <f>VLOOKUP(D1366,'14. CUSTOS DER - MATERIAIS'!A:C,3,0)</f>
        <v>MIL</v>
      </c>
      <c r="F1366" s="225"/>
      <c r="G1366" s="224">
        <f>VLOOKUP(D1366,'14. CUSTOS DER - MATERIAIS'!A:D,4,0)</f>
        <v>586</v>
      </c>
      <c r="H1366" s="241"/>
      <c r="I1366" s="241">
        <v>5.6619999999999997E-2</v>
      </c>
      <c r="J1366" s="225"/>
      <c r="K1366" s="242">
        <f>G1366*I1366</f>
        <v>33.179319999999997</v>
      </c>
    </row>
    <row r="1367" spans="1:11">
      <c r="A1367" s="364"/>
      <c r="B1367" s="365"/>
      <c r="C1367" s="365"/>
      <c r="D1367" s="365"/>
      <c r="E1367" s="365"/>
      <c r="F1367" s="365"/>
      <c r="G1367" s="365"/>
      <c r="H1367" s="365"/>
      <c r="I1367" s="365"/>
      <c r="J1367" s="366" t="s">
        <v>57</v>
      </c>
      <c r="K1367" s="362">
        <f>SUM(K1363:K1366)</f>
        <v>38.506854719139994</v>
      </c>
    </row>
    <row r="1368" spans="1:11">
      <c r="A1368" s="354" t="s">
        <v>58</v>
      </c>
      <c r="B1368" s="355" t="s">
        <v>11308</v>
      </c>
      <c r="C1368" s="355" t="s">
        <v>17663</v>
      </c>
      <c r="D1368" s="355" t="s">
        <v>0</v>
      </c>
      <c r="E1368" s="355" t="s">
        <v>2</v>
      </c>
      <c r="F1368" s="567" t="s">
        <v>9</v>
      </c>
      <c r="G1368" s="567"/>
      <c r="H1368" s="567" t="s">
        <v>25</v>
      </c>
      <c r="I1368" s="567"/>
      <c r="J1368" s="355"/>
      <c r="K1368" s="355" t="s">
        <v>56</v>
      </c>
    </row>
    <row r="1369" spans="1:11">
      <c r="A1369" s="222"/>
      <c r="B1369" s="225"/>
      <c r="C1369" s="225"/>
      <c r="D1369" s="225"/>
      <c r="E1369" s="225"/>
      <c r="F1369" s="225"/>
      <c r="G1369" s="224"/>
      <c r="H1369" s="241"/>
      <c r="I1369" s="240"/>
      <c r="J1369" s="241"/>
      <c r="K1369" s="242"/>
    </row>
    <row r="1370" spans="1:11">
      <c r="A1370" s="222"/>
      <c r="B1370" s="225"/>
      <c r="C1370" s="225"/>
      <c r="D1370" s="225"/>
      <c r="E1370" s="225"/>
      <c r="F1370" s="225"/>
      <c r="G1370" s="224"/>
      <c r="H1370" s="241"/>
      <c r="I1370" s="240"/>
      <c r="J1370" s="241"/>
      <c r="K1370" s="242"/>
    </row>
    <row r="1371" spans="1:11">
      <c r="A1371" s="364"/>
      <c r="B1371" s="365"/>
      <c r="C1371" s="365"/>
      <c r="D1371" s="365"/>
      <c r="E1371" s="365"/>
      <c r="F1371" s="365"/>
      <c r="G1371" s="365"/>
      <c r="H1371" s="365"/>
      <c r="I1371" s="365"/>
      <c r="J1371" s="366" t="s">
        <v>59</v>
      </c>
      <c r="K1371" s="362">
        <f>SUM(K1369:K1370)</f>
        <v>0</v>
      </c>
    </row>
    <row r="1373" spans="1:11" ht="34.5" customHeight="1">
      <c r="A1373" s="337" t="s">
        <v>22715</v>
      </c>
      <c r="B1373" s="337" t="s">
        <v>17672</v>
      </c>
      <c r="C1373" s="337" t="s">
        <v>331</v>
      </c>
      <c r="D1373" s="563" t="s">
        <v>22716</v>
      </c>
      <c r="E1373" s="563"/>
      <c r="F1373" s="563"/>
      <c r="G1373" s="563"/>
      <c r="H1373" s="563"/>
      <c r="I1373" s="563"/>
      <c r="J1373" s="337" t="s">
        <v>17667</v>
      </c>
      <c r="K1373" s="380">
        <f>K1388+K1399+K1403</f>
        <v>12767.949999999999</v>
      </c>
    </row>
    <row r="1374" spans="1:11">
      <c r="A1374" s="354" t="s">
        <v>27</v>
      </c>
      <c r="B1374" s="355" t="s">
        <v>11308</v>
      </c>
      <c r="C1374" s="355" t="s">
        <v>17663</v>
      </c>
      <c r="D1374" s="355" t="s">
        <v>0</v>
      </c>
      <c r="E1374" s="355" t="s">
        <v>1</v>
      </c>
      <c r="F1374" s="355" t="s">
        <v>39</v>
      </c>
      <c r="G1374" s="355" t="s">
        <v>40</v>
      </c>
      <c r="H1374" s="355" t="s">
        <v>41</v>
      </c>
      <c r="I1374" s="355" t="s">
        <v>42</v>
      </c>
      <c r="J1374" s="355"/>
      <c r="K1374" s="355" t="s">
        <v>43</v>
      </c>
    </row>
    <row r="1375" spans="1:11">
      <c r="A1375" s="222"/>
      <c r="B1375" s="225"/>
      <c r="C1375" s="225"/>
      <c r="D1375" s="225"/>
      <c r="E1375" s="225"/>
      <c r="F1375" s="225"/>
      <c r="G1375" s="225"/>
      <c r="H1375" s="225"/>
      <c r="I1375" s="225"/>
      <c r="J1375" s="225"/>
      <c r="K1375" s="225"/>
    </row>
    <row r="1376" spans="1:11">
      <c r="A1376" s="222"/>
      <c r="B1376" s="225"/>
      <c r="C1376" s="225"/>
      <c r="D1376" s="225"/>
      <c r="E1376" s="225"/>
      <c r="F1376" s="225"/>
      <c r="G1376" s="225"/>
      <c r="H1376" s="225"/>
      <c r="I1376" s="225"/>
      <c r="J1376" s="225"/>
      <c r="K1376" s="225"/>
    </row>
    <row r="1377" spans="1:11">
      <c r="A1377" s="358"/>
      <c r="B1377" s="359"/>
      <c r="C1377" s="359"/>
      <c r="D1377" s="359"/>
      <c r="E1377" s="359"/>
      <c r="F1377" s="359"/>
      <c r="G1377" s="359"/>
      <c r="H1377" s="359"/>
      <c r="I1377" s="359"/>
      <c r="J1377" s="360" t="s">
        <v>44</v>
      </c>
      <c r="K1377" s="361"/>
    </row>
    <row r="1378" spans="1:11">
      <c r="A1378" s="354" t="s">
        <v>45</v>
      </c>
      <c r="B1378" s="355" t="s">
        <v>11308</v>
      </c>
      <c r="C1378" s="355" t="s">
        <v>17663</v>
      </c>
      <c r="D1378" s="355" t="s">
        <v>0</v>
      </c>
      <c r="E1378" s="355" t="s">
        <v>36</v>
      </c>
      <c r="F1378" s="355" t="s">
        <v>46</v>
      </c>
      <c r="G1378" s="355" t="s">
        <v>47</v>
      </c>
      <c r="H1378" s="355" t="s">
        <v>25</v>
      </c>
      <c r="I1378" s="355"/>
      <c r="J1378" s="355"/>
      <c r="K1378" s="355" t="s">
        <v>43</v>
      </c>
    </row>
    <row r="1379" spans="1:11">
      <c r="A1379" s="222"/>
      <c r="B1379" s="225"/>
      <c r="C1379" s="225"/>
      <c r="D1379" s="225"/>
      <c r="E1379" s="225"/>
      <c r="F1379" s="225"/>
      <c r="G1379" s="225"/>
      <c r="H1379" s="225"/>
      <c r="I1379" s="225"/>
      <c r="J1379" s="225"/>
      <c r="K1379" s="225"/>
    </row>
    <row r="1380" spans="1:11">
      <c r="A1380" s="222"/>
      <c r="B1380" s="225"/>
      <c r="C1380" s="225"/>
      <c r="D1380" s="225"/>
      <c r="E1380" s="225"/>
      <c r="F1380" s="225"/>
      <c r="G1380" s="225"/>
      <c r="H1380" s="225"/>
      <c r="I1380" s="225"/>
      <c r="J1380" s="225"/>
      <c r="K1380" s="225"/>
    </row>
    <row r="1381" spans="1:11">
      <c r="A1381" s="358"/>
      <c r="B1381" s="359"/>
      <c r="C1381" s="359"/>
      <c r="D1381" s="359"/>
      <c r="E1381" s="359"/>
      <c r="F1381" s="359"/>
      <c r="G1381" s="359"/>
      <c r="H1381" s="359"/>
      <c r="I1381" s="359"/>
      <c r="J1381" s="360" t="s">
        <v>48</v>
      </c>
      <c r="K1381" s="361"/>
    </row>
    <row r="1382" spans="1:11">
      <c r="A1382" s="354" t="s">
        <v>49</v>
      </c>
      <c r="B1382" s="355" t="s">
        <v>11308</v>
      </c>
      <c r="C1382" s="355" t="s">
        <v>17663</v>
      </c>
      <c r="D1382" s="355" t="s">
        <v>0</v>
      </c>
      <c r="E1382" s="355" t="s">
        <v>14</v>
      </c>
      <c r="F1382" s="355" t="s">
        <v>50</v>
      </c>
      <c r="G1382" s="355" t="s">
        <v>29</v>
      </c>
      <c r="H1382" s="355" t="s">
        <v>30</v>
      </c>
      <c r="I1382" s="355"/>
      <c r="J1382" s="355"/>
      <c r="K1382" s="355" t="s">
        <v>33</v>
      </c>
    </row>
    <row r="1383" spans="1:11">
      <c r="A1383" s="222"/>
      <c r="B1383" s="225"/>
      <c r="C1383" s="225"/>
      <c r="D1383" s="225"/>
      <c r="E1383" s="225"/>
      <c r="F1383" s="225"/>
      <c r="G1383" s="225"/>
      <c r="H1383" s="225"/>
      <c r="I1383" s="225"/>
      <c r="J1383" s="225"/>
      <c r="K1383" s="225"/>
    </row>
    <row r="1384" spans="1:11">
      <c r="A1384" s="222"/>
      <c r="B1384" s="225"/>
      <c r="C1384" s="225"/>
      <c r="D1384" s="225"/>
      <c r="E1384" s="225"/>
      <c r="F1384" s="225"/>
      <c r="G1384" s="225"/>
      <c r="H1384" s="225"/>
      <c r="I1384" s="225"/>
      <c r="J1384" s="225"/>
      <c r="K1384" s="225"/>
    </row>
    <row r="1385" spans="1:11">
      <c r="A1385" s="358"/>
      <c r="B1385" s="359"/>
      <c r="C1385" s="359"/>
      <c r="D1385" s="359"/>
      <c r="E1385" s="359"/>
      <c r="F1385" s="359"/>
      <c r="G1385" s="359"/>
      <c r="H1385" s="359"/>
      <c r="I1385" s="359"/>
      <c r="J1385" s="360" t="s">
        <v>51</v>
      </c>
      <c r="K1385" s="361"/>
    </row>
    <row r="1386" spans="1:11">
      <c r="A1386" s="568" t="s">
        <v>52</v>
      </c>
      <c r="B1386" s="568"/>
      <c r="C1386" s="568"/>
      <c r="D1386" s="568"/>
      <c r="E1386" s="568"/>
      <c r="F1386" s="568"/>
      <c r="G1386" s="568"/>
      <c r="H1386" s="568"/>
      <c r="I1386" s="568"/>
      <c r="J1386" s="568"/>
      <c r="K1386" s="361">
        <f>K1377+K1381+K1385</f>
        <v>0</v>
      </c>
    </row>
    <row r="1387" spans="1:11">
      <c r="A1387" s="568" t="s">
        <v>53</v>
      </c>
      <c r="B1387" s="568"/>
      <c r="C1387" s="568"/>
      <c r="D1387" s="568"/>
      <c r="E1387" s="568"/>
      <c r="F1387" s="568"/>
      <c r="G1387" s="568"/>
      <c r="H1387" s="568"/>
      <c r="I1387" s="568"/>
      <c r="J1387" s="568"/>
      <c r="K1387" s="361">
        <v>1</v>
      </c>
    </row>
    <row r="1388" spans="1:11">
      <c r="A1388" s="566" t="s">
        <v>54</v>
      </c>
      <c r="B1388" s="566"/>
      <c r="C1388" s="566"/>
      <c r="D1388" s="566"/>
      <c r="E1388" s="566"/>
      <c r="F1388" s="566"/>
      <c r="G1388" s="566"/>
      <c r="H1388" s="566"/>
      <c r="I1388" s="566"/>
      <c r="J1388" s="566"/>
      <c r="K1388" s="362">
        <f>IF(K1386=0,0,K1386/K1387)</f>
        <v>0</v>
      </c>
    </row>
    <row r="1389" spans="1:11">
      <c r="A1389" s="354" t="s">
        <v>55</v>
      </c>
      <c r="B1389" s="355" t="s">
        <v>11308</v>
      </c>
      <c r="C1389" s="355" t="s">
        <v>17663</v>
      </c>
      <c r="D1389" s="355" t="s">
        <v>0</v>
      </c>
      <c r="E1389" s="355" t="s">
        <v>2</v>
      </c>
      <c r="F1389" s="567" t="s">
        <v>9</v>
      </c>
      <c r="G1389" s="567"/>
      <c r="H1389" s="567" t="s">
        <v>25</v>
      </c>
      <c r="I1389" s="567"/>
      <c r="J1389" s="355"/>
      <c r="K1389" s="355" t="s">
        <v>56</v>
      </c>
    </row>
    <row r="1390" spans="1:11" ht="31.5">
      <c r="A1390" s="222" t="str">
        <f>VLOOKUP(D1390,'21. CUSTOS SINAPI - SERVIÇOS'!A:B,2,0)</f>
        <v>CAIXA D´ÁGUA EM POLIÉSTER REFORÇADO COM FIBRA DE VIDRO, 5000 LITROS - FORNECIMENTO E INSTALAÇÃO. AF_06/2021</v>
      </c>
      <c r="B1390" s="225" t="s">
        <v>9008</v>
      </c>
      <c r="C1390" s="225" t="s">
        <v>17662</v>
      </c>
      <c r="D1390" s="225">
        <v>102617</v>
      </c>
      <c r="E1390" s="372" t="str">
        <f>VLOOKUP(D1390,'21. CUSTOS SINAPI - SERVIÇOS'!A:C,3,0)</f>
        <v>UN</v>
      </c>
      <c r="F1390" s="225"/>
      <c r="G1390" s="224">
        <f>VLOOKUP(D1390,'21. CUSTOS SINAPI - SERVIÇOS'!A:D,4,0)</f>
        <v>2552.21</v>
      </c>
      <c r="H1390" s="241"/>
      <c r="I1390" s="241">
        <v>1</v>
      </c>
      <c r="J1390" s="225"/>
      <c r="K1390" s="242">
        <f t="shared" ref="K1390:K1398" si="4">G1390*I1390</f>
        <v>2552.21</v>
      </c>
    </row>
    <row r="1391" spans="1:11" ht="47.25">
      <c r="A1391" s="222" t="str">
        <f>VLOOKUP(D1391,'21. CUSTOS SINAPI - SERVIÇOS'!A:B,2,0)</f>
        <v>JOELHO 90 GRAUS, PVC, SOLDÁVEL, DN 25MM, INSTALADO EM RAMAL DE DISTRIBUIÇÃO DE ÁGUA - FORNECIMENTO E INSTALAÇÃO. AF_06/2022</v>
      </c>
      <c r="B1391" s="225" t="s">
        <v>9008</v>
      </c>
      <c r="C1391" s="225" t="s">
        <v>17662</v>
      </c>
      <c r="D1391" s="225">
        <v>89408</v>
      </c>
      <c r="E1391" s="372" t="str">
        <f>VLOOKUP(D1391,'21. CUSTOS SINAPI - SERVIÇOS'!A:C,3,0)</f>
        <v>UN</v>
      </c>
      <c r="F1391" s="225"/>
      <c r="G1391" s="224">
        <f>VLOOKUP(D1391,'21. CUSTOS SINAPI - SERVIÇOS'!A:D,4,0)</f>
        <v>9.9700000000000006</v>
      </c>
      <c r="H1391" s="241"/>
      <c r="I1391" s="241">
        <v>3</v>
      </c>
      <c r="J1391" s="225"/>
      <c r="K1391" s="242">
        <f t="shared" si="4"/>
        <v>29.910000000000004</v>
      </c>
    </row>
    <row r="1392" spans="1:11" ht="47.25">
      <c r="A1392" s="222" t="str">
        <f>VLOOKUP(D1392,'21. CUSTOS SINAPI - SERVIÇOS'!A:B,2,0)</f>
        <v>KIT DE REGISTRO DE GAVETA BRUTO DE LATÃO ¾", INCLUSIVE CONEXÕES, ROSCÁVEL, INSTALADO EM RAMAL DE ÁGUA FRIA - FORNECIMENTO E INSTALAÇÃO. AF_12/2014</v>
      </c>
      <c r="B1392" s="225" t="s">
        <v>9008</v>
      </c>
      <c r="C1392" s="225" t="s">
        <v>17662</v>
      </c>
      <c r="D1392" s="225">
        <v>89972</v>
      </c>
      <c r="E1392" s="372" t="str">
        <f>VLOOKUP(D1392,'21. CUSTOS SINAPI - SERVIÇOS'!A:C,3,0)</f>
        <v>UN</v>
      </c>
      <c r="F1392" s="225"/>
      <c r="G1392" s="224">
        <f>VLOOKUP(D1392,'21. CUSTOS SINAPI - SERVIÇOS'!A:D,4,0)</f>
        <v>56.95</v>
      </c>
      <c r="H1392" s="241"/>
      <c r="I1392" s="241">
        <v>1</v>
      </c>
      <c r="J1392" s="225"/>
      <c r="K1392" s="242">
        <f t="shared" si="4"/>
        <v>56.95</v>
      </c>
    </row>
    <row r="1393" spans="1:11" ht="47.25">
      <c r="A1393" s="222" t="str">
        <f>VLOOKUP(D1393,'21. CUSTOS SINAPI - SERVIÇOS'!A:B,2,0)</f>
        <v>TUBO, PVC, SOLDÁVEL, DN  25 MM, INSTALADO EM RESERVAÇÃO DE ÁGUA DE EDIFICAÇÃO QUE POSSUA RESERVATÓRIO DE FIBRA/FIBROCIMENTO   FORNECIMENTO E INSTALAÇÃO. AF_06/2016</v>
      </c>
      <c r="B1393" s="225" t="s">
        <v>9008</v>
      </c>
      <c r="C1393" s="225" t="s">
        <v>17662</v>
      </c>
      <c r="D1393" s="225">
        <v>94648</v>
      </c>
      <c r="E1393" s="372" t="str">
        <f>VLOOKUP(D1393,'21. CUSTOS SINAPI - SERVIÇOS'!A:C,3,0)</f>
        <v>M</v>
      </c>
      <c r="F1393" s="225"/>
      <c r="G1393" s="224">
        <f>VLOOKUP(D1393,'21. CUSTOS SINAPI - SERVIÇOS'!A:D,4,0)</f>
        <v>12.7</v>
      </c>
      <c r="H1393" s="241"/>
      <c r="I1393" s="241">
        <v>19</v>
      </c>
      <c r="J1393" s="225"/>
      <c r="K1393" s="242">
        <f t="shared" si="4"/>
        <v>241.29999999999998</v>
      </c>
    </row>
    <row r="1394" spans="1:11" ht="47.25">
      <c r="A1394" s="222" t="str">
        <f>VLOOKUP(D1394,'21. CUSTOS SINAPI - SERVIÇOS'!A:B,2,0)</f>
        <v>TÊ, PVC, SOLDÁVEL, DN  25 MM INSTALADO EM RESERVAÇÃO DE ÁGUA DE EDIFICAÇÃO QUE POSSUA RESERVATÓRIO DE FIBRA/FIBROCIMENTO   FORNECIMENTO E INSTALAÇÃO. AF_06/2016</v>
      </c>
      <c r="B1394" s="225" t="s">
        <v>9008</v>
      </c>
      <c r="C1394" s="225" t="s">
        <v>17662</v>
      </c>
      <c r="D1394" s="225">
        <v>94688</v>
      </c>
      <c r="E1394" s="372" t="str">
        <f>VLOOKUP(D1394,'21. CUSTOS SINAPI - SERVIÇOS'!A:C,3,0)</f>
        <v>UN</v>
      </c>
      <c r="F1394" s="225"/>
      <c r="G1394" s="224">
        <f>VLOOKUP(D1394,'21. CUSTOS SINAPI - SERVIÇOS'!A:D,4,0)</f>
        <v>13.28</v>
      </c>
      <c r="H1394" s="241"/>
      <c r="I1394" s="241">
        <v>2</v>
      </c>
      <c r="J1394" s="225"/>
      <c r="K1394" s="242">
        <f t="shared" si="4"/>
        <v>26.56</v>
      </c>
    </row>
    <row r="1395" spans="1:11" ht="63">
      <c r="A1395" s="222" t="str">
        <f>VLOOKUP(D1395,'21. CUSTOS SINAPI - SERVIÇOS'!A:B,2,0)</f>
        <v>ADAPTADOR COM FLANGE E ANEL DE VEDAÇÃO, PVC, SOLDÁVEL, DN  25 MM X 3/4 , INSTALADO EM RESERVAÇÃO DE ÁGUA DE EDIFICAÇÃO QUE POSSUA RESERVATÓRIO DE FIBRA/FIBROCIMENTO   FORNECIMENTO E INSTALAÇÃO. AF_06/2016</v>
      </c>
      <c r="B1395" s="225" t="s">
        <v>9008</v>
      </c>
      <c r="C1395" s="225" t="s">
        <v>17662</v>
      </c>
      <c r="D1395" s="225">
        <v>94703</v>
      </c>
      <c r="E1395" s="372" t="str">
        <f>VLOOKUP(D1395,'21. CUSTOS SINAPI - SERVIÇOS'!A:C,3,0)</f>
        <v>UN</v>
      </c>
      <c r="F1395" s="225"/>
      <c r="G1395" s="224">
        <f>VLOOKUP(D1395,'21. CUSTOS SINAPI - SERVIÇOS'!A:D,4,0)</f>
        <v>24.25</v>
      </c>
      <c r="H1395" s="241"/>
      <c r="I1395" s="241">
        <v>1</v>
      </c>
      <c r="J1395" s="225"/>
      <c r="K1395" s="242">
        <f t="shared" si="4"/>
        <v>24.25</v>
      </c>
    </row>
    <row r="1396" spans="1:11" ht="31.5">
      <c r="A1396" s="222" t="str">
        <f>VLOOKUP(D1396,'21. CUSTOS SINAPI - SERVIÇOS'!A:B,2,0)</f>
        <v>TORNEIRA DE BOIA PARA CAIXA D'ÁGUA, ROSCÁVEL, 3/4" - FORNECIMENTO E INSTALAÇÃO. AF_08/2021</v>
      </c>
      <c r="B1396" s="225" t="s">
        <v>9008</v>
      </c>
      <c r="C1396" s="225" t="s">
        <v>17662</v>
      </c>
      <c r="D1396" s="225">
        <v>94796</v>
      </c>
      <c r="E1396" s="372" t="str">
        <f>VLOOKUP(D1396,'21. CUSTOS SINAPI - SERVIÇOS'!A:C,3,0)</f>
        <v>UN</v>
      </c>
      <c r="F1396" s="225"/>
      <c r="G1396" s="224">
        <f>VLOOKUP(D1396,'21. CUSTOS SINAPI - SERVIÇOS'!A:D,4,0)</f>
        <v>43.31</v>
      </c>
      <c r="H1396" s="241"/>
      <c r="I1396" s="241">
        <v>1</v>
      </c>
      <c r="J1396" s="225"/>
      <c r="K1396" s="242">
        <f t="shared" si="4"/>
        <v>43.31</v>
      </c>
    </row>
    <row r="1397" spans="1:11" ht="31.5">
      <c r="A1397" s="222" t="str">
        <f>VLOOKUP(D1397,'21. CUSTOS SINAPI - SERVIÇOS'!A:B,2,0)</f>
        <v>ESTRUTURA DE MADEIRA PROVISÓRIA PARA SUPORTE DE CAIXA D ÁGUA ELEVADA DE 3000 LITROS. AF_05/2018_PS</v>
      </c>
      <c r="B1397" s="225" t="s">
        <v>9008</v>
      </c>
      <c r="C1397" s="225" t="s">
        <v>17662</v>
      </c>
      <c r="D1397" s="225">
        <v>98462</v>
      </c>
      <c r="E1397" s="372" t="str">
        <f>VLOOKUP(D1397,'21. CUSTOS SINAPI - SERVIÇOS'!A:C,3,0)</f>
        <v>UN</v>
      </c>
      <c r="F1397" s="225"/>
      <c r="G1397" s="224">
        <f>VLOOKUP(D1397,'21. CUSTOS SINAPI - SERVIÇOS'!A:D,4,0)</f>
        <v>9793.4599999999991</v>
      </c>
      <c r="H1397" s="241"/>
      <c r="I1397" s="241">
        <v>1</v>
      </c>
      <c r="J1397" s="225"/>
      <c r="K1397" s="242">
        <f t="shared" si="4"/>
        <v>9793.4599999999991</v>
      </c>
    </row>
    <row r="1398" spans="1:11">
      <c r="A1398" s="222"/>
      <c r="B1398" s="225"/>
      <c r="C1398" s="225"/>
      <c r="D1398" s="225"/>
      <c r="E1398" s="372"/>
      <c r="F1398" s="225"/>
      <c r="G1398" s="224"/>
      <c r="H1398" s="241"/>
      <c r="I1398" s="241"/>
      <c r="J1398" s="225"/>
      <c r="K1398" s="242">
        <f t="shared" si="4"/>
        <v>0</v>
      </c>
    </row>
    <row r="1399" spans="1:11">
      <c r="A1399" s="364"/>
      <c r="B1399" s="365"/>
      <c r="C1399" s="365"/>
      <c r="D1399" s="365"/>
      <c r="E1399" s="365"/>
      <c r="F1399" s="365"/>
      <c r="G1399" s="365"/>
      <c r="H1399" s="365"/>
      <c r="I1399" s="365"/>
      <c r="J1399" s="366" t="s">
        <v>57</v>
      </c>
      <c r="K1399" s="362">
        <f>SUM(K1390:K1398)</f>
        <v>12767.949999999999</v>
      </c>
    </row>
    <row r="1400" spans="1:11">
      <c r="A1400" s="354" t="s">
        <v>58</v>
      </c>
      <c r="B1400" s="355" t="s">
        <v>11308</v>
      </c>
      <c r="C1400" s="355" t="s">
        <v>17663</v>
      </c>
      <c r="D1400" s="355" t="s">
        <v>0</v>
      </c>
      <c r="E1400" s="355" t="s">
        <v>2</v>
      </c>
      <c r="F1400" s="567" t="s">
        <v>9</v>
      </c>
      <c r="G1400" s="567"/>
      <c r="H1400" s="567" t="s">
        <v>25</v>
      </c>
      <c r="I1400" s="567"/>
      <c r="J1400" s="355"/>
      <c r="K1400" s="355" t="s">
        <v>56</v>
      </c>
    </row>
    <row r="1401" spans="1:11">
      <c r="A1401" s="222"/>
      <c r="B1401" s="225"/>
      <c r="C1401" s="225"/>
      <c r="D1401" s="225"/>
      <c r="E1401" s="225"/>
      <c r="F1401" s="225"/>
      <c r="G1401" s="224"/>
      <c r="H1401" s="241"/>
      <c r="I1401" s="246"/>
      <c r="J1401" s="241"/>
      <c r="K1401" s="242">
        <f>G1401*I1401</f>
        <v>0</v>
      </c>
    </row>
    <row r="1402" spans="1:11">
      <c r="A1402" s="222"/>
      <c r="B1402" s="225"/>
      <c r="C1402" s="225"/>
      <c r="D1402" s="225"/>
      <c r="E1402" s="225"/>
      <c r="F1402" s="225"/>
      <c r="G1402" s="224"/>
      <c r="H1402" s="241"/>
      <c r="I1402" s="246"/>
      <c r="J1402" s="241"/>
      <c r="K1402" s="242">
        <f>G1402*I1402</f>
        <v>0</v>
      </c>
    </row>
    <row r="1403" spans="1:11">
      <c r="A1403" s="364"/>
      <c r="B1403" s="365"/>
      <c r="C1403" s="365"/>
      <c r="D1403" s="365"/>
      <c r="E1403" s="365"/>
      <c r="F1403" s="365"/>
      <c r="G1403" s="365"/>
      <c r="H1403" s="365"/>
      <c r="I1403" s="365"/>
      <c r="J1403" s="366" t="s">
        <v>59</v>
      </c>
      <c r="K1403" s="362">
        <f>SUM(K1402:K1402)</f>
        <v>0</v>
      </c>
    </row>
    <row r="1404" spans="1:11" ht="34.5" customHeight="1">
      <c r="A1404" s="337" t="s">
        <v>22717</v>
      </c>
      <c r="B1404" s="337" t="s">
        <v>17672</v>
      </c>
      <c r="C1404" s="337" t="s">
        <v>950</v>
      </c>
      <c r="D1404" s="563" t="s">
        <v>22695</v>
      </c>
      <c r="E1404" s="563"/>
      <c r="F1404" s="563"/>
      <c r="G1404" s="563"/>
      <c r="H1404" s="563"/>
      <c r="I1404" s="563"/>
      <c r="J1404" s="337" t="s">
        <v>17667</v>
      </c>
      <c r="K1404" s="380">
        <f>K1423+K1434+K1438</f>
        <v>916.49</v>
      </c>
    </row>
    <row r="1405" spans="1:11">
      <c r="A1405" s="354" t="s">
        <v>27</v>
      </c>
      <c r="B1405" s="355" t="s">
        <v>11308</v>
      </c>
      <c r="C1405" s="355" t="s">
        <v>17663</v>
      </c>
      <c r="D1405" s="355" t="s">
        <v>0</v>
      </c>
      <c r="E1405" s="355" t="s">
        <v>1</v>
      </c>
      <c r="F1405" s="355" t="s">
        <v>39</v>
      </c>
      <c r="G1405" s="355" t="s">
        <v>40</v>
      </c>
      <c r="H1405" s="355" t="s">
        <v>41</v>
      </c>
      <c r="I1405" s="355" t="s">
        <v>42</v>
      </c>
      <c r="J1405" s="355"/>
      <c r="K1405" s="355" t="s">
        <v>43</v>
      </c>
    </row>
    <row r="1406" spans="1:11">
      <c r="A1406" s="222" t="str">
        <f>VLOOKUP(D1406,'17. CUSTOS DER - EQUIPAMENTOS'!A:B,2,0)</f>
        <v>CAMINHÃO C/ GUINDAUTO</v>
      </c>
      <c r="B1406" s="225" t="s">
        <v>9013</v>
      </c>
      <c r="C1406" s="225" t="s">
        <v>22635</v>
      </c>
      <c r="D1406" s="225">
        <v>346020</v>
      </c>
      <c r="E1406" s="225">
        <v>1</v>
      </c>
      <c r="F1406" s="225">
        <v>0.6</v>
      </c>
      <c r="G1406" s="225">
        <v>0.4</v>
      </c>
      <c r="H1406" s="225">
        <f>VLOOKUP(D1406,'17. CUSTOS DER - EQUIPAMENTOS'!A:O,15,0)</f>
        <v>279.58</v>
      </c>
      <c r="I1406" s="225">
        <f>VLOOKUP(D1406,'17. CUSTOS DER - EQUIPAMENTOS'!A:P,16,0)</f>
        <v>98.13</v>
      </c>
      <c r="J1406" s="225"/>
      <c r="K1406" s="381">
        <f>((F1406*H1406)+(G1406*I1406))*E1406</f>
        <v>207</v>
      </c>
    </row>
    <row r="1407" spans="1:11">
      <c r="A1407" s="222" t="str">
        <f>VLOOKUP(D1407,'17. CUSTOS DER - EQUIPAMENTOS'!A:B,2,0)</f>
        <v>CARREG. FRONTAL PNEUS 924-K MÉDIA</v>
      </c>
      <c r="B1407" s="225" t="s">
        <v>9013</v>
      </c>
      <c r="C1407" s="225" t="s">
        <v>22635</v>
      </c>
      <c r="D1407" s="225">
        <v>329300</v>
      </c>
      <c r="E1407" s="225">
        <v>1</v>
      </c>
      <c r="F1407" s="225">
        <v>0.3</v>
      </c>
      <c r="G1407" s="225">
        <v>0.7</v>
      </c>
      <c r="H1407" s="225">
        <f>VLOOKUP(D1407,'17. CUSTOS DER - EQUIPAMENTOS'!A:O,15,0)</f>
        <v>340.56</v>
      </c>
      <c r="I1407" s="225">
        <f>VLOOKUP(D1407,'17. CUSTOS DER - EQUIPAMENTOS'!A:P,16,0)</f>
        <v>124.35</v>
      </c>
      <c r="J1407" s="225"/>
      <c r="K1407" s="381">
        <f>((F1407*H1407)+(G1407*I1407))*E1407</f>
        <v>189.21299999999997</v>
      </c>
    </row>
    <row r="1408" spans="1:11">
      <c r="A1408" s="222" t="str">
        <f>VLOOKUP(D1408,'17. CUSTOS DER - EQUIPAMENTOS'!A:B,2,0)</f>
        <v>MOTOSSERRA A GASOLINA</v>
      </c>
      <c r="B1408" s="225" t="s">
        <v>9013</v>
      </c>
      <c r="C1408" s="225" t="s">
        <v>22635</v>
      </c>
      <c r="D1408" s="225">
        <v>370200</v>
      </c>
      <c r="E1408" s="225">
        <v>2</v>
      </c>
      <c r="F1408" s="225">
        <v>1</v>
      </c>
      <c r="G1408" s="225">
        <v>0</v>
      </c>
      <c r="H1408" s="225">
        <f>VLOOKUP(D1408,'17. CUSTOS DER - EQUIPAMENTOS'!A:O,15,0)</f>
        <v>3.96</v>
      </c>
      <c r="I1408" s="225">
        <f>VLOOKUP(D1408,'17. CUSTOS DER - EQUIPAMENTOS'!A:P,16,0)</f>
        <v>0.14000000000000001</v>
      </c>
      <c r="J1408" s="225"/>
      <c r="K1408" s="381">
        <f>((F1408*H1408)+(G1408*I1408))*E1408</f>
        <v>7.92</v>
      </c>
    </row>
    <row r="1409" spans="1:11">
      <c r="A1409" s="222" t="str">
        <f>VLOOKUP(D1409,'17. CUSTOS DER - EQUIPAMENTOS'!A:B,2,0)</f>
        <v>TRATOR AGRÍCOLA  5105 4X4</v>
      </c>
      <c r="B1409" s="225" t="s">
        <v>9013</v>
      </c>
      <c r="C1409" s="225" t="s">
        <v>22635</v>
      </c>
      <c r="D1409" s="225">
        <v>341000</v>
      </c>
      <c r="E1409" s="225">
        <v>1</v>
      </c>
      <c r="F1409" s="225">
        <v>0.3</v>
      </c>
      <c r="G1409" s="225">
        <v>0.7</v>
      </c>
      <c r="H1409" s="225">
        <f>VLOOKUP(D1409,'17. CUSTOS DER - EQUIPAMENTOS'!A:O,15,0)</f>
        <v>216.5</v>
      </c>
      <c r="I1409" s="225">
        <f>VLOOKUP(D1409,'17. CUSTOS DER - EQUIPAMENTOS'!A:P,16,0)</f>
        <v>56.9</v>
      </c>
      <c r="J1409" s="225"/>
      <c r="K1409" s="381">
        <f>((F1409*H1409)+(G1409*I1409))*E1409</f>
        <v>104.78</v>
      </c>
    </row>
    <row r="1410" spans="1:11">
      <c r="A1410" s="358"/>
      <c r="B1410" s="359"/>
      <c r="C1410" s="359"/>
      <c r="D1410" s="359"/>
      <c r="E1410" s="359"/>
      <c r="F1410" s="359"/>
      <c r="G1410" s="359"/>
      <c r="H1410" s="359"/>
      <c r="I1410" s="359"/>
      <c r="J1410" s="360" t="s">
        <v>44</v>
      </c>
      <c r="K1410" s="361">
        <f>SUM(K1406:K1409)</f>
        <v>508.91300000000001</v>
      </c>
    </row>
    <row r="1411" spans="1:11">
      <c r="A1411" s="354" t="s">
        <v>45</v>
      </c>
      <c r="B1411" s="355" t="s">
        <v>11308</v>
      </c>
      <c r="C1411" s="355" t="s">
        <v>17663</v>
      </c>
      <c r="D1411" s="355" t="s">
        <v>0</v>
      </c>
      <c r="E1411" s="355" t="s">
        <v>36</v>
      </c>
      <c r="F1411" s="355" t="s">
        <v>46</v>
      </c>
      <c r="G1411" s="355" t="s">
        <v>47</v>
      </c>
      <c r="H1411" s="355" t="s">
        <v>25</v>
      </c>
      <c r="I1411" s="355"/>
      <c r="J1411" s="355"/>
      <c r="K1411" s="355" t="s">
        <v>43</v>
      </c>
    </row>
    <row r="1412" spans="1:11">
      <c r="A1412" s="222" t="str">
        <f>VLOOKUP(D1412,'15. CUSTOS DER - MÃO DE OBRA'!A:B,2,0)</f>
        <v>CLASSIFICADOR DE MADEIRA</v>
      </c>
      <c r="B1412" s="225" t="s">
        <v>9013</v>
      </c>
      <c r="C1412" s="225" t="s">
        <v>17664</v>
      </c>
      <c r="D1412" s="225">
        <v>200311</v>
      </c>
      <c r="E1412" s="225">
        <f>VLOOKUP(D1412,'15. CUSTOS DER - MÃO DE OBRA'!A:C,3,0)</f>
        <v>6.6</v>
      </c>
      <c r="F1412" s="225"/>
      <c r="G1412" s="225">
        <f>VLOOKUP(D1412,'15. CUSTOS DER - MÃO DE OBRA'!A:D,4,0)</f>
        <v>94.39</v>
      </c>
      <c r="H1412" s="225">
        <v>1</v>
      </c>
      <c r="I1412" s="225"/>
      <c r="J1412" s="225"/>
      <c r="K1412" s="336">
        <f>G1412*H1412</f>
        <v>94.39</v>
      </c>
    </row>
    <row r="1413" spans="1:11">
      <c r="A1413" s="222" t="s">
        <v>131</v>
      </c>
      <c r="B1413" s="225"/>
      <c r="C1413" s="225"/>
      <c r="D1413" s="225">
        <v>210060</v>
      </c>
      <c r="E1413" s="225">
        <f>VLOOKUP(D1413,'15. CUSTOS DER - MÃO DE OBRA'!A:C,3,0)</f>
        <v>6</v>
      </c>
      <c r="F1413" s="225"/>
      <c r="G1413" s="225">
        <f>VLOOKUP(D1413,'15. CUSTOS DER - MÃO DE OBRA'!A:D,4,0)</f>
        <v>85.81</v>
      </c>
      <c r="H1413" s="225">
        <v>0.7</v>
      </c>
      <c r="I1413" s="225"/>
      <c r="J1413" s="225"/>
      <c r="K1413" s="336">
        <f>G1413*H1413</f>
        <v>60.067</v>
      </c>
    </row>
    <row r="1414" spans="1:11">
      <c r="A1414" s="222" t="s">
        <v>148</v>
      </c>
      <c r="B1414" s="225"/>
      <c r="C1414" s="225"/>
      <c r="D1414" s="225">
        <v>200160</v>
      </c>
      <c r="E1414" s="225">
        <f>VLOOKUP(D1414,'15. CUSTOS DER - MÃO DE OBRA'!A:C,3,0)</f>
        <v>2.25</v>
      </c>
      <c r="F1414" s="225"/>
      <c r="G1414" s="225">
        <f>VLOOKUP(D1414,'15. CUSTOS DER - MÃO DE OBRA'!A:D,4,0)</f>
        <v>32.18</v>
      </c>
      <c r="H1414" s="225">
        <v>2</v>
      </c>
      <c r="I1414" s="225"/>
      <c r="J1414" s="225"/>
      <c r="K1414" s="336">
        <f>G1414*H1414</f>
        <v>64.36</v>
      </c>
    </row>
    <row r="1415" spans="1:11">
      <c r="A1415" s="222" t="s">
        <v>100</v>
      </c>
      <c r="B1415" s="225"/>
      <c r="C1415" s="225"/>
      <c r="D1415" s="225">
        <v>200130</v>
      </c>
      <c r="E1415" s="225">
        <f>VLOOKUP(D1415,'15. CUSTOS DER - MÃO DE OBRA'!A:C,3,0)</f>
        <v>2.2000000000000002</v>
      </c>
      <c r="F1415" s="225"/>
      <c r="G1415" s="225">
        <f>VLOOKUP(D1415,'15. CUSTOS DER - MÃO DE OBRA'!A:D,4,0)</f>
        <v>31.46</v>
      </c>
      <c r="H1415" s="225">
        <v>6</v>
      </c>
      <c r="I1415" s="225"/>
      <c r="J1415" s="225"/>
      <c r="K1415" s="336">
        <f>G1415*H1415</f>
        <v>188.76</v>
      </c>
    </row>
    <row r="1416" spans="1:11">
      <c r="A1416" s="358"/>
      <c r="B1416" s="359"/>
      <c r="C1416" s="359"/>
      <c r="D1416" s="359"/>
      <c r="E1416" s="359"/>
      <c r="F1416" s="359"/>
      <c r="G1416" s="359"/>
      <c r="H1416" s="359"/>
      <c r="I1416" s="359"/>
      <c r="J1416" s="360" t="s">
        <v>48</v>
      </c>
      <c r="K1416" s="361">
        <f>SUM(K1412:K1415)</f>
        <v>407.577</v>
      </c>
    </row>
    <row r="1417" spans="1:11">
      <c r="A1417" s="354" t="s">
        <v>49</v>
      </c>
      <c r="B1417" s="355" t="s">
        <v>11308</v>
      </c>
      <c r="C1417" s="355" t="s">
        <v>17663</v>
      </c>
      <c r="D1417" s="355" t="s">
        <v>0</v>
      </c>
      <c r="E1417" s="355" t="s">
        <v>14</v>
      </c>
      <c r="F1417" s="355" t="s">
        <v>50</v>
      </c>
      <c r="G1417" s="355" t="s">
        <v>29</v>
      </c>
      <c r="H1417" s="355" t="s">
        <v>30</v>
      </c>
      <c r="I1417" s="355"/>
      <c r="J1417" s="355"/>
      <c r="K1417" s="355" t="s">
        <v>33</v>
      </c>
    </row>
    <row r="1418" spans="1:11">
      <c r="A1418" s="222" t="s">
        <v>31</v>
      </c>
      <c r="B1418" s="225"/>
      <c r="C1418" s="225"/>
      <c r="D1418" s="225">
        <v>29990</v>
      </c>
      <c r="E1418" s="225">
        <v>5</v>
      </c>
      <c r="F1418" s="225" t="s">
        <v>32</v>
      </c>
      <c r="G1418" s="225"/>
      <c r="H1418" s="225"/>
      <c r="I1418" s="225"/>
      <c r="J1418" s="225"/>
      <c r="K1418" s="336">
        <f>K1416*(E1418/100)</f>
        <v>20.37885</v>
      </c>
    </row>
    <row r="1419" spans="1:11">
      <c r="A1419" s="222"/>
      <c r="B1419" s="225"/>
      <c r="C1419" s="225"/>
      <c r="D1419" s="225"/>
      <c r="E1419" s="225"/>
      <c r="F1419" s="225"/>
      <c r="G1419" s="225"/>
      <c r="H1419" s="225"/>
      <c r="I1419" s="225"/>
      <c r="J1419" s="225"/>
      <c r="K1419" s="225"/>
    </row>
    <row r="1420" spans="1:11">
      <c r="A1420" s="358"/>
      <c r="B1420" s="359"/>
      <c r="C1420" s="359"/>
      <c r="D1420" s="359"/>
      <c r="E1420" s="359"/>
      <c r="F1420" s="359"/>
      <c r="G1420" s="359"/>
      <c r="H1420" s="359"/>
      <c r="I1420" s="359"/>
      <c r="J1420" s="360" t="s">
        <v>51</v>
      </c>
      <c r="K1420" s="361"/>
    </row>
    <row r="1421" spans="1:11">
      <c r="A1421" s="568" t="s">
        <v>52</v>
      </c>
      <c r="B1421" s="568"/>
      <c r="C1421" s="568"/>
      <c r="D1421" s="568"/>
      <c r="E1421" s="568"/>
      <c r="F1421" s="568"/>
      <c r="G1421" s="568"/>
      <c r="H1421" s="568"/>
      <c r="I1421" s="568"/>
      <c r="J1421" s="568"/>
      <c r="K1421" s="361">
        <f>K1410+K1416+K1420</f>
        <v>916.49</v>
      </c>
    </row>
    <row r="1422" spans="1:11">
      <c r="A1422" s="568" t="s">
        <v>53</v>
      </c>
      <c r="B1422" s="568"/>
      <c r="C1422" s="568"/>
      <c r="D1422" s="568"/>
      <c r="E1422" s="568"/>
      <c r="F1422" s="568"/>
      <c r="G1422" s="568"/>
      <c r="H1422" s="568"/>
      <c r="I1422" s="568"/>
      <c r="J1422" s="568"/>
      <c r="K1422" s="361">
        <v>1</v>
      </c>
    </row>
    <row r="1423" spans="1:11">
      <c r="A1423" s="566" t="s">
        <v>54</v>
      </c>
      <c r="B1423" s="566"/>
      <c r="C1423" s="566"/>
      <c r="D1423" s="566"/>
      <c r="E1423" s="566"/>
      <c r="F1423" s="566"/>
      <c r="G1423" s="566"/>
      <c r="H1423" s="566"/>
      <c r="I1423" s="566"/>
      <c r="J1423" s="566"/>
      <c r="K1423" s="362">
        <f>IF(K1421=0,0,K1421/K1422)</f>
        <v>916.49</v>
      </c>
    </row>
    <row r="1424" spans="1:11">
      <c r="A1424" s="354" t="s">
        <v>55</v>
      </c>
      <c r="B1424" s="355" t="s">
        <v>11308</v>
      </c>
      <c r="C1424" s="355" t="s">
        <v>17663</v>
      </c>
      <c r="D1424" s="355" t="s">
        <v>0</v>
      </c>
      <c r="E1424" s="355" t="s">
        <v>2</v>
      </c>
      <c r="F1424" s="567" t="s">
        <v>9</v>
      </c>
      <c r="G1424" s="567"/>
      <c r="H1424" s="567" t="s">
        <v>25</v>
      </c>
      <c r="I1424" s="567"/>
      <c r="J1424" s="355"/>
      <c r="K1424" s="355" t="s">
        <v>56</v>
      </c>
    </row>
    <row r="1425" spans="1:11">
      <c r="A1425" s="222"/>
      <c r="B1425" s="225"/>
      <c r="C1425" s="225"/>
      <c r="D1425" s="225"/>
      <c r="E1425" s="372"/>
      <c r="F1425" s="225"/>
      <c r="G1425" s="224"/>
      <c r="H1425" s="241"/>
      <c r="I1425" s="241"/>
      <c r="J1425" s="225"/>
      <c r="K1425" s="242">
        <f t="shared" ref="K1425:K1433" si="5">G1425*I1425</f>
        <v>0</v>
      </c>
    </row>
    <row r="1426" spans="1:11">
      <c r="A1426" s="222"/>
      <c r="B1426" s="225"/>
      <c r="C1426" s="225"/>
      <c r="D1426" s="225"/>
      <c r="E1426" s="372"/>
      <c r="F1426" s="225"/>
      <c r="G1426" s="224"/>
      <c r="H1426" s="241"/>
      <c r="I1426" s="241"/>
      <c r="J1426" s="225"/>
      <c r="K1426" s="242">
        <f t="shared" si="5"/>
        <v>0</v>
      </c>
    </row>
    <row r="1427" spans="1:11">
      <c r="A1427" s="222"/>
      <c r="B1427" s="225"/>
      <c r="C1427" s="225"/>
      <c r="D1427" s="225"/>
      <c r="E1427" s="372"/>
      <c r="F1427" s="225"/>
      <c r="G1427" s="224"/>
      <c r="H1427" s="241"/>
      <c r="I1427" s="241"/>
      <c r="J1427" s="225"/>
      <c r="K1427" s="242">
        <f t="shared" si="5"/>
        <v>0</v>
      </c>
    </row>
    <row r="1428" spans="1:11">
      <c r="A1428" s="222"/>
      <c r="B1428" s="225"/>
      <c r="C1428" s="225"/>
      <c r="D1428" s="225"/>
      <c r="E1428" s="372"/>
      <c r="F1428" s="225"/>
      <c r="G1428" s="224"/>
      <c r="H1428" s="241"/>
      <c r="I1428" s="241"/>
      <c r="J1428" s="225"/>
      <c r="K1428" s="242">
        <f t="shared" si="5"/>
        <v>0</v>
      </c>
    </row>
    <row r="1429" spans="1:11">
      <c r="A1429" s="222"/>
      <c r="B1429" s="225"/>
      <c r="C1429" s="225"/>
      <c r="D1429" s="225"/>
      <c r="E1429" s="372"/>
      <c r="F1429" s="225"/>
      <c r="G1429" s="224"/>
      <c r="H1429" s="241"/>
      <c r="I1429" s="241"/>
      <c r="J1429" s="225"/>
      <c r="K1429" s="242">
        <f t="shared" si="5"/>
        <v>0</v>
      </c>
    </row>
    <row r="1430" spans="1:11">
      <c r="A1430" s="222"/>
      <c r="B1430" s="225"/>
      <c r="C1430" s="225"/>
      <c r="D1430" s="225"/>
      <c r="E1430" s="372"/>
      <c r="F1430" s="225"/>
      <c r="G1430" s="224"/>
      <c r="H1430" s="241"/>
      <c r="I1430" s="241"/>
      <c r="J1430" s="225"/>
      <c r="K1430" s="242">
        <f t="shared" si="5"/>
        <v>0</v>
      </c>
    </row>
    <row r="1431" spans="1:11">
      <c r="A1431" s="222"/>
      <c r="B1431" s="225"/>
      <c r="C1431" s="225"/>
      <c r="D1431" s="225"/>
      <c r="E1431" s="372"/>
      <c r="F1431" s="225"/>
      <c r="G1431" s="224"/>
      <c r="H1431" s="241"/>
      <c r="I1431" s="241"/>
      <c r="J1431" s="225"/>
      <c r="K1431" s="242">
        <f t="shared" si="5"/>
        <v>0</v>
      </c>
    </row>
    <row r="1432" spans="1:11">
      <c r="A1432" s="222"/>
      <c r="B1432" s="225"/>
      <c r="C1432" s="225"/>
      <c r="D1432" s="225"/>
      <c r="E1432" s="372"/>
      <c r="F1432" s="225"/>
      <c r="G1432" s="224"/>
      <c r="H1432" s="241"/>
      <c r="I1432" s="241"/>
      <c r="J1432" s="225"/>
      <c r="K1432" s="242">
        <f t="shared" si="5"/>
        <v>0</v>
      </c>
    </row>
    <row r="1433" spans="1:11">
      <c r="A1433" s="222"/>
      <c r="B1433" s="225"/>
      <c r="C1433" s="225"/>
      <c r="D1433" s="225"/>
      <c r="E1433" s="372"/>
      <c r="F1433" s="225"/>
      <c r="G1433" s="224"/>
      <c r="H1433" s="241"/>
      <c r="I1433" s="241"/>
      <c r="J1433" s="225"/>
      <c r="K1433" s="242">
        <f t="shared" si="5"/>
        <v>0</v>
      </c>
    </row>
    <row r="1434" spans="1:11">
      <c r="A1434" s="364"/>
      <c r="B1434" s="365"/>
      <c r="C1434" s="365"/>
      <c r="D1434" s="365"/>
      <c r="E1434" s="365"/>
      <c r="F1434" s="365"/>
      <c r="G1434" s="365"/>
      <c r="H1434" s="365"/>
      <c r="I1434" s="365"/>
      <c r="J1434" s="366" t="s">
        <v>57</v>
      </c>
      <c r="K1434" s="362">
        <f>SUM(K1425:K1433)</f>
        <v>0</v>
      </c>
    </row>
    <row r="1435" spans="1:11">
      <c r="A1435" s="354" t="s">
        <v>58</v>
      </c>
      <c r="B1435" s="355" t="s">
        <v>11308</v>
      </c>
      <c r="C1435" s="355" t="s">
        <v>17663</v>
      </c>
      <c r="D1435" s="355" t="s">
        <v>0</v>
      </c>
      <c r="E1435" s="355" t="s">
        <v>2</v>
      </c>
      <c r="F1435" s="567" t="s">
        <v>9</v>
      </c>
      <c r="G1435" s="567"/>
      <c r="H1435" s="567" t="s">
        <v>25</v>
      </c>
      <c r="I1435" s="567"/>
      <c r="J1435" s="355"/>
      <c r="K1435" s="355" t="s">
        <v>56</v>
      </c>
    </row>
    <row r="1436" spans="1:11">
      <c r="A1436" s="222"/>
      <c r="B1436" s="225"/>
      <c r="C1436" s="225"/>
      <c r="D1436" s="225"/>
      <c r="E1436" s="225"/>
      <c r="F1436" s="225"/>
      <c r="G1436" s="224"/>
      <c r="H1436" s="241"/>
      <c r="I1436" s="246"/>
      <c r="J1436" s="241"/>
      <c r="K1436" s="242">
        <f>G1436*I1436</f>
        <v>0</v>
      </c>
    </row>
    <row r="1437" spans="1:11">
      <c r="A1437" s="222"/>
      <c r="B1437" s="225"/>
      <c r="C1437" s="225"/>
      <c r="D1437" s="225"/>
      <c r="E1437" s="225"/>
      <c r="F1437" s="225"/>
      <c r="G1437" s="224"/>
      <c r="H1437" s="241"/>
      <c r="I1437" s="246"/>
      <c r="J1437" s="241"/>
      <c r="K1437" s="242">
        <f>G1437*I1437</f>
        <v>0</v>
      </c>
    </row>
    <row r="1438" spans="1:11">
      <c r="A1438" s="364"/>
      <c r="B1438" s="365"/>
      <c r="C1438" s="365"/>
      <c r="D1438" s="365"/>
      <c r="E1438" s="365"/>
      <c r="F1438" s="365"/>
      <c r="G1438" s="365"/>
      <c r="H1438" s="365"/>
      <c r="I1438" s="365"/>
      <c r="J1438" s="366" t="s">
        <v>59</v>
      </c>
      <c r="K1438" s="362">
        <f>SUM(K1437:K1437)</f>
        <v>0</v>
      </c>
    </row>
    <row r="1439" spans="1:11">
      <c r="A1439" s="337" t="s">
        <v>22721</v>
      </c>
      <c r="B1439" s="337" t="s">
        <v>17672</v>
      </c>
      <c r="C1439" s="337" t="s">
        <v>950</v>
      </c>
      <c r="D1439" s="563" t="s">
        <v>22722</v>
      </c>
      <c r="E1439" s="563"/>
      <c r="F1439" s="563"/>
      <c r="G1439" s="563"/>
      <c r="H1439" s="563"/>
      <c r="I1439" s="563"/>
      <c r="J1439" s="382" t="s">
        <v>17667</v>
      </c>
      <c r="K1439" s="380">
        <f>K1453+K1460+K1464</f>
        <v>491.38543199999998</v>
      </c>
    </row>
    <row r="1440" spans="1:11">
      <c r="A1440" s="354" t="s">
        <v>27</v>
      </c>
      <c r="B1440" s="355" t="s">
        <v>11308</v>
      </c>
      <c r="C1440" s="355" t="s">
        <v>17663</v>
      </c>
      <c r="D1440" s="355" t="s">
        <v>0</v>
      </c>
      <c r="E1440" s="355" t="s">
        <v>1</v>
      </c>
      <c r="F1440" s="355" t="s">
        <v>39</v>
      </c>
      <c r="G1440" s="355" t="s">
        <v>40</v>
      </c>
      <c r="H1440" s="355" t="s">
        <v>41</v>
      </c>
      <c r="I1440" s="355" t="s">
        <v>42</v>
      </c>
      <c r="J1440" s="355"/>
      <c r="K1440" s="355" t="s">
        <v>43</v>
      </c>
    </row>
    <row r="1441" spans="1:11">
      <c r="A1441" s="222"/>
      <c r="B1441" s="225"/>
      <c r="C1441" s="225"/>
      <c r="D1441" s="225"/>
      <c r="E1441" s="225"/>
      <c r="F1441" s="225"/>
      <c r="G1441" s="225"/>
      <c r="H1441" s="225"/>
      <c r="I1441" s="225"/>
      <c r="J1441" s="225"/>
      <c r="K1441" s="242"/>
    </row>
    <row r="1442" spans="1:11">
      <c r="A1442" s="222"/>
      <c r="B1442" s="225"/>
      <c r="C1442" s="225"/>
      <c r="D1442" s="225"/>
      <c r="E1442" s="225"/>
      <c r="F1442" s="225"/>
      <c r="G1442" s="225"/>
      <c r="H1442" s="225"/>
      <c r="I1442" s="225"/>
      <c r="J1442" s="225"/>
      <c r="K1442" s="242"/>
    </row>
    <row r="1443" spans="1:11">
      <c r="A1443" s="358"/>
      <c r="B1443" s="359"/>
      <c r="C1443" s="359"/>
      <c r="D1443" s="359"/>
      <c r="E1443" s="359"/>
      <c r="F1443" s="359"/>
      <c r="G1443" s="359"/>
      <c r="H1443" s="359"/>
      <c r="I1443" s="359"/>
      <c r="J1443" s="360" t="s">
        <v>44</v>
      </c>
      <c r="K1443" s="361">
        <f>SUM(K1442:K1442)</f>
        <v>0</v>
      </c>
    </row>
    <row r="1444" spans="1:11">
      <c r="A1444" s="354" t="s">
        <v>45</v>
      </c>
      <c r="B1444" s="355" t="s">
        <v>11308</v>
      </c>
      <c r="C1444" s="355" t="s">
        <v>17663</v>
      </c>
      <c r="D1444" s="355" t="s">
        <v>0</v>
      </c>
      <c r="E1444" s="355" t="s">
        <v>36</v>
      </c>
      <c r="F1444" s="355" t="s">
        <v>46</v>
      </c>
      <c r="G1444" s="355" t="s">
        <v>47</v>
      </c>
      <c r="H1444" s="355" t="s">
        <v>25</v>
      </c>
      <c r="I1444" s="355"/>
      <c r="J1444" s="355"/>
      <c r="K1444" s="355" t="s">
        <v>43</v>
      </c>
    </row>
    <row r="1445" spans="1:11">
      <c r="A1445" s="222" t="str">
        <f>VLOOKUP(D1445,'15. CUSTOS DER - MÃO DE OBRA'!A:B,2,0)</f>
        <v>PEDREIRO</v>
      </c>
      <c r="B1445" s="225" t="s">
        <v>9013</v>
      </c>
      <c r="C1445" s="225" t="s">
        <v>17664</v>
      </c>
      <c r="D1445" s="225">
        <v>200260</v>
      </c>
      <c r="E1445" s="242">
        <f>VLOOKUP(D1445,'15. CUSTOS DER - MÃO DE OBRA'!A:C,3,0)</f>
        <v>2.85</v>
      </c>
      <c r="F1445" s="225"/>
      <c r="G1445" s="225">
        <f>VLOOKUP(D1445,'15. CUSTOS DER - MÃO DE OBRA'!A:D,4,0)</f>
        <v>40.76</v>
      </c>
      <c r="H1445" s="241">
        <v>1</v>
      </c>
      <c r="I1445" s="225"/>
      <c r="J1445" s="225"/>
      <c r="K1445" s="242">
        <f>G1445*H1445</f>
        <v>40.76</v>
      </c>
    </row>
    <row r="1446" spans="1:11">
      <c r="A1446" s="222" t="str">
        <f>VLOOKUP(D1446,'15. CUSTOS DER - MÃO DE OBRA'!A:B,2,0)</f>
        <v>SERVENTE</v>
      </c>
      <c r="B1446" s="225" t="s">
        <v>9013</v>
      </c>
      <c r="C1446" s="225" t="s">
        <v>17664</v>
      </c>
      <c r="D1446" s="225">
        <v>200130</v>
      </c>
      <c r="E1446" s="242">
        <f>VLOOKUP(D1446,'15. CUSTOS DER - MÃO DE OBRA'!A:C,3,0)</f>
        <v>2.2000000000000002</v>
      </c>
      <c r="F1446" s="225"/>
      <c r="G1446" s="225">
        <f>VLOOKUP(D1446,'15. CUSTOS DER - MÃO DE OBRA'!A:D,4,0)</f>
        <v>31.46</v>
      </c>
      <c r="H1446" s="241">
        <v>14</v>
      </c>
      <c r="I1446" s="225"/>
      <c r="J1446" s="225"/>
      <c r="K1446" s="242">
        <f>G1446*H1446</f>
        <v>440.44</v>
      </c>
    </row>
    <row r="1447" spans="1:11">
      <c r="A1447" s="358"/>
      <c r="B1447" s="359"/>
      <c r="C1447" s="359"/>
      <c r="D1447" s="359"/>
      <c r="E1447" s="359"/>
      <c r="F1447" s="359"/>
      <c r="G1447" s="359"/>
      <c r="H1447" s="359"/>
      <c r="I1447" s="359"/>
      <c r="J1447" s="360" t="s">
        <v>48</v>
      </c>
      <c r="K1447" s="361">
        <f>SUM(K1445:K1446)</f>
        <v>481.2</v>
      </c>
    </row>
    <row r="1448" spans="1:11">
      <c r="A1448" s="354" t="s">
        <v>49</v>
      </c>
      <c r="B1448" s="355" t="s">
        <v>11308</v>
      </c>
      <c r="C1448" s="355" t="s">
        <v>17663</v>
      </c>
      <c r="D1448" s="355" t="s">
        <v>0</v>
      </c>
      <c r="E1448" s="355" t="s">
        <v>14</v>
      </c>
      <c r="F1448" s="355" t="s">
        <v>50</v>
      </c>
      <c r="G1448" s="355" t="s">
        <v>29</v>
      </c>
      <c r="H1448" s="355" t="s">
        <v>30</v>
      </c>
      <c r="I1448" s="355"/>
      <c r="J1448" s="355"/>
      <c r="K1448" s="355" t="s">
        <v>33</v>
      </c>
    </row>
    <row r="1449" spans="1:11">
      <c r="A1449" s="222" t="s">
        <v>31</v>
      </c>
      <c r="B1449" s="225"/>
      <c r="C1449" s="225"/>
      <c r="D1449" s="225">
        <v>29990</v>
      </c>
      <c r="E1449" s="243">
        <v>5</v>
      </c>
      <c r="F1449" s="225" t="s">
        <v>32</v>
      </c>
      <c r="G1449" s="225"/>
      <c r="H1449" s="225"/>
      <c r="I1449" s="225"/>
      <c r="J1449" s="225"/>
      <c r="K1449" s="242">
        <f>K1447*(E1449/100)</f>
        <v>24.060000000000002</v>
      </c>
    </row>
    <row r="1450" spans="1:11">
      <c r="A1450" s="358"/>
      <c r="B1450" s="359"/>
      <c r="C1450" s="359"/>
      <c r="D1450" s="359"/>
      <c r="E1450" s="359"/>
      <c r="F1450" s="359"/>
      <c r="G1450" s="359"/>
      <c r="H1450" s="359"/>
      <c r="I1450" s="359"/>
      <c r="J1450" s="360" t="s">
        <v>51</v>
      </c>
      <c r="K1450" s="361">
        <f>SUM(K1449:K1449)</f>
        <v>24.060000000000002</v>
      </c>
    </row>
    <row r="1451" spans="1:11">
      <c r="A1451" s="568" t="s">
        <v>52</v>
      </c>
      <c r="B1451" s="568"/>
      <c r="C1451" s="568"/>
      <c r="D1451" s="568"/>
      <c r="E1451" s="568"/>
      <c r="F1451" s="568"/>
      <c r="G1451" s="568"/>
      <c r="H1451" s="568"/>
      <c r="I1451" s="568"/>
      <c r="J1451" s="568"/>
      <c r="K1451" s="361">
        <f>K1443+K1447+K1450</f>
        <v>505.26</v>
      </c>
    </row>
    <row r="1452" spans="1:11">
      <c r="A1452" s="568" t="s">
        <v>53</v>
      </c>
      <c r="B1452" s="568"/>
      <c r="C1452" s="568"/>
      <c r="D1452" s="568"/>
      <c r="E1452" s="568"/>
      <c r="F1452" s="568"/>
      <c r="G1452" s="568"/>
      <c r="H1452" s="568"/>
      <c r="I1452" s="568"/>
      <c r="J1452" s="568"/>
      <c r="K1452" s="361">
        <v>2.5</v>
      </c>
    </row>
    <row r="1453" spans="1:11">
      <c r="A1453" s="566" t="s">
        <v>54</v>
      </c>
      <c r="B1453" s="566"/>
      <c r="C1453" s="566"/>
      <c r="D1453" s="566"/>
      <c r="E1453" s="566"/>
      <c r="F1453" s="566"/>
      <c r="G1453" s="566"/>
      <c r="H1453" s="566"/>
      <c r="I1453" s="566"/>
      <c r="J1453" s="566"/>
      <c r="K1453" s="362">
        <f>IF(K1451=0,0,K1451/K1452)</f>
        <v>202.10399999999998</v>
      </c>
    </row>
    <row r="1454" spans="1:11">
      <c r="A1454" s="354" t="s">
        <v>55</v>
      </c>
      <c r="B1454" s="355" t="s">
        <v>11308</v>
      </c>
      <c r="C1454" s="355" t="s">
        <v>17663</v>
      </c>
      <c r="D1454" s="355" t="s">
        <v>0</v>
      </c>
      <c r="E1454" s="355" t="s">
        <v>2</v>
      </c>
      <c r="F1454" s="567" t="s">
        <v>9</v>
      </c>
      <c r="G1454" s="567"/>
      <c r="H1454" s="567" t="s">
        <v>25</v>
      </c>
      <c r="I1454" s="567"/>
      <c r="J1454" s="355"/>
      <c r="K1454" s="355" t="s">
        <v>56</v>
      </c>
    </row>
    <row r="1455" spans="1:11">
      <c r="A1455" s="222" t="str">
        <f>VLOOKUP(D1455,'14. CUSTOS DER - MATERIAIS'!A:B,2,0)</f>
        <v>AREIA</v>
      </c>
      <c r="B1455" s="225" t="s">
        <v>9013</v>
      </c>
      <c r="C1455" s="225" t="s">
        <v>68</v>
      </c>
      <c r="D1455" s="225">
        <v>139000</v>
      </c>
      <c r="E1455" s="225" t="str">
        <f>VLOOKUP(D1455,'14. CUSTOS DER - MATERIAIS'!A:C,3,0)</f>
        <v>M3</v>
      </c>
      <c r="F1455" s="225"/>
      <c r="G1455" s="224">
        <f>VLOOKUP(D1455,'14. CUSTOS DER - MATERIAIS'!A:D,4,0)</f>
        <v>71.87</v>
      </c>
      <c r="H1455" s="241"/>
      <c r="I1455" s="241">
        <v>1.1299999999999999</v>
      </c>
      <c r="J1455" s="225"/>
      <c r="K1455" s="242">
        <f>G1455*I1455</f>
        <v>81.213099999999997</v>
      </c>
    </row>
    <row r="1456" spans="1:11">
      <c r="A1456" s="222" t="str">
        <f>VLOOKUP(D1456,'14. CUSTOS DER - MATERIAIS'!A:B,2,0)</f>
        <v>CAL HIDRATADA CH-I</v>
      </c>
      <c r="B1456" s="225" t="s">
        <v>9013</v>
      </c>
      <c r="C1456" s="225" t="s">
        <v>68</v>
      </c>
      <c r="D1456" s="225">
        <v>170010</v>
      </c>
      <c r="E1456" s="225" t="str">
        <f>VLOOKUP(D1456,'14. CUSTOS DER - MATERIAIS'!A:C,3,0)</f>
        <v>T</v>
      </c>
      <c r="F1456" s="225"/>
      <c r="G1456" s="224">
        <f>VLOOKUP(D1456,'14. CUSTOS DER - MATERIAIS'!A:D,4,0)</f>
        <v>585.66</v>
      </c>
      <c r="H1456" s="241"/>
      <c r="I1456" s="241">
        <v>0.17019999999999999</v>
      </c>
      <c r="J1456" s="225"/>
      <c r="K1456" s="242">
        <f>G1456*I1456</f>
        <v>99.679331999999988</v>
      </c>
    </row>
    <row r="1457" spans="1:11">
      <c r="A1457" s="222" t="str">
        <f>VLOOKUP(D1457,'14. CUSTOS DER - MATERIAIS'!A:B,2,0)</f>
        <v>CIMENTO PORTLAND (SACO DE 50KG)</v>
      </c>
      <c r="B1457" s="225" t="s">
        <v>9013</v>
      </c>
      <c r="C1457" s="225" t="s">
        <v>68</v>
      </c>
      <c r="D1457" s="225">
        <v>173200</v>
      </c>
      <c r="E1457" s="225" t="str">
        <f>VLOOKUP(D1457,'14. CUSTOS DER - MATERIAIS'!A:C,3,0)</f>
        <v>T</v>
      </c>
      <c r="F1457" s="225"/>
      <c r="G1457" s="224">
        <f>VLOOKUP(D1457,'14. CUSTOS DER - MATERIAIS'!A:D,4,0)</f>
        <v>566</v>
      </c>
      <c r="H1457" s="241"/>
      <c r="I1457" s="241">
        <v>0.1915</v>
      </c>
      <c r="J1457" s="225"/>
      <c r="K1457" s="242">
        <f>G1457*I1457</f>
        <v>108.389</v>
      </c>
    </row>
    <row r="1458" spans="1:11">
      <c r="A1458" s="222"/>
      <c r="B1458" s="225"/>
      <c r="C1458" s="225"/>
      <c r="D1458" s="225"/>
      <c r="E1458" s="225"/>
      <c r="F1458" s="225"/>
      <c r="G1458" s="224"/>
      <c r="H1458" s="241"/>
      <c r="I1458" s="241"/>
      <c r="J1458" s="225"/>
      <c r="K1458" s="242"/>
    </row>
    <row r="1459" spans="1:11">
      <c r="A1459" s="222"/>
      <c r="B1459" s="225"/>
      <c r="C1459" s="225"/>
      <c r="D1459" s="225"/>
      <c r="E1459" s="225"/>
      <c r="F1459" s="225"/>
      <c r="G1459" s="224"/>
      <c r="H1459" s="241"/>
      <c r="I1459" s="241"/>
      <c r="J1459" s="225"/>
      <c r="K1459" s="242"/>
    </row>
    <row r="1460" spans="1:11">
      <c r="A1460" s="364"/>
      <c r="B1460" s="365"/>
      <c r="C1460" s="365"/>
      <c r="D1460" s="365"/>
      <c r="E1460" s="365"/>
      <c r="F1460" s="365"/>
      <c r="G1460" s="365"/>
      <c r="H1460" s="365"/>
      <c r="I1460" s="365"/>
      <c r="J1460" s="366" t="s">
        <v>57</v>
      </c>
      <c r="K1460" s="362">
        <f>SUM(K1455:K1459)</f>
        <v>289.281432</v>
      </c>
    </row>
    <row r="1461" spans="1:11">
      <c r="A1461" s="354" t="s">
        <v>58</v>
      </c>
      <c r="B1461" s="355" t="s">
        <v>11308</v>
      </c>
      <c r="C1461" s="355" t="s">
        <v>17663</v>
      </c>
      <c r="D1461" s="355" t="s">
        <v>0</v>
      </c>
      <c r="E1461" s="355" t="s">
        <v>2</v>
      </c>
      <c r="F1461" s="567" t="s">
        <v>9</v>
      </c>
      <c r="G1461" s="567"/>
      <c r="H1461" s="567" t="s">
        <v>25</v>
      </c>
      <c r="I1461" s="567"/>
      <c r="J1461" s="355"/>
      <c r="K1461" s="355" t="s">
        <v>56</v>
      </c>
    </row>
    <row r="1462" spans="1:11">
      <c r="A1462" s="222"/>
      <c r="B1462" s="225"/>
      <c r="C1462" s="225"/>
      <c r="D1462" s="225"/>
      <c r="E1462" s="372"/>
      <c r="F1462" s="225"/>
      <c r="G1462" s="224"/>
      <c r="H1462" s="241"/>
      <c r="I1462" s="240"/>
      <c r="J1462" s="225"/>
      <c r="K1462" s="242"/>
    </row>
    <row r="1463" spans="1:11">
      <c r="A1463" s="222"/>
      <c r="B1463" s="225"/>
      <c r="C1463" s="225"/>
      <c r="D1463" s="225"/>
      <c r="E1463" s="372"/>
      <c r="F1463" s="225"/>
      <c r="G1463" s="224"/>
      <c r="H1463" s="241"/>
      <c r="I1463" s="240"/>
      <c r="J1463" s="225"/>
      <c r="K1463" s="242"/>
    </row>
    <row r="1464" spans="1:11">
      <c r="A1464" s="364"/>
      <c r="B1464" s="365"/>
      <c r="C1464" s="365"/>
      <c r="D1464" s="365"/>
      <c r="E1464" s="365"/>
      <c r="F1464" s="365"/>
      <c r="G1464" s="365"/>
      <c r="H1464" s="365"/>
      <c r="I1464" s="365"/>
      <c r="J1464" s="366" t="s">
        <v>59</v>
      </c>
      <c r="K1464" s="362">
        <f>SUM(K1463:K1463)</f>
        <v>0</v>
      </c>
    </row>
  </sheetData>
  <autoFilter ref="A2:K1464"/>
  <mergeCells count="429">
    <mergeCell ref="F824:G824"/>
    <mergeCell ref="F1159:G1159"/>
    <mergeCell ref="H1159:I1159"/>
    <mergeCell ref="A1015:J1015"/>
    <mergeCell ref="A1016:J1016"/>
    <mergeCell ref="F1017:G1017"/>
    <mergeCell ref="H1017:I1017"/>
    <mergeCell ref="D975:I975"/>
    <mergeCell ref="A988:J988"/>
    <mergeCell ref="D1137:I1137"/>
    <mergeCell ref="A1152:J1152"/>
    <mergeCell ref="A1153:J1153"/>
    <mergeCell ref="A1154:J1154"/>
    <mergeCell ref="D1081:I1081"/>
    <mergeCell ref="A1098:J1098"/>
    <mergeCell ref="F1048:G1048"/>
    <mergeCell ref="H824:I824"/>
    <mergeCell ref="H1048:I1048"/>
    <mergeCell ref="D1027:I1027"/>
    <mergeCell ref="A1041:J1041"/>
    <mergeCell ref="A1042:J1042"/>
    <mergeCell ref="A1043:J1043"/>
    <mergeCell ref="F1044:G1044"/>
    <mergeCell ref="F884:G884"/>
    <mergeCell ref="A780:J780"/>
    <mergeCell ref="A646:J646"/>
    <mergeCell ref="F647:G647"/>
    <mergeCell ref="H647:I647"/>
    <mergeCell ref="A752:J752"/>
    <mergeCell ref="F674:G674"/>
    <mergeCell ref="H674:I674"/>
    <mergeCell ref="F679:G679"/>
    <mergeCell ref="H816:I816"/>
    <mergeCell ref="A724:J724"/>
    <mergeCell ref="A725:J725"/>
    <mergeCell ref="A726:J726"/>
    <mergeCell ref="F731:G731"/>
    <mergeCell ref="H731:I731"/>
    <mergeCell ref="D737:I737"/>
    <mergeCell ref="H789:I789"/>
    <mergeCell ref="A779:J779"/>
    <mergeCell ref="H570:I570"/>
    <mergeCell ref="A592:J592"/>
    <mergeCell ref="A618:J618"/>
    <mergeCell ref="H753:I753"/>
    <mergeCell ref="F757:G757"/>
    <mergeCell ref="H757:I757"/>
    <mergeCell ref="F753:G753"/>
    <mergeCell ref="D763:I763"/>
    <mergeCell ref="H679:I679"/>
    <mergeCell ref="F727:G727"/>
    <mergeCell ref="H727:I727"/>
    <mergeCell ref="D657:I657"/>
    <mergeCell ref="F651:G651"/>
    <mergeCell ref="H651:I651"/>
    <mergeCell ref="A619:J619"/>
    <mergeCell ref="A620:J620"/>
    <mergeCell ref="A671:J671"/>
    <mergeCell ref="A672:J672"/>
    <mergeCell ref="A673:J673"/>
    <mergeCell ref="D631:I631"/>
    <mergeCell ref="D1111:I1111"/>
    <mergeCell ref="F621:G621"/>
    <mergeCell ref="H621:I621"/>
    <mergeCell ref="F625:G625"/>
    <mergeCell ref="H625:I625"/>
    <mergeCell ref="A565:J565"/>
    <mergeCell ref="F566:G566"/>
    <mergeCell ref="H566:I566"/>
    <mergeCell ref="F544:G544"/>
    <mergeCell ref="H544:I544"/>
    <mergeCell ref="D550:I550"/>
    <mergeCell ref="A563:J563"/>
    <mergeCell ref="F593:G593"/>
    <mergeCell ref="H593:I593"/>
    <mergeCell ref="F570:G570"/>
    <mergeCell ref="D603:I603"/>
    <mergeCell ref="A564:J564"/>
    <mergeCell ref="D830:I830"/>
    <mergeCell ref="A750:J750"/>
    <mergeCell ref="A751:J751"/>
    <mergeCell ref="A848:J848"/>
    <mergeCell ref="A850:J850"/>
    <mergeCell ref="F851:G851"/>
    <mergeCell ref="D711:I711"/>
    <mergeCell ref="H884:I884"/>
    <mergeCell ref="D864:I864"/>
    <mergeCell ref="A877:J877"/>
    <mergeCell ref="A878:J878"/>
    <mergeCell ref="A879:J879"/>
    <mergeCell ref="F880:G880"/>
    <mergeCell ref="H880:I880"/>
    <mergeCell ref="D920:I920"/>
    <mergeCell ref="A934:J934"/>
    <mergeCell ref="D890:I890"/>
    <mergeCell ref="A903:J903"/>
    <mergeCell ref="A904:J904"/>
    <mergeCell ref="A905:J905"/>
    <mergeCell ref="A935:J935"/>
    <mergeCell ref="F906:G906"/>
    <mergeCell ref="H906:I906"/>
    <mergeCell ref="F910:G910"/>
    <mergeCell ref="H910:I910"/>
    <mergeCell ref="F964:G964"/>
    <mergeCell ref="H964:I964"/>
    <mergeCell ref="F991:G991"/>
    <mergeCell ref="A1099:J1099"/>
    <mergeCell ref="F995:G995"/>
    <mergeCell ref="H995:I995"/>
    <mergeCell ref="D1001:I1001"/>
    <mergeCell ref="A1014:J1014"/>
    <mergeCell ref="A989:J989"/>
    <mergeCell ref="A990:J990"/>
    <mergeCell ref="H1021:I1021"/>
    <mergeCell ref="D948:I948"/>
    <mergeCell ref="A961:J961"/>
    <mergeCell ref="A962:J962"/>
    <mergeCell ref="A963:J963"/>
    <mergeCell ref="A936:J936"/>
    <mergeCell ref="F937:G937"/>
    <mergeCell ref="H937:I937"/>
    <mergeCell ref="F941:G941"/>
    <mergeCell ref="A1100:J1100"/>
    <mergeCell ref="F1075:G1075"/>
    <mergeCell ref="H1075:I1075"/>
    <mergeCell ref="D1054:I1054"/>
    <mergeCell ref="A1067:J1067"/>
    <mergeCell ref="A1068:J1068"/>
    <mergeCell ref="A1069:J1069"/>
    <mergeCell ref="F1070:G1070"/>
    <mergeCell ref="H1070:I1070"/>
    <mergeCell ref="H60:I60"/>
    <mergeCell ref="H88:I88"/>
    <mergeCell ref="A137:J137"/>
    <mergeCell ref="F138:G138"/>
    <mergeCell ref="H138:I138"/>
    <mergeCell ref="F142:G142"/>
    <mergeCell ref="H142:I142"/>
    <mergeCell ref="A109:J109"/>
    <mergeCell ref="D66:I66"/>
    <mergeCell ref="A81:J81"/>
    <mergeCell ref="A82:J82"/>
    <mergeCell ref="A83:J83"/>
    <mergeCell ref="F84:G84"/>
    <mergeCell ref="H84:I84"/>
    <mergeCell ref="A111:J111"/>
    <mergeCell ref="F112:G112"/>
    <mergeCell ref="F88:G88"/>
    <mergeCell ref="H112:I112"/>
    <mergeCell ref="D94:I94"/>
    <mergeCell ref="A136:J136"/>
    <mergeCell ref="A110:J110"/>
    <mergeCell ref="H116:I116"/>
    <mergeCell ref="A187:J187"/>
    <mergeCell ref="A188:J188"/>
    <mergeCell ref="A266:J266"/>
    <mergeCell ref="A267:J267"/>
    <mergeCell ref="A268:J268"/>
    <mergeCell ref="D200:I200"/>
    <mergeCell ref="A213:J213"/>
    <mergeCell ref="A214:J214"/>
    <mergeCell ref="A215:J215"/>
    <mergeCell ref="F216:G216"/>
    <mergeCell ref="H220:I220"/>
    <mergeCell ref="D226:I226"/>
    <mergeCell ref="A239:J239"/>
    <mergeCell ref="A849:J849"/>
    <mergeCell ref="A781:J781"/>
    <mergeCell ref="F782:G782"/>
    <mergeCell ref="H782:I782"/>
    <mergeCell ref="F789:G789"/>
    <mergeCell ref="H295:I295"/>
    <mergeCell ref="F299:G299"/>
    <mergeCell ref="H299:I299"/>
    <mergeCell ref="A815:J815"/>
    <mergeCell ref="F816:G816"/>
    <mergeCell ref="F486:G486"/>
    <mergeCell ref="D497:I497"/>
    <mergeCell ref="A348:J348"/>
    <mergeCell ref="A349:J349"/>
    <mergeCell ref="H458:I458"/>
    <mergeCell ref="D415:I415"/>
    <mergeCell ref="A428:J428"/>
    <mergeCell ref="A457:J457"/>
    <mergeCell ref="F458:G458"/>
    <mergeCell ref="A456:J456"/>
    <mergeCell ref="A430:J430"/>
    <mergeCell ref="F431:G431"/>
    <mergeCell ref="H431:I431"/>
    <mergeCell ref="F436:G436"/>
    <mergeCell ref="A375:J375"/>
    <mergeCell ref="A376:J376"/>
    <mergeCell ref="F377:G377"/>
    <mergeCell ref="H377:I377"/>
    <mergeCell ref="A429:J429"/>
    <mergeCell ref="F409:G409"/>
    <mergeCell ref="H409:I409"/>
    <mergeCell ref="D388:I388"/>
    <mergeCell ref="A402:J402"/>
    <mergeCell ref="A403:J403"/>
    <mergeCell ref="A404:J404"/>
    <mergeCell ref="F405:G405"/>
    <mergeCell ref="H405:I405"/>
    <mergeCell ref="A539:J539"/>
    <mergeCell ref="F540:G540"/>
    <mergeCell ref="H540:I540"/>
    <mergeCell ref="D524:I524"/>
    <mergeCell ref="H436:I436"/>
    <mergeCell ref="D442:I442"/>
    <mergeCell ref="A455:J455"/>
    <mergeCell ref="F382:G382"/>
    <mergeCell ref="H382:I382"/>
    <mergeCell ref="A537:J537"/>
    <mergeCell ref="A538:J538"/>
    <mergeCell ref="A483:J483"/>
    <mergeCell ref="A484:J484"/>
    <mergeCell ref="A485:J485"/>
    <mergeCell ref="H486:I486"/>
    <mergeCell ref="F490:G490"/>
    <mergeCell ref="H490:I490"/>
    <mergeCell ref="H514:I514"/>
    <mergeCell ref="F518:G518"/>
    <mergeCell ref="H518:I518"/>
    <mergeCell ref="D1165:I1165"/>
    <mergeCell ref="A1178:J1178"/>
    <mergeCell ref="A1179:J1179"/>
    <mergeCell ref="A1180:J1180"/>
    <mergeCell ref="F1181:G1181"/>
    <mergeCell ref="H1181:I1181"/>
    <mergeCell ref="F1185:G1185"/>
    <mergeCell ref="H1185:I1185"/>
    <mergeCell ref="F968:G968"/>
    <mergeCell ref="H968:I968"/>
    <mergeCell ref="F1101:G1101"/>
    <mergeCell ref="H1101:I1101"/>
    <mergeCell ref="F1105:G1105"/>
    <mergeCell ref="H1105:I1105"/>
    <mergeCell ref="F1131:G1131"/>
    <mergeCell ref="H1131:I1131"/>
    <mergeCell ref="A1124:J1124"/>
    <mergeCell ref="A1125:J1125"/>
    <mergeCell ref="A1126:J1126"/>
    <mergeCell ref="F1127:G1127"/>
    <mergeCell ref="H1127:I1127"/>
    <mergeCell ref="H1044:I1044"/>
    <mergeCell ref="F1155:G1155"/>
    <mergeCell ref="H1155:I1155"/>
    <mergeCell ref="D1191:I1191"/>
    <mergeCell ref="A1203:J1203"/>
    <mergeCell ref="A1204:J1204"/>
    <mergeCell ref="A1205:J1205"/>
    <mergeCell ref="F1206:G1206"/>
    <mergeCell ref="H1206:I1206"/>
    <mergeCell ref="F1209:G1209"/>
    <mergeCell ref="H1209:I1209"/>
    <mergeCell ref="D1215:I1215"/>
    <mergeCell ref="F1340:G1340"/>
    <mergeCell ref="H1340:I1340"/>
    <mergeCell ref="A1334:J1334"/>
    <mergeCell ref="A1335:J1335"/>
    <mergeCell ref="F1336:G1336"/>
    <mergeCell ref="H1336:I1336"/>
    <mergeCell ref="F1261:G1261"/>
    <mergeCell ref="H1261:I1261"/>
    <mergeCell ref="D1241:I1241"/>
    <mergeCell ref="A1254:J1254"/>
    <mergeCell ref="D1320:I1320"/>
    <mergeCell ref="A1333:J1333"/>
    <mergeCell ref="A1308:J1308"/>
    <mergeCell ref="A1309:J1309"/>
    <mergeCell ref="F1310:G1310"/>
    <mergeCell ref="H1310:I1310"/>
    <mergeCell ref="F1314:G1314"/>
    <mergeCell ref="H1314:I1314"/>
    <mergeCell ref="A1281:J1281"/>
    <mergeCell ref="A1282:J1282"/>
    <mergeCell ref="F1283:G1283"/>
    <mergeCell ref="H1283:I1283"/>
    <mergeCell ref="F1287:G1287"/>
    <mergeCell ref="H1287:I1287"/>
    <mergeCell ref="A1255:J1255"/>
    <mergeCell ref="A1256:J1256"/>
    <mergeCell ref="F1257:G1257"/>
    <mergeCell ref="H1257:I1257"/>
    <mergeCell ref="A1229:J1229"/>
    <mergeCell ref="A1230:J1230"/>
    <mergeCell ref="F1231:G1231"/>
    <mergeCell ref="H1231:I1231"/>
    <mergeCell ref="F1235:G1235"/>
    <mergeCell ref="H1235:I1235"/>
    <mergeCell ref="D1293:I1293"/>
    <mergeCell ref="A1307:J1307"/>
    <mergeCell ref="D1267:I1267"/>
    <mergeCell ref="A1280:J1280"/>
    <mergeCell ref="H991:I991"/>
    <mergeCell ref="F164:G164"/>
    <mergeCell ref="H164:I164"/>
    <mergeCell ref="F168:G168"/>
    <mergeCell ref="H168:I168"/>
    <mergeCell ref="A241:J241"/>
    <mergeCell ref="F242:G242"/>
    <mergeCell ref="H242:I242"/>
    <mergeCell ref="F247:G247"/>
    <mergeCell ref="H247:I247"/>
    <mergeCell ref="A644:J644"/>
    <mergeCell ref="A645:J645"/>
    <mergeCell ref="D253:I253"/>
    <mergeCell ref="F269:G269"/>
    <mergeCell ref="D174:I174"/>
    <mergeCell ref="A189:J189"/>
    <mergeCell ref="F190:G190"/>
    <mergeCell ref="H190:I190"/>
    <mergeCell ref="F220:G220"/>
    <mergeCell ref="A1228:J1228"/>
    <mergeCell ref="D361:I361"/>
    <mergeCell ref="A374:J374"/>
    <mergeCell ref="F1021:G1021"/>
    <mergeCell ref="H941:I941"/>
    <mergeCell ref="F705:G705"/>
    <mergeCell ref="H705:I705"/>
    <mergeCell ref="D576:I576"/>
    <mergeCell ref="A590:J590"/>
    <mergeCell ref="H851:I851"/>
    <mergeCell ref="F858:G858"/>
    <mergeCell ref="H858:I858"/>
    <mergeCell ref="D795:I795"/>
    <mergeCell ref="A813:J813"/>
    <mergeCell ref="A814:J814"/>
    <mergeCell ref="F462:G462"/>
    <mergeCell ref="A511:J511"/>
    <mergeCell ref="A512:J512"/>
    <mergeCell ref="A513:J513"/>
    <mergeCell ref="F514:G514"/>
    <mergeCell ref="H462:I462"/>
    <mergeCell ref="D468:I468"/>
    <mergeCell ref="A591:J591"/>
    <mergeCell ref="F597:G597"/>
    <mergeCell ref="H597:I597"/>
    <mergeCell ref="F273:G273"/>
    <mergeCell ref="H273:I273"/>
    <mergeCell ref="A319:J319"/>
    <mergeCell ref="F295:G295"/>
    <mergeCell ref="H269:I269"/>
    <mergeCell ref="A240:J240"/>
    <mergeCell ref="F351:G351"/>
    <mergeCell ref="H351:I351"/>
    <mergeCell ref="F355:G355"/>
    <mergeCell ref="H355:I355"/>
    <mergeCell ref="D334:I334"/>
    <mergeCell ref="D305:I305"/>
    <mergeCell ref="A320:J320"/>
    <mergeCell ref="A321:J321"/>
    <mergeCell ref="F322:G322"/>
    <mergeCell ref="H322:I322"/>
    <mergeCell ref="F328:G328"/>
    <mergeCell ref="H328:I328"/>
    <mergeCell ref="A350:J350"/>
    <mergeCell ref="A3:K3"/>
    <mergeCell ref="A4:K4"/>
    <mergeCell ref="A5:K5"/>
    <mergeCell ref="A6:K6"/>
    <mergeCell ref="A9:K9"/>
    <mergeCell ref="D148:I148"/>
    <mergeCell ref="A161:J161"/>
    <mergeCell ref="A162:J162"/>
    <mergeCell ref="A163:J163"/>
    <mergeCell ref="D10:I10"/>
    <mergeCell ref="A25:J25"/>
    <mergeCell ref="A26:J26"/>
    <mergeCell ref="A27:J27"/>
    <mergeCell ref="F28:G28"/>
    <mergeCell ref="H28:I28"/>
    <mergeCell ref="F32:G32"/>
    <mergeCell ref="H32:I32"/>
    <mergeCell ref="F116:G116"/>
    <mergeCell ref="D122:I122"/>
    <mergeCell ref="A135:J135"/>
    <mergeCell ref="A53:J53"/>
    <mergeCell ref="A54:J54"/>
    <mergeCell ref="H56:I56"/>
    <mergeCell ref="F60:G60"/>
    <mergeCell ref="A1422:J1422"/>
    <mergeCell ref="A1423:J1423"/>
    <mergeCell ref="F1424:G1424"/>
    <mergeCell ref="H1424:I1424"/>
    <mergeCell ref="F1435:G1435"/>
    <mergeCell ref="H1435:I1435"/>
    <mergeCell ref="F1400:G1400"/>
    <mergeCell ref="H1400:I1400"/>
    <mergeCell ref="D38:I38"/>
    <mergeCell ref="A55:J55"/>
    <mergeCell ref="F56:G56"/>
    <mergeCell ref="F194:G194"/>
    <mergeCell ref="H194:I194"/>
    <mergeCell ref="H216:I216"/>
    <mergeCell ref="D685:I685"/>
    <mergeCell ref="A698:J698"/>
    <mergeCell ref="A700:J700"/>
    <mergeCell ref="A699:J699"/>
    <mergeCell ref="F701:G701"/>
    <mergeCell ref="H701:I701"/>
    <mergeCell ref="D279:I279"/>
    <mergeCell ref="A292:J292"/>
    <mergeCell ref="A293:J293"/>
    <mergeCell ref="A294:J294"/>
    <mergeCell ref="A1453:J1453"/>
    <mergeCell ref="F1454:G1454"/>
    <mergeCell ref="H1454:I1454"/>
    <mergeCell ref="F1461:G1461"/>
    <mergeCell ref="H1461:I1461"/>
    <mergeCell ref="F1368:G1368"/>
    <mergeCell ref="H1368:I1368"/>
    <mergeCell ref="D1346:I1346"/>
    <mergeCell ref="A1359:J1359"/>
    <mergeCell ref="A1360:J1360"/>
    <mergeCell ref="A1361:J1361"/>
    <mergeCell ref="F1362:G1362"/>
    <mergeCell ref="H1362:I1362"/>
    <mergeCell ref="D1373:I1373"/>
    <mergeCell ref="A1386:J1386"/>
    <mergeCell ref="A1387:J1387"/>
    <mergeCell ref="A1388:J1388"/>
    <mergeCell ref="F1389:G1389"/>
    <mergeCell ref="H1389:I1389"/>
    <mergeCell ref="D1439:I1439"/>
    <mergeCell ref="A1451:J1451"/>
    <mergeCell ref="A1452:J1452"/>
    <mergeCell ref="D1404:I1404"/>
    <mergeCell ref="A1421:J1421"/>
  </mergeCells>
  <printOptions horizontalCentered="1"/>
  <pageMargins left="0.39370078740157483" right="0.39370078740157483" top="0.39370078740157483" bottom="0.59055118110236227" header="0.31496062992125984" footer="0.31496062992125984"/>
  <pageSetup paperSize="9" scale="69" fitToHeight="0" orientation="landscape" r:id="rId1"/>
  <headerFooter>
    <oddFooter>&amp;L&amp;9AGÊNCIA DE ASSUNTOS METROPOLITANOS DO PARANÁ - AMEP
DIRETORIA DE OBRAS&amp;C&amp;9ENGª CIBELE CRISTINE MELLO FRANCZAK
DIRETORA DE OBRAS&amp;R&amp;9Página &amp;P de &amp;N</oddFooter>
  </headerFooter>
  <rowBreaks count="48" manualBreakCount="48">
    <brk id="37" max="10" man="1"/>
    <brk id="65" max="10" man="1"/>
    <brk id="93" max="10" man="1"/>
    <brk id="121" max="10" man="1"/>
    <brk id="147" max="10" man="1"/>
    <brk id="173" max="10" man="1"/>
    <brk id="199" max="10" man="1"/>
    <brk id="225" max="10" man="1"/>
    <brk id="252" max="10" man="1"/>
    <brk id="278" max="10" man="1"/>
    <brk id="304" max="10" man="1"/>
    <brk id="333" max="10" man="1"/>
    <brk id="360" max="10" man="1"/>
    <brk id="387" max="10" man="1"/>
    <brk id="414" max="10" man="1"/>
    <brk id="441" max="10" man="1"/>
    <brk id="467" max="10" man="1"/>
    <brk id="496" max="10" man="1"/>
    <brk id="523" max="10" man="1"/>
    <brk id="549" max="10" man="1"/>
    <brk id="575" max="10" man="1"/>
    <brk id="602" max="10" man="1"/>
    <brk id="630" max="10" man="1"/>
    <brk id="656" max="10" man="1"/>
    <brk id="684" max="10" man="1"/>
    <brk id="710" max="10" man="1"/>
    <brk id="736" max="10" man="1"/>
    <brk id="762" max="10" man="1"/>
    <brk id="794" max="10" man="1"/>
    <brk id="829" max="10" man="1"/>
    <brk id="863" max="10" man="1"/>
    <brk id="889" max="10" man="1"/>
    <brk id="919" max="10" man="1"/>
    <brk id="947" max="10" man="1"/>
    <brk id="974" max="10" man="1"/>
    <brk id="1000" max="10" man="1"/>
    <brk id="1026" max="10" man="1"/>
    <brk id="1053" max="10" man="1"/>
    <brk id="1080" max="10" man="1"/>
    <brk id="1110" max="10" man="1"/>
    <brk id="1136" max="10" man="1"/>
    <brk id="1164" max="10" man="1"/>
    <brk id="1190" max="10" man="1"/>
    <brk id="1214" max="10" man="1"/>
    <brk id="1240" max="10" man="1"/>
    <brk id="1266" max="10" man="1"/>
    <brk id="1292" max="10" man="1"/>
    <brk id="1319" max="1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K299"/>
  <sheetViews>
    <sheetView showGridLines="0" zoomScaleNormal="100" zoomScaleSheetLayoutView="10" workbookViewId="0">
      <selection activeCell="B30" sqref="B30"/>
    </sheetView>
  </sheetViews>
  <sheetFormatPr defaultColWidth="9.140625" defaultRowHeight="15.75"/>
  <cols>
    <col min="1" max="1" width="23.28515625" style="427" customWidth="1"/>
    <col min="2" max="2" width="36.28515625" style="428" customWidth="1"/>
    <col min="3" max="3" width="28.7109375" style="429" customWidth="1"/>
    <col min="4" max="4" width="9.7109375" style="427" bestFit="1" customWidth="1"/>
    <col min="5" max="5" width="27.42578125" style="427" customWidth="1"/>
    <col min="6" max="6" width="17.140625" style="427" customWidth="1"/>
    <col min="7" max="7" width="17.140625" style="436" customWidth="1"/>
    <col min="8" max="8" width="17.140625" style="427" customWidth="1"/>
    <col min="9" max="9" width="13.140625" style="427" bestFit="1" customWidth="1"/>
    <col min="10" max="10" width="17.140625" style="427" customWidth="1"/>
    <col min="11" max="11" width="26.42578125" style="431" bestFit="1" customWidth="1"/>
    <col min="12" max="16384" width="9.140625" style="431"/>
  </cols>
  <sheetData>
    <row r="1" spans="1:10" ht="15.75" customHeight="1">
      <c r="E1" s="430"/>
      <c r="F1" s="430"/>
      <c r="G1" s="430"/>
      <c r="H1" s="430"/>
      <c r="I1" s="430"/>
      <c r="J1" s="430"/>
    </row>
    <row r="2" spans="1:10" ht="15.75" customHeight="1">
      <c r="E2" s="430"/>
      <c r="F2" s="430"/>
      <c r="G2" s="430"/>
      <c r="H2" s="430"/>
      <c r="I2" s="430"/>
      <c r="J2" s="430"/>
    </row>
    <row r="3" spans="1:10" s="6" customFormat="1" ht="15.75" customHeight="1">
      <c r="A3" s="495" t="s">
        <v>167</v>
      </c>
      <c r="B3" s="495"/>
      <c r="C3" s="495"/>
      <c r="D3" s="495"/>
      <c r="E3" s="495"/>
      <c r="F3" s="495"/>
      <c r="G3" s="495"/>
      <c r="H3" s="495"/>
      <c r="I3" s="495"/>
      <c r="J3" s="495"/>
    </row>
    <row r="4" spans="1:10" s="6" customFormat="1" ht="15.75" customHeight="1">
      <c r="A4" s="541" t="s">
        <v>165</v>
      </c>
      <c r="B4" s="541"/>
      <c r="C4" s="541"/>
      <c r="D4" s="541"/>
      <c r="E4" s="541"/>
      <c r="F4" s="541"/>
      <c r="G4" s="541"/>
      <c r="H4" s="541"/>
      <c r="I4" s="541"/>
      <c r="J4" s="541"/>
    </row>
    <row r="5" spans="1:10" s="6" customFormat="1">
      <c r="A5" s="571"/>
      <c r="B5" s="571"/>
      <c r="C5" s="571"/>
      <c r="D5" s="571"/>
      <c r="E5" s="571"/>
      <c r="F5" s="571"/>
      <c r="G5" s="571"/>
      <c r="H5" s="571"/>
      <c r="I5" s="571"/>
      <c r="J5" s="571"/>
    </row>
    <row r="6" spans="1:10" s="6" customFormat="1">
      <c r="A6" s="539" t="s">
        <v>25931</v>
      </c>
      <c r="B6" s="539"/>
      <c r="C6" s="539"/>
      <c r="D6" s="539"/>
      <c r="E6" s="539"/>
      <c r="F6" s="539"/>
      <c r="G6" s="539"/>
      <c r="H6" s="539"/>
      <c r="I6" s="539"/>
      <c r="J6" s="539"/>
    </row>
    <row r="7" spans="1:10" s="6" customFormat="1">
      <c r="A7" s="4"/>
      <c r="B7" s="3"/>
      <c r="C7" s="4"/>
      <c r="D7" s="432"/>
      <c r="E7" s="432"/>
      <c r="I7" s="61"/>
    </row>
    <row r="8" spans="1:10" s="6" customFormat="1">
      <c r="A8" s="4"/>
      <c r="B8" s="3"/>
      <c r="C8" s="4"/>
      <c r="D8" s="432"/>
      <c r="E8" s="432"/>
      <c r="I8" s="61"/>
    </row>
    <row r="9" spans="1:10" s="6" customFormat="1">
      <c r="A9" s="4"/>
      <c r="B9" s="3"/>
      <c r="C9" s="4"/>
      <c r="D9" s="432"/>
      <c r="E9" s="432"/>
      <c r="I9" s="61"/>
    </row>
    <row r="10" spans="1:10" s="6" customFormat="1">
      <c r="A10" s="572" t="s">
        <v>9024</v>
      </c>
      <c r="B10" s="572"/>
      <c r="C10" s="572"/>
      <c r="D10" s="572"/>
      <c r="E10" s="572"/>
      <c r="F10" s="572"/>
      <c r="G10" s="572"/>
      <c r="H10" s="572"/>
      <c r="I10" s="572"/>
      <c r="J10" s="572"/>
    </row>
    <row r="11" spans="1:10" ht="30" customHeight="1">
      <c r="A11" s="433"/>
      <c r="B11" s="325">
        <v>605000</v>
      </c>
      <c r="C11" s="570" t="s">
        <v>23720</v>
      </c>
      <c r="D11" s="570"/>
      <c r="E11" s="570"/>
      <c r="F11" s="570"/>
      <c r="G11" s="324" t="s">
        <v>26</v>
      </c>
      <c r="H11" s="323" t="s">
        <v>950</v>
      </c>
      <c r="I11" s="434"/>
      <c r="J11" s="435">
        <f>SUM(J13:J15)</f>
        <v>51.160000000000004</v>
      </c>
    </row>
    <row r="12" spans="1:10" ht="15" customHeight="1">
      <c r="A12" s="163" t="s">
        <v>22751</v>
      </c>
      <c r="B12" s="253" t="s">
        <v>22752</v>
      </c>
      <c r="C12" s="337" t="s">
        <v>22753</v>
      </c>
      <c r="D12" s="163" t="s">
        <v>158</v>
      </c>
      <c r="E12" s="163" t="s">
        <v>9025</v>
      </c>
      <c r="F12" s="163" t="s">
        <v>22748</v>
      </c>
      <c r="G12" s="163" t="s">
        <v>22749</v>
      </c>
      <c r="H12" s="163" t="s">
        <v>1187</v>
      </c>
      <c r="I12" s="163" t="s">
        <v>9026</v>
      </c>
      <c r="J12" s="163" t="s">
        <v>159</v>
      </c>
    </row>
    <row r="13" spans="1:10" ht="15" customHeight="1">
      <c r="A13" s="326">
        <v>139000</v>
      </c>
      <c r="B13" s="322" t="str">
        <f>VLOOKUP(A13,'[2]16. CUSTOS DER - MATERIAIS'!A:B,2,0)</f>
        <v>AREIA</v>
      </c>
      <c r="C13" s="328">
        <v>19010</v>
      </c>
      <c r="D13" s="320" t="str">
        <f>VLOOKUP(A13,'[2]16. CUSTOS DER - MATERIAIS'!A:C,3,0)</f>
        <v>M3</v>
      </c>
      <c r="E13" s="216" t="s">
        <v>25921</v>
      </c>
      <c r="F13" s="160">
        <f>VLOOKUP(C13,'24. CÁLCULO DAS DISTÂNCIAS'!B:F,4,)</f>
        <v>5</v>
      </c>
      <c r="G13" s="160">
        <f>VLOOKUP(C13,'24. CÁLCULO DAS DISTÂNCIAS'!B:G,5,)</f>
        <v>14</v>
      </c>
      <c r="H13" s="161">
        <f>1*F13+1.21*G13+2.52</f>
        <v>24.459999999999997</v>
      </c>
      <c r="I13" s="327">
        <v>1.06</v>
      </c>
      <c r="J13" s="321">
        <f>TRUNC(H13*I13,2)</f>
        <v>25.92</v>
      </c>
    </row>
    <row r="14" spans="1:10" ht="15" customHeight="1">
      <c r="A14" s="326">
        <v>173200</v>
      </c>
      <c r="B14" s="322" t="str">
        <f>VLOOKUP(A14,'[2]16. CUSTOS DER - MATERIAIS'!A:B,2,0)</f>
        <v>CIMENTO PORTLAND (SACO DE 50KG)</v>
      </c>
      <c r="C14" s="328">
        <v>13200</v>
      </c>
      <c r="D14" s="320" t="str">
        <f>VLOOKUP(A14,'[2]16. CUSTOS DER - MATERIAIS'!A:C,3,0)</f>
        <v>T</v>
      </c>
      <c r="E14" s="216" t="s">
        <v>25922</v>
      </c>
      <c r="F14" s="160">
        <f>VLOOKUP(C14,'24. CÁLCULO DAS DISTÂNCIAS'!B:F,4,)</f>
        <v>69</v>
      </c>
      <c r="G14" s="160">
        <f>VLOOKUP(C14,'24. CÁLCULO DAS DISTÂNCIAS'!B:G,5,)</f>
        <v>14</v>
      </c>
      <c r="H14" s="161">
        <f>0.73*F14+0.88*G14+7.39</f>
        <v>70.08</v>
      </c>
      <c r="I14" s="327">
        <v>0.18</v>
      </c>
      <c r="J14" s="321">
        <f t="shared" ref="J14:J15" si="0">TRUNC(H14*I14,2)</f>
        <v>12.61</v>
      </c>
    </row>
    <row r="15" spans="1:10" ht="15" customHeight="1">
      <c r="A15" s="326">
        <v>130000</v>
      </c>
      <c r="B15" s="322" t="str">
        <f>VLOOKUP(A15,'[2]16. CUSTOS DER - MATERIAIS'!A:B,2,0)</f>
        <v>PEDRA BRITADA (COMERCIAL)</v>
      </c>
      <c r="C15" s="328">
        <v>19400</v>
      </c>
      <c r="D15" s="320" t="str">
        <f>VLOOKUP(A15,'[2]16. CUSTOS DER - MATERIAIS'!A:C,3,0)</f>
        <v>M3</v>
      </c>
      <c r="E15" s="216" t="s">
        <v>25921</v>
      </c>
      <c r="F15" s="160">
        <f>VLOOKUP(C15,'24. CÁLCULO DAS DISTÂNCIAS'!B:F,4,)</f>
        <v>0</v>
      </c>
      <c r="G15" s="160">
        <f>VLOOKUP(C15,'24. CÁLCULO DAS DISTÂNCIAS'!B:G,5,)</f>
        <v>7.3214285714285712</v>
      </c>
      <c r="H15" s="161">
        <f>1*F15+1.21*G15+2.52</f>
        <v>11.37892857142857</v>
      </c>
      <c r="I15" s="327">
        <v>1.1100000000000001</v>
      </c>
      <c r="J15" s="321">
        <f t="shared" si="0"/>
        <v>12.63</v>
      </c>
    </row>
    <row r="16" spans="1:10" ht="30" customHeight="1">
      <c r="A16" s="433"/>
      <c r="B16" s="325">
        <v>605500</v>
      </c>
      <c r="C16" s="570" t="str">
        <f>VLOOKUP(B16,'[2]2. PLANILHA SINTÉTICA'!C:D,2,0)</f>
        <v>CONCRETO FCK = 20 MPA, PREPARO EM BETONEIRA E LANÇ.</v>
      </c>
      <c r="D16" s="570"/>
      <c r="E16" s="570"/>
      <c r="F16" s="570"/>
      <c r="G16" s="324" t="s">
        <v>26</v>
      </c>
      <c r="H16" s="323" t="str">
        <f>VLOOKUP(B16,'[2]2. PLANILHA SINTÉTICA'!C:F,4,0)</f>
        <v>M3</v>
      </c>
      <c r="I16" s="434"/>
      <c r="J16" s="435">
        <f>SUM(J18:J20)</f>
        <v>61.030000000000008</v>
      </c>
    </row>
    <row r="17" spans="1:10" ht="15" customHeight="1">
      <c r="A17" s="163" t="s">
        <v>22751</v>
      </c>
      <c r="B17" s="253" t="s">
        <v>22752</v>
      </c>
      <c r="C17" s="337" t="s">
        <v>22753</v>
      </c>
      <c r="D17" s="163" t="s">
        <v>158</v>
      </c>
      <c r="E17" s="163" t="s">
        <v>9025</v>
      </c>
      <c r="F17" s="163" t="s">
        <v>22748</v>
      </c>
      <c r="G17" s="163" t="s">
        <v>22749</v>
      </c>
      <c r="H17" s="163" t="s">
        <v>1187</v>
      </c>
      <c r="I17" s="163" t="s">
        <v>9026</v>
      </c>
      <c r="J17" s="163" t="s">
        <v>159</v>
      </c>
    </row>
    <row r="18" spans="1:10" ht="15" customHeight="1">
      <c r="A18" s="326">
        <v>139000</v>
      </c>
      <c r="B18" s="322" t="str">
        <f>VLOOKUP(A18,'[2]16. CUSTOS DER - MATERIAIS'!A:B,2,0)</f>
        <v>AREIA</v>
      </c>
      <c r="C18" s="328">
        <v>19010</v>
      </c>
      <c r="D18" s="320" t="str">
        <f>VLOOKUP(A18,'[2]16. CUSTOS DER - MATERIAIS'!A:C,3,0)</f>
        <v>M3</v>
      </c>
      <c r="E18" s="216" t="s">
        <v>25921</v>
      </c>
      <c r="F18" s="160">
        <f>VLOOKUP(C18,'24. CÁLCULO DAS DISTÂNCIAS'!B:F,4,)</f>
        <v>5</v>
      </c>
      <c r="G18" s="160">
        <f>VLOOKUP(C18,'24. CÁLCULO DAS DISTÂNCIAS'!B:G,5,)</f>
        <v>14</v>
      </c>
      <c r="H18" s="161">
        <f>1*F18+1.21*G18+2.52</f>
        <v>24.459999999999997</v>
      </c>
      <c r="I18" s="327">
        <v>0.873</v>
      </c>
      <c r="J18" s="321">
        <f t="shared" ref="J18:J20" si="1">TRUNC(H18*I18,2)</f>
        <v>21.35</v>
      </c>
    </row>
    <row r="19" spans="1:10" ht="15" customHeight="1">
      <c r="A19" s="326">
        <v>173200</v>
      </c>
      <c r="B19" s="322" t="str">
        <f>VLOOKUP(A19,'[2]16. CUSTOS DER - MATERIAIS'!A:B,2,0)</f>
        <v>CIMENTO PORTLAND (SACO DE 50KG)</v>
      </c>
      <c r="C19" s="328">
        <v>13200</v>
      </c>
      <c r="D19" s="320" t="str">
        <f>VLOOKUP(A19,'[2]16. CUSTOS DER - MATERIAIS'!A:C,3,0)</f>
        <v>T</v>
      </c>
      <c r="E19" s="216" t="s">
        <v>25922</v>
      </c>
      <c r="F19" s="160">
        <f>VLOOKUP(C19,'24. CÁLCULO DAS DISTÂNCIAS'!B:F,4,)</f>
        <v>69</v>
      </c>
      <c r="G19" s="160">
        <f>VLOOKUP(C19,'24. CÁLCULO DAS DISTÂNCIAS'!B:G,5,)</f>
        <v>14</v>
      </c>
      <c r="H19" s="161">
        <f>0.73*F19+0.88*G19+7.39</f>
        <v>70.08</v>
      </c>
      <c r="I19" s="327">
        <v>0.38600000000000001</v>
      </c>
      <c r="J19" s="321">
        <f t="shared" si="1"/>
        <v>27.05</v>
      </c>
    </row>
    <row r="20" spans="1:10" ht="15" customHeight="1">
      <c r="A20" s="326">
        <v>130000</v>
      </c>
      <c r="B20" s="322" t="str">
        <f>VLOOKUP(A20,'[2]16. CUSTOS DER - MATERIAIS'!A:B,2,0)</f>
        <v>PEDRA BRITADA (COMERCIAL)</v>
      </c>
      <c r="C20" s="328">
        <v>19400</v>
      </c>
      <c r="D20" s="320" t="str">
        <f>VLOOKUP(A20,'[2]16. CUSTOS DER - MATERIAIS'!A:C,3,0)</f>
        <v>M3</v>
      </c>
      <c r="E20" s="216" t="s">
        <v>25921</v>
      </c>
      <c r="F20" s="160">
        <f>VLOOKUP(C20,'24. CÁLCULO DAS DISTÂNCIAS'!B:F,4,)</f>
        <v>0</v>
      </c>
      <c r="G20" s="160">
        <f>VLOOKUP(C20,'24. CÁLCULO DAS DISTÂNCIAS'!B:G,5,)</f>
        <v>7.3214285714285712</v>
      </c>
      <c r="H20" s="161">
        <f>1*F20+1.21*G20+2.52</f>
        <v>11.37892857142857</v>
      </c>
      <c r="I20" s="327">
        <v>1.1100000000000001</v>
      </c>
      <c r="J20" s="321">
        <f t="shared" si="1"/>
        <v>12.63</v>
      </c>
    </row>
    <row r="21" spans="1:10" ht="30" customHeight="1">
      <c r="A21" s="433"/>
      <c r="B21" s="325">
        <v>603700</v>
      </c>
      <c r="C21" s="570" t="s">
        <v>229</v>
      </c>
      <c r="D21" s="570"/>
      <c r="E21" s="570"/>
      <c r="F21" s="570"/>
      <c r="G21" s="324" t="s">
        <v>26</v>
      </c>
      <c r="H21" s="323" t="s">
        <v>950</v>
      </c>
      <c r="I21" s="434"/>
      <c r="J21" s="435">
        <f>SUM(J23:J23)</f>
        <v>20.48</v>
      </c>
    </row>
    <row r="22" spans="1:10" ht="15" customHeight="1">
      <c r="A22" s="163" t="s">
        <v>22751</v>
      </c>
      <c r="B22" s="253" t="s">
        <v>22752</v>
      </c>
      <c r="C22" s="337" t="s">
        <v>22753</v>
      </c>
      <c r="D22" s="163" t="s">
        <v>158</v>
      </c>
      <c r="E22" s="163" t="s">
        <v>9025</v>
      </c>
      <c r="F22" s="163" t="s">
        <v>22748</v>
      </c>
      <c r="G22" s="163" t="s">
        <v>22749</v>
      </c>
      <c r="H22" s="163" t="s">
        <v>1187</v>
      </c>
      <c r="I22" s="163" t="s">
        <v>9026</v>
      </c>
      <c r="J22" s="163" t="s">
        <v>159</v>
      </c>
    </row>
    <row r="23" spans="1:10" ht="15" customHeight="1">
      <c r="A23" s="326">
        <v>130100</v>
      </c>
      <c r="B23" s="322" t="str">
        <f>VLOOKUP(A23,'[2]16. CUSTOS DER - MATERIAIS'!A:B,2,0)</f>
        <v>PEDRA DE MÃO (COMERCIAL)</v>
      </c>
      <c r="C23" s="328">
        <v>19410</v>
      </c>
      <c r="D23" s="320" t="str">
        <f>VLOOKUP(A23,'[2]16. CUSTOS DER - MATERIAIS'!A:C,3,0)</f>
        <v>M3</v>
      </c>
      <c r="E23" s="216" t="s">
        <v>25921</v>
      </c>
      <c r="F23" s="160">
        <f>VLOOKUP(C23,'24. CÁLCULO DAS DISTÂNCIAS'!B:F,4,)</f>
        <v>0</v>
      </c>
      <c r="G23" s="160">
        <f>VLOOKUP(C23,'24. CÁLCULO DAS DISTÂNCIAS'!B:G,5,)</f>
        <v>7.3214285714285712</v>
      </c>
      <c r="H23" s="161">
        <f>1*F23+1.21*G23+2.52</f>
        <v>11.37892857142857</v>
      </c>
      <c r="I23" s="327">
        <v>1.8</v>
      </c>
      <c r="J23" s="321">
        <f>TRUNC(H23*I23,2)</f>
        <v>20.48</v>
      </c>
    </row>
    <row r="24" spans="1:10" ht="30" customHeight="1">
      <c r="A24" s="433"/>
      <c r="B24" s="324" t="s">
        <v>22647</v>
      </c>
      <c r="C24" s="570" t="str">
        <f>VLOOKUP(B24,'[2]2. PLANILHA SINTÉTICA'!C:D,2,0)</f>
        <v>ALVENARIA DE BLOCOS DE CONCRETO (10X20CM)</v>
      </c>
      <c r="D24" s="570"/>
      <c r="E24" s="570"/>
      <c r="F24" s="570"/>
      <c r="G24" s="324" t="s">
        <v>26</v>
      </c>
      <c r="H24" s="323" t="str">
        <f>VLOOKUP(B24,'[2]2. PLANILHA SINTÉTICA'!C:F,4,0)</f>
        <v>M²</v>
      </c>
      <c r="I24" s="434"/>
      <c r="J24" s="435">
        <f>SUM(J26:J29)</f>
        <v>45.11</v>
      </c>
    </row>
    <row r="25" spans="1:10" ht="15" customHeight="1">
      <c r="A25" s="163" t="s">
        <v>22751</v>
      </c>
      <c r="B25" s="253" t="s">
        <v>22752</v>
      </c>
      <c r="C25" s="337" t="s">
        <v>22753</v>
      </c>
      <c r="D25" s="163" t="s">
        <v>158</v>
      </c>
      <c r="E25" s="163" t="s">
        <v>9025</v>
      </c>
      <c r="F25" s="163" t="s">
        <v>22748</v>
      </c>
      <c r="G25" s="163" t="s">
        <v>22749</v>
      </c>
      <c r="H25" s="163" t="s">
        <v>1187</v>
      </c>
      <c r="I25" s="163" t="s">
        <v>9026</v>
      </c>
      <c r="J25" s="163" t="s">
        <v>159</v>
      </c>
    </row>
    <row r="26" spans="1:10" ht="15" customHeight="1">
      <c r="A26" s="326">
        <v>139000</v>
      </c>
      <c r="B26" s="322" t="str">
        <f>VLOOKUP(A26,'[2]16. CUSTOS DER - MATERIAIS'!A:B,2,0)</f>
        <v>AREIA</v>
      </c>
      <c r="C26" s="328">
        <v>19010</v>
      </c>
      <c r="D26" s="320" t="str">
        <f>VLOOKUP(A26,'[2]16. CUSTOS DER - MATERIAIS'!A:C,3,0)</f>
        <v>M3</v>
      </c>
      <c r="E26" s="216" t="s">
        <v>25921</v>
      </c>
      <c r="F26" s="160">
        <f>VLOOKUP(C26,'24. CÁLCULO DAS DISTÂNCIAS'!B:F,4,)</f>
        <v>5</v>
      </c>
      <c r="G26" s="160">
        <f>VLOOKUP(C26,'24. CÁLCULO DAS DISTÂNCIAS'!B:G,5,)</f>
        <v>14</v>
      </c>
      <c r="H26" s="161">
        <f>1*F26+1.21*G26+2.52</f>
        <v>24.459999999999997</v>
      </c>
      <c r="I26" s="327">
        <f>0.0528*1.5</f>
        <v>7.9199999999999993E-2</v>
      </c>
      <c r="J26" s="321">
        <f t="shared" ref="J26:J27" si="2">TRUNC(H26*I26,2)</f>
        <v>1.93</v>
      </c>
    </row>
    <row r="27" spans="1:10" ht="15" customHeight="1">
      <c r="A27" s="326">
        <v>170100</v>
      </c>
      <c r="B27" s="322" t="str">
        <f>VLOOKUP(A27,'[2]16. CUSTOS DER - MATERIAIS'!A:B,2,0)</f>
        <v>CAL VIRGEM EM PÓ</v>
      </c>
      <c r="C27" s="328">
        <v>13200</v>
      </c>
      <c r="D27" s="320" t="str">
        <f>VLOOKUP(A27,'[2]16. CUSTOS DER - MATERIAIS'!A:C,3,0)</f>
        <v>KG</v>
      </c>
      <c r="E27" s="216" t="s">
        <v>25922</v>
      </c>
      <c r="F27" s="160">
        <f>VLOOKUP(C27,'24. CÁLCULO DAS DISTÂNCIAS'!B:F,4,)</f>
        <v>69</v>
      </c>
      <c r="G27" s="160">
        <f>VLOOKUP(C27,'24. CÁLCULO DAS DISTÂNCIAS'!B:G,5,)</f>
        <v>14</v>
      </c>
      <c r="H27" s="161">
        <f>0.73*F27+0.88*G27+7.39</f>
        <v>70.08</v>
      </c>
      <c r="I27" s="327">
        <f>5.628*0.001</f>
        <v>5.6280000000000002E-3</v>
      </c>
      <c r="J27" s="321">
        <f t="shared" si="2"/>
        <v>0.39</v>
      </c>
    </row>
    <row r="28" spans="1:10" ht="15" customHeight="1">
      <c r="A28" s="326">
        <v>173200</v>
      </c>
      <c r="B28" s="322" t="str">
        <f>VLOOKUP(A28,'[2]16. CUSTOS DER - MATERIAIS'!A:B,2,0)</f>
        <v>CIMENTO PORTLAND (SACO DE 50KG)</v>
      </c>
      <c r="C28" s="328">
        <v>13200</v>
      </c>
      <c r="D28" s="320" t="str">
        <f>VLOOKUP(A28,'[2]16. CUSTOS DER - MATERIAIS'!A:C,3,0)</f>
        <v>T</v>
      </c>
      <c r="E28" s="216" t="s">
        <v>25921</v>
      </c>
      <c r="F28" s="160">
        <f>VLOOKUP(C28,'24. CÁLCULO DAS DISTÂNCIAS'!B:F,4,)</f>
        <v>69</v>
      </c>
      <c r="G28" s="160">
        <f>VLOOKUP(C28,'24. CÁLCULO DAS DISTÂNCIAS'!B:G,5,)</f>
        <v>14</v>
      </c>
      <c r="H28" s="161">
        <f>1*F28+1.21*G28+2.52</f>
        <v>88.46</v>
      </c>
      <c r="I28" s="327">
        <v>1.18E-2</v>
      </c>
      <c r="J28" s="321">
        <f>TRUNC(H28*I28,2)</f>
        <v>1.04</v>
      </c>
    </row>
    <row r="29" spans="1:10" ht="15" customHeight="1">
      <c r="A29" s="326">
        <v>145850</v>
      </c>
      <c r="B29" s="322" t="str">
        <f>VLOOKUP(A29,'[2]16. CUSTOS DER - MATERIAIS'!A:B,2,0)</f>
        <v>BLOCO ARTICULADO(BLOKRET) E=8CM (FCK=35 MPA)</v>
      </c>
      <c r="C29" s="328">
        <v>10650</v>
      </c>
      <c r="D29" s="320" t="str">
        <f>VLOOKUP(A29,'[2]16. CUSTOS DER - MATERIAIS'!A:C,3,0)</f>
        <v>M2</v>
      </c>
      <c r="E29" s="216" t="s">
        <v>25922</v>
      </c>
      <c r="F29" s="160">
        <f>VLOOKUP(C29,'24. CÁLCULO DAS DISTÂNCIAS'!B:F,4,)</f>
        <v>17</v>
      </c>
      <c r="G29" s="160">
        <f>VLOOKUP(C29,'24. CÁLCULO DAS DISTÂNCIAS'!B:G,5,)</f>
        <v>14</v>
      </c>
      <c r="H29" s="161">
        <f>0.73*F29+0.88*G29+7.39</f>
        <v>32.119999999999997</v>
      </c>
      <c r="I29" s="342">
        <f>50*0.026</f>
        <v>1.3</v>
      </c>
      <c r="J29" s="321">
        <f>TRUNC(H29*I29,2)</f>
        <v>41.75</v>
      </c>
    </row>
    <row r="30" spans="1:10" ht="30" customHeight="1">
      <c r="A30" s="433"/>
      <c r="B30" s="325">
        <v>604000</v>
      </c>
      <c r="C30" s="570" t="str">
        <f>VLOOKUP(B30,'[2]2. PLANILHA SINTÉTICA'!C:D,2,0)</f>
        <v>ARGAMASSA CIMENTO E AREIA 1:3</v>
      </c>
      <c r="D30" s="570"/>
      <c r="E30" s="570"/>
      <c r="F30" s="570"/>
      <c r="G30" s="324" t="s">
        <v>26</v>
      </c>
      <c r="H30" s="323" t="str">
        <f>VLOOKUP(B30,'[2]2. PLANILHA SINTÉTICA'!C:F,4,0)</f>
        <v>M3</v>
      </c>
      <c r="I30" s="434"/>
      <c r="J30" s="435">
        <f>SUM(J32:J33)</f>
        <v>68.930000000000007</v>
      </c>
    </row>
    <row r="31" spans="1:10" ht="15" customHeight="1">
      <c r="A31" s="163" t="s">
        <v>22751</v>
      </c>
      <c r="B31" s="253" t="s">
        <v>22752</v>
      </c>
      <c r="C31" s="337" t="s">
        <v>22753</v>
      </c>
      <c r="D31" s="163" t="s">
        <v>158</v>
      </c>
      <c r="E31" s="163" t="s">
        <v>9025</v>
      </c>
      <c r="F31" s="163" t="s">
        <v>22839</v>
      </c>
      <c r="G31" s="163" t="s">
        <v>22749</v>
      </c>
      <c r="H31" s="163" t="s">
        <v>1187</v>
      </c>
      <c r="I31" s="163" t="s">
        <v>9026</v>
      </c>
      <c r="J31" s="163" t="s">
        <v>159</v>
      </c>
    </row>
    <row r="32" spans="1:10" ht="15" customHeight="1">
      <c r="A32" s="326">
        <v>139000</v>
      </c>
      <c r="B32" s="322" t="str">
        <f>VLOOKUP(A32,'[2]16. CUSTOS DER - MATERIAIS'!A:B,2,0)</f>
        <v>AREIA</v>
      </c>
      <c r="C32" s="328">
        <v>19010</v>
      </c>
      <c r="D32" s="320" t="str">
        <f>VLOOKUP(A32,'[2]16. CUSTOS DER - MATERIAIS'!A:C,3,0)</f>
        <v>M3</v>
      </c>
      <c r="E32" s="216" t="s">
        <v>25921</v>
      </c>
      <c r="F32" s="160">
        <f>VLOOKUP(C32,'24. CÁLCULO DAS DISTÂNCIAS'!B:F,4,)</f>
        <v>5</v>
      </c>
      <c r="G32" s="160">
        <f>VLOOKUP(C32,'24. CÁLCULO DAS DISTÂNCIAS'!B:G,5,)</f>
        <v>14</v>
      </c>
      <c r="H32" s="161">
        <f>1*F32+1.21*G32+2.52</f>
        <v>24.459999999999997</v>
      </c>
      <c r="I32" s="327">
        <v>1.575</v>
      </c>
      <c r="J32" s="321">
        <f t="shared" ref="J32:J33" si="3">TRUNC(H32*I32,2)</f>
        <v>38.520000000000003</v>
      </c>
    </row>
    <row r="33" spans="1:10" ht="15" customHeight="1">
      <c r="A33" s="326">
        <v>173200</v>
      </c>
      <c r="B33" s="322" t="str">
        <f>VLOOKUP(A33,'[2]16. CUSTOS DER - MATERIAIS'!A:B,2,0)</f>
        <v>CIMENTO PORTLAND (SACO DE 50KG)</v>
      </c>
      <c r="C33" s="328">
        <v>13200</v>
      </c>
      <c r="D33" s="320" t="str">
        <f>VLOOKUP(A33,'[2]16. CUSTOS DER - MATERIAIS'!A:C,3,0)</f>
        <v>T</v>
      </c>
      <c r="E33" s="216" t="s">
        <v>25922</v>
      </c>
      <c r="F33" s="160">
        <f>VLOOKUP(C33,'24. CÁLCULO DAS DISTÂNCIAS'!B:F,4,)</f>
        <v>69</v>
      </c>
      <c r="G33" s="160">
        <f>VLOOKUP(C33,'24. CÁLCULO DAS DISTÂNCIAS'!B:G,5,)</f>
        <v>14</v>
      </c>
      <c r="H33" s="161">
        <f>0.73*F33+0.88*G33+7.39</f>
        <v>70.08</v>
      </c>
      <c r="I33" s="327">
        <v>0.434</v>
      </c>
      <c r="J33" s="321">
        <f t="shared" si="3"/>
        <v>30.41</v>
      </c>
    </row>
    <row r="34" spans="1:10" ht="30" customHeight="1">
      <c r="A34" s="433"/>
      <c r="B34" s="325">
        <v>603900</v>
      </c>
      <c r="C34" s="570" t="str">
        <f>VLOOKUP(B34,'[2]2. PLANILHA SINTÉTICA'!C:D,2,0)</f>
        <v>LASTRO DE BRITA</v>
      </c>
      <c r="D34" s="570"/>
      <c r="E34" s="570"/>
      <c r="F34" s="570"/>
      <c r="G34" s="324" t="s">
        <v>26</v>
      </c>
      <c r="H34" s="323" t="str">
        <f>VLOOKUP(B34,'[2]2. PLANILHA SINTÉTICA'!C:F,4,0)</f>
        <v>M3</v>
      </c>
      <c r="I34" s="434"/>
      <c r="J34" s="435">
        <f>SUM(J36)</f>
        <v>17.059999999999999</v>
      </c>
    </row>
    <row r="35" spans="1:10" ht="15" customHeight="1">
      <c r="A35" s="163" t="s">
        <v>22751</v>
      </c>
      <c r="B35" s="253" t="s">
        <v>22752</v>
      </c>
      <c r="C35" s="337" t="s">
        <v>22753</v>
      </c>
      <c r="D35" s="163" t="s">
        <v>158</v>
      </c>
      <c r="E35" s="163" t="s">
        <v>9025</v>
      </c>
      <c r="F35" s="163" t="s">
        <v>22748</v>
      </c>
      <c r="G35" s="163" t="s">
        <v>22749</v>
      </c>
      <c r="H35" s="163" t="s">
        <v>1187</v>
      </c>
      <c r="I35" s="163" t="s">
        <v>9026</v>
      </c>
      <c r="J35" s="163" t="s">
        <v>159</v>
      </c>
    </row>
    <row r="36" spans="1:10" ht="15" customHeight="1">
      <c r="A36" s="326">
        <v>130000</v>
      </c>
      <c r="B36" s="322" t="str">
        <f>VLOOKUP(A36,'[2]16. CUSTOS DER - MATERIAIS'!A:B,2,0)</f>
        <v>PEDRA BRITADA (COMERCIAL)</v>
      </c>
      <c r="C36" s="328">
        <v>19400</v>
      </c>
      <c r="D36" s="320" t="str">
        <f>VLOOKUP(A36,'[2]16. CUSTOS DER - MATERIAIS'!A:C,3,0)</f>
        <v>M3</v>
      </c>
      <c r="E36" s="216" t="s">
        <v>25921</v>
      </c>
      <c r="F36" s="160">
        <f>VLOOKUP(C36,'24. CÁLCULO DAS DISTÂNCIAS'!B:F,4,)</f>
        <v>0</v>
      </c>
      <c r="G36" s="160">
        <f>VLOOKUP(C36,'24. CÁLCULO DAS DISTÂNCIAS'!B:G,5,)</f>
        <v>7.3214285714285712</v>
      </c>
      <c r="H36" s="161">
        <f>1*F36+1.21*G36+2.52</f>
        <v>11.37892857142857</v>
      </c>
      <c r="I36" s="327">
        <v>1.5</v>
      </c>
      <c r="J36" s="321">
        <f>TRUNC(H36*I36,2)</f>
        <v>17.059999999999999</v>
      </c>
    </row>
    <row r="37" spans="1:10" ht="30" customHeight="1">
      <c r="A37" s="433"/>
      <c r="B37" s="325">
        <v>610700</v>
      </c>
      <c r="C37" s="570" t="str">
        <f>VLOOKUP(B37,'[2]2. PLANILHA SINTÉTICA'!C:D,2,0)</f>
        <v>CORPO DE BSTC 0,60M COM BERÇO</v>
      </c>
      <c r="D37" s="570"/>
      <c r="E37" s="570"/>
      <c r="F37" s="570"/>
      <c r="G37" s="324" t="s">
        <v>26</v>
      </c>
      <c r="H37" s="323" t="str">
        <f>VLOOKUP(B37,'[2]2. PLANILHA SINTÉTICA'!C:F,4,0)</f>
        <v>M</v>
      </c>
      <c r="I37" s="434"/>
      <c r="J37" s="435">
        <f>SUM(J39:J43)</f>
        <v>16.919999999999998</v>
      </c>
    </row>
    <row r="38" spans="1:10" ht="15" customHeight="1">
      <c r="A38" s="163" t="s">
        <v>22751</v>
      </c>
      <c r="B38" s="253" t="s">
        <v>22752</v>
      </c>
      <c r="C38" s="337" t="s">
        <v>22753</v>
      </c>
      <c r="D38" s="163" t="s">
        <v>158</v>
      </c>
      <c r="E38" s="163" t="s">
        <v>9025</v>
      </c>
      <c r="F38" s="163" t="s">
        <v>22748</v>
      </c>
      <c r="G38" s="163" t="s">
        <v>22749</v>
      </c>
      <c r="H38" s="163" t="s">
        <v>1187</v>
      </c>
      <c r="I38" s="163" t="s">
        <v>9026</v>
      </c>
      <c r="J38" s="163" t="s">
        <v>159</v>
      </c>
    </row>
    <row r="39" spans="1:10" ht="15" customHeight="1">
      <c r="A39" s="326">
        <v>180620</v>
      </c>
      <c r="B39" s="322" t="str">
        <f>VLOOKUP(A39,'[2]16. CUSTOS DER - MATERIAIS'!A:B,2,0)</f>
        <v>TUBO CONCRETO D=0,60M MF PA-2</v>
      </c>
      <c r="C39" s="328">
        <v>19130</v>
      </c>
      <c r="D39" s="320" t="str">
        <f>VLOOKUP(A39,'[2]16. CUSTOS DER - MATERIAIS'!A:C,3,0)</f>
        <v>UD</v>
      </c>
      <c r="E39" s="216" t="s">
        <v>25922</v>
      </c>
      <c r="F39" s="160">
        <f>VLOOKUP(C39,'24. CÁLCULO DAS DISTÂNCIAS'!B:F,4,)</f>
        <v>17</v>
      </c>
      <c r="G39" s="160">
        <f>VLOOKUP(C39,'24. CÁLCULO DAS DISTÂNCIAS'!B:G,5,)</f>
        <v>14</v>
      </c>
      <c r="H39" s="161">
        <f>0.73*F39+0.88*G39+7.39</f>
        <v>32.119999999999997</v>
      </c>
      <c r="I39" s="327">
        <v>0.28199999999999997</v>
      </c>
      <c r="J39" s="321">
        <f t="shared" ref="J39:J43" si="4">TRUNC(H39*I39,2)</f>
        <v>9.0500000000000007</v>
      </c>
    </row>
    <row r="40" spans="1:10" ht="15" customHeight="1">
      <c r="A40" s="326">
        <v>139000</v>
      </c>
      <c r="B40" s="322" t="str">
        <f>VLOOKUP(A40,'[2]16. CUSTOS DER - MATERIAIS'!A:B,2,0)</f>
        <v>AREIA</v>
      </c>
      <c r="C40" s="328">
        <v>19010</v>
      </c>
      <c r="D40" s="320" t="str">
        <f>VLOOKUP(A40,'[2]16. CUSTOS DER - MATERIAIS'!A:C,3,0)</f>
        <v>M3</v>
      </c>
      <c r="E40" s="216" t="s">
        <v>25921</v>
      </c>
      <c r="F40" s="160">
        <f>VLOOKUP(C40,'24. CÁLCULO DAS DISTÂNCIAS'!B:F,4,)</f>
        <v>5</v>
      </c>
      <c r="G40" s="160">
        <f>VLOOKUP(C40,'24. CÁLCULO DAS DISTÂNCIAS'!B:G,5,)</f>
        <v>14</v>
      </c>
      <c r="H40" s="161">
        <f>1*F40+1.21*G40+2.52</f>
        <v>24.459999999999997</v>
      </c>
      <c r="I40" s="327">
        <f>0.008*1.68+0.7*0.169*0.96</f>
        <v>0.12700800000000001</v>
      </c>
      <c r="J40" s="321">
        <f t="shared" si="4"/>
        <v>3.1</v>
      </c>
    </row>
    <row r="41" spans="1:10" ht="15" customHeight="1">
      <c r="A41" s="326">
        <v>173200</v>
      </c>
      <c r="B41" s="322" t="str">
        <f>VLOOKUP(A41,'[2]16. CUSTOS DER - MATERIAIS'!A:B,2,0)</f>
        <v>CIMENTO PORTLAND (SACO DE 50KG)</v>
      </c>
      <c r="C41" s="328">
        <v>13200</v>
      </c>
      <c r="D41" s="320" t="str">
        <f>VLOOKUP(A41,'[2]16. CUSTOS DER - MATERIAIS'!A:C,3,0)</f>
        <v>T</v>
      </c>
      <c r="E41" s="216" t="s">
        <v>25922</v>
      </c>
      <c r="F41" s="160">
        <f>VLOOKUP(C41,'24. CÁLCULO DAS DISTÂNCIAS'!B:F,4,)</f>
        <v>69</v>
      </c>
      <c r="G41" s="160">
        <f>VLOOKUP(C41,'24. CÁLCULO DAS DISTÂNCIAS'!B:G,5,)</f>
        <v>14</v>
      </c>
      <c r="H41" s="161">
        <f>0.73*F41+0.88*G41+7.39</f>
        <v>70.08</v>
      </c>
      <c r="I41" s="327">
        <f>0.008*0.325+0.7*0.169*0.27</f>
        <v>3.4541000000000002E-2</v>
      </c>
      <c r="J41" s="321">
        <f t="shared" si="4"/>
        <v>2.42</v>
      </c>
    </row>
    <row r="42" spans="1:10" ht="15" customHeight="1">
      <c r="A42" s="326">
        <v>130100</v>
      </c>
      <c r="B42" s="322" t="str">
        <f>VLOOKUP(A42,'[2]16. CUSTOS DER - MATERIAIS'!A:B,2,0)</f>
        <v>PEDRA DE MÃO (COMERCIAL)</v>
      </c>
      <c r="C42" s="328">
        <v>19410</v>
      </c>
      <c r="D42" s="320" t="str">
        <f>VLOOKUP(A42,'[2]16. CUSTOS DER - MATERIAIS'!A:C,3,0)</f>
        <v>M3</v>
      </c>
      <c r="E42" s="216" t="s">
        <v>25921</v>
      </c>
      <c r="F42" s="160">
        <f>VLOOKUP(C42,'24. CÁLCULO DAS DISTÂNCIAS'!B:F,4,)</f>
        <v>0</v>
      </c>
      <c r="G42" s="160">
        <f>VLOOKUP(C42,'24. CÁLCULO DAS DISTÂNCIAS'!B:G,5,)</f>
        <v>7.3214285714285712</v>
      </c>
      <c r="H42" s="161">
        <f t="shared" ref="H42:H43" si="5">1*F42+1.21*G42+2.52</f>
        <v>11.37892857142857</v>
      </c>
      <c r="I42" s="327">
        <f>0.45*0.169</f>
        <v>7.6050000000000006E-2</v>
      </c>
      <c r="J42" s="321">
        <f t="shared" si="4"/>
        <v>0.86</v>
      </c>
    </row>
    <row r="43" spans="1:10" ht="15" customHeight="1">
      <c r="A43" s="326">
        <v>130000</v>
      </c>
      <c r="B43" s="322" t="str">
        <f>VLOOKUP(A43,'[2]16. CUSTOS DER - MATERIAIS'!A:B,2,0)</f>
        <v>PEDRA BRITADA (COMERCIAL)</v>
      </c>
      <c r="C43" s="328">
        <v>19400</v>
      </c>
      <c r="D43" s="320" t="str">
        <f>VLOOKUP(A43,'[2]16. CUSTOS DER - MATERIAIS'!A:C,3,0)</f>
        <v>M3</v>
      </c>
      <c r="E43" s="216" t="s">
        <v>25921</v>
      </c>
      <c r="F43" s="160">
        <f>VLOOKUP(C43,'24. CÁLCULO DAS DISTÂNCIAS'!B:F,4,)</f>
        <v>0</v>
      </c>
      <c r="G43" s="160">
        <f>VLOOKUP(C43,'24. CÁLCULO DAS DISTÂNCIAS'!B:G,5,)</f>
        <v>7.3214285714285712</v>
      </c>
      <c r="H43" s="161">
        <f t="shared" si="5"/>
        <v>11.37892857142857</v>
      </c>
      <c r="I43" s="327">
        <f>0.7*0.169*1.11</f>
        <v>0.13131300000000001</v>
      </c>
      <c r="J43" s="321">
        <f t="shared" si="4"/>
        <v>1.49</v>
      </c>
    </row>
    <row r="44" spans="1:10" ht="30" customHeight="1">
      <c r="A44" s="433"/>
      <c r="B44" s="325">
        <v>610600</v>
      </c>
      <c r="C44" s="570" t="str">
        <f>VLOOKUP(B44,'[2]2. PLANILHA SINTÉTICA'!C:D,2,0)</f>
        <v>CORPO DE BSTC 0,60M SEM BERÇO</v>
      </c>
      <c r="D44" s="570"/>
      <c r="E44" s="570"/>
      <c r="F44" s="570"/>
      <c r="G44" s="324" t="s">
        <v>26</v>
      </c>
      <c r="H44" s="323" t="str">
        <f>VLOOKUP(B44,'[2]2. PLANILHA SINTÉTICA'!C:F,4,0)</f>
        <v>M</v>
      </c>
      <c r="I44" s="434"/>
      <c r="J44" s="435">
        <f>SUM(J46:J48)</f>
        <v>9.5500000000000007</v>
      </c>
    </row>
    <row r="45" spans="1:10" ht="15" customHeight="1">
      <c r="A45" s="163" t="s">
        <v>22751</v>
      </c>
      <c r="B45" s="253" t="s">
        <v>22752</v>
      </c>
      <c r="C45" s="337" t="s">
        <v>22753</v>
      </c>
      <c r="D45" s="163" t="s">
        <v>158</v>
      </c>
      <c r="E45" s="163" t="s">
        <v>9025</v>
      </c>
      <c r="F45" s="163" t="s">
        <v>22748</v>
      </c>
      <c r="G45" s="163" t="s">
        <v>22749</v>
      </c>
      <c r="H45" s="163" t="s">
        <v>1187</v>
      </c>
      <c r="I45" s="163" t="s">
        <v>9026</v>
      </c>
      <c r="J45" s="163" t="s">
        <v>159</v>
      </c>
    </row>
    <row r="46" spans="1:10">
      <c r="A46" s="326">
        <v>180620</v>
      </c>
      <c r="B46" s="322" t="str">
        <f>VLOOKUP(A46,'[2]16. CUSTOS DER - MATERIAIS'!A:B,2,0)</f>
        <v>TUBO CONCRETO D=0,60M MF PA-2</v>
      </c>
      <c r="C46" s="328">
        <v>19130</v>
      </c>
      <c r="D46" s="320" t="str">
        <f>VLOOKUP(A46,'[2]16. CUSTOS DER - MATERIAIS'!A:C,3,0)</f>
        <v>UD</v>
      </c>
      <c r="E46" s="216" t="s">
        <v>25922</v>
      </c>
      <c r="F46" s="160">
        <f>VLOOKUP(C46,'24. CÁLCULO DAS DISTÂNCIAS'!B:F,4,)</f>
        <v>17</v>
      </c>
      <c r="G46" s="160">
        <f>VLOOKUP(C46,'24. CÁLCULO DAS DISTÂNCIAS'!B:G,5,)</f>
        <v>14</v>
      </c>
      <c r="H46" s="161">
        <f>0.73*F46+0.88*G46+7.39</f>
        <v>32.119999999999997</v>
      </c>
      <c r="I46" s="327">
        <v>0.28199999999999997</v>
      </c>
      <c r="J46" s="321">
        <f t="shared" ref="J46:J48" si="6">TRUNC(H46*I46,2)</f>
        <v>9.0500000000000007</v>
      </c>
    </row>
    <row r="47" spans="1:10" ht="15" customHeight="1">
      <c r="A47" s="326">
        <v>139000</v>
      </c>
      <c r="B47" s="322" t="str">
        <f>VLOOKUP(A47,'[2]16. CUSTOS DER - MATERIAIS'!A:B,2,0)</f>
        <v>AREIA</v>
      </c>
      <c r="C47" s="328">
        <v>19010</v>
      </c>
      <c r="D47" s="320" t="str">
        <f>VLOOKUP(A47,'[2]16. CUSTOS DER - MATERIAIS'!A:C,3,0)</f>
        <v>M3</v>
      </c>
      <c r="E47" s="216" t="s">
        <v>25921</v>
      </c>
      <c r="F47" s="160">
        <f>VLOOKUP(C47,'24. CÁLCULO DAS DISTÂNCIAS'!B:F,4,)</f>
        <v>5</v>
      </c>
      <c r="G47" s="160">
        <f>VLOOKUP(C47,'24. CÁLCULO DAS DISTÂNCIAS'!B:G,5,)</f>
        <v>14</v>
      </c>
      <c r="H47" s="161">
        <f>1*F47+1.21*G47+2.52</f>
        <v>24.459999999999997</v>
      </c>
      <c r="I47" s="327">
        <f>0.008*1.68</f>
        <v>1.3440000000000001E-2</v>
      </c>
      <c r="J47" s="321">
        <f t="shared" si="6"/>
        <v>0.32</v>
      </c>
    </row>
    <row r="48" spans="1:10" ht="15" customHeight="1">
      <c r="A48" s="326">
        <v>173200</v>
      </c>
      <c r="B48" s="322" t="str">
        <f>VLOOKUP(A48,'[2]16. CUSTOS DER - MATERIAIS'!A:B,2,0)</f>
        <v>CIMENTO PORTLAND (SACO DE 50KG)</v>
      </c>
      <c r="C48" s="328">
        <v>13200</v>
      </c>
      <c r="D48" s="320" t="str">
        <f>VLOOKUP(A48,'[2]16. CUSTOS DER - MATERIAIS'!A:C,3,0)</f>
        <v>T</v>
      </c>
      <c r="E48" s="216" t="s">
        <v>25922</v>
      </c>
      <c r="F48" s="160">
        <f>VLOOKUP(C48,'24. CÁLCULO DAS DISTÂNCIAS'!B:F,4,)</f>
        <v>69</v>
      </c>
      <c r="G48" s="160">
        <f>VLOOKUP(C48,'24. CÁLCULO DAS DISTÂNCIAS'!B:G,5,)</f>
        <v>14</v>
      </c>
      <c r="H48" s="161">
        <f>0.73*F48+0.88*G48+7.39</f>
        <v>70.08</v>
      </c>
      <c r="I48" s="327">
        <f>0.008*0.325</f>
        <v>2.6000000000000003E-3</v>
      </c>
      <c r="J48" s="321">
        <f t="shared" si="6"/>
        <v>0.18</v>
      </c>
    </row>
    <row r="49" spans="1:10" ht="30" customHeight="1">
      <c r="A49" s="433"/>
      <c r="B49" s="325">
        <v>610900</v>
      </c>
      <c r="C49" s="570" t="str">
        <f>VLOOKUP(B49,'[2]2. PLANILHA SINTÉTICA'!C:D,2,0)</f>
        <v>CORPO DE BSTC 0,80M COM BERÇO</v>
      </c>
      <c r="D49" s="570"/>
      <c r="E49" s="570"/>
      <c r="F49" s="570"/>
      <c r="G49" s="324" t="s">
        <v>26</v>
      </c>
      <c r="H49" s="323" t="str">
        <f>VLOOKUP(B49,'[2]2. PLANILHA SINTÉTICA'!C:F,4,0)</f>
        <v>M</v>
      </c>
      <c r="I49" s="434"/>
      <c r="J49" s="435">
        <f>SUM(J51:J55)</f>
        <v>35.879999999999995</v>
      </c>
    </row>
    <row r="50" spans="1:10" ht="15" customHeight="1">
      <c r="A50" s="163" t="s">
        <v>22751</v>
      </c>
      <c r="B50" s="253" t="s">
        <v>22752</v>
      </c>
      <c r="C50" s="337" t="s">
        <v>22753</v>
      </c>
      <c r="D50" s="163" t="s">
        <v>158</v>
      </c>
      <c r="E50" s="163" t="s">
        <v>9025</v>
      </c>
      <c r="F50" s="163" t="s">
        <v>22748</v>
      </c>
      <c r="G50" s="163" t="s">
        <v>22749</v>
      </c>
      <c r="H50" s="163" t="s">
        <v>1187</v>
      </c>
      <c r="I50" s="163" t="s">
        <v>9026</v>
      </c>
      <c r="J50" s="163" t="s">
        <v>159</v>
      </c>
    </row>
    <row r="51" spans="1:10" ht="15" customHeight="1">
      <c r="A51" s="326">
        <v>180820</v>
      </c>
      <c r="B51" s="322" t="str">
        <f>VLOOKUP(A51,'[2]16. CUSTOS DER - MATERIAIS'!A:B,2,0)</f>
        <v>TUBO CONCRETO D=0,80M MF PA-2</v>
      </c>
      <c r="C51" s="328">
        <v>19130</v>
      </c>
      <c r="D51" s="320" t="str">
        <f>VLOOKUP(A51,'[2]16. CUSTOS DER - MATERIAIS'!A:C,3,0)</f>
        <v>UD</v>
      </c>
      <c r="E51" s="216" t="s">
        <v>25922</v>
      </c>
      <c r="F51" s="160">
        <f>VLOOKUP(C51,'24. CÁLCULO DAS DISTÂNCIAS'!B:F,4,)</f>
        <v>17</v>
      </c>
      <c r="G51" s="160">
        <f>VLOOKUP(C51,'24. CÁLCULO DAS DISTÂNCIAS'!B:G,5,)</f>
        <v>14</v>
      </c>
      <c r="H51" s="161">
        <f>0.73*F51+0.88*G51+7.39</f>
        <v>32.119999999999997</v>
      </c>
      <c r="I51" s="327">
        <v>0.69</v>
      </c>
      <c r="J51" s="321">
        <f t="shared" ref="J51:J55" si="7">TRUNC(H51*I51,2)</f>
        <v>22.16</v>
      </c>
    </row>
    <row r="52" spans="1:10" ht="15" customHeight="1">
      <c r="A52" s="326">
        <v>139000</v>
      </c>
      <c r="B52" s="322" t="str">
        <f>VLOOKUP(A52,'[2]16. CUSTOS DER - MATERIAIS'!A:B,2,0)</f>
        <v>AREIA</v>
      </c>
      <c r="C52" s="328">
        <v>19010</v>
      </c>
      <c r="D52" s="320" t="str">
        <f>VLOOKUP(A52,'[2]16. CUSTOS DER - MATERIAIS'!A:C,3,0)</f>
        <v>M3</v>
      </c>
      <c r="E52" s="216" t="s">
        <v>25921</v>
      </c>
      <c r="F52" s="160">
        <f>VLOOKUP(C52,'24. CÁLCULO DAS DISTÂNCIAS'!B:F,4,)</f>
        <v>5</v>
      </c>
      <c r="G52" s="160">
        <f>VLOOKUP(C52,'24. CÁLCULO DAS DISTÂNCIAS'!B:G,5,)</f>
        <v>14</v>
      </c>
      <c r="H52" s="161">
        <f>1*F52+1.21*G52+2.52</f>
        <v>24.459999999999997</v>
      </c>
      <c r="I52" s="327">
        <f>0.01*1.68+0.96*0.7*0.3</f>
        <v>0.21839999999999998</v>
      </c>
      <c r="J52" s="321">
        <f t="shared" si="7"/>
        <v>5.34</v>
      </c>
    </row>
    <row r="53" spans="1:10" ht="15" customHeight="1">
      <c r="A53" s="326">
        <v>173200</v>
      </c>
      <c r="B53" s="322" t="str">
        <f>VLOOKUP(A53,'[2]16. CUSTOS DER - MATERIAIS'!A:B,2,0)</f>
        <v>CIMENTO PORTLAND (SACO DE 50KG)</v>
      </c>
      <c r="C53" s="328">
        <v>13200</v>
      </c>
      <c r="D53" s="320" t="str">
        <f>VLOOKUP(A53,'[2]16. CUSTOS DER - MATERIAIS'!A:C,3,0)</f>
        <v>T</v>
      </c>
      <c r="E53" s="216" t="s">
        <v>25922</v>
      </c>
      <c r="F53" s="160">
        <f>VLOOKUP(C53,'24. CÁLCULO DAS DISTÂNCIAS'!B:F,4,)</f>
        <v>69</v>
      </c>
      <c r="G53" s="160">
        <f>VLOOKUP(C53,'24. CÁLCULO DAS DISTÂNCIAS'!B:G,5,)</f>
        <v>14</v>
      </c>
      <c r="H53" s="161">
        <f>0.73*F53+0.88*G53+7.39</f>
        <v>70.08</v>
      </c>
      <c r="I53" s="327">
        <f>0.01*0.325+0.27*0.7*0.3</f>
        <v>5.9950000000000003E-2</v>
      </c>
      <c r="J53" s="321">
        <f t="shared" si="7"/>
        <v>4.2</v>
      </c>
    </row>
    <row r="54" spans="1:10" ht="15" customHeight="1">
      <c r="A54" s="326">
        <v>130100</v>
      </c>
      <c r="B54" s="322" t="str">
        <f>VLOOKUP(A54,'[2]16. CUSTOS DER - MATERIAIS'!A:B,2,0)</f>
        <v>PEDRA DE MÃO (COMERCIAL)</v>
      </c>
      <c r="C54" s="328">
        <v>19410</v>
      </c>
      <c r="D54" s="320" t="str">
        <f>VLOOKUP(A54,'[2]16. CUSTOS DER - MATERIAIS'!A:C,3,0)</f>
        <v>M3</v>
      </c>
      <c r="E54" s="216" t="s">
        <v>25921</v>
      </c>
      <c r="F54" s="160">
        <f>VLOOKUP(C54,'24. CÁLCULO DAS DISTÂNCIAS'!B:F,4,)</f>
        <v>0</v>
      </c>
      <c r="G54" s="160">
        <f>VLOOKUP(C54,'24. CÁLCULO DAS DISTÂNCIAS'!B:G,5,)</f>
        <v>7.3214285714285712</v>
      </c>
      <c r="H54" s="161">
        <f t="shared" ref="H54:H55" si="8">1*F54+1.21*G54+2.52</f>
        <v>11.37892857142857</v>
      </c>
      <c r="I54" s="327">
        <f>0.45*0.3</f>
        <v>0.13500000000000001</v>
      </c>
      <c r="J54" s="321">
        <f t="shared" si="7"/>
        <v>1.53</v>
      </c>
    </row>
    <row r="55" spans="1:10" ht="15" customHeight="1">
      <c r="A55" s="326">
        <v>130000</v>
      </c>
      <c r="B55" s="322" t="str">
        <f>VLOOKUP(A55,'[2]16. CUSTOS DER - MATERIAIS'!A:B,2,0)</f>
        <v>PEDRA BRITADA (COMERCIAL)</v>
      </c>
      <c r="C55" s="328">
        <v>19400</v>
      </c>
      <c r="D55" s="320" t="str">
        <f>VLOOKUP(A55,'[2]16. CUSTOS DER - MATERIAIS'!A:C,3,0)</f>
        <v>M3</v>
      </c>
      <c r="E55" s="216" t="s">
        <v>25921</v>
      </c>
      <c r="F55" s="160">
        <f>VLOOKUP(C55,'24. CÁLCULO DAS DISTÂNCIAS'!B:F,4,)</f>
        <v>0</v>
      </c>
      <c r="G55" s="160">
        <f>VLOOKUP(C55,'24. CÁLCULO DAS DISTÂNCIAS'!B:G,5,)</f>
        <v>7.3214285714285712</v>
      </c>
      <c r="H55" s="161">
        <f t="shared" si="8"/>
        <v>11.37892857142857</v>
      </c>
      <c r="I55" s="327">
        <f>1.11*0.7*0.3</f>
        <v>0.2331</v>
      </c>
      <c r="J55" s="321">
        <f t="shared" si="7"/>
        <v>2.65</v>
      </c>
    </row>
    <row r="56" spans="1:10" ht="30" customHeight="1">
      <c r="A56" s="433"/>
      <c r="B56" s="325">
        <v>610800</v>
      </c>
      <c r="C56" s="570" t="str">
        <f>VLOOKUP(B56,'[2]2. PLANILHA SINTÉTICA'!C:D,2,0)</f>
        <v>CORPO DE BSTC 0,80M SEM BERÇO</v>
      </c>
      <c r="D56" s="570"/>
      <c r="E56" s="570"/>
      <c r="F56" s="570"/>
      <c r="G56" s="324" t="s">
        <v>26</v>
      </c>
      <c r="H56" s="323" t="str">
        <f>VLOOKUP(B56,'[2]2. PLANILHA SINTÉTICA'!C:F,4,0)</f>
        <v>M</v>
      </c>
      <c r="I56" s="434"/>
      <c r="J56" s="435">
        <f>SUM(J58:J60)</f>
        <v>22.79</v>
      </c>
    </row>
    <row r="57" spans="1:10" ht="15" customHeight="1">
      <c r="A57" s="163" t="s">
        <v>22751</v>
      </c>
      <c r="B57" s="253" t="s">
        <v>22752</v>
      </c>
      <c r="C57" s="337" t="s">
        <v>22753</v>
      </c>
      <c r="D57" s="163" t="s">
        <v>158</v>
      </c>
      <c r="E57" s="163" t="s">
        <v>9025</v>
      </c>
      <c r="F57" s="163" t="s">
        <v>22748</v>
      </c>
      <c r="G57" s="163" t="s">
        <v>22749</v>
      </c>
      <c r="H57" s="163" t="s">
        <v>1187</v>
      </c>
      <c r="I57" s="163" t="s">
        <v>9026</v>
      </c>
      <c r="J57" s="163" t="s">
        <v>159</v>
      </c>
    </row>
    <row r="58" spans="1:10" ht="15" customHeight="1">
      <c r="A58" s="326">
        <v>180820</v>
      </c>
      <c r="B58" s="322" t="str">
        <f>VLOOKUP(A58,'[2]16. CUSTOS DER - MATERIAIS'!A:B,2,0)</f>
        <v>TUBO CONCRETO D=0,80M MF PA-2</v>
      </c>
      <c r="C58" s="328">
        <v>19130</v>
      </c>
      <c r="D58" s="320" t="str">
        <f>VLOOKUP(A58,'[2]16. CUSTOS DER - MATERIAIS'!A:C,3,0)</f>
        <v>UD</v>
      </c>
      <c r="E58" s="216" t="s">
        <v>25922</v>
      </c>
      <c r="F58" s="160">
        <f>VLOOKUP(C58,'24. CÁLCULO DAS DISTÂNCIAS'!B:F,4,)</f>
        <v>17</v>
      </c>
      <c r="G58" s="160">
        <f>VLOOKUP(C58,'24. CÁLCULO DAS DISTÂNCIAS'!B:G,5,)</f>
        <v>14</v>
      </c>
      <c r="H58" s="161">
        <f>0.73*F58+0.88*G58+7.39</f>
        <v>32.119999999999997</v>
      </c>
      <c r="I58" s="327">
        <v>0.69</v>
      </c>
      <c r="J58" s="321">
        <f t="shared" ref="J58:J60" si="9">TRUNC(H58*I58,2)</f>
        <v>22.16</v>
      </c>
    </row>
    <row r="59" spans="1:10" ht="15" customHeight="1">
      <c r="A59" s="326">
        <v>139000</v>
      </c>
      <c r="B59" s="322" t="str">
        <f>VLOOKUP(A59,'[2]16. CUSTOS DER - MATERIAIS'!A:B,2,0)</f>
        <v>AREIA</v>
      </c>
      <c r="C59" s="328">
        <v>19010</v>
      </c>
      <c r="D59" s="320" t="str">
        <f>VLOOKUP(A59,'[2]16. CUSTOS DER - MATERIAIS'!A:C,3,0)</f>
        <v>M3</v>
      </c>
      <c r="E59" s="216" t="s">
        <v>25921</v>
      </c>
      <c r="F59" s="160">
        <f>VLOOKUP(C59,'24. CÁLCULO DAS DISTÂNCIAS'!B:F,4,)</f>
        <v>5</v>
      </c>
      <c r="G59" s="160">
        <f>VLOOKUP(C59,'24. CÁLCULO DAS DISTÂNCIAS'!B:G,5,)</f>
        <v>14</v>
      </c>
      <c r="H59" s="161">
        <f>1*F59+1.21*G59+2.52</f>
        <v>24.459999999999997</v>
      </c>
      <c r="I59" s="327">
        <f>0.01*1.68</f>
        <v>1.6799999999999999E-2</v>
      </c>
      <c r="J59" s="321">
        <f t="shared" si="9"/>
        <v>0.41</v>
      </c>
    </row>
    <row r="60" spans="1:10" ht="15" customHeight="1">
      <c r="A60" s="326">
        <v>173200</v>
      </c>
      <c r="B60" s="322" t="str">
        <f>VLOOKUP(A60,'[2]16. CUSTOS DER - MATERIAIS'!A:B,2,0)</f>
        <v>CIMENTO PORTLAND (SACO DE 50KG)</v>
      </c>
      <c r="C60" s="328">
        <v>13200</v>
      </c>
      <c r="D60" s="320" t="str">
        <f>VLOOKUP(A60,'[2]16. CUSTOS DER - MATERIAIS'!A:C,3,0)</f>
        <v>T</v>
      </c>
      <c r="E60" s="216" t="s">
        <v>25922</v>
      </c>
      <c r="F60" s="160">
        <f>VLOOKUP(C60,'24. CÁLCULO DAS DISTÂNCIAS'!B:F,4,)</f>
        <v>69</v>
      </c>
      <c r="G60" s="160">
        <f>VLOOKUP(C60,'24. CÁLCULO DAS DISTÂNCIAS'!B:G,5,)</f>
        <v>14</v>
      </c>
      <c r="H60" s="161">
        <f>0.73*F60+0.88*G60+7.39</f>
        <v>70.08</v>
      </c>
      <c r="I60" s="327">
        <f>0.01*0.325</f>
        <v>3.2500000000000003E-3</v>
      </c>
      <c r="J60" s="321">
        <f t="shared" si="9"/>
        <v>0.22</v>
      </c>
    </row>
    <row r="61" spans="1:10" ht="30" customHeight="1">
      <c r="A61" s="433"/>
      <c r="B61" s="325">
        <v>611500</v>
      </c>
      <c r="C61" s="570" t="str">
        <f>VLOOKUP(B61,'[2]2. PLANILHA SINTÉTICA'!C:D,2,0)</f>
        <v>CORPO DE BSTC 1,50M COM BERÇO</v>
      </c>
      <c r="D61" s="570"/>
      <c r="E61" s="570"/>
      <c r="F61" s="570"/>
      <c r="G61" s="324" t="s">
        <v>26</v>
      </c>
      <c r="H61" s="323" t="str">
        <f>VLOOKUP(B61,'[2]2. PLANILHA SINTÉTICA'!C:F,4,0)</f>
        <v>M</v>
      </c>
      <c r="I61" s="434"/>
      <c r="J61" s="435">
        <f>SUM(J63:J67)</f>
        <v>94.62</v>
      </c>
    </row>
    <row r="62" spans="1:10" ht="15" customHeight="1">
      <c r="A62" s="163" t="s">
        <v>22751</v>
      </c>
      <c r="B62" s="253" t="s">
        <v>22752</v>
      </c>
      <c r="C62" s="337" t="s">
        <v>22753</v>
      </c>
      <c r="D62" s="163" t="s">
        <v>158</v>
      </c>
      <c r="E62" s="163" t="s">
        <v>9025</v>
      </c>
      <c r="F62" s="163" t="s">
        <v>22748</v>
      </c>
      <c r="G62" s="163" t="s">
        <v>22749</v>
      </c>
      <c r="H62" s="163" t="s">
        <v>1187</v>
      </c>
      <c r="I62" s="163" t="s">
        <v>9026</v>
      </c>
      <c r="J62" s="163" t="s">
        <v>159</v>
      </c>
    </row>
    <row r="63" spans="1:10" ht="15" customHeight="1">
      <c r="A63" s="326">
        <v>181520</v>
      </c>
      <c r="B63" s="322" t="str">
        <f>VLOOKUP(A63,'[2]16. CUSTOS DER - MATERIAIS'!A:B,2,0)</f>
        <v>TUBO CONCRETO D=1,50M MF PA-2</v>
      </c>
      <c r="C63" s="328">
        <v>19130</v>
      </c>
      <c r="D63" s="320" t="str">
        <f>VLOOKUP(A63,'[2]16. CUSTOS DER - MATERIAIS'!A:C,3,0)</f>
        <v>UD</v>
      </c>
      <c r="E63" s="216" t="s">
        <v>25922</v>
      </c>
      <c r="F63" s="160">
        <f>VLOOKUP(C63,'24. CÁLCULO DAS DISTÂNCIAS'!B:F,4,)</f>
        <v>17</v>
      </c>
      <c r="G63" s="160">
        <f>VLOOKUP(C63,'24. CÁLCULO DAS DISTÂNCIAS'!B:G,5,)</f>
        <v>14</v>
      </c>
      <c r="H63" s="161">
        <f>0.73*F63+0.88*G63+7.39</f>
        <v>32.119999999999997</v>
      </c>
      <c r="I63" s="327">
        <v>1.61</v>
      </c>
      <c r="J63" s="321">
        <f t="shared" ref="J63:J67" si="10">TRUNC(H63*I63,2)</f>
        <v>51.71</v>
      </c>
    </row>
    <row r="64" spans="1:10" ht="15" customHeight="1">
      <c r="A64" s="326">
        <v>139000</v>
      </c>
      <c r="B64" s="322" t="str">
        <f>VLOOKUP(A64,'[2]16. CUSTOS DER - MATERIAIS'!A:B,2,0)</f>
        <v>AREIA</v>
      </c>
      <c r="C64" s="328">
        <v>19010</v>
      </c>
      <c r="D64" s="320" t="str">
        <f>VLOOKUP(A64,'[2]16. CUSTOS DER - MATERIAIS'!A:C,3,0)</f>
        <v>M3</v>
      </c>
      <c r="E64" s="216" t="s">
        <v>25921</v>
      </c>
      <c r="F64" s="160">
        <f>VLOOKUP(C64,'24. CÁLCULO DAS DISTÂNCIAS'!B:F,4,)</f>
        <v>5</v>
      </c>
      <c r="G64" s="160">
        <f>VLOOKUP(C64,'24. CÁLCULO DAS DISTÂNCIAS'!B:G,5,)</f>
        <v>14</v>
      </c>
      <c r="H64" s="161">
        <f>1*F64+1.21*G64+2.52</f>
        <v>24.459999999999997</v>
      </c>
      <c r="I64" s="327">
        <f>0.025*1.68+0.96*0.7*0.947</f>
        <v>0.67838399999999999</v>
      </c>
      <c r="J64" s="321">
        <f t="shared" si="10"/>
        <v>16.59</v>
      </c>
    </row>
    <row r="65" spans="1:10" ht="15" customHeight="1">
      <c r="A65" s="326">
        <v>173200</v>
      </c>
      <c r="B65" s="322" t="str">
        <f>VLOOKUP(A65,'[2]16. CUSTOS DER - MATERIAIS'!A:B,2,0)</f>
        <v>CIMENTO PORTLAND (SACO DE 50KG)</v>
      </c>
      <c r="C65" s="328">
        <v>13200</v>
      </c>
      <c r="D65" s="320" t="str">
        <f>VLOOKUP(A65,'[2]16. CUSTOS DER - MATERIAIS'!A:C,3,0)</f>
        <v>T</v>
      </c>
      <c r="E65" s="216" t="s">
        <v>25922</v>
      </c>
      <c r="F65" s="160">
        <f>VLOOKUP(C65,'24. CÁLCULO DAS DISTÂNCIAS'!B:F,4,)</f>
        <v>69</v>
      </c>
      <c r="G65" s="160">
        <f>VLOOKUP(C65,'24. CÁLCULO DAS DISTÂNCIAS'!B:G,5,)</f>
        <v>14</v>
      </c>
      <c r="H65" s="161">
        <f>0.73*F65+0.88*G65+7.39</f>
        <v>70.08</v>
      </c>
      <c r="I65" s="327">
        <f>0.325*0.025+0.7*0.27*0.947</f>
        <v>0.187108</v>
      </c>
      <c r="J65" s="321">
        <f t="shared" si="10"/>
        <v>13.11</v>
      </c>
    </row>
    <row r="66" spans="1:10" ht="15" customHeight="1">
      <c r="A66" s="326">
        <v>130100</v>
      </c>
      <c r="B66" s="322" t="str">
        <f>VLOOKUP(A66,'[2]16. CUSTOS DER - MATERIAIS'!A:B,2,0)</f>
        <v>PEDRA DE MÃO (COMERCIAL)</v>
      </c>
      <c r="C66" s="328">
        <v>19410</v>
      </c>
      <c r="D66" s="320" t="str">
        <f>VLOOKUP(A66,'[2]16. CUSTOS DER - MATERIAIS'!A:C,3,0)</f>
        <v>M3</v>
      </c>
      <c r="E66" s="216" t="s">
        <v>25921</v>
      </c>
      <c r="F66" s="160">
        <f>VLOOKUP(C66,'24. CÁLCULO DAS DISTÂNCIAS'!B:F,4,)</f>
        <v>0</v>
      </c>
      <c r="G66" s="160">
        <f>VLOOKUP(C66,'24. CÁLCULO DAS DISTÂNCIAS'!B:G,5,)</f>
        <v>7.3214285714285712</v>
      </c>
      <c r="H66" s="161">
        <f t="shared" ref="H66:H67" si="11">1*F66+1.21*G66+2.52</f>
        <v>11.37892857142857</v>
      </c>
      <c r="I66" s="327">
        <v>0.42609999999999998</v>
      </c>
      <c r="J66" s="321">
        <f t="shared" si="10"/>
        <v>4.84</v>
      </c>
    </row>
    <row r="67" spans="1:10" ht="15" customHeight="1">
      <c r="A67" s="326">
        <v>130000</v>
      </c>
      <c r="B67" s="322" t="str">
        <f>VLOOKUP(A67,'[2]16. CUSTOS DER - MATERIAIS'!A:B,2,0)</f>
        <v>PEDRA BRITADA (COMERCIAL)</v>
      </c>
      <c r="C67" s="328">
        <v>19400</v>
      </c>
      <c r="D67" s="320" t="str">
        <f>VLOOKUP(A67,'[2]16. CUSTOS DER - MATERIAIS'!A:C,3,0)</f>
        <v>M3</v>
      </c>
      <c r="E67" s="216" t="s">
        <v>25921</v>
      </c>
      <c r="F67" s="160">
        <f>VLOOKUP(C67,'24. CÁLCULO DAS DISTÂNCIAS'!B:F,4,)</f>
        <v>0</v>
      </c>
      <c r="G67" s="160">
        <f>VLOOKUP(C67,'24. CÁLCULO DAS DISTÂNCIAS'!B:G,5,)</f>
        <v>7.3214285714285712</v>
      </c>
      <c r="H67" s="161">
        <f t="shared" si="11"/>
        <v>11.37892857142857</v>
      </c>
      <c r="I67" s="327">
        <f>1.11*0.7*0.947</f>
        <v>0.735819</v>
      </c>
      <c r="J67" s="321">
        <f t="shared" si="10"/>
        <v>8.3699999999999992</v>
      </c>
    </row>
    <row r="68" spans="1:10" ht="30" customHeight="1">
      <c r="A68" s="433"/>
      <c r="B68" s="325">
        <v>620100</v>
      </c>
      <c r="C68" s="570" t="str">
        <f>VLOOKUP(B68,'[2]2. PLANILHA SINTÉTICA'!C:D,2,0)</f>
        <v>BOCA DE BSTC 0,60M</v>
      </c>
      <c r="D68" s="570"/>
      <c r="E68" s="570"/>
      <c r="F68" s="570"/>
      <c r="G68" s="324" t="s">
        <v>26</v>
      </c>
      <c r="H68" s="323" t="str">
        <f>VLOOKUP(B68,'[2]2. PLANILHA SINTÉTICA'!C:F,4,0)</f>
        <v>UD</v>
      </c>
      <c r="I68" s="434"/>
      <c r="J68" s="435">
        <f>SUM(J70:J73)</f>
        <v>45.68</v>
      </c>
    </row>
    <row r="69" spans="1:10" ht="15" customHeight="1">
      <c r="A69" s="163" t="s">
        <v>22751</v>
      </c>
      <c r="B69" s="253" t="s">
        <v>22752</v>
      </c>
      <c r="C69" s="337" t="s">
        <v>22753</v>
      </c>
      <c r="D69" s="163" t="s">
        <v>158</v>
      </c>
      <c r="E69" s="163" t="s">
        <v>9025</v>
      </c>
      <c r="F69" s="163" t="s">
        <v>22748</v>
      </c>
      <c r="G69" s="163" t="s">
        <v>22749</v>
      </c>
      <c r="H69" s="163" t="s">
        <v>1187</v>
      </c>
      <c r="I69" s="163" t="s">
        <v>9026</v>
      </c>
      <c r="J69" s="163" t="s">
        <v>159</v>
      </c>
    </row>
    <row r="70" spans="1:10" ht="15" customHeight="1">
      <c r="A70" s="326">
        <v>139000</v>
      </c>
      <c r="B70" s="322" t="str">
        <f>VLOOKUP(A70,'[2]16. CUSTOS DER - MATERIAIS'!A:B,2,0)</f>
        <v>AREIA</v>
      </c>
      <c r="C70" s="328">
        <v>19010</v>
      </c>
      <c r="D70" s="320" t="str">
        <f>VLOOKUP(A70,'[2]16. CUSTOS DER - MATERIAIS'!A:C,3,0)</f>
        <v>M3</v>
      </c>
      <c r="E70" s="216" t="s">
        <v>25921</v>
      </c>
      <c r="F70" s="160">
        <f>VLOOKUP(C70,'24. CÁLCULO DAS DISTÂNCIAS'!B:F,4,)</f>
        <v>5</v>
      </c>
      <c r="G70" s="160">
        <f>VLOOKUP(C70,'24. CÁLCULO DAS DISTÂNCIAS'!B:G,5,)</f>
        <v>14</v>
      </c>
      <c r="H70" s="161">
        <f>1*F70+1.21*G70+2.52</f>
        <v>24.459999999999997</v>
      </c>
      <c r="I70" s="327">
        <v>0.7036</v>
      </c>
      <c r="J70" s="321">
        <f t="shared" ref="J70:J73" si="12">TRUNC(H70*I70,2)</f>
        <v>17.21</v>
      </c>
    </row>
    <row r="71" spans="1:10" ht="15" customHeight="1">
      <c r="A71" s="326">
        <v>173200</v>
      </c>
      <c r="B71" s="322" t="str">
        <f>VLOOKUP(A71,'[2]16. CUSTOS DER - MATERIAIS'!A:B,2,0)</f>
        <v>CIMENTO PORTLAND (SACO DE 50KG)</v>
      </c>
      <c r="C71" s="328">
        <v>13200</v>
      </c>
      <c r="D71" s="320" t="str">
        <f>VLOOKUP(A71,'[2]16. CUSTOS DER - MATERIAIS'!A:C,3,0)</f>
        <v>T</v>
      </c>
      <c r="E71" s="216" t="s">
        <v>25922</v>
      </c>
      <c r="F71" s="160">
        <f>VLOOKUP(C71,'24. CÁLCULO DAS DISTÂNCIAS'!B:F,4,)</f>
        <v>69</v>
      </c>
      <c r="G71" s="160">
        <f>VLOOKUP(C71,'24. CÁLCULO DAS DISTÂNCIAS'!B:G,5,)</f>
        <v>14</v>
      </c>
      <c r="H71" s="161">
        <f>0.73*F71+0.88*G71+7.39</f>
        <v>70.08</v>
      </c>
      <c r="I71" s="327">
        <v>0.19789999999999999</v>
      </c>
      <c r="J71" s="321">
        <f t="shared" si="12"/>
        <v>13.86</v>
      </c>
    </row>
    <row r="72" spans="1:10" ht="15" customHeight="1">
      <c r="A72" s="326">
        <v>130100</v>
      </c>
      <c r="B72" s="322" t="str">
        <f>VLOOKUP(A72,'[2]16. CUSTOS DER - MATERIAIS'!A:B,2,0)</f>
        <v>PEDRA DE MÃO (COMERCIAL)</v>
      </c>
      <c r="C72" s="328">
        <v>19410</v>
      </c>
      <c r="D72" s="320" t="str">
        <f>VLOOKUP(A72,'[2]16. CUSTOS DER - MATERIAIS'!A:C,3,0)</f>
        <v>M3</v>
      </c>
      <c r="E72" s="216" t="s">
        <v>25921</v>
      </c>
      <c r="F72" s="160">
        <f>VLOOKUP(C72,'24. CÁLCULO DAS DISTÂNCIAS'!B:F,4,)</f>
        <v>0</v>
      </c>
      <c r="G72" s="160">
        <f>VLOOKUP(C72,'24. CÁLCULO DAS DISTÂNCIAS'!B:G,5,)</f>
        <v>7.3214285714285712</v>
      </c>
      <c r="H72" s="161">
        <f t="shared" ref="H72:H73" si="13">1*F72+1.21*G72+2.52</f>
        <v>11.37892857142857</v>
      </c>
      <c r="I72" s="327">
        <v>0.47110000000000002</v>
      </c>
      <c r="J72" s="321">
        <f t="shared" si="12"/>
        <v>5.36</v>
      </c>
    </row>
    <row r="73" spans="1:10" ht="15" customHeight="1">
      <c r="A73" s="326">
        <v>130000</v>
      </c>
      <c r="B73" s="322" t="str">
        <f>VLOOKUP(A73,'[2]16. CUSTOS DER - MATERIAIS'!A:B,2,0)</f>
        <v>PEDRA BRITADA (COMERCIAL)</v>
      </c>
      <c r="C73" s="328">
        <v>19400</v>
      </c>
      <c r="D73" s="320" t="str">
        <f>VLOOKUP(A73,'[2]16. CUSTOS DER - MATERIAIS'!A:C,3,0)</f>
        <v>M3</v>
      </c>
      <c r="E73" s="216" t="s">
        <v>25921</v>
      </c>
      <c r="F73" s="160">
        <f>VLOOKUP(C73,'24. CÁLCULO DAS DISTÂNCIAS'!B:F,4,)</f>
        <v>0</v>
      </c>
      <c r="G73" s="160">
        <f>VLOOKUP(C73,'24. CÁLCULO DAS DISTÂNCIAS'!B:G,5,)</f>
        <v>7.3214285714285712</v>
      </c>
      <c r="H73" s="161">
        <f t="shared" si="13"/>
        <v>11.37892857142857</v>
      </c>
      <c r="I73" s="327">
        <v>0.8135</v>
      </c>
      <c r="J73" s="321">
        <f t="shared" si="12"/>
        <v>9.25</v>
      </c>
    </row>
    <row r="74" spans="1:10" ht="30" customHeight="1">
      <c r="A74" s="433"/>
      <c r="B74" s="325">
        <v>620200</v>
      </c>
      <c r="C74" s="570" t="str">
        <f>VLOOKUP(B74,'[2]2. PLANILHA SINTÉTICA'!C:D,2,0)</f>
        <v>BOCA DE BSTC 0,80M</v>
      </c>
      <c r="D74" s="570"/>
      <c r="E74" s="570"/>
      <c r="F74" s="570"/>
      <c r="G74" s="324" t="s">
        <v>26</v>
      </c>
      <c r="H74" s="323" t="str">
        <f>VLOOKUP(B74,'[2]2. PLANILHA SINTÉTICA'!C:F,4,0)</f>
        <v>UD</v>
      </c>
      <c r="I74" s="434"/>
      <c r="J74" s="435">
        <f>SUM(J76:J79)</f>
        <v>66.239999999999995</v>
      </c>
    </row>
    <row r="75" spans="1:10" ht="15" customHeight="1">
      <c r="A75" s="163" t="s">
        <v>22751</v>
      </c>
      <c r="B75" s="253" t="s">
        <v>22752</v>
      </c>
      <c r="C75" s="337" t="s">
        <v>22753</v>
      </c>
      <c r="D75" s="163" t="s">
        <v>158</v>
      </c>
      <c r="E75" s="163" t="s">
        <v>9025</v>
      </c>
      <c r="F75" s="163" t="s">
        <v>22748</v>
      </c>
      <c r="G75" s="163" t="s">
        <v>22749</v>
      </c>
      <c r="H75" s="163" t="s">
        <v>1187</v>
      </c>
      <c r="I75" s="163" t="s">
        <v>9026</v>
      </c>
      <c r="J75" s="163" t="s">
        <v>159</v>
      </c>
    </row>
    <row r="76" spans="1:10" ht="15" customHeight="1">
      <c r="A76" s="326">
        <v>139000</v>
      </c>
      <c r="B76" s="322" t="str">
        <f>VLOOKUP(A76,'[2]16. CUSTOS DER - MATERIAIS'!A:B,2,0)</f>
        <v>AREIA</v>
      </c>
      <c r="C76" s="328">
        <v>19010</v>
      </c>
      <c r="D76" s="320" t="str">
        <f>VLOOKUP(A76,'[2]16. CUSTOS DER - MATERIAIS'!A:C,3,0)</f>
        <v>M3</v>
      </c>
      <c r="E76" s="216" t="s">
        <v>25921</v>
      </c>
      <c r="F76" s="160">
        <f>VLOOKUP(C76,'24. CÁLCULO DAS DISTÂNCIAS'!B:F,4,)</f>
        <v>5</v>
      </c>
      <c r="G76" s="160">
        <f>VLOOKUP(C76,'24. CÁLCULO DAS DISTÂNCIAS'!B:G,5,)</f>
        <v>14</v>
      </c>
      <c r="H76" s="161">
        <f>1*F76+1.21*G76+2.52</f>
        <v>24.459999999999997</v>
      </c>
      <c r="I76" s="327">
        <v>1.0201</v>
      </c>
      <c r="J76" s="321">
        <f t="shared" ref="J76:J79" si="14">TRUNC(H76*I76,2)</f>
        <v>24.95</v>
      </c>
    </row>
    <row r="77" spans="1:10" ht="15" customHeight="1">
      <c r="A77" s="326">
        <v>173200</v>
      </c>
      <c r="B77" s="322" t="str">
        <f>VLOOKUP(A77,'[2]16. CUSTOS DER - MATERIAIS'!A:B,2,0)</f>
        <v>CIMENTO PORTLAND (SACO DE 50KG)</v>
      </c>
      <c r="C77" s="328">
        <v>13200</v>
      </c>
      <c r="D77" s="320" t="str">
        <f>VLOOKUP(A77,'[2]16. CUSTOS DER - MATERIAIS'!A:C,3,0)</f>
        <v>T</v>
      </c>
      <c r="E77" s="216" t="s">
        <v>25922</v>
      </c>
      <c r="F77" s="160">
        <f>VLOOKUP(C77,'24. CÁLCULO DAS DISTÂNCIAS'!B:F,4,)</f>
        <v>69</v>
      </c>
      <c r="G77" s="160">
        <f>VLOOKUP(C77,'24. CÁLCULO DAS DISTÂNCIAS'!B:G,5,)</f>
        <v>14</v>
      </c>
      <c r="H77" s="161">
        <f>0.73*F77+0.88*G77+7.39</f>
        <v>70.08</v>
      </c>
      <c r="I77" s="327">
        <v>0.28689999999999999</v>
      </c>
      <c r="J77" s="321">
        <f t="shared" si="14"/>
        <v>20.100000000000001</v>
      </c>
    </row>
    <row r="78" spans="1:10" ht="15" customHeight="1">
      <c r="A78" s="326">
        <v>130100</v>
      </c>
      <c r="B78" s="322" t="str">
        <f>VLOOKUP(A78,'[2]16. CUSTOS DER - MATERIAIS'!A:B,2,0)</f>
        <v>PEDRA DE MÃO (COMERCIAL)</v>
      </c>
      <c r="C78" s="328">
        <v>19410</v>
      </c>
      <c r="D78" s="320" t="str">
        <f>VLOOKUP(A78,'[2]16. CUSTOS DER - MATERIAIS'!A:C,3,0)</f>
        <v>M3</v>
      </c>
      <c r="E78" s="216" t="s">
        <v>25921</v>
      </c>
      <c r="F78" s="160">
        <f>VLOOKUP(C78,'24. CÁLCULO DAS DISTÂNCIAS'!B:F,4,)</f>
        <v>0</v>
      </c>
      <c r="G78" s="160">
        <f>VLOOKUP(C78,'24. CÁLCULO DAS DISTÂNCIAS'!B:G,5,)</f>
        <v>7.3214285714285712</v>
      </c>
      <c r="H78" s="161">
        <f t="shared" ref="H78:H79" si="15">1*F78+1.21*G78+2.52</f>
        <v>11.37892857142857</v>
      </c>
      <c r="I78" s="327">
        <v>0.68310000000000004</v>
      </c>
      <c r="J78" s="321">
        <f t="shared" si="14"/>
        <v>7.77</v>
      </c>
    </row>
    <row r="79" spans="1:10" ht="15" customHeight="1">
      <c r="A79" s="326">
        <v>130000</v>
      </c>
      <c r="B79" s="322" t="str">
        <f>VLOOKUP(A79,'[2]16. CUSTOS DER - MATERIAIS'!A:B,2,0)</f>
        <v>PEDRA BRITADA (COMERCIAL)</v>
      </c>
      <c r="C79" s="328">
        <v>19400</v>
      </c>
      <c r="D79" s="320" t="str">
        <f>VLOOKUP(A79,'[2]16. CUSTOS DER - MATERIAIS'!A:C,3,0)</f>
        <v>M3</v>
      </c>
      <c r="E79" s="216" t="s">
        <v>25921</v>
      </c>
      <c r="F79" s="160">
        <f>VLOOKUP(C79,'24. CÁLCULO DAS DISTÂNCIAS'!B:F,4,)</f>
        <v>0</v>
      </c>
      <c r="G79" s="160">
        <f>VLOOKUP(C79,'24. CÁLCULO DAS DISTÂNCIAS'!B:G,5,)</f>
        <v>7.3214285714285712</v>
      </c>
      <c r="H79" s="161">
        <f t="shared" si="15"/>
        <v>11.37892857142857</v>
      </c>
      <c r="I79" s="327">
        <v>1.1795</v>
      </c>
      <c r="J79" s="321">
        <f t="shared" si="14"/>
        <v>13.42</v>
      </c>
    </row>
    <row r="80" spans="1:10" ht="30" customHeight="1">
      <c r="A80" s="433"/>
      <c r="B80" s="325">
        <v>620500</v>
      </c>
      <c r="C80" s="570" t="str">
        <f>VLOOKUP(B80,'[2]2. PLANILHA SINTÉTICA'!C:D,2,0)</f>
        <v>BOCA DE BSTC 1,50M</v>
      </c>
      <c r="D80" s="570"/>
      <c r="E80" s="570"/>
      <c r="F80" s="570"/>
      <c r="G80" s="324" t="s">
        <v>26</v>
      </c>
      <c r="H80" s="323" t="str">
        <f>VLOOKUP(B80,'[2]2. PLANILHA SINTÉTICA'!C:F,4,0)</f>
        <v>UD</v>
      </c>
      <c r="I80" s="434"/>
      <c r="J80" s="435">
        <f>SUM(J82:J85)</f>
        <v>269.53000000000003</v>
      </c>
    </row>
    <row r="81" spans="1:10" ht="15" customHeight="1">
      <c r="A81" s="163" t="s">
        <v>22751</v>
      </c>
      <c r="B81" s="253" t="s">
        <v>22752</v>
      </c>
      <c r="C81" s="337" t="s">
        <v>22753</v>
      </c>
      <c r="D81" s="163" t="s">
        <v>158</v>
      </c>
      <c r="E81" s="163" t="s">
        <v>9025</v>
      </c>
      <c r="F81" s="163" t="s">
        <v>22748</v>
      </c>
      <c r="G81" s="163" t="s">
        <v>22749</v>
      </c>
      <c r="H81" s="163" t="s">
        <v>1187</v>
      </c>
      <c r="I81" s="163" t="s">
        <v>9026</v>
      </c>
      <c r="J81" s="163" t="s">
        <v>159</v>
      </c>
    </row>
    <row r="82" spans="1:10" ht="15" customHeight="1">
      <c r="A82" s="326">
        <v>139000</v>
      </c>
      <c r="B82" s="322" t="str">
        <f>VLOOKUP(A82,'[2]16. CUSTOS DER - MATERIAIS'!A:B,2,0)</f>
        <v>AREIA</v>
      </c>
      <c r="C82" s="328">
        <v>19010</v>
      </c>
      <c r="D82" s="320" t="str">
        <f>VLOOKUP(A82,'[2]16. CUSTOS DER - MATERIAIS'!A:C,3,0)</f>
        <v>M3</v>
      </c>
      <c r="E82" s="216" t="s">
        <v>25921</v>
      </c>
      <c r="F82" s="160">
        <f>VLOOKUP(C82,'24. CÁLCULO DAS DISTÂNCIAS'!B:F,4,)</f>
        <v>5</v>
      </c>
      <c r="G82" s="160">
        <f>VLOOKUP(C82,'24. CÁLCULO DAS DISTÂNCIAS'!B:G,5,)</f>
        <v>14</v>
      </c>
      <c r="H82" s="161">
        <f>1*F82+1.21*G82+2.52</f>
        <v>24.459999999999997</v>
      </c>
      <c r="I82" s="327">
        <v>4.1502999999999997</v>
      </c>
      <c r="J82" s="321">
        <f t="shared" ref="J82:J85" si="16">TRUNC(H82*I82,2)</f>
        <v>101.51</v>
      </c>
    </row>
    <row r="83" spans="1:10" ht="15" customHeight="1">
      <c r="A83" s="326">
        <v>173200</v>
      </c>
      <c r="B83" s="322" t="str">
        <f>VLOOKUP(A83,'[2]16. CUSTOS DER - MATERIAIS'!A:B,2,0)</f>
        <v>CIMENTO PORTLAND (SACO DE 50KG)</v>
      </c>
      <c r="C83" s="328">
        <v>13200</v>
      </c>
      <c r="D83" s="320" t="str">
        <f>VLOOKUP(A83,'[2]16. CUSTOS DER - MATERIAIS'!A:C,3,0)</f>
        <v>T</v>
      </c>
      <c r="E83" s="216" t="s">
        <v>25922</v>
      </c>
      <c r="F83" s="160">
        <f>VLOOKUP(C83,'24. CÁLCULO DAS DISTÂNCIAS'!B:F,4,)</f>
        <v>69</v>
      </c>
      <c r="G83" s="160">
        <f>VLOOKUP(C83,'24. CÁLCULO DAS DISTÂNCIAS'!B:G,5,)</f>
        <v>14</v>
      </c>
      <c r="H83" s="161">
        <f>0.73*F83+0.88*G83+7.39</f>
        <v>70.08</v>
      </c>
      <c r="I83" s="327">
        <v>1.1673</v>
      </c>
      <c r="J83" s="321">
        <f t="shared" si="16"/>
        <v>81.8</v>
      </c>
    </row>
    <row r="84" spans="1:10" ht="15" customHeight="1">
      <c r="A84" s="326">
        <v>130100</v>
      </c>
      <c r="B84" s="322" t="str">
        <f>VLOOKUP(A84,'[2]16. CUSTOS DER - MATERIAIS'!A:B,2,0)</f>
        <v>PEDRA DE MÃO (COMERCIAL)</v>
      </c>
      <c r="C84" s="328">
        <v>19410</v>
      </c>
      <c r="D84" s="320" t="str">
        <f>VLOOKUP(A84,'[2]16. CUSTOS DER - MATERIAIS'!A:C,3,0)</f>
        <v>M3</v>
      </c>
      <c r="E84" s="216" t="s">
        <v>25921</v>
      </c>
      <c r="F84" s="160">
        <f>VLOOKUP(C84,'24. CÁLCULO DAS DISTÂNCIAS'!B:F,4,)</f>
        <v>0</v>
      </c>
      <c r="G84" s="160">
        <f>VLOOKUP(C84,'24. CÁLCULO DAS DISTÂNCIAS'!B:G,5,)</f>
        <v>7.3214285714285712</v>
      </c>
      <c r="H84" s="161">
        <f t="shared" ref="H84:H85" si="17">1*F84+1.21*G84+2.52</f>
        <v>11.37892857142857</v>
      </c>
      <c r="I84" s="327">
        <v>2.7791999999999999</v>
      </c>
      <c r="J84" s="321">
        <f t="shared" si="16"/>
        <v>31.62</v>
      </c>
    </row>
    <row r="85" spans="1:10" ht="15" customHeight="1">
      <c r="A85" s="326">
        <v>130000</v>
      </c>
      <c r="B85" s="322" t="str">
        <f>VLOOKUP(A85,'[2]16. CUSTOS DER - MATERIAIS'!A:B,2,0)</f>
        <v>PEDRA BRITADA (COMERCIAL)</v>
      </c>
      <c r="C85" s="328">
        <v>19400</v>
      </c>
      <c r="D85" s="320" t="str">
        <f>VLOOKUP(A85,'[2]16. CUSTOS DER - MATERIAIS'!A:C,3,0)</f>
        <v>M3</v>
      </c>
      <c r="E85" s="216" t="s">
        <v>25921</v>
      </c>
      <c r="F85" s="160">
        <f>VLOOKUP(C85,'24. CÁLCULO DAS DISTÂNCIAS'!B:F,4,)</f>
        <v>0</v>
      </c>
      <c r="G85" s="160">
        <f>VLOOKUP(C85,'24. CÁLCULO DAS DISTÂNCIAS'!B:G,5,)</f>
        <v>7.3214285714285712</v>
      </c>
      <c r="H85" s="161">
        <f t="shared" si="17"/>
        <v>11.37892857142857</v>
      </c>
      <c r="I85" s="327">
        <v>4.7988</v>
      </c>
      <c r="J85" s="321">
        <f t="shared" si="16"/>
        <v>54.6</v>
      </c>
    </row>
    <row r="86" spans="1:10" ht="30" customHeight="1">
      <c r="A86" s="433"/>
      <c r="B86" s="325">
        <v>620900</v>
      </c>
      <c r="C86" s="570" t="str">
        <f>VLOOKUP(B86,'[2]2. PLANILHA SINTÉTICA'!C:D,2,0)</f>
        <v>BOCA DE BDTC 1,50M</v>
      </c>
      <c r="D86" s="570"/>
      <c r="E86" s="570"/>
      <c r="F86" s="570"/>
      <c r="G86" s="324" t="s">
        <v>26</v>
      </c>
      <c r="H86" s="323" t="str">
        <f>VLOOKUP(B86,'[2]2. PLANILHA SINTÉTICA'!C:F,4,0)</f>
        <v>UD</v>
      </c>
      <c r="I86" s="434"/>
      <c r="J86" s="435">
        <f>SUM(J88:J91)</f>
        <v>371.88</v>
      </c>
    </row>
    <row r="87" spans="1:10" ht="15" customHeight="1">
      <c r="A87" s="163" t="s">
        <v>22751</v>
      </c>
      <c r="B87" s="253" t="s">
        <v>22752</v>
      </c>
      <c r="C87" s="337" t="s">
        <v>22753</v>
      </c>
      <c r="D87" s="163" t="s">
        <v>158</v>
      </c>
      <c r="E87" s="163" t="s">
        <v>9025</v>
      </c>
      <c r="F87" s="163" t="s">
        <v>22748</v>
      </c>
      <c r="G87" s="163" t="s">
        <v>22749</v>
      </c>
      <c r="H87" s="163" t="s">
        <v>1187</v>
      </c>
      <c r="I87" s="163" t="s">
        <v>9026</v>
      </c>
      <c r="J87" s="163" t="s">
        <v>159</v>
      </c>
    </row>
    <row r="88" spans="1:10" ht="15" customHeight="1">
      <c r="A88" s="326">
        <v>139000</v>
      </c>
      <c r="B88" s="322" t="str">
        <f>VLOOKUP(A88,'[2]16. CUSTOS DER - MATERIAIS'!A:B,2,0)</f>
        <v>AREIA</v>
      </c>
      <c r="C88" s="328">
        <v>19010</v>
      </c>
      <c r="D88" s="320" t="str">
        <f>VLOOKUP(A88,'[2]16. CUSTOS DER - MATERIAIS'!A:C,3,0)</f>
        <v>M3</v>
      </c>
      <c r="E88" s="216" t="s">
        <v>25921</v>
      </c>
      <c r="F88" s="160">
        <f>VLOOKUP(C88,'24. CÁLCULO DAS DISTÂNCIAS'!B:F,4,)</f>
        <v>5</v>
      </c>
      <c r="G88" s="160">
        <f>VLOOKUP(C88,'24. CÁLCULO DAS DISTÂNCIAS'!B:G,5,)</f>
        <v>14</v>
      </c>
      <c r="H88" s="161">
        <f>1*F88+1.21*G88+2.52</f>
        <v>24.459999999999997</v>
      </c>
      <c r="I88" s="327">
        <v>5.7260999999999997</v>
      </c>
      <c r="J88" s="321">
        <f t="shared" ref="J88:J91" si="18">TRUNC(H88*I88,2)</f>
        <v>140.06</v>
      </c>
    </row>
    <row r="89" spans="1:10" ht="15" customHeight="1">
      <c r="A89" s="326">
        <v>173200</v>
      </c>
      <c r="B89" s="322" t="str">
        <f>VLOOKUP(A89,'[2]16. CUSTOS DER - MATERIAIS'!A:B,2,0)</f>
        <v>CIMENTO PORTLAND (SACO DE 50KG)</v>
      </c>
      <c r="C89" s="328">
        <v>13200</v>
      </c>
      <c r="D89" s="320" t="str">
        <f>VLOOKUP(A89,'[2]16. CUSTOS DER - MATERIAIS'!A:C,3,0)</f>
        <v>T</v>
      </c>
      <c r="E89" s="216" t="s">
        <v>25922</v>
      </c>
      <c r="F89" s="160">
        <f>VLOOKUP(C89,'24. CÁLCULO DAS DISTÂNCIAS'!B:F,4,)</f>
        <v>69</v>
      </c>
      <c r="G89" s="160">
        <f>VLOOKUP(C89,'24. CÁLCULO DAS DISTÂNCIAS'!B:G,5,)</f>
        <v>14</v>
      </c>
      <c r="H89" s="161">
        <f>0.73*F89+0.88*G89+7.39</f>
        <v>70.08</v>
      </c>
      <c r="I89" s="327">
        <v>1.6105</v>
      </c>
      <c r="J89" s="321">
        <f t="shared" si="18"/>
        <v>112.86</v>
      </c>
    </row>
    <row r="90" spans="1:10" ht="15" customHeight="1">
      <c r="A90" s="326">
        <v>130100</v>
      </c>
      <c r="B90" s="322" t="str">
        <f>VLOOKUP(A90,'[2]16. CUSTOS DER - MATERIAIS'!A:B,2,0)</f>
        <v>PEDRA DE MÃO (COMERCIAL)</v>
      </c>
      <c r="C90" s="328">
        <v>19410</v>
      </c>
      <c r="D90" s="320" t="str">
        <f>VLOOKUP(A90,'[2]16. CUSTOS DER - MATERIAIS'!A:C,3,0)</f>
        <v>M3</v>
      </c>
      <c r="E90" s="216" t="s">
        <v>25921</v>
      </c>
      <c r="F90" s="160">
        <f>VLOOKUP(C90,'24. CÁLCULO DAS DISTÂNCIAS'!B:F,4,)</f>
        <v>0</v>
      </c>
      <c r="G90" s="160">
        <f>VLOOKUP(C90,'24. CÁLCULO DAS DISTÂNCIAS'!B:G,5,)</f>
        <v>7.3214285714285712</v>
      </c>
      <c r="H90" s="161">
        <f t="shared" ref="H90:H91" si="19">1*F90+1.21*G90+2.52</f>
        <v>11.37892857142857</v>
      </c>
      <c r="I90" s="327">
        <v>3.8344999999999998</v>
      </c>
      <c r="J90" s="321">
        <f t="shared" si="18"/>
        <v>43.63</v>
      </c>
    </row>
    <row r="91" spans="1:10" ht="15" customHeight="1">
      <c r="A91" s="326">
        <v>130000</v>
      </c>
      <c r="B91" s="322" t="str">
        <f>VLOOKUP(A91,'[2]16. CUSTOS DER - MATERIAIS'!A:B,2,0)</f>
        <v>PEDRA BRITADA (COMERCIAL)</v>
      </c>
      <c r="C91" s="328">
        <v>19400</v>
      </c>
      <c r="D91" s="320" t="str">
        <f>VLOOKUP(A91,'[2]16. CUSTOS DER - MATERIAIS'!A:C,3,0)</f>
        <v>M3</v>
      </c>
      <c r="E91" s="216" t="s">
        <v>25921</v>
      </c>
      <c r="F91" s="160">
        <f>VLOOKUP(C91,'24. CÁLCULO DAS DISTÂNCIAS'!B:F,4,)</f>
        <v>0</v>
      </c>
      <c r="G91" s="160">
        <f>VLOOKUP(C91,'24. CÁLCULO DAS DISTÂNCIAS'!B:G,5,)</f>
        <v>7.3214285714285712</v>
      </c>
      <c r="H91" s="161">
        <f t="shared" si="19"/>
        <v>11.37892857142857</v>
      </c>
      <c r="I91" s="327">
        <v>6.6208</v>
      </c>
      <c r="J91" s="321">
        <f t="shared" si="18"/>
        <v>75.33</v>
      </c>
    </row>
    <row r="92" spans="1:10" ht="30" customHeight="1">
      <c r="A92" s="433"/>
      <c r="B92" s="325">
        <v>621300</v>
      </c>
      <c r="C92" s="570" t="str">
        <f>VLOOKUP(B92,'[2]2. PLANILHA SINTÉTICA'!C:D,2,0)</f>
        <v>BOCA DE BTTC 1,50M</v>
      </c>
      <c r="D92" s="570"/>
      <c r="E92" s="570"/>
      <c r="F92" s="570"/>
      <c r="G92" s="324" t="s">
        <v>26</v>
      </c>
      <c r="H92" s="323" t="str">
        <f>VLOOKUP(B92,'[2]2. PLANILHA SINTÉTICA'!C:F,4,0)</f>
        <v>UD</v>
      </c>
      <c r="I92" s="434"/>
      <c r="J92" s="435">
        <f>SUM(J94:J97)</f>
        <v>474.42999999999995</v>
      </c>
    </row>
    <row r="93" spans="1:10" ht="15" customHeight="1">
      <c r="A93" s="163" t="s">
        <v>22751</v>
      </c>
      <c r="B93" s="253" t="s">
        <v>22752</v>
      </c>
      <c r="C93" s="337" t="s">
        <v>22753</v>
      </c>
      <c r="D93" s="163" t="s">
        <v>158</v>
      </c>
      <c r="E93" s="163" t="s">
        <v>9025</v>
      </c>
      <c r="F93" s="163" t="s">
        <v>22748</v>
      </c>
      <c r="G93" s="163" t="s">
        <v>22749</v>
      </c>
      <c r="H93" s="163" t="s">
        <v>1187</v>
      </c>
      <c r="I93" s="163" t="s">
        <v>9026</v>
      </c>
      <c r="J93" s="163" t="s">
        <v>159</v>
      </c>
    </row>
    <row r="94" spans="1:10" ht="15" customHeight="1">
      <c r="A94" s="326">
        <v>139000</v>
      </c>
      <c r="B94" s="322" t="str">
        <f>VLOOKUP(A94,'[2]16. CUSTOS DER - MATERIAIS'!A:B,2,0)</f>
        <v>AREIA</v>
      </c>
      <c r="C94" s="328">
        <v>19010</v>
      </c>
      <c r="D94" s="320" t="str">
        <f>VLOOKUP(A94,'[2]16. CUSTOS DER - MATERIAIS'!A:C,3,0)</f>
        <v>M3</v>
      </c>
      <c r="E94" s="216" t="s">
        <v>25921</v>
      </c>
      <c r="F94" s="160">
        <f>VLOOKUP(C94,'24. CÁLCULO DAS DISTÂNCIAS'!B:F,4,)</f>
        <v>5</v>
      </c>
      <c r="G94" s="160">
        <f>VLOOKUP(C94,'24. CÁLCULO DAS DISTÂNCIAS'!B:G,5,)</f>
        <v>14</v>
      </c>
      <c r="H94" s="161">
        <f>1*F94+1.21*G94+2.52</f>
        <v>24.459999999999997</v>
      </c>
      <c r="I94" s="327">
        <v>7.3052999999999999</v>
      </c>
      <c r="J94" s="321">
        <f t="shared" ref="J94:J97" si="20">TRUNC(H94*I94,2)</f>
        <v>178.68</v>
      </c>
    </row>
    <row r="95" spans="1:10" ht="15" customHeight="1">
      <c r="A95" s="326">
        <v>173200</v>
      </c>
      <c r="B95" s="322" t="str">
        <f>VLOOKUP(A95,'[2]16. CUSTOS DER - MATERIAIS'!A:B,2,0)</f>
        <v>CIMENTO PORTLAND (SACO DE 50KG)</v>
      </c>
      <c r="C95" s="328">
        <v>13200</v>
      </c>
      <c r="D95" s="320" t="str">
        <f>VLOOKUP(A95,'[2]16. CUSTOS DER - MATERIAIS'!A:C,3,0)</f>
        <v>T</v>
      </c>
      <c r="E95" s="216" t="s">
        <v>25922</v>
      </c>
      <c r="F95" s="160">
        <f>VLOOKUP(C95,'24. CÁLCULO DAS DISTÂNCIAS'!B:F,4,)</f>
        <v>69</v>
      </c>
      <c r="G95" s="160">
        <f>VLOOKUP(C95,'24. CÁLCULO DAS DISTÂNCIAS'!B:G,5,)</f>
        <v>14</v>
      </c>
      <c r="H95" s="161">
        <f>0.73*F95+0.88*G95+7.39</f>
        <v>70.08</v>
      </c>
      <c r="I95" s="327">
        <v>2.0546000000000002</v>
      </c>
      <c r="J95" s="321">
        <f t="shared" si="20"/>
        <v>143.97999999999999</v>
      </c>
    </row>
    <row r="96" spans="1:10" ht="15" customHeight="1">
      <c r="A96" s="326">
        <v>130100</v>
      </c>
      <c r="B96" s="322" t="str">
        <f>VLOOKUP(A96,'[2]16. CUSTOS DER - MATERIAIS'!A:B,2,0)</f>
        <v>PEDRA DE MÃO (COMERCIAL)</v>
      </c>
      <c r="C96" s="328">
        <v>19410</v>
      </c>
      <c r="D96" s="320" t="str">
        <f>VLOOKUP(A96,'[2]16. CUSTOS DER - MATERIAIS'!A:C,3,0)</f>
        <v>M3</v>
      </c>
      <c r="E96" s="216" t="s">
        <v>25921</v>
      </c>
      <c r="F96" s="160">
        <f>VLOOKUP(C96,'24. CÁLCULO DAS DISTÂNCIAS'!B:F,4,)</f>
        <v>0</v>
      </c>
      <c r="G96" s="160">
        <f>VLOOKUP(C96,'24. CÁLCULO DAS DISTÂNCIAS'!B:G,5,)</f>
        <v>7.3214285714285712</v>
      </c>
      <c r="H96" s="161">
        <f t="shared" ref="H96:H97" si="21">1*F96+1.21*G96+2.52</f>
        <v>11.37892857142857</v>
      </c>
      <c r="I96" s="327">
        <v>4.8920000000000003</v>
      </c>
      <c r="J96" s="321">
        <f t="shared" si="20"/>
        <v>55.66</v>
      </c>
    </row>
    <row r="97" spans="1:10" ht="15" customHeight="1">
      <c r="A97" s="326">
        <v>130000</v>
      </c>
      <c r="B97" s="322" t="str">
        <f>VLOOKUP(A97,'[2]16. CUSTOS DER - MATERIAIS'!A:B,2,0)</f>
        <v>PEDRA BRITADA (COMERCIAL)</v>
      </c>
      <c r="C97" s="328">
        <v>19400</v>
      </c>
      <c r="D97" s="320" t="str">
        <f>VLOOKUP(A97,'[2]16. CUSTOS DER - MATERIAIS'!A:C,3,0)</f>
        <v>M3</v>
      </c>
      <c r="E97" s="216" t="s">
        <v>25921</v>
      </c>
      <c r="F97" s="160">
        <f>VLOOKUP(C97,'24. CÁLCULO DAS DISTÂNCIAS'!B:F,4,)</f>
        <v>0</v>
      </c>
      <c r="G97" s="160">
        <f>VLOOKUP(C97,'24. CÁLCULO DAS DISTÂNCIAS'!B:G,5,)</f>
        <v>7.3214285714285712</v>
      </c>
      <c r="H97" s="161">
        <f t="shared" si="21"/>
        <v>11.37892857142857</v>
      </c>
      <c r="I97" s="327">
        <v>8.4467999999999996</v>
      </c>
      <c r="J97" s="321">
        <f t="shared" si="20"/>
        <v>96.11</v>
      </c>
    </row>
    <row r="98" spans="1:10" ht="30" customHeight="1">
      <c r="A98" s="433"/>
      <c r="B98" s="325">
        <v>622100</v>
      </c>
      <c r="C98" s="570" t="str">
        <f>VLOOKUP(B98,'[2]2. PLANILHA SINTÉTICA'!C:D,2,0)</f>
        <v>BOCA DE SAÍDA DRENO PROFUNDO - TIPO 2</v>
      </c>
      <c r="D98" s="570"/>
      <c r="E98" s="570"/>
      <c r="F98" s="570"/>
      <c r="G98" s="324" t="s">
        <v>26</v>
      </c>
      <c r="H98" s="323" t="str">
        <f>VLOOKUP(B98,'[2]2. PLANILHA SINTÉTICA'!C:F,4,0)</f>
        <v>UD</v>
      </c>
      <c r="I98" s="434"/>
      <c r="J98" s="435">
        <f>SUM(J100:J103)</f>
        <v>12.94</v>
      </c>
    </row>
    <row r="99" spans="1:10" ht="15" customHeight="1">
      <c r="A99" s="163" t="s">
        <v>22751</v>
      </c>
      <c r="B99" s="253" t="s">
        <v>22752</v>
      </c>
      <c r="C99" s="337" t="s">
        <v>22753</v>
      </c>
      <c r="D99" s="163" t="s">
        <v>158</v>
      </c>
      <c r="E99" s="163" t="s">
        <v>9025</v>
      </c>
      <c r="F99" s="163" t="s">
        <v>22748</v>
      </c>
      <c r="G99" s="163" t="s">
        <v>22749</v>
      </c>
      <c r="H99" s="163" t="s">
        <v>1187</v>
      </c>
      <c r="I99" s="163" t="s">
        <v>9026</v>
      </c>
      <c r="J99" s="163" t="s">
        <v>159</v>
      </c>
    </row>
    <row r="100" spans="1:10" ht="15" customHeight="1">
      <c r="A100" s="326">
        <v>139000</v>
      </c>
      <c r="B100" s="322" t="str">
        <f>VLOOKUP(A100,'[2]16. CUSTOS DER - MATERIAIS'!A:B,2,0)</f>
        <v>AREIA</v>
      </c>
      <c r="C100" s="328">
        <v>19010</v>
      </c>
      <c r="D100" s="320" t="str">
        <f>VLOOKUP(A100,'[2]16. CUSTOS DER - MATERIAIS'!A:C,3,0)</f>
        <v>M3</v>
      </c>
      <c r="E100" s="216" t="s">
        <v>25921</v>
      </c>
      <c r="F100" s="160">
        <f>VLOOKUP(C100,'24. CÁLCULO DAS DISTÂNCIAS'!B:F,4,)</f>
        <v>5</v>
      </c>
      <c r="G100" s="160">
        <f>VLOOKUP(C100,'24. CÁLCULO DAS DISTÂNCIAS'!B:G,5,)</f>
        <v>14</v>
      </c>
      <c r="H100" s="161">
        <f>1*F100+1.21*G100+2.52</f>
        <v>24.459999999999997</v>
      </c>
      <c r="I100" s="327">
        <v>0.1968</v>
      </c>
      <c r="J100" s="321">
        <f t="shared" ref="J100:J103" si="22">TRUNC(H100*I100,2)</f>
        <v>4.8099999999999996</v>
      </c>
    </row>
    <row r="101" spans="1:10" ht="15" customHeight="1">
      <c r="A101" s="326">
        <v>173200</v>
      </c>
      <c r="B101" s="322" t="str">
        <f>VLOOKUP(A101,'[2]16. CUSTOS DER - MATERIAIS'!A:B,2,0)</f>
        <v>CIMENTO PORTLAND (SACO DE 50KG)</v>
      </c>
      <c r="C101" s="328">
        <v>13200</v>
      </c>
      <c r="D101" s="320" t="str">
        <f>VLOOKUP(A101,'[2]16. CUSTOS DER - MATERIAIS'!A:C,3,0)</f>
        <v>T</v>
      </c>
      <c r="E101" s="216" t="s">
        <v>25922</v>
      </c>
      <c r="F101" s="160">
        <f>VLOOKUP(C101,'24. CÁLCULO DAS DISTÂNCIAS'!B:F,4,)</f>
        <v>69</v>
      </c>
      <c r="G101" s="160">
        <f>VLOOKUP(C101,'24. CÁLCULO DAS DISTÂNCIAS'!B:G,5,)</f>
        <v>14</v>
      </c>
      <c r="H101" s="161">
        <f>0.73*F101+0.88*G101+7.39</f>
        <v>70.08</v>
      </c>
      <c r="I101" s="327">
        <v>5.5399999999999998E-2</v>
      </c>
      <c r="J101" s="321">
        <f t="shared" si="22"/>
        <v>3.88</v>
      </c>
    </row>
    <row r="102" spans="1:10" ht="15" customHeight="1">
      <c r="A102" s="326">
        <v>130000</v>
      </c>
      <c r="B102" s="322" t="str">
        <f>VLOOKUP(A102,'[2]16. CUSTOS DER - MATERIAIS'!A:B,2,0)</f>
        <v>PEDRA BRITADA (COMERCIAL)</v>
      </c>
      <c r="C102" s="328">
        <v>19400</v>
      </c>
      <c r="D102" s="320" t="str">
        <f>VLOOKUP(A102,'[2]16. CUSTOS DER - MATERIAIS'!A:C,3,0)</f>
        <v>M3</v>
      </c>
      <c r="E102" s="216" t="s">
        <v>25921</v>
      </c>
      <c r="F102" s="160">
        <f>VLOOKUP(C102,'24. CÁLCULO DAS DISTÂNCIAS'!B:F,4,)</f>
        <v>0</v>
      </c>
      <c r="G102" s="160">
        <f>VLOOKUP(C102,'24. CÁLCULO DAS DISTÂNCIAS'!B:G,5,)</f>
        <v>7.3214285714285712</v>
      </c>
      <c r="H102" s="161">
        <f>1*F102+1.21*G102+2.52</f>
        <v>11.37892857142857</v>
      </c>
      <c r="I102" s="327">
        <v>0.2276</v>
      </c>
      <c r="J102" s="321">
        <f t="shared" si="22"/>
        <v>2.58</v>
      </c>
    </row>
    <row r="103" spans="1:10" ht="15" customHeight="1">
      <c r="A103" s="326">
        <v>180220</v>
      </c>
      <c r="B103" s="322" t="str">
        <f>VLOOKUP(A103,'[2]16. CUSTOS DER - MATERIAIS'!A:B,2,0)</f>
        <v>TUBO POLIETILENO (PEAD) P/DRENO 0,23M</v>
      </c>
      <c r="C103" s="328">
        <v>19130</v>
      </c>
      <c r="D103" s="320" t="str">
        <f>VLOOKUP(A103,'[2]16. CUSTOS DER - MATERIAIS'!A:C,3,0)</f>
        <v>M</v>
      </c>
      <c r="E103" s="216" t="s">
        <v>25922</v>
      </c>
      <c r="F103" s="160">
        <f>VLOOKUP(C103,'24. CÁLCULO DAS DISTÂNCIAS'!B:F,4,)</f>
        <v>17</v>
      </c>
      <c r="G103" s="160">
        <f>VLOOKUP(C103,'24. CÁLCULO DAS DISTÂNCIAS'!B:G,5,)</f>
        <v>14</v>
      </c>
      <c r="H103" s="161">
        <f>0.73*F103+0.88*G103+7.39</f>
        <v>32.119999999999997</v>
      </c>
      <c r="I103" s="327">
        <v>5.1999999999999998E-2</v>
      </c>
      <c r="J103" s="321">
        <f t="shared" si="22"/>
        <v>1.67</v>
      </c>
    </row>
    <row r="104" spans="1:10" ht="30" customHeight="1">
      <c r="A104" s="433"/>
      <c r="B104" s="325">
        <v>650000</v>
      </c>
      <c r="C104" s="570" t="str">
        <f>VLOOKUP(B104,'[2]2. PLANILHA SINTÉTICA'!C:D,2,0)</f>
        <v>SARJETA TRIANGULAR CONCRETO - TIPO  1</v>
      </c>
      <c r="D104" s="570"/>
      <c r="E104" s="570"/>
      <c r="F104" s="570"/>
      <c r="G104" s="324" t="s">
        <v>26</v>
      </c>
      <c r="H104" s="323" t="str">
        <f>VLOOKUP(B104,'[2]2. PLANILHA SINTÉTICA'!C:F,4,0)</f>
        <v>M</v>
      </c>
      <c r="I104" s="434"/>
      <c r="J104" s="435">
        <f>SUM(J106:J108)</f>
        <v>6.4799999999999995</v>
      </c>
    </row>
    <row r="105" spans="1:10" ht="15" customHeight="1">
      <c r="A105" s="163" t="s">
        <v>22751</v>
      </c>
      <c r="B105" s="253" t="s">
        <v>22752</v>
      </c>
      <c r="C105" s="337" t="s">
        <v>22753</v>
      </c>
      <c r="D105" s="163" t="s">
        <v>158</v>
      </c>
      <c r="E105" s="163" t="s">
        <v>9025</v>
      </c>
      <c r="F105" s="163" t="s">
        <v>22748</v>
      </c>
      <c r="G105" s="163" t="s">
        <v>22749</v>
      </c>
      <c r="H105" s="163" t="s">
        <v>1187</v>
      </c>
      <c r="I105" s="163" t="s">
        <v>9026</v>
      </c>
      <c r="J105" s="163" t="s">
        <v>159</v>
      </c>
    </row>
    <row r="106" spans="1:10" ht="15" customHeight="1">
      <c r="A106" s="326">
        <v>139000</v>
      </c>
      <c r="B106" s="322" t="str">
        <f>VLOOKUP(A106,'[2]16. CUSTOS DER - MATERIAIS'!A:B,2,0)</f>
        <v>AREIA</v>
      </c>
      <c r="C106" s="328">
        <v>19010</v>
      </c>
      <c r="D106" s="320" t="str">
        <f>VLOOKUP(A106,'[2]16. CUSTOS DER - MATERIAIS'!A:C,3,0)</f>
        <v>M3</v>
      </c>
      <c r="E106" s="216" t="s">
        <v>25921</v>
      </c>
      <c r="F106" s="160">
        <f>VLOOKUP(C106,'24. CÁLCULO DAS DISTÂNCIAS'!B:F,4,)</f>
        <v>5</v>
      </c>
      <c r="G106" s="160">
        <f>VLOOKUP(C106,'24. CÁLCULO DAS DISTÂNCIAS'!B:G,5,)</f>
        <v>14</v>
      </c>
      <c r="H106" s="161">
        <f>1*F106+1.21*G106+2.52</f>
        <v>24.459999999999997</v>
      </c>
      <c r="I106" s="327">
        <v>0.114</v>
      </c>
      <c r="J106" s="321">
        <f t="shared" ref="J106:J108" si="23">TRUNC(H106*I106,2)</f>
        <v>2.78</v>
      </c>
    </row>
    <row r="107" spans="1:10" ht="15" customHeight="1">
      <c r="A107" s="326">
        <v>173200</v>
      </c>
      <c r="B107" s="322" t="str">
        <f>VLOOKUP(A107,'[2]16. CUSTOS DER - MATERIAIS'!A:B,2,0)</f>
        <v>CIMENTO PORTLAND (SACO DE 50KG)</v>
      </c>
      <c r="C107" s="328">
        <v>13200</v>
      </c>
      <c r="D107" s="320" t="str">
        <f>VLOOKUP(A107,'[2]16. CUSTOS DER - MATERIAIS'!A:C,3,0)</f>
        <v>T</v>
      </c>
      <c r="E107" s="216" t="s">
        <v>25922</v>
      </c>
      <c r="F107" s="160">
        <f>VLOOKUP(C107,'24. CÁLCULO DAS DISTÂNCIAS'!B:F,4,)</f>
        <v>69</v>
      </c>
      <c r="G107" s="160">
        <f>VLOOKUP(C107,'24. CÁLCULO DAS DISTÂNCIAS'!B:G,5,)</f>
        <v>14</v>
      </c>
      <c r="H107" s="161">
        <f>0.73*F107+0.88*G107+7.39</f>
        <v>70.08</v>
      </c>
      <c r="I107" s="327">
        <v>3.1899999999999998E-2</v>
      </c>
      <c r="J107" s="321">
        <f t="shared" si="23"/>
        <v>2.23</v>
      </c>
    </row>
    <row r="108" spans="1:10" ht="15" customHeight="1">
      <c r="A108" s="326">
        <v>130000</v>
      </c>
      <c r="B108" s="322" t="str">
        <f>VLOOKUP(A108,'[2]16. CUSTOS DER - MATERIAIS'!A:B,2,0)</f>
        <v>PEDRA BRITADA (COMERCIAL)</v>
      </c>
      <c r="C108" s="328">
        <v>19400</v>
      </c>
      <c r="D108" s="320" t="str">
        <f>VLOOKUP(A108,'[2]16. CUSTOS DER - MATERIAIS'!A:C,3,0)</f>
        <v>M3</v>
      </c>
      <c r="E108" s="216" t="s">
        <v>25921</v>
      </c>
      <c r="F108" s="160">
        <f>VLOOKUP(C108,'24. CÁLCULO DAS DISTÂNCIAS'!B:F,4,)</f>
        <v>0</v>
      </c>
      <c r="G108" s="160">
        <f>VLOOKUP(C108,'24. CÁLCULO DAS DISTÂNCIAS'!B:G,5,)</f>
        <v>7.3214285714285712</v>
      </c>
      <c r="H108" s="161">
        <f>1*F108+1.21*G108+2.52</f>
        <v>11.37892857142857</v>
      </c>
      <c r="I108" s="327">
        <v>0.12989999999999999</v>
      </c>
      <c r="J108" s="321">
        <f t="shared" si="23"/>
        <v>1.47</v>
      </c>
    </row>
    <row r="109" spans="1:10" ht="30" customHeight="1">
      <c r="A109" s="433"/>
      <c r="B109" s="325">
        <v>660500</v>
      </c>
      <c r="C109" s="570" t="str">
        <f>VLOOKUP(B109,'[2]2. PLANILHA SINTÉTICA'!C:D,2,0)</f>
        <v>VALETA CONCRETO PROTEÇÃO ATERRO - TIPO 7A</v>
      </c>
      <c r="D109" s="570"/>
      <c r="E109" s="570"/>
      <c r="F109" s="570"/>
      <c r="G109" s="324" t="s">
        <v>26</v>
      </c>
      <c r="H109" s="323" t="str">
        <f>VLOOKUP(B109,'[2]2. PLANILHA SINTÉTICA'!C:F,4,0)</f>
        <v>M</v>
      </c>
      <c r="I109" s="434"/>
      <c r="J109" s="435">
        <f>SUM(J111:J113)</f>
        <v>5.21</v>
      </c>
    </row>
    <row r="110" spans="1:10" ht="15" customHeight="1">
      <c r="A110" s="163" t="s">
        <v>22751</v>
      </c>
      <c r="B110" s="253" t="s">
        <v>22752</v>
      </c>
      <c r="C110" s="337" t="s">
        <v>22753</v>
      </c>
      <c r="D110" s="163" t="s">
        <v>158</v>
      </c>
      <c r="E110" s="163" t="s">
        <v>9025</v>
      </c>
      <c r="F110" s="163" t="s">
        <v>22748</v>
      </c>
      <c r="G110" s="163" t="s">
        <v>22749</v>
      </c>
      <c r="H110" s="163" t="s">
        <v>1187</v>
      </c>
      <c r="I110" s="163" t="s">
        <v>9026</v>
      </c>
      <c r="J110" s="163" t="s">
        <v>159</v>
      </c>
    </row>
    <row r="111" spans="1:10" ht="15" customHeight="1">
      <c r="A111" s="326">
        <v>139000</v>
      </c>
      <c r="B111" s="322" t="str">
        <f>VLOOKUP(A111,'[2]16. CUSTOS DER - MATERIAIS'!A:B,2,0)</f>
        <v>AREIA</v>
      </c>
      <c r="C111" s="328">
        <v>19010</v>
      </c>
      <c r="D111" s="320" t="str">
        <f>VLOOKUP(A111,'[2]16. CUSTOS DER - MATERIAIS'!A:C,3,0)</f>
        <v>M3</v>
      </c>
      <c r="E111" s="216" t="s">
        <v>25921</v>
      </c>
      <c r="F111" s="160">
        <f>VLOOKUP(C111,'24. CÁLCULO DAS DISTÂNCIAS'!B:F,4,)</f>
        <v>5</v>
      </c>
      <c r="G111" s="160">
        <f>VLOOKUP(C111,'24. CÁLCULO DAS DISTÂNCIAS'!B:G,5,)</f>
        <v>14</v>
      </c>
      <c r="H111" s="161">
        <f>1*F111+1.21*G111+2.52</f>
        <v>24.459999999999997</v>
      </c>
      <c r="I111" s="327">
        <v>9.1600000000000001E-2</v>
      </c>
      <c r="J111" s="321">
        <f t="shared" ref="J111:J113" si="24">TRUNC(H111*I111,2)</f>
        <v>2.2400000000000002</v>
      </c>
    </row>
    <row r="112" spans="1:10" ht="15" customHeight="1">
      <c r="A112" s="326">
        <v>173200</v>
      </c>
      <c r="B112" s="322" t="str">
        <f>VLOOKUP(A112,'[2]16. CUSTOS DER - MATERIAIS'!A:B,2,0)</f>
        <v>CIMENTO PORTLAND (SACO DE 50KG)</v>
      </c>
      <c r="C112" s="328">
        <v>13200</v>
      </c>
      <c r="D112" s="320" t="str">
        <f>VLOOKUP(A112,'[2]16. CUSTOS DER - MATERIAIS'!A:C,3,0)</f>
        <v>T</v>
      </c>
      <c r="E112" s="216" t="s">
        <v>25922</v>
      </c>
      <c r="F112" s="160">
        <f>VLOOKUP(C112,'24. CÁLCULO DAS DISTÂNCIAS'!B:F,4,)</f>
        <v>69</v>
      </c>
      <c r="G112" s="160">
        <f>VLOOKUP(C112,'24. CÁLCULO DAS DISTÂNCIAS'!B:G,5,)</f>
        <v>14</v>
      </c>
      <c r="H112" s="161">
        <f>0.73*F112+0.88*G112+7.39</f>
        <v>70.08</v>
      </c>
      <c r="I112" s="327">
        <v>2.5600000000000001E-2</v>
      </c>
      <c r="J112" s="321">
        <f t="shared" si="24"/>
        <v>1.79</v>
      </c>
    </row>
    <row r="113" spans="1:10" ht="15" customHeight="1">
      <c r="A113" s="326">
        <v>130000</v>
      </c>
      <c r="B113" s="322" t="str">
        <f>VLOOKUP(A113,'[2]16. CUSTOS DER - MATERIAIS'!A:B,2,0)</f>
        <v>PEDRA BRITADA (COMERCIAL)</v>
      </c>
      <c r="C113" s="328">
        <v>19400</v>
      </c>
      <c r="D113" s="320" t="str">
        <f>VLOOKUP(A113,'[2]16. CUSTOS DER - MATERIAIS'!A:C,3,0)</f>
        <v>M3</v>
      </c>
      <c r="E113" s="216" t="s">
        <v>25921</v>
      </c>
      <c r="F113" s="160">
        <f>VLOOKUP(C113,'24. CÁLCULO DAS DISTÂNCIAS'!B:F,4,)</f>
        <v>0</v>
      </c>
      <c r="G113" s="160">
        <f>VLOOKUP(C113,'24. CÁLCULO DAS DISTÂNCIAS'!B:G,5,)</f>
        <v>7.3214285714285712</v>
      </c>
      <c r="H113" s="161">
        <f>1*F113+1.21*G113+2.52</f>
        <v>11.37892857142857</v>
      </c>
      <c r="I113" s="327">
        <v>0.1043</v>
      </c>
      <c r="J113" s="321">
        <f t="shared" si="24"/>
        <v>1.18</v>
      </c>
    </row>
    <row r="114" spans="1:10" ht="30" customHeight="1">
      <c r="A114" s="433"/>
      <c r="B114" s="325">
        <v>661500</v>
      </c>
      <c r="C114" s="570" t="str">
        <f>VLOOKUP(B114,'[2]2. PLANILHA SINTÉTICA'!C:D,2,0)</f>
        <v>VALETA CONCRETO PROTEÇÃO CORTE - TIPO 7A</v>
      </c>
      <c r="D114" s="570"/>
      <c r="E114" s="570"/>
      <c r="F114" s="570"/>
      <c r="G114" s="324" t="s">
        <v>26</v>
      </c>
      <c r="H114" s="323" t="str">
        <f>VLOOKUP(B114,'[2]2. PLANILHA SINTÉTICA'!C:F,4,0)</f>
        <v>M</v>
      </c>
      <c r="I114" s="434"/>
      <c r="J114" s="435">
        <f>SUM(J116:J118)</f>
        <v>5.93</v>
      </c>
    </row>
    <row r="115" spans="1:10" ht="15" customHeight="1">
      <c r="A115" s="163" t="s">
        <v>22751</v>
      </c>
      <c r="B115" s="253" t="s">
        <v>22752</v>
      </c>
      <c r="C115" s="337" t="s">
        <v>22753</v>
      </c>
      <c r="D115" s="163" t="s">
        <v>158</v>
      </c>
      <c r="E115" s="163" t="s">
        <v>9025</v>
      </c>
      <c r="F115" s="163" t="s">
        <v>22748</v>
      </c>
      <c r="G115" s="163" t="s">
        <v>22749</v>
      </c>
      <c r="H115" s="163" t="s">
        <v>1187</v>
      </c>
      <c r="I115" s="163" t="s">
        <v>9026</v>
      </c>
      <c r="J115" s="163" t="s">
        <v>159</v>
      </c>
    </row>
    <row r="116" spans="1:10" ht="15" customHeight="1">
      <c r="A116" s="326">
        <v>139000</v>
      </c>
      <c r="B116" s="322" t="str">
        <f>VLOOKUP(A116,'[2]16. CUSTOS DER - MATERIAIS'!A:B,2,0)</f>
        <v>AREIA</v>
      </c>
      <c r="C116" s="328">
        <v>19010</v>
      </c>
      <c r="D116" s="320" t="str">
        <f>VLOOKUP(A116,'[2]16. CUSTOS DER - MATERIAIS'!A:C,3,0)</f>
        <v>M3</v>
      </c>
      <c r="E116" s="216" t="s">
        <v>25921</v>
      </c>
      <c r="F116" s="160">
        <f>VLOOKUP(C116,'24. CÁLCULO DAS DISTÂNCIAS'!B:F,4,)</f>
        <v>5</v>
      </c>
      <c r="G116" s="160">
        <f>VLOOKUP(C116,'24. CÁLCULO DAS DISTÂNCIAS'!B:G,5,)</f>
        <v>14</v>
      </c>
      <c r="H116" s="161">
        <f>1*F116+1.21*G116+2.52</f>
        <v>24.459999999999997</v>
      </c>
      <c r="I116" s="327">
        <v>0.1042</v>
      </c>
      <c r="J116" s="321">
        <f t="shared" ref="J116:J118" si="25">TRUNC(H116*I116,2)</f>
        <v>2.54</v>
      </c>
    </row>
    <row r="117" spans="1:10" ht="15" customHeight="1">
      <c r="A117" s="326">
        <v>173200</v>
      </c>
      <c r="B117" s="322" t="str">
        <f>VLOOKUP(A117,'[2]16. CUSTOS DER - MATERIAIS'!A:B,2,0)</f>
        <v>CIMENTO PORTLAND (SACO DE 50KG)</v>
      </c>
      <c r="C117" s="328">
        <v>13200</v>
      </c>
      <c r="D117" s="320" t="str">
        <f>VLOOKUP(A117,'[2]16. CUSTOS DER - MATERIAIS'!A:C,3,0)</f>
        <v>T</v>
      </c>
      <c r="E117" s="216" t="s">
        <v>25922</v>
      </c>
      <c r="F117" s="160">
        <f>VLOOKUP(C117,'24. CÁLCULO DAS DISTÂNCIAS'!B:F,4,)</f>
        <v>69</v>
      </c>
      <c r="G117" s="160">
        <f>VLOOKUP(C117,'24. CÁLCULO DAS DISTÂNCIAS'!B:G,5,)</f>
        <v>14</v>
      </c>
      <c r="H117" s="161">
        <f>0.73*F117+0.88*G117+7.39</f>
        <v>70.08</v>
      </c>
      <c r="I117" s="327">
        <v>2.92E-2</v>
      </c>
      <c r="J117" s="321">
        <f t="shared" si="25"/>
        <v>2.04</v>
      </c>
    </row>
    <row r="118" spans="1:10" ht="15" customHeight="1">
      <c r="A118" s="326">
        <v>130000</v>
      </c>
      <c r="B118" s="322" t="str">
        <f>VLOOKUP(A118,'[2]16. CUSTOS DER - MATERIAIS'!A:B,2,0)</f>
        <v>PEDRA BRITADA (COMERCIAL)</v>
      </c>
      <c r="C118" s="328">
        <v>19400</v>
      </c>
      <c r="D118" s="320" t="str">
        <f>VLOOKUP(A118,'[2]16. CUSTOS DER - MATERIAIS'!A:C,3,0)</f>
        <v>M3</v>
      </c>
      <c r="E118" s="216" t="s">
        <v>25921</v>
      </c>
      <c r="F118" s="160">
        <f>VLOOKUP(C118,'24. CÁLCULO DAS DISTÂNCIAS'!B:F,4,)</f>
        <v>0</v>
      </c>
      <c r="G118" s="160">
        <f>VLOOKUP(C118,'24. CÁLCULO DAS DISTÂNCIAS'!B:G,5,)</f>
        <v>7.3214285714285712</v>
      </c>
      <c r="H118" s="161">
        <f>1*F118+1.21*G118+2.52</f>
        <v>11.37892857142857</v>
      </c>
      <c r="I118" s="327">
        <v>0.1188</v>
      </c>
      <c r="J118" s="321">
        <f t="shared" si="25"/>
        <v>1.35</v>
      </c>
    </row>
    <row r="119" spans="1:10" ht="30" customHeight="1">
      <c r="A119" s="433"/>
      <c r="B119" s="325">
        <v>612000</v>
      </c>
      <c r="C119" s="570" t="s">
        <v>260</v>
      </c>
      <c r="D119" s="570"/>
      <c r="E119" s="570"/>
      <c r="F119" s="570"/>
      <c r="G119" s="324" t="s">
        <v>26</v>
      </c>
      <c r="H119" s="323" t="s">
        <v>328</v>
      </c>
      <c r="I119" s="434"/>
      <c r="J119" s="435">
        <f>SUM(J121:J125)</f>
        <v>189.25</v>
      </c>
    </row>
    <row r="120" spans="1:10" ht="15" customHeight="1">
      <c r="A120" s="163" t="s">
        <v>22751</v>
      </c>
      <c r="B120" s="253" t="s">
        <v>22752</v>
      </c>
      <c r="C120" s="337" t="s">
        <v>22753</v>
      </c>
      <c r="D120" s="163" t="s">
        <v>158</v>
      </c>
      <c r="E120" s="163" t="s">
        <v>9025</v>
      </c>
      <c r="F120" s="163" t="s">
        <v>22748</v>
      </c>
      <c r="G120" s="163" t="s">
        <v>22749</v>
      </c>
      <c r="H120" s="163" t="s">
        <v>1187</v>
      </c>
      <c r="I120" s="163" t="s">
        <v>9026</v>
      </c>
      <c r="J120" s="163" t="s">
        <v>159</v>
      </c>
    </row>
    <row r="121" spans="1:10" ht="15" customHeight="1">
      <c r="A121" s="326">
        <v>181520</v>
      </c>
      <c r="B121" s="322" t="str">
        <f>VLOOKUP(A121,'[2]16. CUSTOS DER - MATERIAIS'!A:B,2,0)</f>
        <v>TUBO CONCRETO D=1,50M MF PA-2</v>
      </c>
      <c r="C121" s="328">
        <v>19130</v>
      </c>
      <c r="D121" s="320" t="str">
        <f>VLOOKUP(A121,'[2]16. CUSTOS DER - MATERIAIS'!A:C,3,0)</f>
        <v>UD</v>
      </c>
      <c r="E121" s="216" t="s">
        <v>25922</v>
      </c>
      <c r="F121" s="160">
        <f>VLOOKUP(C121,'24. CÁLCULO DAS DISTÂNCIAS'!B:F,4,)</f>
        <v>17</v>
      </c>
      <c r="G121" s="160">
        <f>VLOOKUP(C121,'24. CÁLCULO DAS DISTÂNCIAS'!B:G,5,)</f>
        <v>14</v>
      </c>
      <c r="H121" s="161">
        <f>0.73*F121+0.88*G121+7.39</f>
        <v>32.119999999999997</v>
      </c>
      <c r="I121" s="327">
        <v>3.22</v>
      </c>
      <c r="J121" s="321">
        <f t="shared" ref="J121:J125" si="26">TRUNC(H121*I121,2)</f>
        <v>103.42</v>
      </c>
    </row>
    <row r="122" spans="1:10" ht="15" customHeight="1">
      <c r="A122" s="326">
        <v>139000</v>
      </c>
      <c r="B122" s="322" t="str">
        <f>VLOOKUP(A122,'[2]16. CUSTOS DER - MATERIAIS'!A:B,2,0)</f>
        <v>AREIA</v>
      </c>
      <c r="C122" s="328">
        <v>19010</v>
      </c>
      <c r="D122" s="320" t="str">
        <f>VLOOKUP(A122,'[2]16. CUSTOS DER - MATERIAIS'!A:C,3,0)</f>
        <v>M3</v>
      </c>
      <c r="E122" s="216" t="s">
        <v>25921</v>
      </c>
      <c r="F122" s="160">
        <f>VLOOKUP(C122,'24. CÁLCULO DAS DISTÂNCIAS'!B:F,4,)</f>
        <v>5</v>
      </c>
      <c r="G122" s="160">
        <f>VLOOKUP(C122,'24. CÁLCULO DAS DISTÂNCIAS'!B:G,5,)</f>
        <v>14</v>
      </c>
      <c r="H122" s="161">
        <f>1*F122+1.21*G122+2.52</f>
        <v>24.459999999999997</v>
      </c>
      <c r="I122" s="327">
        <v>1.3568</v>
      </c>
      <c r="J122" s="321">
        <f t="shared" si="26"/>
        <v>33.18</v>
      </c>
    </row>
    <row r="123" spans="1:10" ht="15" customHeight="1">
      <c r="A123" s="326">
        <v>173200</v>
      </c>
      <c r="B123" s="322" t="str">
        <f>VLOOKUP(A123,'[2]16. CUSTOS DER - MATERIAIS'!A:B,2,0)</f>
        <v>CIMENTO PORTLAND (SACO DE 50KG)</v>
      </c>
      <c r="C123" s="328">
        <v>13200</v>
      </c>
      <c r="D123" s="320" t="str">
        <f>VLOOKUP(A123,'[2]16. CUSTOS DER - MATERIAIS'!A:C,3,0)</f>
        <v>T</v>
      </c>
      <c r="E123" s="216" t="s">
        <v>25922</v>
      </c>
      <c r="F123" s="160">
        <f>VLOOKUP(C123,'24. CÁLCULO DAS DISTÂNCIAS'!B:F,4,)</f>
        <v>69</v>
      </c>
      <c r="G123" s="160">
        <f>VLOOKUP(C123,'24. CÁLCULO DAS DISTÂNCIAS'!B:G,5,)</f>
        <v>14</v>
      </c>
      <c r="H123" s="161">
        <f>0.73*F123+0.88*G123+7.39</f>
        <v>70.08</v>
      </c>
      <c r="I123" s="327">
        <v>0.37419999999999998</v>
      </c>
      <c r="J123" s="321">
        <f t="shared" si="26"/>
        <v>26.22</v>
      </c>
    </row>
    <row r="124" spans="1:10" ht="15" customHeight="1">
      <c r="A124" s="326">
        <v>130100</v>
      </c>
      <c r="B124" s="322" t="str">
        <f>VLOOKUP(A124,'[2]16. CUSTOS DER - MATERIAIS'!A:B,2,0)</f>
        <v>PEDRA DE MÃO (COMERCIAL)</v>
      </c>
      <c r="C124" s="328">
        <v>19410</v>
      </c>
      <c r="D124" s="320" t="str">
        <f>VLOOKUP(A124,'[2]16. CUSTOS DER - MATERIAIS'!A:C,3,0)</f>
        <v>M3</v>
      </c>
      <c r="E124" s="216" t="s">
        <v>25921</v>
      </c>
      <c r="F124" s="160">
        <f>VLOOKUP(C124,'24. CÁLCULO DAS DISTÂNCIAS'!B:F,4,)</f>
        <v>0</v>
      </c>
      <c r="G124" s="160">
        <f>VLOOKUP(C124,'24. CÁLCULO DAS DISTÂNCIAS'!B:G,5,)</f>
        <v>7.3214285714285712</v>
      </c>
      <c r="H124" s="161">
        <f t="shared" ref="H124:H125" si="27">1*F124+1.21*G124+2.52</f>
        <v>11.37892857142857</v>
      </c>
      <c r="I124" s="327">
        <v>0.85229999999999995</v>
      </c>
      <c r="J124" s="321">
        <f t="shared" si="26"/>
        <v>9.69</v>
      </c>
    </row>
    <row r="125" spans="1:10" ht="15" customHeight="1">
      <c r="A125" s="326">
        <v>130000</v>
      </c>
      <c r="B125" s="322" t="str">
        <f>VLOOKUP(A125,'[2]16. CUSTOS DER - MATERIAIS'!A:B,2,0)</f>
        <v>PEDRA BRITADA (COMERCIAL)</v>
      </c>
      <c r="C125" s="328">
        <v>19400</v>
      </c>
      <c r="D125" s="320" t="str">
        <f>VLOOKUP(A125,'[2]16. CUSTOS DER - MATERIAIS'!A:C,3,0)</f>
        <v>M3</v>
      </c>
      <c r="E125" s="216" t="s">
        <v>25921</v>
      </c>
      <c r="F125" s="160">
        <f>VLOOKUP(C125,'24. CÁLCULO DAS DISTÂNCIAS'!B:F,4,)</f>
        <v>0</v>
      </c>
      <c r="G125" s="160">
        <f>VLOOKUP(C125,'24. CÁLCULO DAS DISTÂNCIAS'!B:G,5,)</f>
        <v>7.3214285714285712</v>
      </c>
      <c r="H125" s="161">
        <f t="shared" si="27"/>
        <v>11.37892857142857</v>
      </c>
      <c r="I125" s="327">
        <v>1.4716</v>
      </c>
      <c r="J125" s="321">
        <f t="shared" si="26"/>
        <v>16.739999999999998</v>
      </c>
    </row>
    <row r="126" spans="1:10" ht="30" customHeight="1">
      <c r="A126" s="433"/>
      <c r="B126" s="325">
        <v>612400</v>
      </c>
      <c r="C126" s="570" t="s">
        <v>23721</v>
      </c>
      <c r="D126" s="570"/>
      <c r="E126" s="570"/>
      <c r="F126" s="570"/>
      <c r="G126" s="324" t="s">
        <v>26</v>
      </c>
      <c r="H126" s="323" t="s">
        <v>328</v>
      </c>
      <c r="I126" s="434"/>
      <c r="J126" s="435">
        <f>SUM(J128:J132)</f>
        <v>283.85000000000002</v>
      </c>
    </row>
    <row r="127" spans="1:10" ht="15" customHeight="1">
      <c r="A127" s="163" t="s">
        <v>22751</v>
      </c>
      <c r="B127" s="253" t="s">
        <v>22752</v>
      </c>
      <c r="C127" s="337" t="s">
        <v>22753</v>
      </c>
      <c r="D127" s="163" t="s">
        <v>158</v>
      </c>
      <c r="E127" s="163" t="s">
        <v>9025</v>
      </c>
      <c r="F127" s="163" t="s">
        <v>22748</v>
      </c>
      <c r="G127" s="163" t="s">
        <v>22749</v>
      </c>
      <c r="H127" s="163" t="s">
        <v>1187</v>
      </c>
      <c r="I127" s="163" t="s">
        <v>9026</v>
      </c>
      <c r="J127" s="163" t="s">
        <v>159</v>
      </c>
    </row>
    <row r="128" spans="1:10" ht="15" customHeight="1">
      <c r="A128" s="326">
        <v>181520</v>
      </c>
      <c r="B128" s="322" t="str">
        <f>VLOOKUP(A128,'[2]16. CUSTOS DER - MATERIAIS'!A:B,2,0)</f>
        <v>TUBO CONCRETO D=1,50M MF PA-2</v>
      </c>
      <c r="C128" s="328">
        <v>19130</v>
      </c>
      <c r="D128" s="320" t="str">
        <f>VLOOKUP(A128,'[2]16. CUSTOS DER - MATERIAIS'!A:C,3,0)</f>
        <v>UD</v>
      </c>
      <c r="E128" s="216" t="s">
        <v>25922</v>
      </c>
      <c r="F128" s="160">
        <f>VLOOKUP(C128,'24. CÁLCULO DAS DISTÂNCIAS'!B:F,4,)</f>
        <v>17</v>
      </c>
      <c r="G128" s="160">
        <f>VLOOKUP(C128,'24. CÁLCULO DAS DISTÂNCIAS'!B:G,5,)</f>
        <v>14</v>
      </c>
      <c r="H128" s="161">
        <f>0.73*F128+0.88*G128+7.39</f>
        <v>32.119999999999997</v>
      </c>
      <c r="I128" s="327">
        <v>4.83</v>
      </c>
      <c r="J128" s="321">
        <f t="shared" ref="J128:J132" si="28">TRUNC(H128*I128,2)</f>
        <v>155.13</v>
      </c>
    </row>
    <row r="129" spans="1:10" ht="15" customHeight="1">
      <c r="A129" s="326">
        <v>139000</v>
      </c>
      <c r="B129" s="322" t="str">
        <f>VLOOKUP(A129,'[2]16. CUSTOS DER - MATERIAIS'!A:B,2,0)</f>
        <v>AREIA</v>
      </c>
      <c r="C129" s="328">
        <v>19010</v>
      </c>
      <c r="D129" s="320" t="str">
        <f>VLOOKUP(A129,'[2]16. CUSTOS DER - MATERIAIS'!A:C,3,0)</f>
        <v>M3</v>
      </c>
      <c r="E129" s="216" t="s">
        <v>25921</v>
      </c>
      <c r="F129" s="160">
        <f>VLOOKUP(C129,'24. CÁLCULO DAS DISTÂNCIAS'!B:F,4,)</f>
        <v>5</v>
      </c>
      <c r="G129" s="160">
        <f>VLOOKUP(C129,'24. CÁLCULO DAS DISTÂNCIAS'!B:G,5,)</f>
        <v>14</v>
      </c>
      <c r="H129" s="161">
        <f>1*F129+1.21*G129+2.52</f>
        <v>24.459999999999997</v>
      </c>
      <c r="I129" s="327">
        <v>2.0345</v>
      </c>
      <c r="J129" s="321">
        <f t="shared" si="28"/>
        <v>49.76</v>
      </c>
    </row>
    <row r="130" spans="1:10" ht="15" customHeight="1">
      <c r="A130" s="326">
        <v>173200</v>
      </c>
      <c r="B130" s="322" t="str">
        <f>VLOOKUP(A130,'[2]16. CUSTOS DER - MATERIAIS'!A:B,2,0)</f>
        <v>CIMENTO PORTLAND (SACO DE 50KG)</v>
      </c>
      <c r="C130" s="328">
        <v>13200</v>
      </c>
      <c r="D130" s="320" t="str">
        <f>VLOOKUP(A130,'[2]16. CUSTOS DER - MATERIAIS'!A:C,3,0)</f>
        <v>T</v>
      </c>
      <c r="E130" s="216" t="s">
        <v>25922</v>
      </c>
      <c r="F130" s="160">
        <f>VLOOKUP(C130,'24. CÁLCULO DAS DISTÂNCIAS'!B:F,4,)</f>
        <v>69</v>
      </c>
      <c r="G130" s="160">
        <f>VLOOKUP(C130,'24. CÁLCULO DAS DISTÂNCIAS'!B:G,5,)</f>
        <v>14</v>
      </c>
      <c r="H130" s="161">
        <f>0.73*F130+0.88*G130+7.39</f>
        <v>70.08</v>
      </c>
      <c r="I130" s="327">
        <v>0.56110000000000004</v>
      </c>
      <c r="J130" s="321">
        <f t="shared" si="28"/>
        <v>39.32</v>
      </c>
    </row>
    <row r="131" spans="1:10" ht="15" customHeight="1">
      <c r="A131" s="326">
        <v>130100</v>
      </c>
      <c r="B131" s="322" t="str">
        <f>VLOOKUP(A131,'[2]16. CUSTOS DER - MATERIAIS'!A:B,2,0)</f>
        <v>PEDRA DE MÃO (COMERCIAL)</v>
      </c>
      <c r="C131" s="328">
        <v>19410</v>
      </c>
      <c r="D131" s="320" t="str">
        <f>VLOOKUP(A131,'[2]16. CUSTOS DER - MATERIAIS'!A:C,3,0)</f>
        <v>M3</v>
      </c>
      <c r="E131" s="216" t="s">
        <v>25921</v>
      </c>
      <c r="F131" s="160">
        <f>VLOOKUP(C131,'24. CÁLCULO DAS DISTÂNCIAS'!B:F,4,)</f>
        <v>0</v>
      </c>
      <c r="G131" s="160">
        <f>VLOOKUP(C131,'24. CÁLCULO DAS DISTÂNCIAS'!B:G,5,)</f>
        <v>7.3214285714285712</v>
      </c>
      <c r="H131" s="161">
        <f t="shared" ref="H131:H132" si="29">1*F131+1.21*G131+2.52</f>
        <v>11.37892857142857</v>
      </c>
      <c r="I131" s="327">
        <v>1.278</v>
      </c>
      <c r="J131" s="321">
        <f t="shared" si="28"/>
        <v>14.54</v>
      </c>
    </row>
    <row r="132" spans="1:10" ht="15" customHeight="1">
      <c r="A132" s="326">
        <v>130000</v>
      </c>
      <c r="B132" s="322" t="str">
        <f>VLOOKUP(A132,'[2]16. CUSTOS DER - MATERIAIS'!A:B,2,0)</f>
        <v>PEDRA BRITADA (COMERCIAL)</v>
      </c>
      <c r="C132" s="328">
        <v>19400</v>
      </c>
      <c r="D132" s="320" t="str">
        <f>VLOOKUP(A132,'[2]16. CUSTOS DER - MATERIAIS'!A:C,3,0)</f>
        <v>M3</v>
      </c>
      <c r="E132" s="216" t="s">
        <v>25921</v>
      </c>
      <c r="F132" s="160">
        <f>VLOOKUP(C132,'24. CÁLCULO DAS DISTÂNCIAS'!B:F,4,)</f>
        <v>0</v>
      </c>
      <c r="G132" s="160">
        <f>VLOOKUP(C132,'24. CÁLCULO DAS DISTÂNCIAS'!B:G,5,)</f>
        <v>7.3214285714285712</v>
      </c>
      <c r="H132" s="161">
        <f t="shared" si="29"/>
        <v>11.37892857142857</v>
      </c>
      <c r="I132" s="327">
        <v>2.2067000000000001</v>
      </c>
      <c r="J132" s="321">
        <f t="shared" si="28"/>
        <v>25.1</v>
      </c>
    </row>
    <row r="133" spans="1:10" ht="30" customHeight="1">
      <c r="A133" s="433"/>
      <c r="B133" s="325">
        <v>745000</v>
      </c>
      <c r="C133" s="570" t="s">
        <v>231</v>
      </c>
      <c r="D133" s="570"/>
      <c r="E133" s="570"/>
      <c r="F133" s="570"/>
      <c r="G133" s="324" t="s">
        <v>26</v>
      </c>
      <c r="H133" s="323" t="s">
        <v>950</v>
      </c>
      <c r="I133" s="434"/>
      <c r="J133" s="435">
        <f>SUM(J135:J136)</f>
        <v>68.930000000000007</v>
      </c>
    </row>
    <row r="134" spans="1:10" ht="15" customHeight="1">
      <c r="A134" s="163" t="s">
        <v>22751</v>
      </c>
      <c r="B134" s="253" t="s">
        <v>22752</v>
      </c>
      <c r="C134" s="337" t="s">
        <v>22753</v>
      </c>
      <c r="D134" s="163" t="s">
        <v>158</v>
      </c>
      <c r="E134" s="163" t="s">
        <v>9025</v>
      </c>
      <c r="F134" s="163" t="s">
        <v>22748</v>
      </c>
      <c r="G134" s="163" t="s">
        <v>22749</v>
      </c>
      <c r="H134" s="163" t="s">
        <v>1187</v>
      </c>
      <c r="I134" s="163" t="s">
        <v>9026</v>
      </c>
      <c r="J134" s="163" t="s">
        <v>159</v>
      </c>
    </row>
    <row r="135" spans="1:10" ht="15" customHeight="1">
      <c r="A135" s="326">
        <v>139000</v>
      </c>
      <c r="B135" s="322" t="str">
        <f>VLOOKUP(A135,'[2]16. CUSTOS DER - MATERIAIS'!A:B,2,0)</f>
        <v>AREIA</v>
      </c>
      <c r="C135" s="328">
        <v>19010</v>
      </c>
      <c r="D135" s="320" t="str">
        <f>VLOOKUP(A135,'[2]16. CUSTOS DER - MATERIAIS'!A:C,3,0)</f>
        <v>M3</v>
      </c>
      <c r="E135" s="216" t="s">
        <v>25921</v>
      </c>
      <c r="F135" s="160">
        <f>VLOOKUP(C135,'24. CÁLCULO DAS DISTÂNCIAS'!B:F,4,)</f>
        <v>5</v>
      </c>
      <c r="G135" s="160">
        <f>VLOOKUP(C135,'24. CÁLCULO DAS DISTÂNCIAS'!B:G,5,)</f>
        <v>14</v>
      </c>
      <c r="H135" s="161">
        <f>1*F135+1.21*G135+2.52</f>
        <v>24.459999999999997</v>
      </c>
      <c r="I135" s="327">
        <v>1.575</v>
      </c>
      <c r="J135" s="321">
        <f t="shared" ref="J135:J136" si="30">TRUNC(H135*I135,2)</f>
        <v>38.520000000000003</v>
      </c>
    </row>
    <row r="136" spans="1:10" ht="15" customHeight="1">
      <c r="A136" s="326">
        <v>173200</v>
      </c>
      <c r="B136" s="322" t="str">
        <f>VLOOKUP(A136,'[2]16. CUSTOS DER - MATERIAIS'!A:B,2,0)</f>
        <v>CIMENTO PORTLAND (SACO DE 50KG)</v>
      </c>
      <c r="C136" s="328">
        <v>13200</v>
      </c>
      <c r="D136" s="320" t="str">
        <f>VLOOKUP(A136,'[2]16. CUSTOS DER - MATERIAIS'!A:C,3,0)</f>
        <v>T</v>
      </c>
      <c r="E136" s="216" t="s">
        <v>25922</v>
      </c>
      <c r="F136" s="160">
        <f>VLOOKUP(C136,'24. CÁLCULO DAS DISTÂNCIAS'!B:F,4,)</f>
        <v>69</v>
      </c>
      <c r="G136" s="160">
        <f>VLOOKUP(C136,'24. CÁLCULO DAS DISTÂNCIAS'!B:G,5,)</f>
        <v>14</v>
      </c>
      <c r="H136" s="161">
        <f>0.73*F136+0.88*G136+7.39</f>
        <v>70.08</v>
      </c>
      <c r="I136" s="327">
        <v>0.434</v>
      </c>
      <c r="J136" s="321">
        <f t="shared" si="30"/>
        <v>30.41</v>
      </c>
    </row>
    <row r="137" spans="1:10" ht="30" customHeight="1">
      <c r="A137" s="433"/>
      <c r="B137" s="325">
        <v>531350</v>
      </c>
      <c r="C137" s="570" t="str">
        <f>VLOOKUP(B137,'[2]2. PLANILHA SINTÉTICA'!C:D,2,0)</f>
        <v>MACADAME SECO BRITADO PREENCHIDO C/BICA CORRIDA</v>
      </c>
      <c r="D137" s="570"/>
      <c r="E137" s="570"/>
      <c r="F137" s="570"/>
      <c r="G137" s="324" t="s">
        <v>26</v>
      </c>
      <c r="H137" s="323" t="str">
        <f>VLOOKUP(B137,'[2]2. PLANILHA SINTÉTICA'!C:F,4,0)</f>
        <v>M3</v>
      </c>
      <c r="I137" s="434"/>
      <c r="J137" s="435">
        <f>SUM(J139:J140)</f>
        <v>23.09</v>
      </c>
    </row>
    <row r="138" spans="1:10" ht="15" customHeight="1">
      <c r="A138" s="163" t="s">
        <v>22751</v>
      </c>
      <c r="B138" s="253" t="s">
        <v>22752</v>
      </c>
      <c r="C138" s="337" t="s">
        <v>22753</v>
      </c>
      <c r="D138" s="163" t="s">
        <v>158</v>
      </c>
      <c r="E138" s="163" t="s">
        <v>9025</v>
      </c>
      <c r="F138" s="163" t="s">
        <v>22748</v>
      </c>
      <c r="G138" s="163" t="s">
        <v>22749</v>
      </c>
      <c r="H138" s="163" t="s">
        <v>1187</v>
      </c>
      <c r="I138" s="163" t="s">
        <v>9026</v>
      </c>
      <c r="J138" s="163" t="s">
        <v>159</v>
      </c>
    </row>
    <row r="139" spans="1:10" ht="15" customHeight="1">
      <c r="A139" s="326">
        <v>130000</v>
      </c>
      <c r="B139" s="322" t="str">
        <f>VLOOKUP(A139,'[2]16. CUSTOS DER - MATERIAIS'!A:B,2,0)</f>
        <v>PEDRA BRITADA (COMERCIAL)</v>
      </c>
      <c r="C139" s="328">
        <v>19440</v>
      </c>
      <c r="D139" s="320" t="str">
        <f>VLOOKUP(A139,'[2]16. CUSTOS DER - MATERIAIS'!A:C,3,0)</f>
        <v>M3</v>
      </c>
      <c r="E139" s="216" t="s">
        <v>25921</v>
      </c>
      <c r="F139" s="160">
        <f>VLOOKUP(C139,'24. CÁLCULO DAS DISTÂNCIAS'!B:F,4,)</f>
        <v>0</v>
      </c>
      <c r="G139" s="160">
        <f>VLOOKUP(C139,'24. CÁLCULO DAS DISTÂNCIAS'!B:G,5,)</f>
        <v>7.3214285714285712</v>
      </c>
      <c r="H139" s="161">
        <f t="shared" ref="H139:H140" si="31">1*F139+1.21*G139+2.52</f>
        <v>11.37892857142857</v>
      </c>
      <c r="I139" s="327">
        <v>0.68</v>
      </c>
      <c r="J139" s="321">
        <f t="shared" ref="J139:J140" si="32">TRUNC(H139*I139,2)</f>
        <v>7.73</v>
      </c>
    </row>
    <row r="140" spans="1:10" ht="15" customHeight="1">
      <c r="A140" s="326">
        <v>130180</v>
      </c>
      <c r="B140" s="322" t="str">
        <f>VLOOKUP(A140,'[2]16. CUSTOS DER - MATERIAIS'!A:B,2,0)</f>
        <v>RACHÃO BRITADO (COMERCIAL)</v>
      </c>
      <c r="C140" s="328">
        <v>10060</v>
      </c>
      <c r="D140" s="320" t="str">
        <f>VLOOKUP(A140,'[2]16. CUSTOS DER - MATERIAIS'!A:C,3,0)</f>
        <v>M3</v>
      </c>
      <c r="E140" s="216" t="s">
        <v>25921</v>
      </c>
      <c r="F140" s="160">
        <f>VLOOKUP(C140,'24. CÁLCULO DAS DISTÂNCIAS'!B:F,4,)</f>
        <v>0</v>
      </c>
      <c r="G140" s="160">
        <f>VLOOKUP(C140,'24. CÁLCULO DAS DISTÂNCIAS'!B:G,5,)</f>
        <v>7.3214285714285712</v>
      </c>
      <c r="H140" s="161">
        <f t="shared" si="31"/>
        <v>11.37892857142857</v>
      </c>
      <c r="I140" s="327">
        <v>1.35</v>
      </c>
      <c r="J140" s="321">
        <f t="shared" si="32"/>
        <v>15.36</v>
      </c>
    </row>
    <row r="141" spans="1:10" ht="30" customHeight="1">
      <c r="A141" s="433"/>
      <c r="B141" s="325">
        <v>531120</v>
      </c>
      <c r="C141" s="570" t="s">
        <v>23722</v>
      </c>
      <c r="D141" s="570"/>
      <c r="E141" s="570"/>
      <c r="F141" s="570"/>
      <c r="G141" s="324" t="s">
        <v>26</v>
      </c>
      <c r="H141" s="323" t="s">
        <v>950</v>
      </c>
      <c r="I141" s="434"/>
      <c r="J141" s="435">
        <f>SUM(J143:J145)</f>
        <v>37.04</v>
      </c>
    </row>
    <row r="142" spans="1:10" ht="15" customHeight="1">
      <c r="A142" s="163" t="s">
        <v>22751</v>
      </c>
      <c r="B142" s="253" t="s">
        <v>22752</v>
      </c>
      <c r="C142" s="337" t="s">
        <v>22753</v>
      </c>
      <c r="D142" s="163" t="s">
        <v>158</v>
      </c>
      <c r="E142" s="163" t="s">
        <v>9025</v>
      </c>
      <c r="F142" s="163" t="s">
        <v>22748</v>
      </c>
      <c r="G142" s="163" t="s">
        <v>22749</v>
      </c>
      <c r="H142" s="163" t="s">
        <v>1187</v>
      </c>
      <c r="I142" s="163" t="s">
        <v>9026</v>
      </c>
      <c r="J142" s="163" t="s">
        <v>159</v>
      </c>
    </row>
    <row r="143" spans="1:10" ht="15" customHeight="1">
      <c r="A143" s="326">
        <v>173200</v>
      </c>
      <c r="B143" s="322" t="str">
        <f>VLOOKUP(A143,'[2]16. CUSTOS DER - MATERIAIS'!A:B,2,0)</f>
        <v>CIMENTO PORTLAND (SACO DE 50KG)</v>
      </c>
      <c r="C143" s="328">
        <v>19010</v>
      </c>
      <c r="D143" s="320" t="str">
        <f>VLOOKUP(A143,'[2]16. CUSTOS DER - MATERIAIS'!A:C,3,0)</f>
        <v>T</v>
      </c>
      <c r="E143" s="216" t="s">
        <v>25922</v>
      </c>
      <c r="F143" s="160">
        <f>VLOOKUP(C143,'24. CÁLCULO DAS DISTÂNCIAS'!B:F,4,)</f>
        <v>5</v>
      </c>
      <c r="G143" s="160">
        <f>VLOOKUP(C143,'24. CÁLCULO DAS DISTÂNCIAS'!B:G,5,)</f>
        <v>14</v>
      </c>
      <c r="H143" s="161">
        <f>0.73*F143+0.88*G143+7.39</f>
        <v>23.36</v>
      </c>
      <c r="I143" s="327">
        <v>9.6000000000000002E-2</v>
      </c>
      <c r="J143" s="321">
        <f t="shared" ref="J143:J145" si="33">TRUNC(H143*I143,2)</f>
        <v>2.2400000000000002</v>
      </c>
    </row>
    <row r="144" spans="1:10" ht="15" customHeight="1">
      <c r="A144" s="326">
        <v>130000</v>
      </c>
      <c r="B144" s="322" t="str">
        <f>VLOOKUP(A144,'[2]16. CUSTOS DER - MATERIAIS'!A:B,2,0)</f>
        <v>PEDRA BRITADA (COMERCIAL)</v>
      </c>
      <c r="C144" s="328">
        <v>19390</v>
      </c>
      <c r="D144" s="320" t="str">
        <f>VLOOKUP(A144,'[2]16. CUSTOS DER - MATERIAIS'!A:C,3,0)</f>
        <v>M3</v>
      </c>
      <c r="E144" s="216" t="s">
        <v>25921</v>
      </c>
      <c r="F144" s="160">
        <f>VLOOKUP(C144,'24. CÁLCULO DAS DISTÂNCIAS'!B:F,4,)</f>
        <v>0</v>
      </c>
      <c r="G144" s="160">
        <f>VLOOKUP(C144,'24. CÁLCULO DAS DISTÂNCIAS'!B:G,5,)</f>
        <v>0.5</v>
      </c>
      <c r="H144" s="161">
        <f t="shared" ref="H144:H145" si="34">1*F144+1.21*G144+2.52</f>
        <v>3.125</v>
      </c>
      <c r="I144" s="327">
        <v>2.4</v>
      </c>
      <c r="J144" s="321">
        <f t="shared" si="33"/>
        <v>7.5</v>
      </c>
    </row>
    <row r="145" spans="1:10" ht="30" customHeight="1">
      <c r="A145" s="326"/>
      <c r="B145" s="322" t="s">
        <v>9076</v>
      </c>
      <c r="C145" s="328">
        <v>19980</v>
      </c>
      <c r="D145" s="320" t="s">
        <v>34</v>
      </c>
      <c r="E145" s="216" t="s">
        <v>25921</v>
      </c>
      <c r="F145" s="160">
        <f>VLOOKUP(C145,'24. CÁLCULO DAS DISTÂNCIAS'!B:F,4,)</f>
        <v>0</v>
      </c>
      <c r="G145" s="160">
        <f>VLOOKUP(C145,'24. CÁLCULO DAS DISTÂNCIAS'!B:G,5,)</f>
        <v>7.3214285714285712</v>
      </c>
      <c r="H145" s="161">
        <f t="shared" si="34"/>
        <v>11.37892857142857</v>
      </c>
      <c r="I145" s="327">
        <v>2.4</v>
      </c>
      <c r="J145" s="321">
        <f t="shared" si="33"/>
        <v>27.3</v>
      </c>
    </row>
    <row r="146" spans="1:10" ht="15" customHeight="1">
      <c r="A146" s="433"/>
      <c r="B146" s="325">
        <v>504920</v>
      </c>
      <c r="C146" s="570" t="str">
        <f>VLOOKUP(B146,'[2]2. PLANILHA SINTÉTICA'!C:D,2,0)</f>
        <v>FORNECIMENTO E COLOCAÇÃO DE TELA TELCON Q-138 OU EQUIVALENTE</v>
      </c>
      <c r="D146" s="570"/>
      <c r="E146" s="570"/>
      <c r="F146" s="570"/>
      <c r="G146" s="324" t="s">
        <v>26</v>
      </c>
      <c r="H146" s="323" t="str">
        <f>VLOOKUP(B146,'[2]2. PLANILHA SINTÉTICA'!C:F,4,0)</f>
        <v>KG</v>
      </c>
      <c r="I146" s="434"/>
      <c r="J146" s="435">
        <f>J148</f>
        <v>0.05</v>
      </c>
    </row>
    <row r="147" spans="1:10" ht="15" customHeight="1">
      <c r="A147" s="163" t="s">
        <v>22751</v>
      </c>
      <c r="B147" s="253" t="s">
        <v>22752</v>
      </c>
      <c r="C147" s="337" t="s">
        <v>22753</v>
      </c>
      <c r="D147" s="163" t="s">
        <v>158</v>
      </c>
      <c r="E147" s="163" t="s">
        <v>9025</v>
      </c>
      <c r="F147" s="163" t="s">
        <v>22748</v>
      </c>
      <c r="G147" s="163" t="s">
        <v>22749</v>
      </c>
      <c r="H147" s="163" t="s">
        <v>1187</v>
      </c>
      <c r="I147" s="163" t="s">
        <v>9026</v>
      </c>
      <c r="J147" s="163" t="s">
        <v>159</v>
      </c>
    </row>
    <row r="148" spans="1:10" ht="30" customHeight="1">
      <c r="A148" s="326">
        <v>151380</v>
      </c>
      <c r="B148" s="322" t="str">
        <f>VLOOKUP(A148,'[2]16. CUSTOS DER - MATERIAIS'!A:B,2,0)</f>
        <v>TELA METÁLICA TELCON Q-138</v>
      </c>
      <c r="C148" s="328">
        <v>19120</v>
      </c>
      <c r="D148" s="320" t="str">
        <f>VLOOKUP(A148,'[2]16. CUSTOS DER - MATERIAIS'!A:C,3,0)</f>
        <v>KG</v>
      </c>
      <c r="E148" s="216" t="s">
        <v>25922</v>
      </c>
      <c r="F148" s="160">
        <f>VLOOKUP(C148,'24. CÁLCULO DAS DISTÂNCIAS'!B:F,4,)</f>
        <v>40</v>
      </c>
      <c r="G148" s="160">
        <f>VLOOKUP(C148,'24. CÁLCULO DAS DISTÂNCIAS'!B:G,5,)</f>
        <v>14</v>
      </c>
      <c r="H148" s="161">
        <f>0.73*F148+0.88*G148+7.39</f>
        <v>48.91</v>
      </c>
      <c r="I148" s="327">
        <v>1.1000000000000001E-3</v>
      </c>
      <c r="J148" s="321">
        <f>TRUNC(H148*I148,2)</f>
        <v>0.05</v>
      </c>
    </row>
    <row r="149" spans="1:10" ht="15" customHeight="1">
      <c r="A149" s="433"/>
      <c r="B149" s="325">
        <v>502646</v>
      </c>
      <c r="C149" s="570" t="str">
        <f>VLOOKUP(B149,'[2]2. PLANILHA SINTÉTICA'!C:D,2,0)</f>
        <v>PAVIMENTO DE CONCRETO FCTMK=4,50MPA EXECUTADO COM RÉGUA VIBRATÓRIA</v>
      </c>
      <c r="D149" s="570"/>
      <c r="E149" s="570"/>
      <c r="F149" s="570"/>
      <c r="G149" s="324" t="s">
        <v>26</v>
      </c>
      <c r="H149" s="323" t="str">
        <f>VLOOKUP(B149,'[2]2. PLANILHA SINTÉTICA'!C:F,4,0)</f>
        <v>M3</v>
      </c>
      <c r="I149" s="434"/>
      <c r="J149" s="435">
        <f>SUM(J151:J154)</f>
        <v>106.85999999999999</v>
      </c>
    </row>
    <row r="150" spans="1:10" ht="15" customHeight="1">
      <c r="A150" s="163" t="s">
        <v>22751</v>
      </c>
      <c r="B150" s="253" t="s">
        <v>22752</v>
      </c>
      <c r="C150" s="337" t="s">
        <v>22753</v>
      </c>
      <c r="D150" s="163" t="s">
        <v>158</v>
      </c>
      <c r="E150" s="163" t="s">
        <v>9025</v>
      </c>
      <c r="F150" s="163" t="s">
        <v>22748</v>
      </c>
      <c r="G150" s="163" t="s">
        <v>22749</v>
      </c>
      <c r="H150" s="163" t="s">
        <v>1187</v>
      </c>
      <c r="I150" s="163" t="s">
        <v>9026</v>
      </c>
      <c r="J150" s="163" t="s">
        <v>159</v>
      </c>
    </row>
    <row r="151" spans="1:10" ht="15" customHeight="1">
      <c r="A151" s="326">
        <v>139000</v>
      </c>
      <c r="B151" s="322" t="str">
        <f>VLOOKUP(A151,'[2]16. CUSTOS DER - MATERIAIS'!A:B,2,0)</f>
        <v>AREIA</v>
      </c>
      <c r="C151" s="328">
        <v>19010</v>
      </c>
      <c r="D151" s="320" t="str">
        <f>VLOOKUP(A151,'[2]16. CUSTOS DER - MATERIAIS'!A:C,3,0)</f>
        <v>M3</v>
      </c>
      <c r="E151" s="216" t="s">
        <v>25921</v>
      </c>
      <c r="F151" s="160">
        <f>VLOOKUP(C151,'24. CÁLCULO DAS DISTÂNCIAS'!B:F,4,)</f>
        <v>5</v>
      </c>
      <c r="G151" s="160">
        <f>VLOOKUP(C151,'24. CÁLCULO DAS DISTÂNCIAS'!B:G,5,)</f>
        <v>14</v>
      </c>
      <c r="H151" s="161">
        <f>1*F151+1.21*G151+2.52</f>
        <v>24.459999999999997</v>
      </c>
      <c r="I151" s="327">
        <v>0.70050000000000001</v>
      </c>
      <c r="J151" s="321">
        <f t="shared" ref="J151:J154" si="35">TRUNC(H151*I151,2)</f>
        <v>17.13</v>
      </c>
    </row>
    <row r="152" spans="1:10" ht="15" customHeight="1">
      <c r="A152" s="326">
        <v>173210</v>
      </c>
      <c r="B152" s="322" t="str">
        <f>VLOOKUP(A152,'[2]16. CUSTOS DER - MATERIAIS'!A:B,2,0)</f>
        <v>CIMENTO PORTLAND A GRANEL</v>
      </c>
      <c r="C152" s="328">
        <v>19111</v>
      </c>
      <c r="D152" s="320" t="str">
        <f>VLOOKUP(A152,'[2]16. CUSTOS DER - MATERIAIS'!A:C,3,0)</f>
        <v>T</v>
      </c>
      <c r="E152" s="216" t="s">
        <v>25922</v>
      </c>
      <c r="F152" s="160">
        <f>VLOOKUP(C152,'24. CÁLCULO DAS DISTÂNCIAS'!B:F,4,)</f>
        <v>68</v>
      </c>
      <c r="G152" s="160">
        <f>VLOOKUP(C152,'24. CÁLCULO DAS DISTÂNCIAS'!B:G,5,)</f>
        <v>11</v>
      </c>
      <c r="H152" s="161">
        <f>0.73*F152+0.88*G152+7.39</f>
        <v>66.709999999999994</v>
      </c>
      <c r="I152" s="327">
        <v>0.38</v>
      </c>
      <c r="J152" s="321">
        <f t="shared" si="35"/>
        <v>25.34</v>
      </c>
    </row>
    <row r="153" spans="1:10" ht="30" customHeight="1">
      <c r="A153" s="326">
        <v>130000</v>
      </c>
      <c r="B153" s="322" t="str">
        <f>VLOOKUP(A153,'[2]16. CUSTOS DER - MATERIAIS'!A:B,2,0)</f>
        <v>PEDRA BRITADA (COMERCIAL)</v>
      </c>
      <c r="C153" s="328">
        <v>19420</v>
      </c>
      <c r="D153" s="320" t="str">
        <f>VLOOKUP(A153,'[2]16. CUSTOS DER - MATERIAIS'!A:C,3,0)</f>
        <v>M3</v>
      </c>
      <c r="E153" s="216" t="s">
        <v>25921</v>
      </c>
      <c r="F153" s="160">
        <f>VLOOKUP(C153,'24. CÁLCULO DAS DISTÂNCIAS'!B:F,4,)</f>
        <v>0</v>
      </c>
      <c r="G153" s="160">
        <f>VLOOKUP(C153,'24. CÁLCULO DAS DISTÂNCIAS'!B:G,5,)</f>
        <v>0.5</v>
      </c>
      <c r="H153" s="161">
        <f t="shared" ref="H153:H154" si="36">1*F153+1.21*G153+2.52</f>
        <v>3.125</v>
      </c>
      <c r="I153" s="327">
        <v>1.1160000000000001</v>
      </c>
      <c r="J153" s="321">
        <f t="shared" si="35"/>
        <v>3.48</v>
      </c>
    </row>
    <row r="154" spans="1:10" ht="15" customHeight="1">
      <c r="A154" s="326"/>
      <c r="B154" s="322" t="s">
        <v>22840</v>
      </c>
      <c r="C154" s="343">
        <v>10015</v>
      </c>
      <c r="D154" s="344" t="s">
        <v>34</v>
      </c>
      <c r="E154" s="216" t="s">
        <v>25921</v>
      </c>
      <c r="F154" s="160">
        <f>VLOOKUP(C154,'24. CÁLCULO DAS DISTÂNCIAS'!B:F,4,)</f>
        <v>0</v>
      </c>
      <c r="G154" s="160">
        <f>VLOOKUP(C154,'24. CÁLCULO DAS DISTÂNCIAS'!B:G,5,)</f>
        <v>18.892857142857142</v>
      </c>
      <c r="H154" s="161">
        <f t="shared" si="36"/>
        <v>25.38035714285714</v>
      </c>
      <c r="I154" s="327">
        <v>2.4</v>
      </c>
      <c r="J154" s="321">
        <f t="shared" si="35"/>
        <v>60.91</v>
      </c>
    </row>
    <row r="155" spans="1:10" ht="15" customHeight="1">
      <c r="A155" s="433"/>
      <c r="B155" s="325">
        <v>532500</v>
      </c>
      <c r="C155" s="573" t="str">
        <f>VLOOKUP(B155,'[2]2. PLANILHA SINTÉTICA'!C:D,2,0)</f>
        <v>COLCHÃO DE AREIA PARA PARALELEPÍPEDO</v>
      </c>
      <c r="D155" s="574"/>
      <c r="E155" s="574"/>
      <c r="F155" s="575"/>
      <c r="G155" s="324" t="s">
        <v>26</v>
      </c>
      <c r="H155" s="323" t="str">
        <f>VLOOKUP(B155,'[2]2. PLANILHA SINTÉTICA'!C:F,4,0)</f>
        <v>M3</v>
      </c>
      <c r="I155" s="434"/>
      <c r="J155" s="435">
        <f>SUM(J157:J157)</f>
        <v>42.19</v>
      </c>
    </row>
    <row r="156" spans="1:10" ht="30" customHeight="1">
      <c r="A156" s="163" t="s">
        <v>22751</v>
      </c>
      <c r="B156" s="253" t="s">
        <v>22752</v>
      </c>
      <c r="C156" s="337" t="s">
        <v>22753</v>
      </c>
      <c r="D156" s="163" t="s">
        <v>158</v>
      </c>
      <c r="E156" s="163" t="s">
        <v>9025</v>
      </c>
      <c r="F156" s="163" t="s">
        <v>22748</v>
      </c>
      <c r="G156" s="163" t="s">
        <v>22749</v>
      </c>
      <c r="H156" s="163" t="s">
        <v>1187</v>
      </c>
      <c r="I156" s="163" t="s">
        <v>9026</v>
      </c>
      <c r="J156" s="163" t="s">
        <v>159</v>
      </c>
    </row>
    <row r="157" spans="1:10" ht="15" customHeight="1">
      <c r="A157" s="326">
        <v>139000</v>
      </c>
      <c r="B157" s="322" t="str">
        <f>VLOOKUP(A157,'[2]16. CUSTOS DER - MATERIAIS'!A:B,2,0)</f>
        <v>AREIA</v>
      </c>
      <c r="C157" s="328">
        <v>19010</v>
      </c>
      <c r="D157" s="320" t="str">
        <f>VLOOKUP(A157,'[2]16. CUSTOS DER - MATERIAIS'!A:C,3,0)</f>
        <v>M3</v>
      </c>
      <c r="E157" s="216" t="s">
        <v>25921</v>
      </c>
      <c r="F157" s="160">
        <f>VLOOKUP(C157,'24. CÁLCULO DAS DISTÂNCIAS'!B:F,4,)</f>
        <v>5</v>
      </c>
      <c r="G157" s="160">
        <f>VLOOKUP(C157,'24. CÁLCULO DAS DISTÂNCIAS'!B:G,5,)</f>
        <v>14</v>
      </c>
      <c r="H157" s="161">
        <f>1*F157+1.21*G157+2.52</f>
        <v>24.459999999999997</v>
      </c>
      <c r="I157" s="327">
        <v>1.7250000000000001</v>
      </c>
      <c r="J157" s="321">
        <f>TRUNC(H157*I157,2)</f>
        <v>42.19</v>
      </c>
    </row>
    <row r="158" spans="1:10" ht="15" customHeight="1">
      <c r="A158" s="433"/>
      <c r="B158" s="325">
        <v>531000</v>
      </c>
      <c r="C158" s="570" t="str">
        <f>VLOOKUP(B158,'[2]2. PLANILHA SINTÉTICA'!C:D,2,0)</f>
        <v>BRITA GRADUADA 100% PI</v>
      </c>
      <c r="D158" s="570"/>
      <c r="E158" s="570"/>
      <c r="F158" s="570"/>
      <c r="G158" s="324" t="s">
        <v>26</v>
      </c>
      <c r="H158" s="323" t="str">
        <f>VLOOKUP(B158,'[2]2. PLANILHA SINTÉTICA'!C:F,4,0)</f>
        <v>M3</v>
      </c>
      <c r="I158" s="434"/>
      <c r="J158" s="435">
        <f>SUM(J160:J161)</f>
        <v>34.799999999999997</v>
      </c>
    </row>
    <row r="159" spans="1:10" ht="30" customHeight="1">
      <c r="A159" s="163" t="s">
        <v>22751</v>
      </c>
      <c r="B159" s="253" t="s">
        <v>22752</v>
      </c>
      <c r="C159" s="337" t="s">
        <v>22753</v>
      </c>
      <c r="D159" s="163" t="s">
        <v>158</v>
      </c>
      <c r="E159" s="163" t="s">
        <v>9025</v>
      </c>
      <c r="F159" s="163" t="s">
        <v>22748</v>
      </c>
      <c r="G159" s="163" t="s">
        <v>22749</v>
      </c>
      <c r="H159" s="163" t="s">
        <v>1187</v>
      </c>
      <c r="I159" s="163" t="s">
        <v>9026</v>
      </c>
      <c r="J159" s="163" t="s">
        <v>159</v>
      </c>
    </row>
    <row r="160" spans="1:10" ht="15" customHeight="1">
      <c r="A160" s="326">
        <v>130000</v>
      </c>
      <c r="B160" s="322" t="str">
        <f>VLOOKUP(A160,'[2]16. CUSTOS DER - MATERIAIS'!A:B,2,0)</f>
        <v>PEDRA BRITADA (COMERCIAL)</v>
      </c>
      <c r="C160" s="328">
        <v>19420</v>
      </c>
      <c r="D160" s="320" t="str">
        <f>VLOOKUP(A160,'[2]16. CUSTOS DER - MATERIAIS'!A:C,3,0)</f>
        <v>M3</v>
      </c>
      <c r="E160" s="216" t="s">
        <v>25921</v>
      </c>
      <c r="F160" s="160">
        <f>VLOOKUP(C160,'24. CÁLCULO DAS DISTÂNCIAS'!B:F,4,)</f>
        <v>0</v>
      </c>
      <c r="G160" s="160">
        <f>VLOOKUP(C160,'24. CÁLCULO DAS DISTÂNCIAS'!B:G,5,)</f>
        <v>0.5</v>
      </c>
      <c r="H160" s="161">
        <f t="shared" ref="H160:H161" si="37">1*F160+1.21*G160+2.52</f>
        <v>3.125</v>
      </c>
      <c r="I160" s="327">
        <v>2.4</v>
      </c>
      <c r="J160" s="321">
        <f>TRUNC(H160*I160,2)</f>
        <v>7.5</v>
      </c>
    </row>
    <row r="161" spans="1:10" ht="15" customHeight="1">
      <c r="A161" s="326"/>
      <c r="B161" s="322" t="s">
        <v>9076</v>
      </c>
      <c r="C161" s="328">
        <v>19980</v>
      </c>
      <c r="D161" s="320" t="s">
        <v>34</v>
      </c>
      <c r="E161" s="216" t="s">
        <v>25921</v>
      </c>
      <c r="F161" s="160">
        <f>VLOOKUP(C161,'24. CÁLCULO DAS DISTÂNCIAS'!B:F,4,)</f>
        <v>0</v>
      </c>
      <c r="G161" s="160">
        <f>VLOOKUP(C161,'24. CÁLCULO DAS DISTÂNCIAS'!B:G,5,)</f>
        <v>7.3214285714285712</v>
      </c>
      <c r="H161" s="161">
        <f t="shared" si="37"/>
        <v>11.37892857142857</v>
      </c>
      <c r="I161" s="327">
        <v>2.4</v>
      </c>
      <c r="J161" s="321">
        <f>TRUNC(H161*I161,2)</f>
        <v>27.3</v>
      </c>
    </row>
    <row r="162" spans="1:10" ht="15" customHeight="1">
      <c r="A162" s="433"/>
      <c r="B162" s="325">
        <v>860023</v>
      </c>
      <c r="C162" s="570" t="str">
        <f>VLOOKUP(B162,'[2]2. PLANILHA SINTÉTICA'!C:D,2,0)</f>
        <v>GABIÃO TIPO COLCHÃO ZN/AL + PVC E=0,23M (NBR 8964)</v>
      </c>
      <c r="D162" s="570"/>
      <c r="E162" s="570"/>
      <c r="F162" s="570"/>
      <c r="G162" s="324" t="s">
        <v>26</v>
      </c>
      <c r="H162" s="323" t="str">
        <f>VLOOKUP(B162,'[2]2. PLANILHA SINTÉTICA'!C:F,4,0)</f>
        <v>M2</v>
      </c>
      <c r="I162" s="434"/>
      <c r="J162" s="435">
        <f>SUM(J164:J165)</f>
        <v>5.89</v>
      </c>
    </row>
    <row r="163" spans="1:10" ht="30" customHeight="1">
      <c r="A163" s="163" t="s">
        <v>22751</v>
      </c>
      <c r="B163" s="253" t="s">
        <v>22752</v>
      </c>
      <c r="C163" s="337" t="s">
        <v>22753</v>
      </c>
      <c r="D163" s="163" t="s">
        <v>158</v>
      </c>
      <c r="E163" s="163" t="s">
        <v>9025</v>
      </c>
      <c r="F163" s="163" t="s">
        <v>22748</v>
      </c>
      <c r="G163" s="163" t="s">
        <v>22749</v>
      </c>
      <c r="H163" s="163" t="s">
        <v>1187</v>
      </c>
      <c r="I163" s="163" t="s">
        <v>9026</v>
      </c>
      <c r="J163" s="163" t="s">
        <v>159</v>
      </c>
    </row>
    <row r="164" spans="1:10" ht="15" customHeight="1">
      <c r="A164" s="326">
        <v>158023</v>
      </c>
      <c r="B164" s="322" t="str">
        <f>VLOOKUP(A164,'[2]16. CUSTOS DER - MATERIAIS'!A:B,2,0)</f>
        <v>GABIÃO COLCHÃO ZN/AL + PVC E=0,23M</v>
      </c>
      <c r="C164" s="328">
        <v>18100</v>
      </c>
      <c r="D164" s="320" t="str">
        <f>VLOOKUP(A164,'[2]16. CUSTOS DER - MATERIAIS'!A:C,3,0)</f>
        <v>M2</v>
      </c>
      <c r="E164" s="216" t="s">
        <v>25922</v>
      </c>
      <c r="F164" s="160">
        <f>VLOOKUP(C164,'24. CÁLCULO DAS DISTÂNCIAS'!B:F,4,)</f>
        <v>472</v>
      </c>
      <c r="G164" s="160">
        <f>VLOOKUP(C164,'24. CÁLCULO DAS DISTÂNCIAS'!B:G,5,)</f>
        <v>14</v>
      </c>
      <c r="H164" s="161">
        <f>0.73*F164+0.88*G164+7.39</f>
        <v>364.27</v>
      </c>
      <c r="I164" s="327">
        <v>3.8E-3</v>
      </c>
      <c r="J164" s="321">
        <f t="shared" ref="J164:J165" si="38">TRUNC(H164*I164,2)</f>
        <v>1.38</v>
      </c>
    </row>
    <row r="165" spans="1:10" ht="15" customHeight="1">
      <c r="A165" s="326">
        <v>130100</v>
      </c>
      <c r="B165" s="322" t="str">
        <f>VLOOKUP(A165,'[2]16. CUSTOS DER - MATERIAIS'!A:B,2,0)</f>
        <v>PEDRA DE MÃO (COMERCIAL)</v>
      </c>
      <c r="C165" s="328">
        <v>19400</v>
      </c>
      <c r="D165" s="320" t="str">
        <f>VLOOKUP(A165,'[2]16. CUSTOS DER - MATERIAIS'!A:C,3,0)</f>
        <v>M3</v>
      </c>
      <c r="E165" s="216" t="s">
        <v>25921</v>
      </c>
      <c r="F165" s="160">
        <f>VLOOKUP(C165,'24. CÁLCULO DAS DISTÂNCIAS'!B:F,4,)</f>
        <v>0</v>
      </c>
      <c r="G165" s="160">
        <f>VLOOKUP(C165,'24. CÁLCULO DAS DISTÂNCIAS'!B:G,5,)</f>
        <v>7.3214285714285712</v>
      </c>
      <c r="H165" s="161">
        <f>1*F165+1.21*G165+2.52</f>
        <v>11.37892857142857</v>
      </c>
      <c r="I165" s="327">
        <v>0.39679999999999999</v>
      </c>
      <c r="J165" s="321">
        <f t="shared" si="38"/>
        <v>4.51</v>
      </c>
    </row>
    <row r="166" spans="1:10" ht="15" customHeight="1">
      <c r="A166" s="433"/>
      <c r="B166" s="325">
        <v>860150</v>
      </c>
      <c r="C166" s="570" t="str">
        <f>VLOOKUP(B166,'[2]2. PLANILHA SINTÉTICA'!C:D,2,0)</f>
        <v>GABIÃO TIPO CAIXA 2X1X1,00M ZN/AL + PVC (NBR 8964)</v>
      </c>
      <c r="D166" s="570"/>
      <c r="E166" s="570"/>
      <c r="F166" s="570"/>
      <c r="G166" s="324" t="s">
        <v>26</v>
      </c>
      <c r="H166" s="323" t="str">
        <f>VLOOKUP(B166,'[2]2. PLANILHA SINTÉTICA'!C:F,4,0)</f>
        <v>M3</v>
      </c>
      <c r="I166" s="434"/>
      <c r="J166" s="435">
        <f>SUM(J168:J169)</f>
        <v>22.71</v>
      </c>
    </row>
    <row r="167" spans="1:10" ht="30" customHeight="1">
      <c r="A167" s="163" t="s">
        <v>22751</v>
      </c>
      <c r="B167" s="253" t="s">
        <v>22752</v>
      </c>
      <c r="C167" s="337" t="s">
        <v>22753</v>
      </c>
      <c r="D167" s="163" t="s">
        <v>158</v>
      </c>
      <c r="E167" s="163" t="s">
        <v>9025</v>
      </c>
      <c r="F167" s="163" t="s">
        <v>22748</v>
      </c>
      <c r="G167" s="163" t="s">
        <v>22749</v>
      </c>
      <c r="H167" s="163" t="s">
        <v>1187</v>
      </c>
      <c r="I167" s="163" t="s">
        <v>9026</v>
      </c>
      <c r="J167" s="163" t="s">
        <v>159</v>
      </c>
    </row>
    <row r="168" spans="1:10" ht="15" customHeight="1">
      <c r="A168" s="326">
        <v>158200</v>
      </c>
      <c r="B168" s="322" t="str">
        <f>VLOOKUP(A168,'[2]16. CUSTOS DER - MATERIAIS'!A:B,2,0)</f>
        <v>GABIÃO CAIXA # 8 X 10 ZN/AL + PVC H=1,00M (NBR 8964/2013)</v>
      </c>
      <c r="C168" s="328">
        <v>18100</v>
      </c>
      <c r="D168" s="320" t="str">
        <f>VLOOKUP(A168,'[2]16. CUSTOS DER - MATERIAIS'!A:C,3,0)</f>
        <v>M3</v>
      </c>
      <c r="E168" s="216" t="s">
        <v>25922</v>
      </c>
      <c r="F168" s="160">
        <f>VLOOKUP(C168,'24. CÁLCULO DAS DISTÂNCIAS'!B:F,4,)</f>
        <v>472</v>
      </c>
      <c r="G168" s="160">
        <f>VLOOKUP(C168,'24. CÁLCULO DAS DISTÂNCIAS'!B:G,5,)</f>
        <v>14</v>
      </c>
      <c r="H168" s="161">
        <f>0.73*F168+0.88*G168+7.39</f>
        <v>364.27</v>
      </c>
      <c r="I168" s="327">
        <v>8.5000000000000006E-3</v>
      </c>
      <c r="J168" s="321">
        <f t="shared" ref="J168:J169" si="39">TRUNC(H168*I168,2)</f>
        <v>3.09</v>
      </c>
    </row>
    <row r="169" spans="1:10" ht="15" customHeight="1">
      <c r="A169" s="326">
        <v>130100</v>
      </c>
      <c r="B169" s="322" t="str">
        <f>VLOOKUP(A169,'[2]16. CUSTOS DER - MATERIAIS'!A:B,2,0)</f>
        <v>PEDRA DE MÃO (COMERCIAL)</v>
      </c>
      <c r="C169" s="328">
        <v>19400</v>
      </c>
      <c r="D169" s="320" t="str">
        <f>VLOOKUP(A169,'[2]16. CUSTOS DER - MATERIAIS'!A:C,3,0)</f>
        <v>M3</v>
      </c>
      <c r="E169" s="216" t="s">
        <v>25921</v>
      </c>
      <c r="F169" s="160">
        <f>VLOOKUP(C169,'24. CÁLCULO DAS DISTÂNCIAS'!B:F,4,)</f>
        <v>0</v>
      </c>
      <c r="G169" s="160">
        <f>VLOOKUP(C169,'24. CÁLCULO DAS DISTÂNCIAS'!B:G,5,)</f>
        <v>7.3214285714285712</v>
      </c>
      <c r="H169" s="161">
        <f>1*F169+1.21*G169+2.52</f>
        <v>11.37892857142857</v>
      </c>
      <c r="I169" s="327">
        <v>1.7250000000000001</v>
      </c>
      <c r="J169" s="321">
        <f t="shared" si="39"/>
        <v>19.62</v>
      </c>
    </row>
    <row r="170" spans="1:10" ht="30" customHeight="1">
      <c r="A170" s="433"/>
      <c r="B170" s="325">
        <v>850000</v>
      </c>
      <c r="C170" s="570" t="str">
        <f>VLOOKUP(B170,'[2]2. PLANILHA SINTÉTICA'!C:D,2,0)</f>
        <v>ABRIGO EM PARADA DE ÔNIBUS</v>
      </c>
      <c r="D170" s="570"/>
      <c r="E170" s="570"/>
      <c r="F170" s="570"/>
      <c r="G170" s="324" t="s">
        <v>26</v>
      </c>
      <c r="H170" s="323" t="str">
        <f>VLOOKUP(B170,'[2]2. PLANILHA SINTÉTICA'!C:F,4,0)</f>
        <v>UD</v>
      </c>
      <c r="I170" s="434"/>
      <c r="J170" s="435">
        <f>SUM(J172)</f>
        <v>878.92</v>
      </c>
    </row>
    <row r="171" spans="1:10" ht="15" customHeight="1">
      <c r="A171" s="163" t="s">
        <v>22751</v>
      </c>
      <c r="B171" s="253" t="s">
        <v>22752</v>
      </c>
      <c r="C171" s="337" t="s">
        <v>22753</v>
      </c>
      <c r="D171" s="163" t="s">
        <v>158</v>
      </c>
      <c r="E171" s="163" t="s">
        <v>9025</v>
      </c>
      <c r="F171" s="163" t="s">
        <v>22748</v>
      </c>
      <c r="G171" s="163" t="s">
        <v>22749</v>
      </c>
      <c r="H171" s="163" t="s">
        <v>1187</v>
      </c>
      <c r="I171" s="163" t="s">
        <v>9026</v>
      </c>
      <c r="J171" s="163" t="s">
        <v>159</v>
      </c>
    </row>
    <row r="172" spans="1:10" ht="15" customHeight="1">
      <c r="A172" s="326"/>
      <c r="B172" s="322" t="s">
        <v>22750</v>
      </c>
      <c r="C172" s="328">
        <v>19000</v>
      </c>
      <c r="D172" s="320" t="s">
        <v>158</v>
      </c>
      <c r="E172" s="216" t="s">
        <v>25922</v>
      </c>
      <c r="F172" s="160">
        <f>VLOOKUP(C172,'24. CÁLCULO DAS DISTÂNCIAS'!B:F,4,)</f>
        <v>145</v>
      </c>
      <c r="G172" s="160">
        <f>VLOOKUP(C172,'24. CÁLCULO DAS DISTÂNCIAS'!B:G,5,)</f>
        <v>14</v>
      </c>
      <c r="H172" s="161">
        <f>0.73*F172+0.88*G172+7.39</f>
        <v>125.55999999999999</v>
      </c>
      <c r="I172" s="327">
        <v>7</v>
      </c>
      <c r="J172" s="321">
        <f>TRUNC(H172*I172,2)</f>
        <v>878.92</v>
      </c>
    </row>
    <row r="173" spans="1:10" ht="15" customHeight="1">
      <c r="A173" s="433"/>
      <c r="B173" s="325">
        <v>810250</v>
      </c>
      <c r="C173" s="570" t="str">
        <f>VLOOKUP(B173,'[2]2. PLANILHA SINTÉTICA'!C:D,2,0)</f>
        <v>MEIO FIO DE CONCRETO TIPO 3 (PRÉ-MOLDADO)</v>
      </c>
      <c r="D173" s="570"/>
      <c r="E173" s="570"/>
      <c r="F173" s="570"/>
      <c r="G173" s="324" t="s">
        <v>26</v>
      </c>
      <c r="H173" s="323" t="str">
        <f>VLOOKUP(B173,'[2]2. PLANILHA SINTÉTICA'!C:F,4,0)</f>
        <v>M</v>
      </c>
      <c r="I173" s="434"/>
      <c r="J173" s="435">
        <f>SUM(J175:J177)</f>
        <v>2.09</v>
      </c>
    </row>
    <row r="174" spans="1:10" ht="15" customHeight="1">
      <c r="A174" s="163" t="s">
        <v>22751</v>
      </c>
      <c r="B174" s="253" t="s">
        <v>22752</v>
      </c>
      <c r="C174" s="337" t="s">
        <v>22753</v>
      </c>
      <c r="D174" s="163" t="s">
        <v>158</v>
      </c>
      <c r="E174" s="163" t="s">
        <v>9025</v>
      </c>
      <c r="F174" s="163" t="s">
        <v>22748</v>
      </c>
      <c r="G174" s="163" t="s">
        <v>22749</v>
      </c>
      <c r="H174" s="163" t="s">
        <v>1187</v>
      </c>
      <c r="I174" s="163" t="s">
        <v>9026</v>
      </c>
      <c r="J174" s="163" t="s">
        <v>159</v>
      </c>
    </row>
    <row r="175" spans="1:10" ht="30" customHeight="1">
      <c r="A175" s="326">
        <v>139000</v>
      </c>
      <c r="B175" s="322" t="str">
        <f>VLOOKUP(A175,'[2]16. CUSTOS DER - MATERIAIS'!A:B,2,0)</f>
        <v>AREIA</v>
      </c>
      <c r="C175" s="328">
        <v>19010</v>
      </c>
      <c r="D175" s="320" t="str">
        <f>VLOOKUP(A175,'[2]16. CUSTOS DER - MATERIAIS'!A:C,3,0)</f>
        <v>M3</v>
      </c>
      <c r="E175" s="216" t="s">
        <v>25921</v>
      </c>
      <c r="F175" s="160">
        <f>VLOOKUP(C175,'24. CÁLCULO DAS DISTÂNCIAS'!B:F,4,)</f>
        <v>5</v>
      </c>
      <c r="G175" s="160">
        <f>VLOOKUP(C175,'24. CÁLCULO DAS DISTÂNCIAS'!B:G,5,)</f>
        <v>14</v>
      </c>
      <c r="H175" s="161">
        <f>1*F175+1.21*G175+2.52</f>
        <v>24.459999999999997</v>
      </c>
      <c r="I175" s="327">
        <v>3.3500000000000002E-2</v>
      </c>
      <c r="J175" s="321">
        <f t="shared" ref="J175:J177" si="40">TRUNC(H175*I175,2)</f>
        <v>0.81</v>
      </c>
    </row>
    <row r="176" spans="1:10" ht="15" customHeight="1">
      <c r="A176" s="326">
        <v>173210</v>
      </c>
      <c r="B176" s="322" t="str">
        <f>VLOOKUP(A176,'[2]16. CUSTOS DER - MATERIAIS'!A:B,2,0)</f>
        <v>CIMENTO PORTLAND A GRANEL</v>
      </c>
      <c r="C176" s="328">
        <v>13200</v>
      </c>
      <c r="D176" s="320" t="str">
        <f>VLOOKUP(A176,'[2]16. CUSTOS DER - MATERIAIS'!A:C,3,0)</f>
        <v>T</v>
      </c>
      <c r="E176" s="216" t="s">
        <v>25922</v>
      </c>
      <c r="F176" s="160">
        <f>VLOOKUP(C176,'24. CÁLCULO DAS DISTÂNCIAS'!B:F,4,)</f>
        <v>69</v>
      </c>
      <c r="G176" s="160">
        <f>VLOOKUP(C176,'24. CÁLCULO DAS DISTÂNCIAS'!B:G,5,)</f>
        <v>14</v>
      </c>
      <c r="H176" s="161">
        <f>0.73*F176+0.88*G176+7.39</f>
        <v>70.08</v>
      </c>
      <c r="I176" s="327">
        <v>9.2999999999999992E-3</v>
      </c>
      <c r="J176" s="321">
        <f t="shared" si="40"/>
        <v>0.65</v>
      </c>
    </row>
    <row r="177" spans="1:11" ht="15" customHeight="1">
      <c r="A177" s="326">
        <v>130000</v>
      </c>
      <c r="B177" s="322" t="str">
        <f>VLOOKUP(A177,'[2]16. CUSTOS DER - MATERIAIS'!A:B,2,0)</f>
        <v>PEDRA BRITADA (COMERCIAL)</v>
      </c>
      <c r="C177" s="328">
        <v>19400</v>
      </c>
      <c r="D177" s="320" t="str">
        <f>VLOOKUP(A177,'[2]16. CUSTOS DER - MATERIAIS'!A:C,3,0)</f>
        <v>M3</v>
      </c>
      <c r="E177" s="216" t="s">
        <v>25921</v>
      </c>
      <c r="F177" s="160">
        <f>VLOOKUP(C177,'24. CÁLCULO DAS DISTÂNCIAS'!B:F,4,)</f>
        <v>0</v>
      </c>
      <c r="G177" s="160">
        <f>VLOOKUP(C177,'24. CÁLCULO DAS DISTÂNCIAS'!B:G,5,)</f>
        <v>7.3214285714285712</v>
      </c>
      <c r="H177" s="161">
        <f>1*F177+1.21*G177+2.52</f>
        <v>11.37892857142857</v>
      </c>
      <c r="I177" s="327">
        <v>5.57E-2</v>
      </c>
      <c r="J177" s="321">
        <f t="shared" si="40"/>
        <v>0.63</v>
      </c>
    </row>
    <row r="178" spans="1:11" ht="30" customHeight="1">
      <c r="A178" s="433"/>
      <c r="B178" s="325" t="s">
        <v>22636</v>
      </c>
      <c r="C178" s="570" t="str">
        <f>VLOOKUP(B178,'[2]2. PLANILHA SINTÉTICA'!C:D,2,0)</f>
        <v>ESC. CARGA E TRANSP. 1A. CAT.  12000-14000M (BOTA FORA)</v>
      </c>
      <c r="D178" s="570"/>
      <c r="E178" s="570"/>
      <c r="F178" s="570"/>
      <c r="G178" s="324" t="s">
        <v>26</v>
      </c>
      <c r="H178" s="323" t="str">
        <f>VLOOKUP(B178,'[2]2. PLANILHA SINTÉTICA'!C:F,4,0)</f>
        <v>M³</v>
      </c>
      <c r="I178" s="434"/>
      <c r="J178" s="435">
        <f>SUM(J180:J180)</f>
        <v>36.69</v>
      </c>
    </row>
    <row r="179" spans="1:11" ht="15" customHeight="1">
      <c r="A179" s="163" t="s">
        <v>22751</v>
      </c>
      <c r="B179" s="253" t="s">
        <v>22752</v>
      </c>
      <c r="C179" s="337" t="s">
        <v>22753</v>
      </c>
      <c r="D179" s="163" t="s">
        <v>158</v>
      </c>
      <c r="E179" s="163" t="s">
        <v>9025</v>
      </c>
      <c r="F179" s="163" t="s">
        <v>22748</v>
      </c>
      <c r="G179" s="163" t="s">
        <v>22749</v>
      </c>
      <c r="H179" s="163" t="s">
        <v>1187</v>
      </c>
      <c r="I179" s="163" t="s">
        <v>9026</v>
      </c>
      <c r="J179" s="163" t="s">
        <v>159</v>
      </c>
    </row>
    <row r="180" spans="1:11" ht="15" customHeight="1">
      <c r="A180" s="326"/>
      <c r="B180" s="322" t="s">
        <v>9062</v>
      </c>
      <c r="C180" s="328" t="s">
        <v>143</v>
      </c>
      <c r="D180" s="320" t="s">
        <v>22754</v>
      </c>
      <c r="E180" s="216" t="s">
        <v>25921</v>
      </c>
      <c r="F180" s="160">
        <f>VLOOKUP(C180,'24. CÁLCULO DAS DISTÂNCIAS'!B:F,4,)</f>
        <v>5</v>
      </c>
      <c r="G180" s="160">
        <f>VLOOKUP(C180,'24. CÁLCULO DAS DISTÂNCIAS'!B:G,5,)</f>
        <v>14</v>
      </c>
      <c r="H180" s="161">
        <f>1*F180+1.21*G180+2.52</f>
        <v>24.459999999999997</v>
      </c>
      <c r="I180" s="327">
        <v>1.5</v>
      </c>
      <c r="J180" s="321">
        <f>TRUNC(H180*I180,2)</f>
        <v>36.69</v>
      </c>
    </row>
    <row r="181" spans="1:11" ht="30" customHeight="1">
      <c r="A181" s="433"/>
      <c r="B181" s="325" t="s">
        <v>22637</v>
      </c>
      <c r="C181" s="570" t="str">
        <f>VLOOKUP(B181,'[2]2. PLANILHA SINTÉTICA'!C:D,2,0)</f>
        <v>ESC. CARGA E TRANSP. 1A. CAT.  16000-18000M (BOTA FORA)</v>
      </c>
      <c r="D181" s="570"/>
      <c r="E181" s="570"/>
      <c r="F181" s="570"/>
      <c r="G181" s="324" t="s">
        <v>26</v>
      </c>
      <c r="H181" s="323" t="str">
        <f>VLOOKUP(B181,'[2]2. PLANILHA SINTÉTICA'!C:F,4,0)</f>
        <v>M³</v>
      </c>
      <c r="I181" s="434"/>
      <c r="J181" s="435">
        <f>SUM(J183:J183)</f>
        <v>36.69</v>
      </c>
    </row>
    <row r="182" spans="1:11" ht="15" customHeight="1">
      <c r="A182" s="163" t="s">
        <v>22751</v>
      </c>
      <c r="B182" s="253" t="s">
        <v>22752</v>
      </c>
      <c r="C182" s="337" t="s">
        <v>22753</v>
      </c>
      <c r="D182" s="163" t="s">
        <v>158</v>
      </c>
      <c r="E182" s="163" t="s">
        <v>9025</v>
      </c>
      <c r="F182" s="163" t="s">
        <v>22748</v>
      </c>
      <c r="G182" s="163" t="s">
        <v>22749</v>
      </c>
      <c r="H182" s="163" t="s">
        <v>1187</v>
      </c>
      <c r="I182" s="163" t="s">
        <v>9026</v>
      </c>
      <c r="J182" s="163" t="s">
        <v>159</v>
      </c>
    </row>
    <row r="183" spans="1:11" ht="15" customHeight="1">
      <c r="A183" s="326"/>
      <c r="B183" s="322" t="s">
        <v>9062</v>
      </c>
      <c r="C183" s="328" t="s">
        <v>143</v>
      </c>
      <c r="D183" s="320" t="s">
        <v>22754</v>
      </c>
      <c r="E183" s="216" t="s">
        <v>25921</v>
      </c>
      <c r="F183" s="160">
        <f>VLOOKUP(C183,'24. CÁLCULO DAS DISTÂNCIAS'!B:F,4,)</f>
        <v>5</v>
      </c>
      <c r="G183" s="160">
        <f>VLOOKUP(C183,'24. CÁLCULO DAS DISTÂNCIAS'!B:G,5,)</f>
        <v>14</v>
      </c>
      <c r="H183" s="161">
        <f>1*F183+1.21*G183+2.52</f>
        <v>24.459999999999997</v>
      </c>
      <c r="I183" s="327">
        <v>1.5</v>
      </c>
      <c r="J183" s="321">
        <f>TRUNC(H183*I183,2)</f>
        <v>36.69</v>
      </c>
    </row>
    <row r="184" spans="1:11" ht="30" customHeight="1">
      <c r="A184" s="433"/>
      <c r="B184" s="325" t="s">
        <v>22638</v>
      </c>
      <c r="C184" s="570" t="str">
        <f>VLOOKUP(B184,'[2]2. PLANILHA SINTÉTICA'!C:D,2,0)</f>
        <v>ESC. CARGA E TRANSP. 1A. CAT.  20000-22000M (BOTA FORA)</v>
      </c>
      <c r="D184" s="570"/>
      <c r="E184" s="570"/>
      <c r="F184" s="570"/>
      <c r="G184" s="324" t="s">
        <v>26</v>
      </c>
      <c r="H184" s="323" t="str">
        <f>VLOOKUP(B184,'[2]2. PLANILHA SINTÉTICA'!C:F,4,0)</f>
        <v>M³</v>
      </c>
      <c r="I184" s="434"/>
      <c r="J184" s="435">
        <f>J186</f>
        <v>36.69</v>
      </c>
    </row>
    <row r="185" spans="1:11" ht="15" customHeight="1">
      <c r="A185" s="163" t="s">
        <v>22751</v>
      </c>
      <c r="B185" s="253" t="s">
        <v>22752</v>
      </c>
      <c r="C185" s="337" t="s">
        <v>22753</v>
      </c>
      <c r="D185" s="163" t="s">
        <v>158</v>
      </c>
      <c r="E185" s="163" t="s">
        <v>9025</v>
      </c>
      <c r="F185" s="163" t="s">
        <v>22748</v>
      </c>
      <c r="G185" s="163" t="s">
        <v>22749</v>
      </c>
      <c r="H185" s="163" t="s">
        <v>1187</v>
      </c>
      <c r="I185" s="163" t="s">
        <v>9026</v>
      </c>
      <c r="J185" s="163" t="s">
        <v>159</v>
      </c>
    </row>
    <row r="186" spans="1:11" s="213" customFormat="1" ht="15.95" customHeight="1">
      <c r="A186" s="326"/>
      <c r="B186" s="322" t="s">
        <v>9062</v>
      </c>
      <c r="C186" s="328" t="s">
        <v>143</v>
      </c>
      <c r="D186" s="320" t="s">
        <v>22754</v>
      </c>
      <c r="E186" s="216" t="s">
        <v>25921</v>
      </c>
      <c r="F186" s="160">
        <f>VLOOKUP(C186,'24. CÁLCULO DAS DISTÂNCIAS'!B:F,4,)</f>
        <v>5</v>
      </c>
      <c r="G186" s="160">
        <f>VLOOKUP(C186,'24. CÁLCULO DAS DISTÂNCIAS'!B:G,5,)</f>
        <v>14</v>
      </c>
      <c r="H186" s="161">
        <f>1*F186+1.21*G186+2.52</f>
        <v>24.459999999999997</v>
      </c>
      <c r="I186" s="327">
        <v>1.5</v>
      </c>
      <c r="J186" s="321">
        <f>TRUNC(H186*I186,2)</f>
        <v>36.69</v>
      </c>
      <c r="K186" s="431"/>
    </row>
    <row r="187" spans="1:11" ht="15" customHeight="1">
      <c r="A187" s="433"/>
      <c r="B187" s="325" t="s">
        <v>22639</v>
      </c>
      <c r="C187" s="570" t="str">
        <f>VLOOKUP(B187,'[2]2. PLANILHA SINTÉTICA'!C:D,2,0)</f>
        <v>ESC. CARGA E TRANSP. 1A. CAT.  26000-28000M (BOTA FORA)</v>
      </c>
      <c r="D187" s="570"/>
      <c r="E187" s="570"/>
      <c r="F187" s="570"/>
      <c r="G187" s="324" t="s">
        <v>26</v>
      </c>
      <c r="H187" s="323" t="str">
        <f>VLOOKUP(B187,'[2]2. PLANILHA SINTÉTICA'!C:F,4,0)</f>
        <v>M³</v>
      </c>
      <c r="I187" s="434"/>
      <c r="J187" s="435">
        <f>J189</f>
        <v>36.69</v>
      </c>
    </row>
    <row r="188" spans="1:11" ht="15" customHeight="1">
      <c r="A188" s="163" t="s">
        <v>22751</v>
      </c>
      <c r="B188" s="253" t="s">
        <v>22752</v>
      </c>
      <c r="C188" s="337" t="s">
        <v>22753</v>
      </c>
      <c r="D188" s="163" t="s">
        <v>158</v>
      </c>
      <c r="E188" s="163" t="s">
        <v>9025</v>
      </c>
      <c r="F188" s="163" t="s">
        <v>22748</v>
      </c>
      <c r="G188" s="163" t="s">
        <v>22749</v>
      </c>
      <c r="H188" s="163" t="s">
        <v>1187</v>
      </c>
      <c r="I188" s="163" t="s">
        <v>9026</v>
      </c>
      <c r="J188" s="163" t="s">
        <v>159</v>
      </c>
    </row>
    <row r="189" spans="1:11" ht="15" customHeight="1">
      <c r="A189" s="326"/>
      <c r="B189" s="322" t="s">
        <v>9062</v>
      </c>
      <c r="C189" s="328" t="s">
        <v>143</v>
      </c>
      <c r="D189" s="320" t="s">
        <v>22754</v>
      </c>
      <c r="E189" s="216" t="s">
        <v>25921</v>
      </c>
      <c r="F189" s="160">
        <f>VLOOKUP(C189,'24. CÁLCULO DAS DISTÂNCIAS'!B:F,4,)</f>
        <v>5</v>
      </c>
      <c r="G189" s="160">
        <f>VLOOKUP(C189,'24. CÁLCULO DAS DISTÂNCIAS'!B:G,5,)</f>
        <v>14</v>
      </c>
      <c r="H189" s="161">
        <f>1*F189+1.21*G189+2.52</f>
        <v>24.459999999999997</v>
      </c>
      <c r="I189" s="327">
        <v>1.5</v>
      </c>
      <c r="J189" s="321">
        <f>TRUNC(H189*I189,2)</f>
        <v>36.69</v>
      </c>
    </row>
    <row r="190" spans="1:11" ht="15" customHeight="1">
      <c r="A190" s="433"/>
      <c r="B190" s="325" t="s">
        <v>22640</v>
      </c>
      <c r="C190" s="570" t="str">
        <f>VLOOKUP(B190,'[2]2. PLANILHA SINTÉTICA'!C:D,2,0)</f>
        <v xml:space="preserve">EMPRÉSTIMO DE 1A CAT 4000-5000M PARA ATERRO (INCLUSIVE FORNECIMENTO, AQUISIÇÃO, CARGA, DESCARGA E TRANSPORTE) </v>
      </c>
      <c r="D190" s="570"/>
      <c r="E190" s="570"/>
      <c r="F190" s="570"/>
      <c r="G190" s="324" t="s">
        <v>26</v>
      </c>
      <c r="H190" s="323" t="str">
        <f>VLOOKUP(B190,'[2]2. PLANILHA SINTÉTICA'!C:F,4,0)</f>
        <v>M³</v>
      </c>
      <c r="I190" s="434"/>
      <c r="J190" s="435">
        <f>J192</f>
        <v>10.93</v>
      </c>
    </row>
    <row r="191" spans="1:11" ht="15" customHeight="1">
      <c r="A191" s="163" t="s">
        <v>22751</v>
      </c>
      <c r="B191" s="253" t="s">
        <v>22752</v>
      </c>
      <c r="C191" s="337" t="s">
        <v>22753</v>
      </c>
      <c r="D191" s="163" t="s">
        <v>158</v>
      </c>
      <c r="E191" s="163" t="s">
        <v>9025</v>
      </c>
      <c r="F191" s="163" t="s">
        <v>22748</v>
      </c>
      <c r="G191" s="163" t="s">
        <v>22749</v>
      </c>
      <c r="H191" s="163" t="s">
        <v>1187</v>
      </c>
      <c r="I191" s="163" t="s">
        <v>9026</v>
      </c>
      <c r="J191" s="163" t="s">
        <v>159</v>
      </c>
    </row>
    <row r="192" spans="1:11" ht="15" customHeight="1">
      <c r="A192" s="326"/>
      <c r="B192" s="322" t="s">
        <v>22755</v>
      </c>
      <c r="C192" s="328">
        <v>10090</v>
      </c>
      <c r="D192" s="320" t="s">
        <v>34</v>
      </c>
      <c r="E192" s="216"/>
      <c r="F192" s="160">
        <f>VLOOKUP(C192,'24. CÁLCULO DAS DISTÂNCIAS'!B:F,4,)</f>
        <v>0</v>
      </c>
      <c r="G192" s="160">
        <f>VLOOKUP(C192,'24. CÁLCULO DAS DISTÂNCIAS'!B:G,5,)</f>
        <v>5</v>
      </c>
      <c r="H192" s="161">
        <v>7.29</v>
      </c>
      <c r="I192" s="327">
        <v>1.5</v>
      </c>
      <c r="J192" s="321">
        <f>TRUNC(H192*I192,2)</f>
        <v>10.93</v>
      </c>
    </row>
    <row r="193" spans="1:10" ht="15" customHeight="1">
      <c r="A193" s="433"/>
      <c r="B193" s="325" t="s">
        <v>22641</v>
      </c>
      <c r="C193" s="570" t="str">
        <f>VLOOKUP(B193,'[2]2. PLANILHA SINTÉTICA'!C:D,2,0)</f>
        <v xml:space="preserve">EMPRÉSTIMO DE 1A CAT 6000-8000M PARA ATERRO (INCLUSIVE FORNECIMENTO, AQUISIÇÃO, CARGA, DESCARGA E TRANSPORTE) </v>
      </c>
      <c r="D193" s="570"/>
      <c r="E193" s="570"/>
      <c r="F193" s="570"/>
      <c r="G193" s="324" t="s">
        <v>26</v>
      </c>
      <c r="H193" s="323" t="str">
        <f>VLOOKUP(B193,'[2]2. PLANILHA SINTÉTICA'!C:F,4,0)</f>
        <v>M³</v>
      </c>
      <c r="I193" s="434"/>
      <c r="J193" s="435">
        <f>SUM(J195:J195)</f>
        <v>15.57</v>
      </c>
    </row>
    <row r="194" spans="1:10" ht="15" customHeight="1">
      <c r="A194" s="163" t="s">
        <v>22751</v>
      </c>
      <c r="B194" s="253" t="s">
        <v>22752</v>
      </c>
      <c r="C194" s="337" t="s">
        <v>22753</v>
      </c>
      <c r="D194" s="163" t="s">
        <v>158</v>
      </c>
      <c r="E194" s="163" t="s">
        <v>9025</v>
      </c>
      <c r="F194" s="163" t="s">
        <v>22748</v>
      </c>
      <c r="G194" s="163" t="s">
        <v>22749</v>
      </c>
      <c r="H194" s="163" t="s">
        <v>1187</v>
      </c>
      <c r="I194" s="163" t="s">
        <v>9026</v>
      </c>
      <c r="J194" s="163" t="s">
        <v>159</v>
      </c>
    </row>
    <row r="195" spans="1:10" ht="15" customHeight="1">
      <c r="A195" s="326"/>
      <c r="B195" s="322" t="s">
        <v>22755</v>
      </c>
      <c r="C195" s="328">
        <v>10090</v>
      </c>
      <c r="D195" s="320" t="s">
        <v>34</v>
      </c>
      <c r="E195" s="216"/>
      <c r="F195" s="160">
        <f>VLOOKUP(C195,'24. CÁLCULO DAS DISTÂNCIAS'!B:F,4,)</f>
        <v>0</v>
      </c>
      <c r="G195" s="160">
        <f>VLOOKUP(C195,'24. CÁLCULO DAS DISTÂNCIAS'!B:G,5,)</f>
        <v>5</v>
      </c>
      <c r="H195" s="161">
        <v>10.38</v>
      </c>
      <c r="I195" s="327">
        <v>1.5</v>
      </c>
      <c r="J195" s="321">
        <f>TRUNC(H195*I195,2)</f>
        <v>15.57</v>
      </c>
    </row>
    <row r="196" spans="1:10" ht="15" customHeight="1">
      <c r="A196" s="433"/>
      <c r="B196" s="325" t="s">
        <v>22643</v>
      </c>
      <c r="C196" s="570" t="str">
        <f>VLOOKUP(B196,'[2]2. PLANILHA SINTÉTICA'!C:D,2,0)</f>
        <v xml:space="preserve">EMPRÉSTIMO DE 1A CAT 14000-16000M PARA ATERRO (INCLUSIVE FORNECIMENTO, AQUISIÇÃO, CARGA, DESCARGA E TRANSPORTE) </v>
      </c>
      <c r="D196" s="570"/>
      <c r="E196" s="570"/>
      <c r="F196" s="570"/>
      <c r="G196" s="324" t="s">
        <v>26</v>
      </c>
      <c r="H196" s="323" t="str">
        <f>VLOOKUP(B196,'[2]2. PLANILHA SINTÉTICA'!C:F,4,0)</f>
        <v>M³</v>
      </c>
      <c r="I196" s="434"/>
      <c r="J196" s="435">
        <f>J198</f>
        <v>27.93</v>
      </c>
    </row>
    <row r="197" spans="1:10" ht="15" customHeight="1">
      <c r="A197" s="163" t="s">
        <v>22751</v>
      </c>
      <c r="B197" s="253" t="s">
        <v>22752</v>
      </c>
      <c r="C197" s="337" t="s">
        <v>22753</v>
      </c>
      <c r="D197" s="163" t="s">
        <v>158</v>
      </c>
      <c r="E197" s="163" t="s">
        <v>9025</v>
      </c>
      <c r="F197" s="163" t="s">
        <v>22748</v>
      </c>
      <c r="G197" s="163" t="s">
        <v>22749</v>
      </c>
      <c r="H197" s="163" t="s">
        <v>1187</v>
      </c>
      <c r="I197" s="163" t="s">
        <v>9026</v>
      </c>
      <c r="J197" s="163" t="s">
        <v>159</v>
      </c>
    </row>
    <row r="198" spans="1:10" ht="15" customHeight="1">
      <c r="A198" s="326"/>
      <c r="B198" s="322" t="s">
        <v>22755</v>
      </c>
      <c r="C198" s="328">
        <v>10090</v>
      </c>
      <c r="D198" s="320" t="s">
        <v>34</v>
      </c>
      <c r="E198" s="216"/>
      <c r="F198" s="160">
        <f>VLOOKUP(C198,'24. CÁLCULO DAS DISTÂNCIAS'!B:F,4,)</f>
        <v>0</v>
      </c>
      <c r="G198" s="160">
        <f>VLOOKUP(C198,'24. CÁLCULO DAS DISTÂNCIAS'!B:G,5,)</f>
        <v>5</v>
      </c>
      <c r="H198" s="161">
        <v>18.62</v>
      </c>
      <c r="I198" s="327">
        <v>1.5</v>
      </c>
      <c r="J198" s="321">
        <f>TRUNC(H198*I198,2)</f>
        <v>27.93</v>
      </c>
    </row>
    <row r="199" spans="1:10" ht="15" customHeight="1">
      <c r="A199" s="433"/>
      <c r="B199" s="323" t="s">
        <v>22644</v>
      </c>
      <c r="C199" s="570" t="str">
        <f>VLOOKUP(B199,'[2]2. PLANILHA SINTÉTICA'!C:D,2,0)</f>
        <v>EMPRÉSTIMO DE 3A CAT 4000-5000M PARA ENROCAMENTO (INCLUSIVE FORNECIMENTO, AQUISIÇÃO, CARGA, DESCARGA E TRANSPORTE)</v>
      </c>
      <c r="D199" s="570"/>
      <c r="E199" s="570"/>
      <c r="F199" s="570"/>
      <c r="G199" s="324" t="s">
        <v>26</v>
      </c>
      <c r="H199" s="323" t="str">
        <f>VLOOKUP(B199,'[2]2. PLANILHA SINTÉTICA'!C:F,4,0)</f>
        <v>M³</v>
      </c>
      <c r="I199" s="434"/>
      <c r="J199" s="435">
        <f>J201</f>
        <v>14.21</v>
      </c>
    </row>
    <row r="200" spans="1:10" ht="15" customHeight="1">
      <c r="A200" s="163" t="s">
        <v>22751</v>
      </c>
      <c r="B200" s="253" t="s">
        <v>22752</v>
      </c>
      <c r="C200" s="337" t="s">
        <v>22753</v>
      </c>
      <c r="D200" s="163" t="s">
        <v>158</v>
      </c>
      <c r="E200" s="163" t="s">
        <v>9025</v>
      </c>
      <c r="F200" s="163" t="s">
        <v>22748</v>
      </c>
      <c r="G200" s="163" t="s">
        <v>22749</v>
      </c>
      <c r="H200" s="163" t="s">
        <v>1187</v>
      </c>
      <c r="I200" s="163" t="s">
        <v>9026</v>
      </c>
      <c r="J200" s="163" t="s">
        <v>159</v>
      </c>
    </row>
    <row r="201" spans="1:10" ht="15" customHeight="1">
      <c r="A201" s="326"/>
      <c r="B201" s="322" t="s">
        <v>22756</v>
      </c>
      <c r="C201" s="328">
        <v>10060</v>
      </c>
      <c r="D201" s="320" t="s">
        <v>34</v>
      </c>
      <c r="E201" s="216"/>
      <c r="F201" s="160">
        <f>VLOOKUP(C201,'24. CÁLCULO DAS DISTÂNCIAS'!B:F,4,)</f>
        <v>0</v>
      </c>
      <c r="G201" s="160">
        <f>VLOOKUP(C201,'24. CÁLCULO DAS DISTÂNCIAS'!B:G,5,)</f>
        <v>7.3214285714285712</v>
      </c>
      <c r="H201" s="161">
        <v>7.29</v>
      </c>
      <c r="I201" s="327">
        <v>1.95</v>
      </c>
      <c r="J201" s="321">
        <f t="shared" ref="J201" si="41">TRUNC(H201*I201,2)</f>
        <v>14.21</v>
      </c>
    </row>
    <row r="202" spans="1:10" ht="15" customHeight="1">
      <c r="A202" s="433"/>
      <c r="B202" s="323" t="s">
        <v>22645</v>
      </c>
      <c r="C202" s="570" t="str">
        <f>VLOOKUP(B202,'[2]2. PLANILHA SINTÉTICA'!C:D,2,0)</f>
        <v>EMPRÉSTIMO DE 3A CAT 8000-10000M PARA ENROCAMENTO (INCLUSIVE FORNECIMENTO, AQUISIÇÃO, CARGA, DESCARGA E TRANSPORTE)</v>
      </c>
      <c r="D202" s="570"/>
      <c r="E202" s="570"/>
      <c r="F202" s="570"/>
      <c r="G202" s="324" t="s">
        <v>26</v>
      </c>
      <c r="H202" s="323" t="str">
        <f>VLOOKUP(B202,'[2]2. PLANILHA SINTÉTICA'!C:F,4,0)</f>
        <v>M³</v>
      </c>
      <c r="I202" s="434"/>
      <c r="J202" s="435">
        <f>J204</f>
        <v>14.21</v>
      </c>
    </row>
    <row r="203" spans="1:10" ht="15" customHeight="1">
      <c r="A203" s="163" t="s">
        <v>22751</v>
      </c>
      <c r="B203" s="253" t="s">
        <v>22752</v>
      </c>
      <c r="C203" s="337" t="s">
        <v>22753</v>
      </c>
      <c r="D203" s="163" t="s">
        <v>158</v>
      </c>
      <c r="E203" s="163" t="s">
        <v>9025</v>
      </c>
      <c r="F203" s="163" t="s">
        <v>22748</v>
      </c>
      <c r="G203" s="163" t="s">
        <v>22749</v>
      </c>
      <c r="H203" s="163" t="s">
        <v>1187</v>
      </c>
      <c r="I203" s="163" t="s">
        <v>9026</v>
      </c>
      <c r="J203" s="163" t="s">
        <v>159</v>
      </c>
    </row>
    <row r="204" spans="1:10" ht="15" customHeight="1">
      <c r="A204" s="326"/>
      <c r="B204" s="322" t="s">
        <v>22756</v>
      </c>
      <c r="C204" s="328">
        <v>10060</v>
      </c>
      <c r="D204" s="320" t="s">
        <v>34</v>
      </c>
      <c r="E204" s="216"/>
      <c r="F204" s="160">
        <f>VLOOKUP(C204,'24. CÁLCULO DAS DISTÂNCIAS'!B:F,4,)</f>
        <v>0</v>
      </c>
      <c r="G204" s="160">
        <f>VLOOKUP(C204,'24. CÁLCULO DAS DISTÂNCIAS'!B:G,5,)</f>
        <v>7.3214285714285712</v>
      </c>
      <c r="H204" s="161">
        <v>7.29</v>
      </c>
      <c r="I204" s="327">
        <v>1.95</v>
      </c>
      <c r="J204" s="321">
        <f t="shared" ref="J204" si="42">TRUNC(H204*I204,2)</f>
        <v>14.21</v>
      </c>
    </row>
    <row r="205" spans="1:10" ht="36" customHeight="1">
      <c r="A205" s="433"/>
      <c r="B205" s="323" t="s">
        <v>22646</v>
      </c>
      <c r="C205" s="570" t="str">
        <f>VLOOKUP(B205,'[2]2. PLANILHA SINTÉTICA'!C:D,2,0)</f>
        <v xml:space="preserve">EMPRÉSTIMO DE 3A CAT 14000-16000M PARA ENROCAMENTO (INCLUSIVE FORNECIMENTO, AQUISIÇÃO, CARGA, DESCARGA E TRANSPORTE) </v>
      </c>
      <c r="D205" s="570"/>
      <c r="E205" s="570"/>
      <c r="F205" s="570"/>
      <c r="G205" s="324" t="s">
        <v>26</v>
      </c>
      <c r="H205" s="323" t="str">
        <f>VLOOKUP(B205,'[2]2. PLANILHA SINTÉTICA'!C:F,4,0)</f>
        <v>M³</v>
      </c>
      <c r="I205" s="434"/>
      <c r="J205" s="435">
        <f>J207</f>
        <v>36.299999999999997</v>
      </c>
    </row>
    <row r="206" spans="1:10" ht="15" customHeight="1">
      <c r="A206" s="163" t="s">
        <v>22751</v>
      </c>
      <c r="B206" s="253" t="s">
        <v>22752</v>
      </c>
      <c r="C206" s="337" t="s">
        <v>22753</v>
      </c>
      <c r="D206" s="163" t="s">
        <v>158</v>
      </c>
      <c r="E206" s="163" t="s">
        <v>9025</v>
      </c>
      <c r="F206" s="163" t="s">
        <v>22748</v>
      </c>
      <c r="G206" s="163" t="s">
        <v>22749</v>
      </c>
      <c r="H206" s="163" t="s">
        <v>1187</v>
      </c>
      <c r="I206" s="163" t="s">
        <v>9026</v>
      </c>
      <c r="J206" s="163" t="s">
        <v>159</v>
      </c>
    </row>
    <row r="207" spans="1:10" ht="15" customHeight="1">
      <c r="A207" s="326"/>
      <c r="B207" s="322" t="s">
        <v>22756</v>
      </c>
      <c r="C207" s="328">
        <v>10060</v>
      </c>
      <c r="D207" s="320" t="s">
        <v>34</v>
      </c>
      <c r="E207" s="216"/>
      <c r="F207" s="160">
        <f>VLOOKUP(C207,'24. CÁLCULO DAS DISTÂNCIAS'!B:F,4,)</f>
        <v>0</v>
      </c>
      <c r="G207" s="160">
        <f>VLOOKUP(C207,'24. CÁLCULO DAS DISTÂNCIAS'!B:G,5,)</f>
        <v>7.3214285714285712</v>
      </c>
      <c r="H207" s="161">
        <v>18.62</v>
      </c>
      <c r="I207" s="327">
        <v>1.95</v>
      </c>
      <c r="J207" s="321">
        <f t="shared" ref="J207" si="43">TRUNC(H207*I207,2)</f>
        <v>36.299999999999997</v>
      </c>
    </row>
    <row r="208" spans="1:10" ht="15" customHeight="1">
      <c r="A208" s="433"/>
      <c r="B208" s="323" t="s">
        <v>22648</v>
      </c>
      <c r="C208" s="570" t="str">
        <f>VLOOKUP(B208,'[2]2. PLANILHA SINTÉTICA'!C:D,2,0)</f>
        <v>TRANSPOSIÇÃO DE SEGMENTO DE SARJETA - TIPO - 2 C/TUBO 0,40M</v>
      </c>
      <c r="D208" s="570"/>
      <c r="E208" s="570"/>
      <c r="F208" s="570"/>
      <c r="G208" s="324" t="s">
        <v>26</v>
      </c>
      <c r="H208" s="323" t="str">
        <f>VLOOKUP(B208,'[2]2. PLANILHA SINTÉTICA'!C:F,4,0)</f>
        <v>M</v>
      </c>
      <c r="I208" s="434"/>
      <c r="J208" s="435">
        <f>SUM(J210:J213)</f>
        <v>37.510000000000005</v>
      </c>
    </row>
    <row r="209" spans="1:10" ht="15" customHeight="1">
      <c r="A209" s="163" t="s">
        <v>22751</v>
      </c>
      <c r="B209" s="253" t="s">
        <v>22752</v>
      </c>
      <c r="C209" s="337" t="s">
        <v>22753</v>
      </c>
      <c r="D209" s="163" t="s">
        <v>158</v>
      </c>
      <c r="E209" s="163" t="s">
        <v>9025</v>
      </c>
      <c r="F209" s="163" t="s">
        <v>22748</v>
      </c>
      <c r="G209" s="163" t="s">
        <v>22749</v>
      </c>
      <c r="H209" s="163" t="s">
        <v>1187</v>
      </c>
      <c r="I209" s="163" t="s">
        <v>9026</v>
      </c>
      <c r="J209" s="163" t="s">
        <v>159</v>
      </c>
    </row>
    <row r="210" spans="1:10" ht="15" customHeight="1">
      <c r="A210" s="326">
        <v>180210</v>
      </c>
      <c r="B210" s="322" t="str">
        <f>VLOOKUP(A210,'[2]16. CUSTOS DER - MATERIAIS'!A:B,2,0)</f>
        <v>TUBO CONCRETO D=0,30M MF PS-1</v>
      </c>
      <c r="C210" s="328">
        <v>19130</v>
      </c>
      <c r="D210" s="320" t="str">
        <f>VLOOKUP(A210,'[2]16. CUSTOS DER - MATERIAIS'!A:C,3,0)</f>
        <v>UD</v>
      </c>
      <c r="E210" s="216" t="s">
        <v>25922</v>
      </c>
      <c r="F210" s="160">
        <f>VLOOKUP(C210,'24. CÁLCULO DAS DISTÂNCIAS'!B:F,4,)</f>
        <v>17</v>
      </c>
      <c r="G210" s="160">
        <f>VLOOKUP(C210,'24. CÁLCULO DAS DISTÂNCIAS'!B:G,5,)</f>
        <v>14</v>
      </c>
      <c r="H210" s="161">
        <f>0.73*F210+0.88*G210+7.39</f>
        <v>32.119999999999997</v>
      </c>
      <c r="I210" s="327">
        <v>8.8999999999999996E-2</v>
      </c>
      <c r="J210" s="321">
        <f t="shared" ref="J210:J213" si="44">TRUNC(H210*I210,2)</f>
        <v>2.85</v>
      </c>
    </row>
    <row r="211" spans="1:10" ht="15" customHeight="1">
      <c r="A211" s="326">
        <v>139000</v>
      </c>
      <c r="B211" s="322" t="str">
        <f>VLOOKUP(A211,'[2]16. CUSTOS DER - MATERIAIS'!A:B,2,0)</f>
        <v>AREIA</v>
      </c>
      <c r="C211" s="328">
        <v>19010</v>
      </c>
      <c r="D211" s="320" t="str">
        <f>VLOOKUP(A211,'[2]16. CUSTOS DER - MATERIAIS'!A:C,3,0)</f>
        <v>M3</v>
      </c>
      <c r="E211" s="216" t="s">
        <v>25921</v>
      </c>
      <c r="F211" s="160">
        <f>VLOOKUP(C211,'24. CÁLCULO DAS DISTÂNCIAS'!B:F,4,)</f>
        <v>5</v>
      </c>
      <c r="G211" s="160">
        <f>VLOOKUP(C211,'24. CÁLCULO DAS DISTÂNCIAS'!B:G,5,)</f>
        <v>14</v>
      </c>
      <c r="H211" s="161">
        <f>1*F211+1.21*G211+2.52</f>
        <v>24.459999999999997</v>
      </c>
      <c r="I211" s="327">
        <v>0.6048</v>
      </c>
      <c r="J211" s="321">
        <f t="shared" si="44"/>
        <v>14.79</v>
      </c>
    </row>
    <row r="212" spans="1:10" ht="15" customHeight="1">
      <c r="A212" s="326">
        <v>173200</v>
      </c>
      <c r="B212" s="322" t="str">
        <f>VLOOKUP(A212,'[2]16. CUSTOS DER - MATERIAIS'!A:B,2,0)</f>
        <v>CIMENTO PORTLAND (SACO DE 50KG)</v>
      </c>
      <c r="C212" s="328">
        <v>13200</v>
      </c>
      <c r="D212" s="320" t="str">
        <f>VLOOKUP(A212,'[2]16. CUSTOS DER - MATERIAIS'!A:C,3,0)</f>
        <v>T</v>
      </c>
      <c r="E212" s="216" t="s">
        <v>25922</v>
      </c>
      <c r="F212" s="160">
        <f>VLOOKUP(C212,'24. CÁLCULO DAS DISTÂNCIAS'!B:F,4,)</f>
        <v>69</v>
      </c>
      <c r="G212" s="160">
        <f>VLOOKUP(C212,'24. CÁLCULO DAS DISTÂNCIAS'!B:G,5,)</f>
        <v>14</v>
      </c>
      <c r="H212" s="161">
        <f>0.73*F212+0.88*G212+7.39</f>
        <v>70.08</v>
      </c>
      <c r="I212" s="327">
        <v>0.1701</v>
      </c>
      <c r="J212" s="321">
        <f t="shared" si="44"/>
        <v>11.92</v>
      </c>
    </row>
    <row r="213" spans="1:10" ht="15" customHeight="1">
      <c r="A213" s="326">
        <v>130000</v>
      </c>
      <c r="B213" s="322" t="str">
        <f>VLOOKUP(A213,'[2]16. CUSTOS DER - MATERIAIS'!A:B,2,0)</f>
        <v>PEDRA BRITADA (COMERCIAL)</v>
      </c>
      <c r="C213" s="328">
        <v>19400</v>
      </c>
      <c r="D213" s="320" t="str">
        <f>VLOOKUP(A213,'[2]16. CUSTOS DER - MATERIAIS'!A:C,3,0)</f>
        <v>M3</v>
      </c>
      <c r="E213" s="216" t="s">
        <v>25921</v>
      </c>
      <c r="F213" s="160">
        <f>VLOOKUP(C213,'24. CÁLCULO DAS DISTÂNCIAS'!B:F,4,)</f>
        <v>0</v>
      </c>
      <c r="G213" s="160">
        <f>VLOOKUP(C213,'24. CÁLCULO DAS DISTÂNCIAS'!B:G,5,)</f>
        <v>7.3214285714285712</v>
      </c>
      <c r="H213" s="161">
        <f>1*F213+1.21*G213+2.52</f>
        <v>11.37892857142857</v>
      </c>
      <c r="I213" s="327">
        <v>0.69930000000000003</v>
      </c>
      <c r="J213" s="321">
        <f t="shared" si="44"/>
        <v>7.95</v>
      </c>
    </row>
    <row r="214" spans="1:10" s="213" customFormat="1" ht="15.95" customHeight="1">
      <c r="A214" s="433"/>
      <c r="B214" s="323" t="s">
        <v>22652</v>
      </c>
      <c r="C214" s="570" t="str">
        <f>VLOOKUP(B214,'[2]2. PLANILHA SINTÉTICA'!C:D,2,0)</f>
        <v>DRENO SUBSUPERFICIAL DE PAVIMENTO DSSP</v>
      </c>
      <c r="D214" s="570"/>
      <c r="E214" s="570"/>
      <c r="F214" s="570"/>
      <c r="G214" s="324" t="s">
        <v>26</v>
      </c>
      <c r="H214" s="323" t="str">
        <f>VLOOKUP(B214,'[2]2. PLANILHA SINTÉTICA'!C:F,4,0)</f>
        <v>M</v>
      </c>
      <c r="I214" s="434"/>
      <c r="J214" s="435">
        <f>SUM(J216:J217)</f>
        <v>8.6</v>
      </c>
    </row>
    <row r="215" spans="1:10" ht="15" customHeight="1">
      <c r="A215" s="163" t="s">
        <v>22751</v>
      </c>
      <c r="B215" s="253" t="s">
        <v>22752</v>
      </c>
      <c r="C215" s="337" t="s">
        <v>22753</v>
      </c>
      <c r="D215" s="163" t="s">
        <v>158</v>
      </c>
      <c r="E215" s="163" t="s">
        <v>9025</v>
      </c>
      <c r="F215" s="163" t="s">
        <v>22748</v>
      </c>
      <c r="G215" s="163" t="s">
        <v>22749</v>
      </c>
      <c r="H215" s="163" t="s">
        <v>1187</v>
      </c>
      <c r="I215" s="163" t="s">
        <v>9026</v>
      </c>
      <c r="J215" s="163" t="s">
        <v>159</v>
      </c>
    </row>
    <row r="216" spans="1:10" ht="15" customHeight="1">
      <c r="A216" s="326">
        <v>130000</v>
      </c>
      <c r="B216" s="322" t="str">
        <f>VLOOKUP(A216,'[2]16. CUSTOS DER - MATERIAIS'!A:B,2,0)</f>
        <v>PEDRA BRITADA (COMERCIAL)</v>
      </c>
      <c r="C216" s="328">
        <v>19400</v>
      </c>
      <c r="D216" s="320" t="str">
        <f>VLOOKUP(A216,'[2]16. CUSTOS DER - MATERIAIS'!A:C,3,0)</f>
        <v>M3</v>
      </c>
      <c r="E216" s="216" t="s">
        <v>25921</v>
      </c>
      <c r="F216" s="160">
        <f>VLOOKUP(C216,'24. CÁLCULO DAS DISTÂNCIAS'!B:F,4,)</f>
        <v>0</v>
      </c>
      <c r="G216" s="160">
        <f>VLOOKUP(C216,'24. CÁLCULO DAS DISTÂNCIAS'!B:G,5,)</f>
        <v>7.3214285714285712</v>
      </c>
      <c r="H216" s="161">
        <f t="shared" ref="H216:H217" si="45">1*F216+1.21*G216+2.52</f>
        <v>11.37892857142857</v>
      </c>
      <c r="I216" s="327">
        <v>0.24</v>
      </c>
      <c r="J216" s="321">
        <f t="shared" ref="J216" si="46">TRUNC(H216*I216,2)</f>
        <v>2.73</v>
      </c>
    </row>
    <row r="217" spans="1:10" ht="15" customHeight="1">
      <c r="A217" s="326"/>
      <c r="B217" s="322" t="s">
        <v>9062</v>
      </c>
      <c r="C217" s="328" t="s">
        <v>143</v>
      </c>
      <c r="D217" s="320" t="s">
        <v>22754</v>
      </c>
      <c r="E217" s="216" t="s">
        <v>25921</v>
      </c>
      <c r="F217" s="160">
        <f>VLOOKUP(C217,'24. CÁLCULO DAS DISTÂNCIAS'!B:F,4,)</f>
        <v>5</v>
      </c>
      <c r="G217" s="160">
        <f>VLOOKUP(C217,'24. CÁLCULO DAS DISTÂNCIAS'!B:G,5,)</f>
        <v>14</v>
      </c>
      <c r="H217" s="161">
        <f t="shared" si="45"/>
        <v>24.459999999999997</v>
      </c>
      <c r="I217" s="327">
        <v>0.24</v>
      </c>
      <c r="J217" s="321">
        <f>TRUNC(H217*I217,2)</f>
        <v>5.87</v>
      </c>
    </row>
    <row r="218" spans="1:10" ht="15" customHeight="1">
      <c r="A218" s="433"/>
      <c r="B218" s="323" t="s">
        <v>22654</v>
      </c>
      <c r="C218" s="570" t="str">
        <f>VLOOKUP(B218,'[2]2. PLANILHA SINTÉTICA'!C:D,2,0)</f>
        <v>SARJETA TRIANGULAR CONCRETO - TIPO 1 - STC 01A</v>
      </c>
      <c r="D218" s="570"/>
      <c r="E218" s="570"/>
      <c r="F218" s="570"/>
      <c r="G218" s="324" t="s">
        <v>26</v>
      </c>
      <c r="H218" s="323" t="str">
        <f>VLOOKUP(B218,'[2]2. PLANILHA SINTÉTICA'!C:F,4,0)</f>
        <v>M</v>
      </c>
      <c r="I218" s="434"/>
      <c r="J218" s="435">
        <f>SUM(J220:J222)</f>
        <v>5.33</v>
      </c>
    </row>
    <row r="219" spans="1:10" ht="15" customHeight="1">
      <c r="A219" s="163" t="s">
        <v>22751</v>
      </c>
      <c r="B219" s="253" t="s">
        <v>22752</v>
      </c>
      <c r="C219" s="337" t="s">
        <v>22753</v>
      </c>
      <c r="D219" s="163" t="s">
        <v>158</v>
      </c>
      <c r="E219" s="163" t="s">
        <v>9025</v>
      </c>
      <c r="F219" s="163" t="s">
        <v>22748</v>
      </c>
      <c r="G219" s="163" t="s">
        <v>22749</v>
      </c>
      <c r="H219" s="163" t="s">
        <v>1187</v>
      </c>
      <c r="I219" s="163" t="s">
        <v>9026</v>
      </c>
      <c r="J219" s="163" t="s">
        <v>159</v>
      </c>
    </row>
    <row r="220" spans="1:10">
      <c r="A220" s="326">
        <v>139000</v>
      </c>
      <c r="B220" s="322" t="str">
        <f>VLOOKUP(A220,'[2]16. CUSTOS DER - MATERIAIS'!A:B,2,0)</f>
        <v>AREIA</v>
      </c>
      <c r="C220" s="328">
        <v>19010</v>
      </c>
      <c r="D220" s="320" t="str">
        <f>VLOOKUP(A220,'[2]16. CUSTOS DER - MATERIAIS'!A:C,3,0)</f>
        <v>M3</v>
      </c>
      <c r="E220" s="216" t="s">
        <v>25921</v>
      </c>
      <c r="F220" s="160">
        <f>VLOOKUP(C220,'24. CÁLCULO DAS DISTÂNCIAS'!B:F,4,)</f>
        <v>5</v>
      </c>
      <c r="G220" s="160">
        <f>VLOOKUP(C220,'24. CÁLCULO DAS DISTÂNCIAS'!B:G,5,)</f>
        <v>14</v>
      </c>
      <c r="H220" s="161">
        <f>1*F220+1.21*G220+2.52</f>
        <v>24.459999999999997</v>
      </c>
      <c r="I220" s="327">
        <v>9.3799999999999994E-2</v>
      </c>
      <c r="J220" s="321">
        <f t="shared" ref="J220:J222" si="47">TRUNC(H220*I220,2)</f>
        <v>2.29</v>
      </c>
    </row>
    <row r="221" spans="1:10" ht="31.5">
      <c r="A221" s="326">
        <v>173200</v>
      </c>
      <c r="B221" s="322" t="str">
        <f>VLOOKUP(A221,'[2]16. CUSTOS DER - MATERIAIS'!A:B,2,0)</f>
        <v>CIMENTO PORTLAND (SACO DE 50KG)</v>
      </c>
      <c r="C221" s="328">
        <v>13200</v>
      </c>
      <c r="D221" s="320" t="str">
        <f>VLOOKUP(A221,'[2]16. CUSTOS DER - MATERIAIS'!A:C,3,0)</f>
        <v>T</v>
      </c>
      <c r="E221" s="216" t="s">
        <v>25922</v>
      </c>
      <c r="F221" s="160">
        <f>VLOOKUP(C221,'24. CÁLCULO DAS DISTÂNCIAS'!B:F,4,)</f>
        <v>69</v>
      </c>
      <c r="G221" s="160">
        <f>VLOOKUP(C221,'24. CÁLCULO DAS DISTÂNCIAS'!B:G,5,)</f>
        <v>14</v>
      </c>
      <c r="H221" s="161">
        <f>0.73*F221+0.88*G221+7.39</f>
        <v>70.08</v>
      </c>
      <c r="I221" s="327">
        <v>2.6200000000000001E-2</v>
      </c>
      <c r="J221" s="321">
        <f t="shared" si="47"/>
        <v>1.83</v>
      </c>
    </row>
    <row r="222" spans="1:10" ht="15" customHeight="1">
      <c r="A222" s="326">
        <v>130000</v>
      </c>
      <c r="B222" s="322" t="str">
        <f>VLOOKUP(A222,'[2]16. CUSTOS DER - MATERIAIS'!A:B,2,0)</f>
        <v>PEDRA BRITADA (COMERCIAL)</v>
      </c>
      <c r="C222" s="328">
        <v>19400</v>
      </c>
      <c r="D222" s="320" t="str">
        <f>VLOOKUP(A222,'[2]16. CUSTOS DER - MATERIAIS'!A:C,3,0)</f>
        <v>M3</v>
      </c>
      <c r="E222" s="216" t="s">
        <v>25921</v>
      </c>
      <c r="F222" s="160">
        <f>VLOOKUP(C222,'24. CÁLCULO DAS DISTÂNCIAS'!B:F,4,)</f>
        <v>0</v>
      </c>
      <c r="G222" s="160">
        <f>VLOOKUP(C222,'24. CÁLCULO DAS DISTÂNCIAS'!B:G,5,)</f>
        <v>7.3214285714285712</v>
      </c>
      <c r="H222" s="161">
        <f>1*F222+1.21*G222+2.52</f>
        <v>11.37892857142857</v>
      </c>
      <c r="I222" s="327">
        <v>0.1066</v>
      </c>
      <c r="J222" s="321">
        <f t="shared" si="47"/>
        <v>1.21</v>
      </c>
    </row>
    <row r="223" spans="1:10">
      <c r="A223" s="433"/>
      <c r="B223" s="323" t="s">
        <v>22655</v>
      </c>
      <c r="C223" s="570" t="str">
        <f>VLOOKUP(B223,'[2]2. PLANILHA SINTÉTICA'!C:D,2,0)</f>
        <v>LASTRO DE RACHÃO COM BRITAGEM PARA FUNDAÇÃO DO MURO, INCLUSIVE ESPALHAMENTO E COMPACTAÇÃO</v>
      </c>
      <c r="D223" s="570"/>
      <c r="E223" s="570"/>
      <c r="F223" s="570"/>
      <c r="G223" s="324" t="s">
        <v>26</v>
      </c>
      <c r="H223" s="323" t="str">
        <f>VLOOKUP(B223,'[2]2. PLANILHA SINTÉTICA'!C:F,4,0)</f>
        <v>M³</v>
      </c>
      <c r="I223" s="434"/>
      <c r="J223" s="435">
        <f>J225</f>
        <v>22.18</v>
      </c>
    </row>
    <row r="224" spans="1:10">
      <c r="A224" s="163" t="s">
        <v>22751</v>
      </c>
      <c r="B224" s="253" t="s">
        <v>22752</v>
      </c>
      <c r="C224" s="337" t="s">
        <v>22753</v>
      </c>
      <c r="D224" s="163" t="s">
        <v>158</v>
      </c>
      <c r="E224" s="163" t="s">
        <v>9025</v>
      </c>
      <c r="F224" s="163" t="s">
        <v>22748</v>
      </c>
      <c r="G224" s="163" t="s">
        <v>22749</v>
      </c>
      <c r="H224" s="163" t="s">
        <v>1187</v>
      </c>
      <c r="I224" s="163" t="s">
        <v>9026</v>
      </c>
      <c r="J224" s="163" t="s">
        <v>159</v>
      </c>
    </row>
    <row r="225" spans="1:10" ht="15" customHeight="1">
      <c r="A225" s="326"/>
      <c r="B225" s="322" t="s">
        <v>22756</v>
      </c>
      <c r="C225" s="328">
        <v>10060</v>
      </c>
      <c r="D225" s="320" t="s">
        <v>34</v>
      </c>
      <c r="E225" s="216" t="s">
        <v>25921</v>
      </c>
      <c r="F225" s="160">
        <f>VLOOKUP(C225,'24. CÁLCULO DAS DISTÂNCIAS'!B:F,4,)</f>
        <v>0</v>
      </c>
      <c r="G225" s="160">
        <f>VLOOKUP(C225,'24. CÁLCULO DAS DISTÂNCIAS'!B:G,5,)</f>
        <v>7.3214285714285712</v>
      </c>
      <c r="H225" s="161">
        <f>1*F225+1.21*G225+2.52</f>
        <v>11.37892857142857</v>
      </c>
      <c r="I225" s="327">
        <v>1.95</v>
      </c>
      <c r="J225" s="321">
        <f t="shared" ref="J225" si="48">TRUNC(H225*I225,2)</f>
        <v>22.18</v>
      </c>
    </row>
    <row r="226" spans="1:10" ht="15" customHeight="1">
      <c r="A226" s="433"/>
      <c r="B226" s="323" t="s">
        <v>22666</v>
      </c>
      <c r="C226" s="570" t="str">
        <f>VLOOKUP(B226,'[2]2. PLANILHA SINTÉTICA'!C:D,2,0)</f>
        <v>SUPORTE DUPLO DE MADEIRA 3"X3" P/ PLACA SINALIZAÇÃO</v>
      </c>
      <c r="D226" s="570"/>
      <c r="E226" s="570"/>
      <c r="F226" s="570"/>
      <c r="G226" s="324" t="s">
        <v>26</v>
      </c>
      <c r="H226" s="323" t="str">
        <f>VLOOKUP(B226,'[2]2. PLANILHA SINTÉTICA'!C:F,4,0)</f>
        <v>M</v>
      </c>
      <c r="I226" s="434"/>
      <c r="J226" s="435">
        <f>SUM(J228:J230)</f>
        <v>2.14</v>
      </c>
    </row>
    <row r="227" spans="1:10" ht="15" customHeight="1">
      <c r="A227" s="163" t="s">
        <v>22751</v>
      </c>
      <c r="B227" s="253" t="s">
        <v>22752</v>
      </c>
      <c r="C227" s="337" t="s">
        <v>22753</v>
      </c>
      <c r="D227" s="163" t="s">
        <v>158</v>
      </c>
      <c r="E227" s="163" t="s">
        <v>9025</v>
      </c>
      <c r="F227" s="163" t="s">
        <v>22748</v>
      </c>
      <c r="G227" s="163" t="s">
        <v>22749</v>
      </c>
      <c r="H227" s="163" t="s">
        <v>1187</v>
      </c>
      <c r="I227" s="163" t="s">
        <v>9026</v>
      </c>
      <c r="J227" s="163" t="s">
        <v>159</v>
      </c>
    </row>
    <row r="228" spans="1:10">
      <c r="A228" s="326">
        <v>139000</v>
      </c>
      <c r="B228" s="322" t="str">
        <f>VLOOKUP(A228,'[2]16. CUSTOS DER - MATERIAIS'!A:B,2,0)</f>
        <v>AREIA</v>
      </c>
      <c r="C228" s="328">
        <v>19010</v>
      </c>
      <c r="D228" s="320" t="str">
        <f>VLOOKUP(A228,'[2]16. CUSTOS DER - MATERIAIS'!A:C,3,0)</f>
        <v>M3</v>
      </c>
      <c r="E228" s="216" t="s">
        <v>25921</v>
      </c>
      <c r="F228" s="160">
        <f>VLOOKUP(C228,'24. CÁLCULO DAS DISTÂNCIAS'!B:F,4,)</f>
        <v>5</v>
      </c>
      <c r="G228" s="160">
        <f>VLOOKUP(C228,'24. CÁLCULO DAS DISTÂNCIAS'!B:G,5,)</f>
        <v>14</v>
      </c>
      <c r="H228" s="161">
        <f>1*F228+1.21*G228+2.52</f>
        <v>24.459999999999997</v>
      </c>
      <c r="I228" s="327">
        <v>3.2000000000000001E-2</v>
      </c>
      <c r="J228" s="321">
        <f t="shared" ref="J228:J230" si="49">TRUNC(H228*I228,2)</f>
        <v>0.78</v>
      </c>
    </row>
    <row r="229" spans="1:10" ht="31.5">
      <c r="A229" s="326">
        <v>173200</v>
      </c>
      <c r="B229" s="322" t="str">
        <f>VLOOKUP(A229,'[2]16. CUSTOS DER - MATERIAIS'!A:B,2,0)</f>
        <v>CIMENTO PORTLAND (SACO DE 50KG)</v>
      </c>
      <c r="C229" s="328">
        <v>13200</v>
      </c>
      <c r="D229" s="320" t="str">
        <f>VLOOKUP(A229,'[2]16. CUSTOS DER - MATERIAIS'!A:C,3,0)</f>
        <v>T</v>
      </c>
      <c r="E229" s="216" t="s">
        <v>25922</v>
      </c>
      <c r="F229" s="160">
        <f>VLOOKUP(C229,'24. CÁLCULO DAS DISTÂNCIAS'!B:F,4,)</f>
        <v>69</v>
      </c>
      <c r="G229" s="160">
        <f>VLOOKUP(C229,'24. CÁLCULO DAS DISTÂNCIAS'!B:G,5,)</f>
        <v>14</v>
      </c>
      <c r="H229" s="161">
        <f>0.73*F229+0.88*G229+7.39</f>
        <v>70.08</v>
      </c>
      <c r="I229" s="327">
        <v>1.35E-2</v>
      </c>
      <c r="J229" s="321">
        <f t="shared" si="49"/>
        <v>0.94</v>
      </c>
    </row>
    <row r="230" spans="1:10" ht="15" customHeight="1">
      <c r="A230" s="326">
        <v>130000</v>
      </c>
      <c r="B230" s="322" t="str">
        <f>VLOOKUP(A230,'[2]16. CUSTOS DER - MATERIAIS'!A:B,2,0)</f>
        <v>PEDRA BRITADA (COMERCIAL)</v>
      </c>
      <c r="C230" s="328">
        <v>19400</v>
      </c>
      <c r="D230" s="320" t="str">
        <f>VLOOKUP(A230,'[2]16. CUSTOS DER - MATERIAIS'!A:C,3,0)</f>
        <v>M3</v>
      </c>
      <c r="E230" s="216" t="s">
        <v>25921</v>
      </c>
      <c r="F230" s="160">
        <f>VLOOKUP(C230,'24. CÁLCULO DAS DISTÂNCIAS'!B:F,4,)</f>
        <v>0</v>
      </c>
      <c r="G230" s="160">
        <f>VLOOKUP(C230,'24. CÁLCULO DAS DISTÂNCIAS'!B:G,5,)</f>
        <v>7.3214285714285712</v>
      </c>
      <c r="H230" s="161">
        <f>1*F230+1.21*G230+2.52</f>
        <v>11.37892857142857</v>
      </c>
      <c r="I230" s="327">
        <v>3.6999999999999998E-2</v>
      </c>
      <c r="J230" s="321">
        <f t="shared" si="49"/>
        <v>0.42</v>
      </c>
    </row>
    <row r="231" spans="1:10" ht="15" customHeight="1">
      <c r="A231" s="433"/>
      <c r="B231" s="323" t="s">
        <v>22669</v>
      </c>
      <c r="C231" s="570" t="str">
        <f>VLOOKUP(B231,'[2]2. PLANILHA SINTÉTICA'!C:D,2,0)</f>
        <v>CALÇADA COM LASTRO DE BRITA E ACABAMENTO EM CONCRETO</v>
      </c>
      <c r="D231" s="570"/>
      <c r="E231" s="570"/>
      <c r="F231" s="570"/>
      <c r="G231" s="324" t="s">
        <v>26</v>
      </c>
      <c r="H231" s="323" t="str">
        <f>VLOOKUP(B231,'[2]2. PLANILHA SINTÉTICA'!C:F,4,0)</f>
        <v>M²</v>
      </c>
      <c r="I231" s="434"/>
      <c r="J231" s="435">
        <f>SUM(J233:J235)</f>
        <v>4.2799999999999994</v>
      </c>
    </row>
    <row r="232" spans="1:10" ht="15" customHeight="1">
      <c r="A232" s="163" t="s">
        <v>22751</v>
      </c>
      <c r="B232" s="253" t="s">
        <v>22752</v>
      </c>
      <c r="C232" s="337" t="s">
        <v>22753</v>
      </c>
      <c r="D232" s="163" t="s">
        <v>158</v>
      </c>
      <c r="E232" s="163" t="s">
        <v>9025</v>
      </c>
      <c r="F232" s="163" t="s">
        <v>22748</v>
      </c>
      <c r="G232" s="163" t="s">
        <v>22749</v>
      </c>
      <c r="H232" s="163" t="s">
        <v>1187</v>
      </c>
      <c r="I232" s="163" t="s">
        <v>9026</v>
      </c>
      <c r="J232" s="163" t="s">
        <v>159</v>
      </c>
    </row>
    <row r="233" spans="1:10">
      <c r="A233" s="326">
        <v>139000</v>
      </c>
      <c r="B233" s="322" t="str">
        <f>VLOOKUP(A233,'[2]16. CUSTOS DER - MATERIAIS'!A:B,2,0)</f>
        <v>AREIA</v>
      </c>
      <c r="C233" s="328">
        <v>19010</v>
      </c>
      <c r="D233" s="320" t="str">
        <f>VLOOKUP(A233,'[2]16. CUSTOS DER - MATERIAIS'!A:C,3,0)</f>
        <v>M3</v>
      </c>
      <c r="E233" s="216" t="s">
        <v>25921</v>
      </c>
      <c r="F233" s="160">
        <f>VLOOKUP(C233,'24. CÁLCULO DAS DISTÂNCIAS'!B:F,4,)</f>
        <v>5</v>
      </c>
      <c r="G233" s="160">
        <f>VLOOKUP(C233,'24. CÁLCULO DAS DISTÂNCIAS'!B:G,5,)</f>
        <v>14</v>
      </c>
      <c r="H233" s="161">
        <f>1*F233+1.21*G233+2.52</f>
        <v>24.459999999999997</v>
      </c>
      <c r="I233" s="327">
        <v>4.8000000000000001E-2</v>
      </c>
      <c r="J233" s="321">
        <f t="shared" ref="J233:J235" si="50">TRUNC(H233*I233,2)</f>
        <v>1.17</v>
      </c>
    </row>
    <row r="234" spans="1:10" ht="31.5">
      <c r="A234" s="326">
        <v>173200</v>
      </c>
      <c r="B234" s="322" t="str">
        <f>VLOOKUP(A234,'[2]16. CUSTOS DER - MATERIAIS'!A:B,2,0)</f>
        <v>CIMENTO PORTLAND (SACO DE 50KG)</v>
      </c>
      <c r="C234" s="328">
        <v>13200</v>
      </c>
      <c r="D234" s="320" t="str">
        <f>VLOOKUP(A234,'[2]16. CUSTOS DER - MATERIAIS'!A:C,3,0)</f>
        <v>T</v>
      </c>
      <c r="E234" s="216" t="s">
        <v>25922</v>
      </c>
      <c r="F234" s="160">
        <f>VLOOKUP(C234,'24. CÁLCULO DAS DISTÂNCIAS'!B:F,4,)</f>
        <v>69</v>
      </c>
      <c r="G234" s="160">
        <f>VLOOKUP(C234,'24. CÁLCULO DAS DISTÂNCIAS'!B:G,5,)</f>
        <v>14</v>
      </c>
      <c r="H234" s="161">
        <f>0.73*F234+0.88*G234+7.39</f>
        <v>70.08</v>
      </c>
      <c r="I234" s="327">
        <v>2.12E-2</v>
      </c>
      <c r="J234" s="321">
        <f t="shared" si="50"/>
        <v>1.48</v>
      </c>
    </row>
    <row r="235" spans="1:10" ht="15" customHeight="1">
      <c r="A235" s="326">
        <v>130000</v>
      </c>
      <c r="B235" s="322" t="str">
        <f>VLOOKUP(A235,'[2]16. CUSTOS DER - MATERIAIS'!A:B,2,0)</f>
        <v>PEDRA BRITADA (COMERCIAL)</v>
      </c>
      <c r="C235" s="328">
        <v>19400</v>
      </c>
      <c r="D235" s="320" t="str">
        <f>VLOOKUP(A235,'[2]16. CUSTOS DER - MATERIAIS'!A:C,3,0)</f>
        <v>M3</v>
      </c>
      <c r="E235" s="216" t="s">
        <v>25921</v>
      </c>
      <c r="F235" s="160">
        <f>VLOOKUP(C235,'24. CÁLCULO DAS DISTÂNCIAS'!B:F,4,)</f>
        <v>0</v>
      </c>
      <c r="G235" s="160">
        <f>VLOOKUP(C235,'24. CÁLCULO DAS DISTÂNCIAS'!B:G,5,)</f>
        <v>7.3214285714285712</v>
      </c>
      <c r="H235" s="161">
        <f>1*F235+1.21*G235+2.52</f>
        <v>11.37892857142857</v>
      </c>
      <c r="I235" s="327">
        <v>0.14360000000000001</v>
      </c>
      <c r="J235" s="321">
        <f t="shared" si="50"/>
        <v>1.63</v>
      </c>
    </row>
    <row r="236" spans="1:10" ht="15" customHeight="1">
      <c r="A236" s="433"/>
      <c r="B236" s="323" t="s">
        <v>22670</v>
      </c>
      <c r="C236" s="570" t="str">
        <f>VLOOKUP(B236,'[2]2. PLANILHA SINTÉTICA'!C:D,2,0)</f>
        <v>RECOMPOSIÇÃO DE MURO DE ALVENARIA, REBOCADO COM FUNDAÇÃO EM CONCRETO ARMADO E PINGADEIRA (H=2,00M SENDO 1,70M DE ALVENARIA E 0,30M DE VIGA BALDRAME)</v>
      </c>
      <c r="D236" s="570"/>
      <c r="E236" s="570"/>
      <c r="F236" s="570"/>
      <c r="G236" s="324" t="s">
        <v>26</v>
      </c>
      <c r="H236" s="323" t="str">
        <f>VLOOKUP(B236,'[2]2. PLANILHA SINTÉTICA'!C:F,4,0)</f>
        <v>M</v>
      </c>
      <c r="I236" s="434"/>
      <c r="J236" s="435">
        <f>SUM(J238:J241)</f>
        <v>11.8</v>
      </c>
    </row>
    <row r="237" spans="1:10" ht="15" customHeight="1">
      <c r="A237" s="163" t="s">
        <v>22751</v>
      </c>
      <c r="B237" s="253" t="s">
        <v>22752</v>
      </c>
      <c r="C237" s="337" t="s">
        <v>22753</v>
      </c>
      <c r="D237" s="163" t="s">
        <v>158</v>
      </c>
      <c r="E237" s="163" t="s">
        <v>9025</v>
      </c>
      <c r="F237" s="163" t="s">
        <v>22748</v>
      </c>
      <c r="G237" s="163" t="s">
        <v>22749</v>
      </c>
      <c r="H237" s="163" t="s">
        <v>1187</v>
      </c>
      <c r="I237" s="163" t="s">
        <v>9026</v>
      </c>
      <c r="J237" s="163" t="s">
        <v>159</v>
      </c>
    </row>
    <row r="238" spans="1:10">
      <c r="A238" s="326">
        <v>139000</v>
      </c>
      <c r="B238" s="322" t="str">
        <f>VLOOKUP(A238,'[2]16. CUSTOS DER - MATERIAIS'!A:B,2,0)</f>
        <v>AREIA</v>
      </c>
      <c r="C238" s="328">
        <v>19010</v>
      </c>
      <c r="D238" s="320" t="str">
        <f>VLOOKUP(A238,'[2]16. CUSTOS DER - MATERIAIS'!A:C,3,0)</f>
        <v>M3</v>
      </c>
      <c r="E238" s="216" t="s">
        <v>25921</v>
      </c>
      <c r="F238" s="160">
        <f>VLOOKUP(C238,'24. CÁLCULO DAS DISTÂNCIAS'!B:F,4,)</f>
        <v>5</v>
      </c>
      <c r="G238" s="160">
        <f>VLOOKUP(C238,'24. CÁLCULO DAS DISTÂNCIAS'!B:G,5,)</f>
        <v>14</v>
      </c>
      <c r="H238" s="161">
        <f>1*F238+1.21*G238+2.52</f>
        <v>24.459999999999997</v>
      </c>
      <c r="I238" s="327">
        <v>0.12889999999999999</v>
      </c>
      <c r="J238" s="321">
        <f t="shared" ref="J238:J241" si="51">TRUNC(H238*I238,2)</f>
        <v>3.15</v>
      </c>
    </row>
    <row r="239" spans="1:10" ht="31.5">
      <c r="A239" s="326">
        <v>173200</v>
      </c>
      <c r="B239" s="322" t="str">
        <f>VLOOKUP(A239,'[2]16. CUSTOS DER - MATERIAIS'!A:B,2,0)</f>
        <v>CIMENTO PORTLAND (SACO DE 50KG)</v>
      </c>
      <c r="C239" s="328">
        <v>13200</v>
      </c>
      <c r="D239" s="320" t="str">
        <f>VLOOKUP(A239,'[2]16. CUSTOS DER - MATERIAIS'!A:C,3,0)</f>
        <v>T</v>
      </c>
      <c r="E239" s="216" t="s">
        <v>25922</v>
      </c>
      <c r="F239" s="160">
        <f>VLOOKUP(C239,'24. CÁLCULO DAS DISTÂNCIAS'!B:F,4,)</f>
        <v>69</v>
      </c>
      <c r="G239" s="160">
        <f>VLOOKUP(C239,'24. CÁLCULO DAS DISTÂNCIAS'!B:G,5,)</f>
        <v>14</v>
      </c>
      <c r="H239" s="161">
        <f>0.73*F239+0.88*G239+7.39</f>
        <v>70.08</v>
      </c>
      <c r="I239" s="327">
        <v>5.6500000000000002E-2</v>
      </c>
      <c r="J239" s="321">
        <f t="shared" si="51"/>
        <v>3.95</v>
      </c>
    </row>
    <row r="240" spans="1:10" ht="15" customHeight="1">
      <c r="A240" s="326">
        <v>130000</v>
      </c>
      <c r="B240" s="322" t="str">
        <f>VLOOKUP(A240,'[2]16. CUSTOS DER - MATERIAIS'!A:B,2,0)</f>
        <v>PEDRA BRITADA (COMERCIAL)</v>
      </c>
      <c r="C240" s="328">
        <v>19400</v>
      </c>
      <c r="D240" s="320" t="str">
        <f>VLOOKUP(A240,'[2]16. CUSTOS DER - MATERIAIS'!A:C,3,0)</f>
        <v>M3</v>
      </c>
      <c r="E240" s="216" t="s">
        <v>25921</v>
      </c>
      <c r="F240" s="160">
        <f>VLOOKUP(C240,'24. CÁLCULO DAS DISTÂNCIAS'!B:F,4,)</f>
        <v>0</v>
      </c>
      <c r="G240" s="160">
        <f>VLOOKUP(C240,'24. CÁLCULO DAS DISTÂNCIAS'!B:G,5,)</f>
        <v>7.3214285714285712</v>
      </c>
      <c r="H240" s="161">
        <f>1*F240+1.21*G240+2.52</f>
        <v>11.37892857142857</v>
      </c>
      <c r="I240" s="327">
        <v>0.1598</v>
      </c>
      <c r="J240" s="321">
        <f t="shared" si="51"/>
        <v>1.81</v>
      </c>
    </row>
    <row r="241" spans="1:10" ht="15" customHeight="1">
      <c r="A241" s="326">
        <v>100020</v>
      </c>
      <c r="B241" s="322" t="str">
        <f>VLOOKUP(A241,'[2]16. CUSTOS DER - MATERIAIS'!A:B,2,0)</f>
        <v>TIJOLO 6 FUROS</v>
      </c>
      <c r="C241" s="328">
        <v>10030</v>
      </c>
      <c r="D241" s="320" t="str">
        <f>VLOOKUP(A241,'[2]16. CUSTOS DER - MATERIAIS'!A:C,3,0)</f>
        <v>MIL</v>
      </c>
      <c r="E241" s="216" t="s">
        <v>25922</v>
      </c>
      <c r="F241" s="160">
        <f>VLOOKUP(C241,'24. CÁLCULO DAS DISTÂNCIAS'!B:F,4,)</f>
        <v>0</v>
      </c>
      <c r="G241" s="160">
        <f>VLOOKUP(C241,'24. CÁLCULO DAS DISTÂNCIAS'!B:G,5,)</f>
        <v>23.892857142857142</v>
      </c>
      <c r="H241" s="161">
        <f>0.73*F241+0.88*G241+7.39</f>
        <v>28.415714285714287</v>
      </c>
      <c r="I241" s="327">
        <v>0.1019</v>
      </c>
      <c r="J241" s="321">
        <f t="shared" si="51"/>
        <v>2.89</v>
      </c>
    </row>
    <row r="242" spans="1:10">
      <c r="A242" s="433"/>
      <c r="B242" s="323" t="s">
        <v>22671</v>
      </c>
      <c r="C242" s="570" t="str">
        <f>VLOOKUP(B242,'[2]2. PLANILHA SINTÉTICA'!C:D,2,0)</f>
        <v>REMANEJAMENTO DE REDE DE ÁGUA</v>
      </c>
      <c r="D242" s="570"/>
      <c r="E242" s="570"/>
      <c r="F242" s="570"/>
      <c r="G242" s="324" t="s">
        <v>26</v>
      </c>
      <c r="H242" s="323" t="str">
        <f>VLOOKUP(B242,'[2]2. PLANILHA SINTÉTICA'!C:F,4,0)</f>
        <v>M</v>
      </c>
      <c r="I242" s="434"/>
      <c r="J242" s="435">
        <f>J244</f>
        <v>7.4</v>
      </c>
    </row>
    <row r="243" spans="1:10">
      <c r="A243" s="163" t="s">
        <v>22751</v>
      </c>
      <c r="B243" s="253" t="s">
        <v>22752</v>
      </c>
      <c r="C243" s="337" t="s">
        <v>22753</v>
      </c>
      <c r="D243" s="163" t="s">
        <v>158</v>
      </c>
      <c r="E243" s="163" t="s">
        <v>9025</v>
      </c>
      <c r="F243" s="163" t="s">
        <v>22748</v>
      </c>
      <c r="G243" s="163" t="s">
        <v>22749</v>
      </c>
      <c r="H243" s="163" t="s">
        <v>1187</v>
      </c>
      <c r="I243" s="163" t="s">
        <v>9026</v>
      </c>
      <c r="J243" s="163" t="s">
        <v>159</v>
      </c>
    </row>
    <row r="244" spans="1:10" ht="15" customHeight="1">
      <c r="A244" s="326">
        <v>139000</v>
      </c>
      <c r="B244" s="322" t="str">
        <f>VLOOKUP(A244,'[2]16. CUSTOS DER - MATERIAIS'!A:B,2,0)</f>
        <v>AREIA</v>
      </c>
      <c r="C244" s="328">
        <v>19010</v>
      </c>
      <c r="D244" s="320" t="str">
        <f>VLOOKUP(A244,'[2]16. CUSTOS DER - MATERIAIS'!A:C,3,0)</f>
        <v>M3</v>
      </c>
      <c r="E244" s="216" t="s">
        <v>25921</v>
      </c>
      <c r="F244" s="160">
        <f>VLOOKUP(C244,'24. CÁLCULO DAS DISTÂNCIAS'!B:F,4,)</f>
        <v>5</v>
      </c>
      <c r="G244" s="160">
        <f>VLOOKUP(C244,'24. CÁLCULO DAS DISTÂNCIAS'!B:G,5,)</f>
        <v>14</v>
      </c>
      <c r="H244" s="161">
        <f>1*F244+1.21*G244+2.52</f>
        <v>24.459999999999997</v>
      </c>
      <c r="I244" s="327">
        <v>0.30280000000000001</v>
      </c>
      <c r="J244" s="321">
        <f t="shared" ref="J244" si="52">TRUNC(H244*I244,2)</f>
        <v>7.4</v>
      </c>
    </row>
    <row r="245" spans="1:10" ht="15" customHeight="1">
      <c r="A245" s="433"/>
      <c r="B245" s="323" t="s">
        <v>22672</v>
      </c>
      <c r="C245" s="570" t="str">
        <f>VLOOKUP(B245,'[2]2. PLANILHA SINTÉTICA'!C:D,2,0)</f>
        <v>PROLONGAMENTO DA CAIXA DA ADUTORA</v>
      </c>
      <c r="D245" s="570"/>
      <c r="E245" s="570"/>
      <c r="F245" s="570"/>
      <c r="G245" s="324" t="s">
        <v>26</v>
      </c>
      <c r="H245" s="323" t="str">
        <f>VLOOKUP(B245,'[2]2. PLANILHA SINTÉTICA'!C:F,4,0)</f>
        <v>UN</v>
      </c>
      <c r="I245" s="434"/>
      <c r="J245" s="435">
        <f>SUM(J247:J251)</f>
        <v>26.12</v>
      </c>
    </row>
    <row r="246" spans="1:10" ht="15" customHeight="1">
      <c r="A246" s="163" t="s">
        <v>22751</v>
      </c>
      <c r="B246" s="253" t="s">
        <v>22752</v>
      </c>
      <c r="C246" s="337" t="s">
        <v>22753</v>
      </c>
      <c r="D246" s="163" t="s">
        <v>158</v>
      </c>
      <c r="E246" s="163" t="s">
        <v>9025</v>
      </c>
      <c r="F246" s="163" t="s">
        <v>22748</v>
      </c>
      <c r="G246" s="163" t="s">
        <v>22749</v>
      </c>
      <c r="H246" s="163" t="s">
        <v>1187</v>
      </c>
      <c r="I246" s="163" t="s">
        <v>9026</v>
      </c>
      <c r="J246" s="163" t="s">
        <v>159</v>
      </c>
    </row>
    <row r="247" spans="1:10" ht="15" customHeight="1">
      <c r="A247" s="326">
        <v>181520</v>
      </c>
      <c r="B247" s="322" t="str">
        <f>VLOOKUP(A247,'[2]16. CUSTOS DER - MATERIAIS'!A:B,2,0)</f>
        <v>TUBO CONCRETO D=1,50M MF PA-2</v>
      </c>
      <c r="C247" s="328">
        <v>19130</v>
      </c>
      <c r="D247" s="320" t="str">
        <f>VLOOKUP(A247,'[2]16. CUSTOS DER - MATERIAIS'!A:C,3,0)</f>
        <v>UD</v>
      </c>
      <c r="E247" s="216" t="s">
        <v>25922</v>
      </c>
      <c r="F247" s="160">
        <f>VLOOKUP(C247,'24. CÁLCULO DAS DISTÂNCIAS'!B:F,4,)</f>
        <v>17</v>
      </c>
      <c r="G247" s="160">
        <f>VLOOKUP(C247,'24. CÁLCULO DAS DISTÂNCIAS'!B:G,5,)</f>
        <v>14</v>
      </c>
      <c r="H247" s="161">
        <f>0.73*F247+0.88*G247+7.39</f>
        <v>32.119999999999997</v>
      </c>
      <c r="I247" s="327">
        <v>0.28199999999999997</v>
      </c>
      <c r="J247" s="321">
        <f t="shared" ref="J247:J251" si="53">TRUNC(H247*I247,2)</f>
        <v>9.0500000000000007</v>
      </c>
    </row>
    <row r="248" spans="1:10" ht="15" customHeight="1">
      <c r="A248" s="326">
        <v>139000</v>
      </c>
      <c r="B248" s="322" t="str">
        <f>VLOOKUP(A248,'[2]16. CUSTOS DER - MATERIAIS'!A:B,2,0)</f>
        <v>AREIA</v>
      </c>
      <c r="C248" s="328">
        <v>19010</v>
      </c>
      <c r="D248" s="320" t="str">
        <f>VLOOKUP(A248,'[2]16. CUSTOS DER - MATERIAIS'!A:C,3,0)</f>
        <v>M3</v>
      </c>
      <c r="E248" s="216" t="s">
        <v>25921</v>
      </c>
      <c r="F248" s="160">
        <f>VLOOKUP(C248,'24. CÁLCULO DAS DISTÂNCIAS'!B:F,4,)</f>
        <v>5</v>
      </c>
      <c r="G248" s="160">
        <f>VLOOKUP(C248,'24. CÁLCULO DAS DISTÂNCIAS'!B:G,5,)</f>
        <v>14</v>
      </c>
      <c r="H248" s="161">
        <f>1*F248+1.21*G248+2.52</f>
        <v>24.459999999999997</v>
      </c>
      <c r="I248" s="327">
        <v>0.24440000000000001</v>
      </c>
      <c r="J248" s="321">
        <f t="shared" si="53"/>
        <v>5.97</v>
      </c>
    </row>
    <row r="249" spans="1:10" ht="31.5">
      <c r="A249" s="326">
        <v>173200</v>
      </c>
      <c r="B249" s="322" t="str">
        <f>VLOOKUP(A249,'[2]16. CUSTOS DER - MATERIAIS'!A:B,2,0)</f>
        <v>CIMENTO PORTLAND (SACO DE 50KG)</v>
      </c>
      <c r="C249" s="328">
        <v>13200</v>
      </c>
      <c r="D249" s="320" t="str">
        <f>VLOOKUP(A249,'[2]16. CUSTOS DER - MATERIAIS'!A:C,3,0)</f>
        <v>T</v>
      </c>
      <c r="E249" s="216" t="s">
        <v>25922</v>
      </c>
      <c r="F249" s="160">
        <f>VLOOKUP(C249,'24. CÁLCULO DAS DISTÂNCIAS'!B:F,4,)</f>
        <v>69</v>
      </c>
      <c r="G249" s="160">
        <f>VLOOKUP(C249,'24. CÁLCULO DAS DISTÂNCIAS'!B:G,5,)</f>
        <v>14</v>
      </c>
      <c r="H249" s="161">
        <f>0.73*F249+0.88*G249+7.39</f>
        <v>70.08</v>
      </c>
      <c r="I249" s="327">
        <v>0.1081</v>
      </c>
      <c r="J249" s="321">
        <f t="shared" si="53"/>
        <v>7.57</v>
      </c>
    </row>
    <row r="250" spans="1:10">
      <c r="A250" s="326">
        <v>130100</v>
      </c>
      <c r="B250" s="322" t="str">
        <f>VLOOKUP(A250,'[2]16. CUSTOS DER - MATERIAIS'!A:B,2,0)</f>
        <v>PEDRA DE MÃO (COMERCIAL)</v>
      </c>
      <c r="C250" s="328">
        <v>19410</v>
      </c>
      <c r="D250" s="320" t="str">
        <f>VLOOKUP(A250,'[2]16. CUSTOS DER - MATERIAIS'!A:C,3,0)</f>
        <v>M3</v>
      </c>
      <c r="E250" s="216" t="s">
        <v>25921</v>
      </c>
      <c r="F250" s="160">
        <f>VLOOKUP(C250,'24. CÁLCULO DAS DISTÂNCIAS'!B:F,4,)</f>
        <v>0</v>
      </c>
      <c r="G250" s="160">
        <f>VLOOKUP(C250,'24. CÁLCULO DAS DISTÂNCIAS'!B:G,5,)</f>
        <v>7.3214285714285712</v>
      </c>
      <c r="H250" s="161">
        <f t="shared" ref="H250:H251" si="54">1*F250+1.21*G250+2.52</f>
        <v>11.37892857142857</v>
      </c>
      <c r="I250" s="327"/>
      <c r="J250" s="321">
        <f t="shared" si="53"/>
        <v>0</v>
      </c>
    </row>
    <row r="251" spans="1:10">
      <c r="A251" s="326">
        <v>130000</v>
      </c>
      <c r="B251" s="322" t="str">
        <f>VLOOKUP(A251,'[2]16. CUSTOS DER - MATERIAIS'!A:B,2,0)</f>
        <v>PEDRA BRITADA (COMERCIAL)</v>
      </c>
      <c r="C251" s="328">
        <v>19400</v>
      </c>
      <c r="D251" s="320" t="str">
        <f>VLOOKUP(A251,'[2]16. CUSTOS DER - MATERIAIS'!A:C,3,0)</f>
        <v>M3</v>
      </c>
      <c r="E251" s="216" t="s">
        <v>25921</v>
      </c>
      <c r="F251" s="160">
        <f>VLOOKUP(C251,'24. CÁLCULO DAS DISTÂNCIAS'!B:F,4,)</f>
        <v>0</v>
      </c>
      <c r="G251" s="160">
        <f>VLOOKUP(C251,'24. CÁLCULO DAS DISTÂNCIAS'!B:G,5,)</f>
        <v>7.3214285714285712</v>
      </c>
      <c r="H251" s="161">
        <f t="shared" si="54"/>
        <v>11.37892857142857</v>
      </c>
      <c r="I251" s="327">
        <v>0.31080000000000002</v>
      </c>
      <c r="J251" s="321">
        <f t="shared" si="53"/>
        <v>3.53</v>
      </c>
    </row>
    <row r="252" spans="1:10">
      <c r="A252" s="433"/>
      <c r="B252" s="325" t="s">
        <v>22674</v>
      </c>
      <c r="C252" s="570" t="str">
        <f>VLOOKUP(B252,'[2]2. PLANILHA SINTÉTICA'!C:D,2,0)</f>
        <v>CARGA E TRANSPORTE DE ENTULHOS - 15.000M</v>
      </c>
      <c r="D252" s="570"/>
      <c r="E252" s="570"/>
      <c r="F252" s="570"/>
      <c r="G252" s="324" t="s">
        <v>26</v>
      </c>
      <c r="H252" s="323" t="str">
        <f>VLOOKUP(B252,'[2]2. PLANILHA SINTÉTICA'!C:F,4,0)</f>
        <v>M³</v>
      </c>
      <c r="I252" s="434"/>
      <c r="J252" s="435">
        <f>SUM(J254)</f>
        <v>34.11</v>
      </c>
    </row>
    <row r="253" spans="1:10">
      <c r="A253" s="163" t="s">
        <v>22751</v>
      </c>
      <c r="B253" s="253" t="s">
        <v>22752</v>
      </c>
      <c r="C253" s="337" t="s">
        <v>22753</v>
      </c>
      <c r="D253" s="163" t="s">
        <v>158</v>
      </c>
      <c r="E253" s="163" t="s">
        <v>9025</v>
      </c>
      <c r="F253" s="163" t="s">
        <v>22748</v>
      </c>
      <c r="G253" s="163" t="s">
        <v>22749</v>
      </c>
      <c r="H253" s="163" t="s">
        <v>1187</v>
      </c>
      <c r="I253" s="163" t="s">
        <v>9026</v>
      </c>
      <c r="J253" s="163" t="s">
        <v>159</v>
      </c>
    </row>
    <row r="254" spans="1:10">
      <c r="A254" s="326"/>
      <c r="B254" s="322" t="s">
        <v>22757</v>
      </c>
      <c r="C254" s="328" t="s">
        <v>111</v>
      </c>
      <c r="D254" s="320" t="s">
        <v>34</v>
      </c>
      <c r="E254" s="216"/>
      <c r="F254" s="160">
        <f>VLOOKUP(C254,'24. CÁLCULO DAS DISTÂNCIAS'!B:F,4,)</f>
        <v>5</v>
      </c>
      <c r="G254" s="160">
        <f>VLOOKUP(C254,'24. CÁLCULO DAS DISTÂNCIAS'!B:G,5,)</f>
        <v>14</v>
      </c>
      <c r="H254" s="161">
        <v>22.74</v>
      </c>
      <c r="I254" s="327">
        <v>1.5</v>
      </c>
      <c r="J254" s="321">
        <f t="shared" ref="J254" si="55">TRUNC(H254*I254,2)</f>
        <v>34.11</v>
      </c>
    </row>
    <row r="255" spans="1:10">
      <c r="A255" s="433"/>
      <c r="B255" s="325" t="s">
        <v>22677</v>
      </c>
      <c r="C255" s="570" t="str">
        <f>VLOOKUP(B255,'[2]2. PLANILHA SINTÉTICA'!C:D,2,0)</f>
        <v>CORTE/LIMPEZA, CLASSIFICAÇÃO, ENLEIRAMENTO, CARGA E TRANSPORTE DE ÁRVORES (VOLUME ESTÉREO) COM DISTÂNCIA DE 20KM</v>
      </c>
      <c r="D255" s="570"/>
      <c r="E255" s="570"/>
      <c r="F255" s="570"/>
      <c r="G255" s="324" t="s">
        <v>26</v>
      </c>
      <c r="H255" s="323" t="str">
        <f>VLOOKUP(B255,'[2]2. PLANILHA SINTÉTICA'!C:F,4,0)</f>
        <v>M³</v>
      </c>
      <c r="I255" s="434"/>
      <c r="J255" s="435">
        <f>SUM(J257:J257)</f>
        <v>18.68</v>
      </c>
    </row>
    <row r="256" spans="1:10">
      <c r="A256" s="163" t="s">
        <v>22751</v>
      </c>
      <c r="B256" s="253" t="s">
        <v>22752</v>
      </c>
      <c r="C256" s="337" t="s">
        <v>22753</v>
      </c>
      <c r="D256" s="163" t="s">
        <v>158</v>
      </c>
      <c r="E256" s="163" t="s">
        <v>9025</v>
      </c>
      <c r="F256" s="163" t="s">
        <v>22748</v>
      </c>
      <c r="G256" s="163" t="s">
        <v>22749</v>
      </c>
      <c r="H256" s="163" t="s">
        <v>1187</v>
      </c>
      <c r="I256" s="163" t="s">
        <v>9026</v>
      </c>
      <c r="J256" s="163" t="s">
        <v>159</v>
      </c>
    </row>
    <row r="257" spans="1:10" ht="15" customHeight="1">
      <c r="A257" s="326"/>
      <c r="B257" s="322" t="s">
        <v>22758</v>
      </c>
      <c r="C257" s="328">
        <v>19860</v>
      </c>
      <c r="D257" s="320"/>
      <c r="E257" s="216" t="s">
        <v>25922</v>
      </c>
      <c r="F257" s="160">
        <f>VLOOKUP(C257,'24. CÁLCULO DAS DISTÂNCIAS'!B:F,4,)</f>
        <v>5</v>
      </c>
      <c r="G257" s="160">
        <f>VLOOKUP(C257,'24. CÁLCULO DAS DISTÂNCIAS'!B:G,5,)</f>
        <v>14</v>
      </c>
      <c r="H257" s="161">
        <f>0.73*F257+0.88*G257+7.39</f>
        <v>23.36</v>
      </c>
      <c r="I257" s="327">
        <v>0.8</v>
      </c>
      <c r="J257" s="321">
        <f t="shared" ref="J257" si="56">TRUNC(H257*I257,2)</f>
        <v>18.68</v>
      </c>
    </row>
    <row r="258" spans="1:10" ht="15" customHeight="1">
      <c r="A258" s="433"/>
      <c r="B258" s="323" t="s">
        <v>22684</v>
      </c>
      <c r="C258" s="570" t="str">
        <f>VLOOKUP(B258,'[2]2. PLANILHA SINTÉTICA'!C:D,2,0)</f>
        <v>FORNECIMENTO E INSTALAÇÃO DE POSTE DE CONCRETO ARMADO DE SEÇÃO DUPLO T, PADRÃO COPEL DE DISTRIBUIÇÃO - H = 12M - RESISTÊNCIA DE 600 DAN</v>
      </c>
      <c r="D258" s="570"/>
      <c r="E258" s="570"/>
      <c r="F258" s="570"/>
      <c r="G258" s="324" t="s">
        <v>26</v>
      </c>
      <c r="H258" s="323" t="str">
        <f>VLOOKUP(B258,'[2]2. PLANILHA SINTÉTICA'!C:F,4,0)</f>
        <v>UNID</v>
      </c>
      <c r="I258" s="434"/>
      <c r="J258" s="435">
        <f>SUM(J260:J262)</f>
        <v>40.1</v>
      </c>
    </row>
    <row r="259" spans="1:10" ht="15" customHeight="1">
      <c r="A259" s="163" t="s">
        <v>22751</v>
      </c>
      <c r="B259" s="253" t="s">
        <v>22752</v>
      </c>
      <c r="C259" s="337" t="s">
        <v>22753</v>
      </c>
      <c r="D259" s="163" t="s">
        <v>158</v>
      </c>
      <c r="E259" s="163" t="s">
        <v>9025</v>
      </c>
      <c r="F259" s="163" t="s">
        <v>22748</v>
      </c>
      <c r="G259" s="163" t="s">
        <v>22749</v>
      </c>
      <c r="H259" s="163" t="s">
        <v>1187</v>
      </c>
      <c r="I259" s="163" t="s">
        <v>9026</v>
      </c>
      <c r="J259" s="163" t="s">
        <v>159</v>
      </c>
    </row>
    <row r="260" spans="1:10">
      <c r="A260" s="326">
        <v>139000</v>
      </c>
      <c r="B260" s="322" t="str">
        <f>VLOOKUP(A260,'[2]16. CUSTOS DER - MATERIAIS'!A:B,2,0)</f>
        <v>AREIA</v>
      </c>
      <c r="C260" s="328">
        <v>19010</v>
      </c>
      <c r="D260" s="320" t="str">
        <f>VLOOKUP(A260,'[2]16. CUSTOS DER - MATERIAIS'!A:C,3,0)</f>
        <v>M3</v>
      </c>
      <c r="E260" s="216" t="s">
        <v>25921</v>
      </c>
      <c r="F260" s="160">
        <f>VLOOKUP(C260,'24. CÁLCULO DAS DISTÂNCIAS'!B:F,4,)</f>
        <v>5</v>
      </c>
      <c r="G260" s="160">
        <f>VLOOKUP(C260,'24. CÁLCULO DAS DISTÂNCIAS'!B:G,5,)</f>
        <v>14</v>
      </c>
      <c r="H260" s="161">
        <f>1*F260+1.21*G260+2.52</f>
        <v>24.459999999999997</v>
      </c>
      <c r="I260" s="327">
        <v>0.83099999999999996</v>
      </c>
      <c r="J260" s="321">
        <f t="shared" ref="J260:J262" si="57">TRUNC(H260*I260,2)</f>
        <v>20.32</v>
      </c>
    </row>
    <row r="261" spans="1:10" ht="31.5">
      <c r="A261" s="326">
        <v>173200</v>
      </c>
      <c r="B261" s="322" t="str">
        <f>VLOOKUP(A261,'[2]16. CUSTOS DER - MATERIAIS'!A:B,2,0)</f>
        <v>CIMENTO PORTLAND (SACO DE 50KG)</v>
      </c>
      <c r="C261" s="328">
        <v>13200</v>
      </c>
      <c r="D261" s="320" t="str">
        <f>VLOOKUP(A261,'[2]16. CUSTOS DER - MATERIAIS'!A:C,3,0)</f>
        <v>T</v>
      </c>
      <c r="E261" s="216" t="s">
        <v>25922</v>
      </c>
      <c r="F261" s="160">
        <f>VLOOKUP(C261,'24. CÁLCULO DAS DISTÂNCIAS'!B:F,4,)</f>
        <v>69</v>
      </c>
      <c r="G261" s="160">
        <f>VLOOKUP(C261,'24. CÁLCULO DAS DISTÂNCIAS'!B:G,5,)</f>
        <v>14</v>
      </c>
      <c r="H261" s="161">
        <f>0.73*F261+0.88*G261+7.39</f>
        <v>70.08</v>
      </c>
      <c r="I261" s="327">
        <v>0.1411</v>
      </c>
      <c r="J261" s="321">
        <f t="shared" si="57"/>
        <v>9.8800000000000008</v>
      </c>
    </row>
    <row r="262" spans="1:10">
      <c r="A262" s="326">
        <v>130000</v>
      </c>
      <c r="B262" s="322" t="str">
        <f>VLOOKUP(A262,'[2]16. CUSTOS DER - MATERIAIS'!A:B,2,0)</f>
        <v>PEDRA BRITADA (COMERCIAL)</v>
      </c>
      <c r="C262" s="328">
        <v>19400</v>
      </c>
      <c r="D262" s="320" t="str">
        <f>VLOOKUP(A262,'[2]16. CUSTOS DER - MATERIAIS'!A:C,3,0)</f>
        <v>M3</v>
      </c>
      <c r="E262" s="216" t="s">
        <v>25921</v>
      </c>
      <c r="F262" s="160">
        <f>VLOOKUP(C262,'24. CÁLCULO DAS DISTÂNCIAS'!B:F,4,)</f>
        <v>0</v>
      </c>
      <c r="G262" s="160">
        <f>VLOOKUP(C262,'24. CÁLCULO DAS DISTÂNCIAS'!B:G,5,)</f>
        <v>7.3214285714285712</v>
      </c>
      <c r="H262" s="161">
        <f>1*F262+1.21*G262+2.52</f>
        <v>11.37892857142857</v>
      </c>
      <c r="I262" s="327">
        <v>0.87019999999999997</v>
      </c>
      <c r="J262" s="321">
        <f t="shared" si="57"/>
        <v>9.9</v>
      </c>
    </row>
    <row r="263" spans="1:10" ht="15" customHeight="1">
      <c r="A263" s="433"/>
      <c r="B263" s="323" t="s">
        <v>22721</v>
      </c>
      <c r="C263" s="570" t="str">
        <f>VLOOKUP(B263,'[2]9. CCU''S GERAIS AMEP'!A:D,4,0)</f>
        <v>ARGAMASSA TRAÇO 1:2:8 PARA EMBOÇO/REBOCO COM PREPARO MECÂNICO</v>
      </c>
      <c r="D263" s="570"/>
      <c r="E263" s="570"/>
      <c r="F263" s="570"/>
      <c r="G263" s="324" t="s">
        <v>26</v>
      </c>
      <c r="H263" s="323" t="s">
        <v>950</v>
      </c>
      <c r="I263" s="434"/>
      <c r="J263" s="435">
        <f>SUM(J265:J267)</f>
        <v>66.790000000000006</v>
      </c>
    </row>
    <row r="264" spans="1:10">
      <c r="A264" s="163" t="s">
        <v>22751</v>
      </c>
      <c r="B264" s="253" t="s">
        <v>22752</v>
      </c>
      <c r="C264" s="337" t="s">
        <v>22753</v>
      </c>
      <c r="D264" s="163" t="s">
        <v>158</v>
      </c>
      <c r="E264" s="163" t="s">
        <v>9025</v>
      </c>
      <c r="F264" s="163" t="s">
        <v>22748</v>
      </c>
      <c r="G264" s="163" t="s">
        <v>22749</v>
      </c>
      <c r="H264" s="163" t="s">
        <v>1187</v>
      </c>
      <c r="I264" s="163" t="s">
        <v>9026</v>
      </c>
      <c r="J264" s="163" t="s">
        <v>159</v>
      </c>
    </row>
    <row r="265" spans="1:10">
      <c r="A265" s="326">
        <v>139000</v>
      </c>
      <c r="B265" s="322" t="str">
        <f>VLOOKUP(A265,'[2]16. CUSTOS DER - MATERIAIS'!A:B,2,0)</f>
        <v>AREIA</v>
      </c>
      <c r="C265" s="328">
        <v>19010</v>
      </c>
      <c r="D265" s="320" t="str">
        <f>VLOOKUP(A265,'[2]16. CUSTOS DER - MATERIAIS'!A:C,3,0)</f>
        <v>M3</v>
      </c>
      <c r="E265" s="216" t="s">
        <v>25921</v>
      </c>
      <c r="F265" s="160">
        <f>VLOOKUP(C265,'24. CÁLCULO DAS DISTÂNCIAS'!B:F,4,)</f>
        <v>5</v>
      </c>
      <c r="G265" s="160">
        <f>VLOOKUP(C265,'24. CÁLCULO DAS DISTÂNCIAS'!B:G,5,)</f>
        <v>14</v>
      </c>
      <c r="H265" s="161">
        <f>1*F265+1.21*G265+2.52</f>
        <v>24.459999999999997</v>
      </c>
      <c r="I265" s="327">
        <f>1.695</f>
        <v>1.6950000000000001</v>
      </c>
      <c r="J265" s="321">
        <f t="shared" ref="J265:J267" si="58">TRUNC(H265*I265,2)</f>
        <v>41.45</v>
      </c>
    </row>
    <row r="266" spans="1:10" ht="31.5">
      <c r="A266" s="326">
        <v>173200</v>
      </c>
      <c r="B266" s="322" t="str">
        <f>VLOOKUP(A266,'[2]16. CUSTOS DER - MATERIAIS'!A:B,2,0)</f>
        <v>CIMENTO PORTLAND (SACO DE 50KG)</v>
      </c>
      <c r="C266" s="328">
        <v>13200</v>
      </c>
      <c r="D266" s="320" t="str">
        <f>VLOOKUP(A266,'[2]16. CUSTOS DER - MATERIAIS'!A:C,3,0)</f>
        <v>T</v>
      </c>
      <c r="E266" s="216" t="s">
        <v>25922</v>
      </c>
      <c r="F266" s="160">
        <f>VLOOKUP(C266,'24. CÁLCULO DAS DISTÂNCIAS'!B:F,4,)</f>
        <v>69</v>
      </c>
      <c r="G266" s="160">
        <f>VLOOKUP(C266,'24. CÁLCULO DAS DISTÂNCIAS'!B:G,5,)</f>
        <v>14</v>
      </c>
      <c r="H266" s="161">
        <f t="shared" ref="H266:H267" si="59">0.73*F266+0.88*G266+7.39</f>
        <v>70.08</v>
      </c>
      <c r="I266" s="327">
        <v>0.1915</v>
      </c>
      <c r="J266" s="321">
        <f t="shared" si="58"/>
        <v>13.42</v>
      </c>
    </row>
    <row r="267" spans="1:10">
      <c r="A267" s="326">
        <v>170100</v>
      </c>
      <c r="B267" s="322" t="str">
        <f>VLOOKUP(A267,'[2]16. CUSTOS DER - MATERIAIS'!A:B,2,0)</f>
        <v>CAL VIRGEM EM PÓ</v>
      </c>
      <c r="C267" s="386">
        <v>100130</v>
      </c>
      <c r="D267" s="320" t="str">
        <f>VLOOKUP(A267,'[2]16. CUSTOS DER - MATERIAIS'!A:C,3,0)</f>
        <v>KG</v>
      </c>
      <c r="E267" s="216" t="s">
        <v>25922</v>
      </c>
      <c r="F267" s="160">
        <f>VLOOKUP(C267,'24. CÁLCULO DAS DISTÂNCIAS'!B:F,4,)</f>
        <v>69</v>
      </c>
      <c r="G267" s="160">
        <f>VLOOKUP(C267,'24. CÁLCULO DAS DISTÂNCIAS'!B:G,5,)</f>
        <v>14</v>
      </c>
      <c r="H267" s="161">
        <f t="shared" si="59"/>
        <v>70.08</v>
      </c>
      <c r="I267" s="327">
        <v>0.17019999999999999</v>
      </c>
      <c r="J267" s="321">
        <f t="shared" si="58"/>
        <v>11.92</v>
      </c>
    </row>
    <row r="268" spans="1:10" ht="15" customHeight="1">
      <c r="A268" s="433"/>
      <c r="B268" s="323">
        <v>531500</v>
      </c>
      <c r="C268" s="570" t="s">
        <v>23519</v>
      </c>
      <c r="D268" s="570"/>
      <c r="E268" s="570"/>
      <c r="F268" s="570"/>
      <c r="G268" s="324" t="s">
        <v>26</v>
      </c>
      <c r="H268" s="323" t="s">
        <v>950</v>
      </c>
      <c r="I268" s="434"/>
      <c r="J268" s="435">
        <f>SUM(J270:J271)</f>
        <v>29.91</v>
      </c>
    </row>
    <row r="269" spans="1:10">
      <c r="A269" s="163" t="s">
        <v>22751</v>
      </c>
      <c r="B269" s="253" t="s">
        <v>22752</v>
      </c>
      <c r="C269" s="337" t="s">
        <v>22753</v>
      </c>
      <c r="D269" s="163" t="s">
        <v>158</v>
      </c>
      <c r="E269" s="163" t="s">
        <v>9025</v>
      </c>
      <c r="F269" s="163" t="s">
        <v>22748</v>
      </c>
      <c r="G269" s="163" t="s">
        <v>22749</v>
      </c>
      <c r="H269" s="163" t="s">
        <v>1187</v>
      </c>
      <c r="I269" s="163" t="s">
        <v>9026</v>
      </c>
      <c r="J269" s="163" t="s">
        <v>159</v>
      </c>
    </row>
    <row r="270" spans="1:10" ht="15" customHeight="1">
      <c r="A270" s="326"/>
      <c r="B270" s="322" t="s">
        <v>22756</v>
      </c>
      <c r="C270" s="328">
        <v>10060</v>
      </c>
      <c r="D270" s="320" t="s">
        <v>34</v>
      </c>
      <c r="E270" s="216" t="s">
        <v>25921</v>
      </c>
      <c r="F270" s="160">
        <f>VLOOKUP(C270,'24. CÁLCULO DAS DISTÂNCIAS'!B:F,4,)</f>
        <v>0</v>
      </c>
      <c r="G270" s="160">
        <f>VLOOKUP(C270,'24. CÁLCULO DAS DISTÂNCIAS'!B:G,5,)</f>
        <v>7.3214285714285712</v>
      </c>
      <c r="H270" s="161">
        <f t="shared" ref="H270:H271" si="60">1*F270+1.21*G270+2.52</f>
        <v>11.37892857142857</v>
      </c>
      <c r="I270" s="327">
        <v>1.95</v>
      </c>
      <c r="J270" s="321">
        <f t="shared" ref="J270:J271" si="61">TRUNC(H270*I270,2)</f>
        <v>22.18</v>
      </c>
    </row>
    <row r="271" spans="1:10">
      <c r="A271" s="326"/>
      <c r="B271" s="322" t="s">
        <v>9073</v>
      </c>
      <c r="C271" s="328">
        <v>10010</v>
      </c>
      <c r="D271" s="320" t="s">
        <v>34</v>
      </c>
      <c r="E271" s="216" t="s">
        <v>25921</v>
      </c>
      <c r="F271" s="160">
        <f>VLOOKUP(C271,'24. CÁLCULO DAS DISTÂNCIAS'!B:F,4,)</f>
        <v>0</v>
      </c>
      <c r="G271" s="160">
        <f>VLOOKUP(C271,'24. CÁLCULO DAS DISTÂNCIAS'!B:G,5,)</f>
        <v>7.3214285714285712</v>
      </c>
      <c r="H271" s="161">
        <f t="shared" si="60"/>
        <v>11.37892857142857</v>
      </c>
      <c r="I271" s="327">
        <v>0.68</v>
      </c>
      <c r="J271" s="321">
        <f t="shared" si="61"/>
        <v>7.73</v>
      </c>
    </row>
    <row r="272" spans="1:10" ht="15" customHeight="1">
      <c r="A272" s="433"/>
      <c r="B272" s="323">
        <v>516100</v>
      </c>
      <c r="C272" s="570" t="s">
        <v>267</v>
      </c>
      <c r="D272" s="570"/>
      <c r="E272" s="570"/>
      <c r="F272" s="570"/>
      <c r="G272" s="324" t="s">
        <v>26</v>
      </c>
      <c r="H272" s="323" t="s">
        <v>950</v>
      </c>
      <c r="I272" s="434"/>
      <c r="J272" s="435">
        <f>SUM(J274:J274)</f>
        <v>22.18</v>
      </c>
    </row>
    <row r="273" spans="1:10">
      <c r="A273" s="163" t="s">
        <v>22751</v>
      </c>
      <c r="B273" s="253" t="s">
        <v>22752</v>
      </c>
      <c r="C273" s="337" t="s">
        <v>22753</v>
      </c>
      <c r="D273" s="163" t="s">
        <v>158</v>
      </c>
      <c r="E273" s="163" t="s">
        <v>9025</v>
      </c>
      <c r="F273" s="163" t="s">
        <v>22748</v>
      </c>
      <c r="G273" s="163" t="s">
        <v>22749</v>
      </c>
      <c r="H273" s="163" t="s">
        <v>1187</v>
      </c>
      <c r="I273" s="163" t="s">
        <v>9026</v>
      </c>
      <c r="J273" s="163" t="s">
        <v>159</v>
      </c>
    </row>
    <row r="274" spans="1:10">
      <c r="A274" s="326"/>
      <c r="B274" s="322" t="s">
        <v>22756</v>
      </c>
      <c r="C274" s="328">
        <v>10060</v>
      </c>
      <c r="D274" s="320" t="s">
        <v>34</v>
      </c>
      <c r="E274" s="216" t="s">
        <v>25921</v>
      </c>
      <c r="F274" s="160">
        <f>VLOOKUP(C274,'24. CÁLCULO DAS DISTÂNCIAS'!B:F,4,)</f>
        <v>0</v>
      </c>
      <c r="G274" s="160">
        <f>VLOOKUP(C274,'24. CÁLCULO DAS DISTÂNCIAS'!B:G,5,)</f>
        <v>7.3214285714285712</v>
      </c>
      <c r="H274" s="161">
        <f>1*F274+1.21*G274+2.52</f>
        <v>11.37892857142857</v>
      </c>
      <c r="I274" s="327">
        <v>1.95</v>
      </c>
      <c r="J274" s="321">
        <f t="shared" ref="J274" si="62">TRUNC(H274*I274,2)</f>
        <v>22.18</v>
      </c>
    </row>
    <row r="275" spans="1:10" ht="15" customHeight="1">
      <c r="A275" s="433"/>
      <c r="B275" s="323">
        <v>502615</v>
      </c>
      <c r="C275" s="570" t="s">
        <v>23520</v>
      </c>
      <c r="D275" s="570"/>
      <c r="E275" s="570"/>
      <c r="F275" s="570"/>
      <c r="G275" s="324" t="s">
        <v>26</v>
      </c>
      <c r="H275" s="323" t="s">
        <v>950</v>
      </c>
      <c r="I275" s="434"/>
      <c r="J275" s="435">
        <f>J277</f>
        <v>60.91</v>
      </c>
    </row>
    <row r="276" spans="1:10">
      <c r="A276" s="163" t="s">
        <v>22751</v>
      </c>
      <c r="B276" s="253" t="s">
        <v>22752</v>
      </c>
      <c r="C276" s="337" t="s">
        <v>22753</v>
      </c>
      <c r="D276" s="163" t="s">
        <v>158</v>
      </c>
      <c r="E276" s="163" t="s">
        <v>9025</v>
      </c>
      <c r="F276" s="163" t="s">
        <v>22748</v>
      </c>
      <c r="G276" s="163" t="s">
        <v>22749</v>
      </c>
      <c r="H276" s="163" t="s">
        <v>1187</v>
      </c>
      <c r="I276" s="163" t="s">
        <v>9026</v>
      </c>
      <c r="J276" s="163" t="s">
        <v>159</v>
      </c>
    </row>
    <row r="277" spans="1:10">
      <c r="A277" s="326"/>
      <c r="B277" s="322" t="s">
        <v>22840</v>
      </c>
      <c r="C277" s="328">
        <v>10015</v>
      </c>
      <c r="D277" s="320" t="s">
        <v>34</v>
      </c>
      <c r="E277" s="216" t="s">
        <v>25921</v>
      </c>
      <c r="F277" s="160">
        <f>VLOOKUP(C277,'24. CÁLCULO DAS DISTÂNCIAS'!B:F,4,)</f>
        <v>0</v>
      </c>
      <c r="G277" s="160">
        <f>VLOOKUP(C277,'24. CÁLCULO DAS DISTÂNCIAS'!B:G,5,)</f>
        <v>18.892857142857142</v>
      </c>
      <c r="H277" s="161">
        <f>1*F277+1.21*G277+2.52</f>
        <v>25.38035714285714</v>
      </c>
      <c r="I277" s="327">
        <v>2.4</v>
      </c>
      <c r="J277" s="321">
        <f t="shared" ref="J277" si="63">TRUNC(H277*I277,2)</f>
        <v>60.91</v>
      </c>
    </row>
    <row r="278" spans="1:10" ht="15" customHeight="1">
      <c r="A278" s="433"/>
      <c r="B278" s="323">
        <v>512050</v>
      </c>
      <c r="C278" s="570" t="s">
        <v>265</v>
      </c>
      <c r="D278" s="570"/>
      <c r="E278" s="570"/>
      <c r="F278" s="570"/>
      <c r="G278" s="324" t="s">
        <v>26</v>
      </c>
      <c r="H278" s="323" t="s">
        <v>950</v>
      </c>
      <c r="I278" s="434"/>
      <c r="J278" s="435">
        <f>SUM(J280)</f>
        <v>39.130000000000003</v>
      </c>
    </row>
    <row r="279" spans="1:10">
      <c r="A279" s="163" t="s">
        <v>22751</v>
      </c>
      <c r="B279" s="253" t="s">
        <v>22752</v>
      </c>
      <c r="C279" s="337" t="s">
        <v>22753</v>
      </c>
      <c r="D279" s="163" t="s">
        <v>158</v>
      </c>
      <c r="E279" s="163" t="s">
        <v>9025</v>
      </c>
      <c r="F279" s="163" t="s">
        <v>22748</v>
      </c>
      <c r="G279" s="163" t="s">
        <v>22749</v>
      </c>
      <c r="H279" s="163" t="s">
        <v>1187</v>
      </c>
      <c r="I279" s="163" t="s">
        <v>9026</v>
      </c>
      <c r="J279" s="163" t="s">
        <v>159</v>
      </c>
    </row>
    <row r="280" spans="1:10" ht="31.5">
      <c r="A280" s="326"/>
      <c r="B280" s="322" t="s">
        <v>9060</v>
      </c>
      <c r="C280" s="328">
        <v>10150</v>
      </c>
      <c r="D280" s="320" t="s">
        <v>34</v>
      </c>
      <c r="E280" s="216" t="s">
        <v>25921</v>
      </c>
      <c r="F280" s="160">
        <f>VLOOKUP(C280,'24. CÁLCULO DAS DISTÂNCIAS'!B:F,4,)</f>
        <v>5</v>
      </c>
      <c r="G280" s="160">
        <f>VLOOKUP(C280,'24. CÁLCULO DAS DISTÂNCIAS'!B:G,5,)</f>
        <v>14</v>
      </c>
      <c r="H280" s="161">
        <f>1*F280+1.21*G280+2.52</f>
        <v>24.459999999999997</v>
      </c>
      <c r="I280" s="327">
        <v>1.6</v>
      </c>
      <c r="J280" s="321">
        <f t="shared" ref="J280" si="64">TRUNC(H280*I280,2)</f>
        <v>39.130000000000003</v>
      </c>
    </row>
    <row r="281" spans="1:10" ht="15" customHeight="1">
      <c r="A281" s="433"/>
      <c r="B281" s="323">
        <v>530200</v>
      </c>
      <c r="C281" s="570" t="s">
        <v>440</v>
      </c>
      <c r="D281" s="570"/>
      <c r="E281" s="570"/>
      <c r="F281" s="570"/>
      <c r="G281" s="324" t="s">
        <v>26</v>
      </c>
      <c r="H281" s="323" t="s">
        <v>950</v>
      </c>
      <c r="I281" s="434"/>
      <c r="J281" s="435">
        <f>J283</f>
        <v>25.03</v>
      </c>
    </row>
    <row r="282" spans="1:10">
      <c r="A282" s="163" t="s">
        <v>22751</v>
      </c>
      <c r="B282" s="253" t="s">
        <v>22752</v>
      </c>
      <c r="C282" s="337" t="s">
        <v>22753</v>
      </c>
      <c r="D282" s="163" t="s">
        <v>158</v>
      </c>
      <c r="E282" s="163" t="s">
        <v>9025</v>
      </c>
      <c r="F282" s="163" t="s">
        <v>22748</v>
      </c>
      <c r="G282" s="163" t="s">
        <v>22749</v>
      </c>
      <c r="H282" s="163" t="s">
        <v>1187</v>
      </c>
      <c r="I282" s="163" t="s">
        <v>9026</v>
      </c>
      <c r="J282" s="163" t="s">
        <v>159</v>
      </c>
    </row>
    <row r="283" spans="1:10">
      <c r="A283" s="326"/>
      <c r="B283" s="322" t="s">
        <v>23521</v>
      </c>
      <c r="C283" s="328">
        <v>19480</v>
      </c>
      <c r="D283" s="320" t="s">
        <v>34</v>
      </c>
      <c r="E283" s="216" t="s">
        <v>25921</v>
      </c>
      <c r="F283" s="160">
        <f>VLOOKUP(C283,'24. CÁLCULO DAS DISTÂNCIAS'!B:F,4,)</f>
        <v>0</v>
      </c>
      <c r="G283" s="160">
        <f>VLOOKUP(C283,'24. CÁLCULO DAS DISTÂNCIAS'!B:G,5,)</f>
        <v>7.3214285714285712</v>
      </c>
      <c r="H283" s="161">
        <f>1*F283+1.21*G283+2.52</f>
        <v>11.37892857142857</v>
      </c>
      <c r="I283" s="327">
        <v>2.2000000000000002</v>
      </c>
      <c r="J283" s="321">
        <f t="shared" ref="J283" si="65">TRUNC(H283*I283,2)</f>
        <v>25.03</v>
      </c>
    </row>
    <row r="284" spans="1:10" ht="15" customHeight="1">
      <c r="A284" s="433"/>
      <c r="B284" s="323">
        <v>531100</v>
      </c>
      <c r="C284" s="570" t="s">
        <v>268</v>
      </c>
      <c r="D284" s="570"/>
      <c r="E284" s="570"/>
      <c r="F284" s="570"/>
      <c r="G284" s="324" t="s">
        <v>26</v>
      </c>
      <c r="H284" s="323" t="s">
        <v>950</v>
      </c>
      <c r="I284" s="434"/>
      <c r="J284" s="435">
        <f>J286</f>
        <v>28.44</v>
      </c>
    </row>
    <row r="285" spans="1:10">
      <c r="A285" s="163" t="s">
        <v>22751</v>
      </c>
      <c r="B285" s="253" t="s">
        <v>22752</v>
      </c>
      <c r="C285" s="337" t="s">
        <v>22753</v>
      </c>
      <c r="D285" s="163" t="s">
        <v>158</v>
      </c>
      <c r="E285" s="163" t="s">
        <v>9025</v>
      </c>
      <c r="F285" s="163" t="s">
        <v>22748</v>
      </c>
      <c r="G285" s="163" t="s">
        <v>22749</v>
      </c>
      <c r="H285" s="163" t="s">
        <v>1187</v>
      </c>
      <c r="I285" s="163" t="s">
        <v>9026</v>
      </c>
      <c r="J285" s="163" t="s">
        <v>159</v>
      </c>
    </row>
    <row r="286" spans="1:10">
      <c r="A286" s="326"/>
      <c r="B286" s="322" t="s">
        <v>9076</v>
      </c>
      <c r="C286" s="328">
        <v>19980</v>
      </c>
      <c r="D286" s="320" t="s">
        <v>34</v>
      </c>
      <c r="E286" s="216" t="s">
        <v>25921</v>
      </c>
      <c r="F286" s="160">
        <f>VLOOKUP(C286,'24. CÁLCULO DAS DISTÂNCIAS'!B:F,4,)</f>
        <v>0</v>
      </c>
      <c r="G286" s="160">
        <f>VLOOKUP(C286,'24. CÁLCULO DAS DISTÂNCIAS'!B:G,5,)</f>
        <v>7.3214285714285712</v>
      </c>
      <c r="H286" s="161">
        <f>1*F286+1.21*G286+2.52</f>
        <v>11.37892857142857</v>
      </c>
      <c r="I286" s="327">
        <v>2.5</v>
      </c>
      <c r="J286" s="321">
        <f t="shared" ref="J286" si="66">TRUNC(H286*I286,2)</f>
        <v>28.44</v>
      </c>
    </row>
    <row r="287" spans="1:10" ht="15" customHeight="1">
      <c r="A287" s="433"/>
      <c r="B287" s="323">
        <v>560100</v>
      </c>
      <c r="C287" s="570" t="s">
        <v>269</v>
      </c>
      <c r="D287" s="570"/>
      <c r="E287" s="570"/>
      <c r="F287" s="570"/>
      <c r="G287" s="324" t="s">
        <v>26</v>
      </c>
      <c r="H287" s="323" t="s">
        <v>951</v>
      </c>
      <c r="I287" s="434"/>
      <c r="J287" s="435">
        <f>J289</f>
        <v>9.5603999999999995E-2</v>
      </c>
    </row>
    <row r="288" spans="1:10">
      <c r="A288" s="163" t="s">
        <v>22751</v>
      </c>
      <c r="B288" s="253" t="s">
        <v>22752</v>
      </c>
      <c r="C288" s="337" t="s">
        <v>22753</v>
      </c>
      <c r="D288" s="163" t="s">
        <v>158</v>
      </c>
      <c r="E288" s="163" t="s">
        <v>9025</v>
      </c>
      <c r="F288" s="163" t="s">
        <v>22748</v>
      </c>
      <c r="G288" s="163" t="s">
        <v>22749</v>
      </c>
      <c r="H288" s="163" t="s">
        <v>1187</v>
      </c>
      <c r="I288" s="163" t="s">
        <v>9026</v>
      </c>
      <c r="J288" s="163" t="s">
        <v>159</v>
      </c>
    </row>
    <row r="289" spans="1:10">
      <c r="A289" s="326"/>
      <c r="B289" s="322" t="s">
        <v>23729</v>
      </c>
      <c r="C289" s="328">
        <v>11000</v>
      </c>
      <c r="D289" s="320" t="s">
        <v>34</v>
      </c>
      <c r="E289" s="216" t="s">
        <v>25923</v>
      </c>
      <c r="F289" s="160">
        <f>VLOOKUP(C289,'24. CÁLCULO DAS DISTÂNCIAS'!B:F,4,)</f>
        <v>34</v>
      </c>
      <c r="G289" s="160">
        <f>VLOOKUP(C289,'24. CÁLCULO DAS DISTÂNCIAS'!B:G,5,)</f>
        <v>14</v>
      </c>
      <c r="H289" s="161">
        <f>(0.82*(G289+F289))+40.31</f>
        <v>79.67</v>
      </c>
      <c r="I289" s="327">
        <v>1.1999999999999999E-3</v>
      </c>
      <c r="J289" s="425">
        <f>(H289*I289)</f>
        <v>9.5603999999999995E-2</v>
      </c>
    </row>
    <row r="290" spans="1:10" ht="15" customHeight="1">
      <c r="A290" s="433"/>
      <c r="B290" s="323">
        <v>561100</v>
      </c>
      <c r="C290" s="570" t="s">
        <v>270</v>
      </c>
      <c r="D290" s="570"/>
      <c r="E290" s="570"/>
      <c r="F290" s="570"/>
      <c r="G290" s="324" t="s">
        <v>26</v>
      </c>
      <c r="H290" s="323" t="s">
        <v>951</v>
      </c>
      <c r="I290" s="434"/>
      <c r="J290" s="435">
        <f>J292</f>
        <v>3.9835000000000002E-2</v>
      </c>
    </row>
    <row r="291" spans="1:10">
      <c r="A291" s="163" t="s">
        <v>22751</v>
      </c>
      <c r="B291" s="253" t="s">
        <v>22752</v>
      </c>
      <c r="C291" s="337" t="s">
        <v>22753</v>
      </c>
      <c r="D291" s="163" t="s">
        <v>158</v>
      </c>
      <c r="E291" s="163" t="s">
        <v>9025</v>
      </c>
      <c r="F291" s="163" t="s">
        <v>22748</v>
      </c>
      <c r="G291" s="163" t="s">
        <v>22749</v>
      </c>
      <c r="H291" s="163" t="s">
        <v>1187</v>
      </c>
      <c r="I291" s="163" t="s">
        <v>9026</v>
      </c>
      <c r="J291" s="163" t="s">
        <v>159</v>
      </c>
    </row>
    <row r="292" spans="1:10">
      <c r="A292" s="326"/>
      <c r="B292" s="322" t="s">
        <v>23729</v>
      </c>
      <c r="C292" s="328">
        <v>11000</v>
      </c>
      <c r="D292" s="320" t="s">
        <v>34</v>
      </c>
      <c r="E292" s="216" t="s">
        <v>25923</v>
      </c>
      <c r="F292" s="160">
        <f>VLOOKUP(C292,'24. CÁLCULO DAS DISTÂNCIAS'!B:F,4,)</f>
        <v>34</v>
      </c>
      <c r="G292" s="160">
        <f>VLOOKUP(C292,'24. CÁLCULO DAS DISTÂNCIAS'!B:G,5,)</f>
        <v>14</v>
      </c>
      <c r="H292" s="161">
        <f>(0.82*(G292+F292))+40.31</f>
        <v>79.67</v>
      </c>
      <c r="I292" s="327">
        <v>5.0000000000000001E-4</v>
      </c>
      <c r="J292" s="321">
        <f>(H292*I292)</f>
        <v>3.9835000000000002E-2</v>
      </c>
    </row>
    <row r="293" spans="1:10" ht="15" customHeight="1">
      <c r="A293" s="433"/>
      <c r="B293" s="323">
        <v>570000</v>
      </c>
      <c r="C293" s="570" t="s">
        <v>456</v>
      </c>
      <c r="D293" s="570"/>
      <c r="E293" s="570"/>
      <c r="F293" s="570"/>
      <c r="G293" s="324" t="s">
        <v>26</v>
      </c>
      <c r="H293" s="323" t="s">
        <v>34</v>
      </c>
      <c r="I293" s="434"/>
      <c r="J293" s="435">
        <f>SUM(J295:J299)</f>
        <v>30.689999999999998</v>
      </c>
    </row>
    <row r="294" spans="1:10">
      <c r="A294" s="163" t="s">
        <v>22751</v>
      </c>
      <c r="B294" s="253" t="s">
        <v>22752</v>
      </c>
      <c r="C294" s="337" t="s">
        <v>22753</v>
      </c>
      <c r="D294" s="163" t="s">
        <v>158</v>
      </c>
      <c r="E294" s="163" t="s">
        <v>9025</v>
      </c>
      <c r="F294" s="163" t="s">
        <v>22748</v>
      </c>
      <c r="G294" s="163" t="s">
        <v>22749</v>
      </c>
      <c r="H294" s="163" t="s">
        <v>1187</v>
      </c>
      <c r="I294" s="163" t="s">
        <v>9026</v>
      </c>
      <c r="J294" s="163" t="s">
        <v>159</v>
      </c>
    </row>
    <row r="295" spans="1:10">
      <c r="A295" s="326"/>
      <c r="B295" s="448" t="s">
        <v>25924</v>
      </c>
      <c r="C295" s="449">
        <v>19100</v>
      </c>
      <c r="D295" s="216" t="s">
        <v>18</v>
      </c>
      <c r="E295" s="216">
        <v>972000</v>
      </c>
      <c r="F295" s="160">
        <v>0</v>
      </c>
      <c r="G295" s="160">
        <v>28</v>
      </c>
      <c r="H295" s="161">
        <f>1*F295+1.21*G295+2.52</f>
        <v>36.4</v>
      </c>
      <c r="I295" s="450">
        <v>0.1</v>
      </c>
      <c r="J295" s="217">
        <f>FLOOR(((H295*I295)),0.01)</f>
        <v>3.64</v>
      </c>
    </row>
    <row r="296" spans="1:10">
      <c r="B296" s="448" t="s">
        <v>25925</v>
      </c>
      <c r="C296" s="449">
        <v>10200</v>
      </c>
      <c r="D296" s="216" t="s">
        <v>18</v>
      </c>
      <c r="E296" s="216">
        <v>972200</v>
      </c>
      <c r="F296" s="160">
        <v>69</v>
      </c>
      <c r="G296" s="160">
        <v>22</v>
      </c>
      <c r="H296" s="161">
        <f>F296*0.73+G296*0.88+7.39</f>
        <v>77.11999999999999</v>
      </c>
      <c r="I296" s="450">
        <v>1.4999999999999999E-2</v>
      </c>
      <c r="J296" s="217">
        <f t="shared" ref="J296:J299" si="67">FLOOR(((H296*I296)),0.01)</f>
        <v>1.1500000000000001</v>
      </c>
    </row>
    <row r="297" spans="1:10" ht="31.5">
      <c r="B297" s="448" t="s">
        <v>25926</v>
      </c>
      <c r="C297" s="449">
        <v>10530</v>
      </c>
      <c r="D297" s="216" t="s">
        <v>18</v>
      </c>
      <c r="E297" s="216">
        <v>974000</v>
      </c>
      <c r="F297" s="160">
        <v>34</v>
      </c>
      <c r="G297" s="160">
        <v>22</v>
      </c>
      <c r="H297" s="161">
        <f>0.92*(F297+G297)+44.79</f>
        <v>96.31</v>
      </c>
      <c r="I297" s="450">
        <v>5.7000000000000002E-2</v>
      </c>
      <c r="J297" s="217">
        <f t="shared" si="67"/>
        <v>5.48</v>
      </c>
    </row>
    <row r="298" spans="1:10">
      <c r="B298" s="448" t="s">
        <v>25927</v>
      </c>
      <c r="C298" s="449">
        <v>19870</v>
      </c>
      <c r="D298" s="216" t="s">
        <v>18</v>
      </c>
      <c r="E298" s="216">
        <v>974000</v>
      </c>
      <c r="F298" s="160">
        <v>0</v>
      </c>
      <c r="G298" s="160">
        <v>9.75</v>
      </c>
      <c r="H298" s="161">
        <f>1*F298+1.21*G298+6.05</f>
        <v>17.8475</v>
      </c>
      <c r="I298" s="450">
        <v>1</v>
      </c>
      <c r="J298" s="217">
        <f t="shared" si="67"/>
        <v>17.84</v>
      </c>
    </row>
    <row r="299" spans="1:10">
      <c r="B299" s="322" t="s">
        <v>25928</v>
      </c>
      <c r="C299" s="326">
        <v>19490</v>
      </c>
      <c r="D299" s="320" t="s">
        <v>18</v>
      </c>
      <c r="E299" s="216">
        <v>972000</v>
      </c>
      <c r="F299" s="160">
        <v>0</v>
      </c>
      <c r="G299" s="160">
        <v>0.5</v>
      </c>
      <c r="H299" s="161">
        <f>1*F299+1.21*G299+2.52</f>
        <v>3.125</v>
      </c>
      <c r="I299" s="327">
        <v>0.82799999999999996</v>
      </c>
      <c r="J299" s="217">
        <f t="shared" si="67"/>
        <v>2.58</v>
      </c>
    </row>
  </sheetData>
  <autoFilter ref="A2:K295"/>
  <mergeCells count="70">
    <mergeCell ref="C284:F284"/>
    <mergeCell ref="C287:F287"/>
    <mergeCell ref="C290:F290"/>
    <mergeCell ref="C293:F293"/>
    <mergeCell ref="C263:F263"/>
    <mergeCell ref="C268:F268"/>
    <mergeCell ref="C272:F272"/>
    <mergeCell ref="C275:F275"/>
    <mergeCell ref="C278:F278"/>
    <mergeCell ref="C281:F281"/>
    <mergeCell ref="C258:F258"/>
    <mergeCell ref="C208:F208"/>
    <mergeCell ref="C214:F214"/>
    <mergeCell ref="C218:F218"/>
    <mergeCell ref="C223:F223"/>
    <mergeCell ref="C226:F226"/>
    <mergeCell ref="C231:F231"/>
    <mergeCell ref="C236:F236"/>
    <mergeCell ref="C242:F242"/>
    <mergeCell ref="C245:F245"/>
    <mergeCell ref="C252:F252"/>
    <mergeCell ref="C255:F255"/>
    <mergeCell ref="C205:F205"/>
    <mergeCell ref="C170:F170"/>
    <mergeCell ref="C173:F173"/>
    <mergeCell ref="C178:F178"/>
    <mergeCell ref="C181:F181"/>
    <mergeCell ref="C184:F184"/>
    <mergeCell ref="C187:F187"/>
    <mergeCell ref="C190:F190"/>
    <mergeCell ref="C193:F193"/>
    <mergeCell ref="C196:F196"/>
    <mergeCell ref="C199:F199"/>
    <mergeCell ref="C202:F202"/>
    <mergeCell ref="C166:F166"/>
    <mergeCell ref="C114:F114"/>
    <mergeCell ref="C119:F119"/>
    <mergeCell ref="C126:F126"/>
    <mergeCell ref="C133:F133"/>
    <mergeCell ref="C137:F137"/>
    <mergeCell ref="C141:F141"/>
    <mergeCell ref="C146:F146"/>
    <mergeCell ref="C149:F149"/>
    <mergeCell ref="C155:F155"/>
    <mergeCell ref="C158:F158"/>
    <mergeCell ref="C162:F162"/>
    <mergeCell ref="C109:F109"/>
    <mergeCell ref="C44:F44"/>
    <mergeCell ref="C49:F49"/>
    <mergeCell ref="C56:F56"/>
    <mergeCell ref="C61:F61"/>
    <mergeCell ref="C68:F68"/>
    <mergeCell ref="C74:F74"/>
    <mergeCell ref="C80:F80"/>
    <mergeCell ref="C86:F86"/>
    <mergeCell ref="C92:F92"/>
    <mergeCell ref="C98:F98"/>
    <mergeCell ref="C104:F104"/>
    <mergeCell ref="C37:F37"/>
    <mergeCell ref="A3:J3"/>
    <mergeCell ref="A4:J4"/>
    <mergeCell ref="A5:J5"/>
    <mergeCell ref="A6:J6"/>
    <mergeCell ref="A10:J10"/>
    <mergeCell ref="C11:F11"/>
    <mergeCell ref="C16:F16"/>
    <mergeCell ref="C21:F21"/>
    <mergeCell ref="C24:F24"/>
    <mergeCell ref="C30:F30"/>
    <mergeCell ref="C34:F34"/>
  </mergeCells>
  <printOptions horizontalCentered="1"/>
  <pageMargins left="0.39370078740157483" right="0.39370078740157483" top="0.39370078740157483" bottom="0.59055118110236227" header="0.31496062992125984" footer="0.31496062992125984"/>
  <pageSetup paperSize="9" scale="68" fitToHeight="0" orientation="landscape" r:id="rId1"/>
  <headerFooter>
    <oddFooter>&amp;L&amp;9AGÊNCIA DE ASSUNTOS METROPOLITANOS DO PARANÁ - AMEP
DIRETORIA DE OBRAS&amp;C&amp;9ENGª CIBELE CRISTINE MELLO FRANCZAK
DIRETORA DE OBRAS&amp;R&amp;9Página &amp;P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N52"/>
  <sheetViews>
    <sheetView showGridLines="0" zoomScaleNormal="100" zoomScaleSheetLayoutView="40" workbookViewId="0">
      <selection activeCell="B30" sqref="B30"/>
    </sheetView>
  </sheetViews>
  <sheetFormatPr defaultColWidth="9.140625" defaultRowHeight="15.75"/>
  <cols>
    <col min="1" max="2" width="9.7109375" style="144" customWidth="1"/>
    <col min="3" max="3" width="76" style="144" customWidth="1"/>
    <col min="4" max="5" width="8.7109375" style="144" customWidth="1"/>
    <col min="6" max="7" width="6.140625" style="144" bestFit="1" customWidth="1"/>
    <col min="8" max="8" width="9.7109375" style="144" customWidth="1"/>
    <col min="9" max="9" width="12.7109375" style="144" customWidth="1"/>
    <col min="10" max="11" width="14.7109375" style="144" customWidth="1"/>
    <col min="12" max="12" width="4.42578125" style="144" customWidth="1"/>
    <col min="13" max="14" width="14.7109375" style="144" customWidth="1"/>
    <col min="15" max="16384" width="9.140625" style="144"/>
  </cols>
  <sheetData>
    <row r="1" spans="1:14" s="130" customFormat="1">
      <c r="A1" s="131"/>
      <c r="B1" s="131"/>
      <c r="D1" s="131"/>
      <c r="E1" s="132"/>
      <c r="F1" s="132"/>
      <c r="G1" s="132"/>
      <c r="H1" s="132"/>
      <c r="I1" s="132"/>
      <c r="J1" s="131"/>
      <c r="K1" s="132"/>
      <c r="M1" s="132"/>
      <c r="N1" s="132"/>
    </row>
    <row r="2" spans="1:14" s="133" customFormat="1">
      <c r="A2" s="555" t="s">
        <v>167</v>
      </c>
      <c r="B2" s="555"/>
      <c r="C2" s="555"/>
      <c r="D2" s="555"/>
      <c r="E2" s="555"/>
      <c r="F2" s="555"/>
      <c r="G2" s="555"/>
      <c r="H2" s="555"/>
      <c r="I2" s="555"/>
    </row>
    <row r="3" spans="1:14" s="133" customFormat="1">
      <c r="A3" s="556" t="s">
        <v>165</v>
      </c>
      <c r="B3" s="556"/>
      <c r="C3" s="556"/>
      <c r="D3" s="556"/>
      <c r="E3" s="556"/>
      <c r="F3" s="556"/>
      <c r="G3" s="556"/>
      <c r="H3" s="556"/>
      <c r="I3" s="556"/>
    </row>
    <row r="4" spans="1:14" s="133" customFormat="1">
      <c r="A4" s="556"/>
      <c r="B4" s="556"/>
      <c r="C4" s="556"/>
      <c r="D4" s="556"/>
      <c r="E4" s="556"/>
      <c r="F4" s="556"/>
      <c r="G4" s="556"/>
      <c r="H4" s="556"/>
      <c r="I4" s="556"/>
    </row>
    <row r="5" spans="1:14" s="133" customFormat="1">
      <c r="A5" s="556" t="s">
        <v>25931</v>
      </c>
      <c r="B5" s="556"/>
      <c r="C5" s="556"/>
      <c r="D5" s="556"/>
      <c r="E5" s="556"/>
      <c r="F5" s="556"/>
      <c r="G5" s="556"/>
      <c r="H5" s="556"/>
      <c r="I5" s="556"/>
    </row>
    <row r="6" spans="1:14" s="130" customFormat="1">
      <c r="A6" s="554"/>
      <c r="B6" s="554"/>
      <c r="C6" s="554"/>
      <c r="D6" s="554"/>
      <c r="E6" s="132"/>
      <c r="F6" s="132"/>
      <c r="G6" s="132"/>
      <c r="H6" s="132"/>
      <c r="I6" s="132"/>
      <c r="J6" s="131"/>
      <c r="K6" s="132"/>
      <c r="M6" s="132"/>
      <c r="N6" s="132"/>
    </row>
    <row r="7" spans="1:14" s="130" customFormat="1">
      <c r="A7" s="554"/>
      <c r="B7" s="554"/>
      <c r="C7" s="554"/>
      <c r="D7" s="554"/>
      <c r="E7" s="132"/>
      <c r="F7" s="132"/>
      <c r="G7" s="132"/>
      <c r="H7" s="132"/>
      <c r="I7" s="132"/>
      <c r="J7" s="131"/>
      <c r="K7" s="132"/>
      <c r="M7" s="132"/>
      <c r="N7" s="132"/>
    </row>
    <row r="8" spans="1:14" s="136" customFormat="1">
      <c r="A8" s="552" t="s">
        <v>9022</v>
      </c>
      <c r="B8" s="552"/>
      <c r="C8" s="552"/>
      <c r="D8" s="552"/>
      <c r="E8" s="552"/>
      <c r="F8" s="552"/>
      <c r="G8" s="552"/>
      <c r="H8" s="552"/>
      <c r="I8" s="552"/>
      <c r="J8" s="134"/>
      <c r="K8" s="135">
        <v>52</v>
      </c>
      <c r="M8" s="135"/>
      <c r="N8" s="135"/>
    </row>
    <row r="9" spans="1:14" s="136" customFormat="1">
      <c r="A9" s="552" t="s">
        <v>9023</v>
      </c>
      <c r="B9" s="552"/>
      <c r="C9" s="552"/>
      <c r="D9" s="552"/>
      <c r="E9" s="552"/>
      <c r="F9" s="552"/>
      <c r="G9" s="552"/>
      <c r="H9" s="552"/>
      <c r="I9" s="552"/>
      <c r="J9" s="134"/>
      <c r="K9" s="135">
        <v>40</v>
      </c>
      <c r="M9" s="135"/>
      <c r="N9" s="135"/>
    </row>
    <row r="10" spans="1:14" s="136" customFormat="1" ht="24" customHeight="1">
      <c r="A10" s="553" t="s">
        <v>22720</v>
      </c>
      <c r="B10" s="553"/>
      <c r="C10" s="553"/>
      <c r="D10" s="553"/>
      <c r="E10" s="553"/>
      <c r="F10" s="553"/>
      <c r="G10" s="553"/>
      <c r="H10" s="553"/>
      <c r="I10" s="553"/>
      <c r="J10" s="553"/>
      <c r="K10" s="553"/>
      <c r="M10" s="553"/>
      <c r="N10" s="553"/>
    </row>
    <row r="11" spans="1:14" s="136" customFormat="1" ht="51" customHeight="1">
      <c r="A11" s="145" t="s">
        <v>156</v>
      </c>
      <c r="B11" s="145" t="s">
        <v>155</v>
      </c>
      <c r="C11" s="145" t="s">
        <v>9014</v>
      </c>
      <c r="D11" s="145" t="s">
        <v>9020</v>
      </c>
      <c r="E11" s="145" t="s">
        <v>166</v>
      </c>
      <c r="F11" s="145" t="s">
        <v>103</v>
      </c>
      <c r="G11" s="145" t="s">
        <v>104</v>
      </c>
      <c r="H11" s="145" t="s">
        <v>156</v>
      </c>
      <c r="I11" s="145" t="s">
        <v>970</v>
      </c>
      <c r="J11" s="145" t="s">
        <v>159</v>
      </c>
      <c r="K11" s="145" t="s">
        <v>369</v>
      </c>
      <c r="M11" s="114" t="s">
        <v>25918</v>
      </c>
      <c r="N11" s="114" t="s">
        <v>25919</v>
      </c>
    </row>
    <row r="12" spans="1:14" s="136" customFormat="1" ht="24" customHeight="1">
      <c r="A12" s="137" t="s">
        <v>22714</v>
      </c>
      <c r="B12" s="137"/>
      <c r="C12" s="138" t="s">
        <v>322</v>
      </c>
      <c r="D12" s="138"/>
      <c r="E12" s="138"/>
      <c r="F12" s="138"/>
      <c r="G12" s="138"/>
      <c r="H12" s="138"/>
      <c r="I12" s="147"/>
      <c r="J12" s="147"/>
      <c r="K12" s="147">
        <f>SUM(K13:K20)</f>
        <v>6850.02</v>
      </c>
      <c r="M12" s="147">
        <f>SUM(M13:M20)</f>
        <v>785.16</v>
      </c>
      <c r="N12" s="147">
        <f>SUM(N13:N20)</f>
        <v>6064.86</v>
      </c>
    </row>
    <row r="13" spans="1:14" s="136" customFormat="1" ht="24" customHeight="1">
      <c r="A13" s="139">
        <v>316060</v>
      </c>
      <c r="B13" s="139" t="s">
        <v>9013</v>
      </c>
      <c r="C13" s="140" t="str">
        <f>VLOOKUP(A13,'17. CUSTOS DER - EQUIPAMENTOS'!A:B,2,0)</f>
        <v>CAM. BASCUL. 1419 6M3 LEVE</v>
      </c>
      <c r="D13" s="141">
        <f>$K$8</f>
        <v>52</v>
      </c>
      <c r="E13" s="146">
        <v>2</v>
      </c>
      <c r="F13" s="146">
        <v>1</v>
      </c>
      <c r="G13" s="146">
        <v>1</v>
      </c>
      <c r="H13" s="142">
        <v>316060</v>
      </c>
      <c r="I13" s="146">
        <f>VLOOKUP(A13,'17. CUSTOS DER - EQUIPAMENTOS'!A:O,15,0)</f>
        <v>254.76</v>
      </c>
      <c r="J13" s="146">
        <f t="shared" ref="J13:J20" si="0">TRUNC(IFERROR(((D13*F13*G13)/$K$9)*I13,0),2)</f>
        <v>331.18</v>
      </c>
      <c r="K13" s="148">
        <f>J13*E13</f>
        <v>662.36</v>
      </c>
      <c r="M13" s="148">
        <f>VLOOKUP(A13,'17. CUSTOS DER - EQUIPAMENTOS'!A:P,13,)*E13</f>
        <v>81.52</v>
      </c>
      <c r="N13" s="148">
        <f>K13-M13</f>
        <v>580.84</v>
      </c>
    </row>
    <row r="14" spans="1:14" s="136" customFormat="1" ht="24" customHeight="1">
      <c r="A14" s="139">
        <v>321820</v>
      </c>
      <c r="B14" s="139" t="s">
        <v>9013</v>
      </c>
      <c r="C14" s="140" t="str">
        <f>VLOOKUP(A14,'17. CUSTOS DER - EQUIPAMENTOS'!A:B,2,0)</f>
        <v>CAM. BASCUL. 2426/48 10M3 MÉDIA</v>
      </c>
      <c r="D14" s="141">
        <f t="shared" ref="D14:D20" si="1">$K$8</f>
        <v>52</v>
      </c>
      <c r="E14" s="146">
        <v>8</v>
      </c>
      <c r="F14" s="146">
        <v>1</v>
      </c>
      <c r="G14" s="146">
        <v>1</v>
      </c>
      <c r="H14" s="142">
        <v>321820</v>
      </c>
      <c r="I14" s="146">
        <f>VLOOKUP(A14,'17. CUSTOS DER - EQUIPAMENTOS'!A:O,15,0)</f>
        <v>327.67</v>
      </c>
      <c r="J14" s="146">
        <f t="shared" si="0"/>
        <v>425.97</v>
      </c>
      <c r="K14" s="148">
        <f t="shared" ref="K14:K20" si="2">J14*E14</f>
        <v>3407.76</v>
      </c>
      <c r="M14" s="148">
        <f>VLOOKUP(A14,'17. CUSTOS DER - EQUIPAMENTOS'!A:P,13,)*E14</f>
        <v>326.08</v>
      </c>
      <c r="N14" s="148">
        <f t="shared" ref="N14:N20" si="3">K14-M14</f>
        <v>3081.6800000000003</v>
      </c>
    </row>
    <row r="15" spans="1:14" s="136" customFormat="1" ht="24" customHeight="1">
      <c r="A15" s="139">
        <v>346020</v>
      </c>
      <c r="B15" s="139" t="s">
        <v>9013</v>
      </c>
      <c r="C15" s="140" t="str">
        <f>VLOOKUP(A15,'17. CUSTOS DER - EQUIPAMENTOS'!A:B,2,0)</f>
        <v>CAMINHÃO C/ GUINDAUTO</v>
      </c>
      <c r="D15" s="141">
        <f t="shared" si="1"/>
        <v>52</v>
      </c>
      <c r="E15" s="146">
        <v>1</v>
      </c>
      <c r="F15" s="146">
        <v>1</v>
      </c>
      <c r="G15" s="146">
        <v>1</v>
      </c>
      <c r="H15" s="142">
        <v>346020</v>
      </c>
      <c r="I15" s="146">
        <f>VLOOKUP(A15,'17. CUSTOS DER - EQUIPAMENTOS'!A:O,15,0)</f>
        <v>279.58</v>
      </c>
      <c r="J15" s="146">
        <f t="shared" si="0"/>
        <v>363.45</v>
      </c>
      <c r="K15" s="148">
        <f t="shared" si="2"/>
        <v>363.45</v>
      </c>
      <c r="M15" s="148">
        <f>VLOOKUP(A15,'17. CUSTOS DER - EQUIPAMENTOS'!A:P,13,)*E15</f>
        <v>40.76</v>
      </c>
      <c r="N15" s="148">
        <f t="shared" si="3"/>
        <v>322.69</v>
      </c>
    </row>
    <row r="16" spans="1:14" s="136" customFormat="1" ht="24" customHeight="1">
      <c r="A16" s="139">
        <v>346080</v>
      </c>
      <c r="B16" s="139" t="s">
        <v>9013</v>
      </c>
      <c r="C16" s="140" t="str">
        <f>VLOOKUP(A16,'17. CUSTOS DER - EQUIPAMENTOS'!A:B,2,0)</f>
        <v>CAMINHÃO CARROCERIA 815/37 6 T</v>
      </c>
      <c r="D16" s="141">
        <f t="shared" si="1"/>
        <v>52</v>
      </c>
      <c r="E16" s="146">
        <v>1</v>
      </c>
      <c r="F16" s="146">
        <v>1</v>
      </c>
      <c r="G16" s="146">
        <v>1</v>
      </c>
      <c r="H16" s="142">
        <v>346080</v>
      </c>
      <c r="I16" s="146">
        <f>VLOOKUP(A16,'17. CUSTOS DER - EQUIPAMENTOS'!A:O,15,0)</f>
        <v>197.05</v>
      </c>
      <c r="J16" s="146">
        <f t="shared" si="0"/>
        <v>256.16000000000003</v>
      </c>
      <c r="K16" s="148">
        <f t="shared" si="2"/>
        <v>256.16000000000003</v>
      </c>
      <c r="M16" s="148">
        <f>VLOOKUP(A16,'17. CUSTOS DER - EQUIPAMENTOS'!A:P,13,)*E16</f>
        <v>34.32</v>
      </c>
      <c r="N16" s="148">
        <f t="shared" si="3"/>
        <v>221.84000000000003</v>
      </c>
    </row>
    <row r="17" spans="1:14" s="136" customFormat="1" ht="24" customHeight="1">
      <c r="A17" s="139">
        <v>346000</v>
      </c>
      <c r="B17" s="139" t="s">
        <v>9013</v>
      </c>
      <c r="C17" s="140" t="str">
        <f>VLOOKUP(A17,'17. CUSTOS DER - EQUIPAMENTOS'!A:B,2,0)</f>
        <v>CAMINHÃO CARROCERIA 1419 14 T</v>
      </c>
      <c r="D17" s="141">
        <f t="shared" si="1"/>
        <v>52</v>
      </c>
      <c r="E17" s="146">
        <v>1</v>
      </c>
      <c r="F17" s="146">
        <v>1</v>
      </c>
      <c r="G17" s="146">
        <v>1</v>
      </c>
      <c r="H17" s="142">
        <v>346000</v>
      </c>
      <c r="I17" s="146">
        <f>VLOOKUP(A17,'17. CUSTOS DER - EQUIPAMENTOS'!A:O,15,0)</f>
        <v>248.47</v>
      </c>
      <c r="J17" s="146">
        <f t="shared" si="0"/>
        <v>323.01</v>
      </c>
      <c r="K17" s="148">
        <f t="shared" si="2"/>
        <v>323.01</v>
      </c>
      <c r="M17" s="148">
        <f>VLOOKUP(A17,'17. CUSTOS DER - EQUIPAMENTOS'!A:P,13,)*E17</f>
        <v>40.76</v>
      </c>
      <c r="N17" s="148">
        <f t="shared" si="3"/>
        <v>282.25</v>
      </c>
    </row>
    <row r="18" spans="1:14" s="136" customFormat="1" ht="24" customHeight="1">
      <c r="A18" s="139">
        <v>346070</v>
      </c>
      <c r="B18" s="139" t="s">
        <v>9013</v>
      </c>
      <c r="C18" s="140" t="str">
        <f>VLOOKUP(A18,'17. CUSTOS DER - EQUIPAMENTOS'!A:B,2,0)</f>
        <v>CAMINHÃO PIPA 6000 L</v>
      </c>
      <c r="D18" s="141">
        <f t="shared" si="1"/>
        <v>52</v>
      </c>
      <c r="E18" s="146">
        <v>2</v>
      </c>
      <c r="F18" s="146">
        <v>1</v>
      </c>
      <c r="G18" s="146">
        <v>1</v>
      </c>
      <c r="H18" s="142">
        <v>346070</v>
      </c>
      <c r="I18" s="146">
        <f>VLOOKUP(A18,'17. CUSTOS DER - EQUIPAMENTOS'!A:O,15,0)</f>
        <v>252.78</v>
      </c>
      <c r="J18" s="146">
        <f t="shared" si="0"/>
        <v>328.61</v>
      </c>
      <c r="K18" s="148">
        <f t="shared" si="2"/>
        <v>657.22</v>
      </c>
      <c r="M18" s="148">
        <f>VLOOKUP(A18,'17. CUSTOS DER - EQUIPAMENTOS'!A:P,13,)*E18</f>
        <v>68.64</v>
      </c>
      <c r="N18" s="148">
        <f t="shared" si="3"/>
        <v>588.58000000000004</v>
      </c>
    </row>
    <row r="19" spans="1:14" s="136" customFormat="1" ht="24" customHeight="1">
      <c r="A19" s="139">
        <v>370070</v>
      </c>
      <c r="B19" s="139" t="s">
        <v>9013</v>
      </c>
      <c r="C19" s="140" t="str">
        <f>VLOOKUP(A19,'17. CUSTOS DER - EQUIPAMENTOS'!A:B,2,0)</f>
        <v>AUTOMÓVEL SEDAN POT. MÍN.60 HP(C/MOTOR.)</v>
      </c>
      <c r="D19" s="141">
        <f t="shared" si="1"/>
        <v>52</v>
      </c>
      <c r="E19" s="146">
        <v>4</v>
      </c>
      <c r="F19" s="146">
        <v>1</v>
      </c>
      <c r="G19" s="146">
        <v>1</v>
      </c>
      <c r="H19" s="142">
        <v>370070</v>
      </c>
      <c r="I19" s="146">
        <f>VLOOKUP(A19,'17. CUSTOS DER - EQUIPAMENTOS'!A:O,15,0)</f>
        <v>142.69999999999999</v>
      </c>
      <c r="J19" s="146">
        <f t="shared" si="0"/>
        <v>185.51</v>
      </c>
      <c r="K19" s="148">
        <f t="shared" si="2"/>
        <v>742.04</v>
      </c>
      <c r="M19" s="148">
        <f>VLOOKUP(A19,'17. CUSTOS DER - EQUIPAMENTOS'!A:P,13,)*E19</f>
        <v>128.72</v>
      </c>
      <c r="N19" s="148">
        <f t="shared" si="3"/>
        <v>613.31999999999994</v>
      </c>
    </row>
    <row r="20" spans="1:14" s="136" customFormat="1" ht="24" customHeight="1">
      <c r="A20" s="139">
        <v>370110</v>
      </c>
      <c r="B20" s="139" t="s">
        <v>9013</v>
      </c>
      <c r="C20" s="140" t="str">
        <f>VLOOKUP(A20,'17. CUSTOS DER - EQUIPAMENTOS'!A:B,2,0)</f>
        <v>VEÍCULO UTILITÁRIO POT. MÍN. 60 HP(C/MOTOR.)</v>
      </c>
      <c r="D20" s="141">
        <f t="shared" si="1"/>
        <v>52</v>
      </c>
      <c r="E20" s="146">
        <v>2</v>
      </c>
      <c r="F20" s="146">
        <v>1</v>
      </c>
      <c r="G20" s="146">
        <v>1</v>
      </c>
      <c r="H20" s="142">
        <v>370110</v>
      </c>
      <c r="I20" s="146">
        <f>VLOOKUP(A20,'17. CUSTOS DER - EQUIPAMENTOS'!A:O,15,0)</f>
        <v>168.47</v>
      </c>
      <c r="J20" s="146">
        <f t="shared" si="0"/>
        <v>219.01</v>
      </c>
      <c r="K20" s="148">
        <f t="shared" si="2"/>
        <v>438.02</v>
      </c>
      <c r="M20" s="148">
        <f>VLOOKUP(A20,'17. CUSTOS DER - EQUIPAMENTOS'!A:P,13,)*E20</f>
        <v>64.36</v>
      </c>
      <c r="N20" s="148">
        <f t="shared" si="3"/>
        <v>373.65999999999997</v>
      </c>
    </row>
    <row r="21" spans="1:14" s="136" customFormat="1" ht="51" customHeight="1">
      <c r="A21" s="145" t="s">
        <v>156</v>
      </c>
      <c r="B21" s="145" t="s">
        <v>155</v>
      </c>
      <c r="C21" s="145" t="s">
        <v>9014</v>
      </c>
      <c r="D21" s="145" t="s">
        <v>9020</v>
      </c>
      <c r="E21" s="145" t="s">
        <v>166</v>
      </c>
      <c r="F21" s="145" t="s">
        <v>103</v>
      </c>
      <c r="G21" s="145" t="s">
        <v>104</v>
      </c>
      <c r="H21" s="145" t="s">
        <v>156</v>
      </c>
      <c r="I21" s="145" t="s">
        <v>970</v>
      </c>
      <c r="J21" s="145" t="s">
        <v>159</v>
      </c>
      <c r="K21" s="145" t="s">
        <v>369</v>
      </c>
      <c r="M21" s="114" t="s">
        <v>25918</v>
      </c>
      <c r="N21" s="114" t="s">
        <v>25919</v>
      </c>
    </row>
    <row r="22" spans="1:14" s="136" customFormat="1" ht="24" customHeight="1">
      <c r="A22" s="137" t="s">
        <v>22719</v>
      </c>
      <c r="B22" s="137"/>
      <c r="C22" s="143" t="s">
        <v>323</v>
      </c>
      <c r="D22" s="138"/>
      <c r="E22" s="138"/>
      <c r="F22" s="138"/>
      <c r="G22" s="138"/>
      <c r="H22" s="138"/>
      <c r="I22" s="147"/>
      <c r="J22" s="147"/>
      <c r="K22" s="147">
        <f>SUM(K23:K37)</f>
        <v>19837.400000000005</v>
      </c>
      <c r="M22" s="147">
        <f>SUM(M23:M37)</f>
        <v>956.76</v>
      </c>
      <c r="N22" s="147">
        <f>SUM(N23:N37)</f>
        <v>18880.64</v>
      </c>
    </row>
    <row r="23" spans="1:14" s="136" customFormat="1" ht="24" customHeight="1">
      <c r="A23" s="139">
        <v>329300</v>
      </c>
      <c r="B23" s="139" t="s">
        <v>9013</v>
      </c>
      <c r="C23" s="140" t="str">
        <f>VLOOKUP(A23,'17. CUSTOS DER - EQUIPAMENTOS'!A:B,2,0)</f>
        <v>CARREG. FRONTAL PNEUS 924-K MÉDIA</v>
      </c>
      <c r="D23" s="141">
        <f>$K$8</f>
        <v>52</v>
      </c>
      <c r="E23" s="146">
        <v>2</v>
      </c>
      <c r="F23" s="146">
        <v>2</v>
      </c>
      <c r="G23" s="146">
        <v>0.5</v>
      </c>
      <c r="H23" s="142" t="s">
        <v>105</v>
      </c>
      <c r="I23" s="146">
        <f>VLOOKUP(H23,'20. CUSTOS DNIT - EQUIPAMENTOS'!A:J,10,0)</f>
        <v>381.48790000000002</v>
      </c>
      <c r="J23" s="146">
        <f t="shared" ref="J23:J37" si="4">TRUNC(IFERROR(((D23*F23*G23)/$K$9)*I23,0),2)</f>
        <v>495.93</v>
      </c>
      <c r="K23" s="148">
        <f t="shared" ref="K23:K37" si="5">ROUND(IFERROR(((D23*F23*G23)/$K$9)*I23*E23,0),2)</f>
        <v>991.87</v>
      </c>
      <c r="M23" s="148">
        <f>VLOOKUP(A23,'17. CUSTOS DER - EQUIPAMENTOS'!A:P,13,)*E23</f>
        <v>81.52</v>
      </c>
      <c r="N23" s="148">
        <f t="shared" ref="N23:N37" si="6">K23-M23</f>
        <v>910.35</v>
      </c>
    </row>
    <row r="24" spans="1:14" s="136" customFormat="1" ht="24" customHeight="1">
      <c r="A24" s="139">
        <v>340320</v>
      </c>
      <c r="B24" s="139" t="s">
        <v>9013</v>
      </c>
      <c r="C24" s="140" t="str">
        <f>VLOOKUP(A24,'17. CUSTOS DER - EQUIPAMENTOS'!A:B,2,0)</f>
        <v>DISTR. AGREGADOS REBOCÁVEL 9 M³</v>
      </c>
      <c r="D24" s="141">
        <f t="shared" ref="D24:D37" si="7">$K$8</f>
        <v>52</v>
      </c>
      <c r="E24" s="146">
        <v>2</v>
      </c>
      <c r="F24" s="146">
        <v>2</v>
      </c>
      <c r="G24" s="146">
        <v>0.5</v>
      </c>
      <c r="H24" s="142" t="s">
        <v>105</v>
      </c>
      <c r="I24" s="146">
        <f>VLOOKUP(H24,'20. CUSTOS DNIT - EQUIPAMENTOS'!A:J,10,0)</f>
        <v>381.48790000000002</v>
      </c>
      <c r="J24" s="146">
        <f t="shared" si="4"/>
        <v>495.93</v>
      </c>
      <c r="K24" s="148">
        <f t="shared" si="5"/>
        <v>991.87</v>
      </c>
      <c r="M24" s="148">
        <f>VLOOKUP(A24,'17. CUSTOS DER - EQUIPAMENTOS'!A:P,13,)*E24</f>
        <v>81.52</v>
      </c>
      <c r="N24" s="148">
        <f t="shared" si="6"/>
        <v>910.35</v>
      </c>
    </row>
    <row r="25" spans="1:14" s="136" customFormat="1" ht="24" customHeight="1">
      <c r="A25" s="139">
        <v>320800</v>
      </c>
      <c r="B25" s="139" t="s">
        <v>9013</v>
      </c>
      <c r="C25" s="140" t="str">
        <f>VLOOKUP(A25,'17. CUSTOS DER - EQUIPAMENTOS'!A:B,2,0)</f>
        <v>ESCAV. HIDRÁULICA E-215 C MÉDIA</v>
      </c>
      <c r="D25" s="141">
        <f t="shared" si="7"/>
        <v>52</v>
      </c>
      <c r="E25" s="146">
        <v>2</v>
      </c>
      <c r="F25" s="146">
        <v>2</v>
      </c>
      <c r="G25" s="146">
        <v>1</v>
      </c>
      <c r="H25" s="142" t="s">
        <v>105</v>
      </c>
      <c r="I25" s="146">
        <f>VLOOKUP(H25,'20. CUSTOS DNIT - EQUIPAMENTOS'!A:J,10,0)</f>
        <v>381.48790000000002</v>
      </c>
      <c r="J25" s="146">
        <f t="shared" si="4"/>
        <v>991.86</v>
      </c>
      <c r="K25" s="148">
        <f t="shared" si="5"/>
        <v>1983.74</v>
      </c>
      <c r="M25" s="148">
        <f>VLOOKUP(A25,'17. CUSTOS DER - EQUIPAMENTOS'!A:P,13,)*E25</f>
        <v>81.52</v>
      </c>
      <c r="N25" s="148">
        <f t="shared" si="6"/>
        <v>1902.22</v>
      </c>
    </row>
    <row r="26" spans="1:14" s="136" customFormat="1" ht="24" customHeight="1">
      <c r="A26" s="139">
        <v>323300</v>
      </c>
      <c r="B26" s="139" t="s">
        <v>9013</v>
      </c>
      <c r="C26" s="140" t="str">
        <f>VLOOKUP(A26,'17. CUSTOS DER - EQUIPAMENTOS'!A:B,2,0)</f>
        <v>ESCAV. HIDRÁULICA 336D L MÉDIA</v>
      </c>
      <c r="D26" s="141">
        <f t="shared" si="7"/>
        <v>52</v>
      </c>
      <c r="E26" s="146">
        <v>2</v>
      </c>
      <c r="F26" s="146">
        <v>2</v>
      </c>
      <c r="G26" s="146">
        <v>1</v>
      </c>
      <c r="H26" s="142" t="s">
        <v>105</v>
      </c>
      <c r="I26" s="146">
        <f>VLOOKUP(H26,'20. CUSTOS DNIT - EQUIPAMENTOS'!A:J,10,0)</f>
        <v>381.48790000000002</v>
      </c>
      <c r="J26" s="146">
        <f t="shared" si="4"/>
        <v>991.86</v>
      </c>
      <c r="K26" s="148">
        <f t="shared" si="5"/>
        <v>1983.74</v>
      </c>
      <c r="M26" s="148">
        <f>VLOOKUP(A26,'17. CUSTOS DER - EQUIPAMENTOS'!A:P,13,)*E26</f>
        <v>81.52</v>
      </c>
      <c r="N26" s="148">
        <f t="shared" si="6"/>
        <v>1902.22</v>
      </c>
    </row>
    <row r="27" spans="1:14" s="136" customFormat="1" ht="24" customHeight="1">
      <c r="A27" s="139">
        <v>300240</v>
      </c>
      <c r="B27" s="139" t="s">
        <v>9013</v>
      </c>
      <c r="C27" s="140" t="str">
        <f>VLOOKUP(A27,'17. CUSTOS DER - EQUIPAMENTOS'!A:B,2,0)</f>
        <v>GRADE DE DISCOS</v>
      </c>
      <c r="D27" s="141">
        <f t="shared" si="7"/>
        <v>52</v>
      </c>
      <c r="E27" s="146">
        <v>1</v>
      </c>
      <c r="F27" s="146">
        <v>2</v>
      </c>
      <c r="G27" s="146">
        <v>1</v>
      </c>
      <c r="H27" s="142" t="s">
        <v>105</v>
      </c>
      <c r="I27" s="146">
        <f>VLOOKUP(H27,'20. CUSTOS DNIT - EQUIPAMENTOS'!A:J,10,0)</f>
        <v>381.48790000000002</v>
      </c>
      <c r="J27" s="146">
        <f t="shared" si="4"/>
        <v>991.86</v>
      </c>
      <c r="K27" s="148">
        <f t="shared" si="5"/>
        <v>991.87</v>
      </c>
      <c r="M27" s="148">
        <f>VLOOKUP(A27,'17. CUSTOS DER - EQUIPAMENTOS'!A:P,13,)*E27</f>
        <v>0</v>
      </c>
      <c r="N27" s="148">
        <f t="shared" si="6"/>
        <v>991.87</v>
      </c>
    </row>
    <row r="28" spans="1:14" s="136" customFormat="1" ht="24" customHeight="1">
      <c r="A28" s="139">
        <v>341100</v>
      </c>
      <c r="B28" s="139" t="s">
        <v>9013</v>
      </c>
      <c r="C28" s="140" t="str">
        <f>VLOOKUP(A28,'17. CUSTOS DER - EQUIPAMENTOS'!A:B,2,0)</f>
        <v>TRATOR AGRÍCOLA BH-174 4X4</v>
      </c>
      <c r="D28" s="141">
        <f t="shared" si="7"/>
        <v>52</v>
      </c>
      <c r="E28" s="146">
        <v>2</v>
      </c>
      <c r="F28" s="146">
        <v>2</v>
      </c>
      <c r="G28" s="146">
        <v>0.5</v>
      </c>
      <c r="H28" s="142" t="s">
        <v>105</v>
      </c>
      <c r="I28" s="146">
        <f>VLOOKUP(H28,'20. CUSTOS DNIT - EQUIPAMENTOS'!A:J,10,0)</f>
        <v>381.48790000000002</v>
      </c>
      <c r="J28" s="146">
        <f t="shared" si="4"/>
        <v>495.93</v>
      </c>
      <c r="K28" s="148">
        <f t="shared" si="5"/>
        <v>991.87</v>
      </c>
      <c r="M28" s="148">
        <f>VLOOKUP(A28,'17. CUSTOS DER - EQUIPAMENTOS'!A:P,13,)*E28</f>
        <v>64.36</v>
      </c>
      <c r="N28" s="148">
        <f t="shared" si="6"/>
        <v>927.51</v>
      </c>
    </row>
    <row r="29" spans="1:14" s="136" customFormat="1" ht="24" customHeight="1">
      <c r="A29" s="139">
        <v>370440</v>
      </c>
      <c r="B29" s="139" t="s">
        <v>9013</v>
      </c>
      <c r="C29" s="140" t="str">
        <f>VLOOKUP(A29,'17. CUSTOS DER - EQUIPAMENTOS'!A:B,2,0)</f>
        <v>MÁQUINA PINTURA DE FAIXAS</v>
      </c>
      <c r="D29" s="141">
        <f t="shared" si="7"/>
        <v>52</v>
      </c>
      <c r="E29" s="146">
        <v>1</v>
      </c>
      <c r="F29" s="146">
        <v>2</v>
      </c>
      <c r="G29" s="146">
        <v>1</v>
      </c>
      <c r="H29" s="142" t="s">
        <v>105</v>
      </c>
      <c r="I29" s="146">
        <f>VLOOKUP(H29,'20. CUSTOS DNIT - EQUIPAMENTOS'!A:J,10,0)</f>
        <v>381.48790000000002</v>
      </c>
      <c r="J29" s="146">
        <f t="shared" si="4"/>
        <v>991.86</v>
      </c>
      <c r="K29" s="148">
        <f t="shared" si="5"/>
        <v>991.87</v>
      </c>
      <c r="M29" s="148">
        <f>VLOOKUP(A29,'17. CUSTOS DER - EQUIPAMENTOS'!A:P,13,)*E29</f>
        <v>40.76</v>
      </c>
      <c r="N29" s="148">
        <f t="shared" si="6"/>
        <v>951.11</v>
      </c>
    </row>
    <row r="30" spans="1:14" s="136" customFormat="1" ht="24" customHeight="1">
      <c r="A30" s="139">
        <v>321400</v>
      </c>
      <c r="B30" s="139" t="s">
        <v>9013</v>
      </c>
      <c r="C30" s="140" t="str">
        <f>VLOOKUP(A30,'17. CUSTOS DER - EQUIPAMENTOS'!A:B,2,0)</f>
        <v>MOTONIVELADORA C/ ESCARIFICADOR 140-K MÉDIA</v>
      </c>
      <c r="D30" s="141">
        <f t="shared" si="7"/>
        <v>52</v>
      </c>
      <c r="E30" s="146">
        <v>3</v>
      </c>
      <c r="F30" s="146">
        <v>2</v>
      </c>
      <c r="G30" s="146">
        <v>1</v>
      </c>
      <c r="H30" s="142" t="s">
        <v>105</v>
      </c>
      <c r="I30" s="146">
        <f>VLOOKUP(H30,'20. CUSTOS DNIT - EQUIPAMENTOS'!A:J,10,0)</f>
        <v>381.48790000000002</v>
      </c>
      <c r="J30" s="146">
        <f t="shared" si="4"/>
        <v>991.86</v>
      </c>
      <c r="K30" s="148">
        <f t="shared" si="5"/>
        <v>2975.61</v>
      </c>
      <c r="M30" s="148">
        <f>VLOOKUP(A30,'17. CUSTOS DER - EQUIPAMENTOS'!A:P,13,)*E30</f>
        <v>122.28</v>
      </c>
      <c r="N30" s="148">
        <f t="shared" si="6"/>
        <v>2853.33</v>
      </c>
    </row>
    <row r="31" spans="1:14" s="136" customFormat="1" ht="24" customHeight="1">
      <c r="A31" s="139">
        <v>322520</v>
      </c>
      <c r="B31" s="139" t="s">
        <v>9013</v>
      </c>
      <c r="C31" s="140" t="str">
        <f>VLOOKUP(A31,'17. CUSTOS DER - EQUIPAMENTOS'!A:B,2,0)</f>
        <v>RETROESCAVADEIRA 580N MÉDIA</v>
      </c>
      <c r="D31" s="141">
        <f t="shared" si="7"/>
        <v>52</v>
      </c>
      <c r="E31" s="146">
        <v>2</v>
      </c>
      <c r="F31" s="146">
        <v>2</v>
      </c>
      <c r="G31" s="146">
        <v>0.5</v>
      </c>
      <c r="H31" s="142" t="s">
        <v>105</v>
      </c>
      <c r="I31" s="146">
        <f>VLOOKUP(H31,'20. CUSTOS DNIT - EQUIPAMENTOS'!A:J,10,0)</f>
        <v>381.48790000000002</v>
      </c>
      <c r="J31" s="146">
        <f t="shared" si="4"/>
        <v>495.93</v>
      </c>
      <c r="K31" s="148">
        <f t="shared" si="5"/>
        <v>991.87</v>
      </c>
      <c r="M31" s="148">
        <f>VLOOKUP(A31,'17. CUSTOS DER - EQUIPAMENTOS'!A:P,13,)*E31</f>
        <v>68.64</v>
      </c>
      <c r="N31" s="148">
        <f t="shared" si="6"/>
        <v>923.23</v>
      </c>
    </row>
    <row r="32" spans="1:14" s="136" customFormat="1" ht="24" customHeight="1">
      <c r="A32" s="139">
        <v>340210</v>
      </c>
      <c r="B32" s="139" t="s">
        <v>9013</v>
      </c>
      <c r="C32" s="140" t="str">
        <f>VLOOKUP(A32,'17. CUSTOS DER - EQUIPAMENTOS'!A:B,2,0)</f>
        <v>ROLO PNEUS AUTOPROPELIDO 22 T</v>
      </c>
      <c r="D32" s="141">
        <f t="shared" si="7"/>
        <v>52</v>
      </c>
      <c r="E32" s="146">
        <v>1</v>
      </c>
      <c r="F32" s="146">
        <v>2</v>
      </c>
      <c r="G32" s="146">
        <v>1</v>
      </c>
      <c r="H32" s="142" t="s">
        <v>105</v>
      </c>
      <c r="I32" s="146">
        <f>VLOOKUP(H32,'20. CUSTOS DNIT - EQUIPAMENTOS'!A:J,10,0)</f>
        <v>381.48790000000002</v>
      </c>
      <c r="J32" s="146">
        <f t="shared" si="4"/>
        <v>991.86</v>
      </c>
      <c r="K32" s="148">
        <f t="shared" si="5"/>
        <v>991.87</v>
      </c>
      <c r="M32" s="148">
        <f>VLOOKUP(A32,'17. CUSTOS DER - EQUIPAMENTOS'!A:P,13,)*E32</f>
        <v>34.32</v>
      </c>
      <c r="N32" s="148">
        <f t="shared" si="6"/>
        <v>957.55</v>
      </c>
    </row>
    <row r="33" spans="1:14" s="136" customFormat="1" ht="24" customHeight="1">
      <c r="A33" s="139">
        <v>340150</v>
      </c>
      <c r="B33" s="139" t="s">
        <v>9013</v>
      </c>
      <c r="C33" s="140" t="str">
        <f>VLOOKUP(A33,'17. CUSTOS DER - EQUIPAMENTOS'!A:B,2,0)</f>
        <v>ROLO PÉ DE CARNEIRO AUTOPROPELIDO VAP-70 PT</v>
      </c>
      <c r="D33" s="141">
        <f t="shared" si="7"/>
        <v>52</v>
      </c>
      <c r="E33" s="146">
        <v>2</v>
      </c>
      <c r="F33" s="146">
        <v>2</v>
      </c>
      <c r="G33" s="146">
        <v>0.5</v>
      </c>
      <c r="H33" s="142" t="s">
        <v>105</v>
      </c>
      <c r="I33" s="146">
        <f>VLOOKUP(H33,'20. CUSTOS DNIT - EQUIPAMENTOS'!A:J,10,0)</f>
        <v>381.48790000000002</v>
      </c>
      <c r="J33" s="146">
        <f t="shared" si="4"/>
        <v>495.93</v>
      </c>
      <c r="K33" s="148">
        <f t="shared" si="5"/>
        <v>991.87</v>
      </c>
      <c r="M33" s="148">
        <f>VLOOKUP(A33,'17. CUSTOS DER - EQUIPAMENTOS'!A:P,13,)*E33</f>
        <v>68.64</v>
      </c>
      <c r="N33" s="148">
        <f t="shared" si="6"/>
        <v>923.23</v>
      </c>
    </row>
    <row r="34" spans="1:14" s="136" customFormat="1" ht="24" customHeight="1">
      <c r="A34" s="139">
        <v>342220</v>
      </c>
      <c r="B34" s="139" t="s">
        <v>9013</v>
      </c>
      <c r="C34" s="140" t="str">
        <f>VLOOKUP(A34,'17. CUSTOS DER - EQUIPAMENTOS'!A:B,2,0)</f>
        <v>ROLO TANDEM LISO AUTOPROPELIDO CC-4200</v>
      </c>
      <c r="D34" s="141">
        <f t="shared" si="7"/>
        <v>52</v>
      </c>
      <c r="E34" s="146">
        <v>2</v>
      </c>
      <c r="F34" s="146">
        <v>2</v>
      </c>
      <c r="G34" s="146">
        <v>0.5</v>
      </c>
      <c r="H34" s="142" t="s">
        <v>105</v>
      </c>
      <c r="I34" s="146">
        <f>VLOOKUP(H34,'20. CUSTOS DNIT - EQUIPAMENTOS'!A:J,10,0)</f>
        <v>381.48790000000002</v>
      </c>
      <c r="J34" s="146">
        <f t="shared" si="4"/>
        <v>495.93</v>
      </c>
      <c r="K34" s="148">
        <f t="shared" si="5"/>
        <v>991.87</v>
      </c>
      <c r="M34" s="148">
        <f>VLOOKUP(A34,'17. CUSTOS DER - EQUIPAMENTOS'!A:P,13,)*E34</f>
        <v>68.64</v>
      </c>
      <c r="N34" s="148">
        <f t="shared" si="6"/>
        <v>923.23</v>
      </c>
    </row>
    <row r="35" spans="1:14" s="136" customFormat="1" ht="24" customHeight="1">
      <c r="A35" s="139">
        <v>340410</v>
      </c>
      <c r="B35" s="139" t="s">
        <v>9013</v>
      </c>
      <c r="C35" s="140" t="str">
        <f>VLOOKUP(A35,'17. CUSTOS DER - EQUIPAMENTOS'!A:B,2,0)</f>
        <v>VIBRO ACABADORA ESTEIRAS</v>
      </c>
      <c r="D35" s="141">
        <f t="shared" si="7"/>
        <v>52</v>
      </c>
      <c r="E35" s="146">
        <v>2</v>
      </c>
      <c r="F35" s="146">
        <v>2</v>
      </c>
      <c r="G35" s="146">
        <v>0.5</v>
      </c>
      <c r="H35" s="142" t="s">
        <v>105</v>
      </c>
      <c r="I35" s="146">
        <f>VLOOKUP(H35,'20. CUSTOS DNIT - EQUIPAMENTOS'!A:J,10,0)</f>
        <v>381.48790000000002</v>
      </c>
      <c r="J35" s="146">
        <f t="shared" si="4"/>
        <v>495.93</v>
      </c>
      <c r="K35" s="148">
        <f t="shared" si="5"/>
        <v>991.87</v>
      </c>
      <c r="M35" s="148">
        <f>VLOOKUP(A35,'17. CUSTOS DER - EQUIPAMENTOS'!A:P,13,)*E35</f>
        <v>81.52</v>
      </c>
      <c r="N35" s="148">
        <f t="shared" si="6"/>
        <v>910.35</v>
      </c>
    </row>
    <row r="36" spans="1:14" s="136" customFormat="1" ht="24" customHeight="1">
      <c r="A36" s="139">
        <v>320060</v>
      </c>
      <c r="B36" s="139" t="s">
        <v>9013</v>
      </c>
      <c r="C36" s="140" t="str">
        <f>VLOOKUP(A36,'17. CUSTOS DER - EQUIPAMENTOS'!A:B,2,0)</f>
        <v>TRATOR LÂMINA D6-N MÉDIA</v>
      </c>
      <c r="D36" s="141">
        <f t="shared" si="7"/>
        <v>52</v>
      </c>
      <c r="E36" s="146">
        <v>2</v>
      </c>
      <c r="F36" s="146">
        <v>2</v>
      </c>
      <c r="G36" s="146">
        <v>1</v>
      </c>
      <c r="H36" s="142" t="s">
        <v>105</v>
      </c>
      <c r="I36" s="146">
        <f>VLOOKUP(H36,'20. CUSTOS DNIT - EQUIPAMENTOS'!A:J,10,0)</f>
        <v>381.48790000000002</v>
      </c>
      <c r="J36" s="146">
        <f t="shared" si="4"/>
        <v>991.86</v>
      </c>
      <c r="K36" s="148">
        <f t="shared" si="5"/>
        <v>1983.74</v>
      </c>
      <c r="M36" s="148">
        <f>VLOOKUP(A36,'17. CUSTOS DER - EQUIPAMENTOS'!A:P,13,)*E36</f>
        <v>81.52</v>
      </c>
      <c r="N36" s="148">
        <f t="shared" si="6"/>
        <v>1902.22</v>
      </c>
    </row>
    <row r="37" spans="1:14" s="136" customFormat="1" ht="24" customHeight="1">
      <c r="A37" s="139">
        <v>300200</v>
      </c>
      <c r="B37" s="139" t="s">
        <v>9013</v>
      </c>
      <c r="C37" s="140" t="str">
        <f>VLOOKUP(A37,'17. CUSTOS DER - EQUIPAMENTOS'!A:B,2,0)</f>
        <v>TANQUE DEPÓSITO ASFALTO FRIO 20000 L</v>
      </c>
      <c r="D37" s="141">
        <f t="shared" si="7"/>
        <v>52</v>
      </c>
      <c r="E37" s="146">
        <v>1</v>
      </c>
      <c r="F37" s="146">
        <v>2</v>
      </c>
      <c r="G37" s="146">
        <v>1</v>
      </c>
      <c r="H37" s="142" t="s">
        <v>105</v>
      </c>
      <c r="I37" s="146">
        <f>VLOOKUP(H37,'20. CUSTOS DNIT - EQUIPAMENTOS'!A:J,10,0)</f>
        <v>381.48790000000002</v>
      </c>
      <c r="J37" s="146">
        <f t="shared" si="4"/>
        <v>991.86</v>
      </c>
      <c r="K37" s="148">
        <f t="shared" si="5"/>
        <v>991.87</v>
      </c>
      <c r="M37" s="148">
        <f>VLOOKUP(A37,'17. CUSTOS DER - EQUIPAMENTOS'!A:P,13,)*E37</f>
        <v>0</v>
      </c>
      <c r="N37" s="148">
        <f t="shared" si="6"/>
        <v>991.87</v>
      </c>
    </row>
    <row r="38" spans="1:14" s="136" customFormat="1" ht="24" customHeight="1"/>
    <row r="39" spans="1:14" s="136" customFormat="1" ht="24" customHeight="1"/>
    <row r="40" spans="1:14" s="136" customFormat="1" ht="24" customHeight="1"/>
    <row r="41" spans="1:14" s="136" customFormat="1" ht="24" customHeight="1"/>
    <row r="42" spans="1:14" s="136" customFormat="1" ht="24" customHeight="1"/>
    <row r="43" spans="1:14" s="136" customFormat="1" ht="24" customHeight="1"/>
    <row r="44" spans="1:14" s="136" customFormat="1" ht="24" customHeight="1"/>
    <row r="45" spans="1:14" s="136" customFormat="1" ht="24" customHeight="1"/>
    <row r="46" spans="1:14" s="136" customFormat="1" ht="24" customHeight="1"/>
    <row r="47" spans="1:14" s="136" customFormat="1" ht="24" customHeight="1"/>
    <row r="48" spans="1:14" s="136" customFormat="1" ht="24" customHeight="1"/>
    <row r="49" s="136" customFormat="1" ht="24" customHeight="1"/>
    <row r="50" s="136" customFormat="1" ht="24" customHeight="1"/>
    <row r="51" s="136" customFormat="1" ht="24" customHeight="1"/>
    <row r="52" s="136" customFormat="1" ht="24" customHeight="1"/>
  </sheetData>
  <mergeCells count="10">
    <mergeCell ref="M10:N10"/>
    <mergeCell ref="A8:I8"/>
    <mergeCell ref="A9:I9"/>
    <mergeCell ref="A10:K10"/>
    <mergeCell ref="A2:I2"/>
    <mergeCell ref="A3:I3"/>
    <mergeCell ref="A4:I4"/>
    <mergeCell ref="A5:I5"/>
    <mergeCell ref="A6:D6"/>
    <mergeCell ref="A7:D7"/>
  </mergeCells>
  <printOptions horizontalCentered="1"/>
  <pageMargins left="0.39370078740157483" right="0.39370078740157483" top="0.39370078740157483" bottom="0.59055118110236227" header="0.31496062992125984" footer="0.31496062992125984"/>
  <pageSetup paperSize="9" scale="80" fitToHeight="0" orientation="landscape" r:id="rId1"/>
  <headerFooter>
    <oddFooter>&amp;L&amp;9AGÊNCIA DE ASSUNTOS METROPOLITANOS DO PARANÁ - AMEP
DIRETORIA DE OBRAS&amp;C&amp;9ENGª CIBELE CRISTINE MELLO FRANCZAK
DIRETORA DE OBRAS&amp;R&amp;9Página &amp;P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2:M19"/>
  <sheetViews>
    <sheetView showGridLines="0" zoomScale="85" zoomScaleNormal="85" zoomScaleSheetLayoutView="100" workbookViewId="0">
      <selection activeCell="B30" sqref="B30"/>
    </sheetView>
  </sheetViews>
  <sheetFormatPr defaultRowHeight="15.75"/>
  <cols>
    <col min="1" max="1" width="18.28515625" style="6" customWidth="1"/>
    <col min="2" max="2" width="38.42578125" style="45" bestFit="1" customWidth="1"/>
    <col min="3" max="3" width="15.85546875" style="125" customWidth="1"/>
    <col min="4" max="4" width="14.28515625" style="125" customWidth="1"/>
    <col min="5" max="5" width="15.42578125" style="6" bestFit="1" customWidth="1"/>
    <col min="6" max="6" width="49.85546875" style="46" customWidth="1"/>
    <col min="7" max="7" width="13.85546875" style="47" customWidth="1"/>
    <col min="8" max="8" width="17.28515625" style="47" customWidth="1"/>
    <col min="9" max="9" width="14.5703125" style="47" bestFit="1" customWidth="1"/>
    <col min="10" max="10" width="16.7109375" style="47" customWidth="1"/>
    <col min="11" max="11" width="5.28515625" style="6" customWidth="1"/>
    <col min="12" max="13" width="16.7109375" style="47" customWidth="1"/>
    <col min="14" max="16384" width="9.140625" style="6"/>
  </cols>
  <sheetData>
    <row r="2" spans="1:13">
      <c r="A2" s="495" t="s">
        <v>167</v>
      </c>
      <c r="B2" s="495"/>
      <c r="C2" s="495"/>
      <c r="D2" s="495"/>
      <c r="E2" s="495"/>
      <c r="F2" s="495"/>
      <c r="G2" s="495"/>
      <c r="H2" s="495"/>
      <c r="I2" s="495"/>
      <c r="J2" s="495"/>
      <c r="L2" s="6"/>
      <c r="M2" s="6"/>
    </row>
    <row r="3" spans="1:13">
      <c r="A3" s="541" t="s">
        <v>165</v>
      </c>
      <c r="B3" s="541"/>
      <c r="C3" s="541"/>
      <c r="D3" s="541"/>
      <c r="E3" s="541"/>
      <c r="F3" s="541"/>
      <c r="G3" s="541"/>
      <c r="H3" s="541"/>
      <c r="I3" s="541"/>
      <c r="J3" s="541"/>
      <c r="L3" s="6"/>
      <c r="M3" s="6"/>
    </row>
    <row r="4" spans="1:13">
      <c r="A4" s="2"/>
      <c r="B4" s="1"/>
      <c r="C4" s="3"/>
      <c r="D4" s="3"/>
      <c r="E4" s="4"/>
      <c r="F4" s="42"/>
      <c r="G4" s="18"/>
      <c r="H4" s="18"/>
      <c r="I4" s="17"/>
      <c r="J4" s="17"/>
      <c r="L4" s="17"/>
      <c r="M4" s="17"/>
    </row>
    <row r="5" spans="1:13">
      <c r="A5" s="2" t="s">
        <v>25931</v>
      </c>
      <c r="B5" s="5"/>
      <c r="C5" s="4"/>
      <c r="D5" s="4"/>
      <c r="E5" s="4"/>
      <c r="F5" s="42"/>
      <c r="G5" s="18"/>
      <c r="H5" s="18"/>
      <c r="I5" s="19"/>
      <c r="J5" s="19"/>
      <c r="L5" s="19"/>
      <c r="M5" s="19"/>
    </row>
    <row r="6" spans="1:13">
      <c r="A6" s="2"/>
      <c r="B6" s="5"/>
      <c r="C6" s="4"/>
      <c r="D6" s="4"/>
      <c r="E6" s="4"/>
      <c r="F6" s="42"/>
      <c r="G6" s="18"/>
      <c r="H6" s="18"/>
      <c r="I6" s="19"/>
      <c r="J6" s="19"/>
      <c r="L6" s="19"/>
      <c r="M6" s="19"/>
    </row>
    <row r="7" spans="1:13">
      <c r="A7" s="2"/>
      <c r="B7" s="5"/>
      <c r="C7" s="4"/>
      <c r="D7" s="4"/>
      <c r="E7" s="4"/>
      <c r="F7" s="42"/>
      <c r="G7" s="18"/>
      <c r="H7" s="18"/>
      <c r="I7" s="19"/>
      <c r="J7" s="19"/>
      <c r="L7" s="19"/>
      <c r="M7" s="19"/>
    </row>
    <row r="8" spans="1:13">
      <c r="A8" s="2"/>
      <c r="B8" s="128"/>
      <c r="C8" s="4"/>
      <c r="D8" s="4"/>
      <c r="E8" s="4"/>
      <c r="F8" s="42"/>
      <c r="G8" s="18"/>
      <c r="H8" s="18"/>
      <c r="I8" s="19"/>
      <c r="J8" s="19"/>
      <c r="L8" s="19"/>
      <c r="M8" s="19"/>
    </row>
    <row r="9" spans="1:13">
      <c r="A9" s="504" t="s">
        <v>22713</v>
      </c>
      <c r="B9" s="504"/>
      <c r="C9" s="504"/>
      <c r="D9" s="504"/>
      <c r="E9" s="504"/>
      <c r="F9" s="504"/>
      <c r="G9" s="504"/>
      <c r="H9" s="504"/>
      <c r="I9" s="504"/>
      <c r="J9" s="504"/>
      <c r="L9" s="506"/>
      <c r="M9" s="508"/>
    </row>
    <row r="10" spans="1:13" ht="31.5">
      <c r="A10" s="126" t="s">
        <v>363</v>
      </c>
      <c r="B10" s="126" t="s">
        <v>364</v>
      </c>
      <c r="C10" s="126" t="s">
        <v>365</v>
      </c>
      <c r="D10" s="126" t="s">
        <v>155</v>
      </c>
      <c r="E10" s="126" t="s">
        <v>366</v>
      </c>
      <c r="F10" s="126" t="s">
        <v>367</v>
      </c>
      <c r="G10" s="114" t="s">
        <v>158</v>
      </c>
      <c r="H10" s="114" t="s">
        <v>368</v>
      </c>
      <c r="I10" s="114" t="s">
        <v>159</v>
      </c>
      <c r="J10" s="114" t="s">
        <v>369</v>
      </c>
      <c r="L10" s="114" t="s">
        <v>25918</v>
      </c>
      <c r="M10" s="114" t="s">
        <v>25919</v>
      </c>
    </row>
    <row r="11" spans="1:13" ht="31.5">
      <c r="A11" s="149" t="s">
        <v>22740</v>
      </c>
      <c r="B11" s="298" t="s">
        <v>22846</v>
      </c>
      <c r="C11" s="151"/>
      <c r="D11" s="151"/>
      <c r="E11" s="152"/>
      <c r="F11" s="153" t="s">
        <v>195</v>
      </c>
      <c r="G11" s="319" t="s">
        <v>328</v>
      </c>
      <c r="H11" s="154"/>
      <c r="I11" s="154"/>
      <c r="J11" s="154">
        <f>SUM(J12:J14)</f>
        <v>85.078390000000013</v>
      </c>
      <c r="L11" s="154">
        <f>SUM(L12:L14)</f>
        <v>15.586850000000002</v>
      </c>
      <c r="M11" s="154">
        <f>SUM(M12:M14)</f>
        <v>69.491540000000015</v>
      </c>
    </row>
    <row r="12" spans="1:13" ht="63">
      <c r="A12" s="9"/>
      <c r="B12" s="299"/>
      <c r="C12" s="124" t="s">
        <v>9007</v>
      </c>
      <c r="D12" s="124" t="s">
        <v>9008</v>
      </c>
      <c r="E12" s="12">
        <v>92763</v>
      </c>
      <c r="F12" s="43" t="str">
        <f>VLOOKUP(E12,'21. CUSTOS SINAPI - SERVIÇOS'!A:B,2,0)</f>
        <v>ARMAÇÃO DE PILAR OU VIGA DE ESTRUTURA CONVENCIONAL DE CONCRETO ARMADO UTILIZANDO AÇO CA-50 DE 12,5 MM - MONTAGEM. AF_06/2022</v>
      </c>
      <c r="G12" s="13" t="str">
        <f>VLOOKUP(E12,'21. CUSTOS SINAPI - SERVIÇOS'!A:C,3,0)</f>
        <v>KG</v>
      </c>
      <c r="H12" s="351">
        <v>0.96299999999999997</v>
      </c>
      <c r="I12" s="24">
        <f>VLOOKUP(E12,'21. CUSTOS SINAPI - SERVIÇOS'!A:D,4,0)</f>
        <v>9.9499999999999993</v>
      </c>
      <c r="J12" s="24">
        <f>I12*H12</f>
        <v>9.5818499999999993</v>
      </c>
      <c r="L12" s="24">
        <f>0.81*H12</f>
        <v>0.78003</v>
      </c>
      <c r="M12" s="24">
        <f>J12-L12</f>
        <v>8.8018199999999993</v>
      </c>
    </row>
    <row r="13" spans="1:13" ht="47.25">
      <c r="A13" s="9"/>
      <c r="B13" s="299"/>
      <c r="C13" s="124" t="s">
        <v>9007</v>
      </c>
      <c r="D13" s="124" t="s">
        <v>9008</v>
      </c>
      <c r="E13" s="12">
        <v>96530</v>
      </c>
      <c r="F13" s="43" t="str">
        <f>VLOOKUP(E13,'21. CUSTOS SINAPI - SERVIÇOS'!A:B,2,0)</f>
        <v>FABRICAÇÃO, MONTAGEM E DESMONTAGEM DE FÔRMA PARA VIGA BALDRAME, EM MADEIRA SERRADA, E=25 MM, 1 UTILIZAÇÃO. AF_06/2017</v>
      </c>
      <c r="G13" s="13" t="str">
        <f>VLOOKUP(E13,'21. CUSTOS SINAPI - SERVIÇOS'!A:C,3,0)</f>
        <v>M2</v>
      </c>
      <c r="H13" s="11">
        <f>0.14*2*1</f>
        <v>0.28000000000000003</v>
      </c>
      <c r="I13" s="24">
        <f>VLOOKUP(E13,'21. CUSTOS SINAPI - SERVIÇOS'!A:D,4,0)</f>
        <v>227.11</v>
      </c>
      <c r="J13" s="24">
        <f>I13*H13</f>
        <v>63.590800000000009</v>
      </c>
      <c r="L13" s="24">
        <f>51.5*H13</f>
        <v>14.420000000000002</v>
      </c>
      <c r="M13" s="24">
        <f t="shared" ref="M13:M14" si="0">J13-L13</f>
        <v>49.170800000000007</v>
      </c>
    </row>
    <row r="14" spans="1:13" ht="61.5" customHeight="1">
      <c r="A14" s="9"/>
      <c r="B14" s="299"/>
      <c r="C14" s="124" t="s">
        <v>9007</v>
      </c>
      <c r="D14" s="124" t="s">
        <v>9008</v>
      </c>
      <c r="E14" s="12">
        <v>96557</v>
      </c>
      <c r="F14" s="43" t="str">
        <f>VLOOKUP(E14,'21. CUSTOS SINAPI - SERVIÇOS'!A:B,2,0)</f>
        <v>CONCRETAGEM DE BLOCOS DE COROAMENTO E VIGAS BALDRAMES, FCK 30 MPA, COM USO DE BOMBA  LANÇAMENTO, ADENSAMENTO E ACABAMENTO. AF_06/2017</v>
      </c>
      <c r="G14" s="13" t="str">
        <f>VLOOKUP(E14,'21. CUSTOS SINAPI - SERVIÇOS'!A:C,3,0)</f>
        <v>M3</v>
      </c>
      <c r="H14" s="11">
        <f>0.15*0.14*1</f>
        <v>2.1000000000000001E-2</v>
      </c>
      <c r="I14" s="24">
        <f>VLOOKUP(E14,'21. CUSTOS SINAPI - SERVIÇOS'!A:D,4,0)</f>
        <v>566.94000000000005</v>
      </c>
      <c r="J14" s="24">
        <f>I14*H14</f>
        <v>11.905740000000002</v>
      </c>
      <c r="L14" s="24">
        <f>18.42*H14</f>
        <v>0.38682000000000005</v>
      </c>
      <c r="M14" s="24">
        <f t="shared" si="0"/>
        <v>11.518920000000001</v>
      </c>
    </row>
    <row r="15" spans="1:13" ht="31.5">
      <c r="A15" s="126" t="s">
        <v>363</v>
      </c>
      <c r="B15" s="126" t="s">
        <v>364</v>
      </c>
      <c r="C15" s="126" t="s">
        <v>365</v>
      </c>
      <c r="D15" s="126" t="s">
        <v>155</v>
      </c>
      <c r="E15" s="126" t="s">
        <v>366</v>
      </c>
      <c r="F15" s="126" t="s">
        <v>367</v>
      </c>
      <c r="G15" s="114" t="s">
        <v>158</v>
      </c>
      <c r="H15" s="114" t="s">
        <v>368</v>
      </c>
      <c r="I15" s="114" t="s">
        <v>159</v>
      </c>
      <c r="J15" s="114" t="s">
        <v>369</v>
      </c>
      <c r="L15" s="114" t="s">
        <v>25918</v>
      </c>
      <c r="M15" s="114" t="s">
        <v>25919</v>
      </c>
    </row>
    <row r="16" spans="1:13">
      <c r="A16" s="149" t="s">
        <v>22742</v>
      </c>
      <c r="B16" s="298" t="s">
        <v>22743</v>
      </c>
      <c r="C16" s="151"/>
      <c r="D16" s="151"/>
      <c r="E16" s="152"/>
      <c r="F16" s="153" t="s">
        <v>195</v>
      </c>
      <c r="G16" s="319" t="s">
        <v>328</v>
      </c>
      <c r="H16" s="154"/>
      <c r="I16" s="154"/>
      <c r="J16" s="154">
        <f>SUM(J17:J18)</f>
        <v>20.378</v>
      </c>
      <c r="L16" s="154">
        <f>SUM(L17:L18)</f>
        <v>2.613</v>
      </c>
      <c r="M16" s="154">
        <f>SUM(M17:M18)</f>
        <v>17.765000000000001</v>
      </c>
    </row>
    <row r="17" spans="1:13">
      <c r="A17" s="9"/>
      <c r="B17" s="299"/>
      <c r="C17" s="124" t="s">
        <v>9007</v>
      </c>
      <c r="D17" s="124" t="s">
        <v>9008</v>
      </c>
      <c r="E17" s="12">
        <v>88316</v>
      </c>
      <c r="F17" s="43" t="str">
        <f>VLOOKUP(E17,'21. CUSTOS SINAPI - SERVIÇOS'!A:B,2,0)</f>
        <v>SERVENTE COM ENCARGOS COMPLEMENTARES</v>
      </c>
      <c r="G17" s="13" t="str">
        <f>VLOOKUP(E17,'21. CUSTOS SINAPI - SERVIÇOS'!A:C,3,0)</f>
        <v>H</v>
      </c>
      <c r="H17" s="11">
        <v>0.15</v>
      </c>
      <c r="I17" s="24">
        <f>VLOOKUP(E17,'21. CUSTOS SINAPI - SERVIÇOS'!A:D,4,0)</f>
        <v>25.12</v>
      </c>
      <c r="J17" s="24">
        <f>I17*H17</f>
        <v>3.7679999999999998</v>
      </c>
      <c r="L17" s="24">
        <f>17.42*H17</f>
        <v>2.613</v>
      </c>
      <c r="M17" s="24">
        <f t="shared" ref="M17:M18" si="1">J17-L17</f>
        <v>1.1549999999999998</v>
      </c>
    </row>
    <row r="18" spans="1:13" ht="47.25">
      <c r="A18" s="9"/>
      <c r="B18" s="299"/>
      <c r="C18" s="124" t="s">
        <v>9007</v>
      </c>
      <c r="D18" s="124" t="s">
        <v>75</v>
      </c>
      <c r="E18" s="12">
        <v>13919</v>
      </c>
      <c r="F18" s="43" t="s">
        <v>22744</v>
      </c>
      <c r="G18" s="13" t="s">
        <v>328</v>
      </c>
      <c r="H18" s="11">
        <v>1</v>
      </c>
      <c r="I18" s="24">
        <v>16.61</v>
      </c>
      <c r="J18" s="24">
        <f>I18*H18</f>
        <v>16.61</v>
      </c>
      <c r="L18" s="24">
        <v>0</v>
      </c>
      <c r="M18" s="24">
        <f t="shared" si="1"/>
        <v>16.61</v>
      </c>
    </row>
    <row r="19" spans="1:13" ht="15" customHeight="1"/>
  </sheetData>
  <autoFilter ref="A1:J78"/>
  <mergeCells count="4">
    <mergeCell ref="A2:J2"/>
    <mergeCell ref="A3:J3"/>
    <mergeCell ref="A9:J9"/>
    <mergeCell ref="L9:M9"/>
  </mergeCells>
  <printOptions horizontalCentered="1"/>
  <pageMargins left="0.39370078740157483" right="0.39370078740157483" top="0.39370078740157483" bottom="0.59055118110236227" header="0.31496062992125984" footer="0.31496062992125984"/>
  <pageSetup paperSize="9" scale="66" fitToHeight="0" orientation="landscape" r:id="rId1"/>
  <headerFooter>
    <oddFooter>&amp;L&amp;9AGÊNCIA DE ASSUNTOS METROPOLITANOS DO PARANÁ - AMEP
DIRETORIA DE OBRAS&amp;C&amp;9ENGª CIBELE CRISTINE MELLO FRANCZAK
DIRETORA DE OBRAS&amp;R&amp;9Página &amp;P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2:H695"/>
  <sheetViews>
    <sheetView showGridLines="0" zoomScaleNormal="100" zoomScaleSheetLayoutView="100" workbookViewId="0">
      <selection activeCell="B30" sqref="B30"/>
    </sheetView>
  </sheetViews>
  <sheetFormatPr defaultRowHeight="15.75"/>
  <cols>
    <col min="1" max="1" width="15.42578125" style="57" customWidth="1"/>
    <col min="2" max="2" width="81.28515625" style="50" customWidth="1"/>
    <col min="3" max="3" width="12.7109375" style="50" customWidth="1"/>
    <col min="4" max="7" width="15.5703125" style="50" customWidth="1"/>
    <col min="8" max="8" width="15.5703125" style="57" customWidth="1"/>
    <col min="9" max="16384" width="9.140625" style="50"/>
  </cols>
  <sheetData>
    <row r="2" spans="1:8" s="6" customFormat="1">
      <c r="A2" s="495" t="s">
        <v>167</v>
      </c>
      <c r="B2" s="495"/>
      <c r="C2" s="495"/>
      <c r="D2" s="495"/>
      <c r="E2" s="495"/>
      <c r="F2" s="495"/>
      <c r="G2" s="495"/>
      <c r="H2" s="495"/>
    </row>
    <row r="3" spans="1:8" s="6" customFormat="1">
      <c r="A3" s="541" t="s">
        <v>165</v>
      </c>
      <c r="B3" s="541"/>
      <c r="C3" s="541"/>
      <c r="D3" s="541"/>
      <c r="E3" s="541"/>
      <c r="F3" s="541"/>
      <c r="G3" s="541"/>
      <c r="H3" s="541"/>
    </row>
    <row r="4" spans="1:8" s="6" customFormat="1">
      <c r="A4" s="539"/>
      <c r="B4" s="539"/>
      <c r="C4" s="539"/>
      <c r="D4" s="539"/>
      <c r="E4" s="539"/>
      <c r="F4" s="539"/>
      <c r="G4" s="539"/>
      <c r="H4" s="539"/>
    </row>
    <row r="5" spans="1:8" s="6" customFormat="1">
      <c r="A5" s="539" t="s">
        <v>25931</v>
      </c>
      <c r="B5" s="539"/>
      <c r="C5" s="539"/>
      <c r="D5" s="539"/>
      <c r="E5" s="539"/>
      <c r="F5" s="539"/>
      <c r="G5" s="539"/>
      <c r="H5" s="539"/>
    </row>
    <row r="6" spans="1:8" s="6" customFormat="1">
      <c r="A6" s="58"/>
      <c r="B6" s="4"/>
      <c r="C6" s="444"/>
      <c r="D6" s="444"/>
      <c r="H6" s="61"/>
    </row>
    <row r="7" spans="1:8" s="6" customFormat="1">
      <c r="A7" s="58"/>
      <c r="B7" s="4"/>
      <c r="C7" s="444"/>
      <c r="D7" s="444"/>
      <c r="H7" s="61"/>
    </row>
    <row r="8" spans="1:8" s="6" customFormat="1">
      <c r="A8" s="58"/>
      <c r="B8" s="4"/>
      <c r="C8" s="444"/>
      <c r="D8" s="444"/>
      <c r="H8" s="61"/>
    </row>
    <row r="9" spans="1:8">
      <c r="A9" s="576" t="s">
        <v>25902</v>
      </c>
      <c r="B9" s="576"/>
      <c r="C9" s="576"/>
      <c r="D9" s="576"/>
      <c r="E9" s="576"/>
      <c r="F9" s="576"/>
      <c r="G9" s="576"/>
      <c r="H9" s="576"/>
    </row>
    <row r="10" spans="1:8" ht="36" customHeight="1">
      <c r="A10" s="56" t="s">
        <v>156</v>
      </c>
      <c r="B10" s="56" t="s">
        <v>370</v>
      </c>
      <c r="C10" s="56" t="s">
        <v>371</v>
      </c>
      <c r="D10" s="56" t="s">
        <v>372</v>
      </c>
      <c r="E10" s="56" t="s">
        <v>373</v>
      </c>
      <c r="F10" s="56" t="s">
        <v>374</v>
      </c>
      <c r="G10" s="56" t="s">
        <v>159</v>
      </c>
      <c r="H10" s="56" t="s">
        <v>161</v>
      </c>
    </row>
    <row r="11" spans="1:8" ht="15.75" customHeight="1">
      <c r="A11" s="65"/>
      <c r="B11" s="65" t="s">
        <v>4</v>
      </c>
      <c r="C11" s="65"/>
      <c r="D11" s="65"/>
      <c r="E11" s="65"/>
      <c r="F11" s="65"/>
      <c r="G11" s="65"/>
      <c r="H11" s="64"/>
    </row>
    <row r="12" spans="1:8" ht="31.5" customHeight="1">
      <c r="A12" s="59">
        <v>401025</v>
      </c>
      <c r="B12" s="51" t="s">
        <v>381</v>
      </c>
      <c r="C12" s="52" t="s">
        <v>950</v>
      </c>
      <c r="D12" s="53">
        <v>187.36</v>
      </c>
      <c r="E12" s="53">
        <v>0</v>
      </c>
      <c r="F12" s="53">
        <v>0</v>
      </c>
      <c r="G12" s="53">
        <v>187.36</v>
      </c>
      <c r="H12" s="52" t="s">
        <v>25903</v>
      </c>
    </row>
    <row r="13" spans="1:8" ht="15.75" customHeight="1">
      <c r="A13" s="59">
        <v>400500</v>
      </c>
      <c r="B13" s="51" t="s">
        <v>382</v>
      </c>
      <c r="C13" s="52" t="s">
        <v>950</v>
      </c>
      <c r="D13" s="53">
        <v>1.18</v>
      </c>
      <c r="E13" s="53">
        <v>82.65</v>
      </c>
      <c r="F13" s="53">
        <v>0</v>
      </c>
      <c r="G13" s="53">
        <v>83.83</v>
      </c>
      <c r="H13" s="52" t="s">
        <v>25903</v>
      </c>
    </row>
    <row r="14" spans="1:8" ht="15.75" customHeight="1">
      <c r="A14" s="59">
        <v>400950</v>
      </c>
      <c r="B14" s="51" t="s">
        <v>383</v>
      </c>
      <c r="C14" s="52" t="s">
        <v>950</v>
      </c>
      <c r="D14" s="53">
        <v>5.44</v>
      </c>
      <c r="E14" s="53">
        <v>0</v>
      </c>
      <c r="F14" s="53">
        <v>0</v>
      </c>
      <c r="G14" s="53">
        <v>5.44</v>
      </c>
      <c r="H14" s="68"/>
    </row>
    <row r="15" spans="1:8" ht="15.75" customHeight="1">
      <c r="A15" s="59">
        <v>401950</v>
      </c>
      <c r="B15" s="51" t="s">
        <v>204</v>
      </c>
      <c r="C15" s="52" t="s">
        <v>950</v>
      </c>
      <c r="D15" s="53">
        <v>5.54</v>
      </c>
      <c r="E15" s="53">
        <v>0</v>
      </c>
      <c r="F15" s="53">
        <v>0</v>
      </c>
      <c r="G15" s="53">
        <v>5.54</v>
      </c>
      <c r="H15" s="68"/>
    </row>
    <row r="16" spans="1:8" ht="15.75" customHeight="1">
      <c r="A16" s="59">
        <v>401200</v>
      </c>
      <c r="B16" s="51" t="s">
        <v>384</v>
      </c>
      <c r="C16" s="52" t="s">
        <v>950</v>
      </c>
      <c r="D16" s="53">
        <v>1.55</v>
      </c>
      <c r="E16" s="53">
        <v>0</v>
      </c>
      <c r="F16" s="53">
        <v>0</v>
      </c>
      <c r="G16" s="53">
        <v>1.55</v>
      </c>
      <c r="H16" s="68"/>
    </row>
    <row r="17" spans="1:8" ht="15.75" customHeight="1">
      <c r="A17" s="59">
        <v>402000</v>
      </c>
      <c r="B17" s="51" t="s">
        <v>205</v>
      </c>
      <c r="C17" s="52" t="s">
        <v>950</v>
      </c>
      <c r="D17" s="53">
        <v>7.29</v>
      </c>
      <c r="E17" s="53">
        <v>0</v>
      </c>
      <c r="F17" s="53">
        <v>0</v>
      </c>
      <c r="G17" s="53">
        <v>7.29</v>
      </c>
      <c r="H17" s="68"/>
    </row>
    <row r="18" spans="1:8" ht="15.75" customHeight="1">
      <c r="A18" s="59">
        <v>403000</v>
      </c>
      <c r="B18" s="51" t="s">
        <v>206</v>
      </c>
      <c r="C18" s="52" t="s">
        <v>950</v>
      </c>
      <c r="D18" s="53">
        <v>7.23</v>
      </c>
      <c r="E18" s="53">
        <v>0</v>
      </c>
      <c r="F18" s="53">
        <v>0</v>
      </c>
      <c r="G18" s="53">
        <v>7.23</v>
      </c>
      <c r="H18" s="68"/>
    </row>
    <row r="19" spans="1:8" ht="15.75" customHeight="1">
      <c r="A19" s="59">
        <v>401000</v>
      </c>
      <c r="B19" s="51" t="s">
        <v>385</v>
      </c>
      <c r="C19" s="52" t="s">
        <v>950</v>
      </c>
      <c r="D19" s="53">
        <v>6.67</v>
      </c>
      <c r="E19" s="53">
        <v>0</v>
      </c>
      <c r="F19" s="53">
        <v>0</v>
      </c>
      <c r="G19" s="53">
        <v>6.67</v>
      </c>
      <c r="H19" s="68"/>
    </row>
    <row r="20" spans="1:8" ht="15.75" customHeight="1">
      <c r="A20" s="59">
        <v>401100</v>
      </c>
      <c r="B20" s="51" t="s">
        <v>203</v>
      </c>
      <c r="C20" s="52" t="s">
        <v>950</v>
      </c>
      <c r="D20" s="53">
        <v>6.66</v>
      </c>
      <c r="E20" s="53">
        <v>0</v>
      </c>
      <c r="F20" s="53">
        <v>0</v>
      </c>
      <c r="G20" s="53">
        <v>6.66</v>
      </c>
      <c r="H20" s="68"/>
    </row>
    <row r="21" spans="1:8" ht="15.75" customHeight="1">
      <c r="A21" s="59">
        <v>400000</v>
      </c>
      <c r="B21" s="51" t="s">
        <v>201</v>
      </c>
      <c r="C21" s="52" t="s">
        <v>951</v>
      </c>
      <c r="D21" s="53">
        <v>1.1399999999999999</v>
      </c>
      <c r="E21" s="53">
        <v>0</v>
      </c>
      <c r="F21" s="53">
        <v>0</v>
      </c>
      <c r="G21" s="53">
        <v>1.1399999999999999</v>
      </c>
      <c r="H21" s="68"/>
    </row>
    <row r="22" spans="1:8" ht="15.75" customHeight="1">
      <c r="A22" s="59">
        <v>400300</v>
      </c>
      <c r="B22" s="51" t="s">
        <v>202</v>
      </c>
      <c r="C22" s="52" t="s">
        <v>952</v>
      </c>
      <c r="D22" s="53">
        <v>49.34</v>
      </c>
      <c r="E22" s="53">
        <v>0</v>
      </c>
      <c r="F22" s="53">
        <v>0</v>
      </c>
      <c r="G22" s="53">
        <v>49.34</v>
      </c>
      <c r="H22" s="68"/>
    </row>
    <row r="23" spans="1:8" ht="15.75" customHeight="1">
      <c r="A23" s="59">
        <v>410200</v>
      </c>
      <c r="B23" s="51" t="s">
        <v>386</v>
      </c>
      <c r="C23" s="52" t="s">
        <v>950</v>
      </c>
      <c r="D23" s="53">
        <v>8.33</v>
      </c>
      <c r="E23" s="53">
        <v>0</v>
      </c>
      <c r="F23" s="53">
        <v>0</v>
      </c>
      <c r="G23" s="53">
        <v>8.33</v>
      </c>
      <c r="H23" s="68"/>
    </row>
    <row r="24" spans="1:8" ht="15.75" customHeight="1">
      <c r="A24" s="59">
        <v>410400</v>
      </c>
      <c r="B24" s="51" t="s">
        <v>387</v>
      </c>
      <c r="C24" s="52" t="s">
        <v>950</v>
      </c>
      <c r="D24" s="53">
        <v>8.56</v>
      </c>
      <c r="E24" s="53">
        <v>0</v>
      </c>
      <c r="F24" s="53">
        <v>0</v>
      </c>
      <c r="G24" s="53">
        <v>8.56</v>
      </c>
      <c r="H24" s="68"/>
    </row>
    <row r="25" spans="1:8" ht="15.75" customHeight="1">
      <c r="A25" s="59">
        <v>410600</v>
      </c>
      <c r="B25" s="51" t="s">
        <v>388</v>
      </c>
      <c r="C25" s="52" t="s">
        <v>950</v>
      </c>
      <c r="D25" s="53">
        <v>8.86</v>
      </c>
      <c r="E25" s="53">
        <v>0</v>
      </c>
      <c r="F25" s="53">
        <v>0</v>
      </c>
      <c r="G25" s="53">
        <v>8.86</v>
      </c>
      <c r="H25" s="68"/>
    </row>
    <row r="26" spans="1:8" ht="15.75" customHeight="1">
      <c r="A26" s="59">
        <v>410800</v>
      </c>
      <c r="B26" s="51" t="s">
        <v>389</v>
      </c>
      <c r="C26" s="52" t="s">
        <v>950</v>
      </c>
      <c r="D26" s="53">
        <v>9.17</v>
      </c>
      <c r="E26" s="53">
        <v>0</v>
      </c>
      <c r="F26" s="53">
        <v>0</v>
      </c>
      <c r="G26" s="53">
        <v>9.17</v>
      </c>
      <c r="H26" s="68"/>
    </row>
    <row r="27" spans="1:8" ht="15.75" customHeight="1">
      <c r="A27" s="59">
        <v>411000</v>
      </c>
      <c r="B27" s="51" t="s">
        <v>390</v>
      </c>
      <c r="C27" s="52" t="s">
        <v>950</v>
      </c>
      <c r="D27" s="53">
        <v>9.51</v>
      </c>
      <c r="E27" s="53">
        <v>0</v>
      </c>
      <c r="F27" s="53">
        <v>0</v>
      </c>
      <c r="G27" s="53">
        <v>9.51</v>
      </c>
      <c r="H27" s="68"/>
    </row>
    <row r="28" spans="1:8" ht="15.75" customHeight="1">
      <c r="A28" s="59">
        <v>411200</v>
      </c>
      <c r="B28" s="51" t="s">
        <v>208</v>
      </c>
      <c r="C28" s="52" t="s">
        <v>950</v>
      </c>
      <c r="D28" s="53">
        <v>9.82</v>
      </c>
      <c r="E28" s="53">
        <v>0</v>
      </c>
      <c r="F28" s="53">
        <v>0</v>
      </c>
      <c r="G28" s="53">
        <v>9.82</v>
      </c>
      <c r="H28" s="68"/>
    </row>
    <row r="29" spans="1:8" ht="15.75" customHeight="1">
      <c r="A29" s="59">
        <v>411400</v>
      </c>
      <c r="B29" s="51" t="s">
        <v>209</v>
      </c>
      <c r="C29" s="52" t="s">
        <v>950</v>
      </c>
      <c r="D29" s="53">
        <v>10.82</v>
      </c>
      <c r="E29" s="53">
        <v>0</v>
      </c>
      <c r="F29" s="53">
        <v>0</v>
      </c>
      <c r="G29" s="53">
        <v>10.82</v>
      </c>
      <c r="H29" s="68"/>
    </row>
    <row r="30" spans="1:8" ht="15.75" customHeight="1">
      <c r="A30" s="59">
        <v>411600</v>
      </c>
      <c r="B30" s="51" t="s">
        <v>391</v>
      </c>
      <c r="C30" s="52" t="s">
        <v>950</v>
      </c>
      <c r="D30" s="53">
        <v>11.17</v>
      </c>
      <c r="E30" s="53">
        <v>0</v>
      </c>
      <c r="F30" s="53">
        <v>0</v>
      </c>
      <c r="G30" s="53">
        <v>11.17</v>
      </c>
      <c r="H30" s="68"/>
    </row>
    <row r="31" spans="1:8" ht="15.75" customHeight="1">
      <c r="A31" s="59">
        <v>412000</v>
      </c>
      <c r="B31" s="51" t="s">
        <v>392</v>
      </c>
      <c r="C31" s="52" t="s">
        <v>950</v>
      </c>
      <c r="D31" s="53">
        <v>11.74</v>
      </c>
      <c r="E31" s="53">
        <v>0</v>
      </c>
      <c r="F31" s="53">
        <v>0</v>
      </c>
      <c r="G31" s="53">
        <v>11.74</v>
      </c>
      <c r="H31" s="68"/>
    </row>
    <row r="32" spans="1:8" ht="15.75" customHeight="1">
      <c r="A32" s="59">
        <v>413000</v>
      </c>
      <c r="B32" s="51" t="s">
        <v>210</v>
      </c>
      <c r="C32" s="52" t="s">
        <v>950</v>
      </c>
      <c r="D32" s="53">
        <v>13.51</v>
      </c>
      <c r="E32" s="53">
        <v>0</v>
      </c>
      <c r="F32" s="53">
        <v>0</v>
      </c>
      <c r="G32" s="53">
        <v>13.51</v>
      </c>
      <c r="H32" s="68"/>
    </row>
    <row r="33" spans="1:8" ht="15.75" customHeight="1">
      <c r="A33" s="59">
        <v>414000</v>
      </c>
      <c r="B33" s="51" t="s">
        <v>393</v>
      </c>
      <c r="C33" s="52" t="s">
        <v>950</v>
      </c>
      <c r="D33" s="53">
        <v>15.12</v>
      </c>
      <c r="E33" s="53">
        <v>0</v>
      </c>
      <c r="F33" s="53">
        <v>0</v>
      </c>
      <c r="G33" s="53">
        <v>15.12</v>
      </c>
      <c r="H33" s="68"/>
    </row>
    <row r="34" spans="1:8" ht="15.75" customHeight="1">
      <c r="A34" s="59">
        <v>415000</v>
      </c>
      <c r="B34" s="51" t="s">
        <v>394</v>
      </c>
      <c r="C34" s="52" t="s">
        <v>950</v>
      </c>
      <c r="D34" s="53">
        <v>17.399999999999999</v>
      </c>
      <c r="E34" s="53">
        <v>0</v>
      </c>
      <c r="F34" s="53">
        <v>0</v>
      </c>
      <c r="G34" s="53">
        <v>17.399999999999999</v>
      </c>
      <c r="H34" s="68"/>
    </row>
    <row r="35" spans="1:8" ht="15.75" customHeight="1">
      <c r="A35" s="59">
        <v>416010</v>
      </c>
      <c r="B35" s="51" t="s">
        <v>395</v>
      </c>
      <c r="C35" s="52" t="s">
        <v>950</v>
      </c>
      <c r="D35" s="53">
        <v>19.8</v>
      </c>
      <c r="E35" s="53">
        <v>0</v>
      </c>
      <c r="F35" s="53">
        <v>0</v>
      </c>
      <c r="G35" s="53">
        <v>19.8</v>
      </c>
      <c r="H35" s="68"/>
    </row>
    <row r="36" spans="1:8" ht="15.75" customHeight="1">
      <c r="A36" s="59">
        <v>418000</v>
      </c>
      <c r="B36" s="51" t="s">
        <v>396</v>
      </c>
      <c r="C36" s="52" t="s">
        <v>950</v>
      </c>
      <c r="D36" s="53">
        <v>22.84</v>
      </c>
      <c r="E36" s="53">
        <v>0</v>
      </c>
      <c r="F36" s="53">
        <v>0</v>
      </c>
      <c r="G36" s="53">
        <v>22.84</v>
      </c>
      <c r="H36" s="68"/>
    </row>
    <row r="37" spans="1:8" ht="15.75" customHeight="1">
      <c r="A37" s="59">
        <v>419000</v>
      </c>
      <c r="B37" s="51" t="s">
        <v>397</v>
      </c>
      <c r="C37" s="52" t="s">
        <v>950</v>
      </c>
      <c r="D37" s="53">
        <v>27.46</v>
      </c>
      <c r="E37" s="53">
        <v>0</v>
      </c>
      <c r="F37" s="53">
        <v>0</v>
      </c>
      <c r="G37" s="53">
        <v>27.46</v>
      </c>
      <c r="H37" s="68"/>
    </row>
    <row r="38" spans="1:8" ht="15.75" customHeight="1">
      <c r="A38" s="59">
        <v>420200</v>
      </c>
      <c r="B38" s="51" t="s">
        <v>398</v>
      </c>
      <c r="C38" s="52" t="s">
        <v>950</v>
      </c>
      <c r="D38" s="53">
        <v>11.51</v>
      </c>
      <c r="E38" s="53">
        <v>0</v>
      </c>
      <c r="F38" s="53">
        <v>0</v>
      </c>
      <c r="G38" s="53">
        <v>11.51</v>
      </c>
      <c r="H38" s="68"/>
    </row>
    <row r="39" spans="1:8" ht="15.75" customHeight="1">
      <c r="A39" s="59">
        <v>420400</v>
      </c>
      <c r="B39" s="51" t="s">
        <v>399</v>
      </c>
      <c r="C39" s="52" t="s">
        <v>950</v>
      </c>
      <c r="D39" s="53">
        <v>11.76</v>
      </c>
      <c r="E39" s="53">
        <v>0</v>
      </c>
      <c r="F39" s="53">
        <v>0</v>
      </c>
      <c r="G39" s="53">
        <v>11.76</v>
      </c>
      <c r="H39" s="68"/>
    </row>
    <row r="40" spans="1:8" ht="15.75" customHeight="1">
      <c r="A40" s="59">
        <v>420600</v>
      </c>
      <c r="B40" s="51" t="s">
        <v>400</v>
      </c>
      <c r="C40" s="52" t="s">
        <v>950</v>
      </c>
      <c r="D40" s="53">
        <v>12.13</v>
      </c>
      <c r="E40" s="53">
        <v>0</v>
      </c>
      <c r="F40" s="53">
        <v>0</v>
      </c>
      <c r="G40" s="53">
        <v>12.13</v>
      </c>
      <c r="H40" s="68"/>
    </row>
    <row r="41" spans="1:8" ht="15.75" customHeight="1">
      <c r="A41" s="59">
        <v>420800</v>
      </c>
      <c r="B41" s="51" t="s">
        <v>401</v>
      </c>
      <c r="C41" s="52" t="s">
        <v>950</v>
      </c>
      <c r="D41" s="53">
        <v>12.5</v>
      </c>
      <c r="E41" s="53">
        <v>0</v>
      </c>
      <c r="F41" s="53">
        <v>0</v>
      </c>
      <c r="G41" s="53">
        <v>12.5</v>
      </c>
      <c r="H41" s="68"/>
    </row>
    <row r="42" spans="1:8" ht="15.75" customHeight="1">
      <c r="A42" s="59">
        <v>421000</v>
      </c>
      <c r="B42" s="51" t="s">
        <v>402</v>
      </c>
      <c r="C42" s="52" t="s">
        <v>950</v>
      </c>
      <c r="D42" s="53">
        <v>12.88</v>
      </c>
      <c r="E42" s="53">
        <v>0</v>
      </c>
      <c r="F42" s="53">
        <v>0</v>
      </c>
      <c r="G42" s="53">
        <v>12.88</v>
      </c>
      <c r="H42" s="68"/>
    </row>
    <row r="43" spans="1:8" ht="15.75" customHeight="1">
      <c r="A43" s="59">
        <v>421200</v>
      </c>
      <c r="B43" s="51" t="s">
        <v>403</v>
      </c>
      <c r="C43" s="52" t="s">
        <v>950</v>
      </c>
      <c r="D43" s="53">
        <v>13.16</v>
      </c>
      <c r="E43" s="53">
        <v>0</v>
      </c>
      <c r="F43" s="53">
        <v>0</v>
      </c>
      <c r="G43" s="53">
        <v>13.16</v>
      </c>
      <c r="H43" s="68"/>
    </row>
    <row r="44" spans="1:8" ht="15.75" customHeight="1">
      <c r="A44" s="59">
        <v>421400</v>
      </c>
      <c r="B44" s="51" t="s">
        <v>404</v>
      </c>
      <c r="C44" s="52" t="s">
        <v>950</v>
      </c>
      <c r="D44" s="53">
        <v>13.72</v>
      </c>
      <c r="E44" s="53">
        <v>0</v>
      </c>
      <c r="F44" s="53">
        <v>0</v>
      </c>
      <c r="G44" s="53">
        <v>13.72</v>
      </c>
      <c r="H44" s="68"/>
    </row>
    <row r="45" spans="1:8" ht="15.75" customHeight="1">
      <c r="A45" s="59">
        <v>421600</v>
      </c>
      <c r="B45" s="51" t="s">
        <v>405</v>
      </c>
      <c r="C45" s="52" t="s">
        <v>950</v>
      </c>
      <c r="D45" s="53">
        <v>15.06</v>
      </c>
      <c r="E45" s="53">
        <v>0</v>
      </c>
      <c r="F45" s="53">
        <v>0</v>
      </c>
      <c r="G45" s="53">
        <v>15.06</v>
      </c>
      <c r="H45" s="68"/>
    </row>
    <row r="46" spans="1:8" ht="15.75" customHeight="1">
      <c r="A46" s="59">
        <v>422000</v>
      </c>
      <c r="B46" s="51" t="s">
        <v>406</v>
      </c>
      <c r="C46" s="52" t="s">
        <v>950</v>
      </c>
      <c r="D46" s="53">
        <v>15.7</v>
      </c>
      <c r="E46" s="53">
        <v>0</v>
      </c>
      <c r="F46" s="53">
        <v>0</v>
      </c>
      <c r="G46" s="53">
        <v>15.7</v>
      </c>
      <c r="H46" s="68"/>
    </row>
    <row r="47" spans="1:8" ht="15.75" customHeight="1">
      <c r="A47" s="59">
        <v>423000</v>
      </c>
      <c r="B47" s="51" t="s">
        <v>407</v>
      </c>
      <c r="C47" s="52" t="s">
        <v>950</v>
      </c>
      <c r="D47" s="53">
        <v>17.13</v>
      </c>
      <c r="E47" s="53">
        <v>0</v>
      </c>
      <c r="F47" s="53">
        <v>0</v>
      </c>
      <c r="G47" s="53">
        <v>17.13</v>
      </c>
      <c r="H47" s="68"/>
    </row>
    <row r="48" spans="1:8" ht="15.75" customHeight="1">
      <c r="A48" s="59">
        <v>424000</v>
      </c>
      <c r="B48" s="51" t="s">
        <v>408</v>
      </c>
      <c r="C48" s="52" t="s">
        <v>950</v>
      </c>
      <c r="D48" s="53">
        <v>20.059999999999999</v>
      </c>
      <c r="E48" s="53">
        <v>0</v>
      </c>
      <c r="F48" s="53">
        <v>0</v>
      </c>
      <c r="G48" s="53">
        <v>20.059999999999999</v>
      </c>
      <c r="H48" s="68"/>
    </row>
    <row r="49" spans="1:8" ht="15.75" customHeight="1">
      <c r="A49" s="59">
        <v>425000</v>
      </c>
      <c r="B49" s="51" t="s">
        <v>409</v>
      </c>
      <c r="C49" s="52" t="s">
        <v>950</v>
      </c>
      <c r="D49" s="53">
        <v>23</v>
      </c>
      <c r="E49" s="53">
        <v>0</v>
      </c>
      <c r="F49" s="53">
        <v>0</v>
      </c>
      <c r="G49" s="53">
        <v>23</v>
      </c>
      <c r="H49" s="68"/>
    </row>
    <row r="50" spans="1:8" ht="15.75" customHeight="1">
      <c r="A50" s="59">
        <v>426010</v>
      </c>
      <c r="B50" s="51" t="s">
        <v>410</v>
      </c>
      <c r="C50" s="52" t="s">
        <v>950</v>
      </c>
      <c r="D50" s="53">
        <v>25.93</v>
      </c>
      <c r="E50" s="53">
        <v>0</v>
      </c>
      <c r="F50" s="53">
        <v>0</v>
      </c>
      <c r="G50" s="53">
        <v>25.93</v>
      </c>
      <c r="H50" s="68"/>
    </row>
    <row r="51" spans="1:8" ht="15.75" customHeight="1">
      <c r="A51" s="59">
        <v>428000</v>
      </c>
      <c r="B51" s="51" t="s">
        <v>411</v>
      </c>
      <c r="C51" s="52" t="s">
        <v>950</v>
      </c>
      <c r="D51" s="53">
        <v>29.87</v>
      </c>
      <c r="E51" s="53">
        <v>0</v>
      </c>
      <c r="F51" s="53">
        <v>0</v>
      </c>
      <c r="G51" s="53">
        <v>29.87</v>
      </c>
      <c r="H51" s="68"/>
    </row>
    <row r="52" spans="1:8" ht="15.75" customHeight="1">
      <c r="A52" s="59">
        <v>429000</v>
      </c>
      <c r="B52" s="51" t="s">
        <v>412</v>
      </c>
      <c r="C52" s="52" t="s">
        <v>950</v>
      </c>
      <c r="D52" s="53">
        <v>34.869999999999997</v>
      </c>
      <c r="E52" s="53">
        <v>0</v>
      </c>
      <c r="F52" s="53">
        <v>0</v>
      </c>
      <c r="G52" s="53">
        <v>34.869999999999997</v>
      </c>
      <c r="H52" s="68"/>
    </row>
    <row r="53" spans="1:8" ht="15.75" customHeight="1">
      <c r="A53" s="59">
        <v>430210</v>
      </c>
      <c r="B53" s="51" t="s">
        <v>413</v>
      </c>
      <c r="C53" s="52" t="s">
        <v>950</v>
      </c>
      <c r="D53" s="53">
        <v>10.96</v>
      </c>
      <c r="E53" s="53">
        <v>0</v>
      </c>
      <c r="F53" s="53">
        <v>29.58</v>
      </c>
      <c r="G53" s="53">
        <v>40.54</v>
      </c>
      <c r="H53" s="68"/>
    </row>
    <row r="54" spans="1:8" ht="15.75" customHeight="1">
      <c r="A54" s="59">
        <v>430410</v>
      </c>
      <c r="B54" s="51" t="s">
        <v>414</v>
      </c>
      <c r="C54" s="52" t="s">
        <v>950</v>
      </c>
      <c r="D54" s="53">
        <v>12.54</v>
      </c>
      <c r="E54" s="53">
        <v>0</v>
      </c>
      <c r="F54" s="53">
        <v>29.58</v>
      </c>
      <c r="G54" s="53">
        <v>42.12</v>
      </c>
      <c r="H54" s="68"/>
    </row>
    <row r="55" spans="1:8" ht="15.75" customHeight="1">
      <c r="A55" s="59">
        <v>430610</v>
      </c>
      <c r="B55" s="51" t="s">
        <v>415</v>
      </c>
      <c r="C55" s="52" t="s">
        <v>950</v>
      </c>
      <c r="D55" s="53">
        <v>13.91</v>
      </c>
      <c r="E55" s="53">
        <v>0</v>
      </c>
      <c r="F55" s="53">
        <v>29.58</v>
      </c>
      <c r="G55" s="53">
        <v>43.49</v>
      </c>
      <c r="H55" s="68"/>
    </row>
    <row r="56" spans="1:8" ht="15.75" customHeight="1">
      <c r="A56" s="59">
        <v>430810</v>
      </c>
      <c r="B56" s="51" t="s">
        <v>416</v>
      </c>
      <c r="C56" s="52" t="s">
        <v>950</v>
      </c>
      <c r="D56" s="53">
        <v>14.06</v>
      </c>
      <c r="E56" s="53">
        <v>0</v>
      </c>
      <c r="F56" s="53">
        <v>29.58</v>
      </c>
      <c r="G56" s="53">
        <v>43.64</v>
      </c>
      <c r="H56" s="68"/>
    </row>
    <row r="57" spans="1:8" ht="15.75" customHeight="1">
      <c r="A57" s="59">
        <v>431010</v>
      </c>
      <c r="B57" s="51" t="s">
        <v>417</v>
      </c>
      <c r="C57" s="52" t="s">
        <v>950</v>
      </c>
      <c r="D57" s="53">
        <v>14.82</v>
      </c>
      <c r="E57" s="53">
        <v>0</v>
      </c>
      <c r="F57" s="53">
        <v>29.58</v>
      </c>
      <c r="G57" s="53">
        <v>44.4</v>
      </c>
      <c r="H57" s="68"/>
    </row>
    <row r="58" spans="1:8" ht="15.75" customHeight="1">
      <c r="A58" s="59">
        <v>431210</v>
      </c>
      <c r="B58" s="51" t="s">
        <v>418</v>
      </c>
      <c r="C58" s="52" t="s">
        <v>950</v>
      </c>
      <c r="D58" s="53">
        <v>15.59</v>
      </c>
      <c r="E58" s="53">
        <v>0</v>
      </c>
      <c r="F58" s="53">
        <v>29.58</v>
      </c>
      <c r="G58" s="53">
        <v>45.17</v>
      </c>
      <c r="H58" s="68"/>
    </row>
    <row r="59" spans="1:8" ht="15.75" customHeight="1">
      <c r="A59" s="59">
        <v>431410</v>
      </c>
      <c r="B59" s="51" t="s">
        <v>419</v>
      </c>
      <c r="C59" s="52" t="s">
        <v>950</v>
      </c>
      <c r="D59" s="53">
        <v>15.82</v>
      </c>
      <c r="E59" s="53">
        <v>0</v>
      </c>
      <c r="F59" s="53">
        <v>29.58</v>
      </c>
      <c r="G59" s="53">
        <v>45.4</v>
      </c>
      <c r="H59" s="68"/>
    </row>
    <row r="60" spans="1:8" ht="15.75" customHeight="1">
      <c r="A60" s="59">
        <v>431610</v>
      </c>
      <c r="B60" s="51" t="s">
        <v>420</v>
      </c>
      <c r="C60" s="52" t="s">
        <v>950</v>
      </c>
      <c r="D60" s="53">
        <v>17.57</v>
      </c>
      <c r="E60" s="53">
        <v>0</v>
      </c>
      <c r="F60" s="53">
        <v>29.58</v>
      </c>
      <c r="G60" s="53">
        <v>47.15</v>
      </c>
      <c r="H60" s="68"/>
    </row>
    <row r="61" spans="1:8" ht="15.75" customHeight="1">
      <c r="A61" s="59">
        <v>432010</v>
      </c>
      <c r="B61" s="51" t="s">
        <v>421</v>
      </c>
      <c r="C61" s="52" t="s">
        <v>950</v>
      </c>
      <c r="D61" s="53">
        <v>18.59</v>
      </c>
      <c r="E61" s="53">
        <v>0</v>
      </c>
      <c r="F61" s="53">
        <v>29.58</v>
      </c>
      <c r="G61" s="53">
        <v>48.17</v>
      </c>
      <c r="H61" s="68"/>
    </row>
    <row r="62" spans="1:8" ht="15.75" customHeight="1">
      <c r="A62" s="59">
        <v>433010</v>
      </c>
      <c r="B62" s="51" t="s">
        <v>422</v>
      </c>
      <c r="C62" s="52" t="s">
        <v>950</v>
      </c>
      <c r="D62" s="53">
        <v>22.02</v>
      </c>
      <c r="E62" s="53">
        <v>0</v>
      </c>
      <c r="F62" s="53">
        <v>29.58</v>
      </c>
      <c r="G62" s="53">
        <v>51.6</v>
      </c>
      <c r="H62" s="68"/>
    </row>
    <row r="63" spans="1:8" ht="15.75" customHeight="1">
      <c r="A63" s="59">
        <v>434010</v>
      </c>
      <c r="B63" s="51" t="s">
        <v>423</v>
      </c>
      <c r="C63" s="52" t="s">
        <v>950</v>
      </c>
      <c r="D63" s="53">
        <v>25.97</v>
      </c>
      <c r="E63" s="53">
        <v>0</v>
      </c>
      <c r="F63" s="53">
        <v>29.58</v>
      </c>
      <c r="G63" s="53">
        <v>55.55</v>
      </c>
      <c r="H63" s="68"/>
    </row>
    <row r="64" spans="1:8" ht="15.75" customHeight="1">
      <c r="A64" s="59">
        <v>435010</v>
      </c>
      <c r="B64" s="51" t="s">
        <v>424</v>
      </c>
      <c r="C64" s="52" t="s">
        <v>950</v>
      </c>
      <c r="D64" s="53">
        <v>32.840000000000003</v>
      </c>
      <c r="E64" s="53">
        <v>0</v>
      </c>
      <c r="F64" s="53">
        <v>29.58</v>
      </c>
      <c r="G64" s="53">
        <v>62.42</v>
      </c>
      <c r="H64" s="68"/>
    </row>
    <row r="65" spans="1:8" ht="15.75" customHeight="1">
      <c r="A65" s="59">
        <v>436010</v>
      </c>
      <c r="B65" s="51" t="s">
        <v>425</v>
      </c>
      <c r="C65" s="52" t="s">
        <v>950</v>
      </c>
      <c r="D65" s="53">
        <v>35.58</v>
      </c>
      <c r="E65" s="53">
        <v>0</v>
      </c>
      <c r="F65" s="53">
        <v>29.58</v>
      </c>
      <c r="G65" s="53">
        <v>65.16</v>
      </c>
      <c r="H65" s="68"/>
    </row>
    <row r="66" spans="1:8" ht="15.75" customHeight="1">
      <c r="A66" s="59">
        <v>438010</v>
      </c>
      <c r="B66" s="51" t="s">
        <v>426</v>
      </c>
      <c r="C66" s="52" t="s">
        <v>950</v>
      </c>
      <c r="D66" s="53">
        <v>42.86</v>
      </c>
      <c r="E66" s="53">
        <v>0</v>
      </c>
      <c r="F66" s="53">
        <v>29.58</v>
      </c>
      <c r="G66" s="53">
        <v>72.44</v>
      </c>
      <c r="H66" s="68"/>
    </row>
    <row r="67" spans="1:8" ht="15.75" customHeight="1">
      <c r="A67" s="59">
        <v>439010</v>
      </c>
      <c r="B67" s="51" t="s">
        <v>427</v>
      </c>
      <c r="C67" s="52" t="s">
        <v>950</v>
      </c>
      <c r="D67" s="53">
        <v>51.33</v>
      </c>
      <c r="E67" s="53">
        <v>0</v>
      </c>
      <c r="F67" s="53">
        <v>29.58</v>
      </c>
      <c r="G67" s="53">
        <v>80.91</v>
      </c>
      <c r="H67" s="68"/>
    </row>
    <row r="68" spans="1:8" ht="15.75" customHeight="1">
      <c r="A68" s="59">
        <v>404300</v>
      </c>
      <c r="B68" s="51" t="s">
        <v>207</v>
      </c>
      <c r="C68" s="52" t="s">
        <v>950</v>
      </c>
      <c r="D68" s="53">
        <v>0.79</v>
      </c>
      <c r="E68" s="53">
        <v>0</v>
      </c>
      <c r="F68" s="53">
        <v>0</v>
      </c>
      <c r="G68" s="53">
        <v>0.79</v>
      </c>
      <c r="H68" s="68"/>
    </row>
    <row r="69" spans="1:8" ht="15.75" customHeight="1">
      <c r="A69" s="59">
        <v>430010</v>
      </c>
      <c r="B69" s="51" t="s">
        <v>428</v>
      </c>
      <c r="C69" s="52" t="s">
        <v>950</v>
      </c>
      <c r="D69" s="53">
        <v>16.95</v>
      </c>
      <c r="E69" s="53">
        <v>12.63</v>
      </c>
      <c r="F69" s="53">
        <v>0</v>
      </c>
      <c r="G69" s="53">
        <v>29.58</v>
      </c>
      <c r="H69" s="68"/>
    </row>
    <row r="70" spans="1:8" ht="15.75" customHeight="1">
      <c r="A70" s="59">
        <v>401160</v>
      </c>
      <c r="B70" s="51" t="s">
        <v>429</v>
      </c>
      <c r="C70" s="52" t="s">
        <v>951</v>
      </c>
      <c r="D70" s="53">
        <v>0.25</v>
      </c>
      <c r="E70" s="53">
        <v>0</v>
      </c>
      <c r="F70" s="53">
        <v>0</v>
      </c>
      <c r="G70" s="53">
        <v>0.25</v>
      </c>
      <c r="H70" s="68"/>
    </row>
    <row r="71" spans="1:8" ht="15.75" customHeight="1">
      <c r="A71" s="59">
        <v>404000</v>
      </c>
      <c r="B71" s="51" t="s">
        <v>430</v>
      </c>
      <c r="C71" s="52" t="s">
        <v>950</v>
      </c>
      <c r="D71" s="53">
        <v>11.43</v>
      </c>
      <c r="E71" s="53">
        <v>0</v>
      </c>
      <c r="F71" s="53">
        <v>0</v>
      </c>
      <c r="G71" s="53">
        <v>11.43</v>
      </c>
      <c r="H71" s="52" t="s">
        <v>25903</v>
      </c>
    </row>
    <row r="72" spans="1:8" ht="15.75" customHeight="1">
      <c r="A72" s="59">
        <v>450000</v>
      </c>
      <c r="B72" s="51" t="s">
        <v>431</v>
      </c>
      <c r="C72" s="52" t="s">
        <v>950</v>
      </c>
      <c r="D72" s="53">
        <v>7.7</v>
      </c>
      <c r="E72" s="53">
        <v>0</v>
      </c>
      <c r="F72" s="53">
        <v>7.99</v>
      </c>
      <c r="G72" s="53">
        <v>15.69</v>
      </c>
      <c r="H72" s="52" t="s">
        <v>25903</v>
      </c>
    </row>
    <row r="73" spans="1:8" ht="15.75" customHeight="1">
      <c r="A73" s="59">
        <v>416000</v>
      </c>
      <c r="B73" s="51" t="s">
        <v>432</v>
      </c>
      <c r="C73" s="52" t="s">
        <v>950</v>
      </c>
      <c r="D73" s="53">
        <v>9.2200000000000006</v>
      </c>
      <c r="E73" s="53">
        <v>0</v>
      </c>
      <c r="F73" s="53">
        <v>0</v>
      </c>
      <c r="G73" s="53">
        <v>9.2200000000000006</v>
      </c>
      <c r="H73" s="68"/>
    </row>
    <row r="74" spans="1:8" ht="15.75" customHeight="1">
      <c r="A74" s="59">
        <v>416100</v>
      </c>
      <c r="B74" s="51" t="s">
        <v>433</v>
      </c>
      <c r="C74" s="52" t="s">
        <v>950</v>
      </c>
      <c r="D74" s="53">
        <v>10.75</v>
      </c>
      <c r="E74" s="53">
        <v>0</v>
      </c>
      <c r="F74" s="53">
        <v>0</v>
      </c>
      <c r="G74" s="53">
        <v>10.75</v>
      </c>
      <c r="H74" s="68"/>
    </row>
    <row r="75" spans="1:8" ht="15.75" customHeight="1">
      <c r="A75" s="59">
        <v>416200</v>
      </c>
      <c r="B75" s="51" t="s">
        <v>434</v>
      </c>
      <c r="C75" s="52" t="s">
        <v>950</v>
      </c>
      <c r="D75" s="53">
        <v>10.07</v>
      </c>
      <c r="E75" s="53">
        <v>0</v>
      </c>
      <c r="F75" s="53">
        <v>0</v>
      </c>
      <c r="G75" s="53">
        <v>10.07</v>
      </c>
      <c r="H75" s="68"/>
    </row>
    <row r="76" spans="1:8" ht="15.75" customHeight="1">
      <c r="A76" s="59">
        <v>416300</v>
      </c>
      <c r="B76" s="51" t="s">
        <v>435</v>
      </c>
      <c r="C76" s="52" t="s">
        <v>950</v>
      </c>
      <c r="D76" s="53">
        <v>11.58</v>
      </c>
      <c r="E76" s="53">
        <v>0</v>
      </c>
      <c r="F76" s="53">
        <v>0</v>
      </c>
      <c r="G76" s="53">
        <v>11.58</v>
      </c>
      <c r="H76" s="68"/>
    </row>
    <row r="77" spans="1:8" ht="15.75" customHeight="1">
      <c r="A77" s="59">
        <v>426000</v>
      </c>
      <c r="B77" s="51" t="s">
        <v>436</v>
      </c>
      <c r="C77" s="52" t="s">
        <v>950</v>
      </c>
      <c r="D77" s="53">
        <v>12.36</v>
      </c>
      <c r="E77" s="53">
        <v>0</v>
      </c>
      <c r="F77" s="53">
        <v>0</v>
      </c>
      <c r="G77" s="53">
        <v>12.36</v>
      </c>
      <c r="H77" s="68"/>
    </row>
    <row r="78" spans="1:8" ht="15.75" customHeight="1">
      <c r="A78" s="59">
        <v>426100</v>
      </c>
      <c r="B78" s="51" t="s">
        <v>437</v>
      </c>
      <c r="C78" s="52" t="s">
        <v>950</v>
      </c>
      <c r="D78" s="53">
        <v>14.23</v>
      </c>
      <c r="E78" s="53">
        <v>0</v>
      </c>
      <c r="F78" s="53">
        <v>0</v>
      </c>
      <c r="G78" s="53">
        <v>14.23</v>
      </c>
      <c r="H78" s="68"/>
    </row>
    <row r="79" spans="1:8" ht="15.75" customHeight="1">
      <c r="A79" s="59">
        <v>426200</v>
      </c>
      <c r="B79" s="51" t="s">
        <v>438</v>
      </c>
      <c r="C79" s="52" t="s">
        <v>950</v>
      </c>
      <c r="D79" s="53">
        <v>13.26</v>
      </c>
      <c r="E79" s="53">
        <v>0</v>
      </c>
      <c r="F79" s="53">
        <v>0</v>
      </c>
      <c r="G79" s="53">
        <v>13.26</v>
      </c>
      <c r="H79" s="68"/>
    </row>
    <row r="80" spans="1:8" ht="15.75" customHeight="1">
      <c r="A80" s="59">
        <v>426300</v>
      </c>
      <c r="B80" s="51" t="s">
        <v>439</v>
      </c>
      <c r="C80" s="52" t="s">
        <v>950</v>
      </c>
      <c r="D80" s="53">
        <v>15.24</v>
      </c>
      <c r="E80" s="53">
        <v>0</v>
      </c>
      <c r="F80" s="53">
        <v>0</v>
      </c>
      <c r="G80" s="53">
        <v>15.24</v>
      </c>
      <c r="H80" s="68"/>
    </row>
    <row r="81" spans="1:8">
      <c r="A81" s="66"/>
      <c r="B81" s="66" t="s">
        <v>7</v>
      </c>
      <c r="C81" s="67" t="s">
        <v>195</v>
      </c>
      <c r="D81" s="67"/>
      <c r="E81" s="67"/>
      <c r="F81" s="67"/>
      <c r="G81" s="67"/>
      <c r="H81" s="69" t="s">
        <v>195</v>
      </c>
    </row>
    <row r="82" spans="1:8" ht="15.75" customHeight="1">
      <c r="A82" s="59">
        <v>530200</v>
      </c>
      <c r="B82" s="51" t="s">
        <v>440</v>
      </c>
      <c r="C82" s="52" t="s">
        <v>950</v>
      </c>
      <c r="D82" s="53">
        <v>12.78</v>
      </c>
      <c r="E82" s="53">
        <v>85.51</v>
      </c>
      <c r="F82" s="53">
        <v>0</v>
      </c>
      <c r="G82" s="53">
        <v>98.29</v>
      </c>
      <c r="H82" s="52" t="s">
        <v>25903</v>
      </c>
    </row>
    <row r="83" spans="1:8" ht="15.75" customHeight="1">
      <c r="A83" s="59">
        <v>570210</v>
      </c>
      <c r="B83" s="51" t="s">
        <v>441</v>
      </c>
      <c r="C83" s="52" t="s">
        <v>34</v>
      </c>
      <c r="D83" s="53">
        <v>73.64</v>
      </c>
      <c r="E83" s="53">
        <v>87.88</v>
      </c>
      <c r="F83" s="53">
        <v>0</v>
      </c>
      <c r="G83" s="53">
        <v>161.52000000000001</v>
      </c>
      <c r="H83" s="52" t="s">
        <v>25903</v>
      </c>
    </row>
    <row r="84" spans="1:8" ht="15.75" customHeight="1">
      <c r="A84" s="59">
        <v>570200</v>
      </c>
      <c r="B84" s="51" t="s">
        <v>442</v>
      </c>
      <c r="C84" s="52" t="s">
        <v>34</v>
      </c>
      <c r="D84" s="53">
        <v>90.65</v>
      </c>
      <c r="E84" s="53">
        <v>90.78</v>
      </c>
      <c r="F84" s="53">
        <v>0</v>
      </c>
      <c r="G84" s="53">
        <v>181.43</v>
      </c>
      <c r="H84" s="52" t="s">
        <v>25903</v>
      </c>
    </row>
    <row r="85" spans="1:8" ht="15.75" customHeight="1">
      <c r="A85" s="59">
        <v>531200</v>
      </c>
      <c r="B85" s="51" t="s">
        <v>443</v>
      </c>
      <c r="C85" s="52" t="s">
        <v>950</v>
      </c>
      <c r="D85" s="53">
        <v>8.16</v>
      </c>
      <c r="E85" s="53">
        <v>65.78</v>
      </c>
      <c r="F85" s="53">
        <v>0</v>
      </c>
      <c r="G85" s="53">
        <v>73.94</v>
      </c>
      <c r="H85" s="52" t="s">
        <v>25903</v>
      </c>
    </row>
    <row r="86" spans="1:8" ht="15.75" customHeight="1">
      <c r="A86" s="59">
        <v>531215</v>
      </c>
      <c r="B86" s="51" t="s">
        <v>444</v>
      </c>
      <c r="C86" s="52" t="s">
        <v>950</v>
      </c>
      <c r="D86" s="53">
        <v>7.66</v>
      </c>
      <c r="E86" s="53">
        <v>99.74</v>
      </c>
      <c r="F86" s="53">
        <v>0</v>
      </c>
      <c r="G86" s="53">
        <v>107.4</v>
      </c>
      <c r="H86" s="52" t="s">
        <v>25903</v>
      </c>
    </row>
    <row r="87" spans="1:8" ht="15.75" customHeight="1">
      <c r="A87" s="59">
        <v>531120</v>
      </c>
      <c r="B87" s="51" t="s">
        <v>445</v>
      </c>
      <c r="C87" s="52" t="s">
        <v>950</v>
      </c>
      <c r="D87" s="53">
        <v>14.4</v>
      </c>
      <c r="E87" s="53">
        <v>0</v>
      </c>
      <c r="F87" s="53">
        <v>171.84</v>
      </c>
      <c r="G87" s="53">
        <v>186.24</v>
      </c>
      <c r="H87" s="52" t="s">
        <v>25903</v>
      </c>
    </row>
    <row r="88" spans="1:8" ht="15.75" customHeight="1">
      <c r="A88" s="59">
        <v>531130</v>
      </c>
      <c r="B88" s="51" t="s">
        <v>446</v>
      </c>
      <c r="C88" s="52" t="s">
        <v>950</v>
      </c>
      <c r="D88" s="53">
        <v>15.43</v>
      </c>
      <c r="E88" s="53">
        <v>0</v>
      </c>
      <c r="F88" s="53">
        <v>178.92</v>
      </c>
      <c r="G88" s="53">
        <v>194.35</v>
      </c>
      <c r="H88" s="52" t="s">
        <v>25903</v>
      </c>
    </row>
    <row r="89" spans="1:8" ht="15.75" customHeight="1">
      <c r="A89" s="59">
        <v>531000</v>
      </c>
      <c r="B89" s="51" t="s">
        <v>447</v>
      </c>
      <c r="C89" s="52" t="s">
        <v>950</v>
      </c>
      <c r="D89" s="53">
        <v>13.93</v>
      </c>
      <c r="E89" s="53">
        <v>0</v>
      </c>
      <c r="F89" s="53">
        <v>118.3</v>
      </c>
      <c r="G89" s="53">
        <v>132.22999999999999</v>
      </c>
      <c r="H89" s="52" t="s">
        <v>25903</v>
      </c>
    </row>
    <row r="90" spans="1:8" ht="15.75" customHeight="1">
      <c r="A90" s="59">
        <v>531100</v>
      </c>
      <c r="B90" s="51" t="s">
        <v>268</v>
      </c>
      <c r="C90" s="52" t="s">
        <v>950</v>
      </c>
      <c r="D90" s="53">
        <v>14.92</v>
      </c>
      <c r="E90" s="53">
        <v>0</v>
      </c>
      <c r="F90" s="53">
        <v>123.18</v>
      </c>
      <c r="G90" s="53">
        <v>138.1</v>
      </c>
      <c r="H90" s="52" t="s">
        <v>25903</v>
      </c>
    </row>
    <row r="91" spans="1:8" ht="15.75" customHeight="1">
      <c r="A91" s="59">
        <v>532100</v>
      </c>
      <c r="B91" s="51" t="s">
        <v>448</v>
      </c>
      <c r="C91" s="52" t="s">
        <v>950</v>
      </c>
      <c r="D91" s="53">
        <v>7.13</v>
      </c>
      <c r="E91" s="53">
        <v>85.51</v>
      </c>
      <c r="F91" s="53">
        <v>0</v>
      </c>
      <c r="G91" s="53">
        <v>92.64</v>
      </c>
      <c r="H91" s="52" t="s">
        <v>25903</v>
      </c>
    </row>
    <row r="92" spans="1:8" ht="15.75" customHeight="1">
      <c r="A92" s="59">
        <v>563100</v>
      </c>
      <c r="B92" s="51" t="s">
        <v>449</v>
      </c>
      <c r="C92" s="52" t="s">
        <v>951</v>
      </c>
      <c r="D92" s="53">
        <v>0.97</v>
      </c>
      <c r="E92" s="53">
        <v>0.3</v>
      </c>
      <c r="F92" s="53">
        <v>0</v>
      </c>
      <c r="G92" s="53">
        <v>1.27</v>
      </c>
      <c r="H92" s="52" t="s">
        <v>25903</v>
      </c>
    </row>
    <row r="93" spans="1:8" ht="15.75" customHeight="1">
      <c r="A93" s="59">
        <v>535150</v>
      </c>
      <c r="B93" s="51" t="s">
        <v>450</v>
      </c>
      <c r="C93" s="52" t="s">
        <v>328</v>
      </c>
      <c r="D93" s="53">
        <v>1.04</v>
      </c>
      <c r="E93" s="53">
        <v>0</v>
      </c>
      <c r="F93" s="53">
        <v>0</v>
      </c>
      <c r="G93" s="53">
        <v>1.04</v>
      </c>
      <c r="H93" s="68"/>
    </row>
    <row r="94" spans="1:8" ht="15.75" customHeight="1">
      <c r="A94" s="59">
        <v>535100</v>
      </c>
      <c r="B94" s="51" t="s">
        <v>451</v>
      </c>
      <c r="C94" s="52" t="s">
        <v>951</v>
      </c>
      <c r="D94" s="53">
        <v>2.09</v>
      </c>
      <c r="E94" s="53">
        <v>0</v>
      </c>
      <c r="F94" s="53">
        <v>0</v>
      </c>
      <c r="G94" s="53">
        <v>2.09</v>
      </c>
      <c r="H94" s="68"/>
    </row>
    <row r="95" spans="1:8" ht="15.75" customHeight="1">
      <c r="A95" s="59">
        <v>570160</v>
      </c>
      <c r="B95" s="51" t="s">
        <v>452</v>
      </c>
      <c r="C95" s="52" t="s">
        <v>34</v>
      </c>
      <c r="D95" s="53">
        <v>44.46</v>
      </c>
      <c r="E95" s="53">
        <v>90.63</v>
      </c>
      <c r="F95" s="53">
        <v>0</v>
      </c>
      <c r="G95" s="53">
        <v>135.09</v>
      </c>
      <c r="H95" s="52" t="s">
        <v>25903</v>
      </c>
    </row>
    <row r="96" spans="1:8" ht="15.75" customHeight="1">
      <c r="A96" s="59">
        <v>570100</v>
      </c>
      <c r="B96" s="51" t="s">
        <v>453</v>
      </c>
      <c r="C96" s="52" t="s">
        <v>34</v>
      </c>
      <c r="D96" s="53">
        <v>55.04</v>
      </c>
      <c r="E96" s="53">
        <v>96.44</v>
      </c>
      <c r="F96" s="53">
        <v>0</v>
      </c>
      <c r="G96" s="53">
        <v>151.47999999999999</v>
      </c>
      <c r="H96" s="52" t="s">
        <v>25903</v>
      </c>
    </row>
    <row r="97" spans="1:8" ht="15.75" customHeight="1">
      <c r="A97" s="59">
        <v>570350</v>
      </c>
      <c r="B97" s="51" t="s">
        <v>454</v>
      </c>
      <c r="C97" s="52" t="s">
        <v>34</v>
      </c>
      <c r="D97" s="53">
        <v>77.72</v>
      </c>
      <c r="E97" s="53">
        <v>110.83</v>
      </c>
      <c r="F97" s="53">
        <v>0</v>
      </c>
      <c r="G97" s="53">
        <v>188.55</v>
      </c>
      <c r="H97" s="52" t="s">
        <v>25903</v>
      </c>
    </row>
    <row r="98" spans="1:8" ht="15.75" customHeight="1">
      <c r="A98" s="59">
        <v>570360</v>
      </c>
      <c r="B98" s="51" t="s">
        <v>271</v>
      </c>
      <c r="C98" s="52" t="s">
        <v>34</v>
      </c>
      <c r="D98" s="53">
        <v>73.88</v>
      </c>
      <c r="E98" s="53">
        <v>105.07</v>
      </c>
      <c r="F98" s="53">
        <v>0</v>
      </c>
      <c r="G98" s="53">
        <v>178.95</v>
      </c>
      <c r="H98" s="52" t="s">
        <v>25903</v>
      </c>
    </row>
    <row r="99" spans="1:8" ht="15.75" customHeight="1">
      <c r="A99" s="59">
        <v>570400</v>
      </c>
      <c r="B99" s="51" t="s">
        <v>455</v>
      </c>
      <c r="C99" s="52" t="s">
        <v>34</v>
      </c>
      <c r="D99" s="53">
        <v>34.03</v>
      </c>
      <c r="E99" s="53">
        <v>0</v>
      </c>
      <c r="F99" s="53">
        <v>135.09</v>
      </c>
      <c r="G99" s="53">
        <v>169.12</v>
      </c>
      <c r="H99" s="52" t="s">
        <v>25903</v>
      </c>
    </row>
    <row r="100" spans="1:8" ht="15.75" customHeight="1">
      <c r="A100" s="59">
        <v>570000</v>
      </c>
      <c r="B100" s="51" t="s">
        <v>456</v>
      </c>
      <c r="C100" s="52" t="s">
        <v>34</v>
      </c>
      <c r="D100" s="53">
        <v>35.93</v>
      </c>
      <c r="E100" s="53">
        <v>0</v>
      </c>
      <c r="F100" s="53">
        <v>151.47999999999999</v>
      </c>
      <c r="G100" s="53">
        <v>187.41</v>
      </c>
      <c r="H100" s="52" t="s">
        <v>25903</v>
      </c>
    </row>
    <row r="101" spans="1:8" ht="15.75" customHeight="1">
      <c r="A101" s="59">
        <v>532500</v>
      </c>
      <c r="B101" s="51" t="s">
        <v>273</v>
      </c>
      <c r="C101" s="52" t="s">
        <v>950</v>
      </c>
      <c r="D101" s="53">
        <v>19.73</v>
      </c>
      <c r="E101" s="53">
        <v>82.65</v>
      </c>
      <c r="F101" s="53">
        <v>0</v>
      </c>
      <c r="G101" s="53">
        <v>102.38</v>
      </c>
      <c r="H101" s="52" t="s">
        <v>25903</v>
      </c>
    </row>
    <row r="102" spans="1:8" ht="15.75" customHeight="1">
      <c r="A102" s="59">
        <v>532600</v>
      </c>
      <c r="B102" s="51" t="s">
        <v>457</v>
      </c>
      <c r="C102" s="52" t="s">
        <v>951</v>
      </c>
      <c r="D102" s="53">
        <v>1.6</v>
      </c>
      <c r="E102" s="53">
        <v>0</v>
      </c>
      <c r="F102" s="53">
        <v>0.81</v>
      </c>
      <c r="G102" s="53">
        <v>2.41</v>
      </c>
      <c r="H102" s="52" t="s">
        <v>25903</v>
      </c>
    </row>
    <row r="103" spans="1:8" ht="15.75" customHeight="1">
      <c r="A103" s="59">
        <v>532700</v>
      </c>
      <c r="B103" s="51" t="s">
        <v>458</v>
      </c>
      <c r="C103" s="52" t="s">
        <v>951</v>
      </c>
      <c r="D103" s="53">
        <v>0.65</v>
      </c>
      <c r="E103" s="53">
        <v>0</v>
      </c>
      <c r="F103" s="53">
        <v>0</v>
      </c>
      <c r="G103" s="53">
        <v>0.65</v>
      </c>
      <c r="H103" s="68"/>
    </row>
    <row r="104" spans="1:8" ht="15.75" customHeight="1">
      <c r="A104" s="59">
        <v>575100</v>
      </c>
      <c r="B104" s="51" t="s">
        <v>459</v>
      </c>
      <c r="C104" s="52" t="s">
        <v>951</v>
      </c>
      <c r="D104" s="53">
        <v>1.81</v>
      </c>
      <c r="E104" s="53">
        <v>0</v>
      </c>
      <c r="F104" s="53">
        <v>0</v>
      </c>
      <c r="G104" s="53">
        <v>1.81</v>
      </c>
      <c r="H104" s="68"/>
    </row>
    <row r="105" spans="1:8" ht="15.75" customHeight="1">
      <c r="A105" s="59">
        <v>575000</v>
      </c>
      <c r="B105" s="51" t="s">
        <v>460</v>
      </c>
      <c r="C105" s="52" t="s">
        <v>950</v>
      </c>
      <c r="D105" s="53">
        <v>32.58</v>
      </c>
      <c r="E105" s="53">
        <v>0</v>
      </c>
      <c r="F105" s="53">
        <v>7.08</v>
      </c>
      <c r="G105" s="53">
        <v>39.659999999999997</v>
      </c>
      <c r="H105" s="68"/>
    </row>
    <row r="106" spans="1:8" ht="15.75" customHeight="1">
      <c r="A106" s="59">
        <v>521500</v>
      </c>
      <c r="B106" s="51" t="s">
        <v>461</v>
      </c>
      <c r="C106" s="52" t="s">
        <v>328</v>
      </c>
      <c r="D106" s="53">
        <v>3.53</v>
      </c>
      <c r="E106" s="53">
        <v>0</v>
      </c>
      <c r="F106" s="53">
        <v>0</v>
      </c>
      <c r="G106" s="53">
        <v>3.53</v>
      </c>
      <c r="H106" s="68"/>
    </row>
    <row r="107" spans="1:8" ht="15.75" customHeight="1">
      <c r="A107" s="59">
        <v>521400</v>
      </c>
      <c r="B107" s="51" t="s">
        <v>462</v>
      </c>
      <c r="C107" s="52" t="s">
        <v>951</v>
      </c>
      <c r="D107" s="53">
        <v>11.79</v>
      </c>
      <c r="E107" s="53">
        <v>0</v>
      </c>
      <c r="F107" s="53">
        <v>0</v>
      </c>
      <c r="G107" s="53">
        <v>11.79</v>
      </c>
      <c r="H107" s="68"/>
    </row>
    <row r="108" spans="1:8" ht="15.75" customHeight="1">
      <c r="A108" s="59">
        <v>510300</v>
      </c>
      <c r="B108" s="51" t="s">
        <v>463</v>
      </c>
      <c r="C108" s="52" t="s">
        <v>951</v>
      </c>
      <c r="D108" s="53">
        <v>2.57</v>
      </c>
      <c r="E108" s="53">
        <v>0</v>
      </c>
      <c r="F108" s="53">
        <v>0.23</v>
      </c>
      <c r="G108" s="53">
        <v>2.8</v>
      </c>
      <c r="H108" s="68"/>
    </row>
    <row r="109" spans="1:8" ht="15.75" customHeight="1">
      <c r="A109" s="59">
        <v>521550</v>
      </c>
      <c r="B109" s="51" t="s">
        <v>464</v>
      </c>
      <c r="C109" s="52" t="s">
        <v>951</v>
      </c>
      <c r="D109" s="53">
        <v>1.31</v>
      </c>
      <c r="E109" s="53">
        <v>0</v>
      </c>
      <c r="F109" s="53">
        <v>0</v>
      </c>
      <c r="G109" s="53">
        <v>1.31</v>
      </c>
      <c r="H109" s="68"/>
    </row>
    <row r="110" spans="1:8" ht="15.75" customHeight="1">
      <c r="A110" s="59">
        <v>532650</v>
      </c>
      <c r="B110" s="51" t="s">
        <v>465</v>
      </c>
      <c r="C110" s="52" t="s">
        <v>951</v>
      </c>
      <c r="D110" s="53">
        <v>0.96</v>
      </c>
      <c r="E110" s="53">
        <v>0</v>
      </c>
      <c r="F110" s="53">
        <v>0.16</v>
      </c>
      <c r="G110" s="53">
        <v>1.1200000000000001</v>
      </c>
      <c r="H110" s="52" t="s">
        <v>25903</v>
      </c>
    </row>
    <row r="111" spans="1:8" ht="15.75" customHeight="1">
      <c r="A111" s="59">
        <v>501000</v>
      </c>
      <c r="B111" s="51" t="s">
        <v>466</v>
      </c>
      <c r="C111" s="52" t="s">
        <v>950</v>
      </c>
      <c r="D111" s="53">
        <v>6.04</v>
      </c>
      <c r="E111" s="53">
        <v>0</v>
      </c>
      <c r="F111" s="53">
        <v>0</v>
      </c>
      <c r="G111" s="53">
        <v>6.04</v>
      </c>
      <c r="H111" s="52" t="s">
        <v>25903</v>
      </c>
    </row>
    <row r="112" spans="1:8" ht="15.75" customHeight="1">
      <c r="A112" s="59">
        <v>500000</v>
      </c>
      <c r="B112" s="51" t="s">
        <v>467</v>
      </c>
      <c r="C112" s="52" t="s">
        <v>951</v>
      </c>
      <c r="D112" s="53">
        <v>4.28</v>
      </c>
      <c r="E112" s="53">
        <v>0</v>
      </c>
      <c r="F112" s="53">
        <v>0</v>
      </c>
      <c r="G112" s="53">
        <v>4.28</v>
      </c>
      <c r="H112" s="68"/>
    </row>
    <row r="113" spans="1:8" ht="15.75" customHeight="1">
      <c r="A113" s="59">
        <v>520100</v>
      </c>
      <c r="B113" s="51" t="s">
        <v>468</v>
      </c>
      <c r="C113" s="52" t="s">
        <v>950</v>
      </c>
      <c r="D113" s="53">
        <v>5.45</v>
      </c>
      <c r="E113" s="53">
        <v>0</v>
      </c>
      <c r="F113" s="53">
        <v>0</v>
      </c>
      <c r="G113" s="53">
        <v>5.45</v>
      </c>
      <c r="H113" s="68"/>
    </row>
    <row r="114" spans="1:8" ht="15.75" customHeight="1">
      <c r="A114" s="59">
        <v>520200</v>
      </c>
      <c r="B114" s="51" t="s">
        <v>469</v>
      </c>
      <c r="C114" s="52" t="s">
        <v>950</v>
      </c>
      <c r="D114" s="53">
        <v>6.66</v>
      </c>
      <c r="E114" s="53">
        <v>0</v>
      </c>
      <c r="F114" s="53">
        <v>0</v>
      </c>
      <c r="G114" s="53">
        <v>6.66</v>
      </c>
      <c r="H114" s="68"/>
    </row>
    <row r="115" spans="1:8" ht="15.75" customHeight="1">
      <c r="A115" s="59">
        <v>521300</v>
      </c>
      <c r="B115" s="51" t="s">
        <v>470</v>
      </c>
      <c r="C115" s="52" t="s">
        <v>950</v>
      </c>
      <c r="D115" s="53">
        <v>29.2</v>
      </c>
      <c r="E115" s="53">
        <v>14.43</v>
      </c>
      <c r="F115" s="53">
        <v>2.4300000000000002</v>
      </c>
      <c r="G115" s="53">
        <v>46.06</v>
      </c>
      <c r="H115" s="68"/>
    </row>
    <row r="116" spans="1:8" ht="15.75" customHeight="1">
      <c r="A116" s="59">
        <v>535200</v>
      </c>
      <c r="B116" s="51" t="s">
        <v>471</v>
      </c>
      <c r="C116" s="52" t="s">
        <v>328</v>
      </c>
      <c r="D116" s="53">
        <v>7.08</v>
      </c>
      <c r="E116" s="53">
        <v>0</v>
      </c>
      <c r="F116" s="53">
        <v>4.57</v>
      </c>
      <c r="G116" s="53">
        <v>11.65</v>
      </c>
      <c r="H116" s="52" t="s">
        <v>25903</v>
      </c>
    </row>
    <row r="117" spans="1:8" ht="15.75" customHeight="1">
      <c r="A117" s="59">
        <v>521450</v>
      </c>
      <c r="B117" s="51" t="s">
        <v>472</v>
      </c>
      <c r="C117" s="52" t="s">
        <v>951</v>
      </c>
      <c r="D117" s="53">
        <v>10.119999999999999</v>
      </c>
      <c r="E117" s="53">
        <v>0</v>
      </c>
      <c r="F117" s="53">
        <v>15.19</v>
      </c>
      <c r="G117" s="53">
        <v>25.31</v>
      </c>
      <c r="H117" s="52" t="s">
        <v>25903</v>
      </c>
    </row>
    <row r="118" spans="1:8" ht="15.75" customHeight="1">
      <c r="A118" s="59">
        <v>560100</v>
      </c>
      <c r="B118" s="51" t="s">
        <v>269</v>
      </c>
      <c r="C118" s="52" t="s">
        <v>951</v>
      </c>
      <c r="D118" s="53">
        <v>0.49</v>
      </c>
      <c r="E118" s="53">
        <v>0</v>
      </c>
      <c r="F118" s="53">
        <v>0</v>
      </c>
      <c r="G118" s="53">
        <v>0.49</v>
      </c>
      <c r="H118" s="52" t="s">
        <v>25903</v>
      </c>
    </row>
    <row r="119" spans="1:8" ht="15.75" customHeight="1">
      <c r="A119" s="59">
        <v>560400</v>
      </c>
      <c r="B119" s="51" t="s">
        <v>473</v>
      </c>
      <c r="C119" s="52" t="s">
        <v>951</v>
      </c>
      <c r="D119" s="53">
        <v>0.49</v>
      </c>
      <c r="E119" s="53">
        <v>0</v>
      </c>
      <c r="F119" s="53">
        <v>0</v>
      </c>
      <c r="G119" s="53">
        <v>0.49</v>
      </c>
      <c r="H119" s="52" t="s">
        <v>25903</v>
      </c>
    </row>
    <row r="120" spans="1:8" ht="15.75" customHeight="1">
      <c r="A120" s="59">
        <v>510100</v>
      </c>
      <c r="B120" s="51" t="s">
        <v>474</v>
      </c>
      <c r="C120" s="52" t="s">
        <v>950</v>
      </c>
      <c r="D120" s="53">
        <v>8.4600000000000009</v>
      </c>
      <c r="E120" s="53">
        <v>0</v>
      </c>
      <c r="F120" s="53">
        <v>0</v>
      </c>
      <c r="G120" s="53">
        <v>8.4600000000000009</v>
      </c>
      <c r="H120" s="68"/>
    </row>
    <row r="121" spans="1:8" ht="15.75" customHeight="1">
      <c r="A121" s="59">
        <v>510200</v>
      </c>
      <c r="B121" s="51" t="s">
        <v>475</v>
      </c>
      <c r="C121" s="52" t="s">
        <v>950</v>
      </c>
      <c r="D121" s="53">
        <v>11.85</v>
      </c>
      <c r="E121" s="53">
        <v>0</v>
      </c>
      <c r="F121" s="53">
        <v>0</v>
      </c>
      <c r="G121" s="53">
        <v>11.85</v>
      </c>
      <c r="H121" s="68"/>
    </row>
    <row r="122" spans="1:8" ht="15.75" customHeight="1">
      <c r="A122" s="59">
        <v>564000</v>
      </c>
      <c r="B122" s="51" t="s">
        <v>476</v>
      </c>
      <c r="C122" s="52" t="s">
        <v>950</v>
      </c>
      <c r="D122" s="53">
        <v>33.53</v>
      </c>
      <c r="E122" s="53">
        <v>89.46</v>
      </c>
      <c r="F122" s="53">
        <v>0</v>
      </c>
      <c r="G122" s="53">
        <v>122.99</v>
      </c>
      <c r="H122" s="52" t="s">
        <v>25903</v>
      </c>
    </row>
    <row r="123" spans="1:8" ht="15.75" customHeight="1">
      <c r="A123" s="59">
        <v>564300</v>
      </c>
      <c r="B123" s="51" t="s">
        <v>477</v>
      </c>
      <c r="C123" s="52" t="s">
        <v>950</v>
      </c>
      <c r="D123" s="53">
        <v>40.229999999999997</v>
      </c>
      <c r="E123" s="53">
        <v>90.77</v>
      </c>
      <c r="F123" s="53">
        <v>0</v>
      </c>
      <c r="G123" s="53">
        <v>131</v>
      </c>
      <c r="H123" s="52" t="s">
        <v>25903</v>
      </c>
    </row>
    <row r="124" spans="1:8" ht="15.75" customHeight="1">
      <c r="A124" s="59">
        <v>532000</v>
      </c>
      <c r="B124" s="51" t="s">
        <v>478</v>
      </c>
      <c r="C124" s="52" t="s">
        <v>950</v>
      </c>
      <c r="D124" s="53">
        <v>27.86</v>
      </c>
      <c r="E124" s="53">
        <v>94.13</v>
      </c>
      <c r="F124" s="53">
        <v>0</v>
      </c>
      <c r="G124" s="53">
        <v>121.99</v>
      </c>
      <c r="H124" s="52" t="s">
        <v>25903</v>
      </c>
    </row>
    <row r="125" spans="1:8" ht="15.75" customHeight="1">
      <c r="A125" s="59">
        <v>531350</v>
      </c>
      <c r="B125" s="51" t="s">
        <v>479</v>
      </c>
      <c r="C125" s="52" t="s">
        <v>950</v>
      </c>
      <c r="D125" s="53">
        <v>21.81</v>
      </c>
      <c r="E125" s="53">
        <v>83.42</v>
      </c>
      <c r="F125" s="53">
        <v>0</v>
      </c>
      <c r="G125" s="53">
        <v>105.23</v>
      </c>
      <c r="H125" s="52" t="s">
        <v>25903</v>
      </c>
    </row>
    <row r="126" spans="1:8" ht="15.75" customHeight="1">
      <c r="A126" s="59">
        <v>531300</v>
      </c>
      <c r="B126" s="51" t="s">
        <v>480</v>
      </c>
      <c r="C126" s="52" t="s">
        <v>950</v>
      </c>
      <c r="D126" s="53">
        <v>21.81</v>
      </c>
      <c r="E126" s="53">
        <v>57.11</v>
      </c>
      <c r="F126" s="53">
        <v>29.57</v>
      </c>
      <c r="G126" s="53">
        <v>108.49</v>
      </c>
      <c r="H126" s="52" t="s">
        <v>25903</v>
      </c>
    </row>
    <row r="127" spans="1:8" ht="15.75" customHeight="1">
      <c r="A127" s="59">
        <v>531500</v>
      </c>
      <c r="B127" s="51" t="s">
        <v>200</v>
      </c>
      <c r="C127" s="52" t="s">
        <v>950</v>
      </c>
      <c r="D127" s="53">
        <v>21.81</v>
      </c>
      <c r="E127" s="53">
        <v>83.7</v>
      </c>
      <c r="F127" s="53">
        <v>0</v>
      </c>
      <c r="G127" s="53">
        <v>105.51</v>
      </c>
      <c r="H127" s="52" t="s">
        <v>25903</v>
      </c>
    </row>
    <row r="128" spans="1:8" ht="15.75" customHeight="1">
      <c r="A128" s="59">
        <v>535000</v>
      </c>
      <c r="B128" s="51" t="s">
        <v>481</v>
      </c>
      <c r="C128" s="52" t="s">
        <v>951</v>
      </c>
      <c r="D128" s="53">
        <v>43.82</v>
      </c>
      <c r="E128" s="53">
        <v>65.73</v>
      </c>
      <c r="F128" s="53">
        <v>0</v>
      </c>
      <c r="G128" s="53">
        <v>109.55</v>
      </c>
      <c r="H128" s="52" t="s">
        <v>25903</v>
      </c>
    </row>
    <row r="129" spans="1:8" ht="31.5" customHeight="1">
      <c r="A129" s="59">
        <v>534906</v>
      </c>
      <c r="B129" s="51" t="s">
        <v>482</v>
      </c>
      <c r="C129" s="52" t="s">
        <v>951</v>
      </c>
      <c r="D129" s="53">
        <v>27.11</v>
      </c>
      <c r="E129" s="53">
        <v>49.29</v>
      </c>
      <c r="F129" s="53">
        <v>0</v>
      </c>
      <c r="G129" s="53">
        <v>76.400000000000006</v>
      </c>
      <c r="H129" s="52" t="s">
        <v>25903</v>
      </c>
    </row>
    <row r="130" spans="1:8" ht="31.5" customHeight="1">
      <c r="A130" s="59">
        <v>534916</v>
      </c>
      <c r="B130" s="51" t="s">
        <v>483</v>
      </c>
      <c r="C130" s="52" t="s">
        <v>951</v>
      </c>
      <c r="D130" s="53">
        <v>27.11</v>
      </c>
      <c r="E130" s="53">
        <v>49.02</v>
      </c>
      <c r="F130" s="53">
        <v>0</v>
      </c>
      <c r="G130" s="53">
        <v>76.13</v>
      </c>
      <c r="H130" s="52" t="s">
        <v>25903</v>
      </c>
    </row>
    <row r="131" spans="1:8" ht="31.5" customHeight="1">
      <c r="A131" s="59">
        <v>534908</v>
      </c>
      <c r="B131" s="51" t="s">
        <v>484</v>
      </c>
      <c r="C131" s="52" t="s">
        <v>951</v>
      </c>
      <c r="D131" s="53">
        <v>27.11</v>
      </c>
      <c r="E131" s="53">
        <v>62.49</v>
      </c>
      <c r="F131" s="53">
        <v>0</v>
      </c>
      <c r="G131" s="53">
        <v>89.6</v>
      </c>
      <c r="H131" s="52" t="s">
        <v>25903</v>
      </c>
    </row>
    <row r="132" spans="1:8" ht="31.5" customHeight="1">
      <c r="A132" s="59">
        <v>534918</v>
      </c>
      <c r="B132" s="51" t="s">
        <v>485</v>
      </c>
      <c r="C132" s="52" t="s">
        <v>951</v>
      </c>
      <c r="D132" s="53">
        <v>27.11</v>
      </c>
      <c r="E132" s="53">
        <v>62.22</v>
      </c>
      <c r="F132" s="53">
        <v>0</v>
      </c>
      <c r="G132" s="53">
        <v>89.33</v>
      </c>
      <c r="H132" s="52" t="s">
        <v>25903</v>
      </c>
    </row>
    <row r="133" spans="1:8" ht="15.75" customHeight="1">
      <c r="A133" s="59">
        <v>530000</v>
      </c>
      <c r="B133" s="51" t="s">
        <v>486</v>
      </c>
      <c r="C133" s="52" t="s">
        <v>950</v>
      </c>
      <c r="D133" s="53">
        <v>31.88</v>
      </c>
      <c r="E133" s="53">
        <v>0</v>
      </c>
      <c r="F133" s="53">
        <v>23.95</v>
      </c>
      <c r="G133" s="53">
        <v>55.83</v>
      </c>
      <c r="H133" s="68"/>
    </row>
    <row r="134" spans="1:8" ht="15.75" customHeight="1">
      <c r="A134" s="59">
        <v>530060</v>
      </c>
      <c r="B134" s="51" t="s">
        <v>487</v>
      </c>
      <c r="C134" s="52" t="s">
        <v>950</v>
      </c>
      <c r="D134" s="53">
        <v>29.91</v>
      </c>
      <c r="E134" s="53">
        <v>0</v>
      </c>
      <c r="F134" s="53">
        <v>22.1</v>
      </c>
      <c r="G134" s="53">
        <v>52.01</v>
      </c>
      <c r="H134" s="68"/>
    </row>
    <row r="135" spans="1:8" ht="15.75" customHeight="1">
      <c r="A135" s="59">
        <v>561130</v>
      </c>
      <c r="B135" s="51" t="s">
        <v>488</v>
      </c>
      <c r="C135" s="52" t="s">
        <v>951</v>
      </c>
      <c r="D135" s="53">
        <v>0.35</v>
      </c>
      <c r="E135" s="53">
        <v>0</v>
      </c>
      <c r="F135" s="53">
        <v>0</v>
      </c>
      <c r="G135" s="53">
        <v>0.35</v>
      </c>
      <c r="H135" s="52" t="s">
        <v>25903</v>
      </c>
    </row>
    <row r="136" spans="1:8" ht="15.75" customHeight="1">
      <c r="A136" s="59">
        <v>561100</v>
      </c>
      <c r="B136" s="51" t="s">
        <v>270</v>
      </c>
      <c r="C136" s="52" t="s">
        <v>951</v>
      </c>
      <c r="D136" s="53">
        <v>0.34</v>
      </c>
      <c r="E136" s="53">
        <v>0</v>
      </c>
      <c r="F136" s="53">
        <v>0</v>
      </c>
      <c r="G136" s="53">
        <v>0.34</v>
      </c>
      <c r="H136" s="52" t="s">
        <v>25903</v>
      </c>
    </row>
    <row r="137" spans="1:8" ht="15.75" customHeight="1">
      <c r="A137" s="59">
        <v>516300</v>
      </c>
      <c r="B137" s="51" t="s">
        <v>489</v>
      </c>
      <c r="C137" s="52" t="s">
        <v>950</v>
      </c>
      <c r="D137" s="53">
        <v>14.97</v>
      </c>
      <c r="E137" s="53">
        <v>0</v>
      </c>
      <c r="F137" s="53">
        <v>0</v>
      </c>
      <c r="G137" s="53">
        <v>14.97</v>
      </c>
      <c r="H137" s="52" t="s">
        <v>25903</v>
      </c>
    </row>
    <row r="138" spans="1:8" ht="15.75" customHeight="1">
      <c r="A138" s="59">
        <v>516000</v>
      </c>
      <c r="B138" s="51" t="s">
        <v>490</v>
      </c>
      <c r="C138" s="52" t="s">
        <v>950</v>
      </c>
      <c r="D138" s="53">
        <v>5.35</v>
      </c>
      <c r="E138" s="53">
        <v>85.51</v>
      </c>
      <c r="F138" s="53">
        <v>0</v>
      </c>
      <c r="G138" s="53">
        <v>90.86</v>
      </c>
      <c r="H138" s="52" t="s">
        <v>25903</v>
      </c>
    </row>
    <row r="139" spans="1:8" ht="15.75" customHeight="1">
      <c r="A139" s="59">
        <v>516100</v>
      </c>
      <c r="B139" s="51" t="s">
        <v>267</v>
      </c>
      <c r="C139" s="52" t="s">
        <v>950</v>
      </c>
      <c r="D139" s="53">
        <v>11.97</v>
      </c>
      <c r="E139" s="53">
        <v>82.49</v>
      </c>
      <c r="F139" s="53">
        <v>0</v>
      </c>
      <c r="G139" s="53">
        <v>94.46</v>
      </c>
      <c r="H139" s="52" t="s">
        <v>25903</v>
      </c>
    </row>
    <row r="140" spans="1:8" ht="15.75" customHeight="1">
      <c r="A140" s="59">
        <v>516200</v>
      </c>
      <c r="B140" s="51" t="s">
        <v>491</v>
      </c>
      <c r="C140" s="52" t="s">
        <v>950</v>
      </c>
      <c r="D140" s="53">
        <v>11.97</v>
      </c>
      <c r="E140" s="53">
        <v>92.17</v>
      </c>
      <c r="F140" s="53">
        <v>0</v>
      </c>
      <c r="G140" s="53">
        <v>104.14</v>
      </c>
      <c r="H140" s="52" t="s">
        <v>25903</v>
      </c>
    </row>
    <row r="141" spans="1:8" ht="15.75" customHeight="1">
      <c r="A141" s="59">
        <v>534600</v>
      </c>
      <c r="B141" s="51" t="s">
        <v>492</v>
      </c>
      <c r="C141" s="52" t="s">
        <v>950</v>
      </c>
      <c r="D141" s="53">
        <v>26.12</v>
      </c>
      <c r="E141" s="53">
        <v>65.78</v>
      </c>
      <c r="F141" s="53">
        <v>0</v>
      </c>
      <c r="G141" s="53">
        <v>91.9</v>
      </c>
      <c r="H141" s="52" t="s">
        <v>25903</v>
      </c>
    </row>
    <row r="142" spans="1:8" ht="15.75" customHeight="1">
      <c r="A142" s="59">
        <v>534000</v>
      </c>
      <c r="B142" s="51" t="s">
        <v>493</v>
      </c>
      <c r="C142" s="52" t="s">
        <v>950</v>
      </c>
      <c r="D142" s="53">
        <v>48.9</v>
      </c>
      <c r="E142" s="53">
        <v>92.94</v>
      </c>
      <c r="F142" s="53">
        <v>0</v>
      </c>
      <c r="G142" s="53">
        <v>141.84</v>
      </c>
      <c r="H142" s="52" t="s">
        <v>25903</v>
      </c>
    </row>
    <row r="143" spans="1:8" ht="15.75" customHeight="1">
      <c r="A143" s="59">
        <v>534650</v>
      </c>
      <c r="B143" s="51" t="s">
        <v>494</v>
      </c>
      <c r="C143" s="52" t="s">
        <v>950</v>
      </c>
      <c r="D143" s="53">
        <v>26.12</v>
      </c>
      <c r="E143" s="53">
        <v>65.78</v>
      </c>
      <c r="F143" s="53">
        <v>0</v>
      </c>
      <c r="G143" s="53">
        <v>91.9</v>
      </c>
      <c r="H143" s="52" t="s">
        <v>25903</v>
      </c>
    </row>
    <row r="144" spans="1:8" ht="15.75" customHeight="1">
      <c r="A144" s="59">
        <v>534300</v>
      </c>
      <c r="B144" s="51" t="s">
        <v>495</v>
      </c>
      <c r="C144" s="52" t="s">
        <v>950</v>
      </c>
      <c r="D144" s="53">
        <v>48.67</v>
      </c>
      <c r="E144" s="53">
        <v>91.63</v>
      </c>
      <c r="F144" s="53">
        <v>0</v>
      </c>
      <c r="G144" s="53">
        <v>140.30000000000001</v>
      </c>
      <c r="H144" s="52" t="s">
        <v>25903</v>
      </c>
    </row>
    <row r="145" spans="1:8" ht="15.75" customHeight="1">
      <c r="A145" s="59">
        <v>570310</v>
      </c>
      <c r="B145" s="51" t="s">
        <v>496</v>
      </c>
      <c r="C145" s="52" t="s">
        <v>34</v>
      </c>
      <c r="D145" s="53">
        <v>73.680000000000007</v>
      </c>
      <c r="E145" s="53">
        <v>85.17</v>
      </c>
      <c r="F145" s="53">
        <v>0</v>
      </c>
      <c r="G145" s="53">
        <v>158.85</v>
      </c>
      <c r="H145" s="52" t="s">
        <v>25903</v>
      </c>
    </row>
    <row r="146" spans="1:8" ht="15.75" customHeight="1">
      <c r="A146" s="59">
        <v>570300</v>
      </c>
      <c r="B146" s="51" t="s">
        <v>497</v>
      </c>
      <c r="C146" s="52" t="s">
        <v>34</v>
      </c>
      <c r="D146" s="53">
        <v>90.7</v>
      </c>
      <c r="E146" s="53">
        <v>88.08</v>
      </c>
      <c r="F146" s="53">
        <v>0</v>
      </c>
      <c r="G146" s="53">
        <v>178.78</v>
      </c>
      <c r="H146" s="52" t="s">
        <v>25903</v>
      </c>
    </row>
    <row r="147" spans="1:8" ht="15.75" customHeight="1">
      <c r="A147" s="59">
        <v>530160</v>
      </c>
      <c r="B147" s="51" t="s">
        <v>498</v>
      </c>
      <c r="C147" s="52" t="s">
        <v>950</v>
      </c>
      <c r="D147" s="53">
        <v>0</v>
      </c>
      <c r="E147" s="53">
        <v>0</v>
      </c>
      <c r="F147" s="53">
        <v>46.06</v>
      </c>
      <c r="G147" s="53">
        <v>46.06</v>
      </c>
      <c r="H147" s="68"/>
    </row>
    <row r="148" spans="1:8" ht="15.75" customHeight="1">
      <c r="A148" s="59">
        <v>511000</v>
      </c>
      <c r="B148" s="51" t="s">
        <v>499</v>
      </c>
      <c r="C148" s="52" t="s">
        <v>951</v>
      </c>
      <c r="D148" s="53">
        <v>4.91</v>
      </c>
      <c r="E148" s="53">
        <v>0</v>
      </c>
      <c r="F148" s="53">
        <v>0</v>
      </c>
      <c r="G148" s="53">
        <v>4.91</v>
      </c>
      <c r="H148" s="68"/>
    </row>
    <row r="149" spans="1:8" ht="15.75" customHeight="1">
      <c r="A149" s="59">
        <v>511100</v>
      </c>
      <c r="B149" s="51" t="s">
        <v>500</v>
      </c>
      <c r="C149" s="52" t="s">
        <v>951</v>
      </c>
      <c r="D149" s="53">
        <v>4.25</v>
      </c>
      <c r="E149" s="53">
        <v>0</v>
      </c>
      <c r="F149" s="53">
        <v>0</v>
      </c>
      <c r="G149" s="53">
        <v>4.25</v>
      </c>
      <c r="H149" s="68"/>
    </row>
    <row r="150" spans="1:8" ht="15.75" customHeight="1">
      <c r="A150" s="59">
        <v>511200</v>
      </c>
      <c r="B150" s="51" t="s">
        <v>264</v>
      </c>
      <c r="C150" s="52" t="s">
        <v>951</v>
      </c>
      <c r="D150" s="53">
        <v>4.6399999999999997</v>
      </c>
      <c r="E150" s="53">
        <v>0</v>
      </c>
      <c r="F150" s="53">
        <v>0</v>
      </c>
      <c r="G150" s="53">
        <v>4.6399999999999997</v>
      </c>
      <c r="H150" s="68"/>
    </row>
    <row r="151" spans="1:8" ht="15.75" customHeight="1">
      <c r="A151" s="59">
        <v>511300</v>
      </c>
      <c r="B151" s="51" t="s">
        <v>501</v>
      </c>
      <c r="C151" s="52" t="s">
        <v>951</v>
      </c>
      <c r="D151" s="53">
        <v>0.28999999999999998</v>
      </c>
      <c r="E151" s="53">
        <v>0</v>
      </c>
      <c r="F151" s="53">
        <v>0</v>
      </c>
      <c r="G151" s="53">
        <v>0.28999999999999998</v>
      </c>
      <c r="H151" s="68"/>
    </row>
    <row r="152" spans="1:8" ht="15.75" customHeight="1">
      <c r="A152" s="59">
        <v>550000</v>
      </c>
      <c r="B152" s="51" t="s">
        <v>502</v>
      </c>
      <c r="C152" s="52" t="s">
        <v>950</v>
      </c>
      <c r="D152" s="53">
        <v>25.08</v>
      </c>
      <c r="E152" s="53">
        <v>57.88</v>
      </c>
      <c r="F152" s="53">
        <v>3.19</v>
      </c>
      <c r="G152" s="53">
        <v>86.15</v>
      </c>
      <c r="H152" s="52" t="s">
        <v>25903</v>
      </c>
    </row>
    <row r="153" spans="1:8" ht="15.75" customHeight="1">
      <c r="A153" s="59">
        <v>550500</v>
      </c>
      <c r="B153" s="51" t="s">
        <v>503</v>
      </c>
      <c r="C153" s="52" t="s">
        <v>950</v>
      </c>
      <c r="D153" s="53">
        <v>25.08</v>
      </c>
      <c r="E153" s="53">
        <v>48.21</v>
      </c>
      <c r="F153" s="53">
        <v>3.99</v>
      </c>
      <c r="G153" s="53">
        <v>77.28</v>
      </c>
      <c r="H153" s="52" t="s">
        <v>25903</v>
      </c>
    </row>
    <row r="154" spans="1:8" ht="15.75" customHeight="1">
      <c r="A154" s="59">
        <v>541000</v>
      </c>
      <c r="B154" s="51" t="s">
        <v>504</v>
      </c>
      <c r="C154" s="52" t="s">
        <v>950</v>
      </c>
      <c r="D154" s="53">
        <v>21.59</v>
      </c>
      <c r="E154" s="53">
        <v>0</v>
      </c>
      <c r="F154" s="53">
        <v>7.35</v>
      </c>
      <c r="G154" s="53">
        <v>28.94</v>
      </c>
      <c r="H154" s="52" t="s">
        <v>25903</v>
      </c>
    </row>
    <row r="155" spans="1:8" ht="15.75" customHeight="1">
      <c r="A155" s="59">
        <v>541100</v>
      </c>
      <c r="B155" s="51" t="s">
        <v>505</v>
      </c>
      <c r="C155" s="52" t="s">
        <v>950</v>
      </c>
      <c r="D155" s="53">
        <v>25.82</v>
      </c>
      <c r="E155" s="53">
        <v>0</v>
      </c>
      <c r="F155" s="53">
        <v>7.46</v>
      </c>
      <c r="G155" s="53">
        <v>33.28</v>
      </c>
      <c r="H155" s="52" t="s">
        <v>25903</v>
      </c>
    </row>
    <row r="156" spans="1:8" ht="15.75" customHeight="1">
      <c r="A156" s="59">
        <v>541300</v>
      </c>
      <c r="B156" s="51" t="s">
        <v>506</v>
      </c>
      <c r="C156" s="52" t="s">
        <v>950</v>
      </c>
      <c r="D156" s="53">
        <v>21.73</v>
      </c>
      <c r="E156" s="53">
        <v>0</v>
      </c>
      <c r="F156" s="53">
        <v>0</v>
      </c>
      <c r="G156" s="53">
        <v>21.73</v>
      </c>
      <c r="H156" s="68"/>
    </row>
    <row r="157" spans="1:8" ht="15.75" customHeight="1">
      <c r="A157" s="59">
        <v>541200</v>
      </c>
      <c r="B157" s="51" t="s">
        <v>507</v>
      </c>
      <c r="C157" s="52" t="s">
        <v>950</v>
      </c>
      <c r="D157" s="53">
        <v>26</v>
      </c>
      <c r="E157" s="53">
        <v>0</v>
      </c>
      <c r="F157" s="53">
        <v>0</v>
      </c>
      <c r="G157" s="53">
        <v>26</v>
      </c>
      <c r="H157" s="68"/>
    </row>
    <row r="158" spans="1:8" ht="15.75" customHeight="1">
      <c r="A158" s="59">
        <v>542000</v>
      </c>
      <c r="B158" s="51" t="s">
        <v>508</v>
      </c>
      <c r="C158" s="52" t="s">
        <v>950</v>
      </c>
      <c r="D158" s="53">
        <v>30.85</v>
      </c>
      <c r="E158" s="53">
        <v>20.94</v>
      </c>
      <c r="F158" s="53">
        <v>6.76</v>
      </c>
      <c r="G158" s="53">
        <v>58.55</v>
      </c>
      <c r="H158" s="52" t="s">
        <v>25903</v>
      </c>
    </row>
    <row r="159" spans="1:8" ht="15.75" customHeight="1">
      <c r="A159" s="59">
        <v>543000</v>
      </c>
      <c r="B159" s="51" t="s">
        <v>509</v>
      </c>
      <c r="C159" s="52" t="s">
        <v>950</v>
      </c>
      <c r="D159" s="53">
        <v>34.22</v>
      </c>
      <c r="E159" s="53">
        <v>31.13</v>
      </c>
      <c r="F159" s="53">
        <v>6.7</v>
      </c>
      <c r="G159" s="53">
        <v>72.05</v>
      </c>
      <c r="H159" s="52" t="s">
        <v>25903</v>
      </c>
    </row>
    <row r="160" spans="1:8" ht="15.75" customHeight="1">
      <c r="A160" s="59">
        <v>544200</v>
      </c>
      <c r="B160" s="51" t="s">
        <v>510</v>
      </c>
      <c r="C160" s="52" t="s">
        <v>950</v>
      </c>
      <c r="D160" s="53">
        <v>37.64</v>
      </c>
      <c r="E160" s="53">
        <v>41.31</v>
      </c>
      <c r="F160" s="53">
        <v>6.63</v>
      </c>
      <c r="G160" s="53">
        <v>85.58</v>
      </c>
      <c r="H160" s="52" t="s">
        <v>25903</v>
      </c>
    </row>
    <row r="161" spans="1:8" ht="15.75" customHeight="1">
      <c r="A161" s="59">
        <v>544000</v>
      </c>
      <c r="B161" s="51" t="s">
        <v>511</v>
      </c>
      <c r="C161" s="52" t="s">
        <v>950</v>
      </c>
      <c r="D161" s="53">
        <v>29.75</v>
      </c>
      <c r="E161" s="53">
        <v>40.18</v>
      </c>
      <c r="F161" s="53">
        <v>6.46</v>
      </c>
      <c r="G161" s="53">
        <v>76.39</v>
      </c>
      <c r="H161" s="52" t="s">
        <v>25903</v>
      </c>
    </row>
    <row r="162" spans="1:8" ht="15.75" customHeight="1">
      <c r="A162" s="59">
        <v>545200</v>
      </c>
      <c r="B162" s="51" t="s">
        <v>512</v>
      </c>
      <c r="C162" s="52" t="s">
        <v>950</v>
      </c>
      <c r="D162" s="53">
        <v>40.93</v>
      </c>
      <c r="E162" s="53">
        <v>51.5</v>
      </c>
      <c r="F162" s="53">
        <v>6.57</v>
      </c>
      <c r="G162" s="53">
        <v>99</v>
      </c>
      <c r="H162" s="52" t="s">
        <v>25903</v>
      </c>
    </row>
    <row r="163" spans="1:8" ht="15.75" customHeight="1">
      <c r="A163" s="59">
        <v>545000</v>
      </c>
      <c r="B163" s="51" t="s">
        <v>513</v>
      </c>
      <c r="C163" s="52" t="s">
        <v>950</v>
      </c>
      <c r="D163" s="53">
        <v>32.31</v>
      </c>
      <c r="E163" s="53">
        <v>49.8</v>
      </c>
      <c r="F163" s="53">
        <v>6.4</v>
      </c>
      <c r="G163" s="53">
        <v>88.51</v>
      </c>
      <c r="H163" s="52" t="s">
        <v>25903</v>
      </c>
    </row>
    <row r="164" spans="1:8" ht="15.75" customHeight="1">
      <c r="A164" s="59">
        <v>546000</v>
      </c>
      <c r="B164" s="51" t="s">
        <v>514</v>
      </c>
      <c r="C164" s="52" t="s">
        <v>950</v>
      </c>
      <c r="D164" s="53">
        <v>34.869999999999997</v>
      </c>
      <c r="E164" s="53">
        <v>59.43</v>
      </c>
      <c r="F164" s="53">
        <v>6.33</v>
      </c>
      <c r="G164" s="53">
        <v>100.63</v>
      </c>
      <c r="H164" s="52" t="s">
        <v>25903</v>
      </c>
    </row>
    <row r="165" spans="1:8" ht="15.75" customHeight="1">
      <c r="A165" s="59">
        <v>547000</v>
      </c>
      <c r="B165" s="51" t="s">
        <v>515</v>
      </c>
      <c r="C165" s="52" t="s">
        <v>950</v>
      </c>
      <c r="D165" s="53">
        <v>38.93</v>
      </c>
      <c r="E165" s="53">
        <v>68.48</v>
      </c>
      <c r="F165" s="53">
        <v>6.27</v>
      </c>
      <c r="G165" s="53">
        <v>113.68</v>
      </c>
      <c r="H165" s="52" t="s">
        <v>25903</v>
      </c>
    </row>
    <row r="166" spans="1:8" ht="15.75" customHeight="1">
      <c r="A166" s="59">
        <v>542100</v>
      </c>
      <c r="B166" s="51" t="s">
        <v>516</v>
      </c>
      <c r="C166" s="52" t="s">
        <v>950</v>
      </c>
      <c r="D166" s="53">
        <v>31.33</v>
      </c>
      <c r="E166" s="53">
        <v>21.51</v>
      </c>
      <c r="F166" s="53">
        <v>6.76</v>
      </c>
      <c r="G166" s="53">
        <v>59.6</v>
      </c>
      <c r="H166" s="52" t="s">
        <v>25903</v>
      </c>
    </row>
    <row r="167" spans="1:8" ht="15.75" customHeight="1">
      <c r="A167" s="59">
        <v>543100</v>
      </c>
      <c r="B167" s="51" t="s">
        <v>517</v>
      </c>
      <c r="C167" s="52" t="s">
        <v>950</v>
      </c>
      <c r="D167" s="53">
        <v>31.33</v>
      </c>
      <c r="E167" s="53">
        <v>31.98</v>
      </c>
      <c r="F167" s="53">
        <v>6.7</v>
      </c>
      <c r="G167" s="53">
        <v>70.010000000000005</v>
      </c>
      <c r="H167" s="52" t="s">
        <v>25903</v>
      </c>
    </row>
    <row r="168" spans="1:8" ht="15.75" customHeight="1">
      <c r="A168" s="59">
        <v>544300</v>
      </c>
      <c r="B168" s="51" t="s">
        <v>518</v>
      </c>
      <c r="C168" s="52" t="s">
        <v>950</v>
      </c>
      <c r="D168" s="53">
        <v>31.33</v>
      </c>
      <c r="E168" s="53">
        <v>42.45</v>
      </c>
      <c r="F168" s="53">
        <v>6.63</v>
      </c>
      <c r="G168" s="53">
        <v>80.41</v>
      </c>
      <c r="H168" s="52" t="s">
        <v>25903</v>
      </c>
    </row>
    <row r="169" spans="1:8" ht="15.75" customHeight="1">
      <c r="A169" s="59">
        <v>544100</v>
      </c>
      <c r="B169" s="51" t="s">
        <v>519</v>
      </c>
      <c r="C169" s="52" t="s">
        <v>950</v>
      </c>
      <c r="D169" s="53">
        <v>24.48</v>
      </c>
      <c r="E169" s="53">
        <v>41.29</v>
      </c>
      <c r="F169" s="53">
        <v>6.46</v>
      </c>
      <c r="G169" s="53">
        <v>72.23</v>
      </c>
      <c r="H169" s="52" t="s">
        <v>25903</v>
      </c>
    </row>
    <row r="170" spans="1:8" ht="15.75" customHeight="1">
      <c r="A170" s="59">
        <v>545300</v>
      </c>
      <c r="B170" s="51" t="s">
        <v>520</v>
      </c>
      <c r="C170" s="52" t="s">
        <v>950</v>
      </c>
      <c r="D170" s="53">
        <v>31.33</v>
      </c>
      <c r="E170" s="53">
        <v>52.92</v>
      </c>
      <c r="F170" s="53">
        <v>6.57</v>
      </c>
      <c r="G170" s="53">
        <v>90.82</v>
      </c>
      <c r="H170" s="52" t="s">
        <v>25903</v>
      </c>
    </row>
    <row r="171" spans="1:8" ht="15.75" customHeight="1">
      <c r="A171" s="59">
        <v>545100</v>
      </c>
      <c r="B171" s="51" t="s">
        <v>521</v>
      </c>
      <c r="C171" s="52" t="s">
        <v>950</v>
      </c>
      <c r="D171" s="53">
        <v>24.48</v>
      </c>
      <c r="E171" s="53">
        <v>51.17</v>
      </c>
      <c r="F171" s="53">
        <v>6.4</v>
      </c>
      <c r="G171" s="53">
        <v>82.05</v>
      </c>
      <c r="H171" s="52" t="s">
        <v>25903</v>
      </c>
    </row>
    <row r="172" spans="1:8" ht="15.75" customHeight="1">
      <c r="A172" s="59">
        <v>546100</v>
      </c>
      <c r="B172" s="51" t="s">
        <v>522</v>
      </c>
      <c r="C172" s="52" t="s">
        <v>950</v>
      </c>
      <c r="D172" s="53">
        <v>24.48</v>
      </c>
      <c r="E172" s="53">
        <v>61.06</v>
      </c>
      <c r="F172" s="53">
        <v>6.33</v>
      </c>
      <c r="G172" s="53">
        <v>91.87</v>
      </c>
      <c r="H172" s="52" t="s">
        <v>25903</v>
      </c>
    </row>
    <row r="173" spans="1:8" ht="15.75" customHeight="1">
      <c r="A173" s="59">
        <v>547100</v>
      </c>
      <c r="B173" s="51" t="s">
        <v>523</v>
      </c>
      <c r="C173" s="52" t="s">
        <v>950</v>
      </c>
      <c r="D173" s="53">
        <v>24.48</v>
      </c>
      <c r="E173" s="53">
        <v>70.36</v>
      </c>
      <c r="F173" s="53">
        <v>6.27</v>
      </c>
      <c r="G173" s="53">
        <v>101.11</v>
      </c>
      <c r="H173" s="52" t="s">
        <v>25903</v>
      </c>
    </row>
    <row r="174" spans="1:8" ht="15.75" customHeight="1">
      <c r="A174" s="59">
        <v>533000</v>
      </c>
      <c r="B174" s="51" t="s">
        <v>524</v>
      </c>
      <c r="C174" s="52" t="s">
        <v>950</v>
      </c>
      <c r="D174" s="53">
        <v>21.59</v>
      </c>
      <c r="E174" s="53">
        <v>0</v>
      </c>
      <c r="F174" s="53">
        <v>7.35</v>
      </c>
      <c r="G174" s="53">
        <v>28.94</v>
      </c>
      <c r="H174" s="52" t="s">
        <v>25903</v>
      </c>
    </row>
    <row r="175" spans="1:8" ht="15.75" customHeight="1">
      <c r="A175" s="59">
        <v>533100</v>
      </c>
      <c r="B175" s="51" t="s">
        <v>525</v>
      </c>
      <c r="C175" s="52" t="s">
        <v>950</v>
      </c>
      <c r="D175" s="53">
        <v>21.59</v>
      </c>
      <c r="E175" s="53">
        <v>0</v>
      </c>
      <c r="F175" s="53">
        <v>8.99</v>
      </c>
      <c r="G175" s="53">
        <v>30.58</v>
      </c>
      <c r="H175" s="52" t="s">
        <v>25903</v>
      </c>
    </row>
    <row r="176" spans="1:8" ht="15.75" customHeight="1">
      <c r="A176" s="59">
        <v>533200</v>
      </c>
      <c r="B176" s="51" t="s">
        <v>526</v>
      </c>
      <c r="C176" s="52" t="s">
        <v>950</v>
      </c>
      <c r="D176" s="53">
        <v>24.72</v>
      </c>
      <c r="E176" s="53">
        <v>0</v>
      </c>
      <c r="F176" s="53">
        <v>7.52</v>
      </c>
      <c r="G176" s="53">
        <v>32.24</v>
      </c>
      <c r="H176" s="52" t="s">
        <v>25903</v>
      </c>
    </row>
    <row r="177" spans="1:8" ht="15.75" customHeight="1">
      <c r="A177" s="59">
        <v>533300</v>
      </c>
      <c r="B177" s="51" t="s">
        <v>527</v>
      </c>
      <c r="C177" s="52" t="s">
        <v>950</v>
      </c>
      <c r="D177" s="53">
        <v>24.72</v>
      </c>
      <c r="E177" s="53">
        <v>0</v>
      </c>
      <c r="F177" s="53">
        <v>9.19</v>
      </c>
      <c r="G177" s="53">
        <v>33.909999999999997</v>
      </c>
      <c r="H177" s="52" t="s">
        <v>25903</v>
      </c>
    </row>
    <row r="178" spans="1:8" ht="15.75" customHeight="1">
      <c r="A178" s="59">
        <v>533500</v>
      </c>
      <c r="B178" s="51" t="s">
        <v>528</v>
      </c>
      <c r="C178" s="52" t="s">
        <v>950</v>
      </c>
      <c r="D178" s="53">
        <v>18.440000000000001</v>
      </c>
      <c r="E178" s="53">
        <v>0</v>
      </c>
      <c r="F178" s="53">
        <v>7.35</v>
      </c>
      <c r="G178" s="53">
        <v>25.79</v>
      </c>
      <c r="H178" s="52" t="s">
        <v>25903</v>
      </c>
    </row>
    <row r="179" spans="1:8" ht="15.75" customHeight="1">
      <c r="A179" s="59">
        <v>533600</v>
      </c>
      <c r="B179" s="51" t="s">
        <v>529</v>
      </c>
      <c r="C179" s="52" t="s">
        <v>950</v>
      </c>
      <c r="D179" s="53">
        <v>18.440000000000001</v>
      </c>
      <c r="E179" s="53">
        <v>0</v>
      </c>
      <c r="F179" s="53">
        <v>8.99</v>
      </c>
      <c r="G179" s="53">
        <v>27.43</v>
      </c>
      <c r="H179" s="52" t="s">
        <v>25903</v>
      </c>
    </row>
    <row r="180" spans="1:8" ht="15.75" customHeight="1">
      <c r="A180" s="59">
        <v>583100</v>
      </c>
      <c r="B180" s="51" t="s">
        <v>530</v>
      </c>
      <c r="C180" s="52" t="s">
        <v>951</v>
      </c>
      <c r="D180" s="53">
        <v>5.18</v>
      </c>
      <c r="E180" s="53">
        <v>1.64</v>
      </c>
      <c r="F180" s="53">
        <v>0</v>
      </c>
      <c r="G180" s="53">
        <v>6.82</v>
      </c>
      <c r="H180" s="52" t="s">
        <v>25903</v>
      </c>
    </row>
    <row r="181" spans="1:8" ht="15.75" customHeight="1">
      <c r="A181" s="59">
        <v>587000</v>
      </c>
      <c r="B181" s="51" t="s">
        <v>531</v>
      </c>
      <c r="C181" s="52" t="s">
        <v>951</v>
      </c>
      <c r="D181" s="53">
        <v>3.88</v>
      </c>
      <c r="E181" s="53">
        <v>0.65</v>
      </c>
      <c r="F181" s="53">
        <v>0</v>
      </c>
      <c r="G181" s="53">
        <v>4.53</v>
      </c>
      <c r="H181" s="52" t="s">
        <v>25903</v>
      </c>
    </row>
    <row r="182" spans="1:8" ht="15.75" customHeight="1">
      <c r="A182" s="59">
        <v>584200</v>
      </c>
      <c r="B182" s="51" t="s">
        <v>532</v>
      </c>
      <c r="C182" s="52" t="s">
        <v>951</v>
      </c>
      <c r="D182" s="53">
        <v>6.38</v>
      </c>
      <c r="E182" s="53">
        <v>2.1</v>
      </c>
      <c r="F182" s="53">
        <v>0</v>
      </c>
      <c r="G182" s="53">
        <v>8.48</v>
      </c>
      <c r="H182" s="52" t="s">
        <v>25903</v>
      </c>
    </row>
    <row r="183" spans="1:8">
      <c r="A183" s="66"/>
      <c r="B183" s="66" t="s">
        <v>375</v>
      </c>
      <c r="C183" s="67" t="s">
        <v>195</v>
      </c>
      <c r="D183" s="67"/>
      <c r="E183" s="67"/>
      <c r="F183" s="67"/>
      <c r="G183" s="67"/>
      <c r="H183" s="69" t="s">
        <v>195</v>
      </c>
    </row>
    <row r="184" spans="1:8" ht="15.75" customHeight="1">
      <c r="A184" s="59">
        <v>602600</v>
      </c>
      <c r="B184" s="51" t="s">
        <v>533</v>
      </c>
      <c r="C184" s="52" t="s">
        <v>327</v>
      </c>
      <c r="D184" s="53">
        <v>9.74</v>
      </c>
      <c r="E184" s="53">
        <v>8.68</v>
      </c>
      <c r="F184" s="53">
        <v>0</v>
      </c>
      <c r="G184" s="53">
        <v>18.420000000000002</v>
      </c>
      <c r="H184" s="68"/>
    </row>
    <row r="185" spans="1:8" ht="15.75" customHeight="1">
      <c r="A185" s="59">
        <v>603000</v>
      </c>
      <c r="B185" s="51" t="s">
        <v>225</v>
      </c>
      <c r="C185" s="52" t="s">
        <v>327</v>
      </c>
      <c r="D185" s="53">
        <v>9.74</v>
      </c>
      <c r="E185" s="53">
        <v>8.6</v>
      </c>
      <c r="F185" s="53">
        <v>0</v>
      </c>
      <c r="G185" s="53">
        <v>18.34</v>
      </c>
      <c r="H185" s="68"/>
    </row>
    <row r="186" spans="1:8" ht="15.75" customHeight="1">
      <c r="A186" s="59">
        <v>603300</v>
      </c>
      <c r="B186" s="51" t="s">
        <v>226</v>
      </c>
      <c r="C186" s="52" t="s">
        <v>327</v>
      </c>
      <c r="D186" s="53">
        <v>9.74</v>
      </c>
      <c r="E186" s="53">
        <v>11.17</v>
      </c>
      <c r="F186" s="53">
        <v>0</v>
      </c>
      <c r="G186" s="53">
        <v>20.91</v>
      </c>
      <c r="H186" s="68"/>
    </row>
    <row r="187" spans="1:8" ht="15.75" customHeight="1">
      <c r="A187" s="59">
        <v>603500</v>
      </c>
      <c r="B187" s="51" t="s">
        <v>534</v>
      </c>
      <c r="C187" s="52" t="s">
        <v>950</v>
      </c>
      <c r="D187" s="53">
        <v>534.26</v>
      </c>
      <c r="E187" s="53">
        <v>844</v>
      </c>
      <c r="F187" s="53">
        <v>0</v>
      </c>
      <c r="G187" s="55">
        <v>1378.26</v>
      </c>
      <c r="H187" s="52" t="s">
        <v>25903</v>
      </c>
    </row>
    <row r="188" spans="1:8" ht="15.75" customHeight="1">
      <c r="A188" s="59">
        <v>603600</v>
      </c>
      <c r="B188" s="51" t="s">
        <v>535</v>
      </c>
      <c r="C188" s="52" t="s">
        <v>950</v>
      </c>
      <c r="D188" s="53">
        <v>150.9</v>
      </c>
      <c r="E188" s="53">
        <v>141.02000000000001</v>
      </c>
      <c r="F188" s="53">
        <v>0</v>
      </c>
      <c r="G188" s="53">
        <v>291.92</v>
      </c>
      <c r="H188" s="52" t="s">
        <v>25903</v>
      </c>
    </row>
    <row r="189" spans="1:8" ht="15.75" customHeight="1">
      <c r="A189" s="59">
        <v>601100</v>
      </c>
      <c r="B189" s="51" t="s">
        <v>223</v>
      </c>
      <c r="C189" s="52" t="s">
        <v>950</v>
      </c>
      <c r="D189" s="53">
        <v>54.05</v>
      </c>
      <c r="E189" s="53">
        <v>0</v>
      </c>
      <c r="F189" s="53">
        <v>0</v>
      </c>
      <c r="G189" s="53">
        <v>54.05</v>
      </c>
      <c r="H189" s="68"/>
    </row>
    <row r="190" spans="1:8" ht="15.75" customHeight="1">
      <c r="A190" s="59">
        <v>604000</v>
      </c>
      <c r="B190" s="51" t="s">
        <v>231</v>
      </c>
      <c r="C190" s="52" t="s">
        <v>950</v>
      </c>
      <c r="D190" s="53">
        <v>202.1</v>
      </c>
      <c r="E190" s="53">
        <v>321.10000000000002</v>
      </c>
      <c r="F190" s="53">
        <v>0</v>
      </c>
      <c r="G190" s="53">
        <v>523.20000000000005</v>
      </c>
      <c r="H190" s="52" t="s">
        <v>25903</v>
      </c>
    </row>
    <row r="191" spans="1:8" ht="15.75" customHeight="1">
      <c r="A191" s="59">
        <v>604100</v>
      </c>
      <c r="B191" s="51" t="s">
        <v>536</v>
      </c>
      <c r="C191" s="52" t="s">
        <v>950</v>
      </c>
      <c r="D191" s="53">
        <v>202.1</v>
      </c>
      <c r="E191" s="53">
        <v>264.44</v>
      </c>
      <c r="F191" s="53">
        <v>0</v>
      </c>
      <c r="G191" s="53">
        <v>466.54</v>
      </c>
      <c r="H191" s="52" t="s">
        <v>25903</v>
      </c>
    </row>
    <row r="192" spans="1:8" ht="15.75" customHeight="1">
      <c r="A192" s="59">
        <v>620700</v>
      </c>
      <c r="B192" s="51" t="s">
        <v>537</v>
      </c>
      <c r="C192" s="52" t="s">
        <v>952</v>
      </c>
      <c r="D192" s="53">
        <v>183.93</v>
      </c>
      <c r="E192" s="53">
        <v>0</v>
      </c>
      <c r="F192" s="55">
        <v>2417.29</v>
      </c>
      <c r="G192" s="55">
        <v>2601.2199999999998</v>
      </c>
      <c r="H192" s="52" t="s">
        <v>25903</v>
      </c>
    </row>
    <row r="193" spans="1:8" ht="15.75" customHeight="1">
      <c r="A193" s="59">
        <v>620800</v>
      </c>
      <c r="B193" s="51" t="s">
        <v>538</v>
      </c>
      <c r="C193" s="52" t="s">
        <v>952</v>
      </c>
      <c r="D193" s="53">
        <v>183.93</v>
      </c>
      <c r="E193" s="53">
        <v>0</v>
      </c>
      <c r="F193" s="55">
        <v>3123.86</v>
      </c>
      <c r="G193" s="55">
        <v>3307.79</v>
      </c>
      <c r="H193" s="52" t="s">
        <v>25903</v>
      </c>
    </row>
    <row r="194" spans="1:8" ht="15.75" customHeight="1">
      <c r="A194" s="59">
        <v>620900</v>
      </c>
      <c r="B194" s="51" t="s">
        <v>245</v>
      </c>
      <c r="C194" s="52" t="s">
        <v>952</v>
      </c>
      <c r="D194" s="53">
        <v>266.52</v>
      </c>
      <c r="E194" s="53">
        <v>0</v>
      </c>
      <c r="F194" s="55">
        <v>5539.08</v>
      </c>
      <c r="G194" s="55">
        <v>5805.6</v>
      </c>
      <c r="H194" s="52" t="s">
        <v>25903</v>
      </c>
    </row>
    <row r="195" spans="1:8" ht="15.75" customHeight="1">
      <c r="A195" s="59">
        <v>621000</v>
      </c>
      <c r="B195" s="51" t="s">
        <v>539</v>
      </c>
      <c r="C195" s="52" t="s">
        <v>952</v>
      </c>
      <c r="D195" s="53">
        <v>382.13</v>
      </c>
      <c r="E195" s="53">
        <v>0</v>
      </c>
      <c r="F195" s="55">
        <v>9911.73</v>
      </c>
      <c r="G195" s="55">
        <v>10293.86</v>
      </c>
      <c r="H195" s="52" t="s">
        <v>25903</v>
      </c>
    </row>
    <row r="196" spans="1:8" ht="15.75" customHeight="1">
      <c r="A196" s="59">
        <v>620000</v>
      </c>
      <c r="B196" s="51" t="s">
        <v>540</v>
      </c>
      <c r="C196" s="52" t="s">
        <v>952</v>
      </c>
      <c r="D196" s="53">
        <v>117.87</v>
      </c>
      <c r="E196" s="53">
        <v>0</v>
      </c>
      <c r="F196" s="53">
        <v>525.39</v>
      </c>
      <c r="G196" s="53">
        <v>643.26</v>
      </c>
      <c r="H196" s="52" t="s">
        <v>25903</v>
      </c>
    </row>
    <row r="197" spans="1:8" ht="15.75" customHeight="1">
      <c r="A197" s="59">
        <v>620100</v>
      </c>
      <c r="B197" s="51" t="s">
        <v>242</v>
      </c>
      <c r="C197" s="52" t="s">
        <v>952</v>
      </c>
      <c r="D197" s="53">
        <v>117.87</v>
      </c>
      <c r="E197" s="53">
        <v>0</v>
      </c>
      <c r="F197" s="53">
        <v>836.28</v>
      </c>
      <c r="G197" s="53">
        <v>954.15</v>
      </c>
      <c r="H197" s="52" t="s">
        <v>25903</v>
      </c>
    </row>
    <row r="198" spans="1:8" ht="15.75" customHeight="1">
      <c r="A198" s="59">
        <v>620200</v>
      </c>
      <c r="B198" s="51" t="s">
        <v>243</v>
      </c>
      <c r="C198" s="52" t="s">
        <v>952</v>
      </c>
      <c r="D198" s="53">
        <v>117.87</v>
      </c>
      <c r="E198" s="53">
        <v>0</v>
      </c>
      <c r="F198" s="55">
        <v>1203.5899999999999</v>
      </c>
      <c r="G198" s="55">
        <v>1321.46</v>
      </c>
      <c r="H198" s="52" t="s">
        <v>25903</v>
      </c>
    </row>
    <row r="199" spans="1:8" ht="15.75" customHeight="1">
      <c r="A199" s="59">
        <v>620300</v>
      </c>
      <c r="B199" s="51" t="s">
        <v>541</v>
      </c>
      <c r="C199" s="52" t="s">
        <v>952</v>
      </c>
      <c r="D199" s="53">
        <v>150.9</v>
      </c>
      <c r="E199" s="53">
        <v>0</v>
      </c>
      <c r="F199" s="55">
        <v>1729.17</v>
      </c>
      <c r="G199" s="55">
        <v>1880.07</v>
      </c>
      <c r="H199" s="52" t="s">
        <v>25903</v>
      </c>
    </row>
    <row r="200" spans="1:8" ht="15.75" customHeight="1">
      <c r="A200" s="59">
        <v>620400</v>
      </c>
      <c r="B200" s="51" t="s">
        <v>542</v>
      </c>
      <c r="C200" s="52" t="s">
        <v>952</v>
      </c>
      <c r="D200" s="53">
        <v>150.9</v>
      </c>
      <c r="E200" s="53">
        <v>0</v>
      </c>
      <c r="F200" s="55">
        <v>2256.63</v>
      </c>
      <c r="G200" s="55">
        <v>2407.5300000000002</v>
      </c>
      <c r="H200" s="52" t="s">
        <v>25903</v>
      </c>
    </row>
    <row r="201" spans="1:8" ht="15.75" customHeight="1">
      <c r="A201" s="59">
        <v>620500</v>
      </c>
      <c r="B201" s="51" t="s">
        <v>244</v>
      </c>
      <c r="C201" s="52" t="s">
        <v>952</v>
      </c>
      <c r="D201" s="53">
        <v>216.97</v>
      </c>
      <c r="E201" s="53">
        <v>0</v>
      </c>
      <c r="F201" s="55">
        <v>4085.29</v>
      </c>
      <c r="G201" s="55">
        <v>4302.26</v>
      </c>
      <c r="H201" s="52" t="s">
        <v>25903</v>
      </c>
    </row>
    <row r="202" spans="1:8" ht="15.75" customHeight="1">
      <c r="A202" s="59">
        <v>620600</v>
      </c>
      <c r="B202" s="51" t="s">
        <v>543</v>
      </c>
      <c r="C202" s="52" t="s">
        <v>952</v>
      </c>
      <c r="D202" s="53">
        <v>316.07</v>
      </c>
      <c r="E202" s="53">
        <v>0</v>
      </c>
      <c r="F202" s="55">
        <v>7352.53</v>
      </c>
      <c r="G202" s="55">
        <v>7668.6</v>
      </c>
      <c r="H202" s="52" t="s">
        <v>25903</v>
      </c>
    </row>
    <row r="203" spans="1:8" ht="15.75" customHeight="1">
      <c r="A203" s="59">
        <v>621100</v>
      </c>
      <c r="B203" s="51" t="s">
        <v>544</v>
      </c>
      <c r="C203" s="52" t="s">
        <v>952</v>
      </c>
      <c r="D203" s="53">
        <v>216.97</v>
      </c>
      <c r="E203" s="53">
        <v>0</v>
      </c>
      <c r="F203" s="55">
        <v>3105.41</v>
      </c>
      <c r="G203" s="55">
        <v>3322.38</v>
      </c>
      <c r="H203" s="52" t="s">
        <v>25903</v>
      </c>
    </row>
    <row r="204" spans="1:8" ht="15.75" customHeight="1">
      <c r="A204" s="59">
        <v>621200</v>
      </c>
      <c r="B204" s="51" t="s">
        <v>545</v>
      </c>
      <c r="C204" s="52" t="s">
        <v>952</v>
      </c>
      <c r="D204" s="53">
        <v>216.97</v>
      </c>
      <c r="E204" s="53">
        <v>0</v>
      </c>
      <c r="F204" s="55">
        <v>3991.46</v>
      </c>
      <c r="G204" s="55">
        <v>4208.43</v>
      </c>
      <c r="H204" s="52" t="s">
        <v>25903</v>
      </c>
    </row>
    <row r="205" spans="1:8" ht="15.75" customHeight="1">
      <c r="A205" s="59">
        <v>621300</v>
      </c>
      <c r="B205" s="51" t="s">
        <v>246</v>
      </c>
      <c r="C205" s="52" t="s">
        <v>952</v>
      </c>
      <c r="D205" s="53">
        <v>316.07</v>
      </c>
      <c r="E205" s="53">
        <v>0</v>
      </c>
      <c r="F205" s="55">
        <v>6995.4</v>
      </c>
      <c r="G205" s="55">
        <v>7311.47</v>
      </c>
      <c r="H205" s="52" t="s">
        <v>25903</v>
      </c>
    </row>
    <row r="206" spans="1:8" ht="15.75" customHeight="1">
      <c r="A206" s="59">
        <v>621400</v>
      </c>
      <c r="B206" s="51" t="s">
        <v>546</v>
      </c>
      <c r="C206" s="52" t="s">
        <v>952</v>
      </c>
      <c r="D206" s="53">
        <v>448.2</v>
      </c>
      <c r="E206" s="53">
        <v>0</v>
      </c>
      <c r="F206" s="55">
        <v>12469.92</v>
      </c>
      <c r="G206" s="55">
        <v>12918.12</v>
      </c>
      <c r="H206" s="52" t="s">
        <v>25903</v>
      </c>
    </row>
    <row r="207" spans="1:8" ht="15.75" customHeight="1">
      <c r="A207" s="59">
        <v>622000</v>
      </c>
      <c r="B207" s="51" t="s">
        <v>547</v>
      </c>
      <c r="C207" s="52" t="s">
        <v>952</v>
      </c>
      <c r="D207" s="53">
        <v>20.79</v>
      </c>
      <c r="E207" s="53">
        <v>35.619999999999997</v>
      </c>
      <c r="F207" s="53">
        <v>184.02</v>
      </c>
      <c r="G207" s="53">
        <v>240.43</v>
      </c>
      <c r="H207" s="52" t="s">
        <v>25903</v>
      </c>
    </row>
    <row r="208" spans="1:8" ht="15.75" customHeight="1">
      <c r="A208" s="59">
        <v>622100</v>
      </c>
      <c r="B208" s="51" t="s">
        <v>247</v>
      </c>
      <c r="C208" s="52" t="s">
        <v>952</v>
      </c>
      <c r="D208" s="53">
        <v>27.39</v>
      </c>
      <c r="E208" s="53">
        <v>35.619999999999997</v>
      </c>
      <c r="F208" s="53">
        <v>231.64</v>
      </c>
      <c r="G208" s="53">
        <v>294.64999999999998</v>
      </c>
      <c r="H208" s="52" t="s">
        <v>25903</v>
      </c>
    </row>
    <row r="209" spans="1:8" ht="15.75" customHeight="1">
      <c r="A209" s="59">
        <v>622300</v>
      </c>
      <c r="B209" s="51" t="s">
        <v>548</v>
      </c>
      <c r="C209" s="52" t="s">
        <v>952</v>
      </c>
      <c r="D209" s="53">
        <v>17.48</v>
      </c>
      <c r="E209" s="53">
        <v>0</v>
      </c>
      <c r="F209" s="53">
        <v>34.619999999999997</v>
      </c>
      <c r="G209" s="53">
        <v>52.1</v>
      </c>
      <c r="H209" s="52" t="s">
        <v>25903</v>
      </c>
    </row>
    <row r="210" spans="1:8" ht="15.75" customHeight="1">
      <c r="A210" s="59">
        <v>622200</v>
      </c>
      <c r="B210" s="51" t="s">
        <v>549</v>
      </c>
      <c r="C210" s="52" t="s">
        <v>952</v>
      </c>
      <c r="D210" s="53">
        <v>46.05</v>
      </c>
      <c r="E210" s="53">
        <v>26.95</v>
      </c>
      <c r="F210" s="53">
        <v>92.43</v>
      </c>
      <c r="G210" s="53">
        <v>165.43</v>
      </c>
      <c r="H210" s="52" t="s">
        <v>25903</v>
      </c>
    </row>
    <row r="211" spans="1:8" ht="15.75" customHeight="1">
      <c r="A211" s="59">
        <v>613000</v>
      </c>
      <c r="B211" s="51" t="s">
        <v>550</v>
      </c>
      <c r="C211" s="52" t="s">
        <v>327</v>
      </c>
      <c r="D211" s="53">
        <v>0.63</v>
      </c>
      <c r="E211" s="53">
        <v>39.700000000000003</v>
      </c>
      <c r="F211" s="53">
        <v>0</v>
      </c>
      <c r="G211" s="53">
        <v>40.33</v>
      </c>
      <c r="H211" s="52" t="s">
        <v>25903</v>
      </c>
    </row>
    <row r="212" spans="1:8" ht="15.75" customHeight="1">
      <c r="A212" s="59">
        <v>613100</v>
      </c>
      <c r="B212" s="51" t="s">
        <v>551</v>
      </c>
      <c r="C212" s="52" t="s">
        <v>327</v>
      </c>
      <c r="D212" s="53">
        <v>0.63</v>
      </c>
      <c r="E212" s="53">
        <v>38.200000000000003</v>
      </c>
      <c r="F212" s="53">
        <v>0</v>
      </c>
      <c r="G212" s="53">
        <v>38.83</v>
      </c>
      <c r="H212" s="52" t="s">
        <v>25903</v>
      </c>
    </row>
    <row r="213" spans="1:8" ht="15.75" customHeight="1">
      <c r="A213" s="59">
        <v>613200</v>
      </c>
      <c r="B213" s="51" t="s">
        <v>552</v>
      </c>
      <c r="C213" s="52" t="s">
        <v>327</v>
      </c>
      <c r="D213" s="53">
        <v>0.63</v>
      </c>
      <c r="E213" s="53">
        <v>37</v>
      </c>
      <c r="F213" s="53">
        <v>0</v>
      </c>
      <c r="G213" s="53">
        <v>37.630000000000003</v>
      </c>
      <c r="H213" s="52" t="s">
        <v>25903</v>
      </c>
    </row>
    <row r="214" spans="1:8" ht="15.75" customHeight="1">
      <c r="A214" s="59">
        <v>613300</v>
      </c>
      <c r="B214" s="51" t="s">
        <v>553</v>
      </c>
      <c r="C214" s="52" t="s">
        <v>327</v>
      </c>
      <c r="D214" s="53">
        <v>1.2</v>
      </c>
      <c r="E214" s="53">
        <v>41</v>
      </c>
      <c r="F214" s="53">
        <v>0</v>
      </c>
      <c r="G214" s="53">
        <v>42.2</v>
      </c>
      <c r="H214" s="52" t="s">
        <v>25903</v>
      </c>
    </row>
    <row r="215" spans="1:8" ht="15.75" customHeight="1">
      <c r="A215" s="59">
        <v>613400</v>
      </c>
      <c r="B215" s="51" t="s">
        <v>554</v>
      </c>
      <c r="C215" s="52" t="s">
        <v>327</v>
      </c>
      <c r="D215" s="53">
        <v>1.2</v>
      </c>
      <c r="E215" s="53">
        <v>41</v>
      </c>
      <c r="F215" s="53">
        <v>0</v>
      </c>
      <c r="G215" s="53">
        <v>42.2</v>
      </c>
      <c r="H215" s="52" t="s">
        <v>25903</v>
      </c>
    </row>
    <row r="216" spans="1:8" ht="15.75" customHeight="1">
      <c r="A216" s="59">
        <v>613500</v>
      </c>
      <c r="B216" s="51" t="s">
        <v>555</v>
      </c>
      <c r="C216" s="52" t="s">
        <v>327</v>
      </c>
      <c r="D216" s="53">
        <v>1.2</v>
      </c>
      <c r="E216" s="53">
        <v>37.5</v>
      </c>
      <c r="F216" s="53">
        <v>0</v>
      </c>
      <c r="G216" s="53">
        <v>38.700000000000003</v>
      </c>
      <c r="H216" s="52" t="s">
        <v>25903</v>
      </c>
    </row>
    <row r="217" spans="1:8" ht="15.75" customHeight="1">
      <c r="A217" s="59">
        <v>613600</v>
      </c>
      <c r="B217" s="51" t="s">
        <v>556</v>
      </c>
      <c r="C217" s="52" t="s">
        <v>327</v>
      </c>
      <c r="D217" s="53">
        <v>1.2</v>
      </c>
      <c r="E217" s="53">
        <v>38.200000000000003</v>
      </c>
      <c r="F217" s="53">
        <v>0</v>
      </c>
      <c r="G217" s="53">
        <v>39.4</v>
      </c>
      <c r="H217" s="52" t="s">
        <v>25903</v>
      </c>
    </row>
    <row r="218" spans="1:8" ht="15.75" customHeight="1">
      <c r="A218" s="59">
        <v>606000</v>
      </c>
      <c r="B218" s="51" t="s">
        <v>557</v>
      </c>
      <c r="C218" s="52" t="s">
        <v>950</v>
      </c>
      <c r="D218" s="53">
        <v>31.1</v>
      </c>
      <c r="E218" s="53">
        <v>17.989999999999998</v>
      </c>
      <c r="F218" s="53">
        <v>329.81</v>
      </c>
      <c r="G218" s="53">
        <v>378.9</v>
      </c>
      <c r="H218" s="52" t="s">
        <v>25903</v>
      </c>
    </row>
    <row r="219" spans="1:8" ht="15.75" customHeight="1">
      <c r="A219" s="59">
        <v>606100</v>
      </c>
      <c r="B219" s="51" t="s">
        <v>558</v>
      </c>
      <c r="C219" s="52" t="s">
        <v>950</v>
      </c>
      <c r="D219" s="53">
        <v>31.1</v>
      </c>
      <c r="E219" s="53">
        <v>17.989999999999998</v>
      </c>
      <c r="F219" s="53">
        <v>352.27</v>
      </c>
      <c r="G219" s="53">
        <v>401.36</v>
      </c>
      <c r="H219" s="52" t="s">
        <v>25903</v>
      </c>
    </row>
    <row r="220" spans="1:8" ht="15.75" customHeight="1">
      <c r="A220" s="59">
        <v>605100</v>
      </c>
      <c r="B220" s="51" t="s">
        <v>559</v>
      </c>
      <c r="C220" s="52" t="s">
        <v>950</v>
      </c>
      <c r="D220" s="53">
        <v>223.68</v>
      </c>
      <c r="E220" s="53">
        <v>212.89</v>
      </c>
      <c r="F220" s="53">
        <v>0</v>
      </c>
      <c r="G220" s="53">
        <v>436.57</v>
      </c>
      <c r="H220" s="52" t="s">
        <v>25903</v>
      </c>
    </row>
    <row r="221" spans="1:8" ht="15.75" customHeight="1">
      <c r="A221" s="59">
        <v>605200</v>
      </c>
      <c r="B221" s="51" t="s">
        <v>560</v>
      </c>
      <c r="C221" s="52" t="s">
        <v>950</v>
      </c>
      <c r="D221" s="53">
        <v>223.68</v>
      </c>
      <c r="E221" s="53">
        <v>247.48</v>
      </c>
      <c r="F221" s="53">
        <v>0</v>
      </c>
      <c r="G221" s="53">
        <v>471.16</v>
      </c>
      <c r="H221" s="52" t="s">
        <v>25903</v>
      </c>
    </row>
    <row r="222" spans="1:8" ht="15.75" customHeight="1">
      <c r="A222" s="59">
        <v>605300</v>
      </c>
      <c r="B222" s="51" t="s">
        <v>561</v>
      </c>
      <c r="C222" s="52" t="s">
        <v>950</v>
      </c>
      <c r="D222" s="53">
        <v>223.68</v>
      </c>
      <c r="E222" s="53">
        <v>279.57</v>
      </c>
      <c r="F222" s="53">
        <v>0</v>
      </c>
      <c r="G222" s="53">
        <v>503.25</v>
      </c>
      <c r="H222" s="52" t="s">
        <v>25903</v>
      </c>
    </row>
    <row r="223" spans="1:8" ht="15.75" customHeight="1">
      <c r="A223" s="59">
        <v>605400</v>
      </c>
      <c r="B223" s="51" t="s">
        <v>562</v>
      </c>
      <c r="C223" s="52" t="s">
        <v>950</v>
      </c>
      <c r="D223" s="53">
        <v>223.68</v>
      </c>
      <c r="E223" s="53">
        <v>287.20999999999998</v>
      </c>
      <c r="F223" s="53">
        <v>0</v>
      </c>
      <c r="G223" s="53">
        <v>510.89</v>
      </c>
      <c r="H223" s="52" t="s">
        <v>25903</v>
      </c>
    </row>
    <row r="224" spans="1:8" ht="15.75" customHeight="1">
      <c r="A224" s="59">
        <v>605500</v>
      </c>
      <c r="B224" s="51" t="s">
        <v>228</v>
      </c>
      <c r="C224" s="52" t="s">
        <v>950</v>
      </c>
      <c r="D224" s="53">
        <v>223.68</v>
      </c>
      <c r="E224" s="53">
        <v>308.95999999999998</v>
      </c>
      <c r="F224" s="53">
        <v>0</v>
      </c>
      <c r="G224" s="53">
        <v>532.64</v>
      </c>
      <c r="H224" s="52" t="s">
        <v>25903</v>
      </c>
    </row>
    <row r="225" spans="1:8" ht="15.75" customHeight="1">
      <c r="A225" s="59">
        <v>605600</v>
      </c>
      <c r="B225" s="51" t="s">
        <v>563</v>
      </c>
      <c r="C225" s="52" t="s">
        <v>950</v>
      </c>
      <c r="D225" s="53">
        <v>223.68</v>
      </c>
      <c r="E225" s="53">
        <v>320.97000000000003</v>
      </c>
      <c r="F225" s="53">
        <v>0</v>
      </c>
      <c r="G225" s="53">
        <v>544.65</v>
      </c>
      <c r="H225" s="52" t="s">
        <v>25903</v>
      </c>
    </row>
    <row r="226" spans="1:8" ht="15.75" customHeight="1">
      <c r="A226" s="59">
        <v>605700</v>
      </c>
      <c r="B226" s="51" t="s">
        <v>564</v>
      </c>
      <c r="C226" s="52" t="s">
        <v>950</v>
      </c>
      <c r="D226" s="53">
        <v>223.68</v>
      </c>
      <c r="E226" s="53">
        <v>331.57</v>
      </c>
      <c r="F226" s="53">
        <v>0</v>
      </c>
      <c r="G226" s="53">
        <v>555.25</v>
      </c>
      <c r="H226" s="52" t="s">
        <v>25903</v>
      </c>
    </row>
    <row r="227" spans="1:8" ht="15.75" customHeight="1">
      <c r="A227" s="59">
        <v>605800</v>
      </c>
      <c r="B227" s="51" t="s">
        <v>565</v>
      </c>
      <c r="C227" s="52" t="s">
        <v>950</v>
      </c>
      <c r="D227" s="53">
        <v>223.68</v>
      </c>
      <c r="E227" s="53">
        <v>334.4</v>
      </c>
      <c r="F227" s="53">
        <v>0</v>
      </c>
      <c r="G227" s="53">
        <v>558.08000000000004</v>
      </c>
      <c r="H227" s="52" t="s">
        <v>25903</v>
      </c>
    </row>
    <row r="228" spans="1:8" ht="15.75" customHeight="1">
      <c r="A228" s="59">
        <v>605900</v>
      </c>
      <c r="B228" s="51" t="s">
        <v>566</v>
      </c>
      <c r="C228" s="52" t="s">
        <v>950</v>
      </c>
      <c r="D228" s="53">
        <v>223.68</v>
      </c>
      <c r="E228" s="53">
        <v>357.72</v>
      </c>
      <c r="F228" s="53">
        <v>0</v>
      </c>
      <c r="G228" s="53">
        <v>581.4</v>
      </c>
      <c r="H228" s="52" t="s">
        <v>25903</v>
      </c>
    </row>
    <row r="229" spans="1:8" ht="15.75" customHeight="1">
      <c r="A229" s="59">
        <v>606200</v>
      </c>
      <c r="B229" s="51" t="s">
        <v>567</v>
      </c>
      <c r="C229" s="52" t="s">
        <v>950</v>
      </c>
      <c r="D229" s="53">
        <v>223.68</v>
      </c>
      <c r="E229" s="53">
        <v>374.39</v>
      </c>
      <c r="F229" s="53">
        <v>0</v>
      </c>
      <c r="G229" s="53">
        <v>598.07000000000005</v>
      </c>
      <c r="H229" s="52" t="s">
        <v>25903</v>
      </c>
    </row>
    <row r="230" spans="1:8" ht="15.75" customHeight="1">
      <c r="A230" s="59">
        <v>605000</v>
      </c>
      <c r="B230" s="51" t="s">
        <v>227</v>
      </c>
      <c r="C230" s="52" t="s">
        <v>950</v>
      </c>
      <c r="D230" s="53">
        <v>223.68</v>
      </c>
      <c r="E230" s="53">
        <v>201.57</v>
      </c>
      <c r="F230" s="53">
        <v>0</v>
      </c>
      <c r="G230" s="53">
        <v>425.25</v>
      </c>
      <c r="H230" s="52" t="s">
        <v>25903</v>
      </c>
    </row>
    <row r="231" spans="1:8" ht="15.75" customHeight="1">
      <c r="A231" s="59">
        <v>612600</v>
      </c>
      <c r="B231" s="51" t="s">
        <v>568</v>
      </c>
      <c r="C231" s="52" t="s">
        <v>328</v>
      </c>
      <c r="D231" s="53">
        <v>157.56</v>
      </c>
      <c r="E231" s="53">
        <v>872.66</v>
      </c>
      <c r="F231" s="53">
        <v>280.44</v>
      </c>
      <c r="G231" s="55">
        <v>1310.6600000000001</v>
      </c>
      <c r="H231" s="52" t="s">
        <v>25903</v>
      </c>
    </row>
    <row r="232" spans="1:8" ht="15.75" customHeight="1">
      <c r="A232" s="59">
        <v>611800</v>
      </c>
      <c r="B232" s="51" t="s">
        <v>569</v>
      </c>
      <c r="C232" s="52" t="s">
        <v>328</v>
      </c>
      <c r="D232" s="53">
        <v>215.57</v>
      </c>
      <c r="E232" s="55">
        <v>1416.32</v>
      </c>
      <c r="F232" s="53">
        <v>418.84</v>
      </c>
      <c r="G232" s="55">
        <v>2050.73</v>
      </c>
      <c r="H232" s="52" t="s">
        <v>25903</v>
      </c>
    </row>
    <row r="233" spans="1:8" ht="15.75" customHeight="1">
      <c r="A233" s="59">
        <v>611050</v>
      </c>
      <c r="B233" s="51" t="s">
        <v>570</v>
      </c>
      <c r="C233" s="52" t="s">
        <v>328</v>
      </c>
      <c r="D233" s="53">
        <v>177.66</v>
      </c>
      <c r="E233" s="55">
        <v>1416.32</v>
      </c>
      <c r="F233" s="53">
        <v>13.99</v>
      </c>
      <c r="G233" s="55">
        <v>1607.97</v>
      </c>
      <c r="H233" s="52" t="s">
        <v>25903</v>
      </c>
    </row>
    <row r="234" spans="1:8" ht="15.75" customHeight="1">
      <c r="A234" s="59">
        <v>611900</v>
      </c>
      <c r="B234" s="51" t="s">
        <v>571</v>
      </c>
      <c r="C234" s="52" t="s">
        <v>328</v>
      </c>
      <c r="D234" s="53">
        <v>287.43</v>
      </c>
      <c r="E234" s="55">
        <v>1797</v>
      </c>
      <c r="F234" s="53">
        <v>571.66999999999996</v>
      </c>
      <c r="G234" s="55">
        <v>2656.1</v>
      </c>
      <c r="H234" s="52" t="s">
        <v>25903</v>
      </c>
    </row>
    <row r="235" spans="1:8" ht="15.75" customHeight="1">
      <c r="A235" s="59">
        <v>611250</v>
      </c>
      <c r="B235" s="51" t="s">
        <v>572</v>
      </c>
      <c r="C235" s="52" t="s">
        <v>328</v>
      </c>
      <c r="D235" s="53">
        <v>236.88</v>
      </c>
      <c r="E235" s="55">
        <v>1797</v>
      </c>
      <c r="F235" s="53">
        <v>18.66</v>
      </c>
      <c r="G235" s="55">
        <v>2052.54</v>
      </c>
      <c r="H235" s="52" t="s">
        <v>25903</v>
      </c>
    </row>
    <row r="236" spans="1:8" ht="15.75" customHeight="1">
      <c r="A236" s="59">
        <v>612000</v>
      </c>
      <c r="B236" s="51" t="s">
        <v>260</v>
      </c>
      <c r="C236" s="52" t="s">
        <v>328</v>
      </c>
      <c r="D236" s="53">
        <v>431.15</v>
      </c>
      <c r="E236" s="55">
        <v>2156.5</v>
      </c>
      <c r="F236" s="53">
        <v>825.99</v>
      </c>
      <c r="G236" s="55">
        <v>3413.64</v>
      </c>
      <c r="H236" s="52" t="s">
        <v>25903</v>
      </c>
    </row>
    <row r="237" spans="1:8" ht="15.75" customHeight="1">
      <c r="A237" s="59">
        <v>611450</v>
      </c>
      <c r="B237" s="51" t="s">
        <v>573</v>
      </c>
      <c r="C237" s="52" t="s">
        <v>328</v>
      </c>
      <c r="D237" s="53">
        <v>355.32</v>
      </c>
      <c r="E237" s="55">
        <v>2156.5</v>
      </c>
      <c r="F237" s="53">
        <v>23.32</v>
      </c>
      <c r="G237" s="55">
        <v>2535.14</v>
      </c>
      <c r="H237" s="52" t="s">
        <v>25903</v>
      </c>
    </row>
    <row r="238" spans="1:8" ht="15.75" customHeight="1">
      <c r="A238" s="59">
        <v>612100</v>
      </c>
      <c r="B238" s="51" t="s">
        <v>574</v>
      </c>
      <c r="C238" s="52" t="s">
        <v>328</v>
      </c>
      <c r="D238" s="53">
        <v>928.36</v>
      </c>
      <c r="E238" s="55">
        <v>5378</v>
      </c>
      <c r="F238" s="55">
        <v>1329.52</v>
      </c>
      <c r="G238" s="55">
        <v>7635.88</v>
      </c>
      <c r="H238" s="52" t="s">
        <v>25903</v>
      </c>
    </row>
    <row r="239" spans="1:8" ht="15.75" customHeight="1">
      <c r="A239" s="59">
        <v>610500</v>
      </c>
      <c r="B239" s="51" t="s">
        <v>575</v>
      </c>
      <c r="C239" s="52" t="s">
        <v>328</v>
      </c>
      <c r="D239" s="53">
        <v>32.82</v>
      </c>
      <c r="E239" s="53">
        <v>104</v>
      </c>
      <c r="F239" s="53">
        <v>69.47</v>
      </c>
      <c r="G239" s="53">
        <v>206.29</v>
      </c>
      <c r="H239" s="52" t="s">
        <v>25903</v>
      </c>
    </row>
    <row r="240" spans="1:8" ht="15.75" customHeight="1">
      <c r="A240" s="59">
        <v>610400</v>
      </c>
      <c r="B240" s="51" t="s">
        <v>576</v>
      </c>
      <c r="C240" s="52" t="s">
        <v>328</v>
      </c>
      <c r="D240" s="53">
        <v>30.68</v>
      </c>
      <c r="E240" s="53">
        <v>104</v>
      </c>
      <c r="F240" s="53">
        <v>2.79</v>
      </c>
      <c r="G240" s="53">
        <v>137.47</v>
      </c>
      <c r="H240" s="52" t="s">
        <v>25903</v>
      </c>
    </row>
    <row r="241" spans="1:8" ht="15.75" customHeight="1">
      <c r="A241" s="59">
        <v>610700</v>
      </c>
      <c r="B241" s="51" t="s">
        <v>237</v>
      </c>
      <c r="C241" s="52" t="s">
        <v>328</v>
      </c>
      <c r="D241" s="53">
        <v>52.52</v>
      </c>
      <c r="E241" s="53">
        <v>260.58</v>
      </c>
      <c r="F241" s="53">
        <v>99.02</v>
      </c>
      <c r="G241" s="53">
        <v>412.12</v>
      </c>
      <c r="H241" s="52" t="s">
        <v>25903</v>
      </c>
    </row>
    <row r="242" spans="1:8" ht="15.75" customHeight="1">
      <c r="A242" s="59">
        <v>610600</v>
      </c>
      <c r="B242" s="51" t="s">
        <v>238</v>
      </c>
      <c r="C242" s="52" t="s">
        <v>328</v>
      </c>
      <c r="D242" s="53">
        <v>48.95</v>
      </c>
      <c r="E242" s="53">
        <v>260.58</v>
      </c>
      <c r="F242" s="53">
        <v>3.73</v>
      </c>
      <c r="G242" s="53">
        <v>313.26</v>
      </c>
      <c r="H242" s="52" t="s">
        <v>25903</v>
      </c>
    </row>
    <row r="243" spans="1:8" ht="15.75" customHeight="1">
      <c r="A243" s="59">
        <v>610900</v>
      </c>
      <c r="B243" s="51" t="s">
        <v>239</v>
      </c>
      <c r="C243" s="52" t="s">
        <v>328</v>
      </c>
      <c r="D243" s="53">
        <v>78.78</v>
      </c>
      <c r="E243" s="53">
        <v>436.33</v>
      </c>
      <c r="F243" s="53">
        <v>162.1</v>
      </c>
      <c r="G243" s="53">
        <v>677.21</v>
      </c>
      <c r="H243" s="52" t="s">
        <v>25903</v>
      </c>
    </row>
    <row r="244" spans="1:8" ht="15.75" customHeight="1">
      <c r="A244" s="59">
        <v>610800</v>
      </c>
      <c r="B244" s="51" t="s">
        <v>240</v>
      </c>
      <c r="C244" s="52" t="s">
        <v>328</v>
      </c>
      <c r="D244" s="53">
        <v>73.430000000000007</v>
      </c>
      <c r="E244" s="53">
        <v>436.33</v>
      </c>
      <c r="F244" s="53">
        <v>4.66</v>
      </c>
      <c r="G244" s="53">
        <v>514.41999999999996</v>
      </c>
      <c r="H244" s="52" t="s">
        <v>25903</v>
      </c>
    </row>
    <row r="245" spans="1:8" ht="15.75" customHeight="1">
      <c r="A245" s="59">
        <v>611100</v>
      </c>
      <c r="B245" s="51" t="s">
        <v>577</v>
      </c>
      <c r="C245" s="52" t="s">
        <v>328</v>
      </c>
      <c r="D245" s="53">
        <v>107.78</v>
      </c>
      <c r="E245" s="53">
        <v>708.16</v>
      </c>
      <c r="F245" s="53">
        <v>237.55</v>
      </c>
      <c r="G245" s="55">
        <v>1053.49</v>
      </c>
      <c r="H245" s="52" t="s">
        <v>25903</v>
      </c>
    </row>
    <row r="246" spans="1:8" ht="15.75" customHeight="1">
      <c r="A246" s="59">
        <v>611000</v>
      </c>
      <c r="B246" s="51" t="s">
        <v>578</v>
      </c>
      <c r="C246" s="52" t="s">
        <v>328</v>
      </c>
      <c r="D246" s="53">
        <v>88.83</v>
      </c>
      <c r="E246" s="53">
        <v>708.16</v>
      </c>
      <c r="F246" s="53">
        <v>6.99</v>
      </c>
      <c r="G246" s="53">
        <v>803.98</v>
      </c>
      <c r="H246" s="52" t="s">
        <v>25903</v>
      </c>
    </row>
    <row r="247" spans="1:8" ht="15.75" customHeight="1">
      <c r="A247" s="59">
        <v>611300</v>
      </c>
      <c r="B247" s="51" t="s">
        <v>579</v>
      </c>
      <c r="C247" s="52" t="s">
        <v>328</v>
      </c>
      <c r="D247" s="53">
        <v>143.71</v>
      </c>
      <c r="E247" s="53">
        <v>898.5</v>
      </c>
      <c r="F247" s="53">
        <v>320.22000000000003</v>
      </c>
      <c r="G247" s="55">
        <v>1362.43</v>
      </c>
      <c r="H247" s="52" t="s">
        <v>25903</v>
      </c>
    </row>
    <row r="248" spans="1:8" ht="15.75" customHeight="1">
      <c r="A248" s="59">
        <v>611200</v>
      </c>
      <c r="B248" s="51" t="s">
        <v>580</v>
      </c>
      <c r="C248" s="52" t="s">
        <v>328</v>
      </c>
      <c r="D248" s="53">
        <v>118.44</v>
      </c>
      <c r="E248" s="53">
        <v>898.5</v>
      </c>
      <c r="F248" s="53">
        <v>9.33</v>
      </c>
      <c r="G248" s="55">
        <v>1026.27</v>
      </c>
      <c r="H248" s="52" t="s">
        <v>25903</v>
      </c>
    </row>
    <row r="249" spans="1:8" ht="15.75" customHeight="1">
      <c r="A249" s="59">
        <v>611500</v>
      </c>
      <c r="B249" s="51" t="s">
        <v>241</v>
      </c>
      <c r="C249" s="52" t="s">
        <v>328</v>
      </c>
      <c r="D249" s="53">
        <v>215.57</v>
      </c>
      <c r="E249" s="55">
        <v>1078.25</v>
      </c>
      <c r="F249" s="53">
        <v>455.51</v>
      </c>
      <c r="G249" s="55">
        <v>1749.33</v>
      </c>
      <c r="H249" s="52" t="s">
        <v>25903</v>
      </c>
    </row>
    <row r="250" spans="1:8" ht="15.75" customHeight="1">
      <c r="A250" s="59">
        <v>611400</v>
      </c>
      <c r="B250" s="51" t="s">
        <v>581</v>
      </c>
      <c r="C250" s="52" t="s">
        <v>328</v>
      </c>
      <c r="D250" s="53">
        <v>177.66</v>
      </c>
      <c r="E250" s="55">
        <v>1078.25</v>
      </c>
      <c r="F250" s="53">
        <v>11.66</v>
      </c>
      <c r="G250" s="55">
        <v>1267.57</v>
      </c>
      <c r="H250" s="52" t="s">
        <v>25903</v>
      </c>
    </row>
    <row r="251" spans="1:8" ht="15.75" customHeight="1">
      <c r="A251" s="59">
        <v>611700</v>
      </c>
      <c r="B251" s="51" t="s">
        <v>582</v>
      </c>
      <c r="C251" s="52" t="s">
        <v>328</v>
      </c>
      <c r="D251" s="53">
        <v>464.18</v>
      </c>
      <c r="E251" s="55">
        <v>2689</v>
      </c>
      <c r="F251" s="53">
        <v>721.03</v>
      </c>
      <c r="G251" s="55">
        <v>3874.21</v>
      </c>
      <c r="H251" s="52" t="s">
        <v>25903</v>
      </c>
    </row>
    <row r="252" spans="1:8" ht="15.75" customHeight="1">
      <c r="A252" s="59">
        <v>611600</v>
      </c>
      <c r="B252" s="51" t="s">
        <v>583</v>
      </c>
      <c r="C252" s="52" t="s">
        <v>328</v>
      </c>
      <c r="D252" s="53">
        <v>355.32</v>
      </c>
      <c r="E252" s="55">
        <v>2689</v>
      </c>
      <c r="F252" s="53">
        <v>13.99</v>
      </c>
      <c r="G252" s="55">
        <v>3058.31</v>
      </c>
      <c r="H252" s="52" t="s">
        <v>25903</v>
      </c>
    </row>
    <row r="253" spans="1:8" ht="15.75" customHeight="1">
      <c r="A253" s="59">
        <v>612200</v>
      </c>
      <c r="B253" s="51" t="s">
        <v>584</v>
      </c>
      <c r="C253" s="52" t="s">
        <v>328</v>
      </c>
      <c r="D253" s="53">
        <v>317.47000000000003</v>
      </c>
      <c r="E253" s="55">
        <v>2124.48</v>
      </c>
      <c r="F253" s="53">
        <v>600.14</v>
      </c>
      <c r="G253" s="55">
        <v>3042.09</v>
      </c>
      <c r="H253" s="52" t="s">
        <v>25903</v>
      </c>
    </row>
    <row r="254" spans="1:8" ht="15.75" customHeight="1">
      <c r="A254" s="59">
        <v>611150</v>
      </c>
      <c r="B254" s="51" t="s">
        <v>585</v>
      </c>
      <c r="C254" s="52" t="s">
        <v>328</v>
      </c>
      <c r="D254" s="53">
        <v>266.91000000000003</v>
      </c>
      <c r="E254" s="55">
        <v>2124.48</v>
      </c>
      <c r="F254" s="53">
        <v>20.99</v>
      </c>
      <c r="G254" s="55">
        <v>2412.38</v>
      </c>
      <c r="H254" s="52" t="s">
        <v>25903</v>
      </c>
    </row>
    <row r="255" spans="1:8" ht="15.75" customHeight="1">
      <c r="A255" s="59">
        <v>612300</v>
      </c>
      <c r="B255" s="51" t="s">
        <v>586</v>
      </c>
      <c r="C255" s="52" t="s">
        <v>328</v>
      </c>
      <c r="D255" s="53">
        <v>509.24</v>
      </c>
      <c r="E255" s="55">
        <v>2695.5</v>
      </c>
      <c r="F255" s="53">
        <v>823.12</v>
      </c>
      <c r="G255" s="55">
        <v>4027.86</v>
      </c>
      <c r="H255" s="52" t="s">
        <v>25903</v>
      </c>
    </row>
    <row r="256" spans="1:8" ht="15.75" customHeight="1">
      <c r="A256" s="59">
        <v>611350</v>
      </c>
      <c r="B256" s="51" t="s">
        <v>587</v>
      </c>
      <c r="C256" s="52" t="s">
        <v>328</v>
      </c>
      <c r="D256" s="53">
        <v>400.37</v>
      </c>
      <c r="E256" s="55">
        <v>2695.5</v>
      </c>
      <c r="F256" s="53">
        <v>27.99</v>
      </c>
      <c r="G256" s="55">
        <v>3123.86</v>
      </c>
      <c r="H256" s="52" t="s">
        <v>25903</v>
      </c>
    </row>
    <row r="257" spans="1:8" ht="15.75" customHeight="1">
      <c r="A257" s="59">
        <v>612400</v>
      </c>
      <c r="B257" s="51" t="s">
        <v>261</v>
      </c>
      <c r="C257" s="52" t="s">
        <v>328</v>
      </c>
      <c r="D257" s="53">
        <v>727.48</v>
      </c>
      <c r="E257" s="55">
        <v>3234.75</v>
      </c>
      <c r="F257" s="55">
        <v>1196.0999999999999</v>
      </c>
      <c r="G257" s="55">
        <v>5158.33</v>
      </c>
      <c r="H257" s="52" t="s">
        <v>25903</v>
      </c>
    </row>
    <row r="258" spans="1:8" ht="15.75" customHeight="1">
      <c r="A258" s="59">
        <v>611550</v>
      </c>
      <c r="B258" s="51" t="s">
        <v>588</v>
      </c>
      <c r="C258" s="52" t="s">
        <v>328</v>
      </c>
      <c r="D258" s="53">
        <v>571.95000000000005</v>
      </c>
      <c r="E258" s="55">
        <v>3234.75</v>
      </c>
      <c r="F258" s="53">
        <v>34.99</v>
      </c>
      <c r="G258" s="55">
        <v>3841.69</v>
      </c>
      <c r="H258" s="52" t="s">
        <v>25903</v>
      </c>
    </row>
    <row r="259" spans="1:8" ht="15.75" customHeight="1">
      <c r="A259" s="59">
        <v>612500</v>
      </c>
      <c r="B259" s="51" t="s">
        <v>589</v>
      </c>
      <c r="C259" s="52" t="s">
        <v>328</v>
      </c>
      <c r="D259" s="55">
        <v>1549.34</v>
      </c>
      <c r="E259" s="55">
        <v>8067</v>
      </c>
      <c r="F259" s="55">
        <v>1938.01</v>
      </c>
      <c r="G259" s="55">
        <v>11554.35</v>
      </c>
      <c r="H259" s="52" t="s">
        <v>25903</v>
      </c>
    </row>
    <row r="260" spans="1:8" ht="15.75" customHeight="1">
      <c r="A260" s="59">
        <v>606500</v>
      </c>
      <c r="B260" s="51" t="s">
        <v>291</v>
      </c>
      <c r="C260" s="52" t="s">
        <v>950</v>
      </c>
      <c r="D260" s="53">
        <v>182.46</v>
      </c>
      <c r="E260" s="53">
        <v>0</v>
      </c>
      <c r="F260" s="53">
        <v>0</v>
      </c>
      <c r="G260" s="53">
        <v>182.46</v>
      </c>
      <c r="H260" s="68"/>
    </row>
    <row r="261" spans="1:8" ht="15.75" customHeight="1">
      <c r="A261" s="59">
        <v>606600</v>
      </c>
      <c r="B261" s="51" t="s">
        <v>292</v>
      </c>
      <c r="C261" s="52" t="s">
        <v>950</v>
      </c>
      <c r="D261" s="53">
        <v>305.38</v>
      </c>
      <c r="E261" s="53">
        <v>4.1500000000000004</v>
      </c>
      <c r="F261" s="53">
        <v>0</v>
      </c>
      <c r="G261" s="53">
        <v>309.52999999999997</v>
      </c>
      <c r="H261" s="68"/>
    </row>
    <row r="262" spans="1:8" ht="15.75" customHeight="1">
      <c r="A262" s="59">
        <v>606700</v>
      </c>
      <c r="B262" s="51" t="s">
        <v>293</v>
      </c>
      <c r="C262" s="52" t="s">
        <v>950</v>
      </c>
      <c r="D262" s="53">
        <v>145.55000000000001</v>
      </c>
      <c r="E262" s="53">
        <v>2.4900000000000002</v>
      </c>
      <c r="F262" s="53">
        <v>0</v>
      </c>
      <c r="G262" s="53">
        <v>148.04</v>
      </c>
      <c r="H262" s="68"/>
    </row>
    <row r="263" spans="1:8" ht="15.75" customHeight="1">
      <c r="A263" s="59">
        <v>643000</v>
      </c>
      <c r="B263" s="51" t="s">
        <v>590</v>
      </c>
      <c r="C263" s="52" t="s">
        <v>328</v>
      </c>
      <c r="D263" s="53">
        <v>22.21</v>
      </c>
      <c r="E263" s="53">
        <v>44.69</v>
      </c>
      <c r="F263" s="53">
        <v>0</v>
      </c>
      <c r="G263" s="53">
        <v>66.900000000000006</v>
      </c>
      <c r="H263" s="52" t="s">
        <v>25903</v>
      </c>
    </row>
    <row r="264" spans="1:8" ht="15.75" customHeight="1">
      <c r="A264" s="59">
        <v>643100</v>
      </c>
      <c r="B264" s="51" t="s">
        <v>591</v>
      </c>
      <c r="C264" s="52" t="s">
        <v>328</v>
      </c>
      <c r="D264" s="53">
        <v>25.52</v>
      </c>
      <c r="E264" s="53">
        <v>57.23</v>
      </c>
      <c r="F264" s="53">
        <v>0</v>
      </c>
      <c r="G264" s="53">
        <v>82.75</v>
      </c>
      <c r="H264" s="52" t="s">
        <v>25903</v>
      </c>
    </row>
    <row r="265" spans="1:8" ht="15.75" customHeight="1">
      <c r="A265" s="59">
        <v>643200</v>
      </c>
      <c r="B265" s="51" t="s">
        <v>592</v>
      </c>
      <c r="C265" s="52" t="s">
        <v>328</v>
      </c>
      <c r="D265" s="53">
        <v>25.52</v>
      </c>
      <c r="E265" s="53">
        <v>59.29</v>
      </c>
      <c r="F265" s="53">
        <v>0</v>
      </c>
      <c r="G265" s="53">
        <v>84.81</v>
      </c>
      <c r="H265" s="52" t="s">
        <v>25903</v>
      </c>
    </row>
    <row r="266" spans="1:8" ht="15.75" customHeight="1">
      <c r="A266" s="59">
        <v>643300</v>
      </c>
      <c r="B266" s="51" t="s">
        <v>593</v>
      </c>
      <c r="C266" s="52" t="s">
        <v>328</v>
      </c>
      <c r="D266" s="53">
        <v>32.130000000000003</v>
      </c>
      <c r="E266" s="53">
        <v>25.69</v>
      </c>
      <c r="F266" s="53">
        <v>0</v>
      </c>
      <c r="G266" s="53">
        <v>57.82</v>
      </c>
      <c r="H266" s="52" t="s">
        <v>25903</v>
      </c>
    </row>
    <row r="267" spans="1:8" ht="15.75" customHeight="1">
      <c r="A267" s="59">
        <v>643400</v>
      </c>
      <c r="B267" s="51" t="s">
        <v>594</v>
      </c>
      <c r="C267" s="52" t="s">
        <v>328</v>
      </c>
      <c r="D267" s="53">
        <v>32.130000000000003</v>
      </c>
      <c r="E267" s="53">
        <v>27.75</v>
      </c>
      <c r="F267" s="53">
        <v>0</v>
      </c>
      <c r="G267" s="53">
        <v>59.88</v>
      </c>
      <c r="H267" s="52" t="s">
        <v>25903</v>
      </c>
    </row>
    <row r="268" spans="1:8" ht="15.75" customHeight="1">
      <c r="A268" s="59">
        <v>643500</v>
      </c>
      <c r="B268" s="51" t="s">
        <v>595</v>
      </c>
      <c r="C268" s="52" t="s">
        <v>328</v>
      </c>
      <c r="D268" s="53">
        <v>28.82</v>
      </c>
      <c r="E268" s="53">
        <v>13.15</v>
      </c>
      <c r="F268" s="53">
        <v>0</v>
      </c>
      <c r="G268" s="53">
        <v>41.97</v>
      </c>
      <c r="H268" s="52" t="s">
        <v>25903</v>
      </c>
    </row>
    <row r="269" spans="1:8" ht="15.75" customHeight="1">
      <c r="A269" s="59">
        <v>643600</v>
      </c>
      <c r="B269" s="51" t="s">
        <v>596</v>
      </c>
      <c r="C269" s="52" t="s">
        <v>328</v>
      </c>
      <c r="D269" s="53">
        <v>22.21</v>
      </c>
      <c r="E269" s="53">
        <v>45.53</v>
      </c>
      <c r="F269" s="53">
        <v>0</v>
      </c>
      <c r="G269" s="53">
        <v>67.739999999999995</v>
      </c>
      <c r="H269" s="52" t="s">
        <v>25903</v>
      </c>
    </row>
    <row r="270" spans="1:8" ht="15.75" customHeight="1">
      <c r="A270" s="59">
        <v>640000</v>
      </c>
      <c r="B270" s="51" t="s">
        <v>597</v>
      </c>
      <c r="C270" s="52" t="s">
        <v>328</v>
      </c>
      <c r="D270" s="53">
        <v>38.729999999999997</v>
      </c>
      <c r="E270" s="53">
        <v>59.91</v>
      </c>
      <c r="F270" s="53">
        <v>5.4</v>
      </c>
      <c r="G270" s="53">
        <v>104.04</v>
      </c>
      <c r="H270" s="52" t="s">
        <v>25903</v>
      </c>
    </row>
    <row r="271" spans="1:8" ht="15.75" customHeight="1">
      <c r="A271" s="59">
        <v>640100</v>
      </c>
      <c r="B271" s="51" t="s">
        <v>598</v>
      </c>
      <c r="C271" s="52" t="s">
        <v>328</v>
      </c>
      <c r="D271" s="53">
        <v>67.56</v>
      </c>
      <c r="E271" s="53">
        <v>77.87</v>
      </c>
      <c r="F271" s="53">
        <v>5.4</v>
      </c>
      <c r="G271" s="53">
        <v>150.83000000000001</v>
      </c>
      <c r="H271" s="52" t="s">
        <v>25903</v>
      </c>
    </row>
    <row r="272" spans="1:8" ht="15.75" customHeight="1">
      <c r="A272" s="59">
        <v>640200</v>
      </c>
      <c r="B272" s="51" t="s">
        <v>599</v>
      </c>
      <c r="C272" s="52" t="s">
        <v>328</v>
      </c>
      <c r="D272" s="53">
        <v>38.729999999999997</v>
      </c>
      <c r="E272" s="53">
        <v>67.09</v>
      </c>
      <c r="F272" s="53">
        <v>0</v>
      </c>
      <c r="G272" s="53">
        <v>105.82</v>
      </c>
      <c r="H272" s="52" t="s">
        <v>25903</v>
      </c>
    </row>
    <row r="273" spans="1:8" ht="15.75" customHeight="1">
      <c r="A273" s="59">
        <v>640300</v>
      </c>
      <c r="B273" s="51" t="s">
        <v>600</v>
      </c>
      <c r="C273" s="52" t="s">
        <v>328</v>
      </c>
      <c r="D273" s="53">
        <v>67.56</v>
      </c>
      <c r="E273" s="53">
        <v>85.06</v>
      </c>
      <c r="F273" s="53">
        <v>0</v>
      </c>
      <c r="G273" s="53">
        <v>152.62</v>
      </c>
      <c r="H273" s="52" t="s">
        <v>25903</v>
      </c>
    </row>
    <row r="274" spans="1:8" ht="15.75" customHeight="1">
      <c r="A274" s="59">
        <v>640600</v>
      </c>
      <c r="B274" s="51" t="s">
        <v>601</v>
      </c>
      <c r="C274" s="52" t="s">
        <v>328</v>
      </c>
      <c r="D274" s="53">
        <v>98.49</v>
      </c>
      <c r="E274" s="53">
        <v>67.2</v>
      </c>
      <c r="F274" s="53">
        <v>5.4</v>
      </c>
      <c r="G274" s="53">
        <v>171.09</v>
      </c>
      <c r="H274" s="52" t="s">
        <v>25903</v>
      </c>
    </row>
    <row r="275" spans="1:8" ht="15.75" customHeight="1">
      <c r="A275" s="59">
        <v>640700</v>
      </c>
      <c r="B275" s="51" t="s">
        <v>602</v>
      </c>
      <c r="C275" s="52" t="s">
        <v>328</v>
      </c>
      <c r="D275" s="53">
        <v>98.49</v>
      </c>
      <c r="E275" s="53">
        <v>71.22</v>
      </c>
      <c r="F275" s="53">
        <v>5.4</v>
      </c>
      <c r="G275" s="53">
        <v>175.11</v>
      </c>
      <c r="H275" s="52" t="s">
        <v>25903</v>
      </c>
    </row>
    <row r="276" spans="1:8" ht="15.75" customHeight="1">
      <c r="A276" s="59">
        <v>640400</v>
      </c>
      <c r="B276" s="51" t="s">
        <v>603</v>
      </c>
      <c r="C276" s="52" t="s">
        <v>328</v>
      </c>
      <c r="D276" s="53">
        <v>66.36</v>
      </c>
      <c r="E276" s="53">
        <v>44.49</v>
      </c>
      <c r="F276" s="53">
        <v>5.4</v>
      </c>
      <c r="G276" s="53">
        <v>116.25</v>
      </c>
      <c r="H276" s="52" t="s">
        <v>25903</v>
      </c>
    </row>
    <row r="277" spans="1:8" ht="15.75" customHeight="1">
      <c r="A277" s="59">
        <v>640500</v>
      </c>
      <c r="B277" s="51" t="s">
        <v>604</v>
      </c>
      <c r="C277" s="52" t="s">
        <v>328</v>
      </c>
      <c r="D277" s="53">
        <v>66.36</v>
      </c>
      <c r="E277" s="53">
        <v>47.48</v>
      </c>
      <c r="F277" s="53">
        <v>5.4</v>
      </c>
      <c r="G277" s="53">
        <v>119.24</v>
      </c>
      <c r="H277" s="52" t="s">
        <v>25903</v>
      </c>
    </row>
    <row r="278" spans="1:8" ht="15.75" customHeight="1">
      <c r="A278" s="59">
        <v>641000</v>
      </c>
      <c r="B278" s="51" t="s">
        <v>605</v>
      </c>
      <c r="C278" s="52" t="s">
        <v>328</v>
      </c>
      <c r="D278" s="53">
        <v>98.49</v>
      </c>
      <c r="E278" s="53">
        <v>76.290000000000006</v>
      </c>
      <c r="F278" s="53">
        <v>0</v>
      </c>
      <c r="G278" s="53">
        <v>174.78</v>
      </c>
      <c r="H278" s="52" t="s">
        <v>25903</v>
      </c>
    </row>
    <row r="279" spans="1:8" ht="15.75" customHeight="1">
      <c r="A279" s="59">
        <v>641100</v>
      </c>
      <c r="B279" s="51" t="s">
        <v>606</v>
      </c>
      <c r="C279" s="52" t="s">
        <v>328</v>
      </c>
      <c r="D279" s="53">
        <v>98.49</v>
      </c>
      <c r="E279" s="53">
        <v>80.72</v>
      </c>
      <c r="F279" s="53">
        <v>0</v>
      </c>
      <c r="G279" s="53">
        <v>179.21</v>
      </c>
      <c r="H279" s="52" t="s">
        <v>25903</v>
      </c>
    </row>
    <row r="280" spans="1:8" ht="15.75" customHeight="1">
      <c r="A280" s="59">
        <v>640800</v>
      </c>
      <c r="B280" s="51" t="s">
        <v>607</v>
      </c>
      <c r="C280" s="52" t="s">
        <v>328</v>
      </c>
      <c r="D280" s="53">
        <v>66.36</v>
      </c>
      <c r="E280" s="53">
        <v>53.58</v>
      </c>
      <c r="F280" s="53">
        <v>0</v>
      </c>
      <c r="G280" s="53">
        <v>119.94</v>
      </c>
      <c r="H280" s="52" t="s">
        <v>25903</v>
      </c>
    </row>
    <row r="281" spans="1:8" ht="15.75" customHeight="1">
      <c r="A281" s="59">
        <v>640900</v>
      </c>
      <c r="B281" s="51" t="s">
        <v>608</v>
      </c>
      <c r="C281" s="52" t="s">
        <v>328</v>
      </c>
      <c r="D281" s="53">
        <v>66.36</v>
      </c>
      <c r="E281" s="53">
        <v>56.98</v>
      </c>
      <c r="F281" s="53">
        <v>0</v>
      </c>
      <c r="G281" s="53">
        <v>123.34</v>
      </c>
      <c r="H281" s="52" t="s">
        <v>25903</v>
      </c>
    </row>
    <row r="282" spans="1:8" ht="15.75" customHeight="1">
      <c r="A282" s="59">
        <v>641400</v>
      </c>
      <c r="B282" s="51" t="s">
        <v>609</v>
      </c>
      <c r="C282" s="52" t="s">
        <v>328</v>
      </c>
      <c r="D282" s="53">
        <v>74.17</v>
      </c>
      <c r="E282" s="53">
        <v>98.74</v>
      </c>
      <c r="F282" s="53">
        <v>5.4</v>
      </c>
      <c r="G282" s="53">
        <v>178.31</v>
      </c>
      <c r="H282" s="52" t="s">
        <v>25903</v>
      </c>
    </row>
    <row r="283" spans="1:8" ht="15.75" customHeight="1">
      <c r="A283" s="59">
        <v>641500</v>
      </c>
      <c r="B283" s="51" t="s">
        <v>610</v>
      </c>
      <c r="C283" s="52" t="s">
        <v>328</v>
      </c>
      <c r="D283" s="53">
        <v>74.17</v>
      </c>
      <c r="E283" s="53">
        <v>102.76</v>
      </c>
      <c r="F283" s="53">
        <v>5.4</v>
      </c>
      <c r="G283" s="53">
        <v>182.33</v>
      </c>
      <c r="H283" s="52" t="s">
        <v>25903</v>
      </c>
    </row>
    <row r="284" spans="1:8" ht="15.75" customHeight="1">
      <c r="A284" s="59">
        <v>641200</v>
      </c>
      <c r="B284" s="51" t="s">
        <v>611</v>
      </c>
      <c r="C284" s="52" t="s">
        <v>328</v>
      </c>
      <c r="D284" s="53">
        <v>45.33</v>
      </c>
      <c r="E284" s="53">
        <v>76.03</v>
      </c>
      <c r="F284" s="53">
        <v>5.4</v>
      </c>
      <c r="G284" s="53">
        <v>126.76</v>
      </c>
      <c r="H284" s="52" t="s">
        <v>25903</v>
      </c>
    </row>
    <row r="285" spans="1:8" ht="15.75" customHeight="1">
      <c r="A285" s="59">
        <v>641300</v>
      </c>
      <c r="B285" s="51" t="s">
        <v>612</v>
      </c>
      <c r="C285" s="52" t="s">
        <v>328</v>
      </c>
      <c r="D285" s="53">
        <v>45.33</v>
      </c>
      <c r="E285" s="53">
        <v>79.02</v>
      </c>
      <c r="F285" s="53">
        <v>5.4</v>
      </c>
      <c r="G285" s="53">
        <v>129.75</v>
      </c>
      <c r="H285" s="52" t="s">
        <v>25903</v>
      </c>
    </row>
    <row r="286" spans="1:8" ht="15.75" customHeight="1">
      <c r="A286" s="59">
        <v>641800</v>
      </c>
      <c r="B286" s="51" t="s">
        <v>613</v>
      </c>
      <c r="C286" s="52" t="s">
        <v>328</v>
      </c>
      <c r="D286" s="53">
        <v>74.17</v>
      </c>
      <c r="E286" s="53">
        <v>107.83</v>
      </c>
      <c r="F286" s="53">
        <v>0</v>
      </c>
      <c r="G286" s="53">
        <v>182</v>
      </c>
      <c r="H286" s="52" t="s">
        <v>25903</v>
      </c>
    </row>
    <row r="287" spans="1:8" ht="15.75" customHeight="1">
      <c r="A287" s="59">
        <v>641900</v>
      </c>
      <c r="B287" s="51" t="s">
        <v>614</v>
      </c>
      <c r="C287" s="52" t="s">
        <v>328</v>
      </c>
      <c r="D287" s="53">
        <v>74.17</v>
      </c>
      <c r="E287" s="53">
        <v>112.26</v>
      </c>
      <c r="F287" s="53">
        <v>0</v>
      </c>
      <c r="G287" s="53">
        <v>186.43</v>
      </c>
      <c r="H287" s="52" t="s">
        <v>25903</v>
      </c>
    </row>
    <row r="288" spans="1:8" ht="15.75" customHeight="1">
      <c r="A288" s="59">
        <v>641600</v>
      </c>
      <c r="B288" s="51" t="s">
        <v>615</v>
      </c>
      <c r="C288" s="52" t="s">
        <v>328</v>
      </c>
      <c r="D288" s="53">
        <v>45.33</v>
      </c>
      <c r="E288" s="53">
        <v>85.12</v>
      </c>
      <c r="F288" s="53">
        <v>0</v>
      </c>
      <c r="G288" s="53">
        <v>130.44999999999999</v>
      </c>
      <c r="H288" s="52" t="s">
        <v>25903</v>
      </c>
    </row>
    <row r="289" spans="1:8" ht="15.75" customHeight="1">
      <c r="A289" s="59">
        <v>641700</v>
      </c>
      <c r="B289" s="51" t="s">
        <v>616</v>
      </c>
      <c r="C289" s="52" t="s">
        <v>328</v>
      </c>
      <c r="D289" s="53">
        <v>45.33</v>
      </c>
      <c r="E289" s="53">
        <v>88.52</v>
      </c>
      <c r="F289" s="53">
        <v>0</v>
      </c>
      <c r="G289" s="53">
        <v>133.85</v>
      </c>
      <c r="H289" s="52" t="s">
        <v>25903</v>
      </c>
    </row>
    <row r="290" spans="1:8" ht="15.75" customHeight="1">
      <c r="A290" s="59">
        <v>644300</v>
      </c>
      <c r="B290" s="51" t="s">
        <v>617</v>
      </c>
      <c r="C290" s="52" t="s">
        <v>328</v>
      </c>
      <c r="D290" s="53">
        <v>96.59</v>
      </c>
      <c r="E290" s="53">
        <v>155.51</v>
      </c>
      <c r="F290" s="53">
        <v>0</v>
      </c>
      <c r="G290" s="53">
        <v>252.1</v>
      </c>
      <c r="H290" s="68"/>
    </row>
    <row r="291" spans="1:8" ht="15.75" customHeight="1">
      <c r="A291" s="59">
        <v>644100</v>
      </c>
      <c r="B291" s="51" t="s">
        <v>618</v>
      </c>
      <c r="C291" s="52" t="s">
        <v>328</v>
      </c>
      <c r="D291" s="53">
        <v>14.4</v>
      </c>
      <c r="E291" s="53">
        <v>3.94</v>
      </c>
      <c r="F291" s="53">
        <v>2.97</v>
      </c>
      <c r="G291" s="53">
        <v>21.31</v>
      </c>
      <c r="H291" s="52" t="s">
        <v>25903</v>
      </c>
    </row>
    <row r="292" spans="1:8" ht="15.75" customHeight="1">
      <c r="A292" s="59">
        <v>644200</v>
      </c>
      <c r="B292" s="51" t="s">
        <v>619</v>
      </c>
      <c r="C292" s="52" t="s">
        <v>328</v>
      </c>
      <c r="D292" s="53">
        <v>15.34</v>
      </c>
      <c r="E292" s="53">
        <v>4.5999999999999996</v>
      </c>
      <c r="F292" s="53">
        <v>0</v>
      </c>
      <c r="G292" s="53">
        <v>19.940000000000001</v>
      </c>
      <c r="H292" s="52" t="s">
        <v>25903</v>
      </c>
    </row>
    <row r="293" spans="1:8" ht="15.75" customHeight="1">
      <c r="A293" s="59">
        <v>603700</v>
      </c>
      <c r="B293" s="51" t="s">
        <v>229</v>
      </c>
      <c r="C293" s="52" t="s">
        <v>950</v>
      </c>
      <c r="D293" s="53">
        <v>141.88999999999999</v>
      </c>
      <c r="E293" s="53">
        <v>71.98</v>
      </c>
      <c r="F293" s="53">
        <v>0</v>
      </c>
      <c r="G293" s="53">
        <v>213.87</v>
      </c>
      <c r="H293" s="52" t="s">
        <v>25903</v>
      </c>
    </row>
    <row r="294" spans="1:8" ht="15.75" customHeight="1">
      <c r="A294" s="59">
        <v>603800</v>
      </c>
      <c r="B294" s="51" t="s">
        <v>620</v>
      </c>
      <c r="C294" s="52" t="s">
        <v>950</v>
      </c>
      <c r="D294" s="53">
        <v>66.06</v>
      </c>
      <c r="E294" s="53">
        <v>59.99</v>
      </c>
      <c r="F294" s="53">
        <v>0</v>
      </c>
      <c r="G294" s="53">
        <v>126.05</v>
      </c>
      <c r="H294" s="52" t="s">
        <v>25903</v>
      </c>
    </row>
    <row r="295" spans="1:8" ht="15.75" customHeight="1">
      <c r="A295" s="59">
        <v>600300</v>
      </c>
      <c r="B295" s="51" t="s">
        <v>233</v>
      </c>
      <c r="C295" s="52" t="s">
        <v>950</v>
      </c>
      <c r="D295" s="53">
        <v>11.83</v>
      </c>
      <c r="E295" s="53">
        <v>0</v>
      </c>
      <c r="F295" s="53">
        <v>0</v>
      </c>
      <c r="G295" s="53">
        <v>11.83</v>
      </c>
      <c r="H295" s="68"/>
    </row>
    <row r="296" spans="1:8" ht="15.75" customHeight="1">
      <c r="A296" s="59">
        <v>600400</v>
      </c>
      <c r="B296" s="51" t="s">
        <v>621</v>
      </c>
      <c r="C296" s="52" t="s">
        <v>950</v>
      </c>
      <c r="D296" s="53">
        <v>12.15</v>
      </c>
      <c r="E296" s="53">
        <v>0</v>
      </c>
      <c r="F296" s="53">
        <v>0</v>
      </c>
      <c r="G296" s="53">
        <v>12.15</v>
      </c>
      <c r="H296" s="68"/>
    </row>
    <row r="297" spans="1:8" ht="15.75" customHeight="1">
      <c r="A297" s="59">
        <v>600500</v>
      </c>
      <c r="B297" s="51" t="s">
        <v>622</v>
      </c>
      <c r="C297" s="52" t="s">
        <v>950</v>
      </c>
      <c r="D297" s="53">
        <v>30.71</v>
      </c>
      <c r="E297" s="53">
        <v>93.24</v>
      </c>
      <c r="F297" s="53">
        <v>0</v>
      </c>
      <c r="G297" s="53">
        <v>123.95</v>
      </c>
      <c r="H297" s="68"/>
    </row>
    <row r="298" spans="1:8" ht="15.75" customHeight="1">
      <c r="A298" s="59">
        <v>600900</v>
      </c>
      <c r="B298" s="51" t="s">
        <v>623</v>
      </c>
      <c r="C298" s="52" t="s">
        <v>950</v>
      </c>
      <c r="D298" s="53">
        <v>11.83</v>
      </c>
      <c r="E298" s="53">
        <v>0</v>
      </c>
      <c r="F298" s="53">
        <v>0</v>
      </c>
      <c r="G298" s="53">
        <v>11.83</v>
      </c>
      <c r="H298" s="68"/>
    </row>
    <row r="299" spans="1:8" ht="15.75" customHeight="1">
      <c r="A299" s="59">
        <v>601000</v>
      </c>
      <c r="B299" s="51" t="s">
        <v>624</v>
      </c>
      <c r="C299" s="52" t="s">
        <v>950</v>
      </c>
      <c r="D299" s="53">
        <v>12.15</v>
      </c>
      <c r="E299" s="53">
        <v>0</v>
      </c>
      <c r="F299" s="53">
        <v>0</v>
      </c>
      <c r="G299" s="53">
        <v>12.15</v>
      </c>
      <c r="H299" s="68"/>
    </row>
    <row r="300" spans="1:8" ht="15.75" customHeight="1">
      <c r="A300" s="59">
        <v>601300</v>
      </c>
      <c r="B300" s="51" t="s">
        <v>625</v>
      </c>
      <c r="C300" s="52" t="s">
        <v>950</v>
      </c>
      <c r="D300" s="53">
        <v>30.71</v>
      </c>
      <c r="E300" s="53">
        <v>93.24</v>
      </c>
      <c r="F300" s="53">
        <v>0</v>
      </c>
      <c r="G300" s="53">
        <v>123.95</v>
      </c>
      <c r="H300" s="68"/>
    </row>
    <row r="301" spans="1:8" ht="15.75" customHeight="1">
      <c r="A301" s="59">
        <v>600000</v>
      </c>
      <c r="B301" s="51" t="s">
        <v>221</v>
      </c>
      <c r="C301" s="52" t="s">
        <v>950</v>
      </c>
      <c r="D301" s="53">
        <v>49.54</v>
      </c>
      <c r="E301" s="53">
        <v>0</v>
      </c>
      <c r="F301" s="53">
        <v>0</v>
      </c>
      <c r="G301" s="53">
        <v>49.54</v>
      </c>
      <c r="H301" s="68"/>
    </row>
    <row r="302" spans="1:8" ht="15.75" customHeight="1">
      <c r="A302" s="59">
        <v>600100</v>
      </c>
      <c r="B302" s="51" t="s">
        <v>626</v>
      </c>
      <c r="C302" s="52" t="s">
        <v>950</v>
      </c>
      <c r="D302" s="53">
        <v>66.06</v>
      </c>
      <c r="E302" s="53">
        <v>0</v>
      </c>
      <c r="F302" s="53">
        <v>0</v>
      </c>
      <c r="G302" s="53">
        <v>66.06</v>
      </c>
      <c r="H302" s="68"/>
    </row>
    <row r="303" spans="1:8" ht="15.75" customHeight="1">
      <c r="A303" s="59">
        <v>600200</v>
      </c>
      <c r="B303" s="51" t="s">
        <v>627</v>
      </c>
      <c r="C303" s="52" t="s">
        <v>950</v>
      </c>
      <c r="D303" s="53">
        <v>119.67</v>
      </c>
      <c r="E303" s="53">
        <v>93.24</v>
      </c>
      <c r="F303" s="53">
        <v>0</v>
      </c>
      <c r="G303" s="53">
        <v>212.91</v>
      </c>
      <c r="H303" s="68"/>
    </row>
    <row r="304" spans="1:8" ht="15.75" customHeight="1">
      <c r="A304" s="59">
        <v>600600</v>
      </c>
      <c r="B304" s="51" t="s">
        <v>222</v>
      </c>
      <c r="C304" s="52" t="s">
        <v>950</v>
      </c>
      <c r="D304" s="53">
        <v>18.559999999999999</v>
      </c>
      <c r="E304" s="53">
        <v>0</v>
      </c>
      <c r="F304" s="53">
        <v>0</v>
      </c>
      <c r="G304" s="53">
        <v>18.559999999999999</v>
      </c>
      <c r="H304" s="68"/>
    </row>
    <row r="305" spans="1:8" ht="15.75" customHeight="1">
      <c r="A305" s="59">
        <v>600700</v>
      </c>
      <c r="B305" s="51" t="s">
        <v>628</v>
      </c>
      <c r="C305" s="52" t="s">
        <v>950</v>
      </c>
      <c r="D305" s="53">
        <v>27.44</v>
      </c>
      <c r="E305" s="53">
        <v>0</v>
      </c>
      <c r="F305" s="53">
        <v>0</v>
      </c>
      <c r="G305" s="53">
        <v>27.44</v>
      </c>
      <c r="H305" s="68"/>
    </row>
    <row r="306" spans="1:8" ht="15.75" customHeight="1">
      <c r="A306" s="59">
        <v>600800</v>
      </c>
      <c r="B306" s="51" t="s">
        <v>629</v>
      </c>
      <c r="C306" s="52" t="s">
        <v>950</v>
      </c>
      <c r="D306" s="53">
        <v>65.34</v>
      </c>
      <c r="E306" s="53">
        <v>93.24</v>
      </c>
      <c r="F306" s="53">
        <v>0</v>
      </c>
      <c r="G306" s="53">
        <v>158.58000000000001</v>
      </c>
      <c r="H306" s="68"/>
    </row>
    <row r="307" spans="1:8" ht="15.75" customHeight="1">
      <c r="A307" s="59">
        <v>602200</v>
      </c>
      <c r="B307" s="51" t="s">
        <v>235</v>
      </c>
      <c r="C307" s="52" t="s">
        <v>951</v>
      </c>
      <c r="D307" s="53">
        <v>76.040000000000006</v>
      </c>
      <c r="E307" s="53">
        <v>35.119999999999997</v>
      </c>
      <c r="F307" s="53">
        <v>0</v>
      </c>
      <c r="G307" s="53">
        <v>111.16</v>
      </c>
      <c r="H307" s="68"/>
    </row>
    <row r="308" spans="1:8" ht="15.75" customHeight="1">
      <c r="A308" s="59">
        <v>602100</v>
      </c>
      <c r="B308" s="51" t="s">
        <v>630</v>
      </c>
      <c r="C308" s="52" t="s">
        <v>951</v>
      </c>
      <c r="D308" s="53">
        <v>43.22</v>
      </c>
      <c r="E308" s="53">
        <v>35.11</v>
      </c>
      <c r="F308" s="53">
        <v>0</v>
      </c>
      <c r="G308" s="53">
        <v>78.33</v>
      </c>
      <c r="H308" s="68"/>
    </row>
    <row r="309" spans="1:8" ht="15.75" customHeight="1">
      <c r="A309" s="59">
        <v>602000</v>
      </c>
      <c r="B309" s="51" t="s">
        <v>631</v>
      </c>
      <c r="C309" s="52" t="s">
        <v>951</v>
      </c>
      <c r="D309" s="53">
        <v>43.67</v>
      </c>
      <c r="E309" s="53">
        <v>18.86</v>
      </c>
      <c r="F309" s="53">
        <v>0</v>
      </c>
      <c r="G309" s="53">
        <v>62.53</v>
      </c>
      <c r="H309" s="68"/>
    </row>
    <row r="310" spans="1:8" ht="15.75" customHeight="1">
      <c r="A310" s="59">
        <v>607000</v>
      </c>
      <c r="B310" s="51" t="s">
        <v>277</v>
      </c>
      <c r="C310" s="52" t="s">
        <v>951</v>
      </c>
      <c r="D310" s="53">
        <v>1.68</v>
      </c>
      <c r="E310" s="53">
        <v>6.27</v>
      </c>
      <c r="F310" s="53">
        <v>0</v>
      </c>
      <c r="G310" s="53">
        <v>7.95</v>
      </c>
      <c r="H310" s="68"/>
    </row>
    <row r="311" spans="1:8" ht="15.75" customHeight="1">
      <c r="A311" s="59">
        <v>607100</v>
      </c>
      <c r="B311" s="51" t="s">
        <v>632</v>
      </c>
      <c r="C311" s="52" t="s">
        <v>951</v>
      </c>
      <c r="D311" s="53">
        <v>2.54</v>
      </c>
      <c r="E311" s="53">
        <v>7</v>
      </c>
      <c r="F311" s="53">
        <v>0</v>
      </c>
      <c r="G311" s="53">
        <v>9.5399999999999991</v>
      </c>
      <c r="H311" s="68"/>
    </row>
    <row r="312" spans="1:8" ht="15.75" customHeight="1">
      <c r="A312" s="59">
        <v>607500</v>
      </c>
      <c r="B312" s="51" t="s">
        <v>633</v>
      </c>
      <c r="C312" s="52" t="s">
        <v>328</v>
      </c>
      <c r="D312" s="53">
        <v>12.75</v>
      </c>
      <c r="E312" s="53">
        <v>35.619999999999997</v>
      </c>
      <c r="F312" s="53">
        <v>0.37</v>
      </c>
      <c r="G312" s="53">
        <v>48.74</v>
      </c>
      <c r="H312" s="52" t="s">
        <v>25903</v>
      </c>
    </row>
    <row r="313" spans="1:8" ht="15.75" customHeight="1">
      <c r="A313" s="59">
        <v>607600</v>
      </c>
      <c r="B313" s="51" t="s">
        <v>634</v>
      </c>
      <c r="C313" s="52" t="s">
        <v>328</v>
      </c>
      <c r="D313" s="53">
        <v>16.059999999999999</v>
      </c>
      <c r="E313" s="53">
        <v>48.43</v>
      </c>
      <c r="F313" s="53">
        <v>0.55000000000000004</v>
      </c>
      <c r="G313" s="53">
        <v>65.040000000000006</v>
      </c>
      <c r="H313" s="52" t="s">
        <v>25903</v>
      </c>
    </row>
    <row r="314" spans="1:8" ht="15.75" customHeight="1">
      <c r="A314" s="59">
        <v>603100</v>
      </c>
      <c r="B314" s="51" t="s">
        <v>635</v>
      </c>
      <c r="C314" s="52" t="s">
        <v>952</v>
      </c>
      <c r="D314" s="53">
        <v>197.76</v>
      </c>
      <c r="E314" s="53">
        <v>188.75</v>
      </c>
      <c r="F314" s="53">
        <v>0</v>
      </c>
      <c r="G314" s="53">
        <v>386.51</v>
      </c>
      <c r="H314" s="68"/>
    </row>
    <row r="315" spans="1:8" ht="15.75" customHeight="1">
      <c r="A315" s="59">
        <v>603200</v>
      </c>
      <c r="B315" s="51" t="s">
        <v>636</v>
      </c>
      <c r="C315" s="52" t="s">
        <v>952</v>
      </c>
      <c r="D315" s="53">
        <v>235.63</v>
      </c>
      <c r="E315" s="53">
        <v>458.76</v>
      </c>
      <c r="F315" s="53">
        <v>0</v>
      </c>
      <c r="G315" s="53">
        <v>694.39</v>
      </c>
      <c r="H315" s="68"/>
    </row>
    <row r="316" spans="1:8" ht="15.75" customHeight="1">
      <c r="A316" s="59">
        <v>603900</v>
      </c>
      <c r="B316" s="51" t="s">
        <v>236</v>
      </c>
      <c r="C316" s="52" t="s">
        <v>950</v>
      </c>
      <c r="D316" s="53">
        <v>66.06</v>
      </c>
      <c r="E316" s="53">
        <v>65.78</v>
      </c>
      <c r="F316" s="53">
        <v>0</v>
      </c>
      <c r="G316" s="53">
        <v>131.84</v>
      </c>
      <c r="H316" s="52" t="s">
        <v>25903</v>
      </c>
    </row>
    <row r="317" spans="1:8" ht="15.75" customHeight="1">
      <c r="A317" s="59">
        <v>633100</v>
      </c>
      <c r="B317" s="51" t="s">
        <v>637</v>
      </c>
      <c r="C317" s="52" t="s">
        <v>328</v>
      </c>
      <c r="D317" s="53">
        <v>165.16</v>
      </c>
      <c r="E317" s="53">
        <v>0</v>
      </c>
      <c r="F317" s="53">
        <v>0</v>
      </c>
      <c r="G317" s="53">
        <v>165.16</v>
      </c>
      <c r="H317" s="68"/>
    </row>
    <row r="318" spans="1:8" ht="15.75" customHeight="1">
      <c r="A318" s="59">
        <v>633000</v>
      </c>
      <c r="B318" s="51" t="s">
        <v>232</v>
      </c>
      <c r="C318" s="52" t="s">
        <v>328</v>
      </c>
      <c r="D318" s="53">
        <v>82.58</v>
      </c>
      <c r="E318" s="53">
        <v>0</v>
      </c>
      <c r="F318" s="53">
        <v>0</v>
      </c>
      <c r="G318" s="53">
        <v>82.58</v>
      </c>
      <c r="H318" s="68"/>
    </row>
    <row r="319" spans="1:8" ht="15.75" customHeight="1">
      <c r="A319" s="59">
        <v>633200</v>
      </c>
      <c r="B319" s="51" t="s">
        <v>638</v>
      </c>
      <c r="C319" s="52" t="s">
        <v>328</v>
      </c>
      <c r="D319" s="53">
        <v>247.74</v>
      </c>
      <c r="E319" s="53">
        <v>0</v>
      </c>
      <c r="F319" s="53">
        <v>0</v>
      </c>
      <c r="G319" s="53">
        <v>247.74</v>
      </c>
      <c r="H319" s="68"/>
    </row>
    <row r="320" spans="1:8" ht="15.75" customHeight="1">
      <c r="A320" s="59">
        <v>810100</v>
      </c>
      <c r="B320" s="51" t="s">
        <v>639</v>
      </c>
      <c r="C320" s="52" t="s">
        <v>328</v>
      </c>
      <c r="D320" s="53">
        <v>4.0999999999999996</v>
      </c>
      <c r="E320" s="53">
        <v>0</v>
      </c>
      <c r="F320" s="53">
        <v>61.93</v>
      </c>
      <c r="G320" s="53">
        <v>66.03</v>
      </c>
      <c r="H320" s="52" t="s">
        <v>25903</v>
      </c>
    </row>
    <row r="321" spans="1:8" ht="15.75" customHeight="1">
      <c r="A321" s="59">
        <v>810050</v>
      </c>
      <c r="B321" s="51" t="s">
        <v>640</v>
      </c>
      <c r="C321" s="52" t="s">
        <v>328</v>
      </c>
      <c r="D321" s="53">
        <v>42.19</v>
      </c>
      <c r="E321" s="53">
        <v>0</v>
      </c>
      <c r="F321" s="53">
        <v>62.62</v>
      </c>
      <c r="G321" s="53">
        <v>104.81</v>
      </c>
      <c r="H321" s="52" t="s">
        <v>25903</v>
      </c>
    </row>
    <row r="322" spans="1:8" ht="15.75" customHeight="1">
      <c r="A322" s="59">
        <v>810200</v>
      </c>
      <c r="B322" s="51" t="s">
        <v>641</v>
      </c>
      <c r="C322" s="52" t="s">
        <v>328</v>
      </c>
      <c r="D322" s="53">
        <v>4.0999999999999996</v>
      </c>
      <c r="E322" s="53">
        <v>0</v>
      </c>
      <c r="F322" s="53">
        <v>24.55</v>
      </c>
      <c r="G322" s="53">
        <v>28.65</v>
      </c>
      <c r="H322" s="52" t="s">
        <v>25903</v>
      </c>
    </row>
    <row r="323" spans="1:8" ht="15.75" customHeight="1">
      <c r="A323" s="59">
        <v>810150</v>
      </c>
      <c r="B323" s="51" t="s">
        <v>642</v>
      </c>
      <c r="C323" s="52" t="s">
        <v>328</v>
      </c>
      <c r="D323" s="53">
        <v>23.78</v>
      </c>
      <c r="E323" s="53">
        <v>0</v>
      </c>
      <c r="F323" s="53">
        <v>24.82</v>
      </c>
      <c r="G323" s="53">
        <v>48.6</v>
      </c>
      <c r="H323" s="52" t="s">
        <v>25903</v>
      </c>
    </row>
    <row r="324" spans="1:8" ht="15.75" customHeight="1">
      <c r="A324" s="59">
        <v>810300</v>
      </c>
      <c r="B324" s="51" t="s">
        <v>643</v>
      </c>
      <c r="C324" s="52" t="s">
        <v>328</v>
      </c>
      <c r="D324" s="53">
        <v>4.0999999999999996</v>
      </c>
      <c r="E324" s="53">
        <v>0</v>
      </c>
      <c r="F324" s="53">
        <v>18.48</v>
      </c>
      <c r="G324" s="53">
        <v>22.58</v>
      </c>
      <c r="H324" s="52" t="s">
        <v>25903</v>
      </c>
    </row>
    <row r="325" spans="1:8" ht="15.75" customHeight="1">
      <c r="A325" s="59">
        <v>810250</v>
      </c>
      <c r="B325" s="51" t="s">
        <v>300</v>
      </c>
      <c r="C325" s="52" t="s">
        <v>328</v>
      </c>
      <c r="D325" s="53">
        <v>21.38</v>
      </c>
      <c r="E325" s="53">
        <v>0</v>
      </c>
      <c r="F325" s="53">
        <v>18.71</v>
      </c>
      <c r="G325" s="53">
        <v>40.090000000000003</v>
      </c>
      <c r="H325" s="52" t="s">
        <v>25903</v>
      </c>
    </row>
    <row r="326" spans="1:8" ht="15.75" customHeight="1">
      <c r="A326" s="59">
        <v>810400</v>
      </c>
      <c r="B326" s="51" t="s">
        <v>644</v>
      </c>
      <c r="C326" s="52" t="s">
        <v>328</v>
      </c>
      <c r="D326" s="53">
        <v>4.0999999999999996</v>
      </c>
      <c r="E326" s="53">
        <v>0</v>
      </c>
      <c r="F326" s="53">
        <v>37.869999999999997</v>
      </c>
      <c r="G326" s="53">
        <v>41.97</v>
      </c>
      <c r="H326" s="52" t="s">
        <v>25903</v>
      </c>
    </row>
    <row r="327" spans="1:8" ht="15.75" customHeight="1">
      <c r="A327" s="59">
        <v>810350</v>
      </c>
      <c r="B327" s="51" t="s">
        <v>645</v>
      </c>
      <c r="C327" s="52" t="s">
        <v>328</v>
      </c>
      <c r="D327" s="53">
        <v>26.18</v>
      </c>
      <c r="E327" s="53">
        <v>0</v>
      </c>
      <c r="F327" s="53">
        <v>38.380000000000003</v>
      </c>
      <c r="G327" s="53">
        <v>64.56</v>
      </c>
      <c r="H327" s="52" t="s">
        <v>25903</v>
      </c>
    </row>
    <row r="328" spans="1:8" ht="15.75" customHeight="1">
      <c r="A328" s="59">
        <v>810500</v>
      </c>
      <c r="B328" s="51" t="s">
        <v>646</v>
      </c>
      <c r="C328" s="52" t="s">
        <v>328</v>
      </c>
      <c r="D328" s="53">
        <v>4.0999999999999996</v>
      </c>
      <c r="E328" s="53">
        <v>0</v>
      </c>
      <c r="F328" s="53">
        <v>9.58</v>
      </c>
      <c r="G328" s="53">
        <v>13.68</v>
      </c>
      <c r="H328" s="52" t="s">
        <v>25903</v>
      </c>
    </row>
    <row r="329" spans="1:8" ht="15.75" customHeight="1">
      <c r="A329" s="59">
        <v>810450</v>
      </c>
      <c r="B329" s="51" t="s">
        <v>647</v>
      </c>
      <c r="C329" s="52" t="s">
        <v>328</v>
      </c>
      <c r="D329" s="53">
        <v>16.78</v>
      </c>
      <c r="E329" s="53">
        <v>0</v>
      </c>
      <c r="F329" s="53">
        <v>9.7100000000000009</v>
      </c>
      <c r="G329" s="53">
        <v>26.49</v>
      </c>
      <c r="H329" s="52" t="s">
        <v>25903</v>
      </c>
    </row>
    <row r="330" spans="1:8" ht="15.75" customHeight="1">
      <c r="A330" s="59">
        <v>810600</v>
      </c>
      <c r="B330" s="51" t="s">
        <v>648</v>
      </c>
      <c r="C330" s="52" t="s">
        <v>328</v>
      </c>
      <c r="D330" s="53">
        <v>4.0999999999999996</v>
      </c>
      <c r="E330" s="53">
        <v>0</v>
      </c>
      <c r="F330" s="53">
        <v>54.4</v>
      </c>
      <c r="G330" s="53">
        <v>58.5</v>
      </c>
      <c r="H330" s="52" t="s">
        <v>25903</v>
      </c>
    </row>
    <row r="331" spans="1:8" ht="15.75" customHeight="1">
      <c r="A331" s="59">
        <v>810550</v>
      </c>
      <c r="B331" s="51" t="s">
        <v>649</v>
      </c>
      <c r="C331" s="52" t="s">
        <v>328</v>
      </c>
      <c r="D331" s="53">
        <v>28.58</v>
      </c>
      <c r="E331" s="53">
        <v>0</v>
      </c>
      <c r="F331" s="53">
        <v>55</v>
      </c>
      <c r="G331" s="53">
        <v>83.58</v>
      </c>
      <c r="H331" s="52" t="s">
        <v>25903</v>
      </c>
    </row>
    <row r="332" spans="1:8" ht="15.75" customHeight="1">
      <c r="A332" s="59">
        <v>810700</v>
      </c>
      <c r="B332" s="51" t="s">
        <v>650</v>
      </c>
      <c r="C332" s="52" t="s">
        <v>328</v>
      </c>
      <c r="D332" s="53">
        <v>4.0999999999999996</v>
      </c>
      <c r="E332" s="53">
        <v>0</v>
      </c>
      <c r="F332" s="53">
        <v>19.37</v>
      </c>
      <c r="G332" s="53">
        <v>23.47</v>
      </c>
      <c r="H332" s="52" t="s">
        <v>25903</v>
      </c>
    </row>
    <row r="333" spans="1:8" ht="15.75" customHeight="1">
      <c r="A333" s="59">
        <v>810650</v>
      </c>
      <c r="B333" s="51" t="s">
        <v>651</v>
      </c>
      <c r="C333" s="52" t="s">
        <v>328</v>
      </c>
      <c r="D333" s="53">
        <v>21.38</v>
      </c>
      <c r="E333" s="53">
        <v>0</v>
      </c>
      <c r="F333" s="53">
        <v>19.600000000000001</v>
      </c>
      <c r="G333" s="53">
        <v>40.98</v>
      </c>
      <c r="H333" s="52" t="s">
        <v>25903</v>
      </c>
    </row>
    <row r="334" spans="1:8" ht="15.75" customHeight="1">
      <c r="A334" s="59">
        <v>810800</v>
      </c>
      <c r="B334" s="51" t="s">
        <v>652</v>
      </c>
      <c r="C334" s="52" t="s">
        <v>328</v>
      </c>
      <c r="D334" s="53">
        <v>4.0999999999999996</v>
      </c>
      <c r="E334" s="53">
        <v>0</v>
      </c>
      <c r="F334" s="53">
        <v>13.3</v>
      </c>
      <c r="G334" s="53">
        <v>17.399999999999999</v>
      </c>
      <c r="H334" s="52" t="s">
        <v>25903</v>
      </c>
    </row>
    <row r="335" spans="1:8" ht="15.75" customHeight="1">
      <c r="A335" s="59">
        <v>810750</v>
      </c>
      <c r="B335" s="51" t="s">
        <v>653</v>
      </c>
      <c r="C335" s="52" t="s">
        <v>328</v>
      </c>
      <c r="D335" s="53">
        <v>17.88</v>
      </c>
      <c r="E335" s="53">
        <v>0</v>
      </c>
      <c r="F335" s="53">
        <v>13.43</v>
      </c>
      <c r="G335" s="53">
        <v>31.31</v>
      </c>
      <c r="H335" s="52" t="s">
        <v>25903</v>
      </c>
    </row>
    <row r="336" spans="1:8" ht="15.75" customHeight="1">
      <c r="A336" s="59">
        <v>810900</v>
      </c>
      <c r="B336" s="51" t="s">
        <v>654</v>
      </c>
      <c r="C336" s="52" t="s">
        <v>328</v>
      </c>
      <c r="D336" s="53">
        <v>4.0999999999999996</v>
      </c>
      <c r="E336" s="53">
        <v>0</v>
      </c>
      <c r="F336" s="53">
        <v>21.89</v>
      </c>
      <c r="G336" s="53">
        <v>25.99</v>
      </c>
      <c r="H336" s="52" t="s">
        <v>25903</v>
      </c>
    </row>
    <row r="337" spans="1:8" ht="15.75" customHeight="1">
      <c r="A337" s="59">
        <v>810850</v>
      </c>
      <c r="B337" s="51" t="s">
        <v>655</v>
      </c>
      <c r="C337" s="52" t="s">
        <v>328</v>
      </c>
      <c r="D337" s="53">
        <v>21.58</v>
      </c>
      <c r="E337" s="53">
        <v>0</v>
      </c>
      <c r="F337" s="53">
        <v>22.16</v>
      </c>
      <c r="G337" s="53">
        <v>43.74</v>
      </c>
      <c r="H337" s="52" t="s">
        <v>25903</v>
      </c>
    </row>
    <row r="338" spans="1:8" ht="15.75" customHeight="1">
      <c r="A338" s="59">
        <v>811900</v>
      </c>
      <c r="B338" s="51" t="s">
        <v>656</v>
      </c>
      <c r="C338" s="52" t="s">
        <v>328</v>
      </c>
      <c r="D338" s="53">
        <v>4.0999999999999996</v>
      </c>
      <c r="E338" s="53">
        <v>0</v>
      </c>
      <c r="F338" s="53">
        <v>8.36</v>
      </c>
      <c r="G338" s="53">
        <v>12.46</v>
      </c>
      <c r="H338" s="52" t="s">
        <v>25903</v>
      </c>
    </row>
    <row r="339" spans="1:8" ht="15.75" customHeight="1">
      <c r="A339" s="59">
        <v>811850</v>
      </c>
      <c r="B339" s="51" t="s">
        <v>657</v>
      </c>
      <c r="C339" s="52" t="s">
        <v>328</v>
      </c>
      <c r="D339" s="53">
        <v>16.579999999999998</v>
      </c>
      <c r="E339" s="53">
        <v>0</v>
      </c>
      <c r="F339" s="53">
        <v>8.4499999999999993</v>
      </c>
      <c r="G339" s="53">
        <v>25.03</v>
      </c>
      <c r="H339" s="52" t="s">
        <v>25903</v>
      </c>
    </row>
    <row r="340" spans="1:8" ht="15.75" customHeight="1">
      <c r="A340" s="59">
        <v>601200</v>
      </c>
      <c r="B340" s="51" t="s">
        <v>234</v>
      </c>
      <c r="C340" s="52" t="s">
        <v>950</v>
      </c>
      <c r="D340" s="53">
        <v>34.119999999999997</v>
      </c>
      <c r="E340" s="53">
        <v>0</v>
      </c>
      <c r="F340" s="53">
        <v>0</v>
      </c>
      <c r="G340" s="53">
        <v>34.119999999999997</v>
      </c>
      <c r="H340" s="68"/>
    </row>
    <row r="341" spans="1:8" ht="15.75" customHeight="1">
      <c r="A341" s="59">
        <v>630300</v>
      </c>
      <c r="B341" s="51" t="s">
        <v>250</v>
      </c>
      <c r="C341" s="52" t="s">
        <v>328</v>
      </c>
      <c r="D341" s="53">
        <v>15.85</v>
      </c>
      <c r="E341" s="53">
        <v>0</v>
      </c>
      <c r="F341" s="53">
        <v>0</v>
      </c>
      <c r="G341" s="53">
        <v>15.85</v>
      </c>
      <c r="H341" s="68"/>
    </row>
    <row r="342" spans="1:8" ht="15.75" customHeight="1">
      <c r="A342" s="59">
        <v>630400</v>
      </c>
      <c r="B342" s="51" t="s">
        <v>251</v>
      </c>
      <c r="C342" s="52" t="s">
        <v>328</v>
      </c>
      <c r="D342" s="53">
        <v>19.809999999999999</v>
      </c>
      <c r="E342" s="53">
        <v>0</v>
      </c>
      <c r="F342" s="53">
        <v>0</v>
      </c>
      <c r="G342" s="53">
        <v>19.809999999999999</v>
      </c>
      <c r="H342" s="68"/>
    </row>
    <row r="343" spans="1:8" ht="15.75" customHeight="1">
      <c r="A343" s="59">
        <v>630500</v>
      </c>
      <c r="B343" s="51" t="s">
        <v>658</v>
      </c>
      <c r="C343" s="52" t="s">
        <v>328</v>
      </c>
      <c r="D343" s="53">
        <v>21.61</v>
      </c>
      <c r="E343" s="53">
        <v>0</v>
      </c>
      <c r="F343" s="53">
        <v>0</v>
      </c>
      <c r="G343" s="53">
        <v>21.61</v>
      </c>
      <c r="H343" s="68"/>
    </row>
    <row r="344" spans="1:8" ht="15.75" customHeight="1">
      <c r="A344" s="59">
        <v>630600</v>
      </c>
      <c r="B344" s="51" t="s">
        <v>252</v>
      </c>
      <c r="C344" s="52" t="s">
        <v>328</v>
      </c>
      <c r="D344" s="53">
        <v>23.77</v>
      </c>
      <c r="E344" s="53">
        <v>0</v>
      </c>
      <c r="F344" s="53">
        <v>0</v>
      </c>
      <c r="G344" s="53">
        <v>23.77</v>
      </c>
      <c r="H344" s="68"/>
    </row>
    <row r="345" spans="1:8" ht="15.75" customHeight="1">
      <c r="A345" s="59">
        <v>630800</v>
      </c>
      <c r="B345" s="51" t="s">
        <v>253</v>
      </c>
      <c r="C345" s="52" t="s">
        <v>328</v>
      </c>
      <c r="D345" s="53">
        <v>47.55</v>
      </c>
      <c r="E345" s="53">
        <v>0</v>
      </c>
      <c r="F345" s="53">
        <v>0</v>
      </c>
      <c r="G345" s="53">
        <v>47.55</v>
      </c>
      <c r="H345" s="68"/>
    </row>
    <row r="346" spans="1:8" ht="15.75" customHeight="1">
      <c r="A346" s="59">
        <v>631000</v>
      </c>
      <c r="B346" s="51" t="s">
        <v>254</v>
      </c>
      <c r="C346" s="52" t="s">
        <v>328</v>
      </c>
      <c r="D346" s="53">
        <v>47.7</v>
      </c>
      <c r="E346" s="53">
        <v>0</v>
      </c>
      <c r="F346" s="53">
        <v>0</v>
      </c>
      <c r="G346" s="53">
        <v>47.7</v>
      </c>
      <c r="H346" s="68"/>
    </row>
    <row r="347" spans="1:8" ht="15.75" customHeight="1">
      <c r="A347" s="59">
        <v>631200</v>
      </c>
      <c r="B347" s="51" t="s">
        <v>255</v>
      </c>
      <c r="C347" s="52" t="s">
        <v>328</v>
      </c>
      <c r="D347" s="53">
        <v>57.25</v>
      </c>
      <c r="E347" s="53">
        <v>0</v>
      </c>
      <c r="F347" s="53">
        <v>0</v>
      </c>
      <c r="G347" s="53">
        <v>57.25</v>
      </c>
      <c r="H347" s="68"/>
    </row>
    <row r="348" spans="1:8" ht="15.75" customHeight="1">
      <c r="A348" s="59">
        <v>631500</v>
      </c>
      <c r="B348" s="51" t="s">
        <v>256</v>
      </c>
      <c r="C348" s="52" t="s">
        <v>328</v>
      </c>
      <c r="D348" s="53">
        <v>71.56</v>
      </c>
      <c r="E348" s="53">
        <v>0</v>
      </c>
      <c r="F348" s="53">
        <v>0</v>
      </c>
      <c r="G348" s="53">
        <v>71.56</v>
      </c>
      <c r="H348" s="68"/>
    </row>
    <row r="349" spans="1:8" ht="15.75" customHeight="1">
      <c r="A349" s="59">
        <v>653000</v>
      </c>
      <c r="B349" s="51" t="s">
        <v>659</v>
      </c>
      <c r="C349" s="52" t="s">
        <v>328</v>
      </c>
      <c r="D349" s="53">
        <v>57.3</v>
      </c>
      <c r="E349" s="53">
        <v>0.26</v>
      </c>
      <c r="F349" s="53">
        <v>75.34</v>
      </c>
      <c r="G349" s="53">
        <v>132.9</v>
      </c>
      <c r="H349" s="52" t="s">
        <v>25903</v>
      </c>
    </row>
    <row r="350" spans="1:8" ht="15.75" customHeight="1">
      <c r="A350" s="59">
        <v>653100</v>
      </c>
      <c r="B350" s="51" t="s">
        <v>660</v>
      </c>
      <c r="C350" s="52" t="s">
        <v>328</v>
      </c>
      <c r="D350" s="53">
        <v>41.47</v>
      </c>
      <c r="E350" s="53">
        <v>0.17</v>
      </c>
      <c r="F350" s="53">
        <v>55.41</v>
      </c>
      <c r="G350" s="53">
        <v>97.05</v>
      </c>
      <c r="H350" s="52" t="s">
        <v>25903</v>
      </c>
    </row>
    <row r="351" spans="1:8" ht="15.75" customHeight="1">
      <c r="A351" s="59">
        <v>653200</v>
      </c>
      <c r="B351" s="51" t="s">
        <v>661</v>
      </c>
      <c r="C351" s="52" t="s">
        <v>328</v>
      </c>
      <c r="D351" s="53">
        <v>48.56</v>
      </c>
      <c r="E351" s="53">
        <v>0.22</v>
      </c>
      <c r="F351" s="53">
        <v>57.9</v>
      </c>
      <c r="G351" s="53">
        <v>106.68</v>
      </c>
      <c r="H351" s="52" t="s">
        <v>25903</v>
      </c>
    </row>
    <row r="352" spans="1:8" ht="15.75" customHeight="1">
      <c r="A352" s="59">
        <v>653300</v>
      </c>
      <c r="B352" s="51" t="s">
        <v>662</v>
      </c>
      <c r="C352" s="52" t="s">
        <v>328</v>
      </c>
      <c r="D352" s="53">
        <v>36.020000000000003</v>
      </c>
      <c r="E352" s="53">
        <v>0.15</v>
      </c>
      <c r="F352" s="53">
        <v>41.05</v>
      </c>
      <c r="G352" s="53">
        <v>77.22</v>
      </c>
      <c r="H352" s="52" t="s">
        <v>25903</v>
      </c>
    </row>
    <row r="353" spans="1:8" ht="15.75" customHeight="1">
      <c r="A353" s="59">
        <v>653400</v>
      </c>
      <c r="B353" s="51" t="s">
        <v>663</v>
      </c>
      <c r="C353" s="52" t="s">
        <v>328</v>
      </c>
      <c r="D353" s="53">
        <v>43.12</v>
      </c>
      <c r="E353" s="53">
        <v>0.19</v>
      </c>
      <c r="F353" s="53">
        <v>48.7</v>
      </c>
      <c r="G353" s="53">
        <v>92.01</v>
      </c>
      <c r="H353" s="52" t="s">
        <v>25903</v>
      </c>
    </row>
    <row r="354" spans="1:8" ht="15.75" customHeight="1">
      <c r="A354" s="59">
        <v>653500</v>
      </c>
      <c r="B354" s="51" t="s">
        <v>664</v>
      </c>
      <c r="C354" s="52" t="s">
        <v>328</v>
      </c>
      <c r="D354" s="53">
        <v>32.229999999999997</v>
      </c>
      <c r="E354" s="53">
        <v>0.12</v>
      </c>
      <c r="F354" s="53">
        <v>34.65</v>
      </c>
      <c r="G354" s="53">
        <v>67</v>
      </c>
      <c r="H354" s="52" t="s">
        <v>25903</v>
      </c>
    </row>
    <row r="355" spans="1:8" ht="15.75" customHeight="1">
      <c r="A355" s="59">
        <v>653600</v>
      </c>
      <c r="B355" s="51" t="s">
        <v>665</v>
      </c>
      <c r="C355" s="52" t="s">
        <v>328</v>
      </c>
      <c r="D355" s="53">
        <v>36.020000000000003</v>
      </c>
      <c r="E355" s="53">
        <v>0.11</v>
      </c>
      <c r="F355" s="53">
        <v>31.59</v>
      </c>
      <c r="G355" s="53">
        <v>67.72</v>
      </c>
      <c r="H355" s="52" t="s">
        <v>25903</v>
      </c>
    </row>
    <row r="356" spans="1:8" ht="15.75" customHeight="1">
      <c r="A356" s="59">
        <v>653700</v>
      </c>
      <c r="B356" s="51" t="s">
        <v>666</v>
      </c>
      <c r="C356" s="52" t="s">
        <v>328</v>
      </c>
      <c r="D356" s="53">
        <v>26.78</v>
      </c>
      <c r="E356" s="53">
        <v>7.0000000000000007E-2</v>
      </c>
      <c r="F356" s="53">
        <v>21.83</v>
      </c>
      <c r="G356" s="53">
        <v>48.68</v>
      </c>
      <c r="H356" s="52" t="s">
        <v>25903</v>
      </c>
    </row>
    <row r="357" spans="1:8" ht="15.75" customHeight="1">
      <c r="A357" s="59">
        <v>654000</v>
      </c>
      <c r="B357" s="51" t="s">
        <v>667</v>
      </c>
      <c r="C357" s="52" t="s">
        <v>328</v>
      </c>
      <c r="D357" s="53">
        <v>81.25</v>
      </c>
      <c r="E357" s="53">
        <v>14.23</v>
      </c>
      <c r="F357" s="53">
        <v>12.9</v>
      </c>
      <c r="G357" s="53">
        <v>108.38</v>
      </c>
      <c r="H357" s="52" t="s">
        <v>25903</v>
      </c>
    </row>
    <row r="358" spans="1:8" ht="15.75" customHeight="1">
      <c r="A358" s="59">
        <v>654100</v>
      </c>
      <c r="B358" s="51" t="s">
        <v>668</v>
      </c>
      <c r="C358" s="52" t="s">
        <v>328</v>
      </c>
      <c r="D358" s="53">
        <v>63.49</v>
      </c>
      <c r="E358" s="53">
        <v>9.7200000000000006</v>
      </c>
      <c r="F358" s="53">
        <v>6.62</v>
      </c>
      <c r="G358" s="53">
        <v>79.83</v>
      </c>
      <c r="H358" s="52" t="s">
        <v>25903</v>
      </c>
    </row>
    <row r="359" spans="1:8" ht="15.75" customHeight="1">
      <c r="A359" s="59">
        <v>650000</v>
      </c>
      <c r="B359" s="51" t="s">
        <v>669</v>
      </c>
      <c r="C359" s="52" t="s">
        <v>328</v>
      </c>
      <c r="D359" s="53">
        <v>61.09</v>
      </c>
      <c r="E359" s="53">
        <v>0.3</v>
      </c>
      <c r="F359" s="53">
        <v>68.95</v>
      </c>
      <c r="G359" s="53">
        <v>130.34</v>
      </c>
      <c r="H359" s="52" t="s">
        <v>25903</v>
      </c>
    </row>
    <row r="360" spans="1:8" ht="15.75" customHeight="1">
      <c r="A360" s="59">
        <v>650100</v>
      </c>
      <c r="B360" s="51" t="s">
        <v>670</v>
      </c>
      <c r="C360" s="52" t="s">
        <v>328</v>
      </c>
      <c r="D360" s="53">
        <v>43.12</v>
      </c>
      <c r="E360" s="53">
        <v>0.19</v>
      </c>
      <c r="F360" s="53">
        <v>46.49</v>
      </c>
      <c r="G360" s="53">
        <v>89.8</v>
      </c>
      <c r="H360" s="52" t="s">
        <v>25903</v>
      </c>
    </row>
    <row r="361" spans="1:8" ht="15.75" customHeight="1">
      <c r="A361" s="59">
        <v>650200</v>
      </c>
      <c r="B361" s="51" t="s">
        <v>671</v>
      </c>
      <c r="C361" s="52" t="s">
        <v>328</v>
      </c>
      <c r="D361" s="53">
        <v>32.229999999999997</v>
      </c>
      <c r="E361" s="53">
        <v>0.12</v>
      </c>
      <c r="F361" s="53">
        <v>34.15</v>
      </c>
      <c r="G361" s="53">
        <v>66.5</v>
      </c>
      <c r="H361" s="52" t="s">
        <v>25903</v>
      </c>
    </row>
    <row r="362" spans="1:8" ht="15.75" customHeight="1">
      <c r="A362" s="59">
        <v>650300</v>
      </c>
      <c r="B362" s="51" t="s">
        <v>672</v>
      </c>
      <c r="C362" s="52" t="s">
        <v>328</v>
      </c>
      <c r="D362" s="53">
        <v>37.68</v>
      </c>
      <c r="E362" s="53">
        <v>0.15</v>
      </c>
      <c r="F362" s="53">
        <v>39.29</v>
      </c>
      <c r="G362" s="53">
        <v>77.12</v>
      </c>
      <c r="H362" s="52" t="s">
        <v>25903</v>
      </c>
    </row>
    <row r="363" spans="1:8" ht="15.75" customHeight="1">
      <c r="A363" s="59">
        <v>650400</v>
      </c>
      <c r="B363" s="51" t="s">
        <v>673</v>
      </c>
      <c r="C363" s="52" t="s">
        <v>328</v>
      </c>
      <c r="D363" s="53">
        <v>30.58</v>
      </c>
      <c r="E363" s="53">
        <v>0.1</v>
      </c>
      <c r="F363" s="53">
        <v>27.88</v>
      </c>
      <c r="G363" s="53">
        <v>58.56</v>
      </c>
      <c r="H363" s="52" t="s">
        <v>25903</v>
      </c>
    </row>
    <row r="364" spans="1:8" ht="15.75" customHeight="1">
      <c r="A364" s="59">
        <v>650600</v>
      </c>
      <c r="B364" s="51" t="s">
        <v>674</v>
      </c>
      <c r="C364" s="52" t="s">
        <v>328</v>
      </c>
      <c r="D364" s="53">
        <v>34.369999999999997</v>
      </c>
      <c r="E364" s="53">
        <v>0.11</v>
      </c>
      <c r="F364" s="53">
        <v>31.09</v>
      </c>
      <c r="G364" s="53">
        <v>65.569999999999993</v>
      </c>
      <c r="H364" s="52" t="s">
        <v>25903</v>
      </c>
    </row>
    <row r="365" spans="1:8" ht="15.75" customHeight="1">
      <c r="A365" s="59">
        <v>650700</v>
      </c>
      <c r="B365" s="51" t="s">
        <v>675</v>
      </c>
      <c r="C365" s="52" t="s">
        <v>328</v>
      </c>
      <c r="D365" s="53">
        <v>26.78</v>
      </c>
      <c r="E365" s="53">
        <v>7.0000000000000007E-2</v>
      </c>
      <c r="F365" s="53">
        <v>21.09</v>
      </c>
      <c r="G365" s="53">
        <v>47.94</v>
      </c>
      <c r="H365" s="52" t="s">
        <v>25903</v>
      </c>
    </row>
    <row r="366" spans="1:8" ht="15.75" customHeight="1">
      <c r="A366" s="59">
        <v>652500</v>
      </c>
      <c r="B366" s="51" t="s">
        <v>676</v>
      </c>
      <c r="C366" s="52" t="s">
        <v>328</v>
      </c>
      <c r="D366" s="53">
        <v>57.3</v>
      </c>
      <c r="E366" s="53">
        <v>0.25</v>
      </c>
      <c r="F366" s="53">
        <v>102.85</v>
      </c>
      <c r="G366" s="53">
        <v>160.4</v>
      </c>
      <c r="H366" s="52" t="s">
        <v>25903</v>
      </c>
    </row>
    <row r="367" spans="1:8" ht="15.75" customHeight="1">
      <c r="A367" s="59">
        <v>650800</v>
      </c>
      <c r="B367" s="51" t="s">
        <v>677</v>
      </c>
      <c r="C367" s="52" t="s">
        <v>328</v>
      </c>
      <c r="D367" s="53">
        <v>39.33</v>
      </c>
      <c r="E367" s="53">
        <v>0.15</v>
      </c>
      <c r="F367" s="53">
        <v>70.62</v>
      </c>
      <c r="G367" s="53">
        <v>110.1</v>
      </c>
      <c r="H367" s="52" t="s">
        <v>25903</v>
      </c>
    </row>
    <row r="368" spans="1:8" ht="15.75" customHeight="1">
      <c r="A368" s="59">
        <v>650900</v>
      </c>
      <c r="B368" s="51" t="s">
        <v>678</v>
      </c>
      <c r="C368" s="52" t="s">
        <v>328</v>
      </c>
      <c r="D368" s="53">
        <v>30.58</v>
      </c>
      <c r="E368" s="53">
        <v>0.1</v>
      </c>
      <c r="F368" s="53">
        <v>55.44</v>
      </c>
      <c r="G368" s="53">
        <v>86.12</v>
      </c>
      <c r="H368" s="52" t="s">
        <v>25903</v>
      </c>
    </row>
    <row r="369" spans="1:8" ht="15.75" customHeight="1">
      <c r="A369" s="59">
        <v>651000</v>
      </c>
      <c r="B369" s="51" t="s">
        <v>679</v>
      </c>
      <c r="C369" s="52" t="s">
        <v>328</v>
      </c>
      <c r="D369" s="53">
        <v>36.020000000000003</v>
      </c>
      <c r="E369" s="53">
        <v>0.15</v>
      </c>
      <c r="F369" s="53">
        <v>56.88</v>
      </c>
      <c r="G369" s="53">
        <v>93.05</v>
      </c>
      <c r="H369" s="52" t="s">
        <v>25903</v>
      </c>
    </row>
    <row r="370" spans="1:8" ht="15.75" customHeight="1">
      <c r="A370" s="59">
        <v>651100</v>
      </c>
      <c r="B370" s="51" t="s">
        <v>680</v>
      </c>
      <c r="C370" s="52" t="s">
        <v>328</v>
      </c>
      <c r="D370" s="53">
        <v>26.78</v>
      </c>
      <c r="E370" s="53">
        <v>0.1</v>
      </c>
      <c r="F370" s="53">
        <v>43.1</v>
      </c>
      <c r="G370" s="53">
        <v>69.98</v>
      </c>
      <c r="H370" s="52" t="s">
        <v>25903</v>
      </c>
    </row>
    <row r="371" spans="1:8" ht="15.75" customHeight="1">
      <c r="A371" s="59">
        <v>651200</v>
      </c>
      <c r="B371" s="51" t="s">
        <v>681</v>
      </c>
      <c r="C371" s="52" t="s">
        <v>328</v>
      </c>
      <c r="D371" s="53">
        <v>32.229999999999997</v>
      </c>
      <c r="E371" s="53">
        <v>0.11</v>
      </c>
      <c r="F371" s="53">
        <v>44.55</v>
      </c>
      <c r="G371" s="53">
        <v>76.89</v>
      </c>
      <c r="H371" s="52" t="s">
        <v>25903</v>
      </c>
    </row>
    <row r="372" spans="1:8" ht="15.75" customHeight="1">
      <c r="A372" s="59">
        <v>651300</v>
      </c>
      <c r="B372" s="51" t="s">
        <v>682</v>
      </c>
      <c r="C372" s="52" t="s">
        <v>328</v>
      </c>
      <c r="D372" s="53">
        <v>25.13</v>
      </c>
      <c r="E372" s="53">
        <v>7.0000000000000007E-2</v>
      </c>
      <c r="F372" s="53">
        <v>34.36</v>
      </c>
      <c r="G372" s="53">
        <v>59.56</v>
      </c>
      <c r="H372" s="52" t="s">
        <v>25903</v>
      </c>
    </row>
    <row r="373" spans="1:8" ht="15.75" customHeight="1">
      <c r="A373" s="59">
        <v>651400</v>
      </c>
      <c r="B373" s="51" t="s">
        <v>683</v>
      </c>
      <c r="C373" s="52" t="s">
        <v>328</v>
      </c>
      <c r="D373" s="53">
        <v>43.12</v>
      </c>
      <c r="E373" s="53">
        <v>0.19</v>
      </c>
      <c r="F373" s="53">
        <v>45.97</v>
      </c>
      <c r="G373" s="53">
        <v>89.28</v>
      </c>
      <c r="H373" s="52" t="s">
        <v>25903</v>
      </c>
    </row>
    <row r="374" spans="1:8" ht="15.75" customHeight="1">
      <c r="A374" s="59">
        <v>651500</v>
      </c>
      <c r="B374" s="51" t="s">
        <v>684</v>
      </c>
      <c r="C374" s="52" t="s">
        <v>328</v>
      </c>
      <c r="D374" s="53">
        <v>32.229999999999997</v>
      </c>
      <c r="E374" s="53">
        <v>0.12</v>
      </c>
      <c r="F374" s="53">
        <v>32.39</v>
      </c>
      <c r="G374" s="53">
        <v>64.739999999999995</v>
      </c>
      <c r="H374" s="52" t="s">
        <v>25903</v>
      </c>
    </row>
    <row r="375" spans="1:8" ht="15.75" customHeight="1">
      <c r="A375" s="59">
        <v>651600</v>
      </c>
      <c r="B375" s="51" t="s">
        <v>685</v>
      </c>
      <c r="C375" s="52" t="s">
        <v>328</v>
      </c>
      <c r="D375" s="53">
        <v>54</v>
      </c>
      <c r="E375" s="53">
        <v>0.26</v>
      </c>
      <c r="F375" s="53">
        <v>66.260000000000005</v>
      </c>
      <c r="G375" s="53">
        <v>120.52</v>
      </c>
      <c r="H375" s="52" t="s">
        <v>25903</v>
      </c>
    </row>
    <row r="376" spans="1:8" ht="15.75" customHeight="1">
      <c r="A376" s="59">
        <v>651700</v>
      </c>
      <c r="B376" s="51" t="s">
        <v>686</v>
      </c>
      <c r="C376" s="52" t="s">
        <v>328</v>
      </c>
      <c r="D376" s="53">
        <v>39.33</v>
      </c>
      <c r="E376" s="53">
        <v>0.17</v>
      </c>
      <c r="F376" s="53">
        <v>48.8</v>
      </c>
      <c r="G376" s="53">
        <v>88.3</v>
      </c>
      <c r="H376" s="52" t="s">
        <v>25903</v>
      </c>
    </row>
    <row r="377" spans="1:8" ht="15.75" customHeight="1">
      <c r="A377" s="59">
        <v>652000</v>
      </c>
      <c r="B377" s="51" t="s">
        <v>687</v>
      </c>
      <c r="C377" s="52" t="s">
        <v>328</v>
      </c>
      <c r="D377" s="53">
        <v>81.25</v>
      </c>
      <c r="E377" s="53">
        <v>14.12</v>
      </c>
      <c r="F377" s="53">
        <v>11.16</v>
      </c>
      <c r="G377" s="53">
        <v>106.53</v>
      </c>
      <c r="H377" s="52" t="s">
        <v>25903</v>
      </c>
    </row>
    <row r="378" spans="1:8" ht="15.75" customHeight="1">
      <c r="A378" s="59">
        <v>652100</v>
      </c>
      <c r="B378" s="51" t="s">
        <v>688</v>
      </c>
      <c r="C378" s="52" t="s">
        <v>328</v>
      </c>
      <c r="D378" s="53">
        <v>72.25</v>
      </c>
      <c r="E378" s="53">
        <v>11.89</v>
      </c>
      <c r="F378" s="53">
        <v>9.14</v>
      </c>
      <c r="G378" s="53">
        <v>93.28</v>
      </c>
      <c r="H378" s="52" t="s">
        <v>25903</v>
      </c>
    </row>
    <row r="379" spans="1:8" ht="15.75" customHeight="1">
      <c r="A379" s="59">
        <v>652200</v>
      </c>
      <c r="B379" s="51" t="s">
        <v>689</v>
      </c>
      <c r="C379" s="52" t="s">
        <v>328</v>
      </c>
      <c r="D379" s="53">
        <v>63.49</v>
      </c>
      <c r="E379" s="53">
        <v>9.76</v>
      </c>
      <c r="F379" s="53">
        <v>6.12</v>
      </c>
      <c r="G379" s="53">
        <v>79.37</v>
      </c>
      <c r="H379" s="52" t="s">
        <v>25903</v>
      </c>
    </row>
    <row r="380" spans="1:8" ht="15.75" customHeight="1">
      <c r="A380" s="59">
        <v>652300</v>
      </c>
      <c r="B380" s="51" t="s">
        <v>690</v>
      </c>
      <c r="C380" s="52" t="s">
        <v>328</v>
      </c>
      <c r="D380" s="53">
        <v>81.25</v>
      </c>
      <c r="E380" s="53">
        <v>13.82</v>
      </c>
      <c r="F380" s="53">
        <v>10.17</v>
      </c>
      <c r="G380" s="53">
        <v>105.24</v>
      </c>
      <c r="H380" s="52" t="s">
        <v>25903</v>
      </c>
    </row>
    <row r="381" spans="1:8" ht="15.75" customHeight="1">
      <c r="A381" s="59">
        <v>652400</v>
      </c>
      <c r="B381" s="51" t="s">
        <v>691</v>
      </c>
      <c r="C381" s="52" t="s">
        <v>328</v>
      </c>
      <c r="D381" s="53">
        <v>106.09</v>
      </c>
      <c r="E381" s="53">
        <v>19.14</v>
      </c>
      <c r="F381" s="53">
        <v>17.739999999999998</v>
      </c>
      <c r="G381" s="53">
        <v>142.97</v>
      </c>
      <c r="H381" s="52" t="s">
        <v>25903</v>
      </c>
    </row>
    <row r="382" spans="1:8" ht="15.75" customHeight="1">
      <c r="A382" s="59">
        <v>655100</v>
      </c>
      <c r="B382" s="51" t="s">
        <v>692</v>
      </c>
      <c r="C382" s="52" t="s">
        <v>328</v>
      </c>
      <c r="D382" s="53">
        <v>67.900000000000006</v>
      </c>
      <c r="E382" s="53">
        <v>48.43</v>
      </c>
      <c r="F382" s="53">
        <v>319.17</v>
      </c>
      <c r="G382" s="53">
        <v>435.5</v>
      </c>
      <c r="H382" s="52" t="s">
        <v>25903</v>
      </c>
    </row>
    <row r="383" spans="1:8" ht="15.75" customHeight="1">
      <c r="A383" s="59">
        <v>655200</v>
      </c>
      <c r="B383" s="51" t="s">
        <v>693</v>
      </c>
      <c r="C383" s="52" t="s">
        <v>328</v>
      </c>
      <c r="D383" s="53">
        <v>60.31</v>
      </c>
      <c r="E383" s="53">
        <v>48.43</v>
      </c>
      <c r="F383" s="53">
        <v>242.51</v>
      </c>
      <c r="G383" s="53">
        <v>351.25</v>
      </c>
      <c r="H383" s="52" t="s">
        <v>25903</v>
      </c>
    </row>
    <row r="384" spans="1:8" ht="15.75" customHeight="1">
      <c r="A384" s="59">
        <v>655300</v>
      </c>
      <c r="B384" s="51" t="s">
        <v>694</v>
      </c>
      <c r="C384" s="52" t="s">
        <v>328</v>
      </c>
      <c r="D384" s="53">
        <v>54.87</v>
      </c>
      <c r="E384" s="53">
        <v>48.43</v>
      </c>
      <c r="F384" s="53">
        <v>222.06</v>
      </c>
      <c r="G384" s="53">
        <v>325.36</v>
      </c>
      <c r="H384" s="52" t="s">
        <v>25903</v>
      </c>
    </row>
    <row r="385" spans="1:8" ht="15.75" customHeight="1">
      <c r="A385" s="59">
        <v>655400</v>
      </c>
      <c r="B385" s="51" t="s">
        <v>695</v>
      </c>
      <c r="C385" s="52" t="s">
        <v>328</v>
      </c>
      <c r="D385" s="53">
        <v>49.43</v>
      </c>
      <c r="E385" s="53">
        <v>48.43</v>
      </c>
      <c r="F385" s="53">
        <v>171.8</v>
      </c>
      <c r="G385" s="53">
        <v>269.66000000000003</v>
      </c>
      <c r="H385" s="52" t="s">
        <v>25903</v>
      </c>
    </row>
    <row r="386" spans="1:8" ht="15.75" customHeight="1">
      <c r="A386" s="59">
        <v>655500</v>
      </c>
      <c r="B386" s="51" t="s">
        <v>696</v>
      </c>
      <c r="C386" s="52" t="s">
        <v>328</v>
      </c>
      <c r="D386" s="53">
        <v>92.97</v>
      </c>
      <c r="E386" s="53">
        <v>0</v>
      </c>
      <c r="F386" s="53">
        <v>509.14</v>
      </c>
      <c r="G386" s="53">
        <v>602.11</v>
      </c>
      <c r="H386" s="52" t="s">
        <v>25903</v>
      </c>
    </row>
    <row r="387" spans="1:8" ht="15.75" customHeight="1">
      <c r="A387" s="59">
        <v>655600</v>
      </c>
      <c r="B387" s="51" t="s">
        <v>697</v>
      </c>
      <c r="C387" s="52" t="s">
        <v>328</v>
      </c>
      <c r="D387" s="53">
        <v>87.52</v>
      </c>
      <c r="E387" s="53">
        <v>0</v>
      </c>
      <c r="F387" s="53">
        <v>438.34</v>
      </c>
      <c r="G387" s="53">
        <v>525.86</v>
      </c>
      <c r="H387" s="52" t="s">
        <v>25903</v>
      </c>
    </row>
    <row r="388" spans="1:8" ht="15.75" customHeight="1">
      <c r="A388" s="59">
        <v>655700</v>
      </c>
      <c r="B388" s="51" t="s">
        <v>698</v>
      </c>
      <c r="C388" s="52" t="s">
        <v>328</v>
      </c>
      <c r="D388" s="53">
        <v>82.08</v>
      </c>
      <c r="E388" s="53">
        <v>0</v>
      </c>
      <c r="F388" s="53">
        <v>391.99</v>
      </c>
      <c r="G388" s="53">
        <v>474.07</v>
      </c>
      <c r="H388" s="52" t="s">
        <v>25903</v>
      </c>
    </row>
    <row r="389" spans="1:8" ht="15.75" customHeight="1">
      <c r="A389" s="59">
        <v>655800</v>
      </c>
      <c r="B389" s="51" t="s">
        <v>699</v>
      </c>
      <c r="C389" s="52" t="s">
        <v>328</v>
      </c>
      <c r="D389" s="53">
        <v>95.11</v>
      </c>
      <c r="E389" s="53">
        <v>0</v>
      </c>
      <c r="F389" s="53">
        <v>729.87</v>
      </c>
      <c r="G389" s="53">
        <v>824.98</v>
      </c>
      <c r="H389" s="52" t="s">
        <v>25903</v>
      </c>
    </row>
    <row r="390" spans="1:8" ht="15.75" customHeight="1">
      <c r="A390" s="59">
        <v>655900</v>
      </c>
      <c r="B390" s="51" t="s">
        <v>700</v>
      </c>
      <c r="C390" s="52" t="s">
        <v>328</v>
      </c>
      <c r="D390" s="53">
        <v>89.67</v>
      </c>
      <c r="E390" s="53">
        <v>0</v>
      </c>
      <c r="F390" s="53">
        <v>617.53</v>
      </c>
      <c r="G390" s="53">
        <v>707.2</v>
      </c>
      <c r="H390" s="52" t="s">
        <v>25903</v>
      </c>
    </row>
    <row r="391" spans="1:8" ht="15.75" customHeight="1">
      <c r="A391" s="59">
        <v>656000</v>
      </c>
      <c r="B391" s="51" t="s">
        <v>701</v>
      </c>
      <c r="C391" s="52" t="s">
        <v>328</v>
      </c>
      <c r="D391" s="53">
        <v>84.23</v>
      </c>
      <c r="E391" s="53">
        <v>0</v>
      </c>
      <c r="F391" s="53">
        <v>533.41</v>
      </c>
      <c r="G391" s="53">
        <v>617.64</v>
      </c>
      <c r="H391" s="52" t="s">
        <v>25903</v>
      </c>
    </row>
    <row r="392" spans="1:8" ht="15.75" customHeight="1">
      <c r="A392" s="59">
        <v>660000</v>
      </c>
      <c r="B392" s="51" t="s">
        <v>702</v>
      </c>
      <c r="C392" s="52" t="s">
        <v>328</v>
      </c>
      <c r="D392" s="53">
        <v>43.12</v>
      </c>
      <c r="E392" s="53">
        <v>0.2</v>
      </c>
      <c r="F392" s="53">
        <v>52.69</v>
      </c>
      <c r="G392" s="53">
        <v>96.01</v>
      </c>
      <c r="H392" s="52" t="s">
        <v>25903</v>
      </c>
    </row>
    <row r="393" spans="1:8" ht="15.75" customHeight="1">
      <c r="A393" s="59">
        <v>660100</v>
      </c>
      <c r="B393" s="51" t="s">
        <v>703</v>
      </c>
      <c r="C393" s="52" t="s">
        <v>328</v>
      </c>
      <c r="D393" s="53">
        <v>61.09</v>
      </c>
      <c r="E393" s="53">
        <v>0.3</v>
      </c>
      <c r="F393" s="53">
        <v>81.260000000000005</v>
      </c>
      <c r="G393" s="53">
        <v>142.65</v>
      </c>
      <c r="H393" s="52" t="s">
        <v>25903</v>
      </c>
    </row>
    <row r="394" spans="1:8" ht="15.75" customHeight="1">
      <c r="A394" s="59">
        <v>660200</v>
      </c>
      <c r="B394" s="51" t="s">
        <v>704</v>
      </c>
      <c r="C394" s="52" t="s">
        <v>328</v>
      </c>
      <c r="D394" s="53">
        <v>54</v>
      </c>
      <c r="E394" s="53">
        <v>0.25</v>
      </c>
      <c r="F394" s="53">
        <v>77.599999999999994</v>
      </c>
      <c r="G394" s="53">
        <v>131.85</v>
      </c>
      <c r="H394" s="52" t="s">
        <v>25903</v>
      </c>
    </row>
    <row r="395" spans="1:8" ht="15.75" customHeight="1">
      <c r="A395" s="59">
        <v>660300</v>
      </c>
      <c r="B395" s="51" t="s">
        <v>705</v>
      </c>
      <c r="C395" s="52" t="s">
        <v>328</v>
      </c>
      <c r="D395" s="53">
        <v>73.64</v>
      </c>
      <c r="E395" s="53">
        <v>0.38</v>
      </c>
      <c r="F395" s="53">
        <v>116.89</v>
      </c>
      <c r="G395" s="53">
        <v>190.91</v>
      </c>
      <c r="H395" s="52" t="s">
        <v>25903</v>
      </c>
    </row>
    <row r="396" spans="1:8" ht="15.75" customHeight="1">
      <c r="A396" s="59">
        <v>660400</v>
      </c>
      <c r="B396" s="51" t="s">
        <v>706</v>
      </c>
      <c r="C396" s="52" t="s">
        <v>328</v>
      </c>
      <c r="D396" s="53">
        <v>37.68</v>
      </c>
      <c r="E396" s="53">
        <v>0.15</v>
      </c>
      <c r="F396" s="53">
        <v>41.15</v>
      </c>
      <c r="G396" s="53">
        <v>78.98</v>
      </c>
      <c r="H396" s="52" t="s">
        <v>25903</v>
      </c>
    </row>
    <row r="397" spans="1:8" ht="15.75" customHeight="1">
      <c r="A397" s="59">
        <v>660500</v>
      </c>
      <c r="B397" s="51" t="s">
        <v>707</v>
      </c>
      <c r="C397" s="52" t="s">
        <v>328</v>
      </c>
      <c r="D397" s="53">
        <v>50.21</v>
      </c>
      <c r="E397" s="53">
        <v>0.22</v>
      </c>
      <c r="F397" s="53">
        <v>62.73</v>
      </c>
      <c r="G397" s="53">
        <v>113.16</v>
      </c>
      <c r="H397" s="52" t="s">
        <v>25903</v>
      </c>
    </row>
    <row r="398" spans="1:8" ht="15.75" customHeight="1">
      <c r="A398" s="59">
        <v>660600</v>
      </c>
      <c r="B398" s="51" t="s">
        <v>708</v>
      </c>
      <c r="C398" s="52" t="s">
        <v>328</v>
      </c>
      <c r="D398" s="53">
        <v>48.56</v>
      </c>
      <c r="E398" s="53">
        <v>0.2</v>
      </c>
      <c r="F398" s="53">
        <v>64.260000000000005</v>
      </c>
      <c r="G398" s="53">
        <v>113.02</v>
      </c>
      <c r="H398" s="52" t="s">
        <v>25903</v>
      </c>
    </row>
    <row r="399" spans="1:8" ht="15.75" customHeight="1">
      <c r="A399" s="59">
        <v>660700</v>
      </c>
      <c r="B399" s="51" t="s">
        <v>709</v>
      </c>
      <c r="C399" s="52" t="s">
        <v>328</v>
      </c>
      <c r="D399" s="53">
        <v>62.75</v>
      </c>
      <c r="E399" s="53">
        <v>0.3</v>
      </c>
      <c r="F399" s="53">
        <v>94.39</v>
      </c>
      <c r="G399" s="53">
        <v>157.44</v>
      </c>
      <c r="H399" s="52" t="s">
        <v>25903</v>
      </c>
    </row>
    <row r="400" spans="1:8" ht="15.75" customHeight="1">
      <c r="A400" s="59">
        <v>661000</v>
      </c>
      <c r="B400" s="51" t="s">
        <v>710</v>
      </c>
      <c r="C400" s="52" t="s">
        <v>328</v>
      </c>
      <c r="D400" s="53">
        <v>48.56</v>
      </c>
      <c r="E400" s="53">
        <v>0.2</v>
      </c>
      <c r="F400" s="53">
        <v>69.97</v>
      </c>
      <c r="G400" s="53">
        <v>118.73</v>
      </c>
      <c r="H400" s="52" t="s">
        <v>25903</v>
      </c>
    </row>
    <row r="401" spans="1:8" ht="15.75" customHeight="1">
      <c r="A401" s="59">
        <v>661100</v>
      </c>
      <c r="B401" s="51" t="s">
        <v>711</v>
      </c>
      <c r="C401" s="52" t="s">
        <v>328</v>
      </c>
      <c r="D401" s="53">
        <v>64.400000000000006</v>
      </c>
      <c r="E401" s="53">
        <v>0.34</v>
      </c>
      <c r="F401" s="53">
        <v>108.62</v>
      </c>
      <c r="G401" s="53">
        <v>173.36</v>
      </c>
      <c r="H401" s="52" t="s">
        <v>25903</v>
      </c>
    </row>
    <row r="402" spans="1:8" ht="15.75" customHeight="1">
      <c r="A402" s="59">
        <v>661200</v>
      </c>
      <c r="B402" s="51" t="s">
        <v>712</v>
      </c>
      <c r="C402" s="52" t="s">
        <v>328</v>
      </c>
      <c r="D402" s="53">
        <v>57.8</v>
      </c>
      <c r="E402" s="53">
        <v>0.25</v>
      </c>
      <c r="F402" s="53">
        <v>88.91</v>
      </c>
      <c r="G402" s="53">
        <v>146.96</v>
      </c>
      <c r="H402" s="52" t="s">
        <v>25903</v>
      </c>
    </row>
    <row r="403" spans="1:8" ht="15.75" customHeight="1">
      <c r="A403" s="59">
        <v>661300</v>
      </c>
      <c r="B403" s="51" t="s">
        <v>713</v>
      </c>
      <c r="C403" s="52" t="s">
        <v>328</v>
      </c>
      <c r="D403" s="53">
        <v>79.069999999999993</v>
      </c>
      <c r="E403" s="53">
        <v>0.42</v>
      </c>
      <c r="F403" s="53">
        <v>160.11000000000001</v>
      </c>
      <c r="G403" s="53">
        <v>239.6</v>
      </c>
      <c r="H403" s="52" t="s">
        <v>25903</v>
      </c>
    </row>
    <row r="404" spans="1:8" ht="15.75" customHeight="1">
      <c r="A404" s="59">
        <v>661400</v>
      </c>
      <c r="B404" s="51" t="s">
        <v>714</v>
      </c>
      <c r="C404" s="52" t="s">
        <v>328</v>
      </c>
      <c r="D404" s="53">
        <v>39.33</v>
      </c>
      <c r="E404" s="53">
        <v>0.17</v>
      </c>
      <c r="F404" s="53">
        <v>55.48</v>
      </c>
      <c r="G404" s="53">
        <v>94.98</v>
      </c>
      <c r="H404" s="52" t="s">
        <v>25903</v>
      </c>
    </row>
    <row r="405" spans="1:8" ht="15.75" customHeight="1">
      <c r="A405" s="59">
        <v>661500</v>
      </c>
      <c r="B405" s="51" t="s">
        <v>715</v>
      </c>
      <c r="C405" s="52" t="s">
        <v>328</v>
      </c>
      <c r="D405" s="53">
        <v>55.66</v>
      </c>
      <c r="E405" s="53">
        <v>0.26</v>
      </c>
      <c r="F405" s="53">
        <v>84.08</v>
      </c>
      <c r="G405" s="53">
        <v>140</v>
      </c>
      <c r="H405" s="52" t="s">
        <v>25903</v>
      </c>
    </row>
    <row r="406" spans="1:8" ht="15.75" customHeight="1">
      <c r="A406" s="59">
        <v>661600</v>
      </c>
      <c r="B406" s="51" t="s">
        <v>716</v>
      </c>
      <c r="C406" s="52" t="s">
        <v>328</v>
      </c>
      <c r="D406" s="53">
        <v>50.21</v>
      </c>
      <c r="E406" s="53">
        <v>0.22</v>
      </c>
      <c r="F406" s="53">
        <v>88.51</v>
      </c>
      <c r="G406" s="53">
        <v>138.94</v>
      </c>
      <c r="H406" s="52" t="s">
        <v>25903</v>
      </c>
    </row>
    <row r="407" spans="1:8" ht="15.75" customHeight="1">
      <c r="A407" s="59">
        <v>661700</v>
      </c>
      <c r="B407" s="51" t="s">
        <v>717</v>
      </c>
      <c r="C407" s="52" t="s">
        <v>328</v>
      </c>
      <c r="D407" s="53">
        <v>68.19</v>
      </c>
      <c r="E407" s="53">
        <v>0.34</v>
      </c>
      <c r="F407" s="53">
        <v>128.30000000000001</v>
      </c>
      <c r="G407" s="53">
        <v>196.83</v>
      </c>
      <c r="H407" s="52" t="s">
        <v>25903</v>
      </c>
    </row>
    <row r="408" spans="1:8">
      <c r="A408" s="66"/>
      <c r="B408" s="66" t="s">
        <v>376</v>
      </c>
      <c r="C408" s="67" t="s">
        <v>195</v>
      </c>
      <c r="D408" s="67"/>
      <c r="E408" s="67"/>
      <c r="F408" s="67"/>
      <c r="G408" s="67"/>
      <c r="H408" s="69" t="s">
        <v>195</v>
      </c>
    </row>
    <row r="409" spans="1:8" ht="15.75" customHeight="1">
      <c r="A409" s="59">
        <v>502615</v>
      </c>
      <c r="B409" s="51" t="s">
        <v>718</v>
      </c>
      <c r="C409" s="52" t="s">
        <v>950</v>
      </c>
      <c r="D409" s="53">
        <v>8.01</v>
      </c>
      <c r="E409" s="53">
        <v>0</v>
      </c>
      <c r="F409" s="53">
        <v>299.27</v>
      </c>
      <c r="G409" s="53">
        <v>307.27999999999997</v>
      </c>
      <c r="H409" s="52" t="s">
        <v>25903</v>
      </c>
    </row>
    <row r="410" spans="1:8" ht="15.75" customHeight="1">
      <c r="A410" s="59">
        <v>502605</v>
      </c>
      <c r="B410" s="51" t="s">
        <v>719</v>
      </c>
      <c r="C410" s="52" t="s">
        <v>950</v>
      </c>
      <c r="D410" s="53">
        <v>8.01</v>
      </c>
      <c r="E410" s="53">
        <v>0</v>
      </c>
      <c r="F410" s="53">
        <v>174.7</v>
      </c>
      <c r="G410" s="53">
        <v>182.71</v>
      </c>
      <c r="H410" s="52" t="s">
        <v>25903</v>
      </c>
    </row>
    <row r="411" spans="1:8" ht="15.75" customHeight="1">
      <c r="A411" s="59">
        <v>505185</v>
      </c>
      <c r="B411" s="51" t="s">
        <v>720</v>
      </c>
      <c r="C411" s="52" t="s">
        <v>950</v>
      </c>
      <c r="D411" s="53">
        <v>19.29</v>
      </c>
      <c r="E411" s="53">
        <v>0</v>
      </c>
      <c r="F411" s="53">
        <v>218.94</v>
      </c>
      <c r="G411" s="53">
        <v>238.23</v>
      </c>
      <c r="H411" s="52" t="s">
        <v>25903</v>
      </c>
    </row>
    <row r="412" spans="1:8" ht="15.75" customHeight="1">
      <c r="A412" s="59">
        <v>505415</v>
      </c>
      <c r="B412" s="51" t="s">
        <v>721</v>
      </c>
      <c r="C412" s="52" t="s">
        <v>951</v>
      </c>
      <c r="D412" s="53">
        <v>0.78</v>
      </c>
      <c r="E412" s="53">
        <v>7.71</v>
      </c>
      <c r="F412" s="53">
        <v>0</v>
      </c>
      <c r="G412" s="53">
        <v>8.49</v>
      </c>
      <c r="H412" s="68"/>
    </row>
    <row r="413" spans="1:8" ht="15.75" customHeight="1">
      <c r="A413" s="59">
        <v>505416</v>
      </c>
      <c r="B413" s="51" t="s">
        <v>722</v>
      </c>
      <c r="C413" s="52" t="s">
        <v>951</v>
      </c>
      <c r="D413" s="53">
        <v>5.69</v>
      </c>
      <c r="E413" s="53">
        <v>4.3099999999999996</v>
      </c>
      <c r="F413" s="53">
        <v>0</v>
      </c>
      <c r="G413" s="53">
        <v>10</v>
      </c>
      <c r="H413" s="68"/>
    </row>
    <row r="414" spans="1:8" ht="15.75" customHeight="1">
      <c r="A414" s="59">
        <v>511110</v>
      </c>
      <c r="B414" s="51" t="s">
        <v>723</v>
      </c>
      <c r="C414" s="52" t="s">
        <v>951</v>
      </c>
      <c r="D414" s="53">
        <v>0.59</v>
      </c>
      <c r="E414" s="53">
        <v>3.79</v>
      </c>
      <c r="F414" s="53">
        <v>0</v>
      </c>
      <c r="G414" s="53">
        <v>4.38</v>
      </c>
      <c r="H414" s="68"/>
    </row>
    <row r="415" spans="1:8" ht="15.75" customHeight="1">
      <c r="A415" s="59">
        <v>504840</v>
      </c>
      <c r="B415" s="51" t="s">
        <v>724</v>
      </c>
      <c r="C415" s="52" t="s">
        <v>327</v>
      </c>
      <c r="D415" s="53">
        <v>0.2</v>
      </c>
      <c r="E415" s="53">
        <v>41.75</v>
      </c>
      <c r="F415" s="53">
        <v>0</v>
      </c>
      <c r="G415" s="53">
        <v>41.95</v>
      </c>
      <c r="H415" s="68"/>
    </row>
    <row r="416" spans="1:8" ht="15.75" customHeight="1">
      <c r="A416" s="59">
        <v>503110</v>
      </c>
      <c r="B416" s="51" t="s">
        <v>725</v>
      </c>
      <c r="C416" s="52" t="s">
        <v>951</v>
      </c>
      <c r="D416" s="53">
        <v>0.44</v>
      </c>
      <c r="E416" s="53">
        <v>3.17</v>
      </c>
      <c r="F416" s="53">
        <v>0</v>
      </c>
      <c r="G416" s="53">
        <v>3.61</v>
      </c>
      <c r="H416" s="68"/>
    </row>
    <row r="417" spans="1:8" ht="15.75" customHeight="1">
      <c r="A417" s="59">
        <v>507215</v>
      </c>
      <c r="B417" s="51" t="s">
        <v>726</v>
      </c>
      <c r="C417" s="52" t="s">
        <v>327</v>
      </c>
      <c r="D417" s="53">
        <v>0.15</v>
      </c>
      <c r="E417" s="53">
        <v>7.69</v>
      </c>
      <c r="F417" s="53">
        <v>0</v>
      </c>
      <c r="G417" s="53">
        <v>7.84</v>
      </c>
      <c r="H417" s="68"/>
    </row>
    <row r="418" spans="1:8" ht="15.75" customHeight="1">
      <c r="A418" s="59">
        <v>507210</v>
      </c>
      <c r="B418" s="51" t="s">
        <v>727</v>
      </c>
      <c r="C418" s="52" t="s">
        <v>327</v>
      </c>
      <c r="D418" s="53">
        <v>0.12</v>
      </c>
      <c r="E418" s="53">
        <v>8.2799999999999994</v>
      </c>
      <c r="F418" s="53">
        <v>0</v>
      </c>
      <c r="G418" s="53">
        <v>8.4</v>
      </c>
      <c r="H418" s="68"/>
    </row>
    <row r="419" spans="1:8" ht="15.75" customHeight="1">
      <c r="A419" s="59">
        <v>507220</v>
      </c>
      <c r="B419" s="51" t="s">
        <v>728</v>
      </c>
      <c r="C419" s="52" t="s">
        <v>327</v>
      </c>
      <c r="D419" s="53">
        <v>0.06</v>
      </c>
      <c r="E419" s="53">
        <v>7.42</v>
      </c>
      <c r="F419" s="53">
        <v>0</v>
      </c>
      <c r="G419" s="53">
        <v>7.48</v>
      </c>
      <c r="H419" s="68"/>
    </row>
    <row r="420" spans="1:8" ht="15.75" customHeight="1">
      <c r="A420" s="59">
        <v>507225</v>
      </c>
      <c r="B420" s="51" t="s">
        <v>729</v>
      </c>
      <c r="C420" s="52" t="s">
        <v>327</v>
      </c>
      <c r="D420" s="53">
        <v>0.06</v>
      </c>
      <c r="E420" s="53">
        <v>7.42</v>
      </c>
      <c r="F420" s="53">
        <v>0</v>
      </c>
      <c r="G420" s="53">
        <v>7.48</v>
      </c>
      <c r="H420" s="68"/>
    </row>
    <row r="421" spans="1:8" ht="15.75" customHeight="1">
      <c r="A421" s="59">
        <v>507232</v>
      </c>
      <c r="B421" s="51" t="s">
        <v>730</v>
      </c>
      <c r="C421" s="52" t="s">
        <v>327</v>
      </c>
      <c r="D421" s="53">
        <v>0.06</v>
      </c>
      <c r="E421" s="53">
        <v>8.24</v>
      </c>
      <c r="F421" s="53">
        <v>0</v>
      </c>
      <c r="G421" s="53">
        <v>8.3000000000000007</v>
      </c>
      <c r="H421" s="68"/>
    </row>
    <row r="422" spans="1:8" ht="15.75" customHeight="1">
      <c r="A422" s="59">
        <v>504920</v>
      </c>
      <c r="B422" s="51" t="s">
        <v>731</v>
      </c>
      <c r="C422" s="52" t="s">
        <v>327</v>
      </c>
      <c r="D422" s="53">
        <v>0.33</v>
      </c>
      <c r="E422" s="53">
        <v>11.07</v>
      </c>
      <c r="F422" s="53">
        <v>0</v>
      </c>
      <c r="G422" s="53">
        <v>11.4</v>
      </c>
      <c r="H422" s="52" t="s">
        <v>25903</v>
      </c>
    </row>
    <row r="423" spans="1:8" ht="31.5" customHeight="1">
      <c r="A423" s="59">
        <v>502660</v>
      </c>
      <c r="B423" s="51" t="s">
        <v>732</v>
      </c>
      <c r="C423" s="52" t="s">
        <v>328</v>
      </c>
      <c r="D423" s="53">
        <v>4.3499999999999996</v>
      </c>
      <c r="E423" s="53">
        <v>11.42</v>
      </c>
      <c r="F423" s="53">
        <v>0</v>
      </c>
      <c r="G423" s="53">
        <v>15.77</v>
      </c>
      <c r="H423" s="68"/>
    </row>
    <row r="424" spans="1:8" ht="31.5" customHeight="1">
      <c r="A424" s="59">
        <v>502680</v>
      </c>
      <c r="B424" s="51" t="s">
        <v>733</v>
      </c>
      <c r="C424" s="52" t="s">
        <v>328</v>
      </c>
      <c r="D424" s="53">
        <v>3.08</v>
      </c>
      <c r="E424" s="53">
        <v>11.85</v>
      </c>
      <c r="F424" s="53">
        <v>0</v>
      </c>
      <c r="G424" s="53">
        <v>14.93</v>
      </c>
      <c r="H424" s="68"/>
    </row>
    <row r="425" spans="1:8" ht="31.5" customHeight="1">
      <c r="A425" s="59">
        <v>502670</v>
      </c>
      <c r="B425" s="51" t="s">
        <v>734</v>
      </c>
      <c r="C425" s="52" t="s">
        <v>328</v>
      </c>
      <c r="D425" s="53">
        <v>7.72</v>
      </c>
      <c r="E425" s="53">
        <v>11.85</v>
      </c>
      <c r="F425" s="53">
        <v>0</v>
      </c>
      <c r="G425" s="53">
        <v>19.57</v>
      </c>
      <c r="H425" s="68"/>
    </row>
    <row r="426" spans="1:8" ht="31.5" customHeight="1">
      <c r="A426" s="59">
        <v>502645</v>
      </c>
      <c r="B426" s="51" t="s">
        <v>735</v>
      </c>
      <c r="C426" s="52" t="s">
        <v>950</v>
      </c>
      <c r="D426" s="53">
        <v>13.12</v>
      </c>
      <c r="E426" s="53">
        <v>0</v>
      </c>
      <c r="F426" s="53">
        <v>309.82</v>
      </c>
      <c r="G426" s="53">
        <v>322.94</v>
      </c>
      <c r="H426" s="52" t="s">
        <v>25903</v>
      </c>
    </row>
    <row r="427" spans="1:8" ht="15.75" customHeight="1">
      <c r="A427" s="59">
        <v>502646</v>
      </c>
      <c r="B427" s="51" t="s">
        <v>736</v>
      </c>
      <c r="C427" s="52" t="s">
        <v>950</v>
      </c>
      <c r="D427" s="53">
        <v>65.28</v>
      </c>
      <c r="E427" s="53">
        <v>0</v>
      </c>
      <c r="F427" s="53">
        <v>313.14</v>
      </c>
      <c r="G427" s="53">
        <v>378.42</v>
      </c>
      <c r="H427" s="52" t="s">
        <v>25903</v>
      </c>
    </row>
    <row r="428" spans="1:8" ht="15.75" customHeight="1">
      <c r="A428" s="59">
        <v>500501</v>
      </c>
      <c r="B428" s="51" t="s">
        <v>737</v>
      </c>
      <c r="C428" s="52" t="s">
        <v>950</v>
      </c>
      <c r="D428" s="53">
        <v>14.57</v>
      </c>
      <c r="E428" s="53">
        <v>160.13</v>
      </c>
      <c r="F428" s="53">
        <v>0</v>
      </c>
      <c r="G428" s="53">
        <v>174.7</v>
      </c>
      <c r="H428" s="52" t="s">
        <v>25903</v>
      </c>
    </row>
    <row r="429" spans="1:8" ht="15.75" customHeight="1">
      <c r="A429" s="59">
        <v>501501</v>
      </c>
      <c r="B429" s="51" t="s">
        <v>738</v>
      </c>
      <c r="C429" s="52" t="s">
        <v>950</v>
      </c>
      <c r="D429" s="53">
        <v>14.57</v>
      </c>
      <c r="E429" s="53">
        <v>284.7</v>
      </c>
      <c r="F429" s="53">
        <v>0</v>
      </c>
      <c r="G429" s="53">
        <v>299.27</v>
      </c>
      <c r="H429" s="52" t="s">
        <v>25903</v>
      </c>
    </row>
    <row r="430" spans="1:8" ht="15.75" customHeight="1">
      <c r="A430" s="59">
        <v>500045</v>
      </c>
      <c r="B430" s="51" t="s">
        <v>739</v>
      </c>
      <c r="C430" s="52" t="s">
        <v>950</v>
      </c>
      <c r="D430" s="53">
        <v>14.57</v>
      </c>
      <c r="E430" s="53">
        <v>295.25</v>
      </c>
      <c r="F430" s="53">
        <v>0</v>
      </c>
      <c r="G430" s="53">
        <v>309.82</v>
      </c>
      <c r="H430" s="52" t="s">
        <v>25903</v>
      </c>
    </row>
    <row r="431" spans="1:8" ht="15.75" customHeight="1">
      <c r="A431" s="59">
        <v>501509</v>
      </c>
      <c r="B431" s="51" t="s">
        <v>740</v>
      </c>
      <c r="C431" s="52" t="s">
        <v>950</v>
      </c>
      <c r="D431" s="53">
        <v>14.57</v>
      </c>
      <c r="E431" s="53">
        <v>204.37</v>
      </c>
      <c r="F431" s="53">
        <v>0</v>
      </c>
      <c r="G431" s="53">
        <v>218.94</v>
      </c>
      <c r="H431" s="52" t="s">
        <v>25903</v>
      </c>
    </row>
    <row r="432" spans="1:8">
      <c r="A432" s="66"/>
      <c r="B432" s="66" t="s">
        <v>92</v>
      </c>
      <c r="C432" s="67" t="s">
        <v>195</v>
      </c>
      <c r="D432" s="67"/>
      <c r="E432" s="67"/>
      <c r="F432" s="67"/>
      <c r="G432" s="67"/>
      <c r="H432" s="69" t="s">
        <v>195</v>
      </c>
    </row>
    <row r="433" spans="1:8" ht="15.75" customHeight="1">
      <c r="A433" s="59">
        <v>722500</v>
      </c>
      <c r="B433" s="51" t="s">
        <v>741</v>
      </c>
      <c r="C433" s="52" t="s">
        <v>950</v>
      </c>
      <c r="D433" s="53">
        <v>220.12</v>
      </c>
      <c r="E433" s="53">
        <v>668.96</v>
      </c>
      <c r="F433" s="53">
        <v>0</v>
      </c>
      <c r="G433" s="53">
        <v>889.08</v>
      </c>
      <c r="H433" s="52" t="s">
        <v>25903</v>
      </c>
    </row>
    <row r="434" spans="1:8" ht="15.75" customHeight="1">
      <c r="A434" s="59">
        <v>706400</v>
      </c>
      <c r="B434" s="51" t="s">
        <v>533</v>
      </c>
      <c r="C434" s="52" t="s">
        <v>327</v>
      </c>
      <c r="D434" s="53">
        <v>9.74</v>
      </c>
      <c r="E434" s="53">
        <v>8.68</v>
      </c>
      <c r="F434" s="53">
        <v>0</v>
      </c>
      <c r="G434" s="53">
        <v>18.420000000000002</v>
      </c>
      <c r="H434" s="68"/>
    </row>
    <row r="435" spans="1:8" ht="15.75" customHeight="1">
      <c r="A435" s="59">
        <v>730000</v>
      </c>
      <c r="B435" s="51" t="s">
        <v>225</v>
      </c>
      <c r="C435" s="52" t="s">
        <v>327</v>
      </c>
      <c r="D435" s="53">
        <v>9.74</v>
      </c>
      <c r="E435" s="53">
        <v>9.27</v>
      </c>
      <c r="F435" s="53">
        <v>0</v>
      </c>
      <c r="G435" s="53">
        <v>19.010000000000002</v>
      </c>
      <c r="H435" s="68"/>
    </row>
    <row r="436" spans="1:8" ht="15.75" customHeight="1">
      <c r="A436" s="59">
        <v>730600</v>
      </c>
      <c r="B436" s="51" t="s">
        <v>226</v>
      </c>
      <c r="C436" s="52" t="s">
        <v>327</v>
      </c>
      <c r="D436" s="53">
        <v>9.74</v>
      </c>
      <c r="E436" s="53">
        <v>11.17</v>
      </c>
      <c r="F436" s="53">
        <v>0</v>
      </c>
      <c r="G436" s="53">
        <v>20.91</v>
      </c>
      <c r="H436" s="68"/>
    </row>
    <row r="437" spans="1:8" ht="15.75" customHeight="1">
      <c r="A437" s="59">
        <v>708000</v>
      </c>
      <c r="B437" s="51" t="s">
        <v>742</v>
      </c>
      <c r="C437" s="52" t="s">
        <v>327</v>
      </c>
      <c r="D437" s="53">
        <v>51.42</v>
      </c>
      <c r="E437" s="53">
        <v>130.12</v>
      </c>
      <c r="F437" s="53">
        <v>0</v>
      </c>
      <c r="G437" s="53">
        <v>181.54</v>
      </c>
      <c r="H437" s="68"/>
    </row>
    <row r="438" spans="1:8" ht="15.75" customHeight="1">
      <c r="A438" s="59">
        <v>744000</v>
      </c>
      <c r="B438" s="51" t="s">
        <v>535</v>
      </c>
      <c r="C438" s="52" t="s">
        <v>950</v>
      </c>
      <c r="D438" s="53">
        <v>150.9</v>
      </c>
      <c r="E438" s="53">
        <v>141.02000000000001</v>
      </c>
      <c r="F438" s="53">
        <v>0</v>
      </c>
      <c r="G438" s="53">
        <v>291.92</v>
      </c>
      <c r="H438" s="52" t="s">
        <v>25903</v>
      </c>
    </row>
    <row r="439" spans="1:8" ht="15.75" customHeight="1">
      <c r="A439" s="59">
        <v>713200</v>
      </c>
      <c r="B439" s="51" t="s">
        <v>743</v>
      </c>
      <c r="C439" s="52" t="s">
        <v>951</v>
      </c>
      <c r="D439" s="53">
        <v>88.61</v>
      </c>
      <c r="E439" s="53">
        <v>49.11</v>
      </c>
      <c r="F439" s="53">
        <v>0.37</v>
      </c>
      <c r="G439" s="53">
        <v>138.09</v>
      </c>
      <c r="H439" s="68"/>
    </row>
    <row r="440" spans="1:8" ht="15.75" customHeight="1">
      <c r="A440" s="59">
        <v>707000</v>
      </c>
      <c r="B440" s="51" t="s">
        <v>744</v>
      </c>
      <c r="C440" s="52" t="s">
        <v>951</v>
      </c>
      <c r="D440" s="53">
        <v>55.83</v>
      </c>
      <c r="E440" s="53">
        <v>0</v>
      </c>
      <c r="F440" s="53">
        <v>0</v>
      </c>
      <c r="G440" s="53">
        <v>55.83</v>
      </c>
      <c r="H440" s="68"/>
    </row>
    <row r="441" spans="1:8" ht="15.75" customHeight="1">
      <c r="A441" s="59">
        <v>756000</v>
      </c>
      <c r="B441" s="51" t="s">
        <v>745</v>
      </c>
      <c r="C441" s="52" t="s">
        <v>327</v>
      </c>
      <c r="D441" s="53">
        <v>29.57</v>
      </c>
      <c r="E441" s="53">
        <v>32</v>
      </c>
      <c r="F441" s="53">
        <v>0</v>
      </c>
      <c r="G441" s="53">
        <v>61.57</v>
      </c>
      <c r="H441" s="68"/>
    </row>
    <row r="442" spans="1:8" ht="15.75" customHeight="1">
      <c r="A442" s="59">
        <v>745000</v>
      </c>
      <c r="B442" s="51" t="s">
        <v>231</v>
      </c>
      <c r="C442" s="52" t="s">
        <v>950</v>
      </c>
      <c r="D442" s="53">
        <v>202.1</v>
      </c>
      <c r="E442" s="53">
        <v>321.10000000000002</v>
      </c>
      <c r="F442" s="53">
        <v>0</v>
      </c>
      <c r="G442" s="53">
        <v>523.20000000000005</v>
      </c>
      <c r="H442" s="52" t="s">
        <v>25903</v>
      </c>
    </row>
    <row r="443" spans="1:8" ht="15.75" customHeight="1">
      <c r="A443" s="59">
        <v>741000</v>
      </c>
      <c r="B443" s="51" t="s">
        <v>557</v>
      </c>
      <c r="C443" s="52" t="s">
        <v>950</v>
      </c>
      <c r="D443" s="53">
        <v>31.1</v>
      </c>
      <c r="E443" s="53">
        <v>17.989999999999998</v>
      </c>
      <c r="F443" s="53">
        <v>329.81</v>
      </c>
      <c r="G443" s="53">
        <v>378.9</v>
      </c>
      <c r="H443" s="52" t="s">
        <v>25903</v>
      </c>
    </row>
    <row r="444" spans="1:8" ht="15.75" customHeight="1">
      <c r="A444" s="59">
        <v>741550</v>
      </c>
      <c r="B444" s="51" t="s">
        <v>558</v>
      </c>
      <c r="C444" s="52" t="s">
        <v>950</v>
      </c>
      <c r="D444" s="53">
        <v>31.1</v>
      </c>
      <c r="E444" s="53">
        <v>17.989999999999998</v>
      </c>
      <c r="F444" s="53">
        <v>352.27</v>
      </c>
      <c r="G444" s="53">
        <v>401.36</v>
      </c>
      <c r="H444" s="52" t="s">
        <v>25903</v>
      </c>
    </row>
    <row r="445" spans="1:8" ht="15.75" customHeight="1">
      <c r="A445" s="59">
        <v>741100</v>
      </c>
      <c r="B445" s="51" t="s">
        <v>560</v>
      </c>
      <c r="C445" s="52" t="s">
        <v>950</v>
      </c>
      <c r="D445" s="53">
        <v>223.68</v>
      </c>
      <c r="E445" s="53">
        <v>247.48</v>
      </c>
      <c r="F445" s="53">
        <v>0</v>
      </c>
      <c r="G445" s="53">
        <v>471.16</v>
      </c>
      <c r="H445" s="52" t="s">
        <v>25903</v>
      </c>
    </row>
    <row r="446" spans="1:8" ht="15.75" customHeight="1">
      <c r="A446" s="59">
        <v>741500</v>
      </c>
      <c r="B446" s="51" t="s">
        <v>561</v>
      </c>
      <c r="C446" s="52" t="s">
        <v>950</v>
      </c>
      <c r="D446" s="53">
        <v>223.68</v>
      </c>
      <c r="E446" s="53">
        <v>279.57</v>
      </c>
      <c r="F446" s="53">
        <v>0</v>
      </c>
      <c r="G446" s="53">
        <v>503.25</v>
      </c>
      <c r="H446" s="52" t="s">
        <v>25903</v>
      </c>
    </row>
    <row r="447" spans="1:8" ht="15.75" customHeight="1">
      <c r="A447" s="59">
        <v>741800</v>
      </c>
      <c r="B447" s="51" t="s">
        <v>562</v>
      </c>
      <c r="C447" s="52" t="s">
        <v>950</v>
      </c>
      <c r="D447" s="53">
        <v>223.68</v>
      </c>
      <c r="E447" s="53">
        <v>287.20999999999998</v>
      </c>
      <c r="F447" s="53">
        <v>0</v>
      </c>
      <c r="G447" s="53">
        <v>510.89</v>
      </c>
      <c r="H447" s="52" t="s">
        <v>25903</v>
      </c>
    </row>
    <row r="448" spans="1:8" ht="15.75" customHeight="1">
      <c r="A448" s="59">
        <v>742000</v>
      </c>
      <c r="B448" s="51" t="s">
        <v>228</v>
      </c>
      <c r="C448" s="52" t="s">
        <v>950</v>
      </c>
      <c r="D448" s="53">
        <v>223.68</v>
      </c>
      <c r="E448" s="53">
        <v>308.95999999999998</v>
      </c>
      <c r="F448" s="53">
        <v>0</v>
      </c>
      <c r="G448" s="53">
        <v>532.64</v>
      </c>
      <c r="H448" s="52" t="s">
        <v>25903</v>
      </c>
    </row>
    <row r="449" spans="1:8" ht="15.75" customHeight="1">
      <c r="A449" s="59">
        <v>742200</v>
      </c>
      <c r="B449" s="51" t="s">
        <v>563</v>
      </c>
      <c r="C449" s="52" t="s">
        <v>950</v>
      </c>
      <c r="D449" s="53">
        <v>223.68</v>
      </c>
      <c r="E449" s="53">
        <v>320.97000000000003</v>
      </c>
      <c r="F449" s="53">
        <v>0</v>
      </c>
      <c r="G449" s="53">
        <v>544.65</v>
      </c>
      <c r="H449" s="52" t="s">
        <v>25903</v>
      </c>
    </row>
    <row r="450" spans="1:8" ht="15.75" customHeight="1">
      <c r="A450" s="59">
        <v>742400</v>
      </c>
      <c r="B450" s="51" t="s">
        <v>564</v>
      </c>
      <c r="C450" s="52" t="s">
        <v>950</v>
      </c>
      <c r="D450" s="53">
        <v>223.68</v>
      </c>
      <c r="E450" s="53">
        <v>331.57</v>
      </c>
      <c r="F450" s="53">
        <v>0</v>
      </c>
      <c r="G450" s="53">
        <v>555.25</v>
      </c>
      <c r="H450" s="52" t="s">
        <v>25903</v>
      </c>
    </row>
    <row r="451" spans="1:8" ht="15.75" customHeight="1">
      <c r="A451" s="59">
        <v>742500</v>
      </c>
      <c r="B451" s="51" t="s">
        <v>565</v>
      </c>
      <c r="C451" s="52" t="s">
        <v>950</v>
      </c>
      <c r="D451" s="53">
        <v>223.68</v>
      </c>
      <c r="E451" s="53">
        <v>334.4</v>
      </c>
      <c r="F451" s="53">
        <v>0</v>
      </c>
      <c r="G451" s="53">
        <v>558.08000000000004</v>
      </c>
      <c r="H451" s="52" t="s">
        <v>25903</v>
      </c>
    </row>
    <row r="452" spans="1:8" ht="15.75" customHeight="1">
      <c r="A452" s="59">
        <v>742800</v>
      </c>
      <c r="B452" s="51" t="s">
        <v>746</v>
      </c>
      <c r="C452" s="52" t="s">
        <v>950</v>
      </c>
      <c r="D452" s="53">
        <v>223.68</v>
      </c>
      <c r="E452" s="53">
        <v>345.98</v>
      </c>
      <c r="F452" s="53">
        <v>0</v>
      </c>
      <c r="G452" s="53">
        <v>569.66</v>
      </c>
      <c r="H452" s="52" t="s">
        <v>25903</v>
      </c>
    </row>
    <row r="453" spans="1:8" ht="15.75" customHeight="1">
      <c r="A453" s="59">
        <v>743000</v>
      </c>
      <c r="B453" s="51" t="s">
        <v>566</v>
      </c>
      <c r="C453" s="52" t="s">
        <v>950</v>
      </c>
      <c r="D453" s="53">
        <v>223.68</v>
      </c>
      <c r="E453" s="53">
        <v>357.72</v>
      </c>
      <c r="F453" s="53">
        <v>0</v>
      </c>
      <c r="G453" s="53">
        <v>581.4</v>
      </c>
      <c r="H453" s="52" t="s">
        <v>25903</v>
      </c>
    </row>
    <row r="454" spans="1:8" ht="15.75" customHeight="1">
      <c r="A454" s="59">
        <v>743200</v>
      </c>
      <c r="B454" s="51" t="s">
        <v>567</v>
      </c>
      <c r="C454" s="52" t="s">
        <v>950</v>
      </c>
      <c r="D454" s="53">
        <v>223.68</v>
      </c>
      <c r="E454" s="53">
        <v>374.39</v>
      </c>
      <c r="F454" s="53">
        <v>0</v>
      </c>
      <c r="G454" s="53">
        <v>598.07000000000005</v>
      </c>
      <c r="H454" s="52" t="s">
        <v>25903</v>
      </c>
    </row>
    <row r="455" spans="1:8" ht="15.75" customHeight="1">
      <c r="A455" s="59">
        <v>743500</v>
      </c>
      <c r="B455" s="51" t="s">
        <v>747</v>
      </c>
      <c r="C455" s="52" t="s">
        <v>950</v>
      </c>
      <c r="D455" s="53">
        <v>223.68</v>
      </c>
      <c r="E455" s="53">
        <v>394.49</v>
      </c>
      <c r="F455" s="53">
        <v>0</v>
      </c>
      <c r="G455" s="53">
        <v>618.16999999999996</v>
      </c>
      <c r="H455" s="52" t="s">
        <v>25903</v>
      </c>
    </row>
    <row r="456" spans="1:8" ht="15.75" customHeight="1">
      <c r="A456" s="59">
        <v>740000</v>
      </c>
      <c r="B456" s="51" t="s">
        <v>227</v>
      </c>
      <c r="C456" s="52" t="s">
        <v>950</v>
      </c>
      <c r="D456" s="53">
        <v>223.68</v>
      </c>
      <c r="E456" s="53">
        <v>201.57</v>
      </c>
      <c r="F456" s="53">
        <v>0</v>
      </c>
      <c r="G456" s="53">
        <v>425.25</v>
      </c>
      <c r="H456" s="52" t="s">
        <v>25903</v>
      </c>
    </row>
    <row r="457" spans="1:8" ht="15.75" customHeight="1">
      <c r="A457" s="59">
        <v>706500</v>
      </c>
      <c r="B457" s="51" t="s">
        <v>291</v>
      </c>
      <c r="C457" s="52" t="s">
        <v>950</v>
      </c>
      <c r="D457" s="53">
        <v>182.46</v>
      </c>
      <c r="E457" s="53">
        <v>0</v>
      </c>
      <c r="F457" s="53">
        <v>0</v>
      </c>
      <c r="G457" s="53">
        <v>182.46</v>
      </c>
      <c r="H457" s="68"/>
    </row>
    <row r="458" spans="1:8" ht="15.75" customHeight="1">
      <c r="A458" s="59">
        <v>706600</v>
      </c>
      <c r="B458" s="51" t="s">
        <v>292</v>
      </c>
      <c r="C458" s="52" t="s">
        <v>950</v>
      </c>
      <c r="D458" s="53">
        <v>305.38</v>
      </c>
      <c r="E458" s="53">
        <v>4.1500000000000004</v>
      </c>
      <c r="F458" s="53">
        <v>0</v>
      </c>
      <c r="G458" s="53">
        <v>309.52999999999997</v>
      </c>
      <c r="H458" s="68"/>
    </row>
    <row r="459" spans="1:8" ht="15.75" customHeight="1">
      <c r="A459" s="59">
        <v>706700</v>
      </c>
      <c r="B459" s="51" t="s">
        <v>293</v>
      </c>
      <c r="C459" s="52" t="s">
        <v>950</v>
      </c>
      <c r="D459" s="53">
        <v>145.55000000000001</v>
      </c>
      <c r="E459" s="53">
        <v>2.4900000000000002</v>
      </c>
      <c r="F459" s="53">
        <v>0</v>
      </c>
      <c r="G459" s="53">
        <v>148.04</v>
      </c>
      <c r="H459" s="68"/>
    </row>
    <row r="460" spans="1:8" ht="15.75" customHeight="1">
      <c r="A460" s="59">
        <v>753400</v>
      </c>
      <c r="B460" s="51" t="s">
        <v>748</v>
      </c>
      <c r="C460" s="52" t="s">
        <v>952</v>
      </c>
      <c r="D460" s="53">
        <v>12.25</v>
      </c>
      <c r="E460" s="53">
        <v>43.46</v>
      </c>
      <c r="F460" s="53">
        <v>0</v>
      </c>
      <c r="G460" s="53">
        <v>55.71</v>
      </c>
      <c r="H460" s="68"/>
    </row>
    <row r="461" spans="1:8" ht="15.75" customHeight="1">
      <c r="A461" s="59">
        <v>754400</v>
      </c>
      <c r="B461" s="51" t="s">
        <v>749</v>
      </c>
      <c r="C461" s="52" t="s">
        <v>952</v>
      </c>
      <c r="D461" s="53">
        <v>12.25</v>
      </c>
      <c r="E461" s="53">
        <v>62.93</v>
      </c>
      <c r="F461" s="53">
        <v>0</v>
      </c>
      <c r="G461" s="53">
        <v>75.180000000000007</v>
      </c>
      <c r="H461" s="68"/>
    </row>
    <row r="462" spans="1:8" ht="15.75" customHeight="1">
      <c r="A462" s="59">
        <v>746000</v>
      </c>
      <c r="B462" s="51" t="s">
        <v>229</v>
      </c>
      <c r="C462" s="52" t="s">
        <v>950</v>
      </c>
      <c r="D462" s="53">
        <v>141.88999999999999</v>
      </c>
      <c r="E462" s="53">
        <v>71.98</v>
      </c>
      <c r="F462" s="53">
        <v>0</v>
      </c>
      <c r="G462" s="53">
        <v>213.87</v>
      </c>
      <c r="H462" s="52" t="s">
        <v>25903</v>
      </c>
    </row>
    <row r="463" spans="1:8" ht="15.75" customHeight="1">
      <c r="A463" s="59">
        <v>746100</v>
      </c>
      <c r="B463" s="51" t="s">
        <v>620</v>
      </c>
      <c r="C463" s="52" t="s">
        <v>950</v>
      </c>
      <c r="D463" s="53">
        <v>66.06</v>
      </c>
      <c r="E463" s="53">
        <v>59.99</v>
      </c>
      <c r="F463" s="53">
        <v>0</v>
      </c>
      <c r="G463" s="53">
        <v>126.05</v>
      </c>
      <c r="H463" s="52" t="s">
        <v>25903</v>
      </c>
    </row>
    <row r="464" spans="1:8" ht="15.75" customHeight="1">
      <c r="A464" s="59">
        <v>716100</v>
      </c>
      <c r="B464" s="51" t="s">
        <v>750</v>
      </c>
      <c r="C464" s="52" t="s">
        <v>951</v>
      </c>
      <c r="D464" s="53">
        <v>274.06</v>
      </c>
      <c r="E464" s="53">
        <v>343.52</v>
      </c>
      <c r="F464" s="53">
        <v>27.02</v>
      </c>
      <c r="G464" s="53">
        <v>644.6</v>
      </c>
      <c r="H464" s="68"/>
    </row>
    <row r="465" spans="1:8" ht="15.75" customHeight="1">
      <c r="A465" s="59">
        <v>716000</v>
      </c>
      <c r="B465" s="51" t="s">
        <v>751</v>
      </c>
      <c r="C465" s="52" t="s">
        <v>951</v>
      </c>
      <c r="D465" s="53">
        <v>201.36</v>
      </c>
      <c r="E465" s="53">
        <v>174.82</v>
      </c>
      <c r="F465" s="53">
        <v>27.02</v>
      </c>
      <c r="G465" s="53">
        <v>403.2</v>
      </c>
      <c r="H465" s="68"/>
    </row>
    <row r="466" spans="1:8" ht="15.75" customHeight="1">
      <c r="A466" s="59">
        <v>715100</v>
      </c>
      <c r="B466" s="51" t="s">
        <v>752</v>
      </c>
      <c r="C466" s="52" t="s">
        <v>951</v>
      </c>
      <c r="D466" s="53">
        <v>205.4</v>
      </c>
      <c r="E466" s="53">
        <v>193.22</v>
      </c>
      <c r="F466" s="53">
        <v>0</v>
      </c>
      <c r="G466" s="53">
        <v>398.62</v>
      </c>
      <c r="H466" s="68"/>
    </row>
    <row r="467" spans="1:8" ht="15.75" customHeight="1">
      <c r="A467" s="59">
        <v>715000</v>
      </c>
      <c r="B467" s="51" t="s">
        <v>753</v>
      </c>
      <c r="C467" s="52" t="s">
        <v>951</v>
      </c>
      <c r="D467" s="53">
        <v>135.29</v>
      </c>
      <c r="E467" s="53">
        <v>110.06</v>
      </c>
      <c r="F467" s="53">
        <v>0</v>
      </c>
      <c r="G467" s="53">
        <v>245.35</v>
      </c>
      <c r="H467" s="68"/>
    </row>
    <row r="468" spans="1:8" ht="15.75" customHeight="1">
      <c r="A468" s="59">
        <v>703100</v>
      </c>
      <c r="B468" s="51" t="s">
        <v>754</v>
      </c>
      <c r="C468" s="52" t="s">
        <v>950</v>
      </c>
      <c r="D468" s="53">
        <v>84.77</v>
      </c>
      <c r="E468" s="53">
        <v>0</v>
      </c>
      <c r="F468" s="53">
        <v>0</v>
      </c>
      <c r="G468" s="53">
        <v>84.77</v>
      </c>
      <c r="H468" s="68"/>
    </row>
    <row r="469" spans="1:8" ht="15.75" customHeight="1">
      <c r="A469" s="59">
        <v>703200</v>
      </c>
      <c r="B469" s="51" t="s">
        <v>755</v>
      </c>
      <c r="C469" s="52" t="s">
        <v>950</v>
      </c>
      <c r="D469" s="53">
        <v>101.29</v>
      </c>
      <c r="E469" s="53">
        <v>0</v>
      </c>
      <c r="F469" s="53">
        <v>0</v>
      </c>
      <c r="G469" s="53">
        <v>101.29</v>
      </c>
      <c r="H469" s="68"/>
    </row>
    <row r="470" spans="1:8" ht="15.75" customHeight="1">
      <c r="A470" s="59">
        <v>703300</v>
      </c>
      <c r="B470" s="51" t="s">
        <v>756</v>
      </c>
      <c r="C470" s="52" t="s">
        <v>950</v>
      </c>
      <c r="D470" s="53">
        <v>124.27</v>
      </c>
      <c r="E470" s="53">
        <v>93.24</v>
      </c>
      <c r="F470" s="53">
        <v>0</v>
      </c>
      <c r="G470" s="53">
        <v>217.51</v>
      </c>
      <c r="H470" s="68"/>
    </row>
    <row r="471" spans="1:8" ht="15.75" customHeight="1">
      <c r="A471" s="59">
        <v>702100</v>
      </c>
      <c r="B471" s="51" t="s">
        <v>757</v>
      </c>
      <c r="C471" s="52" t="s">
        <v>950</v>
      </c>
      <c r="D471" s="53">
        <v>49.54</v>
      </c>
      <c r="E471" s="53">
        <v>0</v>
      </c>
      <c r="F471" s="53">
        <v>0</v>
      </c>
      <c r="G471" s="53">
        <v>49.54</v>
      </c>
      <c r="H471" s="68"/>
    </row>
    <row r="472" spans="1:8" ht="15.75" customHeight="1">
      <c r="A472" s="59">
        <v>702200</v>
      </c>
      <c r="B472" s="51" t="s">
        <v>758</v>
      </c>
      <c r="C472" s="52" t="s">
        <v>950</v>
      </c>
      <c r="D472" s="53">
        <v>66.06</v>
      </c>
      <c r="E472" s="53">
        <v>0</v>
      </c>
      <c r="F472" s="53">
        <v>0</v>
      </c>
      <c r="G472" s="53">
        <v>66.06</v>
      </c>
      <c r="H472" s="68"/>
    </row>
    <row r="473" spans="1:8" ht="15.75" customHeight="1">
      <c r="A473" s="59">
        <v>702300</v>
      </c>
      <c r="B473" s="51" t="s">
        <v>759</v>
      </c>
      <c r="C473" s="52" t="s">
        <v>950</v>
      </c>
      <c r="D473" s="53">
        <v>119.67</v>
      </c>
      <c r="E473" s="53">
        <v>93.24</v>
      </c>
      <c r="F473" s="53">
        <v>0</v>
      </c>
      <c r="G473" s="53">
        <v>212.91</v>
      </c>
      <c r="H473" s="68"/>
    </row>
    <row r="474" spans="1:8" ht="15.75" customHeight="1">
      <c r="A474" s="59">
        <v>704100</v>
      </c>
      <c r="B474" s="51" t="s">
        <v>760</v>
      </c>
      <c r="C474" s="52" t="s">
        <v>950</v>
      </c>
      <c r="D474" s="55">
        <v>2065.06</v>
      </c>
      <c r="E474" s="53">
        <v>0</v>
      </c>
      <c r="F474" s="53">
        <v>0</v>
      </c>
      <c r="G474" s="55">
        <v>2065.06</v>
      </c>
      <c r="H474" s="68"/>
    </row>
    <row r="475" spans="1:8" ht="15.75" customHeight="1">
      <c r="A475" s="59">
        <v>704200</v>
      </c>
      <c r="B475" s="51" t="s">
        <v>761</v>
      </c>
      <c r="C475" s="52" t="s">
        <v>950</v>
      </c>
      <c r="D475" s="55">
        <v>2753.41</v>
      </c>
      <c r="E475" s="53">
        <v>0</v>
      </c>
      <c r="F475" s="53">
        <v>0</v>
      </c>
      <c r="G475" s="55">
        <v>2753.41</v>
      </c>
      <c r="H475" s="68"/>
    </row>
    <row r="476" spans="1:8" ht="15.75" customHeight="1">
      <c r="A476" s="59">
        <v>704300</v>
      </c>
      <c r="B476" s="51" t="s">
        <v>762</v>
      </c>
      <c r="C476" s="52" t="s">
        <v>950</v>
      </c>
      <c r="D476" s="55">
        <v>4588.3</v>
      </c>
      <c r="E476" s="53">
        <v>0</v>
      </c>
      <c r="F476" s="53">
        <v>0</v>
      </c>
      <c r="G476" s="55">
        <v>4588.3</v>
      </c>
      <c r="H476" s="68"/>
    </row>
    <row r="477" spans="1:8" ht="15.75" customHeight="1">
      <c r="A477" s="59">
        <v>701100</v>
      </c>
      <c r="B477" s="51" t="s">
        <v>262</v>
      </c>
      <c r="C477" s="52" t="s">
        <v>950</v>
      </c>
      <c r="D477" s="53">
        <v>11.83</v>
      </c>
      <c r="E477" s="53">
        <v>0</v>
      </c>
      <c r="F477" s="53">
        <v>0</v>
      </c>
      <c r="G477" s="53">
        <v>11.83</v>
      </c>
      <c r="H477" s="68"/>
    </row>
    <row r="478" spans="1:8" ht="15.75" customHeight="1">
      <c r="A478" s="59">
        <v>701200</v>
      </c>
      <c r="B478" s="51" t="s">
        <v>763</v>
      </c>
      <c r="C478" s="52" t="s">
        <v>950</v>
      </c>
      <c r="D478" s="53">
        <v>12.15</v>
      </c>
      <c r="E478" s="53">
        <v>0</v>
      </c>
      <c r="F478" s="53">
        <v>0</v>
      </c>
      <c r="G478" s="53">
        <v>12.15</v>
      </c>
      <c r="H478" s="68"/>
    </row>
    <row r="479" spans="1:8" ht="15.75" customHeight="1">
      <c r="A479" s="59">
        <v>701300</v>
      </c>
      <c r="B479" s="51" t="s">
        <v>764</v>
      </c>
      <c r="C479" s="52" t="s">
        <v>950</v>
      </c>
      <c r="D479" s="53">
        <v>30.71</v>
      </c>
      <c r="E479" s="53">
        <v>93.24</v>
      </c>
      <c r="F479" s="53">
        <v>0</v>
      </c>
      <c r="G479" s="53">
        <v>123.95</v>
      </c>
      <c r="H479" s="68"/>
    </row>
    <row r="480" spans="1:8" ht="15.75" customHeight="1">
      <c r="A480" s="59">
        <v>712100</v>
      </c>
      <c r="B480" s="51" t="s">
        <v>765</v>
      </c>
      <c r="C480" s="52" t="s">
        <v>951</v>
      </c>
      <c r="D480" s="53">
        <v>76.040000000000006</v>
      </c>
      <c r="E480" s="53">
        <v>35.119999999999997</v>
      </c>
      <c r="F480" s="53">
        <v>0</v>
      </c>
      <c r="G480" s="53">
        <v>111.16</v>
      </c>
      <c r="H480" s="68"/>
    </row>
    <row r="481" spans="1:8" ht="15.75" customHeight="1">
      <c r="A481" s="59">
        <v>712000</v>
      </c>
      <c r="B481" s="51" t="s">
        <v>766</v>
      </c>
      <c r="C481" s="52" t="s">
        <v>950</v>
      </c>
      <c r="D481" s="53">
        <v>98.88</v>
      </c>
      <c r="E481" s="53">
        <v>35.75</v>
      </c>
      <c r="F481" s="53">
        <v>0</v>
      </c>
      <c r="G481" s="53">
        <v>134.63</v>
      </c>
      <c r="H481" s="68"/>
    </row>
    <row r="482" spans="1:8" ht="15.75" customHeight="1">
      <c r="A482" s="59">
        <v>712200</v>
      </c>
      <c r="B482" s="51" t="s">
        <v>767</v>
      </c>
      <c r="C482" s="52" t="s">
        <v>950</v>
      </c>
      <c r="D482" s="53">
        <v>45.09</v>
      </c>
      <c r="E482" s="53">
        <v>35.29</v>
      </c>
      <c r="F482" s="53">
        <v>0</v>
      </c>
      <c r="G482" s="53">
        <v>80.38</v>
      </c>
      <c r="H482" s="68"/>
    </row>
    <row r="483" spans="1:8" ht="15.75" customHeight="1">
      <c r="A483" s="59">
        <v>713000</v>
      </c>
      <c r="B483" s="51" t="s">
        <v>768</v>
      </c>
      <c r="C483" s="52" t="s">
        <v>950</v>
      </c>
      <c r="D483" s="53">
        <v>45.09</v>
      </c>
      <c r="E483" s="53">
        <v>35.29</v>
      </c>
      <c r="F483" s="53">
        <v>0</v>
      </c>
      <c r="G483" s="53">
        <v>80.38</v>
      </c>
      <c r="H483" s="68"/>
    </row>
    <row r="484" spans="1:8" ht="15.75" customHeight="1">
      <c r="A484" s="59">
        <v>711000</v>
      </c>
      <c r="B484" s="51" t="s">
        <v>224</v>
      </c>
      <c r="C484" s="52" t="s">
        <v>951</v>
      </c>
      <c r="D484" s="53">
        <v>45.47</v>
      </c>
      <c r="E484" s="53">
        <v>37.46</v>
      </c>
      <c r="F484" s="53">
        <v>0</v>
      </c>
      <c r="G484" s="53">
        <v>82.93</v>
      </c>
      <c r="H484" s="68"/>
    </row>
    <row r="485" spans="1:8" ht="15.75" customHeight="1">
      <c r="A485" s="59">
        <v>720000</v>
      </c>
      <c r="B485" s="51" t="s">
        <v>769</v>
      </c>
      <c r="C485" s="52" t="s">
        <v>328</v>
      </c>
      <c r="D485" s="53">
        <v>278.3</v>
      </c>
      <c r="E485" s="53">
        <v>497.38</v>
      </c>
      <c r="F485" s="53">
        <v>0</v>
      </c>
      <c r="G485" s="53">
        <v>775.68</v>
      </c>
      <c r="H485" s="52" t="s">
        <v>25903</v>
      </c>
    </row>
    <row r="486" spans="1:8" ht="15.75" customHeight="1">
      <c r="A486" s="59">
        <v>720100</v>
      </c>
      <c r="B486" s="51" t="s">
        <v>770</v>
      </c>
      <c r="C486" s="52" t="s">
        <v>328</v>
      </c>
      <c r="D486" s="53">
        <v>309.22000000000003</v>
      </c>
      <c r="E486" s="53">
        <v>746.08</v>
      </c>
      <c r="F486" s="53">
        <v>0</v>
      </c>
      <c r="G486" s="55">
        <v>1055.3</v>
      </c>
      <c r="H486" s="52" t="s">
        <v>25903</v>
      </c>
    </row>
    <row r="487" spans="1:8" ht="15.75" customHeight="1">
      <c r="A487" s="59">
        <v>757000</v>
      </c>
      <c r="B487" s="51" t="s">
        <v>771</v>
      </c>
      <c r="C487" s="52" t="s">
        <v>328</v>
      </c>
      <c r="D487" s="53">
        <v>69.36</v>
      </c>
      <c r="E487" s="53">
        <v>144.22</v>
      </c>
      <c r="F487" s="53">
        <v>52.32</v>
      </c>
      <c r="G487" s="53">
        <v>265.89999999999998</v>
      </c>
      <c r="H487" s="52" t="s">
        <v>25903</v>
      </c>
    </row>
    <row r="488" spans="1:8" ht="15.75" customHeight="1">
      <c r="A488" s="59">
        <v>757200</v>
      </c>
      <c r="B488" s="51" t="s">
        <v>772</v>
      </c>
      <c r="C488" s="52" t="s">
        <v>952</v>
      </c>
      <c r="D488" s="53">
        <v>134.9</v>
      </c>
      <c r="E488" s="53">
        <v>19.96</v>
      </c>
      <c r="F488" s="53">
        <v>443.77</v>
      </c>
      <c r="G488" s="53">
        <v>598.63</v>
      </c>
      <c r="H488" s="52" t="s">
        <v>25903</v>
      </c>
    </row>
    <row r="489" spans="1:8" ht="15.75" customHeight="1">
      <c r="A489" s="59">
        <v>743900</v>
      </c>
      <c r="B489" s="51" t="s">
        <v>236</v>
      </c>
      <c r="C489" s="52" t="s">
        <v>950</v>
      </c>
      <c r="D489" s="53">
        <v>66.06</v>
      </c>
      <c r="E489" s="53">
        <v>65.78</v>
      </c>
      <c r="F489" s="53">
        <v>0</v>
      </c>
      <c r="G489" s="53">
        <v>131.84</v>
      </c>
      <c r="H489" s="52" t="s">
        <v>25903</v>
      </c>
    </row>
    <row r="490" spans="1:8" ht="15.75" customHeight="1">
      <c r="A490" s="59">
        <v>707100</v>
      </c>
      <c r="B490" s="51" t="s">
        <v>773</v>
      </c>
      <c r="C490" s="52" t="s">
        <v>951</v>
      </c>
      <c r="D490" s="53">
        <v>15.72</v>
      </c>
      <c r="E490" s="53">
        <v>0</v>
      </c>
      <c r="F490" s="53">
        <v>0</v>
      </c>
      <c r="G490" s="53">
        <v>15.72</v>
      </c>
      <c r="H490" s="68"/>
    </row>
    <row r="491" spans="1:8" ht="15.75" customHeight="1">
      <c r="A491" s="59">
        <v>706100</v>
      </c>
      <c r="B491" s="51" t="s">
        <v>774</v>
      </c>
      <c r="C491" s="52" t="s">
        <v>328</v>
      </c>
      <c r="D491" s="53">
        <v>149.56</v>
      </c>
      <c r="E491" s="53">
        <v>0.97</v>
      </c>
      <c r="F491" s="53">
        <v>0</v>
      </c>
      <c r="G491" s="53">
        <v>150.53</v>
      </c>
      <c r="H491" s="68"/>
    </row>
    <row r="492" spans="1:8" ht="15.75" customHeight="1">
      <c r="A492" s="59">
        <v>706120</v>
      </c>
      <c r="B492" s="51" t="s">
        <v>775</v>
      </c>
      <c r="C492" s="52" t="s">
        <v>328</v>
      </c>
      <c r="D492" s="53">
        <v>175.37</v>
      </c>
      <c r="E492" s="53">
        <v>2.62</v>
      </c>
      <c r="F492" s="53">
        <v>0</v>
      </c>
      <c r="G492" s="53">
        <v>177.99</v>
      </c>
      <c r="H492" s="68"/>
    </row>
    <row r="493" spans="1:8" ht="15.75" customHeight="1">
      <c r="A493" s="59">
        <v>706160</v>
      </c>
      <c r="B493" s="51" t="s">
        <v>776</v>
      </c>
      <c r="C493" s="52" t="s">
        <v>328</v>
      </c>
      <c r="D493" s="53">
        <v>245.52</v>
      </c>
      <c r="E493" s="53">
        <v>3.66</v>
      </c>
      <c r="F493" s="53">
        <v>0</v>
      </c>
      <c r="G493" s="53">
        <v>249.18</v>
      </c>
      <c r="H493" s="68"/>
    </row>
    <row r="494" spans="1:8" ht="15.75" customHeight="1">
      <c r="A494" s="59">
        <v>706200</v>
      </c>
      <c r="B494" s="51" t="s">
        <v>777</v>
      </c>
      <c r="C494" s="52" t="s">
        <v>328</v>
      </c>
      <c r="D494" s="53">
        <v>306.89999999999998</v>
      </c>
      <c r="E494" s="53">
        <v>12.9</v>
      </c>
      <c r="F494" s="53">
        <v>0</v>
      </c>
      <c r="G494" s="53">
        <v>319.8</v>
      </c>
      <c r="H494" s="68"/>
    </row>
    <row r="495" spans="1:8" ht="15.75" customHeight="1">
      <c r="A495" s="59">
        <v>706250</v>
      </c>
      <c r="B495" s="51" t="s">
        <v>778</v>
      </c>
      <c r="C495" s="52" t="s">
        <v>328</v>
      </c>
      <c r="D495" s="53">
        <v>409.2</v>
      </c>
      <c r="E495" s="53">
        <v>14.51</v>
      </c>
      <c r="F495" s="53">
        <v>0</v>
      </c>
      <c r="G495" s="53">
        <v>423.71</v>
      </c>
      <c r="H495" s="68"/>
    </row>
    <row r="496" spans="1:8" ht="15.75" customHeight="1">
      <c r="A496" s="59">
        <v>706350</v>
      </c>
      <c r="B496" s="51" t="s">
        <v>779</v>
      </c>
      <c r="C496" s="52" t="s">
        <v>328</v>
      </c>
      <c r="D496" s="53">
        <v>412</v>
      </c>
      <c r="E496" s="53">
        <v>22.72</v>
      </c>
      <c r="F496" s="53">
        <v>0</v>
      </c>
      <c r="G496" s="53">
        <v>434.72</v>
      </c>
      <c r="H496" s="68"/>
    </row>
    <row r="497" spans="1:8" ht="15.75" customHeight="1">
      <c r="A497" s="59">
        <v>706000</v>
      </c>
      <c r="B497" s="51" t="s">
        <v>780</v>
      </c>
      <c r="C497" s="52" t="s">
        <v>328</v>
      </c>
      <c r="D497" s="53">
        <v>286.61</v>
      </c>
      <c r="E497" s="53">
        <v>20.75</v>
      </c>
      <c r="F497" s="53">
        <v>0</v>
      </c>
      <c r="G497" s="53">
        <v>307.36</v>
      </c>
      <c r="H497" s="68"/>
    </row>
    <row r="498" spans="1:8" ht="15.75" customHeight="1">
      <c r="A498" s="59">
        <v>758000</v>
      </c>
      <c r="B498" s="51" t="s">
        <v>781</v>
      </c>
      <c r="C498" s="52" t="s">
        <v>951</v>
      </c>
      <c r="D498" s="53">
        <v>12.07</v>
      </c>
      <c r="E498" s="53">
        <v>0.56000000000000005</v>
      </c>
      <c r="F498" s="53">
        <v>0</v>
      </c>
      <c r="G498" s="53">
        <v>12.63</v>
      </c>
      <c r="H498" s="52" t="s">
        <v>25903</v>
      </c>
    </row>
    <row r="499" spans="1:8" ht="15.75" customHeight="1">
      <c r="A499" s="59">
        <v>713100</v>
      </c>
      <c r="B499" s="51" t="s">
        <v>782</v>
      </c>
      <c r="C499" s="52" t="s">
        <v>951</v>
      </c>
      <c r="D499" s="53">
        <v>13.51</v>
      </c>
      <c r="E499" s="53">
        <v>21.52</v>
      </c>
      <c r="F499" s="53">
        <v>0</v>
      </c>
      <c r="G499" s="53">
        <v>35.03</v>
      </c>
      <c r="H499" s="68"/>
    </row>
    <row r="500" spans="1:8" ht="15.75" customHeight="1">
      <c r="A500" s="59">
        <v>705000</v>
      </c>
      <c r="B500" s="51" t="s">
        <v>234</v>
      </c>
      <c r="C500" s="52" t="s">
        <v>950</v>
      </c>
      <c r="D500" s="53">
        <v>34.119999999999997</v>
      </c>
      <c r="E500" s="53">
        <v>0</v>
      </c>
      <c r="F500" s="53">
        <v>0</v>
      </c>
      <c r="G500" s="53">
        <v>34.119999999999997</v>
      </c>
      <c r="H500" s="68"/>
    </row>
    <row r="501" spans="1:8">
      <c r="A501" s="66"/>
      <c r="B501" s="66" t="s">
        <v>377</v>
      </c>
      <c r="C501" s="67" t="s">
        <v>195</v>
      </c>
      <c r="D501" s="67"/>
      <c r="E501" s="67"/>
      <c r="F501" s="67"/>
      <c r="G501" s="67"/>
      <c r="H501" s="69" t="s">
        <v>195</v>
      </c>
    </row>
    <row r="502" spans="1:8" ht="15.75" customHeight="1">
      <c r="A502" s="59">
        <v>531020</v>
      </c>
      <c r="B502" s="51" t="s">
        <v>783</v>
      </c>
      <c r="C502" s="52" t="s">
        <v>950</v>
      </c>
      <c r="D502" s="53">
        <v>48.91</v>
      </c>
      <c r="E502" s="53">
        <v>0</v>
      </c>
      <c r="F502" s="53">
        <v>118.3</v>
      </c>
      <c r="G502" s="53">
        <v>167.21</v>
      </c>
      <c r="H502" s="52" t="s">
        <v>25903</v>
      </c>
    </row>
    <row r="503" spans="1:8" ht="15.75" customHeight="1">
      <c r="A503" s="59">
        <v>531030</v>
      </c>
      <c r="B503" s="51" t="s">
        <v>784</v>
      </c>
      <c r="C503" s="52" t="s">
        <v>950</v>
      </c>
      <c r="D503" s="53">
        <v>25.17</v>
      </c>
      <c r="E503" s="53">
        <v>0</v>
      </c>
      <c r="F503" s="53">
        <v>118.3</v>
      </c>
      <c r="G503" s="53">
        <v>143.47</v>
      </c>
      <c r="H503" s="52" t="s">
        <v>25903</v>
      </c>
    </row>
    <row r="504" spans="1:8" ht="15.75" customHeight="1">
      <c r="A504" s="59">
        <v>804300</v>
      </c>
      <c r="B504" s="51" t="s">
        <v>785</v>
      </c>
      <c r="C504" s="52" t="s">
        <v>951</v>
      </c>
      <c r="D504" s="53">
        <v>1.86</v>
      </c>
      <c r="E504" s="53">
        <v>0</v>
      </c>
      <c r="F504" s="53">
        <v>0</v>
      </c>
      <c r="G504" s="53">
        <v>1.86</v>
      </c>
      <c r="H504" s="68"/>
    </row>
    <row r="505" spans="1:8" ht="15.75" customHeight="1">
      <c r="A505" s="59">
        <v>570130</v>
      </c>
      <c r="B505" s="51" t="s">
        <v>786</v>
      </c>
      <c r="C505" s="52" t="s">
        <v>34</v>
      </c>
      <c r="D505" s="53">
        <v>55.04</v>
      </c>
      <c r="E505" s="53">
        <v>96.44</v>
      </c>
      <c r="F505" s="53">
        <v>0</v>
      </c>
      <c r="G505" s="53">
        <v>151.47999999999999</v>
      </c>
      <c r="H505" s="52" t="s">
        <v>25903</v>
      </c>
    </row>
    <row r="506" spans="1:8" ht="15.75" customHeight="1">
      <c r="A506" s="59">
        <v>570370</v>
      </c>
      <c r="B506" s="51" t="s">
        <v>787</v>
      </c>
      <c r="C506" s="52" t="s">
        <v>34</v>
      </c>
      <c r="D506" s="53">
        <v>85.49</v>
      </c>
      <c r="E506" s="53">
        <v>105.07</v>
      </c>
      <c r="F506" s="53">
        <v>0</v>
      </c>
      <c r="G506" s="53">
        <v>190.56</v>
      </c>
      <c r="H506" s="52" t="s">
        <v>25903</v>
      </c>
    </row>
    <row r="507" spans="1:8" ht="15.75" customHeight="1">
      <c r="A507" s="59">
        <v>570140</v>
      </c>
      <c r="B507" s="51" t="s">
        <v>788</v>
      </c>
      <c r="C507" s="52" t="s">
        <v>34</v>
      </c>
      <c r="D507" s="53">
        <v>129.83000000000001</v>
      </c>
      <c r="E507" s="53">
        <v>0</v>
      </c>
      <c r="F507" s="53">
        <v>151.47999999999999</v>
      </c>
      <c r="G507" s="53">
        <v>281.31</v>
      </c>
      <c r="H507" s="52" t="s">
        <v>25903</v>
      </c>
    </row>
    <row r="508" spans="1:8" ht="15.75" customHeight="1">
      <c r="A508" s="59">
        <v>570170</v>
      </c>
      <c r="B508" s="51" t="s">
        <v>789</v>
      </c>
      <c r="C508" s="52" t="s">
        <v>34</v>
      </c>
      <c r="D508" s="53">
        <v>57.53</v>
      </c>
      <c r="E508" s="53">
        <v>0</v>
      </c>
      <c r="F508" s="53">
        <v>151.47999999999999</v>
      </c>
      <c r="G508" s="53">
        <v>209.01</v>
      </c>
      <c r="H508" s="52" t="s">
        <v>25903</v>
      </c>
    </row>
    <row r="509" spans="1:8" ht="15.75" customHeight="1">
      <c r="A509" s="59">
        <v>512000</v>
      </c>
      <c r="B509" s="51" t="s">
        <v>790</v>
      </c>
      <c r="C509" s="52" t="s">
        <v>950</v>
      </c>
      <c r="D509" s="53">
        <v>60.19</v>
      </c>
      <c r="E509" s="53">
        <v>2.16</v>
      </c>
      <c r="F509" s="53">
        <v>0</v>
      </c>
      <c r="G509" s="53">
        <v>62.35</v>
      </c>
      <c r="H509" s="52" t="s">
        <v>25903</v>
      </c>
    </row>
    <row r="510" spans="1:8" ht="15.75" customHeight="1">
      <c r="A510" s="59">
        <v>512050</v>
      </c>
      <c r="B510" s="51" t="s">
        <v>265</v>
      </c>
      <c r="C510" s="52" t="s">
        <v>950</v>
      </c>
      <c r="D510" s="53">
        <v>41.9</v>
      </c>
      <c r="E510" s="53">
        <v>0</v>
      </c>
      <c r="F510" s="53">
        <v>0</v>
      </c>
      <c r="G510" s="53">
        <v>41.9</v>
      </c>
      <c r="H510" s="52" t="s">
        <v>25903</v>
      </c>
    </row>
    <row r="511" spans="1:8" ht="31.5" customHeight="1">
      <c r="A511" s="59">
        <v>601500</v>
      </c>
      <c r="B511" s="51" t="s">
        <v>791</v>
      </c>
      <c r="C511" s="52" t="s">
        <v>328</v>
      </c>
      <c r="D511" s="53">
        <v>5.15</v>
      </c>
      <c r="E511" s="53">
        <v>0</v>
      </c>
      <c r="F511" s="53">
        <v>0</v>
      </c>
      <c r="G511" s="53">
        <v>5.15</v>
      </c>
      <c r="H511" s="68"/>
    </row>
    <row r="512" spans="1:8" ht="15.75" customHeight="1">
      <c r="A512" s="59">
        <v>600420</v>
      </c>
      <c r="B512" s="51" t="s">
        <v>792</v>
      </c>
      <c r="C512" s="52" t="s">
        <v>328</v>
      </c>
      <c r="D512" s="53">
        <v>15.71</v>
      </c>
      <c r="E512" s="53">
        <v>0</v>
      </c>
      <c r="F512" s="53">
        <v>0</v>
      </c>
      <c r="G512" s="53">
        <v>15.71</v>
      </c>
      <c r="H512" s="68"/>
    </row>
    <row r="513" spans="1:8" ht="47.25" customHeight="1">
      <c r="A513" s="59">
        <v>641560</v>
      </c>
      <c r="B513" s="54" t="s">
        <v>793</v>
      </c>
      <c r="C513" s="52" t="s">
        <v>328</v>
      </c>
      <c r="D513" s="53">
        <v>58.96</v>
      </c>
      <c r="E513" s="53">
        <v>43.1</v>
      </c>
      <c r="F513" s="53">
        <v>5.45</v>
      </c>
      <c r="G513" s="53">
        <v>107.51</v>
      </c>
      <c r="H513" s="52" t="s">
        <v>25903</v>
      </c>
    </row>
    <row r="514" spans="1:8" ht="31.5" customHeight="1">
      <c r="A514" s="59">
        <v>641330</v>
      </c>
      <c r="B514" s="51" t="s">
        <v>794</v>
      </c>
      <c r="C514" s="52" t="s">
        <v>328</v>
      </c>
      <c r="D514" s="53">
        <v>39.01</v>
      </c>
      <c r="E514" s="53">
        <v>4.82</v>
      </c>
      <c r="F514" s="53">
        <v>4.72</v>
      </c>
      <c r="G514" s="53">
        <v>48.55</v>
      </c>
      <c r="H514" s="52" t="s">
        <v>25903</v>
      </c>
    </row>
    <row r="515" spans="1:8" ht="15.75" customHeight="1">
      <c r="A515" s="59">
        <v>601600</v>
      </c>
      <c r="B515" s="51" t="s">
        <v>795</v>
      </c>
      <c r="C515" s="52" t="s">
        <v>950</v>
      </c>
      <c r="D515" s="53">
        <v>79.92</v>
      </c>
      <c r="E515" s="53">
        <v>0</v>
      </c>
      <c r="F515" s="53">
        <v>0</v>
      </c>
      <c r="G515" s="53">
        <v>79.92</v>
      </c>
      <c r="H515" s="68"/>
    </row>
    <row r="516" spans="1:8" ht="15.75" customHeight="1">
      <c r="A516" s="59">
        <v>505000</v>
      </c>
      <c r="B516" s="51" t="s">
        <v>796</v>
      </c>
      <c r="C516" s="52" t="s">
        <v>950</v>
      </c>
      <c r="D516" s="53">
        <v>167.43</v>
      </c>
      <c r="E516" s="53">
        <v>66.25</v>
      </c>
      <c r="F516" s="53">
        <v>0</v>
      </c>
      <c r="G516" s="53">
        <v>233.68</v>
      </c>
      <c r="H516" s="52" t="s">
        <v>25903</v>
      </c>
    </row>
    <row r="517" spans="1:8" ht="15.75" customHeight="1">
      <c r="A517" s="59">
        <v>505100</v>
      </c>
      <c r="B517" s="51" t="s">
        <v>797</v>
      </c>
      <c r="C517" s="52" t="s">
        <v>950</v>
      </c>
      <c r="D517" s="53">
        <v>239.81</v>
      </c>
      <c r="E517" s="53">
        <v>62.01</v>
      </c>
      <c r="F517" s="53">
        <v>0</v>
      </c>
      <c r="G517" s="53">
        <v>301.82</v>
      </c>
      <c r="H517" s="52" t="s">
        <v>25903</v>
      </c>
    </row>
    <row r="518" spans="1:8" ht="15.75" customHeight="1">
      <c r="A518" s="59">
        <v>560150</v>
      </c>
      <c r="B518" s="51" t="s">
        <v>798</v>
      </c>
      <c r="C518" s="52" t="s">
        <v>951</v>
      </c>
      <c r="D518" s="53">
        <v>0.76</v>
      </c>
      <c r="E518" s="53">
        <v>0</v>
      </c>
      <c r="F518" s="53">
        <v>0</v>
      </c>
      <c r="G518" s="53">
        <v>0.76</v>
      </c>
      <c r="H518" s="52" t="s">
        <v>25903</v>
      </c>
    </row>
    <row r="519" spans="1:8" ht="15.75" customHeight="1">
      <c r="A519" s="59">
        <v>562100</v>
      </c>
      <c r="B519" s="51" t="s">
        <v>799</v>
      </c>
      <c r="C519" s="52" t="s">
        <v>951</v>
      </c>
      <c r="D519" s="53">
        <v>2.74</v>
      </c>
      <c r="E519" s="53">
        <v>0.35</v>
      </c>
      <c r="F519" s="53">
        <v>0</v>
      </c>
      <c r="G519" s="53">
        <v>3.09</v>
      </c>
      <c r="H519" s="52" t="s">
        <v>25903</v>
      </c>
    </row>
    <row r="520" spans="1:8" ht="15.75" customHeight="1">
      <c r="A520" s="59">
        <v>562200</v>
      </c>
      <c r="B520" s="51" t="s">
        <v>800</v>
      </c>
      <c r="C520" s="52" t="s">
        <v>951</v>
      </c>
      <c r="D520" s="53">
        <v>3.31</v>
      </c>
      <c r="E520" s="53">
        <v>0.8</v>
      </c>
      <c r="F520" s="53">
        <v>0</v>
      </c>
      <c r="G520" s="53">
        <v>4.1100000000000003</v>
      </c>
      <c r="H520" s="52" t="s">
        <v>25903</v>
      </c>
    </row>
    <row r="521" spans="1:8" ht="15.75" customHeight="1">
      <c r="A521" s="59">
        <v>600310</v>
      </c>
      <c r="B521" s="51" t="s">
        <v>801</v>
      </c>
      <c r="C521" s="52" t="s">
        <v>952</v>
      </c>
      <c r="D521" s="53">
        <v>142.88</v>
      </c>
      <c r="E521" s="53">
        <v>0</v>
      </c>
      <c r="F521" s="53">
        <v>0</v>
      </c>
      <c r="G521" s="53">
        <v>142.88</v>
      </c>
      <c r="H521" s="68"/>
    </row>
    <row r="522" spans="1:8" ht="15.75" customHeight="1">
      <c r="A522" s="59">
        <v>801200</v>
      </c>
      <c r="B522" s="51" t="s">
        <v>802</v>
      </c>
      <c r="C522" s="52" t="s">
        <v>953</v>
      </c>
      <c r="D522" s="53">
        <v>478.99</v>
      </c>
      <c r="E522" s="53">
        <v>0</v>
      </c>
      <c r="F522" s="53">
        <v>0</v>
      </c>
      <c r="G522" s="53">
        <v>478.99</v>
      </c>
      <c r="H522" s="68"/>
    </row>
    <row r="523" spans="1:8" ht="15.75" customHeight="1">
      <c r="A523" s="59">
        <v>600410</v>
      </c>
      <c r="B523" s="51" t="s">
        <v>803</v>
      </c>
      <c r="C523" s="52" t="s">
        <v>328</v>
      </c>
      <c r="D523" s="53">
        <v>1.94</v>
      </c>
      <c r="E523" s="53">
        <v>0</v>
      </c>
      <c r="F523" s="53">
        <v>0</v>
      </c>
      <c r="G523" s="53">
        <v>1.94</v>
      </c>
      <c r="H523" s="68"/>
    </row>
    <row r="524" spans="1:8" ht="15.75" customHeight="1">
      <c r="A524" s="59">
        <v>800900</v>
      </c>
      <c r="B524" s="51" t="s">
        <v>281</v>
      </c>
      <c r="C524" s="52" t="s">
        <v>951</v>
      </c>
      <c r="D524" s="53">
        <v>13.18</v>
      </c>
      <c r="E524" s="53">
        <v>7.0000000000000007E-2</v>
      </c>
      <c r="F524" s="53">
        <v>0</v>
      </c>
      <c r="G524" s="53">
        <v>13.25</v>
      </c>
      <c r="H524" s="68"/>
    </row>
    <row r="525" spans="1:8" ht="15.75" customHeight="1">
      <c r="A525" s="59">
        <v>801100</v>
      </c>
      <c r="B525" s="51" t="s">
        <v>804</v>
      </c>
      <c r="C525" s="52" t="s">
        <v>951</v>
      </c>
      <c r="D525" s="53">
        <v>14.34</v>
      </c>
      <c r="E525" s="53">
        <v>4.8099999999999996</v>
      </c>
      <c r="F525" s="53">
        <v>0</v>
      </c>
      <c r="G525" s="53">
        <v>19.149999999999999</v>
      </c>
      <c r="H525" s="68"/>
    </row>
    <row r="526" spans="1:8" ht="15.75" customHeight="1">
      <c r="A526" s="59">
        <v>801150</v>
      </c>
      <c r="B526" s="51" t="s">
        <v>805</v>
      </c>
      <c r="C526" s="52" t="s">
        <v>328</v>
      </c>
      <c r="D526" s="53">
        <v>8.98</v>
      </c>
      <c r="E526" s="53">
        <v>12.27</v>
      </c>
      <c r="F526" s="53">
        <v>0</v>
      </c>
      <c r="G526" s="53">
        <v>21.25</v>
      </c>
      <c r="H526" s="68"/>
    </row>
    <row r="527" spans="1:8" ht="15.75" customHeight="1">
      <c r="A527" s="59">
        <v>600510</v>
      </c>
      <c r="B527" s="51" t="s">
        <v>806</v>
      </c>
      <c r="C527" s="52" t="s">
        <v>328</v>
      </c>
      <c r="D527" s="53">
        <v>2.2400000000000002</v>
      </c>
      <c r="E527" s="53">
        <v>0.28000000000000003</v>
      </c>
      <c r="F527" s="53">
        <v>0</v>
      </c>
      <c r="G527" s="53">
        <v>2.52</v>
      </c>
      <c r="H527" s="68"/>
    </row>
    <row r="528" spans="1:8" ht="15.75" customHeight="1">
      <c r="A528" s="59">
        <v>700900</v>
      </c>
      <c r="B528" s="51" t="s">
        <v>807</v>
      </c>
      <c r="C528" s="52" t="s">
        <v>328</v>
      </c>
      <c r="D528" s="53">
        <v>8.98</v>
      </c>
      <c r="E528" s="53">
        <v>12.27</v>
      </c>
      <c r="F528" s="53">
        <v>0</v>
      </c>
      <c r="G528" s="53">
        <v>21.25</v>
      </c>
      <c r="H528" s="68"/>
    </row>
    <row r="529" spans="1:8" ht="15.75" customHeight="1">
      <c r="A529" s="59">
        <v>610200</v>
      </c>
      <c r="B529" s="51" t="s">
        <v>808</v>
      </c>
      <c r="C529" s="52" t="s">
        <v>328</v>
      </c>
      <c r="D529" s="53">
        <v>3.74</v>
      </c>
      <c r="E529" s="53">
        <v>0</v>
      </c>
      <c r="F529" s="53">
        <v>0</v>
      </c>
      <c r="G529" s="53">
        <v>3.74</v>
      </c>
      <c r="H529" s="68"/>
    </row>
    <row r="530" spans="1:8" ht="31.5" customHeight="1">
      <c r="A530" s="59">
        <v>531320</v>
      </c>
      <c r="B530" s="51" t="s">
        <v>809</v>
      </c>
      <c r="C530" s="52" t="s">
        <v>950</v>
      </c>
      <c r="D530" s="53">
        <v>73.36</v>
      </c>
      <c r="E530" s="53">
        <v>57.11</v>
      </c>
      <c r="F530" s="53">
        <v>29.57</v>
      </c>
      <c r="G530" s="53">
        <v>160.04</v>
      </c>
      <c r="H530" s="52" t="s">
        <v>25903</v>
      </c>
    </row>
    <row r="531" spans="1:8" ht="31.5" customHeight="1">
      <c r="A531" s="59">
        <v>531330</v>
      </c>
      <c r="B531" s="51" t="s">
        <v>810</v>
      </c>
      <c r="C531" s="52" t="s">
        <v>950</v>
      </c>
      <c r="D531" s="53">
        <v>39.78</v>
      </c>
      <c r="E531" s="53">
        <v>57.11</v>
      </c>
      <c r="F531" s="53">
        <v>29.57</v>
      </c>
      <c r="G531" s="53">
        <v>126.46</v>
      </c>
      <c r="H531" s="52" t="s">
        <v>25903</v>
      </c>
    </row>
    <row r="532" spans="1:8" ht="15.75" customHeight="1">
      <c r="A532" s="59">
        <v>562650</v>
      </c>
      <c r="B532" s="51" t="s">
        <v>811</v>
      </c>
      <c r="C532" s="52" t="s">
        <v>951</v>
      </c>
      <c r="D532" s="53">
        <v>4.07</v>
      </c>
      <c r="E532" s="53">
        <v>0.68</v>
      </c>
      <c r="F532" s="53">
        <v>0</v>
      </c>
      <c r="G532" s="53">
        <v>4.75</v>
      </c>
      <c r="H532" s="52" t="s">
        <v>25903</v>
      </c>
    </row>
    <row r="533" spans="1:8" ht="15.75" customHeight="1">
      <c r="A533" s="59">
        <v>562560</v>
      </c>
      <c r="B533" s="51" t="s">
        <v>812</v>
      </c>
      <c r="C533" s="52" t="s">
        <v>951</v>
      </c>
      <c r="D533" s="53">
        <v>2.85</v>
      </c>
      <c r="E533" s="53">
        <v>0.68</v>
      </c>
      <c r="F533" s="53">
        <v>0</v>
      </c>
      <c r="G533" s="53">
        <v>3.53</v>
      </c>
      <c r="H533" s="52" t="s">
        <v>25903</v>
      </c>
    </row>
    <row r="534" spans="1:8" ht="15.75" customHeight="1">
      <c r="A534" s="59">
        <v>562720</v>
      </c>
      <c r="B534" s="51" t="s">
        <v>813</v>
      </c>
      <c r="C534" s="52" t="s">
        <v>951</v>
      </c>
      <c r="D534" s="53">
        <v>4.75</v>
      </c>
      <c r="E534" s="53">
        <v>1</v>
      </c>
      <c r="F534" s="53">
        <v>0</v>
      </c>
      <c r="G534" s="53">
        <v>5.75</v>
      </c>
      <c r="H534" s="52" t="s">
        <v>25903</v>
      </c>
    </row>
    <row r="535" spans="1:8" ht="15.75" customHeight="1">
      <c r="A535" s="59">
        <v>562690</v>
      </c>
      <c r="B535" s="51" t="s">
        <v>814</v>
      </c>
      <c r="C535" s="52" t="s">
        <v>951</v>
      </c>
      <c r="D535" s="53">
        <v>3.56</v>
      </c>
      <c r="E535" s="53">
        <v>1</v>
      </c>
      <c r="F535" s="53">
        <v>0</v>
      </c>
      <c r="G535" s="53">
        <v>4.5599999999999996</v>
      </c>
      <c r="H535" s="52" t="s">
        <v>25903</v>
      </c>
    </row>
    <row r="536" spans="1:8" ht="15.75" customHeight="1">
      <c r="A536" s="59">
        <v>562620</v>
      </c>
      <c r="B536" s="51" t="s">
        <v>815</v>
      </c>
      <c r="C536" s="52" t="s">
        <v>951</v>
      </c>
      <c r="D536" s="53">
        <v>4.22</v>
      </c>
      <c r="E536" s="53">
        <v>1.27</v>
      </c>
      <c r="F536" s="53">
        <v>0</v>
      </c>
      <c r="G536" s="53">
        <v>5.49</v>
      </c>
      <c r="H536" s="52" t="s">
        <v>25903</v>
      </c>
    </row>
    <row r="537" spans="1:8" ht="15.75" customHeight="1">
      <c r="A537" s="59">
        <v>561120</v>
      </c>
      <c r="B537" s="51" t="s">
        <v>816</v>
      </c>
      <c r="C537" s="52" t="s">
        <v>951</v>
      </c>
      <c r="D537" s="53">
        <v>0.49</v>
      </c>
      <c r="E537" s="53">
        <v>0</v>
      </c>
      <c r="F537" s="53">
        <v>0</v>
      </c>
      <c r="G537" s="53">
        <v>0.49</v>
      </c>
      <c r="H537" s="52" t="s">
        <v>25903</v>
      </c>
    </row>
    <row r="538" spans="1:8" ht="15.75" customHeight="1">
      <c r="A538" s="59">
        <v>805460</v>
      </c>
      <c r="B538" s="51" t="s">
        <v>817</v>
      </c>
      <c r="C538" s="52" t="s">
        <v>328</v>
      </c>
      <c r="D538" s="53">
        <v>9.6999999999999993</v>
      </c>
      <c r="E538" s="53">
        <v>0</v>
      </c>
      <c r="F538" s="53">
        <v>0</v>
      </c>
      <c r="G538" s="53">
        <v>9.6999999999999993</v>
      </c>
      <c r="H538" s="68"/>
    </row>
    <row r="539" spans="1:8" ht="15.75" customHeight="1">
      <c r="A539" s="59">
        <v>650110</v>
      </c>
      <c r="B539" s="51" t="s">
        <v>818</v>
      </c>
      <c r="C539" s="52" t="s">
        <v>328</v>
      </c>
      <c r="D539" s="53">
        <v>0</v>
      </c>
      <c r="E539" s="53">
        <v>0</v>
      </c>
      <c r="F539" s="53">
        <v>53.88</v>
      </c>
      <c r="G539" s="53">
        <v>53.88</v>
      </c>
      <c r="H539" s="68"/>
    </row>
    <row r="540" spans="1:8" ht="15.75" customHeight="1">
      <c r="A540" s="59">
        <v>801000</v>
      </c>
      <c r="B540" s="51" t="s">
        <v>819</v>
      </c>
      <c r="C540" s="52" t="s">
        <v>951</v>
      </c>
      <c r="D540" s="53">
        <v>68.849999999999994</v>
      </c>
      <c r="E540" s="53">
        <v>0</v>
      </c>
      <c r="F540" s="53">
        <v>0</v>
      </c>
      <c r="G540" s="53">
        <v>68.849999999999994</v>
      </c>
      <c r="H540" s="68"/>
    </row>
    <row r="541" spans="1:8" ht="15.75" customHeight="1">
      <c r="A541" s="59">
        <v>403430</v>
      </c>
      <c r="B541" s="51" t="s">
        <v>820</v>
      </c>
      <c r="C541" s="52" t="s">
        <v>950</v>
      </c>
      <c r="D541" s="53">
        <v>93.22</v>
      </c>
      <c r="E541" s="53">
        <v>0</v>
      </c>
      <c r="F541" s="53">
        <v>0</v>
      </c>
      <c r="G541" s="53">
        <v>93.22</v>
      </c>
      <c r="H541" s="68"/>
    </row>
    <row r="542" spans="1:8" ht="15.75" customHeight="1">
      <c r="A542" s="59">
        <v>403450</v>
      </c>
      <c r="B542" s="51" t="s">
        <v>821</v>
      </c>
      <c r="C542" s="52" t="s">
        <v>950</v>
      </c>
      <c r="D542" s="53">
        <v>25.43</v>
      </c>
      <c r="E542" s="53">
        <v>0</v>
      </c>
      <c r="F542" s="53">
        <v>0</v>
      </c>
      <c r="G542" s="53">
        <v>25.43</v>
      </c>
      <c r="H542" s="68"/>
    </row>
    <row r="543" spans="1:8" ht="15.75" customHeight="1">
      <c r="A543" s="59">
        <v>570540</v>
      </c>
      <c r="B543" s="51" t="s">
        <v>822</v>
      </c>
      <c r="C543" s="52" t="s">
        <v>34</v>
      </c>
      <c r="D543" s="53">
        <v>140.91</v>
      </c>
      <c r="E543" s="53">
        <v>102.25</v>
      </c>
      <c r="F543" s="53">
        <v>0</v>
      </c>
      <c r="G543" s="53">
        <v>243.16</v>
      </c>
      <c r="H543" s="52" t="s">
        <v>25903</v>
      </c>
    </row>
    <row r="544" spans="1:8" ht="15.75" customHeight="1">
      <c r="A544" s="59">
        <v>570530</v>
      </c>
      <c r="B544" s="51" t="s">
        <v>823</v>
      </c>
      <c r="C544" s="52" t="s">
        <v>34</v>
      </c>
      <c r="D544" s="53">
        <v>140.1</v>
      </c>
      <c r="E544" s="53">
        <v>102.11</v>
      </c>
      <c r="F544" s="53">
        <v>0</v>
      </c>
      <c r="G544" s="53">
        <v>242.21</v>
      </c>
      <c r="H544" s="52" t="s">
        <v>25903</v>
      </c>
    </row>
    <row r="545" spans="1:8" ht="15.75" customHeight="1">
      <c r="A545" s="59">
        <v>570510</v>
      </c>
      <c r="B545" s="51" t="s">
        <v>824</v>
      </c>
      <c r="C545" s="52" t="s">
        <v>34</v>
      </c>
      <c r="D545" s="53">
        <v>73.25</v>
      </c>
      <c r="E545" s="53">
        <v>96.3</v>
      </c>
      <c r="F545" s="53">
        <v>0</v>
      </c>
      <c r="G545" s="53">
        <v>169.55</v>
      </c>
      <c r="H545" s="52" t="s">
        <v>25903</v>
      </c>
    </row>
    <row r="546" spans="1:8" ht="15.75" customHeight="1">
      <c r="A546" s="59">
        <v>570500</v>
      </c>
      <c r="B546" s="51" t="s">
        <v>825</v>
      </c>
      <c r="C546" s="52" t="s">
        <v>34</v>
      </c>
      <c r="D546" s="53">
        <v>89</v>
      </c>
      <c r="E546" s="53">
        <v>102.11</v>
      </c>
      <c r="F546" s="53">
        <v>0</v>
      </c>
      <c r="G546" s="53">
        <v>191.11</v>
      </c>
      <c r="H546" s="52" t="s">
        <v>25903</v>
      </c>
    </row>
    <row r="547" spans="1:8" ht="15.75" customHeight="1">
      <c r="A547" s="59">
        <v>801400</v>
      </c>
      <c r="B547" s="51" t="s">
        <v>826</v>
      </c>
      <c r="C547" s="52" t="s">
        <v>953</v>
      </c>
      <c r="D547" s="55">
        <v>1934.65</v>
      </c>
      <c r="E547" s="53">
        <v>0</v>
      </c>
      <c r="F547" s="53">
        <v>0</v>
      </c>
      <c r="G547" s="55">
        <v>1934.65</v>
      </c>
      <c r="H547" s="68"/>
    </row>
    <row r="548" spans="1:8" ht="15.75" customHeight="1">
      <c r="A548" s="59">
        <v>550800</v>
      </c>
      <c r="B548" s="51" t="s">
        <v>827</v>
      </c>
      <c r="C548" s="52" t="s">
        <v>954</v>
      </c>
      <c r="D548" s="53">
        <v>13.64</v>
      </c>
      <c r="E548" s="53">
        <v>0.14000000000000001</v>
      </c>
      <c r="F548" s="53">
        <v>0</v>
      </c>
      <c r="G548" s="53">
        <v>13.78</v>
      </c>
      <c r="H548" s="52" t="s">
        <v>25903</v>
      </c>
    </row>
    <row r="549" spans="1:8" ht="15.75" customHeight="1">
      <c r="A549" s="59">
        <v>550810</v>
      </c>
      <c r="B549" s="51" t="s">
        <v>828</v>
      </c>
      <c r="C549" s="52" t="s">
        <v>954</v>
      </c>
      <c r="D549" s="53">
        <v>13.64</v>
      </c>
      <c r="E549" s="53">
        <v>0.13</v>
      </c>
      <c r="F549" s="53">
        <v>0</v>
      </c>
      <c r="G549" s="53">
        <v>13.77</v>
      </c>
      <c r="H549" s="52" t="s">
        <v>25903</v>
      </c>
    </row>
    <row r="550" spans="1:8" ht="15.75" customHeight="1">
      <c r="A550" s="59">
        <v>546120</v>
      </c>
      <c r="B550" s="51" t="s">
        <v>829</v>
      </c>
      <c r="C550" s="52" t="s">
        <v>950</v>
      </c>
      <c r="D550" s="53">
        <v>63.15</v>
      </c>
      <c r="E550" s="53">
        <v>59.43</v>
      </c>
      <c r="F550" s="53">
        <v>0</v>
      </c>
      <c r="G550" s="53">
        <v>122.58</v>
      </c>
      <c r="H550" s="52" t="s">
        <v>25903</v>
      </c>
    </row>
    <row r="551" spans="1:8">
      <c r="A551" s="66"/>
      <c r="B551" s="66" t="s">
        <v>38</v>
      </c>
      <c r="C551" s="67" t="s">
        <v>195</v>
      </c>
      <c r="D551" s="67"/>
      <c r="E551" s="67"/>
      <c r="F551" s="67"/>
      <c r="G551" s="67"/>
      <c r="H551" s="69" t="s">
        <v>195</v>
      </c>
    </row>
    <row r="552" spans="1:8" ht="15.75" customHeight="1">
      <c r="A552" s="59">
        <v>834908</v>
      </c>
      <c r="B552" s="51" t="s">
        <v>830</v>
      </c>
      <c r="C552" s="52" t="s">
        <v>951</v>
      </c>
      <c r="D552" s="53">
        <v>18.16</v>
      </c>
      <c r="E552" s="53">
        <v>72.25</v>
      </c>
      <c r="F552" s="53">
        <v>0</v>
      </c>
      <c r="G552" s="53">
        <v>90.41</v>
      </c>
      <c r="H552" s="68"/>
    </row>
    <row r="553" spans="1:8" ht="31.5" customHeight="1">
      <c r="A553" s="59">
        <v>834909</v>
      </c>
      <c r="B553" s="51" t="s">
        <v>831</v>
      </c>
      <c r="C553" s="52" t="s">
        <v>951</v>
      </c>
      <c r="D553" s="53">
        <v>18.16</v>
      </c>
      <c r="E553" s="53">
        <v>78</v>
      </c>
      <c r="F553" s="53">
        <v>0</v>
      </c>
      <c r="G553" s="53">
        <v>96.16</v>
      </c>
      <c r="H553" s="68"/>
    </row>
    <row r="554" spans="1:8" ht="15.75" customHeight="1">
      <c r="A554" s="59">
        <v>834906</v>
      </c>
      <c r="B554" s="51" t="s">
        <v>832</v>
      </c>
      <c r="C554" s="52" t="s">
        <v>951</v>
      </c>
      <c r="D554" s="53">
        <v>23.53</v>
      </c>
      <c r="E554" s="53">
        <v>72.680000000000007</v>
      </c>
      <c r="F554" s="53">
        <v>0</v>
      </c>
      <c r="G554" s="53">
        <v>96.21</v>
      </c>
      <c r="H554" s="68"/>
    </row>
    <row r="555" spans="1:8" ht="31.5" customHeight="1">
      <c r="A555" s="59">
        <v>834907</v>
      </c>
      <c r="B555" s="51" t="s">
        <v>833</v>
      </c>
      <c r="C555" s="52" t="s">
        <v>951</v>
      </c>
      <c r="D555" s="53">
        <v>23.53</v>
      </c>
      <c r="E555" s="53">
        <v>76.31</v>
      </c>
      <c r="F555" s="53">
        <v>0</v>
      </c>
      <c r="G555" s="53">
        <v>99.84</v>
      </c>
      <c r="H555" s="68"/>
    </row>
    <row r="556" spans="1:8" ht="15.75" customHeight="1">
      <c r="A556" s="59">
        <v>850000</v>
      </c>
      <c r="B556" s="51" t="s">
        <v>297</v>
      </c>
      <c r="C556" s="52" t="s">
        <v>952</v>
      </c>
      <c r="D556" s="55">
        <v>4427.1899999999996</v>
      </c>
      <c r="E556" s="53">
        <v>825.58</v>
      </c>
      <c r="F556" s="55">
        <v>2002.14</v>
      </c>
      <c r="G556" s="55">
        <v>7254.91</v>
      </c>
      <c r="H556" s="52" t="s">
        <v>25903</v>
      </c>
    </row>
    <row r="557" spans="1:8" ht="15.75" customHeight="1">
      <c r="A557" s="59">
        <v>863000</v>
      </c>
      <c r="B557" s="51" t="s">
        <v>834</v>
      </c>
      <c r="C557" s="52" t="s">
        <v>951</v>
      </c>
      <c r="D557" s="53">
        <v>34.6</v>
      </c>
      <c r="E557" s="53">
        <v>65.78</v>
      </c>
      <c r="F557" s="53">
        <v>5.23</v>
      </c>
      <c r="G557" s="53">
        <v>105.61</v>
      </c>
      <c r="H557" s="52" t="s">
        <v>25903</v>
      </c>
    </row>
    <row r="558" spans="1:8" ht="15.75" customHeight="1">
      <c r="A558" s="59">
        <v>831000</v>
      </c>
      <c r="B558" s="51" t="s">
        <v>294</v>
      </c>
      <c r="C558" s="52" t="s">
        <v>328</v>
      </c>
      <c r="D558" s="53">
        <v>29.23</v>
      </c>
      <c r="E558" s="53">
        <v>12.22</v>
      </c>
      <c r="F558" s="53">
        <v>0</v>
      </c>
      <c r="G558" s="53">
        <v>41.45</v>
      </c>
      <c r="H558" s="68"/>
    </row>
    <row r="559" spans="1:8" ht="15.75" customHeight="1">
      <c r="A559" s="59">
        <v>830000</v>
      </c>
      <c r="B559" s="51" t="s">
        <v>835</v>
      </c>
      <c r="C559" s="52" t="s">
        <v>328</v>
      </c>
      <c r="D559" s="53">
        <v>14.01</v>
      </c>
      <c r="E559" s="53">
        <v>22.43</v>
      </c>
      <c r="F559" s="53">
        <v>0</v>
      </c>
      <c r="G559" s="53">
        <v>36.44</v>
      </c>
      <c r="H559" s="68"/>
    </row>
    <row r="560" spans="1:8" ht="15.75" customHeight="1">
      <c r="A560" s="59">
        <v>800400</v>
      </c>
      <c r="B560" s="51" t="s">
        <v>836</v>
      </c>
      <c r="C560" s="52" t="s">
        <v>328</v>
      </c>
      <c r="D560" s="53">
        <v>0</v>
      </c>
      <c r="E560" s="53">
        <v>0.6</v>
      </c>
      <c r="F560" s="53">
        <v>4.75</v>
      </c>
      <c r="G560" s="53">
        <v>5.35</v>
      </c>
      <c r="H560" s="68"/>
    </row>
    <row r="561" spans="1:8" ht="15.75" customHeight="1">
      <c r="A561" s="59">
        <v>800000</v>
      </c>
      <c r="B561" s="51" t="s">
        <v>837</v>
      </c>
      <c r="C561" s="52" t="s">
        <v>951</v>
      </c>
      <c r="D561" s="53">
        <v>9.6</v>
      </c>
      <c r="E561" s="53">
        <v>2.81</v>
      </c>
      <c r="F561" s="53">
        <v>0</v>
      </c>
      <c r="G561" s="53">
        <v>12.41</v>
      </c>
      <c r="H561" s="68"/>
    </row>
    <row r="562" spans="1:8" ht="15.75" customHeight="1">
      <c r="A562" s="59">
        <v>800300</v>
      </c>
      <c r="B562" s="51" t="s">
        <v>838</v>
      </c>
      <c r="C562" s="52" t="s">
        <v>952</v>
      </c>
      <c r="D562" s="53">
        <v>0.85</v>
      </c>
      <c r="E562" s="53">
        <v>0.49</v>
      </c>
      <c r="F562" s="53">
        <v>0</v>
      </c>
      <c r="G562" s="53">
        <v>1.34</v>
      </c>
      <c r="H562" s="68"/>
    </row>
    <row r="563" spans="1:8" ht="15.75" customHeight="1">
      <c r="A563" s="59">
        <v>800350</v>
      </c>
      <c r="B563" s="51" t="s">
        <v>839</v>
      </c>
      <c r="C563" s="52" t="s">
        <v>951</v>
      </c>
      <c r="D563" s="53">
        <v>0.71</v>
      </c>
      <c r="E563" s="53">
        <v>0.48</v>
      </c>
      <c r="F563" s="53">
        <v>0</v>
      </c>
      <c r="G563" s="53">
        <v>1.19</v>
      </c>
      <c r="H563" s="68"/>
    </row>
    <row r="564" spans="1:8" ht="15.75" customHeight="1">
      <c r="A564" s="59">
        <v>860200</v>
      </c>
      <c r="B564" s="51" t="s">
        <v>840</v>
      </c>
      <c r="C564" s="52" t="s">
        <v>950</v>
      </c>
      <c r="D564" s="53">
        <v>153.91</v>
      </c>
      <c r="E564" s="53">
        <v>704.81</v>
      </c>
      <c r="F564" s="53">
        <v>0</v>
      </c>
      <c r="G564" s="53">
        <v>858.72</v>
      </c>
      <c r="H564" s="52" t="s">
        <v>25903</v>
      </c>
    </row>
    <row r="565" spans="1:8" ht="15.75" customHeight="1">
      <c r="A565" s="59">
        <v>860100</v>
      </c>
      <c r="B565" s="51" t="s">
        <v>841</v>
      </c>
      <c r="C565" s="52" t="s">
        <v>950</v>
      </c>
      <c r="D565" s="53">
        <v>153.91</v>
      </c>
      <c r="E565" s="53">
        <v>615.46</v>
      </c>
      <c r="F565" s="53">
        <v>0</v>
      </c>
      <c r="G565" s="53">
        <v>769.37</v>
      </c>
      <c r="H565" s="52" t="s">
        <v>25903</v>
      </c>
    </row>
    <row r="566" spans="1:8" ht="15.75" customHeight="1">
      <c r="A566" s="59">
        <v>860150</v>
      </c>
      <c r="B566" s="51" t="s">
        <v>279</v>
      </c>
      <c r="C566" s="52" t="s">
        <v>950</v>
      </c>
      <c r="D566" s="53">
        <v>153.91</v>
      </c>
      <c r="E566" s="53">
        <v>534.62</v>
      </c>
      <c r="F566" s="53">
        <v>0</v>
      </c>
      <c r="G566" s="53">
        <v>688.53</v>
      </c>
      <c r="H566" s="52" t="s">
        <v>25903</v>
      </c>
    </row>
    <row r="567" spans="1:8" ht="15.75" customHeight="1">
      <c r="A567" s="59">
        <v>860000</v>
      </c>
      <c r="B567" s="51" t="s">
        <v>842</v>
      </c>
      <c r="C567" s="52" t="s">
        <v>950</v>
      </c>
      <c r="D567" s="53">
        <v>153.91</v>
      </c>
      <c r="E567" s="53">
        <v>469.02</v>
      </c>
      <c r="F567" s="53">
        <v>0</v>
      </c>
      <c r="G567" s="53">
        <v>622.92999999999995</v>
      </c>
      <c r="H567" s="52" t="s">
        <v>25903</v>
      </c>
    </row>
    <row r="568" spans="1:8" ht="15.75" customHeight="1">
      <c r="A568" s="59">
        <v>860017</v>
      </c>
      <c r="B568" s="51" t="s">
        <v>843</v>
      </c>
      <c r="C568" s="52" t="s">
        <v>951</v>
      </c>
      <c r="D568" s="53">
        <v>39</v>
      </c>
      <c r="E568" s="53">
        <v>174.32</v>
      </c>
      <c r="F568" s="53">
        <v>0</v>
      </c>
      <c r="G568" s="53">
        <v>213.32</v>
      </c>
      <c r="H568" s="52" t="s">
        <v>25903</v>
      </c>
    </row>
    <row r="569" spans="1:8" ht="15.75" customHeight="1">
      <c r="A569" s="59">
        <v>860023</v>
      </c>
      <c r="B569" s="51" t="s">
        <v>278</v>
      </c>
      <c r="C569" s="52" t="s">
        <v>951</v>
      </c>
      <c r="D569" s="53">
        <v>46.8</v>
      </c>
      <c r="E569" s="53">
        <v>210.39</v>
      </c>
      <c r="F569" s="53">
        <v>0</v>
      </c>
      <c r="G569" s="53">
        <v>257.19</v>
      </c>
      <c r="H569" s="52" t="s">
        <v>25903</v>
      </c>
    </row>
    <row r="570" spans="1:8" ht="15.75" customHeight="1">
      <c r="A570" s="59">
        <v>861030</v>
      </c>
      <c r="B570" s="51" t="s">
        <v>844</v>
      </c>
      <c r="C570" s="52" t="s">
        <v>951</v>
      </c>
      <c r="D570" s="53">
        <v>53.18</v>
      </c>
      <c r="E570" s="53">
        <v>233.31</v>
      </c>
      <c r="F570" s="53">
        <v>0</v>
      </c>
      <c r="G570" s="53">
        <v>286.49</v>
      </c>
      <c r="H570" s="52" t="s">
        <v>25903</v>
      </c>
    </row>
    <row r="571" spans="1:8" ht="15.75" customHeight="1">
      <c r="A571" s="59">
        <v>800200</v>
      </c>
      <c r="B571" s="51" t="s">
        <v>845</v>
      </c>
      <c r="C571" s="52" t="s">
        <v>951</v>
      </c>
      <c r="D571" s="53">
        <v>11.72</v>
      </c>
      <c r="E571" s="53">
        <v>0.28000000000000003</v>
      </c>
      <c r="F571" s="53">
        <v>0</v>
      </c>
      <c r="G571" s="53">
        <v>12</v>
      </c>
      <c r="H571" s="68"/>
    </row>
    <row r="572" spans="1:8" ht="15.75" customHeight="1">
      <c r="A572" s="59">
        <v>800100</v>
      </c>
      <c r="B572" s="51" t="s">
        <v>846</v>
      </c>
      <c r="C572" s="52" t="s">
        <v>951</v>
      </c>
      <c r="D572" s="53">
        <v>3.51</v>
      </c>
      <c r="E572" s="53">
        <v>8.02</v>
      </c>
      <c r="F572" s="53">
        <v>0</v>
      </c>
      <c r="G572" s="53">
        <v>11.53</v>
      </c>
      <c r="H572" s="68"/>
    </row>
    <row r="573" spans="1:8" ht="15.75" customHeight="1">
      <c r="A573" s="59">
        <v>844000</v>
      </c>
      <c r="B573" s="51" t="s">
        <v>847</v>
      </c>
      <c r="C573" s="52" t="s">
        <v>952</v>
      </c>
      <c r="D573" s="55">
        <v>5276</v>
      </c>
      <c r="E573" s="53">
        <v>0</v>
      </c>
      <c r="F573" s="53">
        <v>0</v>
      </c>
      <c r="G573" s="55">
        <v>5276</v>
      </c>
      <c r="H573" s="68"/>
    </row>
    <row r="574" spans="1:8" ht="15.75" customHeight="1">
      <c r="A574" s="59">
        <v>843000</v>
      </c>
      <c r="B574" s="51" t="s">
        <v>296</v>
      </c>
      <c r="C574" s="52" t="s">
        <v>951</v>
      </c>
      <c r="D574" s="53">
        <v>348.34</v>
      </c>
      <c r="E574" s="53">
        <v>0</v>
      </c>
      <c r="F574" s="53">
        <v>0</v>
      </c>
      <c r="G574" s="53">
        <v>348.34</v>
      </c>
      <c r="H574" s="68"/>
    </row>
    <row r="575" spans="1:8" ht="15.75" customHeight="1">
      <c r="A575" s="59">
        <v>842000</v>
      </c>
      <c r="B575" s="51" t="s">
        <v>848</v>
      </c>
      <c r="C575" s="52" t="s">
        <v>951</v>
      </c>
      <c r="D575" s="53">
        <v>186.23</v>
      </c>
      <c r="E575" s="53">
        <v>5.2</v>
      </c>
      <c r="F575" s="53">
        <v>0</v>
      </c>
      <c r="G575" s="53">
        <v>191.43</v>
      </c>
      <c r="H575" s="68"/>
    </row>
    <row r="576" spans="1:8" ht="15.75" customHeight="1">
      <c r="A576" s="59">
        <v>841000</v>
      </c>
      <c r="B576" s="51" t="s">
        <v>295</v>
      </c>
      <c r="C576" s="52" t="s">
        <v>328</v>
      </c>
      <c r="D576" s="53">
        <v>12.51</v>
      </c>
      <c r="E576" s="53">
        <v>0</v>
      </c>
      <c r="F576" s="53">
        <v>0</v>
      </c>
      <c r="G576" s="53">
        <v>12.51</v>
      </c>
      <c r="H576" s="68"/>
    </row>
    <row r="577" spans="1:8" ht="15.75" customHeight="1">
      <c r="A577" s="59">
        <v>840000</v>
      </c>
      <c r="B577" s="51" t="s">
        <v>849</v>
      </c>
      <c r="C577" s="52" t="s">
        <v>328</v>
      </c>
      <c r="D577" s="53">
        <v>34.53</v>
      </c>
      <c r="E577" s="53">
        <v>0</v>
      </c>
      <c r="F577" s="53">
        <v>0</v>
      </c>
      <c r="G577" s="53">
        <v>34.53</v>
      </c>
      <c r="H577" s="68"/>
    </row>
    <row r="578" spans="1:8">
      <c r="A578" s="66"/>
      <c r="B578" s="66" t="s">
        <v>71</v>
      </c>
      <c r="C578" s="67" t="s">
        <v>195</v>
      </c>
      <c r="D578" s="67"/>
      <c r="E578" s="67"/>
      <c r="F578" s="67"/>
      <c r="G578" s="67"/>
      <c r="H578" s="69" t="s">
        <v>195</v>
      </c>
    </row>
    <row r="579" spans="1:8" ht="15.75" customHeight="1">
      <c r="A579" s="59">
        <v>824100</v>
      </c>
      <c r="B579" s="51" t="s">
        <v>850</v>
      </c>
      <c r="C579" s="52" t="s">
        <v>952</v>
      </c>
      <c r="D579" s="53">
        <v>59.57</v>
      </c>
      <c r="E579" s="53">
        <v>182.86</v>
      </c>
      <c r="F579" s="53">
        <v>0</v>
      </c>
      <c r="G579" s="53">
        <v>242.43</v>
      </c>
      <c r="H579" s="52" t="s">
        <v>25903</v>
      </c>
    </row>
    <row r="580" spans="1:8" ht="15.75" customHeight="1">
      <c r="A580" s="59">
        <v>801926</v>
      </c>
      <c r="B580" s="51" t="s">
        <v>851</v>
      </c>
      <c r="C580" s="52" t="s">
        <v>952</v>
      </c>
      <c r="D580" s="53">
        <v>6.91</v>
      </c>
      <c r="E580" s="53">
        <v>15.42</v>
      </c>
      <c r="F580" s="53">
        <v>0</v>
      </c>
      <c r="G580" s="53">
        <v>22.33</v>
      </c>
      <c r="H580" s="68"/>
    </row>
    <row r="581" spans="1:8" ht="15.75" customHeight="1">
      <c r="A581" s="59">
        <v>801925</v>
      </c>
      <c r="B581" s="51" t="s">
        <v>852</v>
      </c>
      <c r="C581" s="52" t="s">
        <v>952</v>
      </c>
      <c r="D581" s="53">
        <v>6.91</v>
      </c>
      <c r="E581" s="53">
        <v>12.93</v>
      </c>
      <c r="F581" s="53">
        <v>0</v>
      </c>
      <c r="G581" s="53">
        <v>19.84</v>
      </c>
      <c r="H581" s="68"/>
    </row>
    <row r="582" spans="1:8" ht="31.5" customHeight="1">
      <c r="A582" s="59">
        <v>807100</v>
      </c>
      <c r="B582" s="51" t="s">
        <v>853</v>
      </c>
      <c r="C582" s="52" t="s">
        <v>952</v>
      </c>
      <c r="D582" s="55">
        <v>1499.26</v>
      </c>
      <c r="E582" s="55">
        <v>11615.92</v>
      </c>
      <c r="F582" s="53">
        <v>0</v>
      </c>
      <c r="G582" s="55">
        <v>13115.18</v>
      </c>
      <c r="H582" s="68"/>
    </row>
    <row r="583" spans="1:8" ht="31.5" customHeight="1">
      <c r="A583" s="59">
        <v>807080</v>
      </c>
      <c r="B583" s="51" t="s">
        <v>854</v>
      </c>
      <c r="C583" s="52" t="s">
        <v>952</v>
      </c>
      <c r="D583" s="55">
        <v>1499.26</v>
      </c>
      <c r="E583" s="55">
        <v>8459.66</v>
      </c>
      <c r="F583" s="53">
        <v>0</v>
      </c>
      <c r="G583" s="55">
        <v>9958.92</v>
      </c>
      <c r="H583" s="68"/>
    </row>
    <row r="584" spans="1:8" ht="31.5" customHeight="1">
      <c r="A584" s="59">
        <v>806100</v>
      </c>
      <c r="B584" s="51" t="s">
        <v>855</v>
      </c>
      <c r="C584" s="52" t="s">
        <v>952</v>
      </c>
      <c r="D584" s="55">
        <v>2754.26</v>
      </c>
      <c r="E584" s="55">
        <v>51219.81</v>
      </c>
      <c r="F584" s="53">
        <v>0</v>
      </c>
      <c r="G584" s="55">
        <v>53974.07</v>
      </c>
      <c r="H584" s="68"/>
    </row>
    <row r="585" spans="1:8" ht="31.5" customHeight="1">
      <c r="A585" s="59">
        <v>806080</v>
      </c>
      <c r="B585" s="51" t="s">
        <v>856</v>
      </c>
      <c r="C585" s="52" t="s">
        <v>952</v>
      </c>
      <c r="D585" s="55">
        <v>2754.26</v>
      </c>
      <c r="E585" s="55">
        <v>43745.79</v>
      </c>
      <c r="F585" s="53">
        <v>0</v>
      </c>
      <c r="G585" s="55">
        <v>46500.05</v>
      </c>
      <c r="H585" s="68"/>
    </row>
    <row r="586" spans="1:8" ht="31.5" customHeight="1">
      <c r="A586" s="59">
        <v>813250</v>
      </c>
      <c r="B586" s="51" t="s">
        <v>857</v>
      </c>
      <c r="C586" s="52" t="s">
        <v>328</v>
      </c>
      <c r="D586" s="53">
        <v>26.63</v>
      </c>
      <c r="E586" s="53">
        <v>6.71</v>
      </c>
      <c r="F586" s="53">
        <v>196.78</v>
      </c>
      <c r="G586" s="53">
        <v>230.12</v>
      </c>
      <c r="H586" s="68"/>
    </row>
    <row r="587" spans="1:8" ht="31.5" customHeight="1">
      <c r="A587" s="59">
        <v>813200</v>
      </c>
      <c r="B587" s="51" t="s">
        <v>858</v>
      </c>
      <c r="C587" s="52" t="s">
        <v>328</v>
      </c>
      <c r="D587" s="53">
        <v>26.63</v>
      </c>
      <c r="E587" s="53">
        <v>6.89</v>
      </c>
      <c r="F587" s="53">
        <v>74.180000000000007</v>
      </c>
      <c r="G587" s="53">
        <v>107.7</v>
      </c>
      <c r="H587" s="68"/>
    </row>
    <row r="588" spans="1:8" ht="31.5" customHeight="1">
      <c r="A588" s="59">
        <v>813450</v>
      </c>
      <c r="B588" s="51" t="s">
        <v>859</v>
      </c>
      <c r="C588" s="52" t="s">
        <v>328</v>
      </c>
      <c r="D588" s="53">
        <v>29.19</v>
      </c>
      <c r="E588" s="53">
        <v>8.7100000000000009</v>
      </c>
      <c r="F588" s="53">
        <v>209.22</v>
      </c>
      <c r="G588" s="53">
        <v>247.12</v>
      </c>
      <c r="H588" s="68"/>
    </row>
    <row r="589" spans="1:8" ht="31.5" customHeight="1">
      <c r="A589" s="59">
        <v>813400</v>
      </c>
      <c r="B589" s="51" t="s">
        <v>860</v>
      </c>
      <c r="C589" s="52" t="s">
        <v>328</v>
      </c>
      <c r="D589" s="53">
        <v>29.19</v>
      </c>
      <c r="E589" s="53">
        <v>8.9700000000000006</v>
      </c>
      <c r="F589" s="53">
        <v>74.180000000000007</v>
      </c>
      <c r="G589" s="53">
        <v>112.34</v>
      </c>
      <c r="H589" s="68"/>
    </row>
    <row r="590" spans="1:8" ht="15.75" customHeight="1">
      <c r="A590" s="59">
        <v>814000</v>
      </c>
      <c r="B590" s="51" t="s">
        <v>861</v>
      </c>
      <c r="C590" s="52" t="s">
        <v>328</v>
      </c>
      <c r="D590" s="53">
        <v>18.899999999999999</v>
      </c>
      <c r="E590" s="53">
        <v>0</v>
      </c>
      <c r="F590" s="53">
        <v>82.16</v>
      </c>
      <c r="G590" s="53">
        <v>101.06</v>
      </c>
      <c r="H590" s="68"/>
    </row>
    <row r="591" spans="1:8" ht="15.75" customHeight="1">
      <c r="A591" s="59">
        <v>813500</v>
      </c>
      <c r="B591" s="51" t="s">
        <v>862</v>
      </c>
      <c r="C591" s="52" t="s">
        <v>328</v>
      </c>
      <c r="D591" s="53">
        <v>412.12</v>
      </c>
      <c r="E591" s="53">
        <v>598.07000000000005</v>
      </c>
      <c r="F591" s="53">
        <v>0</v>
      </c>
      <c r="G591" s="53">
        <v>1010.19</v>
      </c>
      <c r="H591" s="52" t="s">
        <v>25903</v>
      </c>
    </row>
    <row r="592" spans="1:8" ht="15.75" customHeight="1">
      <c r="A592" s="59">
        <v>813000</v>
      </c>
      <c r="B592" s="51" t="s">
        <v>863</v>
      </c>
      <c r="C592" s="52" t="s">
        <v>328</v>
      </c>
      <c r="D592" s="53">
        <v>20.21</v>
      </c>
      <c r="E592" s="53">
        <v>0</v>
      </c>
      <c r="F592" s="53">
        <v>82.16</v>
      </c>
      <c r="G592" s="53">
        <v>102.37</v>
      </c>
      <c r="H592" s="68"/>
    </row>
    <row r="593" spans="1:8" ht="31.5" customHeight="1">
      <c r="A593" s="59">
        <v>813150</v>
      </c>
      <c r="B593" s="51" t="s">
        <v>864</v>
      </c>
      <c r="C593" s="52" t="s">
        <v>328</v>
      </c>
      <c r="D593" s="53">
        <v>25.3</v>
      </c>
      <c r="E593" s="53">
        <v>6.48</v>
      </c>
      <c r="F593" s="53">
        <v>196.27</v>
      </c>
      <c r="G593" s="53">
        <v>228.05</v>
      </c>
      <c r="H593" s="68"/>
    </row>
    <row r="594" spans="1:8" ht="31.5" customHeight="1">
      <c r="A594" s="59">
        <v>813100</v>
      </c>
      <c r="B594" s="51" t="s">
        <v>865</v>
      </c>
      <c r="C594" s="52" t="s">
        <v>328</v>
      </c>
      <c r="D594" s="53">
        <v>25.3</v>
      </c>
      <c r="E594" s="53">
        <v>6.66</v>
      </c>
      <c r="F594" s="53">
        <v>74.180000000000007</v>
      </c>
      <c r="G594" s="53">
        <v>106.14</v>
      </c>
      <c r="H594" s="68"/>
    </row>
    <row r="595" spans="1:8" ht="31.5" customHeight="1">
      <c r="A595" s="59">
        <v>813350</v>
      </c>
      <c r="B595" s="51" t="s">
        <v>866</v>
      </c>
      <c r="C595" s="52" t="s">
        <v>328</v>
      </c>
      <c r="D595" s="53">
        <v>27.6</v>
      </c>
      <c r="E595" s="53">
        <v>8.48</v>
      </c>
      <c r="F595" s="53">
        <v>208.76</v>
      </c>
      <c r="G595" s="53">
        <v>244.84</v>
      </c>
      <c r="H595" s="68"/>
    </row>
    <row r="596" spans="1:8" ht="31.5" customHeight="1">
      <c r="A596" s="59">
        <v>813300</v>
      </c>
      <c r="B596" s="51" t="s">
        <v>867</v>
      </c>
      <c r="C596" s="52" t="s">
        <v>328</v>
      </c>
      <c r="D596" s="53">
        <v>27.6</v>
      </c>
      <c r="E596" s="53">
        <v>8.67</v>
      </c>
      <c r="F596" s="53">
        <v>74.180000000000007</v>
      </c>
      <c r="G596" s="53">
        <v>110.45</v>
      </c>
      <c r="H596" s="68"/>
    </row>
    <row r="597" spans="1:8" ht="15.75" customHeight="1">
      <c r="A597" s="59">
        <v>824000</v>
      </c>
      <c r="B597" s="51" t="s">
        <v>868</v>
      </c>
      <c r="C597" s="52" t="s">
        <v>952</v>
      </c>
      <c r="D597" s="53">
        <v>11.96</v>
      </c>
      <c r="E597" s="53">
        <v>250.62</v>
      </c>
      <c r="F597" s="53">
        <v>0</v>
      </c>
      <c r="G597" s="53">
        <v>262.58</v>
      </c>
      <c r="H597" s="68"/>
    </row>
    <row r="598" spans="1:8" ht="15.75" customHeight="1">
      <c r="A598" s="59">
        <v>823000</v>
      </c>
      <c r="B598" s="51" t="s">
        <v>283</v>
      </c>
      <c r="C598" s="52" t="s">
        <v>328</v>
      </c>
      <c r="D598" s="53">
        <v>70.709999999999994</v>
      </c>
      <c r="E598" s="53">
        <v>420</v>
      </c>
      <c r="F598" s="53">
        <v>0</v>
      </c>
      <c r="G598" s="53">
        <v>490.71</v>
      </c>
      <c r="H598" s="68"/>
    </row>
    <row r="599" spans="1:8" ht="15.75" customHeight="1">
      <c r="A599" s="59">
        <v>822350</v>
      </c>
      <c r="B599" s="51" t="s">
        <v>869</v>
      </c>
      <c r="C599" s="52" t="s">
        <v>951</v>
      </c>
      <c r="D599" s="53">
        <v>21.11</v>
      </c>
      <c r="E599" s="53">
        <v>34.57</v>
      </c>
      <c r="F599" s="53">
        <v>0</v>
      </c>
      <c r="G599" s="53">
        <v>55.68</v>
      </c>
      <c r="H599" s="68"/>
    </row>
    <row r="600" spans="1:8" ht="15.75" customHeight="1">
      <c r="A600" s="59">
        <v>822100</v>
      </c>
      <c r="B600" s="51" t="s">
        <v>870</v>
      </c>
      <c r="C600" s="52" t="s">
        <v>951</v>
      </c>
      <c r="D600" s="53">
        <v>10.16</v>
      </c>
      <c r="E600" s="53">
        <v>13.2</v>
      </c>
      <c r="F600" s="53">
        <v>0</v>
      </c>
      <c r="G600" s="53">
        <v>23.36</v>
      </c>
      <c r="H600" s="68"/>
    </row>
    <row r="601" spans="1:8" ht="15.75" customHeight="1">
      <c r="A601" s="59">
        <v>822000</v>
      </c>
      <c r="B601" s="51" t="s">
        <v>871</v>
      </c>
      <c r="C601" s="52" t="s">
        <v>951</v>
      </c>
      <c r="D601" s="53">
        <v>10.16</v>
      </c>
      <c r="E601" s="53">
        <v>20.7</v>
      </c>
      <c r="F601" s="53">
        <v>0</v>
      </c>
      <c r="G601" s="53">
        <v>30.86</v>
      </c>
      <c r="H601" s="68"/>
    </row>
    <row r="602" spans="1:8" ht="15.75" customHeight="1">
      <c r="A602" s="59">
        <v>822330</v>
      </c>
      <c r="B602" s="51" t="s">
        <v>872</v>
      </c>
      <c r="C602" s="52" t="s">
        <v>951</v>
      </c>
      <c r="D602" s="53">
        <v>21.11</v>
      </c>
      <c r="E602" s="53">
        <v>65.8</v>
      </c>
      <c r="F602" s="53">
        <v>0</v>
      </c>
      <c r="G602" s="53">
        <v>86.91</v>
      </c>
      <c r="H602" s="68"/>
    </row>
    <row r="603" spans="1:8" ht="15.75" customHeight="1">
      <c r="A603" s="59">
        <v>820000</v>
      </c>
      <c r="B603" s="51" t="s">
        <v>282</v>
      </c>
      <c r="C603" s="52" t="s">
        <v>951</v>
      </c>
      <c r="D603" s="53">
        <v>200.09</v>
      </c>
      <c r="E603" s="53">
        <v>342.21</v>
      </c>
      <c r="F603" s="53">
        <v>0</v>
      </c>
      <c r="G603" s="53">
        <v>542.29999999999995</v>
      </c>
      <c r="H603" s="68"/>
    </row>
    <row r="604" spans="1:8" ht="15.75" customHeight="1">
      <c r="A604" s="59">
        <v>871500</v>
      </c>
      <c r="B604" s="51" t="s">
        <v>873</v>
      </c>
      <c r="C604" s="52" t="s">
        <v>952</v>
      </c>
      <c r="D604" s="55">
        <v>3265.39</v>
      </c>
      <c r="E604" s="55">
        <v>66548.479999999996</v>
      </c>
      <c r="F604" s="55">
        <v>12974.55</v>
      </c>
      <c r="G604" s="55">
        <v>82788.42</v>
      </c>
      <c r="H604" s="52" t="s">
        <v>25903</v>
      </c>
    </row>
    <row r="605" spans="1:8" ht="15.75" customHeight="1">
      <c r="A605" s="59">
        <v>871600</v>
      </c>
      <c r="B605" s="51" t="s">
        <v>874</v>
      </c>
      <c r="C605" s="52" t="s">
        <v>952</v>
      </c>
      <c r="D605" s="55">
        <v>3265.39</v>
      </c>
      <c r="E605" s="55">
        <v>67648.479999999996</v>
      </c>
      <c r="F605" s="55">
        <v>12974.55</v>
      </c>
      <c r="G605" s="55">
        <v>83888.42</v>
      </c>
      <c r="H605" s="52" t="s">
        <v>25903</v>
      </c>
    </row>
    <row r="606" spans="1:8" ht="15.75" customHeight="1">
      <c r="A606" s="59">
        <v>871700</v>
      </c>
      <c r="B606" s="51" t="s">
        <v>875</v>
      </c>
      <c r="C606" s="52" t="s">
        <v>952</v>
      </c>
      <c r="D606" s="55">
        <v>3265.39</v>
      </c>
      <c r="E606" s="55">
        <v>71448.479999999996</v>
      </c>
      <c r="F606" s="55">
        <v>12974.55</v>
      </c>
      <c r="G606" s="55">
        <v>87688.42</v>
      </c>
      <c r="H606" s="52" t="s">
        <v>25903</v>
      </c>
    </row>
    <row r="607" spans="1:8" ht="15.75" customHeight="1">
      <c r="A607" s="59">
        <v>871800</v>
      </c>
      <c r="B607" s="51" t="s">
        <v>876</v>
      </c>
      <c r="C607" s="52" t="s">
        <v>952</v>
      </c>
      <c r="D607" s="55">
        <v>3265.39</v>
      </c>
      <c r="E607" s="55">
        <v>72848.479999999996</v>
      </c>
      <c r="F607" s="55">
        <v>12974.55</v>
      </c>
      <c r="G607" s="55">
        <v>89088.42</v>
      </c>
      <c r="H607" s="52" t="s">
        <v>25903</v>
      </c>
    </row>
    <row r="608" spans="1:8" ht="15.75" customHeight="1">
      <c r="A608" s="59">
        <v>874950</v>
      </c>
      <c r="B608" s="51" t="s">
        <v>877</v>
      </c>
      <c r="C608" s="52" t="s">
        <v>952</v>
      </c>
      <c r="D608" s="55">
        <v>3001.13</v>
      </c>
      <c r="E608" s="55">
        <v>43374.239999999998</v>
      </c>
      <c r="F608" s="55">
        <v>6487.27</v>
      </c>
      <c r="G608" s="55">
        <v>52862.64</v>
      </c>
      <c r="H608" s="52" t="s">
        <v>25903</v>
      </c>
    </row>
    <row r="609" spans="1:8" ht="15.75" customHeight="1">
      <c r="A609" s="59">
        <v>876050</v>
      </c>
      <c r="B609" s="51" t="s">
        <v>878</v>
      </c>
      <c r="C609" s="52" t="s">
        <v>952</v>
      </c>
      <c r="D609" s="55">
        <v>3001.13</v>
      </c>
      <c r="E609" s="55">
        <v>45974.239999999998</v>
      </c>
      <c r="F609" s="55">
        <v>6487.27</v>
      </c>
      <c r="G609" s="55">
        <v>55462.64</v>
      </c>
      <c r="H609" s="52" t="s">
        <v>25903</v>
      </c>
    </row>
    <row r="610" spans="1:8" ht="15.75" customHeight="1">
      <c r="A610" s="59">
        <v>877250</v>
      </c>
      <c r="B610" s="51" t="s">
        <v>879</v>
      </c>
      <c r="C610" s="52" t="s">
        <v>952</v>
      </c>
      <c r="D610" s="55">
        <v>3001.13</v>
      </c>
      <c r="E610" s="55">
        <v>52874.239999999998</v>
      </c>
      <c r="F610" s="55">
        <v>6487.27</v>
      </c>
      <c r="G610" s="55">
        <v>62362.64</v>
      </c>
      <c r="H610" s="52" t="s">
        <v>25903</v>
      </c>
    </row>
    <row r="611" spans="1:8" ht="15.75" customHeight="1">
      <c r="A611" s="59">
        <v>878350</v>
      </c>
      <c r="B611" s="51" t="s">
        <v>880</v>
      </c>
      <c r="C611" s="52" t="s">
        <v>952</v>
      </c>
      <c r="D611" s="55">
        <v>3001.13</v>
      </c>
      <c r="E611" s="55">
        <v>62874.239999999998</v>
      </c>
      <c r="F611" s="55">
        <v>6487.27</v>
      </c>
      <c r="G611" s="55">
        <v>72362.64</v>
      </c>
      <c r="H611" s="52" t="s">
        <v>25903</v>
      </c>
    </row>
    <row r="612" spans="1:8" ht="15.75" customHeight="1">
      <c r="A612" s="59">
        <v>874900</v>
      </c>
      <c r="B612" s="51" t="s">
        <v>881</v>
      </c>
      <c r="C612" s="52" t="s">
        <v>952</v>
      </c>
      <c r="D612" s="55">
        <v>2620.52</v>
      </c>
      <c r="E612" s="55">
        <v>28474.240000000002</v>
      </c>
      <c r="F612" s="55">
        <v>6487.27</v>
      </c>
      <c r="G612" s="55">
        <v>37582.03</v>
      </c>
      <c r="H612" s="52" t="s">
        <v>25903</v>
      </c>
    </row>
    <row r="613" spans="1:8" ht="15.75" customHeight="1">
      <c r="A613" s="59">
        <v>876000</v>
      </c>
      <c r="B613" s="51" t="s">
        <v>882</v>
      </c>
      <c r="C613" s="52" t="s">
        <v>952</v>
      </c>
      <c r="D613" s="55">
        <v>2620.52</v>
      </c>
      <c r="E613" s="55">
        <v>29874.240000000002</v>
      </c>
      <c r="F613" s="55">
        <v>6487.27</v>
      </c>
      <c r="G613" s="55">
        <v>38982.03</v>
      </c>
      <c r="H613" s="52" t="s">
        <v>25903</v>
      </c>
    </row>
    <row r="614" spans="1:8" ht="15.75" customHeight="1">
      <c r="A614" s="59">
        <v>877200</v>
      </c>
      <c r="B614" s="51" t="s">
        <v>883</v>
      </c>
      <c r="C614" s="52" t="s">
        <v>952</v>
      </c>
      <c r="D614" s="55">
        <v>2620.52</v>
      </c>
      <c r="E614" s="55">
        <v>34274.239999999998</v>
      </c>
      <c r="F614" s="55">
        <v>6487.27</v>
      </c>
      <c r="G614" s="55">
        <v>43382.03</v>
      </c>
      <c r="H614" s="52" t="s">
        <v>25903</v>
      </c>
    </row>
    <row r="615" spans="1:8" ht="15.75" customHeight="1">
      <c r="A615" s="59">
        <v>878300</v>
      </c>
      <c r="B615" s="51" t="s">
        <v>884</v>
      </c>
      <c r="C615" s="52" t="s">
        <v>952</v>
      </c>
      <c r="D615" s="55">
        <v>2620.52</v>
      </c>
      <c r="E615" s="55">
        <v>36774.239999999998</v>
      </c>
      <c r="F615" s="55">
        <v>6487.27</v>
      </c>
      <c r="G615" s="55">
        <v>45882.03</v>
      </c>
      <c r="H615" s="52" t="s">
        <v>25903</v>
      </c>
    </row>
    <row r="616" spans="1:8" ht="15.75" customHeight="1">
      <c r="A616" s="59">
        <v>821000</v>
      </c>
      <c r="B616" s="51" t="s">
        <v>885</v>
      </c>
      <c r="C616" s="52" t="s">
        <v>952</v>
      </c>
      <c r="D616" s="53">
        <v>41.64</v>
      </c>
      <c r="E616" s="53">
        <v>126.05</v>
      </c>
      <c r="F616" s="53">
        <v>0</v>
      </c>
      <c r="G616" s="53">
        <v>167.69</v>
      </c>
      <c r="H616" s="68"/>
    </row>
    <row r="617" spans="1:8" ht="15.75" customHeight="1">
      <c r="A617" s="59">
        <v>821300</v>
      </c>
      <c r="B617" s="51" t="s">
        <v>886</v>
      </c>
      <c r="C617" s="52" t="s">
        <v>952</v>
      </c>
      <c r="D617" s="53">
        <v>78.05</v>
      </c>
      <c r="E617" s="53">
        <v>336.04</v>
      </c>
      <c r="F617" s="53">
        <v>2.4300000000000002</v>
      </c>
      <c r="G617" s="53">
        <v>416.52</v>
      </c>
      <c r="H617" s="68"/>
    </row>
    <row r="618" spans="1:8" ht="15.75" customHeight="1">
      <c r="A618" s="59">
        <v>821350</v>
      </c>
      <c r="B618" s="51" t="s">
        <v>887</v>
      </c>
      <c r="C618" s="52" t="s">
        <v>952</v>
      </c>
      <c r="D618" s="53">
        <v>78.05</v>
      </c>
      <c r="E618" s="53">
        <v>392.04</v>
      </c>
      <c r="F618" s="53">
        <v>2.4300000000000002</v>
      </c>
      <c r="G618" s="53">
        <v>472.52</v>
      </c>
      <c r="H618" s="68"/>
    </row>
    <row r="619" spans="1:8" ht="15.75" customHeight="1">
      <c r="A619" s="59">
        <v>821400</v>
      </c>
      <c r="B619" s="51" t="s">
        <v>888</v>
      </c>
      <c r="C619" s="52" t="s">
        <v>952</v>
      </c>
      <c r="D619" s="53">
        <v>78.05</v>
      </c>
      <c r="E619" s="53">
        <v>447.18</v>
      </c>
      <c r="F619" s="53">
        <v>2.4300000000000002</v>
      </c>
      <c r="G619" s="53">
        <v>527.66</v>
      </c>
      <c r="H619" s="68"/>
    </row>
    <row r="620" spans="1:8" ht="15.75" customHeight="1">
      <c r="A620" s="59">
        <v>822010</v>
      </c>
      <c r="B620" s="51" t="s">
        <v>889</v>
      </c>
      <c r="C620" s="52" t="s">
        <v>952</v>
      </c>
      <c r="D620" s="53">
        <v>78.05</v>
      </c>
      <c r="E620" s="53">
        <v>438.54</v>
      </c>
      <c r="F620" s="53">
        <v>2.4300000000000002</v>
      </c>
      <c r="G620" s="53">
        <v>519.02</v>
      </c>
      <c r="H620" s="68"/>
    </row>
    <row r="621" spans="1:8" ht="15.75" customHeight="1">
      <c r="A621" s="59">
        <v>821110</v>
      </c>
      <c r="B621" s="51" t="s">
        <v>890</v>
      </c>
      <c r="C621" s="52" t="s">
        <v>952</v>
      </c>
      <c r="D621" s="53">
        <v>78.05</v>
      </c>
      <c r="E621" s="53">
        <v>496.04</v>
      </c>
      <c r="F621" s="53">
        <v>2.4300000000000002</v>
      </c>
      <c r="G621" s="53">
        <v>576.52</v>
      </c>
      <c r="H621" s="68"/>
    </row>
    <row r="622" spans="1:8" ht="15.75" customHeight="1">
      <c r="A622" s="59">
        <v>821130</v>
      </c>
      <c r="B622" s="51" t="s">
        <v>891</v>
      </c>
      <c r="C622" s="52" t="s">
        <v>952</v>
      </c>
      <c r="D622" s="53">
        <v>78.05</v>
      </c>
      <c r="E622" s="53">
        <v>556.04</v>
      </c>
      <c r="F622" s="53">
        <v>2.4300000000000002</v>
      </c>
      <c r="G622" s="53">
        <v>636.52</v>
      </c>
      <c r="H622" s="68"/>
    </row>
    <row r="623" spans="1:8" ht="15.75" customHeight="1">
      <c r="A623" s="59">
        <v>821020</v>
      </c>
      <c r="B623" s="51" t="s">
        <v>892</v>
      </c>
      <c r="C623" s="52" t="s">
        <v>952</v>
      </c>
      <c r="D623" s="53">
        <v>91.95</v>
      </c>
      <c r="E623" s="53">
        <v>846.66</v>
      </c>
      <c r="F623" s="53">
        <v>4.76</v>
      </c>
      <c r="G623" s="53">
        <v>943.37</v>
      </c>
      <c r="H623" s="68"/>
    </row>
    <row r="624" spans="1:8" ht="15.75" customHeight="1">
      <c r="A624" s="59">
        <v>822020</v>
      </c>
      <c r="B624" s="51" t="s">
        <v>893</v>
      </c>
      <c r="C624" s="52" t="s">
        <v>952</v>
      </c>
      <c r="D624" s="53">
        <v>91.95</v>
      </c>
      <c r="E624" s="55">
        <v>1164.1600000000001</v>
      </c>
      <c r="F624" s="53">
        <v>4.76</v>
      </c>
      <c r="G624" s="55">
        <v>1260.8699999999999</v>
      </c>
      <c r="H624" s="68"/>
    </row>
    <row r="625" spans="1:8" ht="15.75" customHeight="1">
      <c r="A625" s="59">
        <v>822030</v>
      </c>
      <c r="B625" s="51" t="s">
        <v>894</v>
      </c>
      <c r="C625" s="52" t="s">
        <v>952</v>
      </c>
      <c r="D625" s="53">
        <v>116.92</v>
      </c>
      <c r="E625" s="55">
        <v>1318.57</v>
      </c>
      <c r="F625" s="53">
        <v>9.7200000000000006</v>
      </c>
      <c r="G625" s="55">
        <v>1445.21</v>
      </c>
      <c r="H625" s="68"/>
    </row>
    <row r="626" spans="1:8" ht="15.75" customHeight="1">
      <c r="A626" s="59">
        <v>822040</v>
      </c>
      <c r="B626" s="51" t="s">
        <v>895</v>
      </c>
      <c r="C626" s="52" t="s">
        <v>952</v>
      </c>
      <c r="D626" s="53">
        <v>116.92</v>
      </c>
      <c r="E626" s="55">
        <v>1566.07</v>
      </c>
      <c r="F626" s="53">
        <v>9.7200000000000006</v>
      </c>
      <c r="G626" s="55">
        <v>1692.71</v>
      </c>
      <c r="H626" s="68"/>
    </row>
    <row r="627" spans="1:8" ht="15.75" customHeight="1">
      <c r="A627" s="59">
        <v>822050</v>
      </c>
      <c r="B627" s="51" t="s">
        <v>896</v>
      </c>
      <c r="C627" s="52" t="s">
        <v>952</v>
      </c>
      <c r="D627" s="53">
        <v>116.92</v>
      </c>
      <c r="E627" s="55">
        <v>2206.0700000000002</v>
      </c>
      <c r="F627" s="53">
        <v>9.7200000000000006</v>
      </c>
      <c r="G627" s="55">
        <v>2332.71</v>
      </c>
      <c r="H627" s="68"/>
    </row>
    <row r="628" spans="1:8" ht="15.75" customHeight="1">
      <c r="A628" s="59">
        <v>871000</v>
      </c>
      <c r="B628" s="51" t="s">
        <v>285</v>
      </c>
      <c r="C628" s="52" t="s">
        <v>952</v>
      </c>
      <c r="D628" s="53">
        <v>9.9700000000000006</v>
      </c>
      <c r="E628" s="53">
        <v>8.31</v>
      </c>
      <c r="F628" s="53">
        <v>0</v>
      </c>
      <c r="G628" s="53">
        <v>18.28</v>
      </c>
      <c r="H628" s="68"/>
    </row>
    <row r="629" spans="1:8" ht="15.75" customHeight="1">
      <c r="A629" s="59">
        <v>870000</v>
      </c>
      <c r="B629" s="51" t="s">
        <v>284</v>
      </c>
      <c r="C629" s="52" t="s">
        <v>952</v>
      </c>
      <c r="D629" s="53">
        <v>9.9700000000000006</v>
      </c>
      <c r="E629" s="53">
        <v>7.66</v>
      </c>
      <c r="F629" s="53">
        <v>0</v>
      </c>
      <c r="G629" s="53">
        <v>17.63</v>
      </c>
      <c r="H629" s="68"/>
    </row>
    <row r="630" spans="1:8" ht="15.75" customHeight="1">
      <c r="A630" s="59">
        <v>873000</v>
      </c>
      <c r="B630" s="51" t="s">
        <v>286</v>
      </c>
      <c r="C630" s="52" t="s">
        <v>952</v>
      </c>
      <c r="D630" s="53">
        <v>9.9700000000000006</v>
      </c>
      <c r="E630" s="53">
        <v>21.85</v>
      </c>
      <c r="F630" s="53">
        <v>0</v>
      </c>
      <c r="G630" s="53">
        <v>31.82</v>
      </c>
      <c r="H630" s="68"/>
    </row>
    <row r="631" spans="1:8" ht="15.75" customHeight="1">
      <c r="A631" s="59">
        <v>872000</v>
      </c>
      <c r="B631" s="51" t="s">
        <v>897</v>
      </c>
      <c r="C631" s="52" t="s">
        <v>952</v>
      </c>
      <c r="D631" s="53">
        <v>9.9700000000000006</v>
      </c>
      <c r="E631" s="53">
        <v>21.08</v>
      </c>
      <c r="F631" s="53">
        <v>0</v>
      </c>
      <c r="G631" s="53">
        <v>31.05</v>
      </c>
      <c r="H631" s="68"/>
    </row>
    <row r="632" spans="1:8">
      <c r="A632" s="66"/>
      <c r="B632" s="66" t="s">
        <v>378</v>
      </c>
      <c r="C632" s="67" t="s">
        <v>195</v>
      </c>
      <c r="D632" s="67"/>
      <c r="E632" s="67"/>
      <c r="F632" s="67"/>
      <c r="G632" s="67"/>
      <c r="H632" s="69" t="s">
        <v>195</v>
      </c>
    </row>
    <row r="633" spans="1:8" ht="31.5" customHeight="1">
      <c r="A633" s="59">
        <v>801967</v>
      </c>
      <c r="B633" s="51" t="s">
        <v>898</v>
      </c>
      <c r="C633" s="52" t="s">
        <v>952</v>
      </c>
      <c r="D633" s="53">
        <v>10.94</v>
      </c>
      <c r="E633" s="53">
        <v>20.91</v>
      </c>
      <c r="F633" s="53">
        <v>33.53</v>
      </c>
      <c r="G633" s="53">
        <v>65.38</v>
      </c>
      <c r="H633" s="68"/>
    </row>
    <row r="634" spans="1:8" ht="15.75" customHeight="1">
      <c r="A634" s="59">
        <v>801943</v>
      </c>
      <c r="B634" s="51" t="s">
        <v>899</v>
      </c>
      <c r="C634" s="52" t="s">
        <v>324</v>
      </c>
      <c r="D634" s="53">
        <v>31.46</v>
      </c>
      <c r="E634" s="53">
        <v>0</v>
      </c>
      <c r="F634" s="53">
        <v>0</v>
      </c>
      <c r="G634" s="53">
        <v>31.46</v>
      </c>
      <c r="H634" s="68"/>
    </row>
    <row r="635" spans="1:8" ht="15.75" customHeight="1">
      <c r="A635" s="59">
        <v>801947</v>
      </c>
      <c r="B635" s="51" t="s">
        <v>900</v>
      </c>
      <c r="C635" s="52" t="s">
        <v>328</v>
      </c>
      <c r="D635" s="53">
        <v>0</v>
      </c>
      <c r="E635" s="53">
        <v>0</v>
      </c>
      <c r="F635" s="53">
        <v>82.11</v>
      </c>
      <c r="G635" s="53">
        <v>82.11</v>
      </c>
      <c r="H635" s="68"/>
    </row>
    <row r="636" spans="1:8" ht="15.75" customHeight="1">
      <c r="A636" s="59">
        <v>801963</v>
      </c>
      <c r="B636" s="51" t="s">
        <v>901</v>
      </c>
      <c r="C636" s="52" t="s">
        <v>952</v>
      </c>
      <c r="D636" s="53">
        <v>0</v>
      </c>
      <c r="E636" s="53">
        <v>21.66</v>
      </c>
      <c r="F636" s="53">
        <v>0</v>
      </c>
      <c r="G636" s="53">
        <v>21.66</v>
      </c>
      <c r="H636" s="68"/>
    </row>
    <row r="637" spans="1:8" ht="15.75" customHeight="1">
      <c r="A637" s="59">
        <v>801964</v>
      </c>
      <c r="B637" s="51" t="s">
        <v>902</v>
      </c>
      <c r="C637" s="52" t="s">
        <v>952</v>
      </c>
      <c r="D637" s="53">
        <v>0</v>
      </c>
      <c r="E637" s="53">
        <v>108.42</v>
      </c>
      <c r="F637" s="53">
        <v>0</v>
      </c>
      <c r="G637" s="53">
        <v>108.42</v>
      </c>
      <c r="H637" s="68"/>
    </row>
    <row r="638" spans="1:8" ht="15.75" customHeight="1">
      <c r="A638" s="59">
        <v>801966</v>
      </c>
      <c r="B638" s="51" t="s">
        <v>903</v>
      </c>
      <c r="C638" s="52" t="s">
        <v>328</v>
      </c>
      <c r="D638" s="53">
        <v>0.85</v>
      </c>
      <c r="E638" s="53">
        <v>1.46</v>
      </c>
      <c r="F638" s="53">
        <v>0</v>
      </c>
      <c r="G638" s="53">
        <v>2.31</v>
      </c>
      <c r="H638" s="68"/>
    </row>
    <row r="639" spans="1:8" ht="31.5" customHeight="1">
      <c r="A639" s="59">
        <v>801940</v>
      </c>
      <c r="B639" s="51" t="s">
        <v>904</v>
      </c>
      <c r="C639" s="52" t="s">
        <v>952</v>
      </c>
      <c r="D639" s="53">
        <v>4.71</v>
      </c>
      <c r="E639" s="53">
        <v>38.549999999999997</v>
      </c>
      <c r="F639" s="53">
        <v>0</v>
      </c>
      <c r="G639" s="53">
        <v>43.26</v>
      </c>
      <c r="H639" s="68"/>
    </row>
    <row r="640" spans="1:8" ht="15.75" customHeight="1">
      <c r="A640" s="59">
        <v>822200</v>
      </c>
      <c r="B640" s="51" t="s">
        <v>905</v>
      </c>
      <c r="C640" s="52" t="s">
        <v>951</v>
      </c>
      <c r="D640" s="53">
        <v>10.16</v>
      </c>
      <c r="E640" s="53">
        <v>8.33</v>
      </c>
      <c r="F640" s="53">
        <v>0</v>
      </c>
      <c r="G640" s="53">
        <v>18.489999999999998</v>
      </c>
      <c r="H640" s="68"/>
    </row>
    <row r="641" spans="1:8" ht="15.75" customHeight="1">
      <c r="A641" s="59">
        <v>801946</v>
      </c>
      <c r="B641" s="51" t="s">
        <v>906</v>
      </c>
      <c r="C641" s="52" t="s">
        <v>328</v>
      </c>
      <c r="D641" s="53">
        <v>93.84</v>
      </c>
      <c r="E641" s="53">
        <v>154.99</v>
      </c>
      <c r="F641" s="53">
        <v>0</v>
      </c>
      <c r="G641" s="53">
        <v>248.83</v>
      </c>
      <c r="H641" s="68"/>
    </row>
    <row r="642" spans="1:8" ht="15.75" customHeight="1">
      <c r="A642" s="59">
        <v>801945</v>
      </c>
      <c r="B642" s="51" t="s">
        <v>907</v>
      </c>
      <c r="C642" s="52" t="s">
        <v>952</v>
      </c>
      <c r="D642" s="53">
        <v>92.48</v>
      </c>
      <c r="E642" s="53">
        <v>147</v>
      </c>
      <c r="F642" s="53">
        <v>0</v>
      </c>
      <c r="G642" s="53">
        <v>239.48</v>
      </c>
      <c r="H642" s="68"/>
    </row>
    <row r="643" spans="1:8" ht="31.5" customHeight="1">
      <c r="A643" s="59">
        <v>801941</v>
      </c>
      <c r="B643" s="51" t="s">
        <v>908</v>
      </c>
      <c r="C643" s="52" t="s">
        <v>952</v>
      </c>
      <c r="D643" s="53">
        <v>4.71</v>
      </c>
      <c r="E643" s="53">
        <v>18.75</v>
      </c>
      <c r="F643" s="53">
        <v>0</v>
      </c>
      <c r="G643" s="53">
        <v>23.46</v>
      </c>
      <c r="H643" s="68"/>
    </row>
    <row r="644" spans="1:8" ht="15.75" customHeight="1">
      <c r="A644" s="59">
        <v>801965</v>
      </c>
      <c r="B644" s="51" t="s">
        <v>909</v>
      </c>
      <c r="C644" s="52" t="s">
        <v>952</v>
      </c>
      <c r="D644" s="53">
        <v>0.65</v>
      </c>
      <c r="E644" s="53">
        <v>5.67</v>
      </c>
      <c r="F644" s="53">
        <v>0</v>
      </c>
      <c r="G644" s="53">
        <v>6.32</v>
      </c>
      <c r="H644" s="68"/>
    </row>
    <row r="645" spans="1:8" ht="15.75" customHeight="1">
      <c r="A645" s="59">
        <v>801961</v>
      </c>
      <c r="B645" s="51" t="s">
        <v>910</v>
      </c>
      <c r="C645" s="52" t="s">
        <v>952</v>
      </c>
      <c r="D645" s="53">
        <v>4.71</v>
      </c>
      <c r="E645" s="53">
        <v>38.86</v>
      </c>
      <c r="F645" s="53">
        <v>0</v>
      </c>
      <c r="G645" s="53">
        <v>43.57</v>
      </c>
      <c r="H645" s="68"/>
    </row>
    <row r="646" spans="1:8" ht="15.75" customHeight="1">
      <c r="A646" s="59">
        <v>802160</v>
      </c>
      <c r="B646" s="51" t="s">
        <v>911</v>
      </c>
      <c r="C646" s="52" t="s">
        <v>951</v>
      </c>
      <c r="D646" s="53">
        <v>0</v>
      </c>
      <c r="E646" s="53">
        <v>0</v>
      </c>
      <c r="F646" s="53">
        <v>81.34</v>
      </c>
      <c r="G646" s="53">
        <v>81.34</v>
      </c>
      <c r="H646" s="68"/>
    </row>
    <row r="647" spans="1:8" ht="15.75" customHeight="1">
      <c r="A647" s="59">
        <v>801960</v>
      </c>
      <c r="B647" s="51" t="s">
        <v>912</v>
      </c>
      <c r="C647" s="52" t="s">
        <v>952</v>
      </c>
      <c r="D647" s="53">
        <v>4.71</v>
      </c>
      <c r="E647" s="53">
        <v>2.46</v>
      </c>
      <c r="F647" s="53">
        <v>0</v>
      </c>
      <c r="G647" s="53">
        <v>7.17</v>
      </c>
      <c r="H647" s="68"/>
    </row>
    <row r="648" spans="1:8" ht="15.75" customHeight="1">
      <c r="A648" s="59">
        <v>802161</v>
      </c>
      <c r="B648" s="51" t="s">
        <v>913</v>
      </c>
      <c r="C648" s="52" t="s">
        <v>952</v>
      </c>
      <c r="D648" s="53">
        <v>10.199999999999999</v>
      </c>
      <c r="E648" s="53">
        <v>6.66</v>
      </c>
      <c r="F648" s="53">
        <v>0</v>
      </c>
      <c r="G648" s="53">
        <v>16.86</v>
      </c>
      <c r="H648" s="68"/>
    </row>
    <row r="649" spans="1:8">
      <c r="A649" s="66"/>
      <c r="B649" s="66" t="s">
        <v>379</v>
      </c>
      <c r="C649" s="67" t="s">
        <v>195</v>
      </c>
      <c r="D649" s="67"/>
      <c r="E649" s="67"/>
      <c r="F649" s="67"/>
      <c r="G649" s="67"/>
      <c r="H649" s="69" t="s">
        <v>195</v>
      </c>
    </row>
    <row r="650" spans="1:8" ht="15.75" customHeight="1">
      <c r="A650" s="59">
        <v>970050</v>
      </c>
      <c r="B650" s="51" t="s">
        <v>914</v>
      </c>
      <c r="C650" s="52" t="s">
        <v>955</v>
      </c>
      <c r="D650" s="55">
        <v>5670.37</v>
      </c>
      <c r="E650" s="53">
        <v>0</v>
      </c>
      <c r="F650" s="53">
        <v>0</v>
      </c>
      <c r="G650" s="55">
        <v>5670.37</v>
      </c>
      <c r="H650" s="68"/>
    </row>
    <row r="651" spans="1:8" ht="15.75" customHeight="1">
      <c r="A651" s="59">
        <v>970250</v>
      </c>
      <c r="B651" s="51" t="s">
        <v>915</v>
      </c>
      <c r="C651" s="52" t="s">
        <v>955</v>
      </c>
      <c r="D651" s="55">
        <v>6820.37</v>
      </c>
      <c r="E651" s="53">
        <v>0</v>
      </c>
      <c r="F651" s="53">
        <v>0</v>
      </c>
      <c r="G651" s="55">
        <v>6820.37</v>
      </c>
      <c r="H651" s="68"/>
    </row>
    <row r="652" spans="1:8">
      <c r="A652" s="66"/>
      <c r="B652" s="66" t="s">
        <v>380</v>
      </c>
      <c r="C652" s="67" t="s">
        <v>195</v>
      </c>
      <c r="D652" s="67"/>
      <c r="E652" s="67"/>
      <c r="F652" s="67"/>
      <c r="G652" s="67"/>
      <c r="H652" s="69" t="s">
        <v>195</v>
      </c>
    </row>
    <row r="653" spans="1:8" ht="15.75" customHeight="1">
      <c r="A653" s="59">
        <v>603010</v>
      </c>
      <c r="B653" s="51" t="s">
        <v>916</v>
      </c>
      <c r="C653" s="52" t="s">
        <v>328</v>
      </c>
      <c r="D653" s="53">
        <v>30.68</v>
      </c>
      <c r="E653" s="53">
        <v>95.33</v>
      </c>
      <c r="F653" s="53">
        <v>2.79</v>
      </c>
      <c r="G653" s="53">
        <v>128.80000000000001</v>
      </c>
      <c r="H653" s="52" t="s">
        <v>25903</v>
      </c>
    </row>
    <row r="654" spans="1:8" ht="15.75" customHeight="1">
      <c r="A654" s="59">
        <v>603020</v>
      </c>
      <c r="B654" s="51" t="s">
        <v>917</v>
      </c>
      <c r="C654" s="52" t="s">
        <v>328</v>
      </c>
      <c r="D654" s="53">
        <v>48.95</v>
      </c>
      <c r="E654" s="53">
        <v>212.58</v>
      </c>
      <c r="F654" s="53">
        <v>3.73</v>
      </c>
      <c r="G654" s="53">
        <v>265.26</v>
      </c>
      <c r="H654" s="52" t="s">
        <v>25903</v>
      </c>
    </row>
    <row r="655" spans="1:8" ht="15.75" customHeight="1">
      <c r="A655" s="59">
        <v>603040</v>
      </c>
      <c r="B655" s="51" t="s">
        <v>918</v>
      </c>
      <c r="C655" s="52" t="s">
        <v>328</v>
      </c>
      <c r="D655" s="53">
        <v>73.430000000000007</v>
      </c>
      <c r="E655" s="53">
        <v>369</v>
      </c>
      <c r="F655" s="53">
        <v>4.66</v>
      </c>
      <c r="G655" s="53">
        <v>447.09</v>
      </c>
      <c r="H655" s="52" t="s">
        <v>25903</v>
      </c>
    </row>
    <row r="656" spans="1:8" ht="15.75" customHeight="1">
      <c r="A656" s="59">
        <v>421100</v>
      </c>
      <c r="B656" s="51" t="s">
        <v>919</v>
      </c>
      <c r="C656" s="52" t="s">
        <v>950</v>
      </c>
      <c r="D656" s="53">
        <v>7.42</v>
      </c>
      <c r="E656" s="53">
        <v>0</v>
      </c>
      <c r="F656" s="53">
        <v>0</v>
      </c>
      <c r="G656" s="53">
        <v>7.42</v>
      </c>
      <c r="H656" s="68"/>
    </row>
    <row r="657" spans="1:8" ht="15.75" customHeight="1">
      <c r="A657" s="59">
        <v>401110</v>
      </c>
      <c r="B657" s="51" t="s">
        <v>920</v>
      </c>
      <c r="C657" s="52" t="s">
        <v>950</v>
      </c>
      <c r="D657" s="53">
        <v>6.03</v>
      </c>
      <c r="E657" s="53">
        <v>0</v>
      </c>
      <c r="F657" s="53">
        <v>0</v>
      </c>
      <c r="G657" s="53">
        <v>6.03</v>
      </c>
      <c r="H657" s="68"/>
    </row>
    <row r="658" spans="1:8" ht="15.75" customHeight="1">
      <c r="A658" s="59">
        <v>401120</v>
      </c>
      <c r="B658" s="51" t="s">
        <v>921</v>
      </c>
      <c r="C658" s="52" t="s">
        <v>950</v>
      </c>
      <c r="D658" s="53">
        <v>6.63</v>
      </c>
      <c r="E658" s="53">
        <v>0</v>
      </c>
      <c r="F658" s="53">
        <v>0</v>
      </c>
      <c r="G658" s="53">
        <v>6.63</v>
      </c>
      <c r="H658" s="68"/>
    </row>
    <row r="659" spans="1:8" ht="15.75" customHeight="1">
      <c r="A659" s="59">
        <v>452010</v>
      </c>
      <c r="B659" s="51" t="s">
        <v>922</v>
      </c>
      <c r="C659" s="52" t="s">
        <v>950</v>
      </c>
      <c r="D659" s="53">
        <v>7.7</v>
      </c>
      <c r="E659" s="53">
        <v>0</v>
      </c>
      <c r="F659" s="53">
        <v>7.99</v>
      </c>
      <c r="G659" s="53">
        <v>15.69</v>
      </c>
      <c r="H659" s="52" t="s">
        <v>25903</v>
      </c>
    </row>
    <row r="660" spans="1:8" ht="15.75" customHeight="1">
      <c r="A660" s="59">
        <v>401020</v>
      </c>
      <c r="B660" s="51" t="s">
        <v>201</v>
      </c>
      <c r="C660" s="52" t="s">
        <v>951</v>
      </c>
      <c r="D660" s="53">
        <v>1.1399999999999999</v>
      </c>
      <c r="E660" s="53">
        <v>0</v>
      </c>
      <c r="F660" s="53">
        <v>0</v>
      </c>
      <c r="G660" s="53">
        <v>1.1399999999999999</v>
      </c>
      <c r="H660" s="68"/>
    </row>
    <row r="661" spans="1:8" ht="15.75" customHeight="1">
      <c r="A661" s="59">
        <v>401010</v>
      </c>
      <c r="B661" s="51" t="s">
        <v>202</v>
      </c>
      <c r="C661" s="52" t="s">
        <v>952</v>
      </c>
      <c r="D661" s="53">
        <v>49.34</v>
      </c>
      <c r="E661" s="53">
        <v>0</v>
      </c>
      <c r="F661" s="53">
        <v>0</v>
      </c>
      <c r="G661" s="53">
        <v>49.34</v>
      </c>
      <c r="H661" s="68"/>
    </row>
    <row r="662" spans="1:8" ht="15.75" customHeight="1">
      <c r="A662" s="59">
        <v>401150</v>
      </c>
      <c r="B662" s="51" t="s">
        <v>923</v>
      </c>
      <c r="C662" s="52" t="s">
        <v>950</v>
      </c>
      <c r="D662" s="53">
        <v>4.62</v>
      </c>
      <c r="E662" s="53">
        <v>0</v>
      </c>
      <c r="F662" s="53">
        <v>0</v>
      </c>
      <c r="G662" s="53">
        <v>4.62</v>
      </c>
      <c r="H662" s="68"/>
    </row>
    <row r="663" spans="1:8" ht="15.75" customHeight="1">
      <c r="A663" s="59">
        <v>401030</v>
      </c>
      <c r="B663" s="51" t="s">
        <v>924</v>
      </c>
      <c r="C663" s="52" t="s">
        <v>950</v>
      </c>
      <c r="D663" s="53">
        <v>8.36</v>
      </c>
      <c r="E663" s="53">
        <v>0</v>
      </c>
      <c r="F663" s="53">
        <v>0</v>
      </c>
      <c r="G663" s="53">
        <v>8.36</v>
      </c>
      <c r="H663" s="68"/>
    </row>
    <row r="664" spans="1:8" ht="15.75" customHeight="1">
      <c r="A664" s="59">
        <v>401040</v>
      </c>
      <c r="B664" s="51" t="s">
        <v>387</v>
      </c>
      <c r="C664" s="52" t="s">
        <v>950</v>
      </c>
      <c r="D664" s="53">
        <v>8.56</v>
      </c>
      <c r="E664" s="53">
        <v>0</v>
      </c>
      <c r="F664" s="53">
        <v>0</v>
      </c>
      <c r="G664" s="53">
        <v>8.56</v>
      </c>
      <c r="H664" s="68"/>
    </row>
    <row r="665" spans="1:8" ht="15.75" customHeight="1">
      <c r="A665" s="59">
        <v>401050</v>
      </c>
      <c r="B665" s="51" t="s">
        <v>925</v>
      </c>
      <c r="C665" s="52" t="s">
        <v>950</v>
      </c>
      <c r="D665" s="53">
        <v>7.33</v>
      </c>
      <c r="E665" s="53">
        <v>0</v>
      </c>
      <c r="F665" s="53">
        <v>0</v>
      </c>
      <c r="G665" s="53">
        <v>7.33</v>
      </c>
      <c r="H665" s="68"/>
    </row>
    <row r="666" spans="1:8" ht="15.75" customHeight="1">
      <c r="A666" s="59">
        <v>401140</v>
      </c>
      <c r="B666" s="51" t="s">
        <v>926</v>
      </c>
      <c r="C666" s="52" t="s">
        <v>328</v>
      </c>
      <c r="D666" s="53">
        <v>0.45</v>
      </c>
      <c r="E666" s="53">
        <v>0</v>
      </c>
      <c r="F666" s="53">
        <v>0</v>
      </c>
      <c r="G666" s="53">
        <v>0.45</v>
      </c>
      <c r="H666" s="68"/>
    </row>
    <row r="667" spans="1:8" ht="15.75" customHeight="1">
      <c r="A667" s="59">
        <v>511130</v>
      </c>
      <c r="B667" s="51" t="s">
        <v>927</v>
      </c>
      <c r="C667" s="52" t="s">
        <v>951</v>
      </c>
      <c r="D667" s="53">
        <v>1.23</v>
      </c>
      <c r="E667" s="53">
        <v>0</v>
      </c>
      <c r="F667" s="53">
        <v>0</v>
      </c>
      <c r="G667" s="53">
        <v>1.23</v>
      </c>
      <c r="H667" s="68"/>
    </row>
    <row r="668" spans="1:8" ht="15.75" customHeight="1">
      <c r="A668" s="59">
        <v>603030</v>
      </c>
      <c r="B668" s="51" t="s">
        <v>928</v>
      </c>
      <c r="C668" s="52" t="s">
        <v>950</v>
      </c>
      <c r="D668" s="53">
        <v>11.83</v>
      </c>
      <c r="E668" s="53">
        <v>0</v>
      </c>
      <c r="F668" s="53">
        <v>0</v>
      </c>
      <c r="G668" s="53">
        <v>11.83</v>
      </c>
      <c r="H668" s="68"/>
    </row>
    <row r="669" spans="1:8" ht="15.75" customHeight="1">
      <c r="A669" s="59">
        <v>520250</v>
      </c>
      <c r="B669" s="51" t="s">
        <v>469</v>
      </c>
      <c r="C669" s="52" t="s">
        <v>950</v>
      </c>
      <c r="D669" s="53">
        <v>6.66</v>
      </c>
      <c r="E669" s="53">
        <v>0</v>
      </c>
      <c r="F669" s="53">
        <v>0</v>
      </c>
      <c r="G669" s="53">
        <v>6.66</v>
      </c>
      <c r="H669" s="68"/>
    </row>
    <row r="670" spans="1:8" ht="15.75" customHeight="1">
      <c r="A670" s="59">
        <v>401130</v>
      </c>
      <c r="B670" s="51" t="s">
        <v>929</v>
      </c>
      <c r="C670" s="52" t="s">
        <v>950</v>
      </c>
      <c r="D670" s="53">
        <v>4.24</v>
      </c>
      <c r="E670" s="53">
        <v>0</v>
      </c>
      <c r="F670" s="53">
        <v>0</v>
      </c>
      <c r="G670" s="53">
        <v>4.24</v>
      </c>
      <c r="H670" s="68"/>
    </row>
    <row r="671" spans="1:8" ht="15.75" customHeight="1">
      <c r="A671" s="59">
        <v>401080</v>
      </c>
      <c r="B671" s="51" t="s">
        <v>930</v>
      </c>
      <c r="C671" s="52" t="s">
        <v>950</v>
      </c>
      <c r="D671" s="53">
        <v>2.93</v>
      </c>
      <c r="E671" s="53">
        <v>0</v>
      </c>
      <c r="F671" s="53">
        <v>0</v>
      </c>
      <c r="G671" s="53">
        <v>2.93</v>
      </c>
      <c r="H671" s="68"/>
    </row>
    <row r="672" spans="1:8" ht="15.75" customHeight="1">
      <c r="A672" s="59">
        <v>511030</v>
      </c>
      <c r="B672" s="51" t="s">
        <v>931</v>
      </c>
      <c r="C672" s="52" t="s">
        <v>951</v>
      </c>
      <c r="D672" s="53">
        <v>0.75</v>
      </c>
      <c r="E672" s="53">
        <v>0</v>
      </c>
      <c r="F672" s="53">
        <v>0</v>
      </c>
      <c r="G672" s="53">
        <v>0.75</v>
      </c>
      <c r="H672" s="68"/>
    </row>
    <row r="673" spans="1:8" ht="15.75" customHeight="1">
      <c r="A673" s="59">
        <v>401060</v>
      </c>
      <c r="B673" s="51" t="s">
        <v>932</v>
      </c>
      <c r="C673" s="52" t="s">
        <v>951</v>
      </c>
      <c r="D673" s="53">
        <v>0.19</v>
      </c>
      <c r="E673" s="53">
        <v>0</v>
      </c>
      <c r="F673" s="53">
        <v>0</v>
      </c>
      <c r="G673" s="53">
        <v>0.19</v>
      </c>
      <c r="H673" s="68"/>
    </row>
    <row r="674" spans="1:8" ht="15.75" customHeight="1">
      <c r="A674" s="59">
        <v>603050</v>
      </c>
      <c r="B674" s="51" t="s">
        <v>933</v>
      </c>
      <c r="C674" s="52" t="s">
        <v>328</v>
      </c>
      <c r="D674" s="53">
        <v>19.809999999999999</v>
      </c>
      <c r="E674" s="53">
        <v>0</v>
      </c>
      <c r="F674" s="53">
        <v>0</v>
      </c>
      <c r="G674" s="53">
        <v>19.809999999999999</v>
      </c>
      <c r="H674" s="68"/>
    </row>
    <row r="675" spans="1:8" ht="15.75" customHeight="1">
      <c r="A675" s="59">
        <v>603060</v>
      </c>
      <c r="B675" s="51" t="s">
        <v>934</v>
      </c>
      <c r="C675" s="52" t="s">
        <v>328</v>
      </c>
      <c r="D675" s="53">
        <v>23.77</v>
      </c>
      <c r="E675" s="53">
        <v>0</v>
      </c>
      <c r="F675" s="53">
        <v>0</v>
      </c>
      <c r="G675" s="53">
        <v>23.77</v>
      </c>
      <c r="H675" s="68"/>
    </row>
    <row r="676" spans="1:8" ht="15.75" customHeight="1">
      <c r="A676" s="59">
        <v>401070</v>
      </c>
      <c r="B676" s="51" t="s">
        <v>935</v>
      </c>
      <c r="C676" s="52" t="s">
        <v>951</v>
      </c>
      <c r="D676" s="53">
        <v>0.51</v>
      </c>
      <c r="E676" s="53">
        <v>0</v>
      </c>
      <c r="F676" s="53">
        <v>0</v>
      </c>
      <c r="G676" s="53">
        <v>0.51</v>
      </c>
      <c r="H676" s="68"/>
    </row>
    <row r="677" spans="1:8">
      <c r="A677" s="66"/>
      <c r="B677" s="66" t="s">
        <v>37</v>
      </c>
      <c r="C677" s="67" t="s">
        <v>195</v>
      </c>
      <c r="D677" s="67"/>
      <c r="E677" s="67"/>
      <c r="F677" s="67"/>
      <c r="G677" s="67"/>
      <c r="H677" s="69" t="s">
        <v>195</v>
      </c>
    </row>
    <row r="678" spans="1:8">
      <c r="A678" s="59">
        <v>589100</v>
      </c>
      <c r="B678" s="51" t="s">
        <v>936</v>
      </c>
      <c r="C678" s="52" t="s">
        <v>34</v>
      </c>
      <c r="D678" s="53">
        <v>0</v>
      </c>
      <c r="E678" s="55">
        <v>5937.37</v>
      </c>
      <c r="F678" s="53">
        <v>0</v>
      </c>
      <c r="G678" s="55">
        <v>5937.37</v>
      </c>
      <c r="H678" s="68"/>
    </row>
    <row r="679" spans="1:8">
      <c r="A679" s="59">
        <v>589050</v>
      </c>
      <c r="B679" s="51" t="s">
        <v>937</v>
      </c>
      <c r="C679" s="52" t="s">
        <v>34</v>
      </c>
      <c r="D679" s="53">
        <v>0</v>
      </c>
      <c r="E679" s="55">
        <v>5201.1000000000004</v>
      </c>
      <c r="F679" s="53">
        <v>0</v>
      </c>
      <c r="G679" s="55">
        <v>5201.1000000000004</v>
      </c>
      <c r="H679" s="68"/>
    </row>
    <row r="680" spans="1:8">
      <c r="A680" s="59">
        <v>589070</v>
      </c>
      <c r="B680" s="51" t="s">
        <v>938</v>
      </c>
      <c r="C680" s="52" t="s">
        <v>34</v>
      </c>
      <c r="D680" s="53">
        <v>0</v>
      </c>
      <c r="E680" s="55">
        <v>5001</v>
      </c>
      <c r="F680" s="53">
        <v>0</v>
      </c>
      <c r="G680" s="55">
        <v>5001</v>
      </c>
      <c r="H680" s="68"/>
    </row>
    <row r="681" spans="1:8">
      <c r="A681" s="59">
        <v>589000</v>
      </c>
      <c r="B681" s="51" t="s">
        <v>939</v>
      </c>
      <c r="C681" s="52" t="s">
        <v>34</v>
      </c>
      <c r="D681" s="53">
        <v>0</v>
      </c>
      <c r="E681" s="55">
        <v>4828.8599999999997</v>
      </c>
      <c r="F681" s="53">
        <v>0</v>
      </c>
      <c r="G681" s="55">
        <v>4828.8599999999997</v>
      </c>
      <c r="H681" s="68"/>
    </row>
    <row r="682" spans="1:8">
      <c r="A682" s="59">
        <v>589030</v>
      </c>
      <c r="B682" s="51" t="s">
        <v>940</v>
      </c>
      <c r="C682" s="52" t="s">
        <v>34</v>
      </c>
      <c r="D682" s="53">
        <v>0</v>
      </c>
      <c r="E682" s="55">
        <v>5925.42</v>
      </c>
      <c r="F682" s="53">
        <v>0</v>
      </c>
      <c r="G682" s="55">
        <v>5925.42</v>
      </c>
      <c r="H682" s="68"/>
    </row>
    <row r="683" spans="1:8">
      <c r="A683" s="59">
        <v>589040</v>
      </c>
      <c r="B683" s="51" t="s">
        <v>941</v>
      </c>
      <c r="C683" s="52" t="s">
        <v>34</v>
      </c>
      <c r="D683" s="53">
        <v>0</v>
      </c>
      <c r="E683" s="55">
        <v>6122.06</v>
      </c>
      <c r="F683" s="53">
        <v>0</v>
      </c>
      <c r="G683" s="55">
        <v>6122.06</v>
      </c>
      <c r="H683" s="68"/>
    </row>
    <row r="684" spans="1:8">
      <c r="A684" s="59">
        <v>589060</v>
      </c>
      <c r="B684" s="51" t="s">
        <v>942</v>
      </c>
      <c r="C684" s="52" t="s">
        <v>34</v>
      </c>
      <c r="D684" s="53">
        <v>0</v>
      </c>
      <c r="E684" s="55">
        <v>6307.22</v>
      </c>
      <c r="F684" s="53">
        <v>0</v>
      </c>
      <c r="G684" s="55">
        <v>6307.22</v>
      </c>
      <c r="H684" s="68"/>
    </row>
    <row r="685" spans="1:8">
      <c r="A685" s="59">
        <v>589190</v>
      </c>
      <c r="B685" s="51" t="s">
        <v>275</v>
      </c>
      <c r="C685" s="52" t="s">
        <v>34</v>
      </c>
      <c r="D685" s="53">
        <v>0</v>
      </c>
      <c r="E685" s="55">
        <v>4730.97</v>
      </c>
      <c r="F685" s="53">
        <v>0</v>
      </c>
      <c r="G685" s="55">
        <v>4730.97</v>
      </c>
      <c r="H685" s="68"/>
    </row>
    <row r="686" spans="1:8">
      <c r="A686" s="59">
        <v>589180</v>
      </c>
      <c r="B686" s="51" t="s">
        <v>943</v>
      </c>
      <c r="C686" s="52" t="s">
        <v>34</v>
      </c>
      <c r="D686" s="53">
        <v>0</v>
      </c>
      <c r="E686" s="55">
        <v>5223.84</v>
      </c>
      <c r="F686" s="53">
        <v>0</v>
      </c>
      <c r="G686" s="55">
        <v>5223.84</v>
      </c>
      <c r="H686" s="68"/>
    </row>
    <row r="687" spans="1:8">
      <c r="A687" s="59">
        <v>589170</v>
      </c>
      <c r="B687" s="51" t="s">
        <v>944</v>
      </c>
      <c r="C687" s="52" t="s">
        <v>34</v>
      </c>
      <c r="D687" s="53">
        <v>0</v>
      </c>
      <c r="E687" s="55">
        <v>4031.59</v>
      </c>
      <c r="F687" s="53">
        <v>0</v>
      </c>
      <c r="G687" s="55">
        <v>4031.59</v>
      </c>
      <c r="H687" s="68"/>
    </row>
    <row r="688" spans="1:8">
      <c r="A688" s="59">
        <v>589220</v>
      </c>
      <c r="B688" s="51" t="s">
        <v>945</v>
      </c>
      <c r="C688" s="52" t="s">
        <v>34</v>
      </c>
      <c r="D688" s="53">
        <v>0</v>
      </c>
      <c r="E688" s="55">
        <v>4110.6899999999996</v>
      </c>
      <c r="F688" s="53">
        <v>0</v>
      </c>
      <c r="G688" s="55">
        <v>4110.6899999999996</v>
      </c>
      <c r="H688" s="68"/>
    </row>
    <row r="689" spans="1:8">
      <c r="A689" s="59">
        <v>589320</v>
      </c>
      <c r="B689" s="51" t="s">
        <v>946</v>
      </c>
      <c r="C689" s="52" t="s">
        <v>34</v>
      </c>
      <c r="D689" s="53">
        <v>0</v>
      </c>
      <c r="E689" s="55">
        <v>4012.83</v>
      </c>
      <c r="F689" s="53">
        <v>0</v>
      </c>
      <c r="G689" s="55">
        <v>4012.83</v>
      </c>
      <c r="H689" s="68"/>
    </row>
    <row r="690" spans="1:8">
      <c r="A690" s="59">
        <v>589420</v>
      </c>
      <c r="B690" s="51" t="s">
        <v>276</v>
      </c>
      <c r="C690" s="52" t="s">
        <v>34</v>
      </c>
      <c r="D690" s="53">
        <v>0</v>
      </c>
      <c r="E690" s="55">
        <v>3861.37</v>
      </c>
      <c r="F690" s="53">
        <v>0</v>
      </c>
      <c r="G690" s="55">
        <v>3861.37</v>
      </c>
      <c r="H690" s="68"/>
    </row>
    <row r="691" spans="1:8">
      <c r="A691" s="59">
        <v>589430</v>
      </c>
      <c r="B691" s="51" t="s">
        <v>947</v>
      </c>
      <c r="C691" s="52" t="s">
        <v>34</v>
      </c>
      <c r="D691" s="53">
        <v>0</v>
      </c>
      <c r="E691" s="55">
        <v>4730.1499999999996</v>
      </c>
      <c r="F691" s="53">
        <v>0</v>
      </c>
      <c r="G691" s="55">
        <v>4730.1499999999996</v>
      </c>
      <c r="H691" s="68"/>
    </row>
    <row r="692" spans="1:8">
      <c r="A692" s="59">
        <v>589520</v>
      </c>
      <c r="B692" s="51" t="s">
        <v>948</v>
      </c>
      <c r="C692" s="52" t="s">
        <v>34</v>
      </c>
      <c r="D692" s="53">
        <v>0</v>
      </c>
      <c r="E692" s="55">
        <v>4164.04</v>
      </c>
      <c r="F692" s="53">
        <v>0</v>
      </c>
      <c r="G692" s="55">
        <v>4164.04</v>
      </c>
      <c r="H692" s="68"/>
    </row>
    <row r="693" spans="1:8">
      <c r="A693" s="59">
        <v>589530</v>
      </c>
      <c r="B693" s="51" t="s">
        <v>949</v>
      </c>
      <c r="C693" s="52" t="s">
        <v>34</v>
      </c>
      <c r="D693" s="53">
        <v>0</v>
      </c>
      <c r="E693" s="55">
        <v>5104.75</v>
      </c>
      <c r="F693" s="53">
        <v>0</v>
      </c>
      <c r="G693" s="55">
        <v>5104.75</v>
      </c>
      <c r="H693" s="68"/>
    </row>
    <row r="694" spans="1:8">
      <c r="C694" s="50" t="s">
        <v>195</v>
      </c>
    </row>
    <row r="695" spans="1:8">
      <c r="C695" s="50" t="s">
        <v>195</v>
      </c>
    </row>
  </sheetData>
  <autoFilter ref="A1:H695"/>
  <mergeCells count="5">
    <mergeCell ref="A9:H9"/>
    <mergeCell ref="A2:H2"/>
    <mergeCell ref="A3:H3"/>
    <mergeCell ref="A4:H4"/>
    <mergeCell ref="A5:H5"/>
  </mergeCells>
  <printOptions horizontalCentered="1"/>
  <pageMargins left="0.70866141732283472" right="0.70866141732283472" top="0.74803149606299213" bottom="0.74803149606299213" header="0.31496062992125984" footer="0.31496062992125984"/>
  <pageSetup paperSize="9" scale="70" orientation="landscape" r:id="rId1"/>
  <headerFooter>
    <oddFooter>&amp;LAGÊNCIA DE ASSUNTOS METROPOLITANOS DO PARANÁ - AMEP
DIRETORIA DE OBRAS&amp;CENGª CIBELE CRISTINE MELLO FRANCZAK
DIRETORA DE OBRAS&amp;RPágina &amp;P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2:O358"/>
  <sheetViews>
    <sheetView showGridLines="0" tabSelected="1" zoomScaleNormal="100" zoomScaleSheetLayoutView="115" workbookViewId="0">
      <selection activeCell="B30" sqref="B30"/>
    </sheetView>
  </sheetViews>
  <sheetFormatPr defaultRowHeight="15.75"/>
  <cols>
    <col min="1" max="1" width="23.5703125" style="94" customWidth="1"/>
    <col min="2" max="2" width="110.140625" style="94" customWidth="1"/>
    <col min="3" max="4" width="15.42578125" style="94" customWidth="1"/>
    <col min="5" max="16384" width="9.140625" style="94"/>
  </cols>
  <sheetData>
    <row r="2" spans="1:15" s="8" customFormat="1">
      <c r="A2" s="578" t="s">
        <v>167</v>
      </c>
      <c r="B2" s="578"/>
      <c r="C2" s="578"/>
      <c r="D2" s="578"/>
      <c r="E2" s="89"/>
      <c r="F2" s="89"/>
    </row>
    <row r="3" spans="1:15" s="8" customFormat="1">
      <c r="A3" s="579" t="s">
        <v>165</v>
      </c>
      <c r="B3" s="579"/>
      <c r="C3" s="579"/>
      <c r="D3" s="579"/>
      <c r="E3" s="90"/>
      <c r="F3" s="90"/>
    </row>
    <row r="4" spans="1:15" s="8" customFormat="1">
      <c r="A4" s="580"/>
      <c r="B4" s="580"/>
      <c r="C4" s="580"/>
      <c r="D4" s="580"/>
      <c r="E4" s="91"/>
      <c r="F4" s="91"/>
    </row>
    <row r="5" spans="1:15" s="8" customFormat="1">
      <c r="A5" s="580" t="s">
        <v>25931</v>
      </c>
      <c r="B5" s="580"/>
      <c r="C5" s="580"/>
      <c r="D5" s="580"/>
      <c r="E5" s="91"/>
      <c r="F5" s="91"/>
    </row>
    <row r="6" spans="1:15">
      <c r="A6" s="581"/>
      <c r="B6" s="581"/>
      <c r="C6" s="581"/>
      <c r="D6" s="92"/>
      <c r="E6" s="92"/>
      <c r="F6" s="92"/>
      <c r="G6" s="93"/>
      <c r="H6" s="92"/>
      <c r="I6" s="92"/>
      <c r="J6" s="92"/>
      <c r="K6" s="92"/>
      <c r="L6" s="92"/>
      <c r="M6" s="92"/>
      <c r="N6" s="92"/>
      <c r="O6" s="8"/>
    </row>
    <row r="7" spans="1:15">
      <c r="A7" s="95"/>
      <c r="B7" s="95"/>
      <c r="C7" s="95"/>
      <c r="D7" s="95"/>
      <c r="E7" s="95"/>
      <c r="F7" s="95"/>
      <c r="G7" s="93"/>
      <c r="H7" s="92"/>
      <c r="I7" s="92"/>
      <c r="J7" s="92"/>
      <c r="K7" s="92"/>
      <c r="L7" s="92"/>
      <c r="M7" s="92"/>
      <c r="N7" s="92"/>
      <c r="O7" s="8"/>
    </row>
    <row r="8" spans="1:15">
      <c r="A8" s="577" t="s">
        <v>25904</v>
      </c>
      <c r="B8" s="577"/>
      <c r="C8" s="577"/>
      <c r="D8" s="577"/>
      <c r="E8" s="95"/>
      <c r="F8" s="95"/>
      <c r="G8" s="93"/>
      <c r="H8" s="92"/>
      <c r="I8" s="92"/>
      <c r="J8" s="92"/>
      <c r="K8" s="92"/>
      <c r="L8" s="92"/>
      <c r="M8" s="92"/>
      <c r="N8" s="92"/>
      <c r="O8" s="8"/>
    </row>
    <row r="9" spans="1:15">
      <c r="A9" s="101" t="s">
        <v>156</v>
      </c>
      <c r="B9" s="101" t="s">
        <v>1186</v>
      </c>
      <c r="C9" s="101" t="s">
        <v>371</v>
      </c>
      <c r="D9" s="102" t="s">
        <v>1187</v>
      </c>
    </row>
    <row r="10" spans="1:15">
      <c r="A10" s="96">
        <v>178110</v>
      </c>
      <c r="B10" s="97" t="s">
        <v>1188</v>
      </c>
      <c r="C10" s="98" t="s">
        <v>327</v>
      </c>
      <c r="D10" s="99">
        <v>66.02</v>
      </c>
    </row>
    <row r="11" spans="1:15">
      <c r="A11" s="96">
        <v>178150</v>
      </c>
      <c r="B11" s="97" t="s">
        <v>1189</v>
      </c>
      <c r="C11" s="98" t="s">
        <v>327</v>
      </c>
      <c r="D11" s="99">
        <v>30</v>
      </c>
    </row>
    <row r="12" spans="1:15">
      <c r="A12" s="96">
        <v>178170</v>
      </c>
      <c r="B12" s="97" t="s">
        <v>1190</v>
      </c>
      <c r="C12" s="98" t="s">
        <v>954</v>
      </c>
      <c r="D12" s="99">
        <v>9.6999999999999993</v>
      </c>
    </row>
    <row r="13" spans="1:15">
      <c r="A13" s="96">
        <v>178120</v>
      </c>
      <c r="B13" s="97" t="s">
        <v>1191</v>
      </c>
      <c r="C13" s="98" t="s">
        <v>327</v>
      </c>
      <c r="D13" s="99">
        <v>13.51</v>
      </c>
    </row>
    <row r="14" spans="1:15">
      <c r="A14" s="96">
        <v>178130</v>
      </c>
      <c r="B14" s="97" t="s">
        <v>1192</v>
      </c>
      <c r="C14" s="98" t="s">
        <v>327</v>
      </c>
      <c r="D14" s="99">
        <v>28.72</v>
      </c>
    </row>
    <row r="15" spans="1:15">
      <c r="A15" s="96">
        <v>141480</v>
      </c>
      <c r="B15" s="97" t="s">
        <v>1193</v>
      </c>
      <c r="C15" s="98" t="s">
        <v>327</v>
      </c>
      <c r="D15" s="99">
        <v>10.14</v>
      </c>
    </row>
    <row r="16" spans="1:15">
      <c r="A16" s="96">
        <v>143100</v>
      </c>
      <c r="B16" s="97" t="s">
        <v>1194</v>
      </c>
      <c r="C16" s="98" t="s">
        <v>327</v>
      </c>
      <c r="D16" s="99">
        <v>7.28</v>
      </c>
    </row>
    <row r="17" spans="1:4">
      <c r="A17" s="96">
        <v>178180</v>
      </c>
      <c r="B17" s="97" t="s">
        <v>1195</v>
      </c>
      <c r="C17" s="98" t="s">
        <v>954</v>
      </c>
      <c r="D17" s="99">
        <v>15.43</v>
      </c>
    </row>
    <row r="18" spans="1:4">
      <c r="A18" s="96">
        <v>150040</v>
      </c>
      <c r="B18" s="97" t="s">
        <v>1196</v>
      </c>
      <c r="C18" s="98" t="s">
        <v>327</v>
      </c>
      <c r="D18" s="99">
        <v>32</v>
      </c>
    </row>
    <row r="19" spans="1:4">
      <c r="A19" s="96">
        <v>105000</v>
      </c>
      <c r="B19" s="97" t="s">
        <v>1197</v>
      </c>
      <c r="C19" s="98" t="s">
        <v>328</v>
      </c>
      <c r="D19" s="99">
        <v>1.1100000000000001</v>
      </c>
    </row>
    <row r="20" spans="1:4">
      <c r="A20" s="96">
        <v>150180</v>
      </c>
      <c r="B20" s="97" t="s">
        <v>1198</v>
      </c>
      <c r="C20" s="98" t="s">
        <v>327</v>
      </c>
      <c r="D20" s="99">
        <v>21.49</v>
      </c>
    </row>
    <row r="21" spans="1:4">
      <c r="A21" s="96">
        <v>139000</v>
      </c>
      <c r="B21" s="97" t="s">
        <v>1199</v>
      </c>
      <c r="C21" s="98" t="s">
        <v>950</v>
      </c>
      <c r="D21" s="99">
        <v>71.87</v>
      </c>
    </row>
    <row r="22" spans="1:4">
      <c r="A22" s="96">
        <v>170300</v>
      </c>
      <c r="B22" s="97" t="s">
        <v>1200</v>
      </c>
      <c r="C22" s="98" t="s">
        <v>34</v>
      </c>
      <c r="D22" s="100">
        <v>5937.37</v>
      </c>
    </row>
    <row r="23" spans="1:4">
      <c r="A23" s="96">
        <v>170600</v>
      </c>
      <c r="B23" s="97" t="s">
        <v>1201</v>
      </c>
      <c r="C23" s="98" t="s">
        <v>34</v>
      </c>
      <c r="D23" s="100">
        <v>5201.1000000000004</v>
      </c>
    </row>
    <row r="24" spans="1:4">
      <c r="A24" s="96">
        <v>180450</v>
      </c>
      <c r="B24" s="97" t="s">
        <v>1202</v>
      </c>
      <c r="C24" s="98" t="s">
        <v>952</v>
      </c>
      <c r="D24" s="99">
        <v>47.23</v>
      </c>
    </row>
    <row r="25" spans="1:4">
      <c r="A25" s="96">
        <v>180000</v>
      </c>
      <c r="B25" s="97" t="s">
        <v>1203</v>
      </c>
      <c r="C25" s="98" t="s">
        <v>952</v>
      </c>
      <c r="D25" s="99">
        <v>181.23</v>
      </c>
    </row>
    <row r="26" spans="1:4">
      <c r="A26" s="96">
        <v>106450</v>
      </c>
      <c r="B26" s="97" t="s">
        <v>1204</v>
      </c>
      <c r="C26" s="98" t="s">
        <v>327</v>
      </c>
      <c r="D26" s="99">
        <v>10.36</v>
      </c>
    </row>
    <row r="27" spans="1:4">
      <c r="A27" s="96">
        <v>106480</v>
      </c>
      <c r="B27" s="97" t="s">
        <v>1205</v>
      </c>
      <c r="C27" s="98" t="s">
        <v>952</v>
      </c>
      <c r="D27" s="99">
        <v>45.39</v>
      </c>
    </row>
    <row r="28" spans="1:4">
      <c r="A28" s="96">
        <v>106490</v>
      </c>
      <c r="B28" s="97" t="s">
        <v>1206</v>
      </c>
      <c r="C28" s="98" t="s">
        <v>952</v>
      </c>
      <c r="D28" s="99">
        <v>50.26</v>
      </c>
    </row>
    <row r="29" spans="1:4">
      <c r="A29" s="96">
        <v>106460</v>
      </c>
      <c r="B29" s="97" t="s">
        <v>1207</v>
      </c>
      <c r="C29" s="98" t="s">
        <v>952</v>
      </c>
      <c r="D29" s="99">
        <v>70.400000000000006</v>
      </c>
    </row>
    <row r="30" spans="1:4">
      <c r="A30" s="96">
        <v>106470</v>
      </c>
      <c r="B30" s="97" t="s">
        <v>1208</v>
      </c>
      <c r="C30" s="98" t="s">
        <v>952</v>
      </c>
      <c r="D30" s="99">
        <v>89.86</v>
      </c>
    </row>
    <row r="31" spans="1:4">
      <c r="A31" s="96">
        <v>155500</v>
      </c>
      <c r="B31" s="97" t="s">
        <v>1209</v>
      </c>
      <c r="C31" s="98" t="s">
        <v>328</v>
      </c>
      <c r="D31" s="99">
        <v>243.06</v>
      </c>
    </row>
    <row r="32" spans="1:4">
      <c r="A32" s="96">
        <v>106400</v>
      </c>
      <c r="B32" s="97" t="s">
        <v>1210</v>
      </c>
      <c r="C32" s="98" t="s">
        <v>328</v>
      </c>
      <c r="D32" s="99">
        <v>44.07</v>
      </c>
    </row>
    <row r="33" spans="1:4">
      <c r="A33" s="96">
        <v>180423</v>
      </c>
      <c r="B33" s="97" t="s">
        <v>1211</v>
      </c>
      <c r="C33" s="98" t="s">
        <v>952</v>
      </c>
      <c r="D33" s="99">
        <v>54.17</v>
      </c>
    </row>
    <row r="34" spans="1:4">
      <c r="A34" s="96">
        <v>186010</v>
      </c>
      <c r="B34" s="97" t="s">
        <v>1212</v>
      </c>
      <c r="C34" s="98" t="s">
        <v>952</v>
      </c>
      <c r="D34" s="99">
        <v>720</v>
      </c>
    </row>
    <row r="35" spans="1:4">
      <c r="A35" s="96">
        <v>145650</v>
      </c>
      <c r="B35" s="97" t="s">
        <v>1213</v>
      </c>
      <c r="C35" s="98" t="s">
        <v>951</v>
      </c>
      <c r="D35" s="99">
        <v>66.83</v>
      </c>
    </row>
    <row r="36" spans="1:4">
      <c r="A36" s="96">
        <v>145850</v>
      </c>
      <c r="B36" s="97" t="s">
        <v>1214</v>
      </c>
      <c r="C36" s="98" t="s">
        <v>951</v>
      </c>
      <c r="D36" s="99">
        <v>72.5</v>
      </c>
    </row>
    <row r="37" spans="1:4">
      <c r="A37" s="96">
        <v>191919</v>
      </c>
      <c r="B37" s="97" t="s">
        <v>1215</v>
      </c>
      <c r="C37" s="98" t="s">
        <v>952</v>
      </c>
      <c r="D37" s="99">
        <v>4.1399999999999997</v>
      </c>
    </row>
    <row r="38" spans="1:4">
      <c r="A38" s="96">
        <v>191939</v>
      </c>
      <c r="B38" s="97" t="s">
        <v>1216</v>
      </c>
      <c r="C38" s="98" t="s">
        <v>952</v>
      </c>
      <c r="D38" s="99">
        <v>5.5</v>
      </c>
    </row>
    <row r="39" spans="1:4">
      <c r="A39" s="96">
        <v>145600</v>
      </c>
      <c r="B39" s="97" t="s">
        <v>1217</v>
      </c>
      <c r="C39" s="98" t="s">
        <v>951</v>
      </c>
      <c r="D39" s="99">
        <v>45.7</v>
      </c>
    </row>
    <row r="40" spans="1:4">
      <c r="A40" s="96">
        <v>145680</v>
      </c>
      <c r="B40" s="97" t="s">
        <v>1218</v>
      </c>
      <c r="C40" s="98" t="s">
        <v>951</v>
      </c>
      <c r="D40" s="99">
        <v>58.9</v>
      </c>
    </row>
    <row r="41" spans="1:4">
      <c r="A41" s="96">
        <v>180424</v>
      </c>
      <c r="B41" s="97" t="s">
        <v>1219</v>
      </c>
      <c r="C41" s="98" t="s">
        <v>952</v>
      </c>
      <c r="D41" s="99">
        <v>677.66</v>
      </c>
    </row>
    <row r="42" spans="1:4">
      <c r="A42" s="96">
        <v>130170</v>
      </c>
      <c r="B42" s="97" t="s">
        <v>1220</v>
      </c>
      <c r="C42" s="98" t="s">
        <v>950</v>
      </c>
      <c r="D42" s="99">
        <v>73.72</v>
      </c>
    </row>
    <row r="43" spans="1:4">
      <c r="A43" s="96">
        <v>186050</v>
      </c>
      <c r="B43" s="97" t="s">
        <v>1221</v>
      </c>
      <c r="C43" s="98" t="s">
        <v>952</v>
      </c>
      <c r="D43" s="99">
        <v>48.7</v>
      </c>
    </row>
    <row r="44" spans="1:4">
      <c r="A44" s="96">
        <v>186060</v>
      </c>
      <c r="B44" s="97" t="s">
        <v>1222</v>
      </c>
      <c r="C44" s="98" t="s">
        <v>952</v>
      </c>
      <c r="D44" s="99">
        <v>131.13</v>
      </c>
    </row>
    <row r="45" spans="1:4">
      <c r="A45" s="96">
        <v>186070</v>
      </c>
      <c r="B45" s="97" t="s">
        <v>1223</v>
      </c>
      <c r="C45" s="98" t="s">
        <v>952</v>
      </c>
      <c r="D45" s="99">
        <v>183.44</v>
      </c>
    </row>
    <row r="46" spans="1:4">
      <c r="A46" s="96">
        <v>186080</v>
      </c>
      <c r="B46" s="97" t="s">
        <v>1224</v>
      </c>
      <c r="C46" s="98" t="s">
        <v>952</v>
      </c>
      <c r="D46" s="99">
        <v>645.19000000000005</v>
      </c>
    </row>
    <row r="47" spans="1:4">
      <c r="A47" s="96">
        <v>186090</v>
      </c>
      <c r="B47" s="97" t="s">
        <v>1225</v>
      </c>
      <c r="C47" s="98" t="s">
        <v>952</v>
      </c>
      <c r="D47" s="99">
        <v>725.69</v>
      </c>
    </row>
    <row r="48" spans="1:4">
      <c r="A48" s="96">
        <v>186100</v>
      </c>
      <c r="B48" s="97" t="s">
        <v>1226</v>
      </c>
      <c r="C48" s="98" t="s">
        <v>952</v>
      </c>
      <c r="D48" s="100">
        <v>1136.21</v>
      </c>
    </row>
    <row r="49" spans="1:4">
      <c r="A49" s="96">
        <v>156250</v>
      </c>
      <c r="B49" s="97" t="s">
        <v>1227</v>
      </c>
      <c r="C49" s="98" t="s">
        <v>328</v>
      </c>
      <c r="D49" s="99">
        <v>26.9</v>
      </c>
    </row>
    <row r="50" spans="1:4">
      <c r="A50" s="96">
        <v>180130</v>
      </c>
      <c r="B50" s="97" t="s">
        <v>1228</v>
      </c>
      <c r="C50" s="98" t="s">
        <v>328</v>
      </c>
      <c r="D50" s="99">
        <v>5.55</v>
      </c>
    </row>
    <row r="51" spans="1:4">
      <c r="A51" s="96">
        <v>180150</v>
      </c>
      <c r="B51" s="97" t="s">
        <v>1229</v>
      </c>
      <c r="C51" s="98" t="s">
        <v>328</v>
      </c>
      <c r="D51" s="99">
        <v>1.4</v>
      </c>
    </row>
    <row r="52" spans="1:4">
      <c r="A52" s="96">
        <v>180070</v>
      </c>
      <c r="B52" s="97" t="s">
        <v>1230</v>
      </c>
      <c r="C52" s="98" t="s">
        <v>328</v>
      </c>
      <c r="D52" s="99">
        <v>4.41</v>
      </c>
    </row>
    <row r="53" spans="1:4">
      <c r="A53" s="96">
        <v>180080</v>
      </c>
      <c r="B53" s="97" t="s">
        <v>1231</v>
      </c>
      <c r="C53" s="98" t="s">
        <v>328</v>
      </c>
      <c r="D53" s="99">
        <v>6.32</v>
      </c>
    </row>
    <row r="54" spans="1:4">
      <c r="A54" s="96">
        <v>170010</v>
      </c>
      <c r="B54" s="97" t="s">
        <v>1232</v>
      </c>
      <c r="C54" s="98" t="s">
        <v>34</v>
      </c>
      <c r="D54" s="99">
        <v>585.66</v>
      </c>
    </row>
    <row r="55" spans="1:4">
      <c r="A55" s="96">
        <v>170100</v>
      </c>
      <c r="B55" s="97" t="s">
        <v>1233</v>
      </c>
      <c r="C55" s="98" t="s">
        <v>327</v>
      </c>
      <c r="D55" s="99">
        <v>0.87</v>
      </c>
    </row>
    <row r="56" spans="1:4">
      <c r="A56" s="96">
        <v>106350</v>
      </c>
      <c r="B56" s="97" t="s">
        <v>1234</v>
      </c>
      <c r="C56" s="98" t="s">
        <v>327</v>
      </c>
      <c r="D56" s="99">
        <v>8.57</v>
      </c>
    </row>
    <row r="57" spans="1:4">
      <c r="A57" s="96">
        <v>150250</v>
      </c>
      <c r="B57" s="97" t="s">
        <v>1235</v>
      </c>
      <c r="C57" s="98" t="s">
        <v>952</v>
      </c>
      <c r="D57" s="99">
        <v>28.74</v>
      </c>
    </row>
    <row r="58" spans="1:4">
      <c r="A58" s="96">
        <v>150190</v>
      </c>
      <c r="B58" s="97" t="s">
        <v>1236</v>
      </c>
      <c r="C58" s="98" t="s">
        <v>951</v>
      </c>
      <c r="D58" s="99">
        <v>143.75</v>
      </c>
    </row>
    <row r="59" spans="1:4">
      <c r="A59" s="96">
        <v>150000</v>
      </c>
      <c r="B59" s="97" t="s">
        <v>1237</v>
      </c>
      <c r="C59" s="98" t="s">
        <v>327</v>
      </c>
      <c r="D59" s="99">
        <v>10.08</v>
      </c>
    </row>
    <row r="60" spans="1:4">
      <c r="A60" s="96">
        <v>150215</v>
      </c>
      <c r="B60" s="97" t="s">
        <v>1238</v>
      </c>
      <c r="C60" s="98" t="s">
        <v>951</v>
      </c>
      <c r="D60" s="99">
        <v>38.4</v>
      </c>
    </row>
    <row r="61" spans="1:4">
      <c r="A61" s="96">
        <v>152100</v>
      </c>
      <c r="B61" s="97" t="s">
        <v>1239</v>
      </c>
      <c r="C61" s="98" t="s">
        <v>952</v>
      </c>
      <c r="D61" s="99">
        <v>59.28</v>
      </c>
    </row>
    <row r="62" spans="1:4">
      <c r="A62" s="96">
        <v>180001</v>
      </c>
      <c r="B62" s="97" t="s">
        <v>1240</v>
      </c>
      <c r="C62" s="98" t="s">
        <v>952</v>
      </c>
      <c r="D62" s="99">
        <v>250.62</v>
      </c>
    </row>
    <row r="63" spans="1:4">
      <c r="A63" s="96">
        <v>170330</v>
      </c>
      <c r="B63" s="97" t="s">
        <v>1241</v>
      </c>
      <c r="C63" s="98" t="s">
        <v>34</v>
      </c>
      <c r="D63" s="100">
        <v>5001</v>
      </c>
    </row>
    <row r="64" spans="1:4">
      <c r="A64" s="96">
        <v>170500</v>
      </c>
      <c r="B64" s="97" t="s">
        <v>1242</v>
      </c>
      <c r="C64" s="98" t="s">
        <v>34</v>
      </c>
      <c r="D64" s="100">
        <v>4828.8599999999997</v>
      </c>
    </row>
    <row r="65" spans="1:4">
      <c r="A65" s="96">
        <v>170540</v>
      </c>
      <c r="B65" s="97" t="s">
        <v>1243</v>
      </c>
      <c r="C65" s="98" t="s">
        <v>34</v>
      </c>
      <c r="D65" s="100">
        <v>5925.42</v>
      </c>
    </row>
    <row r="66" spans="1:4">
      <c r="A66" s="96">
        <v>170550</v>
      </c>
      <c r="B66" s="97" t="s">
        <v>1244</v>
      </c>
      <c r="C66" s="98" t="s">
        <v>34</v>
      </c>
      <c r="D66" s="100">
        <v>6122.06</v>
      </c>
    </row>
    <row r="67" spans="1:4">
      <c r="A67" s="96">
        <v>170560</v>
      </c>
      <c r="B67" s="97" t="s">
        <v>1245</v>
      </c>
      <c r="C67" s="98" t="s">
        <v>34</v>
      </c>
      <c r="D67" s="100">
        <v>6307.22</v>
      </c>
    </row>
    <row r="68" spans="1:4">
      <c r="A68" s="96">
        <v>173210</v>
      </c>
      <c r="B68" s="97" t="s">
        <v>1246</v>
      </c>
      <c r="C68" s="98" t="s">
        <v>34</v>
      </c>
      <c r="D68" s="99">
        <v>581.55999999999995</v>
      </c>
    </row>
    <row r="69" spans="1:4">
      <c r="A69" s="96">
        <v>173200</v>
      </c>
      <c r="B69" s="97" t="s">
        <v>1247</v>
      </c>
      <c r="C69" s="98" t="s">
        <v>34</v>
      </c>
      <c r="D69" s="99">
        <v>566</v>
      </c>
    </row>
    <row r="70" spans="1:4">
      <c r="A70" s="96">
        <v>100090</v>
      </c>
      <c r="B70" s="97" t="s">
        <v>1248</v>
      </c>
      <c r="C70" s="98" t="s">
        <v>327</v>
      </c>
      <c r="D70" s="99">
        <v>11.67</v>
      </c>
    </row>
    <row r="71" spans="1:4">
      <c r="A71" s="96">
        <v>100140</v>
      </c>
      <c r="B71" s="97" t="s">
        <v>1249</v>
      </c>
      <c r="C71" s="98" t="s">
        <v>1532</v>
      </c>
      <c r="D71" s="99">
        <v>0.12</v>
      </c>
    </row>
    <row r="72" spans="1:4">
      <c r="A72" s="96">
        <v>125140</v>
      </c>
      <c r="B72" s="97" t="s">
        <v>1250</v>
      </c>
      <c r="C72" s="98" t="s">
        <v>951</v>
      </c>
      <c r="D72" s="99">
        <v>42.1</v>
      </c>
    </row>
    <row r="73" spans="1:4">
      <c r="A73" s="96">
        <v>126140</v>
      </c>
      <c r="B73" s="97" t="s">
        <v>1251</v>
      </c>
      <c r="C73" s="98" t="s">
        <v>951</v>
      </c>
      <c r="D73" s="99">
        <v>32.39</v>
      </c>
    </row>
    <row r="74" spans="1:4">
      <c r="A74" s="96">
        <v>125170</v>
      </c>
      <c r="B74" s="97" t="s">
        <v>1252</v>
      </c>
      <c r="C74" s="98" t="s">
        <v>951</v>
      </c>
      <c r="D74" s="99">
        <v>51.96</v>
      </c>
    </row>
    <row r="75" spans="1:4">
      <c r="A75" s="96">
        <v>126170</v>
      </c>
      <c r="B75" s="97" t="s">
        <v>1253</v>
      </c>
      <c r="C75" s="98" t="s">
        <v>951</v>
      </c>
      <c r="D75" s="99">
        <v>39.44</v>
      </c>
    </row>
    <row r="76" spans="1:4">
      <c r="A76" s="96">
        <v>160000</v>
      </c>
      <c r="B76" s="97" t="s">
        <v>1254</v>
      </c>
      <c r="C76" s="98" t="s">
        <v>950</v>
      </c>
      <c r="D76" s="99">
        <v>0</v>
      </c>
    </row>
    <row r="77" spans="1:4">
      <c r="A77" s="96">
        <v>160022</v>
      </c>
      <c r="B77" s="97" t="s">
        <v>1255</v>
      </c>
      <c r="C77" s="98" t="s">
        <v>950</v>
      </c>
      <c r="D77" s="99">
        <v>0</v>
      </c>
    </row>
    <row r="78" spans="1:4">
      <c r="A78" s="96">
        <v>160030</v>
      </c>
      <c r="B78" s="97" t="s">
        <v>1256</v>
      </c>
      <c r="C78" s="98" t="s">
        <v>950</v>
      </c>
      <c r="D78" s="99">
        <v>0</v>
      </c>
    </row>
    <row r="79" spans="1:4">
      <c r="A79" s="96">
        <v>100750</v>
      </c>
      <c r="B79" s="97" t="s">
        <v>1257</v>
      </c>
      <c r="C79" s="98" t="s">
        <v>952</v>
      </c>
      <c r="D79" s="99">
        <v>151</v>
      </c>
    </row>
    <row r="80" spans="1:4">
      <c r="A80" s="96">
        <v>100745</v>
      </c>
      <c r="B80" s="97" t="s">
        <v>1258</v>
      </c>
      <c r="C80" s="98" t="s">
        <v>952</v>
      </c>
      <c r="D80" s="99">
        <v>91.5</v>
      </c>
    </row>
    <row r="81" spans="1:4">
      <c r="A81" s="96">
        <v>100755</v>
      </c>
      <c r="B81" s="97" t="s">
        <v>1259</v>
      </c>
      <c r="C81" s="98" t="s">
        <v>952</v>
      </c>
      <c r="D81" s="99">
        <v>125</v>
      </c>
    </row>
    <row r="82" spans="1:4">
      <c r="A82" s="96">
        <v>166760</v>
      </c>
      <c r="B82" s="97" t="s">
        <v>1260</v>
      </c>
      <c r="C82" s="98" t="s">
        <v>952</v>
      </c>
      <c r="D82" s="99">
        <v>257</v>
      </c>
    </row>
    <row r="83" spans="1:4">
      <c r="A83" s="96">
        <v>180230</v>
      </c>
      <c r="B83" s="97" t="s">
        <v>1261</v>
      </c>
      <c r="C83" s="98" t="s">
        <v>952</v>
      </c>
      <c r="D83" s="99">
        <v>7.32</v>
      </c>
    </row>
    <row r="84" spans="1:4">
      <c r="A84" s="96">
        <v>180190</v>
      </c>
      <c r="B84" s="97" t="s">
        <v>1262</v>
      </c>
      <c r="C84" s="98" t="s">
        <v>952</v>
      </c>
      <c r="D84" s="99">
        <v>22.27</v>
      </c>
    </row>
    <row r="85" spans="1:4">
      <c r="A85" s="96">
        <v>135200</v>
      </c>
      <c r="B85" s="97" t="s">
        <v>1263</v>
      </c>
      <c r="C85" s="98" t="s">
        <v>952</v>
      </c>
      <c r="D85" s="99">
        <v>65.260000000000005</v>
      </c>
    </row>
    <row r="86" spans="1:4">
      <c r="A86" s="96">
        <v>120750</v>
      </c>
      <c r="B86" s="97" t="s">
        <v>1264</v>
      </c>
      <c r="C86" s="98" t="s">
        <v>328</v>
      </c>
      <c r="D86" s="99">
        <v>1.34</v>
      </c>
    </row>
    <row r="87" spans="1:4">
      <c r="A87" s="96">
        <v>120900</v>
      </c>
      <c r="B87" s="97" t="s">
        <v>1265</v>
      </c>
      <c r="C87" s="98" t="s">
        <v>328</v>
      </c>
      <c r="D87" s="99">
        <v>1.73</v>
      </c>
    </row>
    <row r="88" spans="1:4">
      <c r="A88" s="96">
        <v>120600</v>
      </c>
      <c r="B88" s="97" t="s">
        <v>1266</v>
      </c>
      <c r="C88" s="98" t="s">
        <v>328</v>
      </c>
      <c r="D88" s="99">
        <v>1.29</v>
      </c>
    </row>
    <row r="89" spans="1:4">
      <c r="A89" s="96">
        <v>120800</v>
      </c>
      <c r="B89" s="97" t="s">
        <v>1267</v>
      </c>
      <c r="C89" s="98" t="s">
        <v>328</v>
      </c>
      <c r="D89" s="99">
        <v>1.97</v>
      </c>
    </row>
    <row r="90" spans="1:4">
      <c r="A90" s="96">
        <v>110000</v>
      </c>
      <c r="B90" s="97" t="s">
        <v>1268</v>
      </c>
      <c r="C90" s="98" t="s">
        <v>328</v>
      </c>
      <c r="D90" s="99">
        <v>2.4300000000000002</v>
      </c>
    </row>
    <row r="91" spans="1:4">
      <c r="A91" s="96">
        <v>155127</v>
      </c>
      <c r="B91" s="97" t="s">
        <v>1269</v>
      </c>
      <c r="C91" s="98" t="s">
        <v>327</v>
      </c>
      <c r="D91" s="99">
        <v>13.28</v>
      </c>
    </row>
    <row r="92" spans="1:4">
      <c r="A92" s="96">
        <v>155152</v>
      </c>
      <c r="B92" s="97" t="s">
        <v>1270</v>
      </c>
      <c r="C92" s="98" t="s">
        <v>327</v>
      </c>
      <c r="D92" s="99">
        <v>13.28</v>
      </c>
    </row>
    <row r="93" spans="1:4">
      <c r="A93" s="96">
        <v>110070</v>
      </c>
      <c r="B93" s="97" t="s">
        <v>1271</v>
      </c>
      <c r="C93" s="98" t="s">
        <v>328</v>
      </c>
      <c r="D93" s="99">
        <v>420</v>
      </c>
    </row>
    <row r="94" spans="1:4">
      <c r="A94" s="96">
        <v>115410</v>
      </c>
      <c r="B94" s="97" t="s">
        <v>1272</v>
      </c>
      <c r="C94" s="98" t="s">
        <v>328</v>
      </c>
      <c r="D94" s="99">
        <v>300</v>
      </c>
    </row>
    <row r="95" spans="1:4">
      <c r="A95" s="96">
        <v>180426</v>
      </c>
      <c r="B95" s="97" t="s">
        <v>1273</v>
      </c>
      <c r="C95" s="98" t="s">
        <v>952</v>
      </c>
      <c r="D95" s="99">
        <v>12.87</v>
      </c>
    </row>
    <row r="96" spans="1:4">
      <c r="A96" s="96">
        <v>180425</v>
      </c>
      <c r="B96" s="97" t="s">
        <v>1274</v>
      </c>
      <c r="C96" s="98" t="s">
        <v>952</v>
      </c>
      <c r="D96" s="99">
        <v>12.93</v>
      </c>
    </row>
    <row r="97" spans="1:4">
      <c r="A97" s="96">
        <v>141050</v>
      </c>
      <c r="B97" s="97" t="s">
        <v>1275</v>
      </c>
      <c r="C97" s="98" t="s">
        <v>952</v>
      </c>
      <c r="D97" s="99">
        <v>139</v>
      </c>
    </row>
    <row r="98" spans="1:4">
      <c r="A98" s="96">
        <v>141500</v>
      </c>
      <c r="B98" s="97" t="s">
        <v>1276</v>
      </c>
      <c r="C98" s="98" t="s">
        <v>952</v>
      </c>
      <c r="D98" s="99">
        <v>182</v>
      </c>
    </row>
    <row r="99" spans="1:4">
      <c r="A99" s="96">
        <v>141000</v>
      </c>
      <c r="B99" s="97" t="s">
        <v>1277</v>
      </c>
      <c r="C99" s="98" t="s">
        <v>952</v>
      </c>
      <c r="D99" s="99">
        <v>42.12</v>
      </c>
    </row>
    <row r="100" spans="1:4">
      <c r="A100" s="96">
        <v>142000</v>
      </c>
      <c r="B100" s="97" t="s">
        <v>1278</v>
      </c>
      <c r="C100" s="98" t="s">
        <v>952</v>
      </c>
      <c r="D100" s="99">
        <v>42.12</v>
      </c>
    </row>
    <row r="101" spans="1:4">
      <c r="A101" s="96">
        <v>142300</v>
      </c>
      <c r="B101" s="97" t="s">
        <v>1279</v>
      </c>
      <c r="C101" s="98" t="s">
        <v>952</v>
      </c>
      <c r="D101" s="99">
        <v>132</v>
      </c>
    </row>
    <row r="102" spans="1:4">
      <c r="A102" s="96">
        <v>160240</v>
      </c>
      <c r="B102" s="97" t="s">
        <v>1280</v>
      </c>
      <c r="C102" s="98" t="s">
        <v>952</v>
      </c>
      <c r="D102" s="99">
        <v>53.74</v>
      </c>
    </row>
    <row r="103" spans="1:4">
      <c r="A103" s="96">
        <v>148000</v>
      </c>
      <c r="B103" s="97" t="s">
        <v>1281</v>
      </c>
      <c r="C103" s="98" t="s">
        <v>954</v>
      </c>
      <c r="D103" s="99">
        <v>5.22</v>
      </c>
    </row>
    <row r="104" spans="1:4">
      <c r="A104" s="96">
        <v>172050</v>
      </c>
      <c r="B104" s="97" t="s">
        <v>1153</v>
      </c>
      <c r="C104" s="98" t="s">
        <v>954</v>
      </c>
      <c r="D104" s="99">
        <v>6.01</v>
      </c>
    </row>
    <row r="105" spans="1:4">
      <c r="A105" s="96">
        <v>150600</v>
      </c>
      <c r="B105" s="97" t="s">
        <v>1282</v>
      </c>
      <c r="C105" s="98" t="s">
        <v>327</v>
      </c>
      <c r="D105" s="99">
        <v>15.49</v>
      </c>
    </row>
    <row r="106" spans="1:4">
      <c r="A106" s="96">
        <v>141010</v>
      </c>
      <c r="B106" s="97" t="s">
        <v>1283</v>
      </c>
      <c r="C106" s="98" t="s">
        <v>952</v>
      </c>
      <c r="D106" s="99">
        <v>19.23</v>
      </c>
    </row>
    <row r="107" spans="1:4">
      <c r="A107" s="96">
        <v>143550</v>
      </c>
      <c r="B107" s="97" t="s">
        <v>1284</v>
      </c>
      <c r="C107" s="98" t="s">
        <v>952</v>
      </c>
      <c r="D107" s="99">
        <v>540.23</v>
      </c>
    </row>
    <row r="108" spans="1:4">
      <c r="A108" s="96">
        <v>143500</v>
      </c>
      <c r="B108" s="97" t="s">
        <v>1285</v>
      </c>
      <c r="C108" s="98" t="s">
        <v>952</v>
      </c>
      <c r="D108" s="99">
        <v>696.88</v>
      </c>
    </row>
    <row r="109" spans="1:4">
      <c r="A109" s="96">
        <v>172000</v>
      </c>
      <c r="B109" s="97" t="s">
        <v>1286</v>
      </c>
      <c r="C109" s="98" t="s">
        <v>327</v>
      </c>
      <c r="D109" s="99">
        <v>49.36</v>
      </c>
    </row>
    <row r="110" spans="1:4">
      <c r="A110" s="96">
        <v>153250</v>
      </c>
      <c r="B110" s="97" t="s">
        <v>1287</v>
      </c>
      <c r="C110" s="98" t="s">
        <v>327</v>
      </c>
      <c r="D110" s="99">
        <v>50.09</v>
      </c>
    </row>
    <row r="111" spans="1:4">
      <c r="A111" s="96">
        <v>173120</v>
      </c>
      <c r="B111" s="97" t="s">
        <v>1288</v>
      </c>
      <c r="C111" s="98" t="s">
        <v>34</v>
      </c>
      <c r="D111" s="100">
        <v>4730.97</v>
      </c>
    </row>
    <row r="112" spans="1:4">
      <c r="A112" s="96">
        <v>178090</v>
      </c>
      <c r="B112" s="97" t="s">
        <v>1289</v>
      </c>
      <c r="C112" s="98" t="s">
        <v>34</v>
      </c>
      <c r="D112" s="100">
        <v>5223.84</v>
      </c>
    </row>
    <row r="113" spans="1:4">
      <c r="A113" s="96">
        <v>173010</v>
      </c>
      <c r="B113" s="97" t="s">
        <v>1290</v>
      </c>
      <c r="C113" s="98" t="s">
        <v>34</v>
      </c>
      <c r="D113" s="100">
        <v>4031.59</v>
      </c>
    </row>
    <row r="114" spans="1:4">
      <c r="A114" s="96">
        <v>173030</v>
      </c>
      <c r="B114" s="97" t="s">
        <v>1291</v>
      </c>
      <c r="C114" s="98" t="s">
        <v>34</v>
      </c>
      <c r="D114" s="100">
        <v>4110.6899999999996</v>
      </c>
    </row>
    <row r="115" spans="1:4">
      <c r="A115" s="96">
        <v>173060</v>
      </c>
      <c r="B115" s="97" t="s">
        <v>1292</v>
      </c>
      <c r="C115" s="98" t="s">
        <v>34</v>
      </c>
      <c r="D115" s="100">
        <v>5160.5</v>
      </c>
    </row>
    <row r="116" spans="1:4">
      <c r="A116" s="96">
        <v>173020</v>
      </c>
      <c r="B116" s="97" t="s">
        <v>1293</v>
      </c>
      <c r="C116" s="98" t="s">
        <v>34</v>
      </c>
      <c r="D116" s="100">
        <v>4012.83</v>
      </c>
    </row>
    <row r="117" spans="1:4">
      <c r="A117" s="96">
        <v>173070</v>
      </c>
      <c r="B117" s="97" t="s">
        <v>1294</v>
      </c>
      <c r="C117" s="98" t="s">
        <v>34</v>
      </c>
      <c r="D117" s="100">
        <v>4085</v>
      </c>
    </row>
    <row r="118" spans="1:4">
      <c r="A118" s="96">
        <v>173040</v>
      </c>
      <c r="B118" s="97" t="s">
        <v>1295</v>
      </c>
      <c r="C118" s="98" t="s">
        <v>34</v>
      </c>
      <c r="D118" s="100">
        <v>3861.37</v>
      </c>
    </row>
    <row r="119" spans="1:4">
      <c r="A119" s="96">
        <v>178060</v>
      </c>
      <c r="B119" s="97" t="s">
        <v>1296</v>
      </c>
      <c r="C119" s="98" t="s">
        <v>34</v>
      </c>
      <c r="D119" s="100">
        <v>4730.1499999999996</v>
      </c>
    </row>
    <row r="120" spans="1:4">
      <c r="A120" s="96">
        <v>173050</v>
      </c>
      <c r="B120" s="97" t="s">
        <v>1297</v>
      </c>
      <c r="C120" s="98" t="s">
        <v>34</v>
      </c>
      <c r="D120" s="100">
        <v>4164.04</v>
      </c>
    </row>
    <row r="121" spans="1:4">
      <c r="A121" s="96">
        <v>178070</v>
      </c>
      <c r="B121" s="97" t="s">
        <v>1298</v>
      </c>
      <c r="C121" s="98" t="s">
        <v>34</v>
      </c>
      <c r="D121" s="100">
        <v>5104.75</v>
      </c>
    </row>
    <row r="122" spans="1:4">
      <c r="A122" s="96">
        <v>110050</v>
      </c>
      <c r="B122" s="97" t="s">
        <v>1299</v>
      </c>
      <c r="C122" s="98" t="s">
        <v>952</v>
      </c>
      <c r="D122" s="99">
        <v>0.12</v>
      </c>
    </row>
    <row r="123" spans="1:4">
      <c r="A123" s="96">
        <v>180040</v>
      </c>
      <c r="B123" s="97" t="s">
        <v>1300</v>
      </c>
      <c r="C123" s="98" t="s">
        <v>952</v>
      </c>
      <c r="D123" s="99">
        <v>10.14</v>
      </c>
    </row>
    <row r="124" spans="1:4">
      <c r="A124" s="96">
        <v>110060</v>
      </c>
      <c r="B124" s="97" t="s">
        <v>1301</v>
      </c>
      <c r="C124" s="98" t="s">
        <v>328</v>
      </c>
      <c r="D124" s="99">
        <v>23.96</v>
      </c>
    </row>
    <row r="125" spans="1:4">
      <c r="A125" s="96">
        <v>152121</v>
      </c>
      <c r="B125" s="97" t="s">
        <v>1302</v>
      </c>
      <c r="C125" s="98" t="s">
        <v>327</v>
      </c>
      <c r="D125" s="99">
        <v>6.57</v>
      </c>
    </row>
    <row r="126" spans="1:4">
      <c r="A126" s="96">
        <v>155158</v>
      </c>
      <c r="B126" s="97" t="s">
        <v>1303</v>
      </c>
      <c r="C126" s="98" t="s">
        <v>327</v>
      </c>
      <c r="D126" s="99">
        <v>7.33</v>
      </c>
    </row>
    <row r="127" spans="1:4">
      <c r="A127" s="96">
        <v>152120</v>
      </c>
      <c r="B127" s="97" t="s">
        <v>1304</v>
      </c>
      <c r="C127" s="98" t="s">
        <v>327</v>
      </c>
      <c r="D127" s="99">
        <v>7.66</v>
      </c>
    </row>
    <row r="128" spans="1:4">
      <c r="A128" s="96">
        <v>152125</v>
      </c>
      <c r="B128" s="97" t="s">
        <v>1305</v>
      </c>
      <c r="C128" s="98" t="s">
        <v>327</v>
      </c>
      <c r="D128" s="99">
        <v>6.57</v>
      </c>
    </row>
    <row r="129" spans="1:4">
      <c r="A129" s="96">
        <v>152132</v>
      </c>
      <c r="B129" s="97" t="s">
        <v>1306</v>
      </c>
      <c r="C129" s="98" t="s">
        <v>327</v>
      </c>
      <c r="D129" s="99">
        <v>7.35</v>
      </c>
    </row>
    <row r="130" spans="1:4">
      <c r="A130" s="96">
        <v>155140</v>
      </c>
      <c r="B130" s="97" t="s">
        <v>1307</v>
      </c>
      <c r="C130" s="98" t="s">
        <v>327</v>
      </c>
      <c r="D130" s="99">
        <v>9.08</v>
      </c>
    </row>
    <row r="131" spans="1:4">
      <c r="A131" s="96">
        <v>155380</v>
      </c>
      <c r="B131" s="97" t="s">
        <v>1308</v>
      </c>
      <c r="C131" s="98" t="s">
        <v>327</v>
      </c>
      <c r="D131" s="99">
        <v>7.59</v>
      </c>
    </row>
    <row r="132" spans="1:4">
      <c r="A132" s="96">
        <v>155120</v>
      </c>
      <c r="B132" s="97" t="s">
        <v>1309</v>
      </c>
      <c r="C132" s="98" t="s">
        <v>327</v>
      </c>
      <c r="D132" s="99">
        <v>8.2200000000000006</v>
      </c>
    </row>
    <row r="133" spans="1:4">
      <c r="A133" s="96">
        <v>156420</v>
      </c>
      <c r="B133" s="97" t="s">
        <v>1310</v>
      </c>
      <c r="C133" s="98" t="s">
        <v>327</v>
      </c>
      <c r="D133" s="99">
        <v>10.029999999999999</v>
      </c>
    </row>
    <row r="134" spans="1:4">
      <c r="A134" s="96">
        <v>178190</v>
      </c>
      <c r="B134" s="97" t="s">
        <v>1311</v>
      </c>
      <c r="C134" s="98" t="s">
        <v>327</v>
      </c>
      <c r="D134" s="99">
        <v>41.75</v>
      </c>
    </row>
    <row r="135" spans="1:4">
      <c r="A135" s="96">
        <v>180170</v>
      </c>
      <c r="B135" s="97" t="s">
        <v>1312</v>
      </c>
      <c r="C135" s="98" t="s">
        <v>328</v>
      </c>
      <c r="D135" s="99">
        <v>0.08</v>
      </c>
    </row>
    <row r="136" spans="1:4">
      <c r="A136" s="96">
        <v>100130</v>
      </c>
      <c r="B136" s="97" t="s">
        <v>1313</v>
      </c>
      <c r="C136" s="98" t="s">
        <v>954</v>
      </c>
      <c r="D136" s="99">
        <v>24.82</v>
      </c>
    </row>
    <row r="137" spans="1:4">
      <c r="A137" s="96">
        <v>150200</v>
      </c>
      <c r="B137" s="97" t="s">
        <v>1314</v>
      </c>
      <c r="C137" s="98" t="s">
        <v>952</v>
      </c>
      <c r="D137" s="100">
        <v>39154.15</v>
      </c>
    </row>
    <row r="138" spans="1:4">
      <c r="A138" s="96">
        <v>150204</v>
      </c>
      <c r="B138" s="97" t="s">
        <v>1315</v>
      </c>
      <c r="C138" s="98" t="s">
        <v>951</v>
      </c>
      <c r="D138" s="99">
        <v>379.1</v>
      </c>
    </row>
    <row r="139" spans="1:4">
      <c r="A139" s="96">
        <v>158250</v>
      </c>
      <c r="B139" s="97" t="s">
        <v>1316</v>
      </c>
      <c r="C139" s="98" t="s">
        <v>950</v>
      </c>
      <c r="D139" s="99">
        <v>630.66999999999996</v>
      </c>
    </row>
    <row r="140" spans="1:4">
      <c r="A140" s="96">
        <v>158200</v>
      </c>
      <c r="B140" s="97" t="s">
        <v>1317</v>
      </c>
      <c r="C140" s="98" t="s">
        <v>950</v>
      </c>
      <c r="D140" s="99">
        <v>460.48</v>
      </c>
    </row>
    <row r="141" spans="1:4">
      <c r="A141" s="96">
        <v>158150</v>
      </c>
      <c r="B141" s="97" t="s">
        <v>1318</v>
      </c>
      <c r="C141" s="98" t="s">
        <v>950</v>
      </c>
      <c r="D141" s="99">
        <v>541.32000000000005</v>
      </c>
    </row>
    <row r="142" spans="1:4">
      <c r="A142" s="96">
        <v>158100</v>
      </c>
      <c r="B142" s="97" t="s">
        <v>1319</v>
      </c>
      <c r="C142" s="98" t="s">
        <v>950</v>
      </c>
      <c r="D142" s="99">
        <v>394.88</v>
      </c>
    </row>
    <row r="143" spans="1:4">
      <c r="A143" s="96">
        <v>158017</v>
      </c>
      <c r="B143" s="97" t="s">
        <v>1320</v>
      </c>
      <c r="C143" s="98" t="s">
        <v>951</v>
      </c>
      <c r="D143" s="99">
        <v>162.33000000000001</v>
      </c>
    </row>
    <row r="144" spans="1:4">
      <c r="A144" s="96">
        <v>158023</v>
      </c>
      <c r="B144" s="97" t="s">
        <v>1321</v>
      </c>
      <c r="C144" s="98" t="s">
        <v>951</v>
      </c>
      <c r="D144" s="99">
        <v>194.53</v>
      </c>
    </row>
    <row r="145" spans="1:4">
      <c r="A145" s="96">
        <v>158030</v>
      </c>
      <c r="B145" s="97" t="s">
        <v>1322</v>
      </c>
      <c r="C145" s="98" t="s">
        <v>951</v>
      </c>
      <c r="D145" s="99">
        <v>212.62</v>
      </c>
    </row>
    <row r="146" spans="1:4">
      <c r="A146" s="96">
        <v>150055</v>
      </c>
      <c r="B146" s="97" t="s">
        <v>1323</v>
      </c>
      <c r="C146" s="98" t="s">
        <v>951</v>
      </c>
      <c r="D146" s="99">
        <v>34.47</v>
      </c>
    </row>
    <row r="147" spans="1:4">
      <c r="A147" s="96">
        <v>150070</v>
      </c>
      <c r="B147" s="97" t="s">
        <v>1324</v>
      </c>
      <c r="C147" s="98" t="s">
        <v>951</v>
      </c>
      <c r="D147" s="99">
        <v>32.119999999999997</v>
      </c>
    </row>
    <row r="148" spans="1:4">
      <c r="A148" s="96">
        <v>150050</v>
      </c>
      <c r="B148" s="97" t="s">
        <v>1325</v>
      </c>
      <c r="C148" s="98" t="s">
        <v>951</v>
      </c>
      <c r="D148" s="99">
        <v>5.09</v>
      </c>
    </row>
    <row r="149" spans="1:4">
      <c r="A149" s="96">
        <v>150010</v>
      </c>
      <c r="B149" s="97" t="s">
        <v>1326</v>
      </c>
      <c r="C149" s="98" t="s">
        <v>951</v>
      </c>
      <c r="D149" s="99">
        <v>6.27</v>
      </c>
    </row>
    <row r="150" spans="1:4">
      <c r="A150" s="96">
        <v>120040</v>
      </c>
      <c r="B150" s="97" t="s">
        <v>1327</v>
      </c>
      <c r="C150" s="98" t="s">
        <v>951</v>
      </c>
      <c r="D150" s="99">
        <v>7</v>
      </c>
    </row>
    <row r="151" spans="1:4">
      <c r="A151" s="96">
        <v>140040</v>
      </c>
      <c r="B151" s="97" t="s">
        <v>1328</v>
      </c>
      <c r="C151" s="98" t="s">
        <v>951</v>
      </c>
      <c r="D151" s="99">
        <v>7.3</v>
      </c>
    </row>
    <row r="152" spans="1:4">
      <c r="A152" s="96">
        <v>150060</v>
      </c>
      <c r="B152" s="97" t="s">
        <v>1329</v>
      </c>
      <c r="C152" s="98" t="s">
        <v>951</v>
      </c>
      <c r="D152" s="99">
        <v>16.149999999999999</v>
      </c>
    </row>
    <row r="153" spans="1:4">
      <c r="A153" s="96">
        <v>150120</v>
      </c>
      <c r="B153" s="97" t="s">
        <v>1330</v>
      </c>
      <c r="C153" s="98" t="s">
        <v>952</v>
      </c>
      <c r="D153" s="99">
        <v>5.16</v>
      </c>
    </row>
    <row r="154" spans="1:4">
      <c r="A154" s="96">
        <v>150020</v>
      </c>
      <c r="B154" s="97" t="s">
        <v>1331</v>
      </c>
      <c r="C154" s="98" t="s">
        <v>327</v>
      </c>
      <c r="D154" s="99">
        <v>23.19</v>
      </c>
    </row>
    <row r="155" spans="1:4">
      <c r="A155" s="96">
        <v>198150</v>
      </c>
      <c r="B155" s="97" t="s">
        <v>1332</v>
      </c>
      <c r="C155" s="98" t="s">
        <v>327</v>
      </c>
      <c r="D155" s="99">
        <v>43.68</v>
      </c>
    </row>
    <row r="156" spans="1:4">
      <c r="A156" s="96">
        <v>100350</v>
      </c>
      <c r="B156" s="97" t="s">
        <v>1333</v>
      </c>
      <c r="C156" s="98" t="s">
        <v>327</v>
      </c>
      <c r="D156" s="99">
        <v>1.7</v>
      </c>
    </row>
    <row r="157" spans="1:4">
      <c r="A157" s="96">
        <v>186020</v>
      </c>
      <c r="B157" s="97" t="s">
        <v>1334</v>
      </c>
      <c r="C157" s="98" t="s">
        <v>952</v>
      </c>
      <c r="D157" s="100">
        <v>1550</v>
      </c>
    </row>
    <row r="158" spans="1:4">
      <c r="A158" s="96">
        <v>100380</v>
      </c>
      <c r="B158" s="97" t="s">
        <v>1335</v>
      </c>
      <c r="C158" s="98" t="s">
        <v>327</v>
      </c>
      <c r="D158" s="99">
        <v>21.9</v>
      </c>
    </row>
    <row r="159" spans="1:4">
      <c r="A159" s="96">
        <v>100674</v>
      </c>
      <c r="B159" s="97" t="s">
        <v>1336</v>
      </c>
      <c r="C159" s="98" t="s">
        <v>951</v>
      </c>
      <c r="D159" s="99">
        <v>4.03</v>
      </c>
    </row>
    <row r="160" spans="1:4">
      <c r="A160" s="96">
        <v>100673</v>
      </c>
      <c r="B160" s="97" t="s">
        <v>1337</v>
      </c>
      <c r="C160" s="98" t="s">
        <v>951</v>
      </c>
      <c r="D160" s="99">
        <v>10.9</v>
      </c>
    </row>
    <row r="161" spans="1:4">
      <c r="A161" s="96">
        <v>140120</v>
      </c>
      <c r="B161" s="97" t="s">
        <v>1338</v>
      </c>
      <c r="C161" s="98" t="s">
        <v>1533</v>
      </c>
      <c r="D161" s="100">
        <v>8300</v>
      </c>
    </row>
    <row r="162" spans="1:4">
      <c r="A162" s="96">
        <v>110120</v>
      </c>
      <c r="B162" s="97" t="s">
        <v>1339</v>
      </c>
      <c r="C162" s="98" t="s">
        <v>328</v>
      </c>
      <c r="D162" s="99">
        <v>72.5</v>
      </c>
    </row>
    <row r="163" spans="1:4">
      <c r="A163" s="96">
        <v>110240</v>
      </c>
      <c r="B163" s="97" t="s">
        <v>1340</v>
      </c>
      <c r="C163" s="98" t="s">
        <v>328</v>
      </c>
      <c r="D163" s="99">
        <v>134</v>
      </c>
    </row>
    <row r="164" spans="1:4">
      <c r="A164" s="96">
        <v>145450</v>
      </c>
      <c r="B164" s="97" t="s">
        <v>1341</v>
      </c>
      <c r="C164" s="98" t="s">
        <v>952</v>
      </c>
      <c r="D164" s="99">
        <v>13.82</v>
      </c>
    </row>
    <row r="165" spans="1:4">
      <c r="A165" s="96">
        <v>180110</v>
      </c>
      <c r="B165" s="97" t="s">
        <v>1342</v>
      </c>
      <c r="C165" s="98" t="s">
        <v>952</v>
      </c>
      <c r="D165" s="99">
        <v>14.19</v>
      </c>
    </row>
    <row r="166" spans="1:4">
      <c r="A166" s="96">
        <v>180090</v>
      </c>
      <c r="B166" s="97" t="s">
        <v>1343</v>
      </c>
      <c r="C166" s="98" t="s">
        <v>952</v>
      </c>
      <c r="D166" s="99">
        <v>15.16</v>
      </c>
    </row>
    <row r="167" spans="1:4">
      <c r="A167" s="96">
        <v>120000</v>
      </c>
      <c r="B167" s="97" t="s">
        <v>1344</v>
      </c>
      <c r="C167" s="98" t="s">
        <v>951</v>
      </c>
      <c r="D167" s="99">
        <v>2.81</v>
      </c>
    </row>
    <row r="168" spans="1:4">
      <c r="A168" s="96">
        <v>151000</v>
      </c>
      <c r="B168" s="97" t="s">
        <v>1345</v>
      </c>
      <c r="C168" s="98" t="s">
        <v>951</v>
      </c>
      <c r="D168" s="99">
        <v>3.17</v>
      </c>
    </row>
    <row r="169" spans="1:4">
      <c r="A169" s="96">
        <v>155550</v>
      </c>
      <c r="B169" s="97" t="s">
        <v>1346</v>
      </c>
      <c r="C169" s="98" t="s">
        <v>952</v>
      </c>
      <c r="D169" s="99">
        <v>170.42</v>
      </c>
    </row>
    <row r="170" spans="1:4">
      <c r="A170" s="96">
        <v>186030</v>
      </c>
      <c r="B170" s="97" t="s">
        <v>1347</v>
      </c>
      <c r="C170" s="98" t="s">
        <v>952</v>
      </c>
      <c r="D170" s="99">
        <v>245</v>
      </c>
    </row>
    <row r="171" spans="1:4">
      <c r="A171" s="96">
        <v>113160</v>
      </c>
      <c r="B171" s="97" t="s">
        <v>1348</v>
      </c>
      <c r="C171" s="98" t="s">
        <v>328</v>
      </c>
      <c r="D171" s="99">
        <v>18.09</v>
      </c>
    </row>
    <row r="172" spans="1:4">
      <c r="A172" s="96">
        <v>116160</v>
      </c>
      <c r="B172" s="97" t="s">
        <v>1349</v>
      </c>
      <c r="C172" s="98" t="s">
        <v>328</v>
      </c>
      <c r="D172" s="99">
        <v>36.18</v>
      </c>
    </row>
    <row r="173" spans="1:4">
      <c r="A173" s="96">
        <v>112200</v>
      </c>
      <c r="B173" s="97" t="s">
        <v>1350</v>
      </c>
      <c r="C173" s="98" t="s">
        <v>328</v>
      </c>
      <c r="D173" s="99">
        <v>150.78</v>
      </c>
    </row>
    <row r="174" spans="1:4">
      <c r="A174" s="96">
        <v>112250</v>
      </c>
      <c r="B174" s="97" t="s">
        <v>1351</v>
      </c>
      <c r="C174" s="98" t="s">
        <v>328</v>
      </c>
      <c r="D174" s="99">
        <v>188.47</v>
      </c>
    </row>
    <row r="175" spans="1:4">
      <c r="A175" s="96">
        <v>112300</v>
      </c>
      <c r="B175" s="97" t="s">
        <v>1352</v>
      </c>
      <c r="C175" s="98" t="s">
        <v>328</v>
      </c>
      <c r="D175" s="99">
        <v>226.17</v>
      </c>
    </row>
    <row r="176" spans="1:4">
      <c r="A176" s="96">
        <v>111110</v>
      </c>
      <c r="B176" s="97" t="s">
        <v>1353</v>
      </c>
      <c r="C176" s="98" t="s">
        <v>328</v>
      </c>
      <c r="D176" s="99">
        <v>66.22</v>
      </c>
    </row>
    <row r="177" spans="1:4">
      <c r="A177" s="96">
        <v>111010</v>
      </c>
      <c r="B177" s="97" t="s">
        <v>1354</v>
      </c>
      <c r="C177" s="98" t="s">
        <v>328</v>
      </c>
      <c r="D177" s="99">
        <v>11.18</v>
      </c>
    </row>
    <row r="178" spans="1:4">
      <c r="A178" s="96">
        <v>111070</v>
      </c>
      <c r="B178" s="97" t="s">
        <v>1355</v>
      </c>
      <c r="C178" s="98" t="s">
        <v>328</v>
      </c>
      <c r="D178" s="99">
        <v>16.34</v>
      </c>
    </row>
    <row r="179" spans="1:4">
      <c r="A179" s="96">
        <v>112120</v>
      </c>
      <c r="B179" s="97" t="s">
        <v>1356</v>
      </c>
      <c r="C179" s="98" t="s">
        <v>328</v>
      </c>
      <c r="D179" s="99">
        <v>132.44</v>
      </c>
    </row>
    <row r="180" spans="1:4">
      <c r="A180" s="96">
        <v>113010</v>
      </c>
      <c r="B180" s="97" t="s">
        <v>1357</v>
      </c>
      <c r="C180" s="98" t="s">
        <v>328</v>
      </c>
      <c r="D180" s="99">
        <v>49.88</v>
      </c>
    </row>
    <row r="181" spans="1:4">
      <c r="A181" s="96">
        <v>114120</v>
      </c>
      <c r="B181" s="97" t="s">
        <v>1358</v>
      </c>
      <c r="C181" s="98" t="s">
        <v>328</v>
      </c>
      <c r="D181" s="99">
        <v>265.74</v>
      </c>
    </row>
    <row r="182" spans="1:4">
      <c r="A182" s="96">
        <v>118030</v>
      </c>
      <c r="B182" s="97" t="s">
        <v>1359</v>
      </c>
      <c r="C182" s="98" t="s">
        <v>328</v>
      </c>
      <c r="D182" s="99">
        <v>132.44</v>
      </c>
    </row>
    <row r="183" spans="1:4">
      <c r="A183" s="96">
        <v>111020</v>
      </c>
      <c r="B183" s="97" t="s">
        <v>1360</v>
      </c>
      <c r="C183" s="98" t="s">
        <v>328</v>
      </c>
      <c r="D183" s="99">
        <v>3.32</v>
      </c>
    </row>
    <row r="184" spans="1:4">
      <c r="A184" s="96">
        <v>111030</v>
      </c>
      <c r="B184" s="97" t="s">
        <v>1361</v>
      </c>
      <c r="C184" s="98" t="s">
        <v>328</v>
      </c>
      <c r="D184" s="99">
        <v>4.8499999999999996</v>
      </c>
    </row>
    <row r="185" spans="1:4">
      <c r="A185" s="96">
        <v>111040</v>
      </c>
      <c r="B185" s="97" t="s">
        <v>1362</v>
      </c>
      <c r="C185" s="98" t="s">
        <v>328</v>
      </c>
      <c r="D185" s="99">
        <v>6.64</v>
      </c>
    </row>
    <row r="186" spans="1:4">
      <c r="A186" s="96">
        <v>111060</v>
      </c>
      <c r="B186" s="97" t="s">
        <v>1363</v>
      </c>
      <c r="C186" s="98" t="s">
        <v>328</v>
      </c>
      <c r="D186" s="99">
        <v>9.9600000000000009</v>
      </c>
    </row>
    <row r="187" spans="1:4">
      <c r="A187" s="96">
        <v>111120</v>
      </c>
      <c r="B187" s="97" t="s">
        <v>1364</v>
      </c>
      <c r="C187" s="98" t="s">
        <v>328</v>
      </c>
      <c r="D187" s="99">
        <v>19.670000000000002</v>
      </c>
    </row>
    <row r="188" spans="1:4">
      <c r="A188" s="96">
        <v>112540</v>
      </c>
      <c r="B188" s="97" t="s">
        <v>1365</v>
      </c>
      <c r="C188" s="98" t="s">
        <v>328</v>
      </c>
      <c r="D188" s="99">
        <v>2.5499999999999998</v>
      </c>
    </row>
    <row r="189" spans="1:4">
      <c r="A189" s="96">
        <v>112560</v>
      </c>
      <c r="B189" s="97" t="s">
        <v>1366</v>
      </c>
      <c r="C189" s="98" t="s">
        <v>328</v>
      </c>
      <c r="D189" s="99">
        <v>3.83</v>
      </c>
    </row>
    <row r="190" spans="1:4">
      <c r="A190" s="96">
        <v>112580</v>
      </c>
      <c r="B190" s="97" t="s">
        <v>1367</v>
      </c>
      <c r="C190" s="98" t="s">
        <v>328</v>
      </c>
      <c r="D190" s="99">
        <v>5.1100000000000003</v>
      </c>
    </row>
    <row r="191" spans="1:4">
      <c r="A191" s="96">
        <v>113030</v>
      </c>
      <c r="B191" s="97" t="s">
        <v>1368</v>
      </c>
      <c r="C191" s="98" t="s">
        <v>328</v>
      </c>
      <c r="D191" s="99">
        <v>14.81</v>
      </c>
    </row>
    <row r="192" spans="1:4">
      <c r="A192" s="96">
        <v>116120</v>
      </c>
      <c r="B192" s="97" t="s">
        <v>1369</v>
      </c>
      <c r="C192" s="98" t="s">
        <v>328</v>
      </c>
      <c r="D192" s="99">
        <v>18.39</v>
      </c>
    </row>
    <row r="193" spans="1:4">
      <c r="A193" s="96">
        <v>110150</v>
      </c>
      <c r="B193" s="97" t="s">
        <v>1370</v>
      </c>
      <c r="C193" s="98" t="s">
        <v>328</v>
      </c>
      <c r="D193" s="99">
        <v>15.64</v>
      </c>
    </row>
    <row r="194" spans="1:4">
      <c r="A194" s="96">
        <v>110250</v>
      </c>
      <c r="B194" s="97" t="s">
        <v>1371</v>
      </c>
      <c r="C194" s="98" t="s">
        <v>328</v>
      </c>
      <c r="D194" s="99">
        <v>36</v>
      </c>
    </row>
    <row r="195" spans="1:4">
      <c r="A195" s="96">
        <v>120850</v>
      </c>
      <c r="B195" s="97" t="s">
        <v>1372</v>
      </c>
      <c r="C195" s="98" t="s">
        <v>328</v>
      </c>
      <c r="D195" s="99">
        <v>3.91</v>
      </c>
    </row>
    <row r="196" spans="1:4">
      <c r="A196" s="96">
        <v>150080</v>
      </c>
      <c r="B196" s="97" t="s">
        <v>1373</v>
      </c>
      <c r="C196" s="98" t="s">
        <v>951</v>
      </c>
      <c r="D196" s="99">
        <v>4.1100000000000003</v>
      </c>
    </row>
    <row r="197" spans="1:4">
      <c r="A197" s="96">
        <v>150030</v>
      </c>
      <c r="B197" s="97" t="s">
        <v>1374</v>
      </c>
      <c r="C197" s="98" t="s">
        <v>327</v>
      </c>
      <c r="D197" s="99">
        <v>7.93</v>
      </c>
    </row>
    <row r="198" spans="1:4">
      <c r="A198" s="96">
        <v>100170</v>
      </c>
      <c r="B198" s="97" t="s">
        <v>1375</v>
      </c>
      <c r="C198" s="98" t="s">
        <v>327</v>
      </c>
      <c r="D198" s="99">
        <v>10.29</v>
      </c>
    </row>
    <row r="199" spans="1:4">
      <c r="A199" s="96">
        <v>100180</v>
      </c>
      <c r="B199" s="97" t="s">
        <v>1376</v>
      </c>
      <c r="C199" s="98" t="s">
        <v>327</v>
      </c>
      <c r="D199" s="99">
        <v>10.35</v>
      </c>
    </row>
    <row r="200" spans="1:4">
      <c r="A200" s="96">
        <v>180725</v>
      </c>
      <c r="B200" s="97" t="s">
        <v>1377</v>
      </c>
      <c r="C200" s="98" t="s">
        <v>328</v>
      </c>
      <c r="D200" s="99">
        <v>32.25</v>
      </c>
    </row>
    <row r="201" spans="1:4">
      <c r="A201" s="96">
        <v>180300</v>
      </c>
      <c r="B201" s="97" t="s">
        <v>1378</v>
      </c>
      <c r="C201" s="98" t="s">
        <v>328</v>
      </c>
      <c r="D201" s="99">
        <v>37.4</v>
      </c>
    </row>
    <row r="202" spans="1:4">
      <c r="A202" s="96">
        <v>180400</v>
      </c>
      <c r="B202" s="97" t="s">
        <v>1379</v>
      </c>
      <c r="C202" s="98" t="s">
        <v>328</v>
      </c>
      <c r="D202" s="99">
        <v>46.4</v>
      </c>
    </row>
    <row r="203" spans="1:4">
      <c r="A203" s="96">
        <v>100200</v>
      </c>
      <c r="B203" s="97" t="s">
        <v>1380</v>
      </c>
      <c r="C203" s="98" t="s">
        <v>327</v>
      </c>
      <c r="D203" s="99">
        <v>9.27</v>
      </c>
    </row>
    <row r="204" spans="1:4">
      <c r="A204" s="96">
        <v>100100</v>
      </c>
      <c r="B204" s="97" t="s">
        <v>1381</v>
      </c>
      <c r="C204" s="98" t="s">
        <v>327</v>
      </c>
      <c r="D204" s="99">
        <v>10.130000000000001</v>
      </c>
    </row>
    <row r="205" spans="1:4">
      <c r="A205" s="96">
        <v>178250</v>
      </c>
      <c r="B205" s="97" t="s">
        <v>1382</v>
      </c>
      <c r="C205" s="98" t="s">
        <v>327</v>
      </c>
      <c r="D205" s="99">
        <v>3.18</v>
      </c>
    </row>
    <row r="206" spans="1:4">
      <c r="A206" s="96">
        <v>180160</v>
      </c>
      <c r="B206" s="97" t="s">
        <v>1383</v>
      </c>
      <c r="C206" s="98" t="s">
        <v>952</v>
      </c>
      <c r="D206" s="99">
        <v>80.540000000000006</v>
      </c>
    </row>
    <row r="207" spans="1:4">
      <c r="A207" s="96">
        <v>180100</v>
      </c>
      <c r="B207" s="97" t="s">
        <v>1384</v>
      </c>
      <c r="C207" s="98" t="s">
        <v>952</v>
      </c>
      <c r="D207" s="99">
        <v>38.090000000000003</v>
      </c>
    </row>
    <row r="208" spans="1:4">
      <c r="A208" s="96">
        <v>110100</v>
      </c>
      <c r="B208" s="97" t="s">
        <v>1385</v>
      </c>
      <c r="C208" s="98" t="s">
        <v>952</v>
      </c>
      <c r="D208" s="99">
        <v>23.5</v>
      </c>
    </row>
    <row r="209" spans="1:4">
      <c r="A209" s="96">
        <v>172100</v>
      </c>
      <c r="B209" s="97" t="s">
        <v>1386</v>
      </c>
      <c r="C209" s="98" t="s">
        <v>954</v>
      </c>
      <c r="D209" s="99">
        <v>5.81</v>
      </c>
    </row>
    <row r="210" spans="1:4">
      <c r="A210" s="96">
        <v>135780</v>
      </c>
      <c r="B210" s="97" t="s">
        <v>1387</v>
      </c>
      <c r="C210" s="98" t="s">
        <v>952</v>
      </c>
      <c r="D210" s="99">
        <v>1.1100000000000001</v>
      </c>
    </row>
    <row r="211" spans="1:4">
      <c r="A211" s="96">
        <v>135160</v>
      </c>
      <c r="B211" s="97" t="s">
        <v>1388</v>
      </c>
      <c r="C211" s="98" t="s">
        <v>952</v>
      </c>
      <c r="D211" s="99">
        <v>1.55</v>
      </c>
    </row>
    <row r="212" spans="1:4">
      <c r="A212" s="96">
        <v>134020</v>
      </c>
      <c r="B212" s="97" t="s">
        <v>1389</v>
      </c>
      <c r="C212" s="98" t="s">
        <v>952</v>
      </c>
      <c r="D212" s="99">
        <v>4.17</v>
      </c>
    </row>
    <row r="213" spans="1:4">
      <c r="A213" s="96">
        <v>134100</v>
      </c>
      <c r="B213" s="97" t="s">
        <v>1390</v>
      </c>
      <c r="C213" s="98" t="s">
        <v>952</v>
      </c>
      <c r="D213" s="99">
        <v>11.26</v>
      </c>
    </row>
    <row r="214" spans="1:4">
      <c r="A214" s="96">
        <v>133120</v>
      </c>
      <c r="B214" s="97" t="s">
        <v>1391</v>
      </c>
      <c r="C214" s="98" t="s">
        <v>952</v>
      </c>
      <c r="D214" s="99">
        <v>6.52</v>
      </c>
    </row>
    <row r="215" spans="1:4">
      <c r="A215" s="96">
        <v>130200</v>
      </c>
      <c r="B215" s="97" t="s">
        <v>1392</v>
      </c>
      <c r="C215" s="98" t="s">
        <v>1534</v>
      </c>
      <c r="D215" s="100">
        <v>1933.33</v>
      </c>
    </row>
    <row r="216" spans="1:4">
      <c r="A216" s="96">
        <v>130000</v>
      </c>
      <c r="B216" s="97" t="s">
        <v>1393</v>
      </c>
      <c r="C216" s="98" t="s">
        <v>950</v>
      </c>
      <c r="D216" s="99">
        <v>65.78</v>
      </c>
    </row>
    <row r="217" spans="1:4">
      <c r="A217" s="96">
        <v>130100</v>
      </c>
      <c r="B217" s="97" t="s">
        <v>1394</v>
      </c>
      <c r="C217" s="98" t="s">
        <v>950</v>
      </c>
      <c r="D217" s="99">
        <v>59.99</v>
      </c>
    </row>
    <row r="218" spans="1:4">
      <c r="A218" s="96">
        <v>126110</v>
      </c>
      <c r="B218" s="97" t="s">
        <v>1395</v>
      </c>
      <c r="C218" s="98" t="s">
        <v>951</v>
      </c>
      <c r="D218" s="99">
        <v>75.33</v>
      </c>
    </row>
    <row r="219" spans="1:4">
      <c r="A219" s="96">
        <v>126120</v>
      </c>
      <c r="B219" s="97" t="s">
        <v>1396</v>
      </c>
      <c r="C219" s="98" t="s">
        <v>951</v>
      </c>
      <c r="D219" s="99">
        <v>112.7</v>
      </c>
    </row>
    <row r="220" spans="1:4">
      <c r="A220" s="96">
        <v>126090</v>
      </c>
      <c r="B220" s="97" t="s">
        <v>1397</v>
      </c>
      <c r="C220" s="98" t="s">
        <v>951</v>
      </c>
      <c r="D220" s="99">
        <v>220.48</v>
      </c>
    </row>
    <row r="221" spans="1:4">
      <c r="A221" s="96">
        <v>126100</v>
      </c>
      <c r="B221" s="97" t="s">
        <v>1398</v>
      </c>
      <c r="C221" s="98" t="s">
        <v>951</v>
      </c>
      <c r="D221" s="99">
        <v>295.04000000000002</v>
      </c>
    </row>
    <row r="222" spans="1:4">
      <c r="A222" s="96">
        <v>100500</v>
      </c>
      <c r="B222" s="97" t="s">
        <v>1399</v>
      </c>
      <c r="C222" s="98" t="s">
        <v>328</v>
      </c>
      <c r="D222" s="99">
        <v>137.5</v>
      </c>
    </row>
    <row r="223" spans="1:4">
      <c r="A223" s="96">
        <v>146090</v>
      </c>
      <c r="B223" s="97" t="s">
        <v>1400</v>
      </c>
      <c r="C223" s="98" t="s">
        <v>1533</v>
      </c>
      <c r="D223" s="100">
        <v>5130</v>
      </c>
    </row>
    <row r="224" spans="1:4">
      <c r="A224" s="96">
        <v>146120</v>
      </c>
      <c r="B224" s="97" t="s">
        <v>1401</v>
      </c>
      <c r="C224" s="98" t="s">
        <v>1533</v>
      </c>
      <c r="D224" s="100">
        <v>8720</v>
      </c>
    </row>
    <row r="225" spans="1:4">
      <c r="A225" s="96">
        <v>130110</v>
      </c>
      <c r="B225" s="97" t="s">
        <v>1402</v>
      </c>
      <c r="C225" s="98" t="s">
        <v>950</v>
      </c>
      <c r="D225" s="100">
        <v>8600</v>
      </c>
    </row>
    <row r="226" spans="1:4">
      <c r="A226" s="96">
        <v>130120</v>
      </c>
      <c r="B226" s="97" t="s">
        <v>1403</v>
      </c>
      <c r="C226" s="98" t="s">
        <v>950</v>
      </c>
      <c r="D226" s="100">
        <v>2555</v>
      </c>
    </row>
    <row r="227" spans="1:4">
      <c r="A227" s="96">
        <v>134908</v>
      </c>
      <c r="B227" s="97" t="s">
        <v>1404</v>
      </c>
      <c r="C227" s="98" t="s">
        <v>952</v>
      </c>
      <c r="D227" s="99">
        <v>2.89</v>
      </c>
    </row>
    <row r="228" spans="1:4">
      <c r="A228" s="96">
        <v>134909</v>
      </c>
      <c r="B228" s="97" t="s">
        <v>1405</v>
      </c>
      <c r="C228" s="98" t="s">
        <v>952</v>
      </c>
      <c r="D228" s="99">
        <v>3.12</v>
      </c>
    </row>
    <row r="229" spans="1:4">
      <c r="A229" s="96">
        <v>134906</v>
      </c>
      <c r="B229" s="97" t="s">
        <v>1406</v>
      </c>
      <c r="C229" s="98" t="s">
        <v>952</v>
      </c>
      <c r="D229" s="99">
        <v>11.63</v>
      </c>
    </row>
    <row r="230" spans="1:4">
      <c r="A230" s="96">
        <v>134907</v>
      </c>
      <c r="B230" s="97" t="s">
        <v>1407</v>
      </c>
      <c r="C230" s="98" t="s">
        <v>952</v>
      </c>
      <c r="D230" s="99">
        <v>12.21</v>
      </c>
    </row>
    <row r="231" spans="1:4">
      <c r="A231" s="96">
        <v>130080</v>
      </c>
      <c r="B231" s="97" t="s">
        <v>1408</v>
      </c>
      <c r="C231" s="98" t="s">
        <v>950</v>
      </c>
      <c r="D231" s="99">
        <v>66.489999999999995</v>
      </c>
    </row>
    <row r="232" spans="1:4">
      <c r="A232" s="96">
        <v>135250</v>
      </c>
      <c r="B232" s="97" t="s">
        <v>1409</v>
      </c>
      <c r="C232" s="98" t="s">
        <v>952</v>
      </c>
      <c r="D232" s="99">
        <v>1.9</v>
      </c>
    </row>
    <row r="233" spans="1:4">
      <c r="A233" s="96">
        <v>142600</v>
      </c>
      <c r="B233" s="97" t="s">
        <v>1410</v>
      </c>
      <c r="C233" s="98" t="s">
        <v>952</v>
      </c>
      <c r="D233" s="99">
        <v>790</v>
      </c>
    </row>
    <row r="234" spans="1:4">
      <c r="A234" s="96">
        <v>141100</v>
      </c>
      <c r="B234" s="97" t="s">
        <v>1411</v>
      </c>
      <c r="C234" s="98" t="s">
        <v>952</v>
      </c>
      <c r="D234" s="99">
        <v>566.52</v>
      </c>
    </row>
    <row r="235" spans="1:4">
      <c r="A235" s="96">
        <v>142100</v>
      </c>
      <c r="B235" s="97" t="s">
        <v>1412</v>
      </c>
      <c r="C235" s="98" t="s">
        <v>952</v>
      </c>
      <c r="D235" s="99">
        <v>651.29</v>
      </c>
    </row>
    <row r="236" spans="1:4">
      <c r="A236" s="96">
        <v>142400</v>
      </c>
      <c r="B236" s="97" t="s">
        <v>1413</v>
      </c>
      <c r="C236" s="98" t="s">
        <v>952</v>
      </c>
      <c r="D236" s="99">
        <v>645.70000000000005</v>
      </c>
    </row>
    <row r="237" spans="1:4">
      <c r="A237" s="96">
        <v>161240</v>
      </c>
      <c r="B237" s="97" t="s">
        <v>1414</v>
      </c>
      <c r="C237" s="98" t="s">
        <v>952</v>
      </c>
      <c r="D237" s="99">
        <v>817.46</v>
      </c>
    </row>
    <row r="238" spans="1:4">
      <c r="A238" s="96">
        <v>191500</v>
      </c>
      <c r="B238" s="97" t="s">
        <v>1415</v>
      </c>
      <c r="C238" s="98" t="s">
        <v>952</v>
      </c>
      <c r="D238" s="100">
        <v>65600</v>
      </c>
    </row>
    <row r="239" spans="1:4">
      <c r="A239" s="96">
        <v>191600</v>
      </c>
      <c r="B239" s="97" t="s">
        <v>1416</v>
      </c>
      <c r="C239" s="98" t="s">
        <v>952</v>
      </c>
      <c r="D239" s="100">
        <v>66700</v>
      </c>
    </row>
    <row r="240" spans="1:4">
      <c r="A240" s="96">
        <v>191700</v>
      </c>
      <c r="B240" s="97" t="s">
        <v>1417</v>
      </c>
      <c r="C240" s="98" t="s">
        <v>952</v>
      </c>
      <c r="D240" s="100">
        <v>70500</v>
      </c>
    </row>
    <row r="241" spans="1:4">
      <c r="A241" s="96">
        <v>191800</v>
      </c>
      <c r="B241" s="97" t="s">
        <v>1418</v>
      </c>
      <c r="C241" s="98" t="s">
        <v>952</v>
      </c>
      <c r="D241" s="100">
        <v>71900</v>
      </c>
    </row>
    <row r="242" spans="1:4">
      <c r="A242" s="96">
        <v>157270</v>
      </c>
      <c r="B242" s="97" t="s">
        <v>1419</v>
      </c>
      <c r="C242" s="98" t="s">
        <v>327</v>
      </c>
      <c r="D242" s="99">
        <v>23.78</v>
      </c>
    </row>
    <row r="243" spans="1:4">
      <c r="A243" s="96">
        <v>186040</v>
      </c>
      <c r="B243" s="97" t="s">
        <v>1420</v>
      </c>
      <c r="C243" s="98" t="s">
        <v>952</v>
      </c>
      <c r="D243" s="99">
        <v>820</v>
      </c>
    </row>
    <row r="244" spans="1:4">
      <c r="A244" s="96">
        <v>130180</v>
      </c>
      <c r="B244" s="97" t="s">
        <v>1421</v>
      </c>
      <c r="C244" s="98" t="s">
        <v>950</v>
      </c>
      <c r="D244" s="99">
        <v>63.46</v>
      </c>
    </row>
    <row r="245" spans="1:4">
      <c r="A245" s="96">
        <v>130185</v>
      </c>
      <c r="B245" s="97" t="s">
        <v>1422</v>
      </c>
      <c r="C245" s="98" t="s">
        <v>950</v>
      </c>
      <c r="D245" s="99">
        <v>70.900000000000006</v>
      </c>
    </row>
    <row r="246" spans="1:4">
      <c r="A246" s="96">
        <v>130130</v>
      </c>
      <c r="B246" s="97" t="s">
        <v>1423</v>
      </c>
      <c r="C246" s="98" t="s">
        <v>950</v>
      </c>
      <c r="D246" s="99">
        <v>2.46</v>
      </c>
    </row>
    <row r="247" spans="1:4">
      <c r="A247" s="96">
        <v>130150</v>
      </c>
      <c r="B247" s="97" t="s">
        <v>1424</v>
      </c>
      <c r="C247" s="98" t="s">
        <v>950</v>
      </c>
      <c r="D247" s="99">
        <v>6.27</v>
      </c>
    </row>
    <row r="248" spans="1:4">
      <c r="A248" s="96">
        <v>170714</v>
      </c>
      <c r="B248" s="97" t="s">
        <v>1425</v>
      </c>
      <c r="C248" s="98" t="s">
        <v>327</v>
      </c>
      <c r="D248" s="99">
        <v>114.51</v>
      </c>
    </row>
    <row r="249" spans="1:4">
      <c r="A249" s="96">
        <v>191050</v>
      </c>
      <c r="B249" s="97" t="s">
        <v>1426</v>
      </c>
      <c r="C249" s="98" t="s">
        <v>952</v>
      </c>
      <c r="D249" s="100">
        <v>42900</v>
      </c>
    </row>
    <row r="250" spans="1:4">
      <c r="A250" s="96">
        <v>191150</v>
      </c>
      <c r="B250" s="97" t="s">
        <v>1427</v>
      </c>
      <c r="C250" s="98" t="s">
        <v>952</v>
      </c>
      <c r="D250" s="100">
        <v>45500</v>
      </c>
    </row>
    <row r="251" spans="1:4">
      <c r="A251" s="96">
        <v>191250</v>
      </c>
      <c r="B251" s="97" t="s">
        <v>1428</v>
      </c>
      <c r="C251" s="98" t="s">
        <v>952</v>
      </c>
      <c r="D251" s="100">
        <v>52400</v>
      </c>
    </row>
    <row r="252" spans="1:4">
      <c r="A252" s="96">
        <v>191350</v>
      </c>
      <c r="B252" s="97" t="s">
        <v>1429</v>
      </c>
      <c r="C252" s="98" t="s">
        <v>952</v>
      </c>
      <c r="D252" s="100">
        <v>62400</v>
      </c>
    </row>
    <row r="253" spans="1:4">
      <c r="A253" s="96">
        <v>191000</v>
      </c>
      <c r="B253" s="97" t="s">
        <v>1430</v>
      </c>
      <c r="C253" s="98" t="s">
        <v>952</v>
      </c>
      <c r="D253" s="100">
        <v>28000</v>
      </c>
    </row>
    <row r="254" spans="1:4">
      <c r="A254" s="96">
        <v>191100</v>
      </c>
      <c r="B254" s="97" t="s">
        <v>1431</v>
      </c>
      <c r="C254" s="98" t="s">
        <v>952</v>
      </c>
      <c r="D254" s="100">
        <v>29400</v>
      </c>
    </row>
    <row r="255" spans="1:4">
      <c r="A255" s="96">
        <v>191200</v>
      </c>
      <c r="B255" s="97" t="s">
        <v>1432</v>
      </c>
      <c r="C255" s="98" t="s">
        <v>952</v>
      </c>
      <c r="D255" s="100">
        <v>33800</v>
      </c>
    </row>
    <row r="256" spans="1:4">
      <c r="A256" s="96">
        <v>191300</v>
      </c>
      <c r="B256" s="97" t="s">
        <v>1433</v>
      </c>
      <c r="C256" s="98" t="s">
        <v>952</v>
      </c>
      <c r="D256" s="100">
        <v>36300</v>
      </c>
    </row>
    <row r="257" spans="1:4">
      <c r="A257" s="96">
        <v>100310</v>
      </c>
      <c r="B257" s="97" t="s">
        <v>1434</v>
      </c>
      <c r="C257" s="98" t="s">
        <v>327</v>
      </c>
      <c r="D257" s="99">
        <v>123.93</v>
      </c>
    </row>
    <row r="258" spans="1:4">
      <c r="A258" s="96">
        <v>100320</v>
      </c>
      <c r="B258" s="97" t="s">
        <v>1435</v>
      </c>
      <c r="C258" s="98" t="s">
        <v>327</v>
      </c>
      <c r="D258" s="99">
        <v>113.1</v>
      </c>
    </row>
    <row r="259" spans="1:4">
      <c r="A259" s="96">
        <v>100330</v>
      </c>
      <c r="B259" s="97" t="s">
        <v>1436</v>
      </c>
      <c r="C259" s="98" t="s">
        <v>327</v>
      </c>
      <c r="D259" s="99">
        <v>275.58999999999997</v>
      </c>
    </row>
    <row r="260" spans="1:4">
      <c r="A260" s="96">
        <v>100680</v>
      </c>
      <c r="B260" s="97" t="s">
        <v>1437</v>
      </c>
      <c r="C260" s="98" t="s">
        <v>327</v>
      </c>
      <c r="D260" s="99">
        <v>119.96</v>
      </c>
    </row>
    <row r="261" spans="1:4">
      <c r="A261" s="96">
        <v>180421</v>
      </c>
      <c r="B261" s="97" t="s">
        <v>1438</v>
      </c>
      <c r="C261" s="98" t="s">
        <v>952</v>
      </c>
      <c r="D261" s="99">
        <v>12.32</v>
      </c>
    </row>
    <row r="262" spans="1:4">
      <c r="A262" s="96">
        <v>180420</v>
      </c>
      <c r="B262" s="97" t="s">
        <v>1439</v>
      </c>
      <c r="C262" s="98" t="s">
        <v>952</v>
      </c>
      <c r="D262" s="99">
        <v>194.32</v>
      </c>
    </row>
    <row r="263" spans="1:4">
      <c r="A263" s="96">
        <v>100110</v>
      </c>
      <c r="B263" s="97" t="s">
        <v>1440</v>
      </c>
      <c r="C263" s="98" t="s">
        <v>954</v>
      </c>
      <c r="D263" s="99">
        <v>17.399999999999999</v>
      </c>
    </row>
    <row r="264" spans="1:4">
      <c r="A264" s="96">
        <v>180120</v>
      </c>
      <c r="B264" s="97" t="s">
        <v>1441</v>
      </c>
      <c r="C264" s="98" t="s">
        <v>952</v>
      </c>
      <c r="D264" s="99">
        <v>5.0599999999999996</v>
      </c>
    </row>
    <row r="265" spans="1:4">
      <c r="A265" s="96">
        <v>160330</v>
      </c>
      <c r="B265" s="97" t="s">
        <v>1442</v>
      </c>
      <c r="C265" s="98" t="s">
        <v>952</v>
      </c>
      <c r="D265" s="99">
        <v>108.57</v>
      </c>
    </row>
    <row r="266" spans="1:4">
      <c r="A266" s="96">
        <v>160380</v>
      </c>
      <c r="B266" s="97" t="s">
        <v>1443</v>
      </c>
      <c r="C266" s="98" t="s">
        <v>327</v>
      </c>
      <c r="D266" s="99">
        <v>40.299999999999997</v>
      </c>
    </row>
    <row r="267" spans="1:4">
      <c r="A267" s="96">
        <v>161100</v>
      </c>
      <c r="B267" s="97" t="s">
        <v>1444</v>
      </c>
      <c r="C267" s="98" t="s">
        <v>327</v>
      </c>
      <c r="D267" s="99">
        <v>25</v>
      </c>
    </row>
    <row r="268" spans="1:4">
      <c r="A268" s="96">
        <v>161150</v>
      </c>
      <c r="B268" s="97" t="s">
        <v>1445</v>
      </c>
      <c r="C268" s="98" t="s">
        <v>952</v>
      </c>
      <c r="D268" s="99">
        <v>330</v>
      </c>
    </row>
    <row r="269" spans="1:4">
      <c r="A269" s="96">
        <v>161200</v>
      </c>
      <c r="B269" s="97" t="s">
        <v>1446</v>
      </c>
      <c r="C269" s="98" t="s">
        <v>952</v>
      </c>
      <c r="D269" s="99">
        <v>386</v>
      </c>
    </row>
    <row r="270" spans="1:4">
      <c r="A270" s="96">
        <v>161250</v>
      </c>
      <c r="B270" s="97" t="s">
        <v>1447</v>
      </c>
      <c r="C270" s="98" t="s">
        <v>952</v>
      </c>
      <c r="D270" s="99">
        <v>441.14</v>
      </c>
    </row>
    <row r="271" spans="1:4">
      <c r="A271" s="96">
        <v>100410</v>
      </c>
      <c r="B271" s="97" t="s">
        <v>285</v>
      </c>
      <c r="C271" s="98" t="s">
        <v>952</v>
      </c>
      <c r="D271" s="99">
        <v>7.38</v>
      </c>
    </row>
    <row r="272" spans="1:4">
      <c r="A272" s="96">
        <v>100400</v>
      </c>
      <c r="B272" s="97" t="s">
        <v>284</v>
      </c>
      <c r="C272" s="98" t="s">
        <v>952</v>
      </c>
      <c r="D272" s="99">
        <v>6.73</v>
      </c>
    </row>
    <row r="273" spans="1:4">
      <c r="A273" s="96">
        <v>100420</v>
      </c>
      <c r="B273" s="97" t="s">
        <v>286</v>
      </c>
      <c r="C273" s="98" t="s">
        <v>952</v>
      </c>
      <c r="D273" s="99">
        <v>20.92</v>
      </c>
    </row>
    <row r="274" spans="1:4">
      <c r="A274" s="96">
        <v>100430</v>
      </c>
      <c r="B274" s="97" t="s">
        <v>897</v>
      </c>
      <c r="C274" s="98" t="s">
        <v>952</v>
      </c>
      <c r="D274" s="99">
        <v>20.149999999999999</v>
      </c>
    </row>
    <row r="275" spans="1:4">
      <c r="A275" s="96">
        <v>160125</v>
      </c>
      <c r="B275" s="97" t="s">
        <v>1448</v>
      </c>
      <c r="C275" s="98" t="s">
        <v>952</v>
      </c>
      <c r="D275" s="99">
        <v>394.05</v>
      </c>
    </row>
    <row r="276" spans="1:4">
      <c r="A276" s="96">
        <v>161400</v>
      </c>
      <c r="B276" s="97" t="s">
        <v>1449</v>
      </c>
      <c r="C276" s="98" t="s">
        <v>952</v>
      </c>
      <c r="D276" s="99">
        <v>500.8</v>
      </c>
    </row>
    <row r="277" spans="1:4">
      <c r="A277" s="96">
        <v>160050</v>
      </c>
      <c r="B277" s="97" t="s">
        <v>1450</v>
      </c>
      <c r="C277" s="98" t="s">
        <v>952</v>
      </c>
      <c r="D277" s="99">
        <v>521.16</v>
      </c>
    </row>
    <row r="278" spans="1:4">
      <c r="A278" s="96">
        <v>161125</v>
      </c>
      <c r="B278" s="97" t="s">
        <v>1451</v>
      </c>
      <c r="C278" s="98" t="s">
        <v>952</v>
      </c>
      <c r="D278" s="99">
        <v>516.92999999999995</v>
      </c>
    </row>
    <row r="279" spans="1:4">
      <c r="A279" s="96">
        <v>162400</v>
      </c>
      <c r="B279" s="97" t="s">
        <v>1452</v>
      </c>
      <c r="C279" s="98" t="s">
        <v>952</v>
      </c>
      <c r="D279" s="99">
        <v>733.97</v>
      </c>
    </row>
    <row r="280" spans="1:4">
      <c r="A280" s="96">
        <v>171400</v>
      </c>
      <c r="B280" s="97" t="s">
        <v>1453</v>
      </c>
      <c r="C280" s="98" t="s">
        <v>952</v>
      </c>
      <c r="D280" s="99">
        <v>926.55</v>
      </c>
    </row>
    <row r="281" spans="1:4">
      <c r="A281" s="96">
        <v>173400</v>
      </c>
      <c r="B281" s="97" t="s">
        <v>1454</v>
      </c>
      <c r="C281" s="98" t="s">
        <v>952</v>
      </c>
      <c r="D281" s="100">
        <v>1104.8800000000001</v>
      </c>
    </row>
    <row r="282" spans="1:4">
      <c r="A282" s="96">
        <v>181400</v>
      </c>
      <c r="B282" s="97" t="s">
        <v>1455</v>
      </c>
      <c r="C282" s="98" t="s">
        <v>952</v>
      </c>
      <c r="D282" s="100">
        <v>1154.27</v>
      </c>
    </row>
    <row r="283" spans="1:4">
      <c r="A283" s="96">
        <v>150920</v>
      </c>
      <c r="B283" s="97" t="s">
        <v>1456</v>
      </c>
      <c r="C283" s="98" t="s">
        <v>327</v>
      </c>
      <c r="D283" s="99">
        <v>11.01</v>
      </c>
    </row>
    <row r="284" spans="1:4">
      <c r="A284" s="96">
        <v>151130</v>
      </c>
      <c r="B284" s="97" t="s">
        <v>1457</v>
      </c>
      <c r="C284" s="98" t="s">
        <v>327</v>
      </c>
      <c r="D284" s="99">
        <v>10.11</v>
      </c>
    </row>
    <row r="285" spans="1:4">
      <c r="A285" s="96">
        <v>151380</v>
      </c>
      <c r="B285" s="97" t="s">
        <v>1458</v>
      </c>
      <c r="C285" s="98" t="s">
        <v>327</v>
      </c>
      <c r="D285" s="99">
        <v>10.55</v>
      </c>
    </row>
    <row r="286" spans="1:4">
      <c r="A286" s="96">
        <v>152830</v>
      </c>
      <c r="B286" s="97" t="s">
        <v>1459</v>
      </c>
      <c r="C286" s="98" t="s">
        <v>327</v>
      </c>
      <c r="D286" s="99">
        <v>10.78</v>
      </c>
    </row>
    <row r="287" spans="1:4">
      <c r="A287" s="96">
        <v>156260</v>
      </c>
      <c r="B287" s="97" t="s">
        <v>1460</v>
      </c>
      <c r="C287" s="98" t="s">
        <v>952</v>
      </c>
      <c r="D287" s="99">
        <v>18.98</v>
      </c>
    </row>
    <row r="288" spans="1:4">
      <c r="A288" s="96">
        <v>166100</v>
      </c>
      <c r="B288" s="97" t="s">
        <v>1461</v>
      </c>
      <c r="C288" s="98" t="s">
        <v>952</v>
      </c>
      <c r="D288" s="100">
        <v>11615.92</v>
      </c>
    </row>
    <row r="289" spans="1:4">
      <c r="A289" s="96">
        <v>166080</v>
      </c>
      <c r="B289" s="97" t="s">
        <v>1462</v>
      </c>
      <c r="C289" s="98" t="s">
        <v>952</v>
      </c>
      <c r="D289" s="100">
        <v>8459.66</v>
      </c>
    </row>
    <row r="290" spans="1:4">
      <c r="A290" s="96">
        <v>160100</v>
      </c>
      <c r="B290" s="97" t="s">
        <v>1463</v>
      </c>
      <c r="C290" s="98" t="s">
        <v>952</v>
      </c>
      <c r="D290" s="100">
        <v>51219.81</v>
      </c>
    </row>
    <row r="291" spans="1:4">
      <c r="A291" s="96">
        <v>160080</v>
      </c>
      <c r="B291" s="97" t="s">
        <v>1464</v>
      </c>
      <c r="C291" s="98" t="s">
        <v>952</v>
      </c>
      <c r="D291" s="100">
        <v>43745.79</v>
      </c>
    </row>
    <row r="292" spans="1:4">
      <c r="A292" s="96">
        <v>110190</v>
      </c>
      <c r="B292" s="97" t="s">
        <v>1465</v>
      </c>
      <c r="C292" s="98" t="s">
        <v>952</v>
      </c>
      <c r="D292" s="99">
        <v>470</v>
      </c>
    </row>
    <row r="293" spans="1:4">
      <c r="A293" s="96">
        <v>180240</v>
      </c>
      <c r="B293" s="97" t="s">
        <v>1466</v>
      </c>
      <c r="C293" s="98" t="s">
        <v>328</v>
      </c>
      <c r="D293" s="99">
        <v>9.0399999999999991</v>
      </c>
    </row>
    <row r="294" spans="1:4">
      <c r="A294" s="96">
        <v>180180</v>
      </c>
      <c r="B294" s="97" t="s">
        <v>1467</v>
      </c>
      <c r="C294" s="98" t="s">
        <v>328</v>
      </c>
      <c r="D294" s="99">
        <v>34.43</v>
      </c>
    </row>
    <row r="295" spans="1:4">
      <c r="A295" s="96">
        <v>180010</v>
      </c>
      <c r="B295" s="97" t="s">
        <v>1468</v>
      </c>
      <c r="C295" s="98" t="s">
        <v>952</v>
      </c>
      <c r="D295" s="99">
        <v>470</v>
      </c>
    </row>
    <row r="296" spans="1:4">
      <c r="A296" s="96">
        <v>100010</v>
      </c>
      <c r="B296" s="97" t="s">
        <v>1469</v>
      </c>
      <c r="C296" s="98" t="s">
        <v>1534</v>
      </c>
      <c r="D296" s="100">
        <v>1632.5</v>
      </c>
    </row>
    <row r="297" spans="1:4">
      <c r="A297" s="96">
        <v>100020</v>
      </c>
      <c r="B297" s="97" t="s">
        <v>1470</v>
      </c>
      <c r="C297" s="98" t="s">
        <v>1534</v>
      </c>
      <c r="D297" s="99">
        <v>586</v>
      </c>
    </row>
    <row r="298" spans="1:4">
      <c r="A298" s="96">
        <v>100150</v>
      </c>
      <c r="B298" s="97" t="s">
        <v>1471</v>
      </c>
      <c r="C298" s="98" t="s">
        <v>954</v>
      </c>
      <c r="D298" s="99">
        <v>16.78</v>
      </c>
    </row>
    <row r="299" spans="1:4">
      <c r="A299" s="96">
        <v>100120</v>
      </c>
      <c r="B299" s="97" t="s">
        <v>1472</v>
      </c>
      <c r="C299" s="98" t="s">
        <v>954</v>
      </c>
      <c r="D299" s="99">
        <v>25.63</v>
      </c>
    </row>
    <row r="300" spans="1:4">
      <c r="A300" s="96">
        <v>101030</v>
      </c>
      <c r="B300" s="97" t="s">
        <v>1473</v>
      </c>
      <c r="C300" s="98" t="s">
        <v>954</v>
      </c>
      <c r="D300" s="99">
        <v>59.44</v>
      </c>
    </row>
    <row r="301" spans="1:4">
      <c r="A301" s="96">
        <v>101050</v>
      </c>
      <c r="B301" s="97" t="s">
        <v>1474</v>
      </c>
      <c r="C301" s="98" t="s">
        <v>954</v>
      </c>
      <c r="D301" s="99">
        <v>31</v>
      </c>
    </row>
    <row r="302" spans="1:4">
      <c r="A302" s="96">
        <v>106060</v>
      </c>
      <c r="B302" s="97" t="s">
        <v>1475</v>
      </c>
      <c r="C302" s="98" t="s">
        <v>954</v>
      </c>
      <c r="D302" s="99">
        <v>39.82</v>
      </c>
    </row>
    <row r="303" spans="1:4">
      <c r="A303" s="96">
        <v>100360</v>
      </c>
      <c r="B303" s="97" t="s">
        <v>1476</v>
      </c>
      <c r="C303" s="98" t="s">
        <v>327</v>
      </c>
      <c r="D303" s="99">
        <v>9.6199999999999992</v>
      </c>
    </row>
    <row r="304" spans="1:4">
      <c r="A304" s="96">
        <v>106040</v>
      </c>
      <c r="B304" s="97" t="s">
        <v>1477</v>
      </c>
      <c r="C304" s="98" t="s">
        <v>954</v>
      </c>
      <c r="D304" s="99">
        <v>33.28</v>
      </c>
    </row>
    <row r="305" spans="1:4">
      <c r="A305" s="96">
        <v>100190</v>
      </c>
      <c r="B305" s="97" t="s">
        <v>1478</v>
      </c>
      <c r="C305" s="98" t="s">
        <v>954</v>
      </c>
      <c r="D305" s="99">
        <v>11.38</v>
      </c>
    </row>
    <row r="306" spans="1:4">
      <c r="A306" s="96">
        <v>100370</v>
      </c>
      <c r="B306" s="97" t="s">
        <v>1479</v>
      </c>
      <c r="C306" s="98" t="s">
        <v>327</v>
      </c>
      <c r="D306" s="99">
        <v>5.3</v>
      </c>
    </row>
    <row r="307" spans="1:4">
      <c r="A307" s="96">
        <v>100160</v>
      </c>
      <c r="B307" s="97" t="s">
        <v>1480</v>
      </c>
      <c r="C307" s="98" t="s">
        <v>327</v>
      </c>
      <c r="D307" s="99">
        <v>41</v>
      </c>
    </row>
    <row r="308" spans="1:4">
      <c r="A308" s="96">
        <v>100210</v>
      </c>
      <c r="B308" s="97" t="s">
        <v>1481</v>
      </c>
      <c r="C308" s="98" t="s">
        <v>327</v>
      </c>
      <c r="D308" s="99">
        <v>39.700000000000003</v>
      </c>
    </row>
    <row r="309" spans="1:4">
      <c r="A309" s="96">
        <v>100270</v>
      </c>
      <c r="B309" s="97" t="s">
        <v>1482</v>
      </c>
      <c r="C309" s="98" t="s">
        <v>327</v>
      </c>
      <c r="D309" s="99">
        <v>38.200000000000003</v>
      </c>
    </row>
    <row r="310" spans="1:4">
      <c r="A310" s="96">
        <v>100340</v>
      </c>
      <c r="B310" s="97" t="s">
        <v>1483</v>
      </c>
      <c r="C310" s="98" t="s">
        <v>327</v>
      </c>
      <c r="D310" s="99">
        <v>37</v>
      </c>
    </row>
    <row r="311" spans="1:4">
      <c r="A311" s="96">
        <v>101270</v>
      </c>
      <c r="B311" s="97" t="s">
        <v>1484</v>
      </c>
      <c r="C311" s="98" t="s">
        <v>327</v>
      </c>
      <c r="D311" s="99">
        <v>41</v>
      </c>
    </row>
    <row r="312" spans="1:4">
      <c r="A312" s="96">
        <v>101340</v>
      </c>
      <c r="B312" s="97" t="s">
        <v>1485</v>
      </c>
      <c r="C312" s="98" t="s">
        <v>327</v>
      </c>
      <c r="D312" s="99">
        <v>41</v>
      </c>
    </row>
    <row r="313" spans="1:4">
      <c r="A313" s="96">
        <v>101390</v>
      </c>
      <c r="B313" s="97" t="s">
        <v>1486</v>
      </c>
      <c r="C313" s="98" t="s">
        <v>327</v>
      </c>
      <c r="D313" s="99">
        <v>40.1</v>
      </c>
    </row>
    <row r="314" spans="1:4">
      <c r="A314" s="96">
        <v>101470</v>
      </c>
      <c r="B314" s="97" t="s">
        <v>1487</v>
      </c>
      <c r="C314" s="98" t="s">
        <v>327</v>
      </c>
      <c r="D314" s="99">
        <v>37.5</v>
      </c>
    </row>
    <row r="315" spans="1:4">
      <c r="A315" s="96">
        <v>101630</v>
      </c>
      <c r="B315" s="97" t="s">
        <v>1488</v>
      </c>
      <c r="C315" s="98" t="s">
        <v>327</v>
      </c>
      <c r="D315" s="99">
        <v>38.200000000000003</v>
      </c>
    </row>
    <row r="316" spans="1:4">
      <c r="A316" s="96">
        <v>102200</v>
      </c>
      <c r="B316" s="97" t="s">
        <v>1489</v>
      </c>
      <c r="C316" s="98" t="s">
        <v>327</v>
      </c>
      <c r="D316" s="99">
        <v>41</v>
      </c>
    </row>
    <row r="317" spans="1:4">
      <c r="A317" s="96">
        <v>102270</v>
      </c>
      <c r="B317" s="97" t="s">
        <v>1490</v>
      </c>
      <c r="C317" s="98" t="s">
        <v>327</v>
      </c>
      <c r="D317" s="99">
        <v>39.5</v>
      </c>
    </row>
    <row r="318" spans="1:4">
      <c r="A318" s="96">
        <v>102340</v>
      </c>
      <c r="B318" s="97" t="s">
        <v>1491</v>
      </c>
      <c r="C318" s="98" t="s">
        <v>327</v>
      </c>
      <c r="D318" s="99">
        <v>39</v>
      </c>
    </row>
    <row r="319" spans="1:4">
      <c r="A319" s="96">
        <v>102390</v>
      </c>
      <c r="B319" s="97" t="s">
        <v>1492</v>
      </c>
      <c r="C319" s="98" t="s">
        <v>327</v>
      </c>
      <c r="D319" s="99">
        <v>37.700000000000003</v>
      </c>
    </row>
    <row r="320" spans="1:4">
      <c r="A320" s="96">
        <v>122470</v>
      </c>
      <c r="B320" s="97" t="s">
        <v>1493</v>
      </c>
      <c r="C320" s="98" t="s">
        <v>327</v>
      </c>
      <c r="D320" s="99">
        <v>37.4</v>
      </c>
    </row>
    <row r="321" spans="1:4">
      <c r="A321" s="96">
        <v>122630</v>
      </c>
      <c r="B321" s="97" t="s">
        <v>1494</v>
      </c>
      <c r="C321" s="98" t="s">
        <v>327</v>
      </c>
      <c r="D321" s="99">
        <v>36.299999999999997</v>
      </c>
    </row>
    <row r="322" spans="1:4">
      <c r="A322" s="96">
        <v>180200</v>
      </c>
      <c r="B322" s="97" t="s">
        <v>1495</v>
      </c>
      <c r="C322" s="98" t="s">
        <v>952</v>
      </c>
      <c r="D322" s="99">
        <v>35.619999999999997</v>
      </c>
    </row>
    <row r="323" spans="1:4">
      <c r="A323" s="96">
        <v>180210</v>
      </c>
      <c r="B323" s="97" t="s">
        <v>1496</v>
      </c>
      <c r="C323" s="98" t="s">
        <v>952</v>
      </c>
      <c r="D323" s="99">
        <v>48.43</v>
      </c>
    </row>
    <row r="324" spans="1:4">
      <c r="A324" s="96">
        <v>180310</v>
      </c>
      <c r="B324" s="97" t="s">
        <v>1497</v>
      </c>
      <c r="C324" s="98" t="s">
        <v>952</v>
      </c>
      <c r="D324" s="99">
        <v>95.33</v>
      </c>
    </row>
    <row r="325" spans="1:4">
      <c r="A325" s="96">
        <v>180340</v>
      </c>
      <c r="B325" s="97" t="s">
        <v>1498</v>
      </c>
      <c r="C325" s="98" t="s">
        <v>952</v>
      </c>
      <c r="D325" s="99">
        <v>104</v>
      </c>
    </row>
    <row r="326" spans="1:4">
      <c r="A326" s="96">
        <v>180320</v>
      </c>
      <c r="B326" s="97" t="s">
        <v>1499</v>
      </c>
      <c r="C326" s="98" t="s">
        <v>952</v>
      </c>
      <c r="D326" s="99">
        <v>50</v>
      </c>
    </row>
    <row r="327" spans="1:4">
      <c r="A327" s="96">
        <v>180600</v>
      </c>
      <c r="B327" s="97" t="s">
        <v>1500</v>
      </c>
      <c r="C327" s="98" t="s">
        <v>952</v>
      </c>
      <c r="D327" s="99">
        <v>212.58</v>
      </c>
    </row>
    <row r="328" spans="1:4">
      <c r="A328" s="96">
        <v>180620</v>
      </c>
      <c r="B328" s="97" t="s">
        <v>1501</v>
      </c>
      <c r="C328" s="98" t="s">
        <v>952</v>
      </c>
      <c r="D328" s="99">
        <v>260.58</v>
      </c>
    </row>
    <row r="329" spans="1:4">
      <c r="A329" s="96">
        <v>180630</v>
      </c>
      <c r="B329" s="97" t="s">
        <v>1502</v>
      </c>
      <c r="C329" s="98" t="s">
        <v>952</v>
      </c>
      <c r="D329" s="99">
        <v>691</v>
      </c>
    </row>
    <row r="330" spans="1:4">
      <c r="A330" s="96">
        <v>180330</v>
      </c>
      <c r="B330" s="97" t="s">
        <v>1503</v>
      </c>
      <c r="C330" s="98" t="s">
        <v>952</v>
      </c>
      <c r="D330" s="99">
        <v>95</v>
      </c>
    </row>
    <row r="331" spans="1:4">
      <c r="A331" s="96">
        <v>180800</v>
      </c>
      <c r="B331" s="97" t="s">
        <v>1504</v>
      </c>
      <c r="C331" s="98" t="s">
        <v>952</v>
      </c>
      <c r="D331" s="99">
        <v>369</v>
      </c>
    </row>
    <row r="332" spans="1:4">
      <c r="A332" s="96">
        <v>180820</v>
      </c>
      <c r="B332" s="97" t="s">
        <v>1505</v>
      </c>
      <c r="C332" s="98" t="s">
        <v>952</v>
      </c>
      <c r="D332" s="99">
        <v>436.33</v>
      </c>
    </row>
    <row r="333" spans="1:4">
      <c r="A333" s="96">
        <v>180830</v>
      </c>
      <c r="B333" s="97" t="s">
        <v>1506</v>
      </c>
      <c r="C333" s="98" t="s">
        <v>952</v>
      </c>
      <c r="D333" s="99">
        <v>732</v>
      </c>
    </row>
    <row r="334" spans="1:4">
      <c r="A334" s="96">
        <v>180810</v>
      </c>
      <c r="B334" s="97" t="s">
        <v>1507</v>
      </c>
      <c r="C334" s="98" t="s">
        <v>952</v>
      </c>
      <c r="D334" s="99">
        <v>208.33</v>
      </c>
    </row>
    <row r="335" spans="1:4">
      <c r="A335" s="96">
        <v>181000</v>
      </c>
      <c r="B335" s="97" t="s">
        <v>1508</v>
      </c>
      <c r="C335" s="98" t="s">
        <v>952</v>
      </c>
      <c r="D335" s="99">
        <v>480.5</v>
      </c>
    </row>
    <row r="336" spans="1:4">
      <c r="A336" s="96">
        <v>181020</v>
      </c>
      <c r="B336" s="97" t="s">
        <v>1509</v>
      </c>
      <c r="C336" s="98" t="s">
        <v>952</v>
      </c>
      <c r="D336" s="99">
        <v>708.16</v>
      </c>
    </row>
    <row r="337" spans="1:4">
      <c r="A337" s="96">
        <v>181030</v>
      </c>
      <c r="B337" s="97" t="s">
        <v>1510</v>
      </c>
      <c r="C337" s="98" t="s">
        <v>952</v>
      </c>
      <c r="D337" s="100">
        <v>1120</v>
      </c>
    </row>
    <row r="338" spans="1:4">
      <c r="A338" s="96">
        <v>181200</v>
      </c>
      <c r="B338" s="97" t="s">
        <v>1511</v>
      </c>
      <c r="C338" s="98" t="s">
        <v>952</v>
      </c>
      <c r="D338" s="99">
        <v>732.16</v>
      </c>
    </row>
    <row r="339" spans="1:4">
      <c r="A339" s="96">
        <v>181220</v>
      </c>
      <c r="B339" s="97" t="s">
        <v>1512</v>
      </c>
      <c r="C339" s="98" t="s">
        <v>952</v>
      </c>
      <c r="D339" s="99">
        <v>898.5</v>
      </c>
    </row>
    <row r="340" spans="1:4">
      <c r="A340" s="96">
        <v>181230</v>
      </c>
      <c r="B340" s="97" t="s">
        <v>1513</v>
      </c>
      <c r="C340" s="98" t="s">
        <v>952</v>
      </c>
      <c r="D340" s="100">
        <v>1223.25</v>
      </c>
    </row>
    <row r="341" spans="1:4">
      <c r="A341" s="96">
        <v>181500</v>
      </c>
      <c r="B341" s="97" t="s">
        <v>1514</v>
      </c>
      <c r="C341" s="98" t="s">
        <v>952</v>
      </c>
      <c r="D341" s="99">
        <v>956</v>
      </c>
    </row>
    <row r="342" spans="1:4">
      <c r="A342" s="96">
        <v>181520</v>
      </c>
      <c r="B342" s="97" t="s">
        <v>1515</v>
      </c>
      <c r="C342" s="98" t="s">
        <v>952</v>
      </c>
      <c r="D342" s="100">
        <v>1078.25</v>
      </c>
    </row>
    <row r="343" spans="1:4">
      <c r="A343" s="96">
        <v>181530</v>
      </c>
      <c r="B343" s="97" t="s">
        <v>1516</v>
      </c>
      <c r="C343" s="98" t="s">
        <v>952</v>
      </c>
      <c r="D343" s="100">
        <v>1967.5</v>
      </c>
    </row>
    <row r="344" spans="1:4">
      <c r="A344" s="96">
        <v>182000</v>
      </c>
      <c r="B344" s="97" t="s">
        <v>1517</v>
      </c>
      <c r="C344" s="98" t="s">
        <v>952</v>
      </c>
      <c r="D344" s="100">
        <v>2822</v>
      </c>
    </row>
    <row r="345" spans="1:4">
      <c r="A345" s="96">
        <v>182020</v>
      </c>
      <c r="B345" s="97" t="s">
        <v>1518</v>
      </c>
      <c r="C345" s="98" t="s">
        <v>952</v>
      </c>
      <c r="D345" s="100">
        <v>2689</v>
      </c>
    </row>
    <row r="346" spans="1:4">
      <c r="A346" s="96">
        <v>182030</v>
      </c>
      <c r="B346" s="97" t="s">
        <v>1519</v>
      </c>
      <c r="C346" s="98" t="s">
        <v>952</v>
      </c>
      <c r="D346" s="100">
        <v>3943.5</v>
      </c>
    </row>
    <row r="347" spans="1:4">
      <c r="A347" s="96">
        <v>110010</v>
      </c>
      <c r="B347" s="97" t="s">
        <v>1520</v>
      </c>
      <c r="C347" s="98" t="s">
        <v>328</v>
      </c>
      <c r="D347" s="99">
        <v>32.29</v>
      </c>
    </row>
    <row r="348" spans="1:4">
      <c r="A348" s="96">
        <v>110020</v>
      </c>
      <c r="B348" s="97" t="s">
        <v>1521</v>
      </c>
      <c r="C348" s="98" t="s">
        <v>328</v>
      </c>
      <c r="D348" s="99">
        <v>65.41</v>
      </c>
    </row>
    <row r="349" spans="1:4">
      <c r="A349" s="96">
        <v>110080</v>
      </c>
      <c r="B349" s="97" t="s">
        <v>1522</v>
      </c>
      <c r="C349" s="98" t="s">
        <v>328</v>
      </c>
      <c r="D349" s="99">
        <v>93.05</v>
      </c>
    </row>
    <row r="350" spans="1:4">
      <c r="A350" s="96">
        <v>110030</v>
      </c>
      <c r="B350" s="97" t="s">
        <v>1523</v>
      </c>
      <c r="C350" s="98" t="s">
        <v>328</v>
      </c>
      <c r="D350" s="99">
        <v>108.67</v>
      </c>
    </row>
    <row r="351" spans="1:4">
      <c r="A351" s="96">
        <v>110040</v>
      </c>
      <c r="B351" s="97" t="s">
        <v>1524</v>
      </c>
      <c r="C351" s="98" t="s">
        <v>328</v>
      </c>
      <c r="D351" s="99">
        <v>157.33000000000001</v>
      </c>
    </row>
    <row r="352" spans="1:4">
      <c r="A352" s="96">
        <v>180250</v>
      </c>
      <c r="B352" s="97" t="s">
        <v>1525</v>
      </c>
      <c r="C352" s="98" t="s">
        <v>328</v>
      </c>
      <c r="D352" s="99">
        <v>9.77</v>
      </c>
    </row>
    <row r="353" spans="1:4">
      <c r="A353" s="96">
        <v>180220</v>
      </c>
      <c r="B353" s="97" t="s">
        <v>1526</v>
      </c>
      <c r="C353" s="98" t="s">
        <v>328</v>
      </c>
      <c r="D353" s="99">
        <v>34.43</v>
      </c>
    </row>
    <row r="354" spans="1:4">
      <c r="A354" s="96">
        <v>110510</v>
      </c>
      <c r="B354" s="97" t="s">
        <v>1527</v>
      </c>
      <c r="C354" s="98" t="s">
        <v>328</v>
      </c>
      <c r="D354" s="99">
        <v>7.38</v>
      </c>
    </row>
    <row r="355" spans="1:4">
      <c r="A355" s="96">
        <v>110550</v>
      </c>
      <c r="B355" s="97" t="s">
        <v>1528</v>
      </c>
      <c r="C355" s="98" t="s">
        <v>328</v>
      </c>
      <c r="D355" s="99">
        <v>13.96</v>
      </c>
    </row>
    <row r="356" spans="1:4">
      <c r="A356" s="96">
        <v>110520</v>
      </c>
      <c r="B356" s="97" t="s">
        <v>1529</v>
      </c>
      <c r="C356" s="98" t="s">
        <v>328</v>
      </c>
      <c r="D356" s="99">
        <v>8.7100000000000009</v>
      </c>
    </row>
    <row r="357" spans="1:4">
      <c r="A357" s="96">
        <v>110540</v>
      </c>
      <c r="B357" s="97" t="s">
        <v>1530</v>
      </c>
      <c r="C357" s="98" t="s">
        <v>328</v>
      </c>
      <c r="D357" s="99">
        <v>12.81</v>
      </c>
    </row>
    <row r="358" spans="1:4">
      <c r="A358" s="96">
        <v>100080</v>
      </c>
      <c r="B358" s="97" t="s">
        <v>1531</v>
      </c>
      <c r="C358" s="98" t="s">
        <v>954</v>
      </c>
      <c r="D358" s="99">
        <v>37.6</v>
      </c>
    </row>
  </sheetData>
  <autoFilter ref="A1:D358"/>
  <mergeCells count="6">
    <mergeCell ref="A8:D8"/>
    <mergeCell ref="A2:D2"/>
    <mergeCell ref="A3:D3"/>
    <mergeCell ref="A4:D4"/>
    <mergeCell ref="A5:D5"/>
    <mergeCell ref="A6:C6"/>
  </mergeCells>
  <printOptions horizontalCentered="1"/>
  <pageMargins left="0.70866141732283472" right="0.70866141732283472" top="0.74803149606299213" bottom="0.74803149606299213" header="0.31496062992125984" footer="0.31496062992125984"/>
  <pageSetup paperSize="9" scale="70" orientation="landscape" r:id="rId1"/>
  <headerFooter>
    <oddFooter>&amp;LAGÊNCIA DE ASSUNTOS METROPOLITANOS DO PARANÁ - AMEP
DIRETORIA DE OBRAS&amp;CENGª CIBELE CRISTINE MELLO FRANCZAK
DIRETORA DE OBRAS&amp;RPágina &amp;P de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Q44"/>
  <sheetViews>
    <sheetView showGridLines="0" zoomScaleNormal="100" zoomScaleSheetLayoutView="115" workbookViewId="0">
      <selection activeCell="B30" sqref="B30"/>
    </sheetView>
  </sheetViews>
  <sheetFormatPr defaultRowHeight="15.75"/>
  <cols>
    <col min="1" max="1" width="16.7109375" style="50" customWidth="1"/>
    <col min="2" max="2" width="106.42578125" style="50" customWidth="1"/>
    <col min="3" max="3" width="21.7109375" style="87" bestFit="1" customWidth="1"/>
    <col min="4" max="4" width="17.85546875" style="87" bestFit="1" customWidth="1"/>
    <col min="5" max="16384" width="9.140625" style="50"/>
  </cols>
  <sheetData>
    <row r="1" spans="1:17" s="6" customFormat="1" ht="15.75" customHeight="1">
      <c r="A1" s="495" t="s">
        <v>167</v>
      </c>
      <c r="B1" s="495"/>
      <c r="C1" s="495"/>
      <c r="D1" s="495"/>
      <c r="E1" s="60"/>
      <c r="F1" s="60"/>
      <c r="G1" s="60"/>
      <c r="H1" s="60"/>
    </row>
    <row r="2" spans="1:17" s="6" customFormat="1" ht="15.75" customHeight="1">
      <c r="A2" s="541" t="s">
        <v>165</v>
      </c>
      <c r="B2" s="541"/>
      <c r="C2" s="541"/>
      <c r="D2" s="541"/>
      <c r="E2" s="62"/>
      <c r="F2" s="62"/>
      <c r="G2" s="62"/>
      <c r="H2" s="62"/>
    </row>
    <row r="3" spans="1:17" s="6" customFormat="1">
      <c r="A3" s="539"/>
      <c r="B3" s="539"/>
      <c r="C3" s="539"/>
      <c r="D3" s="539"/>
      <c r="E3" s="63"/>
      <c r="F3" s="63"/>
      <c r="G3" s="63"/>
      <c r="H3" s="63"/>
    </row>
    <row r="4" spans="1:17" s="6" customFormat="1">
      <c r="A4" s="539" t="s">
        <v>25931</v>
      </c>
      <c r="B4" s="539"/>
      <c r="C4" s="539"/>
      <c r="D4" s="539"/>
      <c r="E4" s="63"/>
      <c r="F4" s="63"/>
      <c r="G4" s="63"/>
      <c r="H4" s="63"/>
    </row>
    <row r="5" spans="1:17" s="70" customFormat="1">
      <c r="A5" s="554"/>
      <c r="B5" s="554"/>
      <c r="C5" s="554"/>
      <c r="D5" s="73"/>
      <c r="E5" s="73"/>
      <c r="F5" s="73"/>
      <c r="G5" s="73"/>
      <c r="H5" s="73"/>
      <c r="I5" s="71"/>
      <c r="J5" s="73"/>
      <c r="K5" s="73"/>
      <c r="L5" s="73"/>
      <c r="M5" s="73"/>
      <c r="N5" s="73"/>
      <c r="O5" s="73"/>
      <c r="P5" s="73"/>
      <c r="Q5" s="6"/>
    </row>
    <row r="6" spans="1:17" s="6" customFormat="1">
      <c r="A6" s="554" t="s">
        <v>1159</v>
      </c>
      <c r="B6" s="554"/>
      <c r="C6" s="83"/>
      <c r="D6" s="20"/>
      <c r="H6" s="61"/>
    </row>
    <row r="7" spans="1:17" s="70" customFormat="1">
      <c r="A7" s="554" t="s">
        <v>1157</v>
      </c>
      <c r="B7" s="554"/>
      <c r="C7" s="554"/>
      <c r="D7" s="73"/>
      <c r="E7" s="73"/>
      <c r="F7" s="73"/>
      <c r="G7" s="73"/>
      <c r="H7" s="73"/>
      <c r="I7" s="71"/>
      <c r="J7" s="73"/>
      <c r="K7" s="73"/>
      <c r="L7" s="73"/>
      <c r="M7" s="73"/>
      <c r="N7" s="73"/>
      <c r="O7" s="73"/>
      <c r="P7" s="73"/>
      <c r="Q7" s="6"/>
    </row>
    <row r="8" spans="1:17" s="70" customFormat="1">
      <c r="A8" s="554" t="s">
        <v>25905</v>
      </c>
      <c r="B8" s="554"/>
      <c r="C8" s="554"/>
      <c r="D8" s="73"/>
      <c r="E8" s="73"/>
      <c r="F8" s="73"/>
      <c r="G8" s="73"/>
      <c r="H8" s="73"/>
      <c r="I8" s="71"/>
      <c r="J8" s="73"/>
      <c r="K8" s="73"/>
      <c r="L8" s="73"/>
      <c r="M8" s="73"/>
      <c r="N8" s="73"/>
      <c r="O8" s="73"/>
      <c r="P8" s="73"/>
      <c r="Q8" s="6"/>
    </row>
    <row r="9" spans="1:17" s="70" customFormat="1" ht="15.75" customHeight="1">
      <c r="A9" s="72"/>
      <c r="B9" s="72"/>
      <c r="C9" s="72"/>
      <c r="D9" s="72"/>
      <c r="E9" s="72"/>
      <c r="F9" s="72"/>
      <c r="G9" s="72"/>
      <c r="H9" s="72"/>
      <c r="I9" s="71"/>
      <c r="J9" s="73"/>
      <c r="K9" s="73"/>
      <c r="L9" s="73"/>
      <c r="M9" s="73"/>
      <c r="N9" s="73"/>
      <c r="O9" s="73"/>
      <c r="P9" s="73"/>
      <c r="Q9" s="6"/>
    </row>
    <row r="10" spans="1:17" s="70" customFormat="1">
      <c r="A10" s="582" t="s">
        <v>25906</v>
      </c>
      <c r="B10" s="582"/>
      <c r="C10" s="582"/>
      <c r="D10" s="582"/>
      <c r="E10" s="73"/>
      <c r="F10" s="73"/>
      <c r="G10" s="73"/>
      <c r="H10" s="73"/>
      <c r="I10" s="71"/>
      <c r="J10" s="73"/>
      <c r="K10" s="73"/>
      <c r="L10" s="73"/>
      <c r="M10" s="73"/>
      <c r="N10" s="73"/>
      <c r="O10" s="73"/>
      <c r="P10" s="73"/>
      <c r="Q10" s="6"/>
    </row>
    <row r="11" spans="1:17">
      <c r="A11" s="56" t="s">
        <v>156</v>
      </c>
      <c r="B11" s="56" t="s">
        <v>157</v>
      </c>
      <c r="C11" s="88" t="s">
        <v>1160</v>
      </c>
      <c r="D11" s="88" t="s">
        <v>1161</v>
      </c>
    </row>
    <row r="12" spans="1:17" ht="14.25" customHeight="1">
      <c r="A12" s="59">
        <v>200020</v>
      </c>
      <c r="B12" s="51" t="s">
        <v>1162</v>
      </c>
      <c r="C12" s="86">
        <v>2.25</v>
      </c>
      <c r="D12" s="86">
        <v>32.18</v>
      </c>
    </row>
    <row r="13" spans="1:17" ht="14.25" customHeight="1">
      <c r="A13" s="59">
        <v>200230</v>
      </c>
      <c r="B13" s="51" t="s">
        <v>1163</v>
      </c>
      <c r="C13" s="86">
        <v>2.85</v>
      </c>
      <c r="D13" s="86">
        <v>40.76</v>
      </c>
    </row>
    <row r="14" spans="1:17" ht="14.25" customHeight="1">
      <c r="A14" s="59">
        <v>210040</v>
      </c>
      <c r="B14" s="51" t="s">
        <v>1164</v>
      </c>
      <c r="C14" s="86">
        <v>2.4</v>
      </c>
      <c r="D14" s="86">
        <v>34.32</v>
      </c>
    </row>
    <row r="15" spans="1:17" ht="14.25" customHeight="1">
      <c r="A15" s="59">
        <v>200110</v>
      </c>
      <c r="B15" s="51" t="s">
        <v>187</v>
      </c>
      <c r="C15" s="86">
        <v>2.4</v>
      </c>
      <c r="D15" s="86">
        <v>34.32</v>
      </c>
    </row>
    <row r="16" spans="1:17" ht="14.25" customHeight="1">
      <c r="A16" s="59">
        <v>200210</v>
      </c>
      <c r="B16" s="51" t="s">
        <v>1165</v>
      </c>
      <c r="C16" s="86">
        <v>2.85</v>
      </c>
      <c r="D16" s="86">
        <v>40.76</v>
      </c>
    </row>
    <row r="17" spans="1:4" ht="14.25" customHeight="1">
      <c r="A17" s="59">
        <v>200240</v>
      </c>
      <c r="B17" s="51" t="s">
        <v>188</v>
      </c>
      <c r="C17" s="86">
        <v>2.4</v>
      </c>
      <c r="D17" s="86">
        <v>34.32</v>
      </c>
    </row>
    <row r="18" spans="1:4" ht="14.25" customHeight="1">
      <c r="A18" s="59">
        <v>200311</v>
      </c>
      <c r="B18" s="51" t="s">
        <v>1166</v>
      </c>
      <c r="C18" s="86">
        <v>6.6</v>
      </c>
      <c r="D18" s="86">
        <v>94.39</v>
      </c>
    </row>
    <row r="19" spans="1:4" ht="14.25" customHeight="1">
      <c r="A19" s="59">
        <v>210150</v>
      </c>
      <c r="B19" s="51" t="s">
        <v>1167</v>
      </c>
      <c r="C19" s="86">
        <v>3.5</v>
      </c>
      <c r="D19" s="86">
        <v>50.05</v>
      </c>
    </row>
    <row r="20" spans="1:4" ht="14.25" customHeight="1">
      <c r="A20" s="59">
        <v>210060</v>
      </c>
      <c r="B20" s="51" t="s">
        <v>189</v>
      </c>
      <c r="C20" s="86">
        <v>6</v>
      </c>
      <c r="D20" s="86">
        <v>85.81</v>
      </c>
    </row>
    <row r="21" spans="1:4" ht="14.25" customHeight="1">
      <c r="A21" s="59">
        <v>200150</v>
      </c>
      <c r="B21" s="51" t="s">
        <v>1168</v>
      </c>
      <c r="C21" s="86">
        <v>4.0999999999999996</v>
      </c>
      <c r="D21" s="86">
        <v>58.64</v>
      </c>
    </row>
    <row r="22" spans="1:4" ht="14.25" customHeight="1">
      <c r="A22" s="59">
        <v>200100</v>
      </c>
      <c r="B22" s="51" t="s">
        <v>1169</v>
      </c>
      <c r="C22" s="86">
        <v>7.3</v>
      </c>
      <c r="D22" s="86">
        <v>104.4</v>
      </c>
    </row>
    <row r="23" spans="1:4" ht="14.25" customHeight="1">
      <c r="A23" s="59">
        <v>200000</v>
      </c>
      <c r="B23" s="51" t="s">
        <v>1170</v>
      </c>
      <c r="C23" s="86">
        <v>17.600000000000001</v>
      </c>
      <c r="D23" s="86">
        <v>251.72</v>
      </c>
    </row>
    <row r="24" spans="1:4" ht="14.25" customHeight="1">
      <c r="A24" s="59">
        <v>200070</v>
      </c>
      <c r="B24" s="51" t="s">
        <v>1171</v>
      </c>
      <c r="C24" s="86">
        <v>6.3</v>
      </c>
      <c r="D24" s="86">
        <v>90.1</v>
      </c>
    </row>
    <row r="25" spans="1:4" ht="14.25" customHeight="1">
      <c r="A25" s="59">
        <v>200080</v>
      </c>
      <c r="B25" s="51" t="s">
        <v>1172</v>
      </c>
      <c r="C25" s="86">
        <v>6.3</v>
      </c>
      <c r="D25" s="86">
        <v>90.1</v>
      </c>
    </row>
    <row r="26" spans="1:4" ht="14.25" customHeight="1">
      <c r="A26" s="59">
        <v>200090</v>
      </c>
      <c r="B26" s="51" t="s">
        <v>1173</v>
      </c>
      <c r="C26" s="86">
        <v>6.3</v>
      </c>
      <c r="D26" s="86">
        <v>90.1</v>
      </c>
    </row>
    <row r="27" spans="1:4" ht="14.25" customHeight="1">
      <c r="A27" s="59">
        <v>200250</v>
      </c>
      <c r="B27" s="51" t="s">
        <v>1174</v>
      </c>
      <c r="C27" s="86">
        <v>5</v>
      </c>
      <c r="D27" s="86">
        <v>71.510000000000005</v>
      </c>
    </row>
    <row r="28" spans="1:4" ht="14.25" customHeight="1">
      <c r="A28" s="59">
        <v>200200</v>
      </c>
      <c r="B28" s="51" t="s">
        <v>1175</v>
      </c>
      <c r="C28" s="86">
        <v>2.25</v>
      </c>
      <c r="D28" s="86">
        <v>32.18</v>
      </c>
    </row>
    <row r="29" spans="1:4" ht="14.25" customHeight="1">
      <c r="A29" s="59">
        <v>200060</v>
      </c>
      <c r="B29" s="51" t="s">
        <v>1176</v>
      </c>
      <c r="C29" s="86">
        <v>2.25</v>
      </c>
      <c r="D29" s="86">
        <v>32.18</v>
      </c>
    </row>
    <row r="30" spans="1:4" ht="14.25" customHeight="1">
      <c r="A30" s="59">
        <v>200290</v>
      </c>
      <c r="B30" s="51" t="s">
        <v>190</v>
      </c>
      <c r="C30" s="86">
        <v>6.6</v>
      </c>
      <c r="D30" s="86">
        <v>94.39</v>
      </c>
    </row>
    <row r="31" spans="1:4" ht="14.25" customHeight="1">
      <c r="A31" s="59">
        <v>200170</v>
      </c>
      <c r="B31" s="51" t="s">
        <v>1177</v>
      </c>
      <c r="C31" s="86">
        <v>6.6</v>
      </c>
      <c r="D31" s="86">
        <v>94.39</v>
      </c>
    </row>
    <row r="32" spans="1:4" ht="14.25" customHeight="1">
      <c r="A32" s="59">
        <v>200140</v>
      </c>
      <c r="B32" s="51" t="s">
        <v>1178</v>
      </c>
      <c r="C32" s="86">
        <v>2.25</v>
      </c>
      <c r="D32" s="86">
        <v>32.18</v>
      </c>
    </row>
    <row r="33" spans="1:4" ht="14.25" customHeight="1">
      <c r="A33" s="59">
        <v>200180</v>
      </c>
      <c r="B33" s="51" t="s">
        <v>1179</v>
      </c>
      <c r="C33" s="86">
        <v>2.4</v>
      </c>
      <c r="D33" s="86">
        <v>34.32</v>
      </c>
    </row>
    <row r="34" spans="1:4" ht="14.25" customHeight="1">
      <c r="A34" s="59">
        <v>210020</v>
      </c>
      <c r="B34" s="51" t="s">
        <v>1180</v>
      </c>
      <c r="C34" s="86">
        <v>2.85</v>
      </c>
      <c r="D34" s="86">
        <v>40.76</v>
      </c>
    </row>
    <row r="35" spans="1:4" ht="14.25" customHeight="1">
      <c r="A35" s="59">
        <v>200120</v>
      </c>
      <c r="B35" s="51" t="s">
        <v>1181</v>
      </c>
      <c r="C35" s="86">
        <v>2.4</v>
      </c>
      <c r="D35" s="86">
        <v>34.32</v>
      </c>
    </row>
    <row r="36" spans="1:4" ht="14.25" customHeight="1">
      <c r="A36" s="59">
        <v>210050</v>
      </c>
      <c r="B36" s="51" t="s">
        <v>191</v>
      </c>
      <c r="C36" s="86">
        <v>2.85</v>
      </c>
      <c r="D36" s="86">
        <v>40.76</v>
      </c>
    </row>
    <row r="37" spans="1:4" ht="14.25" customHeight="1">
      <c r="A37" s="59">
        <v>200160</v>
      </c>
      <c r="B37" s="51" t="s">
        <v>1182</v>
      </c>
      <c r="C37" s="86">
        <v>2.25</v>
      </c>
      <c r="D37" s="86">
        <v>32.18</v>
      </c>
    </row>
    <row r="38" spans="1:4" ht="14.25" customHeight="1">
      <c r="A38" s="59">
        <v>200260</v>
      </c>
      <c r="B38" s="51" t="s">
        <v>186</v>
      </c>
      <c r="C38" s="86">
        <v>2.85</v>
      </c>
      <c r="D38" s="86">
        <v>40.76</v>
      </c>
    </row>
    <row r="39" spans="1:4" ht="14.25" customHeight="1">
      <c r="A39" s="59">
        <v>200270</v>
      </c>
      <c r="B39" s="51" t="s">
        <v>1183</v>
      </c>
      <c r="C39" s="86">
        <v>2.85</v>
      </c>
      <c r="D39" s="86">
        <v>40.76</v>
      </c>
    </row>
    <row r="40" spans="1:4" ht="14.25" customHeight="1">
      <c r="A40" s="59">
        <v>210070</v>
      </c>
      <c r="B40" s="51" t="s">
        <v>192</v>
      </c>
      <c r="C40" s="86">
        <v>2.85</v>
      </c>
      <c r="D40" s="86">
        <v>40.76</v>
      </c>
    </row>
    <row r="41" spans="1:4" ht="14.25" customHeight="1">
      <c r="A41" s="59">
        <v>210090</v>
      </c>
      <c r="B41" s="51" t="s">
        <v>193</v>
      </c>
      <c r="C41" s="86">
        <v>2.85</v>
      </c>
      <c r="D41" s="86">
        <v>40.76</v>
      </c>
    </row>
    <row r="42" spans="1:4" ht="14.25" customHeight="1">
      <c r="A42" s="59">
        <v>200130</v>
      </c>
      <c r="B42" s="51" t="s">
        <v>185</v>
      </c>
      <c r="C42" s="86">
        <v>2.2000000000000002</v>
      </c>
      <c r="D42" s="86">
        <v>31.46</v>
      </c>
    </row>
    <row r="43" spans="1:4" ht="14.25" customHeight="1">
      <c r="A43" s="59">
        <v>200280</v>
      </c>
      <c r="B43" s="51" t="s">
        <v>1184</v>
      </c>
      <c r="C43" s="86">
        <v>2.85</v>
      </c>
      <c r="D43" s="86">
        <v>40.76</v>
      </c>
    </row>
    <row r="44" spans="1:4" ht="14.25" customHeight="1">
      <c r="A44" s="59">
        <v>210080</v>
      </c>
      <c r="B44" s="51" t="s">
        <v>1185</v>
      </c>
      <c r="C44" s="86">
        <v>6.6</v>
      </c>
      <c r="D44" s="86">
        <v>94.39</v>
      </c>
    </row>
  </sheetData>
  <mergeCells count="9">
    <mergeCell ref="A7:C7"/>
    <mergeCell ref="A8:C8"/>
    <mergeCell ref="A10:D10"/>
    <mergeCell ref="A1:D1"/>
    <mergeCell ref="A2:D2"/>
    <mergeCell ref="A3:D3"/>
    <mergeCell ref="A4:D4"/>
    <mergeCell ref="A5:C5"/>
    <mergeCell ref="A6:B6"/>
  </mergeCells>
  <printOptions horizontalCentered="1"/>
  <pageMargins left="0.70866141732283472" right="0.70866141732283472" top="0.74803149606299213" bottom="0.74803149606299213" header="0.31496062992125984" footer="0.31496062992125984"/>
  <pageSetup paperSize="9" scale="70" orientation="landscape" r:id="rId1"/>
  <headerFooter>
    <oddFooter>&amp;LAGÊNCIA DE ASSUNTOS METROPOLITANOS DO PARANÁ - AMEP
DIRETORIA DE OBRAS&amp;CENGª CIBELE CRISTINE MELLO FRANCZAK
DIRETORA DE OBRAS&amp;RPágina &amp;P de &amp;N</oddFooter>
  </headerFooter>
  <colBreaks count="1" manualBreakCount="1">
    <brk id="4"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Q19"/>
  <sheetViews>
    <sheetView showGridLines="0" zoomScaleNormal="100" zoomScaleSheetLayoutView="100" workbookViewId="0">
      <selection activeCell="H35" sqref="H35"/>
    </sheetView>
  </sheetViews>
  <sheetFormatPr defaultRowHeight="15.75"/>
  <cols>
    <col min="1" max="1" width="15" style="105" customWidth="1"/>
    <col min="2" max="2" width="103.85546875" style="105" customWidth="1"/>
    <col min="3" max="3" width="11" style="105" bestFit="1" customWidth="1"/>
    <col min="4" max="4" width="38.7109375" style="105" customWidth="1"/>
    <col min="5" max="16384" width="9.140625" style="105"/>
  </cols>
  <sheetData>
    <row r="1" spans="1:17" s="6" customFormat="1">
      <c r="A1" s="495" t="s">
        <v>167</v>
      </c>
      <c r="B1" s="495"/>
      <c r="C1" s="495"/>
      <c r="D1" s="495"/>
      <c r="E1" s="60"/>
      <c r="F1" s="60"/>
      <c r="G1" s="60"/>
      <c r="H1" s="60"/>
    </row>
    <row r="2" spans="1:17" s="6" customFormat="1">
      <c r="A2" s="541" t="s">
        <v>165</v>
      </c>
      <c r="B2" s="541"/>
      <c r="C2" s="541"/>
      <c r="D2" s="541"/>
      <c r="E2" s="62"/>
      <c r="F2" s="62"/>
      <c r="G2" s="62"/>
      <c r="H2" s="62"/>
    </row>
    <row r="3" spans="1:17" s="6" customFormat="1">
      <c r="A3" s="539"/>
      <c r="B3" s="539"/>
      <c r="C3" s="539"/>
      <c r="D3" s="539"/>
      <c r="E3" s="63"/>
      <c r="F3" s="63"/>
      <c r="G3" s="63"/>
      <c r="H3" s="63"/>
    </row>
    <row r="4" spans="1:17" s="6" customFormat="1">
      <c r="A4" s="539" t="s">
        <v>25931</v>
      </c>
      <c r="B4" s="539"/>
      <c r="C4" s="539"/>
      <c r="D4" s="539"/>
      <c r="E4" s="63"/>
      <c r="F4" s="63"/>
      <c r="G4" s="63"/>
      <c r="H4" s="63"/>
    </row>
    <row r="5" spans="1:17">
      <c r="A5" s="583"/>
      <c r="B5" s="583"/>
      <c r="C5" s="583"/>
      <c r="D5" s="103"/>
      <c r="E5" s="103"/>
      <c r="F5" s="103"/>
      <c r="G5" s="103"/>
      <c r="H5" s="103"/>
      <c r="I5" s="104"/>
      <c r="J5" s="103"/>
      <c r="K5" s="103"/>
      <c r="L5" s="103"/>
      <c r="M5" s="103"/>
      <c r="N5" s="103"/>
      <c r="O5" s="103"/>
      <c r="P5" s="103"/>
      <c r="Q5" s="6"/>
    </row>
    <row r="6" spans="1:17">
      <c r="A6" s="583" t="s">
        <v>1544</v>
      </c>
      <c r="B6" s="583"/>
      <c r="C6" s="583"/>
      <c r="D6" s="583"/>
      <c r="E6" s="106"/>
      <c r="F6" s="106"/>
      <c r="G6" s="106"/>
      <c r="H6" s="106"/>
      <c r="I6" s="104"/>
      <c r="J6" s="103"/>
      <c r="K6" s="103"/>
      <c r="L6" s="103"/>
      <c r="M6" s="103"/>
      <c r="N6" s="103"/>
      <c r="O6" s="103"/>
      <c r="P6" s="103"/>
      <c r="Q6" s="6"/>
    </row>
    <row r="7" spans="1:17">
      <c r="A7" s="583" t="s">
        <v>1545</v>
      </c>
      <c r="B7" s="583"/>
      <c r="C7" s="583"/>
      <c r="D7" s="583"/>
      <c r="E7" s="106"/>
      <c r="F7" s="106"/>
      <c r="G7" s="106"/>
      <c r="H7" s="106"/>
      <c r="I7" s="104"/>
      <c r="J7" s="103"/>
      <c r="K7" s="103"/>
      <c r="L7" s="103"/>
      <c r="M7" s="103"/>
      <c r="N7" s="103"/>
      <c r="O7" s="103"/>
      <c r="P7" s="103"/>
      <c r="Q7" s="6"/>
    </row>
    <row r="8" spans="1:17">
      <c r="A8" s="583" t="s">
        <v>1546</v>
      </c>
      <c r="B8" s="583"/>
      <c r="C8" s="583"/>
      <c r="D8" s="583"/>
      <c r="E8" s="106"/>
      <c r="F8" s="106"/>
      <c r="G8" s="106"/>
      <c r="H8" s="106"/>
      <c r="I8" s="104"/>
      <c r="J8" s="103"/>
      <c r="K8" s="103"/>
      <c r="L8" s="103"/>
      <c r="M8" s="103"/>
      <c r="N8" s="103"/>
      <c r="O8" s="103"/>
      <c r="P8" s="103"/>
      <c r="Q8" s="6"/>
    </row>
    <row r="9" spans="1:17">
      <c r="A9" s="583"/>
      <c r="B9" s="583"/>
      <c r="C9" s="583"/>
      <c r="D9" s="103"/>
      <c r="E9" s="103"/>
      <c r="F9" s="103"/>
      <c r="G9" s="103"/>
      <c r="H9" s="103"/>
      <c r="I9" s="104"/>
      <c r="J9" s="103"/>
      <c r="K9" s="103"/>
      <c r="L9" s="103"/>
      <c r="M9" s="103"/>
      <c r="N9" s="103"/>
      <c r="O9" s="103"/>
      <c r="P9" s="103"/>
      <c r="Q9" s="6"/>
    </row>
    <row r="10" spans="1:17" s="94" customFormat="1">
      <c r="A10" s="577" t="s">
        <v>25917</v>
      </c>
      <c r="B10" s="577"/>
      <c r="C10" s="577"/>
      <c r="D10" s="577"/>
      <c r="E10" s="95"/>
      <c r="F10" s="95"/>
      <c r="G10" s="95"/>
      <c r="H10" s="95"/>
      <c r="I10" s="93"/>
      <c r="J10" s="92"/>
      <c r="K10" s="92"/>
      <c r="L10" s="92"/>
      <c r="M10" s="92"/>
      <c r="N10" s="92"/>
      <c r="O10" s="92"/>
      <c r="P10" s="92"/>
      <c r="Q10" s="8"/>
    </row>
    <row r="11" spans="1:17">
      <c r="A11" s="107" t="s">
        <v>156</v>
      </c>
      <c r="B11" s="107" t="s">
        <v>157</v>
      </c>
      <c r="C11" s="107" t="s">
        <v>158</v>
      </c>
      <c r="D11" s="107" t="s">
        <v>1543</v>
      </c>
    </row>
    <row r="12" spans="1:17">
      <c r="A12" s="108">
        <v>972000</v>
      </c>
      <c r="B12" s="109" t="s">
        <v>1535</v>
      </c>
      <c r="C12" s="110" t="s">
        <v>34</v>
      </c>
      <c r="D12" s="208" t="s">
        <v>25907</v>
      </c>
    </row>
    <row r="13" spans="1:17">
      <c r="A13" s="108">
        <v>972200</v>
      </c>
      <c r="B13" s="109" t="s">
        <v>1536</v>
      </c>
      <c r="C13" s="110" t="s">
        <v>34</v>
      </c>
      <c r="D13" s="111" t="s">
        <v>25908</v>
      </c>
    </row>
    <row r="14" spans="1:17">
      <c r="A14" s="108">
        <v>972100</v>
      </c>
      <c r="B14" s="109" t="s">
        <v>1537</v>
      </c>
      <c r="C14" s="110" t="s">
        <v>34</v>
      </c>
      <c r="D14" s="111" t="s">
        <v>25909</v>
      </c>
    </row>
    <row r="15" spans="1:17">
      <c r="A15" s="108">
        <v>972300</v>
      </c>
      <c r="B15" s="109" t="s">
        <v>1538</v>
      </c>
      <c r="C15" s="110" t="s">
        <v>34</v>
      </c>
      <c r="D15" s="111" t="s">
        <v>25910</v>
      </c>
    </row>
    <row r="16" spans="1:17">
      <c r="A16" s="108">
        <v>973100</v>
      </c>
      <c r="B16" s="109" t="s">
        <v>1539</v>
      </c>
      <c r="C16" s="110" t="s">
        <v>34</v>
      </c>
      <c r="D16" s="111" t="s">
        <v>25911</v>
      </c>
    </row>
    <row r="17" spans="1:4">
      <c r="A17" s="108">
        <v>973000</v>
      </c>
      <c r="B17" s="109" t="s">
        <v>1540</v>
      </c>
      <c r="C17" s="110" t="s">
        <v>34</v>
      </c>
      <c r="D17" s="111" t="s">
        <v>25912</v>
      </c>
    </row>
    <row r="18" spans="1:4">
      <c r="A18" s="108">
        <v>974100</v>
      </c>
      <c r="B18" s="109" t="s">
        <v>1541</v>
      </c>
      <c r="C18" s="110" t="s">
        <v>34</v>
      </c>
      <c r="D18" s="111" t="s">
        <v>25913</v>
      </c>
    </row>
    <row r="19" spans="1:4">
      <c r="A19" s="108">
        <v>974000</v>
      </c>
      <c r="B19" s="109" t="s">
        <v>1542</v>
      </c>
      <c r="C19" s="110" t="s">
        <v>34</v>
      </c>
      <c r="D19" s="111" t="s">
        <v>25914</v>
      </c>
    </row>
  </sheetData>
  <mergeCells count="10">
    <mergeCell ref="A10:D10"/>
    <mergeCell ref="A8:D8"/>
    <mergeCell ref="A7:D7"/>
    <mergeCell ref="A6:D6"/>
    <mergeCell ref="A9:C9"/>
    <mergeCell ref="A1:D1"/>
    <mergeCell ref="A2:D2"/>
    <mergeCell ref="A3:D3"/>
    <mergeCell ref="A4:D4"/>
    <mergeCell ref="A5:C5"/>
  </mergeCells>
  <printOptions horizontalCentered="1"/>
  <pageMargins left="0.70866141732283472" right="0.70866141732283472" top="0.74803149606299213" bottom="0.74803149606299213" header="0.31496062992125984" footer="0.31496062992125984"/>
  <pageSetup paperSize="9" scale="70" orientation="landscape" r:id="rId1"/>
  <headerFooter>
    <oddFooter>&amp;LAGÊNCIA DE ASSUNTOS METROPOLITANOS DO PARANÁ - AMEP
DIRETORIA DE OBRAS&amp;CENGª CIBELE CRISTINE MELLO FRANCZAK
DIRETORA DE OBRAS&amp;RPágina &amp;P de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3:Q209"/>
  <sheetViews>
    <sheetView showGridLines="0" zoomScaleNormal="100" zoomScaleSheetLayoutView="115" workbookViewId="0">
      <selection activeCell="B30" sqref="B30"/>
    </sheetView>
  </sheetViews>
  <sheetFormatPr defaultRowHeight="15.75"/>
  <cols>
    <col min="1" max="1" width="12.28515625" style="71" customWidth="1"/>
    <col min="2" max="2" width="50.42578125" style="130" customWidth="1"/>
    <col min="3" max="3" width="9.5703125" style="71" customWidth="1"/>
    <col min="4" max="5" width="8.7109375" style="73" bestFit="1" customWidth="1"/>
    <col min="6" max="6" width="10.42578125" style="73" bestFit="1" customWidth="1"/>
    <col min="7" max="7" width="14.85546875" style="73" bestFit="1" customWidth="1"/>
    <col min="8" max="8" width="9.140625" style="73" bestFit="1" customWidth="1"/>
    <col min="9" max="9" width="12.5703125" style="71" bestFit="1" customWidth="1"/>
    <col min="10" max="10" width="14.5703125" style="73" bestFit="1" customWidth="1"/>
    <col min="11" max="11" width="11.7109375" style="73" bestFit="1" customWidth="1"/>
    <col min="12" max="12" width="14" style="73" bestFit="1" customWidth="1"/>
    <col min="13" max="13" width="11.7109375" style="73" bestFit="1" customWidth="1"/>
    <col min="14" max="14" width="9.85546875" style="73" bestFit="1" customWidth="1"/>
    <col min="15" max="15" width="16.42578125" style="73" bestFit="1" customWidth="1"/>
    <col min="16" max="16" width="12.42578125" style="73" bestFit="1" customWidth="1"/>
    <col min="17" max="16384" width="9.140625" style="70"/>
  </cols>
  <sheetData>
    <row r="3" spans="1:17" s="6" customFormat="1">
      <c r="A3" s="495" t="s">
        <v>167</v>
      </c>
      <c r="B3" s="495"/>
      <c r="C3" s="495"/>
      <c r="D3" s="495"/>
      <c r="E3" s="495"/>
      <c r="F3" s="495"/>
      <c r="G3" s="495"/>
      <c r="H3" s="495"/>
    </row>
    <row r="4" spans="1:17" s="6" customFormat="1">
      <c r="A4" s="541" t="s">
        <v>165</v>
      </c>
      <c r="B4" s="541"/>
      <c r="C4" s="541"/>
      <c r="D4" s="541"/>
      <c r="E4" s="541"/>
      <c r="F4" s="541"/>
      <c r="G4" s="541"/>
      <c r="H4" s="541"/>
    </row>
    <row r="5" spans="1:17" s="6" customFormat="1">
      <c r="A5" s="539"/>
      <c r="B5" s="539"/>
      <c r="C5" s="539"/>
      <c r="D5" s="539"/>
      <c r="E5" s="539"/>
      <c r="F5" s="539"/>
      <c r="G5" s="539"/>
      <c r="H5" s="539"/>
    </row>
    <row r="6" spans="1:17" s="6" customFormat="1">
      <c r="A6" s="539" t="s">
        <v>25931</v>
      </c>
      <c r="B6" s="539"/>
      <c r="C6" s="539"/>
      <c r="D6" s="539"/>
      <c r="E6" s="539"/>
      <c r="F6" s="539"/>
      <c r="G6" s="539"/>
      <c r="H6" s="539"/>
    </row>
    <row r="7" spans="1:17">
      <c r="A7" s="554"/>
      <c r="B7" s="554"/>
      <c r="C7" s="554"/>
      <c r="Q7" s="6"/>
    </row>
    <row r="8" spans="1:17" s="6" customFormat="1">
      <c r="A8" s="554" t="s">
        <v>1156</v>
      </c>
      <c r="B8" s="554"/>
      <c r="C8" s="83"/>
      <c r="D8" s="20"/>
      <c r="H8" s="61"/>
    </row>
    <row r="9" spans="1:17">
      <c r="A9" s="554" t="s">
        <v>1157</v>
      </c>
      <c r="B9" s="554"/>
      <c r="C9" s="554"/>
      <c r="Q9" s="6"/>
    </row>
    <row r="10" spans="1:17">
      <c r="A10" s="554" t="s">
        <v>25905</v>
      </c>
      <c r="B10" s="554"/>
      <c r="C10" s="554"/>
      <c r="Q10" s="6"/>
    </row>
    <row r="11" spans="1:17" ht="15.75" customHeight="1">
      <c r="A11" s="554" t="s">
        <v>1158</v>
      </c>
      <c r="B11" s="554"/>
      <c r="C11" s="554"/>
      <c r="D11" s="554"/>
      <c r="E11" s="554"/>
      <c r="F11" s="554"/>
      <c r="G11" s="554"/>
      <c r="H11" s="554"/>
      <c r="Q11" s="6"/>
    </row>
    <row r="12" spans="1:17" ht="9" customHeight="1">
      <c r="A12" s="585"/>
      <c r="B12" s="585"/>
      <c r="C12" s="585"/>
      <c r="Q12" s="6"/>
    </row>
    <row r="13" spans="1:17">
      <c r="A13" s="584" t="s">
        <v>25915</v>
      </c>
      <c r="B13" s="584"/>
      <c r="C13" s="584"/>
      <c r="D13" s="584"/>
      <c r="E13" s="584"/>
      <c r="F13" s="584"/>
      <c r="G13" s="584"/>
      <c r="H13" s="584"/>
      <c r="I13" s="584"/>
      <c r="J13" s="584"/>
      <c r="K13" s="584"/>
      <c r="L13" s="584"/>
      <c r="M13" s="584"/>
      <c r="N13" s="584"/>
      <c r="O13" s="584"/>
      <c r="P13" s="584"/>
    </row>
    <row r="14" spans="1:17">
      <c r="A14" s="439" t="s">
        <v>156</v>
      </c>
      <c r="B14" s="84" t="s">
        <v>958</v>
      </c>
      <c r="C14" s="439" t="s">
        <v>956</v>
      </c>
      <c r="D14" s="85" t="s">
        <v>959</v>
      </c>
      <c r="E14" s="85" t="s">
        <v>960</v>
      </c>
      <c r="F14" s="85" t="s">
        <v>961</v>
      </c>
      <c r="G14" s="85" t="s">
        <v>962</v>
      </c>
      <c r="H14" s="85" t="s">
        <v>963</v>
      </c>
      <c r="I14" s="439" t="s">
        <v>964</v>
      </c>
      <c r="J14" s="85" t="s">
        <v>965</v>
      </c>
      <c r="K14" s="85" t="s">
        <v>966</v>
      </c>
      <c r="L14" s="85" t="s">
        <v>967</v>
      </c>
      <c r="M14" s="85" t="s">
        <v>968</v>
      </c>
      <c r="N14" s="85" t="s">
        <v>969</v>
      </c>
      <c r="O14" s="85" t="s">
        <v>970</v>
      </c>
      <c r="P14" s="85" t="s">
        <v>971</v>
      </c>
    </row>
    <row r="15" spans="1:17">
      <c r="A15" s="74">
        <v>303280</v>
      </c>
      <c r="B15" s="75" t="s">
        <v>972</v>
      </c>
      <c r="C15" s="74" t="s">
        <v>328</v>
      </c>
      <c r="D15" s="76">
        <v>0</v>
      </c>
      <c r="E15" s="76">
        <v>8</v>
      </c>
      <c r="F15" s="76">
        <v>1000</v>
      </c>
      <c r="G15" s="76">
        <v>25800</v>
      </c>
      <c r="H15" s="76">
        <v>0.5</v>
      </c>
      <c r="I15" s="74" t="s">
        <v>195</v>
      </c>
      <c r="J15" s="76">
        <v>3.73</v>
      </c>
      <c r="K15" s="76">
        <v>1.61</v>
      </c>
      <c r="L15" s="76">
        <v>0</v>
      </c>
      <c r="M15" s="76">
        <v>0</v>
      </c>
      <c r="N15" s="76">
        <v>10</v>
      </c>
      <c r="O15" s="76">
        <v>5.34</v>
      </c>
      <c r="P15" s="76">
        <v>3.73</v>
      </c>
    </row>
    <row r="16" spans="1:17">
      <c r="A16" s="74">
        <v>370070</v>
      </c>
      <c r="B16" s="75" t="s">
        <v>973</v>
      </c>
      <c r="C16" s="74" t="s">
        <v>328</v>
      </c>
      <c r="D16" s="76">
        <v>76</v>
      </c>
      <c r="E16" s="76">
        <v>5</v>
      </c>
      <c r="F16" s="76">
        <v>2000</v>
      </c>
      <c r="G16" s="76">
        <v>98890</v>
      </c>
      <c r="H16" s="76">
        <v>0.8</v>
      </c>
      <c r="I16" s="74" t="s">
        <v>1152</v>
      </c>
      <c r="J16" s="76">
        <v>9.39</v>
      </c>
      <c r="K16" s="76">
        <v>7.91</v>
      </c>
      <c r="L16" s="76">
        <v>93.22</v>
      </c>
      <c r="M16" s="76">
        <v>32.18</v>
      </c>
      <c r="N16" s="76">
        <v>20</v>
      </c>
      <c r="O16" s="76">
        <v>142.69999999999999</v>
      </c>
      <c r="P16" s="76">
        <v>41.57</v>
      </c>
    </row>
    <row r="17" spans="1:16">
      <c r="A17" s="74">
        <v>370080</v>
      </c>
      <c r="B17" s="75" t="s">
        <v>974</v>
      </c>
      <c r="C17" s="74" t="s">
        <v>328</v>
      </c>
      <c r="D17" s="76">
        <v>76</v>
      </c>
      <c r="E17" s="76">
        <v>5</v>
      </c>
      <c r="F17" s="76">
        <v>2000</v>
      </c>
      <c r="G17" s="76">
        <v>98890</v>
      </c>
      <c r="H17" s="76">
        <v>0.8</v>
      </c>
      <c r="I17" s="74" t="s">
        <v>1152</v>
      </c>
      <c r="J17" s="76">
        <v>9.39</v>
      </c>
      <c r="K17" s="76">
        <v>7.91</v>
      </c>
      <c r="L17" s="76">
        <v>93.22</v>
      </c>
      <c r="M17" s="76">
        <v>0</v>
      </c>
      <c r="N17" s="76">
        <v>20</v>
      </c>
      <c r="O17" s="76">
        <v>110.52</v>
      </c>
      <c r="P17" s="76">
        <v>9.39</v>
      </c>
    </row>
    <row r="18" spans="1:16">
      <c r="A18" s="74">
        <v>304100</v>
      </c>
      <c r="B18" s="75" t="s">
        <v>975</v>
      </c>
      <c r="C18" s="74" t="s">
        <v>328</v>
      </c>
      <c r="D18" s="76">
        <v>22</v>
      </c>
      <c r="E18" s="76">
        <v>8</v>
      </c>
      <c r="F18" s="76">
        <v>1500</v>
      </c>
      <c r="G18" s="76">
        <v>227500</v>
      </c>
      <c r="H18" s="76">
        <v>0.5</v>
      </c>
      <c r="I18" s="74" t="s">
        <v>1153</v>
      </c>
      <c r="J18" s="76">
        <v>21.98</v>
      </c>
      <c r="K18" s="76">
        <v>9.4700000000000006</v>
      </c>
      <c r="L18" s="76">
        <v>19.850000000000001</v>
      </c>
      <c r="M18" s="76">
        <v>34.32</v>
      </c>
      <c r="N18" s="76">
        <v>10</v>
      </c>
      <c r="O18" s="76">
        <v>85.62</v>
      </c>
      <c r="P18" s="76">
        <v>56.3</v>
      </c>
    </row>
    <row r="19" spans="1:16">
      <c r="A19" s="74">
        <v>304000</v>
      </c>
      <c r="B19" s="75" t="s">
        <v>976</v>
      </c>
      <c r="C19" s="74" t="s">
        <v>328</v>
      </c>
      <c r="D19" s="76">
        <v>0</v>
      </c>
      <c r="E19" s="76">
        <v>8</v>
      </c>
      <c r="F19" s="76">
        <v>1500</v>
      </c>
      <c r="G19" s="76">
        <v>12583.19</v>
      </c>
      <c r="H19" s="76">
        <v>0.5</v>
      </c>
      <c r="I19" s="74" t="s">
        <v>195</v>
      </c>
      <c r="J19" s="76">
        <v>1.21</v>
      </c>
      <c r="K19" s="76">
        <v>0.52</v>
      </c>
      <c r="L19" s="76">
        <v>0</v>
      </c>
      <c r="M19" s="76">
        <v>34.32</v>
      </c>
      <c r="N19" s="76">
        <v>10</v>
      </c>
      <c r="O19" s="76">
        <v>36.049999999999997</v>
      </c>
      <c r="P19" s="76">
        <v>35.53</v>
      </c>
    </row>
    <row r="20" spans="1:16">
      <c r="A20" s="74">
        <v>343200</v>
      </c>
      <c r="B20" s="75" t="s">
        <v>977</v>
      </c>
      <c r="C20" s="74" t="s">
        <v>328</v>
      </c>
      <c r="D20" s="76">
        <v>9</v>
      </c>
      <c r="E20" s="76">
        <v>5</v>
      </c>
      <c r="F20" s="76">
        <v>1250</v>
      </c>
      <c r="G20" s="76">
        <v>4874.6000000000004</v>
      </c>
      <c r="H20" s="76">
        <v>0.5</v>
      </c>
      <c r="I20" s="74" t="s">
        <v>1154</v>
      </c>
      <c r="J20" s="76">
        <v>0.87</v>
      </c>
      <c r="K20" s="76">
        <v>0.38</v>
      </c>
      <c r="L20" s="76">
        <v>11.3</v>
      </c>
      <c r="M20" s="76">
        <v>0</v>
      </c>
      <c r="N20" s="76">
        <v>5</v>
      </c>
      <c r="O20" s="76">
        <v>12.55</v>
      </c>
      <c r="P20" s="76">
        <v>0.87</v>
      </c>
    </row>
    <row r="21" spans="1:16">
      <c r="A21" s="74">
        <v>363200</v>
      </c>
      <c r="B21" s="75" t="s">
        <v>978</v>
      </c>
      <c r="C21" s="74" t="s">
        <v>328</v>
      </c>
      <c r="D21" s="76">
        <v>8</v>
      </c>
      <c r="E21" s="76">
        <v>5</v>
      </c>
      <c r="F21" s="76">
        <v>1250</v>
      </c>
      <c r="G21" s="76">
        <v>26985.97</v>
      </c>
      <c r="H21" s="76">
        <v>0.5</v>
      </c>
      <c r="I21" s="74" t="s">
        <v>1155</v>
      </c>
      <c r="J21" s="76">
        <v>4.8600000000000003</v>
      </c>
      <c r="K21" s="76">
        <v>2.15</v>
      </c>
      <c r="L21" s="76">
        <v>0</v>
      </c>
      <c r="M21" s="76">
        <v>0</v>
      </c>
      <c r="N21" s="76">
        <v>5</v>
      </c>
      <c r="O21" s="76">
        <v>7.01</v>
      </c>
      <c r="P21" s="76">
        <v>4.8600000000000003</v>
      </c>
    </row>
    <row r="22" spans="1:16">
      <c r="A22" s="74">
        <v>373200</v>
      </c>
      <c r="B22" s="75" t="s">
        <v>979</v>
      </c>
      <c r="C22" s="74" t="s">
        <v>328</v>
      </c>
      <c r="D22" s="76">
        <v>13</v>
      </c>
      <c r="E22" s="76">
        <v>5</v>
      </c>
      <c r="F22" s="76">
        <v>1250</v>
      </c>
      <c r="G22" s="76">
        <v>29267</v>
      </c>
      <c r="H22" s="76">
        <v>0.5</v>
      </c>
      <c r="I22" s="74" t="s">
        <v>1154</v>
      </c>
      <c r="J22" s="76">
        <v>5.28</v>
      </c>
      <c r="K22" s="76">
        <v>2.34</v>
      </c>
      <c r="L22" s="76">
        <v>16.329999999999998</v>
      </c>
      <c r="M22" s="76">
        <v>0</v>
      </c>
      <c r="N22" s="76">
        <v>5</v>
      </c>
      <c r="O22" s="76">
        <v>23.95</v>
      </c>
      <c r="P22" s="76">
        <v>5.28</v>
      </c>
    </row>
    <row r="23" spans="1:16">
      <c r="A23" s="74">
        <v>340310</v>
      </c>
      <c r="B23" s="75" t="s">
        <v>980</v>
      </c>
      <c r="C23" s="74" t="s">
        <v>328</v>
      </c>
      <c r="D23" s="76">
        <v>27</v>
      </c>
      <c r="E23" s="76">
        <v>4</v>
      </c>
      <c r="F23" s="76">
        <v>1500</v>
      </c>
      <c r="G23" s="76">
        <v>40895.360000000001</v>
      </c>
      <c r="H23" s="76">
        <v>0.5</v>
      </c>
      <c r="I23" s="74" t="s">
        <v>1153</v>
      </c>
      <c r="J23" s="76">
        <v>7.47</v>
      </c>
      <c r="K23" s="76">
        <v>3.4</v>
      </c>
      <c r="L23" s="76">
        <v>24.36</v>
      </c>
      <c r="M23" s="76">
        <v>0</v>
      </c>
      <c r="N23" s="76">
        <v>5</v>
      </c>
      <c r="O23" s="76">
        <v>35.229999999999997</v>
      </c>
      <c r="P23" s="76">
        <v>7.47</v>
      </c>
    </row>
    <row r="24" spans="1:16">
      <c r="A24" s="74">
        <v>306000</v>
      </c>
      <c r="B24" s="75" t="s">
        <v>981</v>
      </c>
      <c r="C24" s="74" t="s">
        <v>328</v>
      </c>
      <c r="D24" s="76">
        <v>10</v>
      </c>
      <c r="E24" s="76">
        <v>8</v>
      </c>
      <c r="F24" s="76">
        <v>1250</v>
      </c>
      <c r="G24" s="76">
        <v>71476</v>
      </c>
      <c r="H24" s="76">
        <v>0.5</v>
      </c>
      <c r="I24" s="74" t="s">
        <v>1154</v>
      </c>
      <c r="J24" s="76">
        <v>8.2799999999999994</v>
      </c>
      <c r="K24" s="76">
        <v>3.57</v>
      </c>
      <c r="L24" s="76">
        <v>12.56</v>
      </c>
      <c r="M24" s="76">
        <v>34.32</v>
      </c>
      <c r="N24" s="76">
        <v>10</v>
      </c>
      <c r="O24" s="76">
        <v>58.73</v>
      </c>
      <c r="P24" s="76">
        <v>42.6</v>
      </c>
    </row>
    <row r="25" spans="1:16">
      <c r="A25" s="74">
        <v>316060</v>
      </c>
      <c r="B25" s="75" t="s">
        <v>982</v>
      </c>
      <c r="C25" s="74" t="s">
        <v>954</v>
      </c>
      <c r="D25" s="76">
        <v>190</v>
      </c>
      <c r="E25" s="76">
        <v>9</v>
      </c>
      <c r="F25" s="76">
        <v>2000</v>
      </c>
      <c r="G25" s="76">
        <v>745488.2</v>
      </c>
      <c r="H25" s="76">
        <v>1.1000000000000001</v>
      </c>
      <c r="I25" s="74" t="s">
        <v>1153</v>
      </c>
      <c r="J25" s="76">
        <v>43.84</v>
      </c>
      <c r="K25" s="76">
        <v>45.55</v>
      </c>
      <c r="L25" s="76">
        <v>124.61</v>
      </c>
      <c r="M25" s="76">
        <v>40.76</v>
      </c>
      <c r="N25" s="76">
        <v>20</v>
      </c>
      <c r="O25" s="76">
        <v>254.76</v>
      </c>
      <c r="P25" s="76">
        <v>84.6</v>
      </c>
    </row>
    <row r="26" spans="1:16">
      <c r="A26" s="74">
        <v>326060</v>
      </c>
      <c r="B26" s="75" t="s">
        <v>983</v>
      </c>
      <c r="C26" s="74" t="s">
        <v>328</v>
      </c>
      <c r="D26" s="76">
        <v>190</v>
      </c>
      <c r="E26" s="76">
        <v>8</v>
      </c>
      <c r="F26" s="76">
        <v>2000</v>
      </c>
      <c r="G26" s="76">
        <v>745488.2</v>
      </c>
      <c r="H26" s="76">
        <v>1.3</v>
      </c>
      <c r="I26" s="74" t="s">
        <v>1153</v>
      </c>
      <c r="J26" s="76">
        <v>48.02</v>
      </c>
      <c r="K26" s="76">
        <v>60.57</v>
      </c>
      <c r="L26" s="76">
        <v>124.61</v>
      </c>
      <c r="M26" s="76">
        <v>40.76</v>
      </c>
      <c r="N26" s="76">
        <v>20</v>
      </c>
      <c r="O26" s="76">
        <v>273.95999999999998</v>
      </c>
      <c r="P26" s="76">
        <v>88.78</v>
      </c>
    </row>
    <row r="27" spans="1:16">
      <c r="A27" s="74">
        <v>336060</v>
      </c>
      <c r="B27" s="75" t="s">
        <v>984</v>
      </c>
      <c r="C27" s="74" t="s">
        <v>957</v>
      </c>
      <c r="D27" s="76">
        <v>190</v>
      </c>
      <c r="E27" s="76">
        <v>7</v>
      </c>
      <c r="F27" s="76">
        <v>2000</v>
      </c>
      <c r="G27" s="76">
        <v>745488.2</v>
      </c>
      <c r="H27" s="76">
        <v>1.5</v>
      </c>
      <c r="I27" s="74" t="s">
        <v>1153</v>
      </c>
      <c r="J27" s="76">
        <v>53.41</v>
      </c>
      <c r="K27" s="76">
        <v>79.87</v>
      </c>
      <c r="L27" s="76">
        <v>124.61</v>
      </c>
      <c r="M27" s="76">
        <v>40.76</v>
      </c>
      <c r="N27" s="76">
        <v>20</v>
      </c>
      <c r="O27" s="76">
        <v>298.64999999999998</v>
      </c>
      <c r="P27" s="76">
        <v>94.17</v>
      </c>
    </row>
    <row r="28" spans="1:16">
      <c r="A28" s="74">
        <v>313180</v>
      </c>
      <c r="B28" s="75" t="s">
        <v>985</v>
      </c>
      <c r="C28" s="74" t="s">
        <v>954</v>
      </c>
      <c r="D28" s="76">
        <v>300</v>
      </c>
      <c r="E28" s="76">
        <v>9</v>
      </c>
      <c r="F28" s="76">
        <v>2000</v>
      </c>
      <c r="G28" s="76">
        <v>828500</v>
      </c>
      <c r="H28" s="76">
        <v>1.1000000000000001</v>
      </c>
      <c r="I28" s="74" t="s">
        <v>1153</v>
      </c>
      <c r="J28" s="76">
        <v>48.72</v>
      </c>
      <c r="K28" s="76">
        <v>50.63</v>
      </c>
      <c r="L28" s="76">
        <v>196.75</v>
      </c>
      <c r="M28" s="76">
        <v>40.76</v>
      </c>
      <c r="N28" s="76">
        <v>20</v>
      </c>
      <c r="O28" s="76">
        <v>336.86</v>
      </c>
      <c r="P28" s="76">
        <v>89.48</v>
      </c>
    </row>
    <row r="29" spans="1:16">
      <c r="A29" s="74">
        <v>323180</v>
      </c>
      <c r="B29" s="75" t="s">
        <v>986</v>
      </c>
      <c r="C29" s="74" t="s">
        <v>328</v>
      </c>
      <c r="D29" s="76">
        <v>300</v>
      </c>
      <c r="E29" s="76">
        <v>8</v>
      </c>
      <c r="F29" s="76">
        <v>2000</v>
      </c>
      <c r="G29" s="76">
        <v>828500</v>
      </c>
      <c r="H29" s="76">
        <v>1.3</v>
      </c>
      <c r="I29" s="74" t="s">
        <v>1153</v>
      </c>
      <c r="J29" s="76">
        <v>53.36</v>
      </c>
      <c r="K29" s="76">
        <v>67.31</v>
      </c>
      <c r="L29" s="76">
        <v>196.75</v>
      </c>
      <c r="M29" s="76">
        <v>40.76</v>
      </c>
      <c r="N29" s="76">
        <v>20</v>
      </c>
      <c r="O29" s="76">
        <v>358.18</v>
      </c>
      <c r="P29" s="76">
        <v>94.12</v>
      </c>
    </row>
    <row r="30" spans="1:16">
      <c r="A30" s="74">
        <v>333180</v>
      </c>
      <c r="B30" s="75" t="s">
        <v>987</v>
      </c>
      <c r="C30" s="74" t="s">
        <v>957</v>
      </c>
      <c r="D30" s="76">
        <v>300</v>
      </c>
      <c r="E30" s="76">
        <v>7</v>
      </c>
      <c r="F30" s="76">
        <v>2000</v>
      </c>
      <c r="G30" s="76">
        <v>828500</v>
      </c>
      <c r="H30" s="76">
        <v>1.5</v>
      </c>
      <c r="I30" s="74" t="s">
        <v>1153</v>
      </c>
      <c r="J30" s="76">
        <v>59.36</v>
      </c>
      <c r="K30" s="76">
        <v>88.76</v>
      </c>
      <c r="L30" s="76">
        <v>196.75</v>
      </c>
      <c r="M30" s="76">
        <v>40.76</v>
      </c>
      <c r="N30" s="76">
        <v>20</v>
      </c>
      <c r="O30" s="76">
        <v>385.63</v>
      </c>
      <c r="P30" s="76">
        <v>100.12</v>
      </c>
    </row>
    <row r="31" spans="1:16">
      <c r="A31" s="74">
        <v>313140</v>
      </c>
      <c r="B31" s="75" t="s">
        <v>988</v>
      </c>
      <c r="C31" s="74" t="s">
        <v>954</v>
      </c>
      <c r="D31" s="76">
        <v>256</v>
      </c>
      <c r="E31" s="76">
        <v>9</v>
      </c>
      <c r="F31" s="76">
        <v>2000</v>
      </c>
      <c r="G31" s="76">
        <v>789483.47</v>
      </c>
      <c r="H31" s="76">
        <v>1.1000000000000001</v>
      </c>
      <c r="I31" s="74" t="s">
        <v>1153</v>
      </c>
      <c r="J31" s="76">
        <v>46.42</v>
      </c>
      <c r="K31" s="76">
        <v>48.24</v>
      </c>
      <c r="L31" s="76">
        <v>167.89</v>
      </c>
      <c r="M31" s="76">
        <v>40.76</v>
      </c>
      <c r="N31" s="76">
        <v>20</v>
      </c>
      <c r="O31" s="76">
        <v>303.31</v>
      </c>
      <c r="P31" s="76">
        <v>87.18</v>
      </c>
    </row>
    <row r="32" spans="1:16">
      <c r="A32" s="74">
        <v>323140</v>
      </c>
      <c r="B32" s="75" t="s">
        <v>989</v>
      </c>
      <c r="C32" s="74" t="s">
        <v>328</v>
      </c>
      <c r="D32" s="76">
        <v>256</v>
      </c>
      <c r="E32" s="76">
        <v>8</v>
      </c>
      <c r="F32" s="76">
        <v>2000</v>
      </c>
      <c r="G32" s="76">
        <v>789483.47</v>
      </c>
      <c r="H32" s="76">
        <v>1.3</v>
      </c>
      <c r="I32" s="74" t="s">
        <v>1153</v>
      </c>
      <c r="J32" s="76">
        <v>50.85</v>
      </c>
      <c r="K32" s="76">
        <v>64.14</v>
      </c>
      <c r="L32" s="76">
        <v>167.89</v>
      </c>
      <c r="M32" s="76">
        <v>40.76</v>
      </c>
      <c r="N32" s="76">
        <v>20</v>
      </c>
      <c r="O32" s="76">
        <v>323.64</v>
      </c>
      <c r="P32" s="76">
        <v>91.61</v>
      </c>
    </row>
    <row r="33" spans="1:16">
      <c r="A33" s="74">
        <v>333140</v>
      </c>
      <c r="B33" s="75" t="s">
        <v>990</v>
      </c>
      <c r="C33" s="74" t="s">
        <v>957</v>
      </c>
      <c r="D33" s="76">
        <v>256</v>
      </c>
      <c r="E33" s="76">
        <v>7</v>
      </c>
      <c r="F33" s="76">
        <v>2000</v>
      </c>
      <c r="G33" s="76">
        <v>789483.47</v>
      </c>
      <c r="H33" s="76">
        <v>1.5</v>
      </c>
      <c r="I33" s="74" t="s">
        <v>1153</v>
      </c>
      <c r="J33" s="76">
        <v>56.56</v>
      </c>
      <c r="K33" s="76">
        <v>84.58</v>
      </c>
      <c r="L33" s="76">
        <v>167.89</v>
      </c>
      <c r="M33" s="76">
        <v>40.76</v>
      </c>
      <c r="N33" s="76">
        <v>20</v>
      </c>
      <c r="O33" s="76">
        <v>349.79</v>
      </c>
      <c r="P33" s="76">
        <v>97.32</v>
      </c>
    </row>
    <row r="34" spans="1:16">
      <c r="A34" s="74">
        <v>321800</v>
      </c>
      <c r="B34" s="75" t="s">
        <v>991</v>
      </c>
      <c r="C34" s="74" t="s">
        <v>328</v>
      </c>
      <c r="D34" s="76">
        <v>256</v>
      </c>
      <c r="E34" s="76">
        <v>8</v>
      </c>
      <c r="F34" s="76">
        <v>2000</v>
      </c>
      <c r="G34" s="76">
        <v>810505.44</v>
      </c>
      <c r="H34" s="76">
        <v>1.3</v>
      </c>
      <c r="I34" s="74" t="s">
        <v>1153</v>
      </c>
      <c r="J34" s="76">
        <v>52.2</v>
      </c>
      <c r="K34" s="76">
        <v>65.849999999999994</v>
      </c>
      <c r="L34" s="76">
        <v>167.89</v>
      </c>
      <c r="M34" s="76">
        <v>40.76</v>
      </c>
      <c r="N34" s="76">
        <v>20</v>
      </c>
      <c r="O34" s="76">
        <v>326.7</v>
      </c>
      <c r="P34" s="76">
        <v>92.96</v>
      </c>
    </row>
    <row r="35" spans="1:16">
      <c r="A35" s="74">
        <v>321810</v>
      </c>
      <c r="B35" s="75" t="s">
        <v>992</v>
      </c>
      <c r="C35" s="74" t="s">
        <v>328</v>
      </c>
      <c r="D35" s="76">
        <v>256</v>
      </c>
      <c r="E35" s="76">
        <v>8</v>
      </c>
      <c r="F35" s="76">
        <v>2000</v>
      </c>
      <c r="G35" s="76">
        <v>812348.73</v>
      </c>
      <c r="H35" s="76">
        <v>1.3</v>
      </c>
      <c r="I35" s="74" t="s">
        <v>1153</v>
      </c>
      <c r="J35" s="76">
        <v>52.32</v>
      </c>
      <c r="K35" s="76">
        <v>66</v>
      </c>
      <c r="L35" s="76">
        <v>167.89</v>
      </c>
      <c r="M35" s="76">
        <v>40.76</v>
      </c>
      <c r="N35" s="76">
        <v>20</v>
      </c>
      <c r="O35" s="76">
        <v>326.97000000000003</v>
      </c>
      <c r="P35" s="76">
        <v>93.08</v>
      </c>
    </row>
    <row r="36" spans="1:16">
      <c r="A36" s="74">
        <v>321820</v>
      </c>
      <c r="B36" s="75" t="s">
        <v>993</v>
      </c>
      <c r="C36" s="74" t="s">
        <v>328</v>
      </c>
      <c r="D36" s="76">
        <v>256</v>
      </c>
      <c r="E36" s="76">
        <v>8</v>
      </c>
      <c r="F36" s="76">
        <v>2000</v>
      </c>
      <c r="G36" s="76">
        <v>817200</v>
      </c>
      <c r="H36" s="76">
        <v>1.3</v>
      </c>
      <c r="I36" s="74" t="s">
        <v>1153</v>
      </c>
      <c r="J36" s="76">
        <v>52.63</v>
      </c>
      <c r="K36" s="76">
        <v>66.39</v>
      </c>
      <c r="L36" s="76">
        <v>167.89</v>
      </c>
      <c r="M36" s="76">
        <v>40.76</v>
      </c>
      <c r="N36" s="76">
        <v>20</v>
      </c>
      <c r="O36" s="76">
        <v>327.67</v>
      </c>
      <c r="P36" s="76">
        <v>93.39</v>
      </c>
    </row>
    <row r="37" spans="1:16">
      <c r="A37" s="74">
        <v>322140</v>
      </c>
      <c r="B37" s="75" t="s">
        <v>994</v>
      </c>
      <c r="C37" s="74" t="s">
        <v>328</v>
      </c>
      <c r="D37" s="76">
        <v>286</v>
      </c>
      <c r="E37" s="76">
        <v>8</v>
      </c>
      <c r="F37" s="76">
        <v>2000</v>
      </c>
      <c r="G37" s="76">
        <v>833846.9</v>
      </c>
      <c r="H37" s="76">
        <v>1.3</v>
      </c>
      <c r="I37" s="74" t="s">
        <v>1153</v>
      </c>
      <c r="J37" s="76">
        <v>53.71</v>
      </c>
      <c r="K37" s="76">
        <v>67.75</v>
      </c>
      <c r="L37" s="76">
        <v>187.57</v>
      </c>
      <c r="M37" s="76">
        <v>40.76</v>
      </c>
      <c r="N37" s="76">
        <v>20</v>
      </c>
      <c r="O37" s="76">
        <v>349.79</v>
      </c>
      <c r="P37" s="76">
        <v>94.47</v>
      </c>
    </row>
    <row r="38" spans="1:16">
      <c r="A38" s="74">
        <v>336090</v>
      </c>
      <c r="B38" s="75" t="s">
        <v>995</v>
      </c>
      <c r="C38" s="74" t="s">
        <v>957</v>
      </c>
      <c r="D38" s="76">
        <v>238</v>
      </c>
      <c r="E38" s="76">
        <v>7</v>
      </c>
      <c r="F38" s="76">
        <v>2000</v>
      </c>
      <c r="G38" s="76">
        <v>820250</v>
      </c>
      <c r="H38" s="76">
        <v>1.5</v>
      </c>
      <c r="I38" s="74" t="s">
        <v>1153</v>
      </c>
      <c r="J38" s="76">
        <v>58.77</v>
      </c>
      <c r="K38" s="76">
        <v>87.88</v>
      </c>
      <c r="L38" s="76">
        <v>156.09</v>
      </c>
      <c r="M38" s="76">
        <v>40.76</v>
      </c>
      <c r="N38" s="76">
        <v>20</v>
      </c>
      <c r="O38" s="76">
        <v>343.5</v>
      </c>
      <c r="P38" s="76">
        <v>99.53</v>
      </c>
    </row>
    <row r="39" spans="1:16">
      <c r="A39" s="74">
        <v>343800</v>
      </c>
      <c r="B39" s="75" t="s">
        <v>996</v>
      </c>
      <c r="C39" s="74" t="s">
        <v>328</v>
      </c>
      <c r="D39" s="76">
        <v>330</v>
      </c>
      <c r="E39" s="76">
        <v>12</v>
      </c>
      <c r="F39" s="76">
        <v>1500</v>
      </c>
      <c r="G39" s="76">
        <v>620000</v>
      </c>
      <c r="H39" s="76">
        <v>1.1000000000000001</v>
      </c>
      <c r="I39" s="74" t="s">
        <v>1153</v>
      </c>
      <c r="J39" s="76">
        <v>39.44</v>
      </c>
      <c r="K39" s="76">
        <v>37.880000000000003</v>
      </c>
      <c r="L39" s="76">
        <v>216.43</v>
      </c>
      <c r="M39" s="76">
        <v>40.76</v>
      </c>
      <c r="N39" s="76">
        <v>20</v>
      </c>
      <c r="O39" s="76">
        <v>334.51</v>
      </c>
      <c r="P39" s="76">
        <v>80.2</v>
      </c>
    </row>
    <row r="40" spans="1:16">
      <c r="A40" s="74">
        <v>346050</v>
      </c>
      <c r="B40" s="75" t="s">
        <v>997</v>
      </c>
      <c r="C40" s="74" t="s">
        <v>328</v>
      </c>
      <c r="D40" s="76">
        <v>185</v>
      </c>
      <c r="E40" s="76">
        <v>9</v>
      </c>
      <c r="F40" s="76">
        <v>2000</v>
      </c>
      <c r="G40" s="76">
        <v>690000</v>
      </c>
      <c r="H40" s="76">
        <v>1.1000000000000001</v>
      </c>
      <c r="I40" s="74" t="s">
        <v>1153</v>
      </c>
      <c r="J40" s="76">
        <v>40.57</v>
      </c>
      <c r="K40" s="76">
        <v>42.16</v>
      </c>
      <c r="L40" s="76">
        <v>121.33</v>
      </c>
      <c r="M40" s="76">
        <v>40.76</v>
      </c>
      <c r="N40" s="76">
        <v>20</v>
      </c>
      <c r="O40" s="76">
        <v>244.82</v>
      </c>
      <c r="P40" s="76">
        <v>81.33</v>
      </c>
    </row>
    <row r="41" spans="1:16">
      <c r="A41" s="74">
        <v>342300</v>
      </c>
      <c r="B41" s="75" t="s">
        <v>998</v>
      </c>
      <c r="C41" s="74" t="s">
        <v>328</v>
      </c>
      <c r="D41" s="76">
        <v>230</v>
      </c>
      <c r="E41" s="76">
        <v>9</v>
      </c>
      <c r="F41" s="76">
        <v>2000</v>
      </c>
      <c r="G41" s="76">
        <v>542000</v>
      </c>
      <c r="H41" s="76">
        <v>1.1000000000000001</v>
      </c>
      <c r="I41" s="74" t="s">
        <v>1153</v>
      </c>
      <c r="J41" s="76">
        <v>31.87</v>
      </c>
      <c r="K41" s="76">
        <v>33.119999999999997</v>
      </c>
      <c r="L41" s="76">
        <v>150.84</v>
      </c>
      <c r="M41" s="76">
        <v>40.76</v>
      </c>
      <c r="N41" s="76">
        <v>20</v>
      </c>
      <c r="O41" s="76">
        <v>256.58999999999997</v>
      </c>
      <c r="P41" s="76">
        <v>72.63</v>
      </c>
    </row>
    <row r="42" spans="1:16">
      <c r="A42" s="74">
        <v>346010</v>
      </c>
      <c r="B42" s="75" t="s">
        <v>999</v>
      </c>
      <c r="C42" s="74" t="s">
        <v>328</v>
      </c>
      <c r="D42" s="76">
        <v>256</v>
      </c>
      <c r="E42" s="76">
        <v>9</v>
      </c>
      <c r="F42" s="76">
        <v>2000</v>
      </c>
      <c r="G42" s="76">
        <v>650000</v>
      </c>
      <c r="H42" s="76">
        <v>1.1000000000000001</v>
      </c>
      <c r="I42" s="74" t="s">
        <v>1153</v>
      </c>
      <c r="J42" s="76">
        <v>38.22</v>
      </c>
      <c r="K42" s="76">
        <v>39.72</v>
      </c>
      <c r="L42" s="76">
        <v>167.89</v>
      </c>
      <c r="M42" s="76">
        <v>40.76</v>
      </c>
      <c r="N42" s="76">
        <v>20</v>
      </c>
      <c r="O42" s="76">
        <v>286.58999999999997</v>
      </c>
      <c r="P42" s="76">
        <v>78.98</v>
      </c>
    </row>
    <row r="43" spans="1:16">
      <c r="A43" s="74">
        <v>341800</v>
      </c>
      <c r="B43" s="75" t="s">
        <v>1000</v>
      </c>
      <c r="C43" s="74" t="s">
        <v>328</v>
      </c>
      <c r="D43" s="76">
        <v>256</v>
      </c>
      <c r="E43" s="76">
        <v>12</v>
      </c>
      <c r="F43" s="76">
        <v>1500</v>
      </c>
      <c r="G43" s="76">
        <v>650000</v>
      </c>
      <c r="H43" s="76">
        <v>1.1000000000000001</v>
      </c>
      <c r="I43" s="74" t="s">
        <v>1153</v>
      </c>
      <c r="J43" s="76">
        <v>41.34</v>
      </c>
      <c r="K43" s="76">
        <v>39.72</v>
      </c>
      <c r="L43" s="76">
        <v>167.89</v>
      </c>
      <c r="M43" s="76">
        <v>40.76</v>
      </c>
      <c r="N43" s="76">
        <v>20</v>
      </c>
      <c r="O43" s="76">
        <v>289.70999999999998</v>
      </c>
      <c r="P43" s="76">
        <v>82.1</v>
      </c>
    </row>
    <row r="44" spans="1:16">
      <c r="A44" s="74">
        <v>326280</v>
      </c>
      <c r="B44" s="75" t="s">
        <v>1001</v>
      </c>
      <c r="C44" s="74" t="s">
        <v>328</v>
      </c>
      <c r="D44" s="76">
        <v>277</v>
      </c>
      <c r="E44" s="76">
        <v>12</v>
      </c>
      <c r="F44" s="76">
        <v>1500</v>
      </c>
      <c r="G44" s="76">
        <v>910000</v>
      </c>
      <c r="H44" s="76">
        <v>1.2</v>
      </c>
      <c r="I44" s="74" t="s">
        <v>1153</v>
      </c>
      <c r="J44" s="76">
        <v>57.88</v>
      </c>
      <c r="K44" s="76">
        <v>60.66</v>
      </c>
      <c r="L44" s="76">
        <v>181.67</v>
      </c>
      <c r="M44" s="76">
        <v>40.76</v>
      </c>
      <c r="N44" s="76">
        <v>20</v>
      </c>
      <c r="O44" s="76">
        <v>340.97</v>
      </c>
      <c r="P44" s="76">
        <v>98.64</v>
      </c>
    </row>
    <row r="45" spans="1:16">
      <c r="A45" s="74">
        <v>346020</v>
      </c>
      <c r="B45" s="75" t="s">
        <v>169</v>
      </c>
      <c r="C45" s="74" t="s">
        <v>328</v>
      </c>
      <c r="D45" s="76">
        <v>185</v>
      </c>
      <c r="E45" s="76">
        <v>12</v>
      </c>
      <c r="F45" s="76">
        <v>1500</v>
      </c>
      <c r="G45" s="76">
        <v>901940</v>
      </c>
      <c r="H45" s="76">
        <v>1.2</v>
      </c>
      <c r="I45" s="74" t="s">
        <v>1153</v>
      </c>
      <c r="J45" s="76">
        <v>57.37</v>
      </c>
      <c r="K45" s="76">
        <v>60.12</v>
      </c>
      <c r="L45" s="76">
        <v>121.33</v>
      </c>
      <c r="M45" s="76">
        <v>40.76</v>
      </c>
      <c r="N45" s="76">
        <v>20</v>
      </c>
      <c r="O45" s="76">
        <v>279.58</v>
      </c>
      <c r="P45" s="76">
        <v>98.13</v>
      </c>
    </row>
    <row r="46" spans="1:16">
      <c r="A46" s="77">
        <v>346090</v>
      </c>
      <c r="B46" s="78" t="s">
        <v>1002</v>
      </c>
      <c r="C46" s="79" t="s">
        <v>328</v>
      </c>
      <c r="D46" s="80">
        <v>156</v>
      </c>
      <c r="E46" s="80">
        <v>9</v>
      </c>
      <c r="F46" s="80">
        <v>2000</v>
      </c>
      <c r="G46" s="80">
        <v>369435</v>
      </c>
      <c r="H46" s="80">
        <v>1.1000000000000001</v>
      </c>
      <c r="I46" s="79" t="s">
        <v>1153</v>
      </c>
      <c r="J46" s="80">
        <v>21.72</v>
      </c>
      <c r="K46" s="80">
        <v>22.57</v>
      </c>
      <c r="L46" s="80">
        <v>102.31</v>
      </c>
      <c r="M46" s="80">
        <v>34.32</v>
      </c>
      <c r="N46" s="80">
        <v>20</v>
      </c>
      <c r="O46" s="80">
        <v>180.92</v>
      </c>
      <c r="P46" s="80">
        <v>56.04</v>
      </c>
    </row>
    <row r="47" spans="1:16">
      <c r="A47" s="77">
        <v>346000</v>
      </c>
      <c r="B47" s="78" t="s">
        <v>171</v>
      </c>
      <c r="C47" s="79" t="s">
        <v>328</v>
      </c>
      <c r="D47" s="80">
        <v>185</v>
      </c>
      <c r="E47" s="80">
        <v>9</v>
      </c>
      <c r="F47" s="80">
        <v>2000</v>
      </c>
      <c r="G47" s="80">
        <v>720345</v>
      </c>
      <c r="H47" s="80">
        <v>1.1000000000000001</v>
      </c>
      <c r="I47" s="79" t="s">
        <v>1153</v>
      </c>
      <c r="J47" s="80">
        <v>42.36</v>
      </c>
      <c r="K47" s="80">
        <v>44.02</v>
      </c>
      <c r="L47" s="80">
        <v>121.33</v>
      </c>
      <c r="M47" s="80">
        <v>40.76</v>
      </c>
      <c r="N47" s="80">
        <v>20</v>
      </c>
      <c r="O47" s="80">
        <v>248.47</v>
      </c>
      <c r="P47" s="80">
        <v>83.12</v>
      </c>
    </row>
    <row r="48" spans="1:16">
      <c r="A48" s="77">
        <v>346080</v>
      </c>
      <c r="B48" s="78" t="s">
        <v>170</v>
      </c>
      <c r="C48" s="79" t="s">
        <v>328</v>
      </c>
      <c r="D48" s="80">
        <v>156</v>
      </c>
      <c r="E48" s="80">
        <v>9</v>
      </c>
      <c r="F48" s="80">
        <v>2000</v>
      </c>
      <c r="G48" s="80">
        <v>503935</v>
      </c>
      <c r="H48" s="80">
        <v>1.1000000000000001</v>
      </c>
      <c r="I48" s="79" t="s">
        <v>1153</v>
      </c>
      <c r="J48" s="80">
        <v>29.63</v>
      </c>
      <c r="K48" s="80">
        <v>30.79</v>
      </c>
      <c r="L48" s="80">
        <v>102.31</v>
      </c>
      <c r="M48" s="80">
        <v>34.32</v>
      </c>
      <c r="N48" s="80">
        <v>20</v>
      </c>
      <c r="O48" s="80">
        <v>197.05</v>
      </c>
      <c r="P48" s="80">
        <v>63.95</v>
      </c>
    </row>
    <row r="49" spans="1:16">
      <c r="A49" s="77">
        <v>346220</v>
      </c>
      <c r="B49" s="78" t="s">
        <v>1017</v>
      </c>
      <c r="C49" s="79" t="s">
        <v>328</v>
      </c>
      <c r="D49" s="80">
        <v>185</v>
      </c>
      <c r="E49" s="80">
        <v>12</v>
      </c>
      <c r="F49" s="80">
        <v>1500</v>
      </c>
      <c r="G49" s="80">
        <v>988940</v>
      </c>
      <c r="H49" s="80">
        <v>1.2</v>
      </c>
      <c r="I49" s="81" t="s">
        <v>1153</v>
      </c>
      <c r="J49" s="80">
        <v>62.91</v>
      </c>
      <c r="K49" s="80">
        <v>65.92</v>
      </c>
      <c r="L49" s="80">
        <v>166.97</v>
      </c>
      <c r="M49" s="80">
        <v>40.76</v>
      </c>
      <c r="N49" s="80">
        <v>20</v>
      </c>
      <c r="O49" s="80">
        <v>336.56</v>
      </c>
      <c r="P49" s="80">
        <v>103.67</v>
      </c>
    </row>
    <row r="50" spans="1:16">
      <c r="A50" s="77">
        <v>346030</v>
      </c>
      <c r="B50" s="78" t="s">
        <v>1018</v>
      </c>
      <c r="C50" s="79" t="s">
        <v>328</v>
      </c>
      <c r="D50" s="80">
        <v>185</v>
      </c>
      <c r="E50" s="80">
        <v>9</v>
      </c>
      <c r="F50" s="80">
        <v>2000</v>
      </c>
      <c r="G50" s="80">
        <v>867500</v>
      </c>
      <c r="H50" s="80">
        <v>1.1000000000000001</v>
      </c>
      <c r="I50" s="82" t="s">
        <v>1153</v>
      </c>
      <c r="J50" s="80">
        <v>51.01</v>
      </c>
      <c r="K50" s="80">
        <v>53.01</v>
      </c>
      <c r="L50" s="80">
        <v>121.33</v>
      </c>
      <c r="M50" s="80">
        <v>34.32</v>
      </c>
      <c r="N50" s="80">
        <v>20</v>
      </c>
      <c r="O50" s="80">
        <v>259.67</v>
      </c>
      <c r="P50" s="80">
        <v>85.33</v>
      </c>
    </row>
    <row r="51" spans="1:16">
      <c r="A51" s="77">
        <v>346060</v>
      </c>
      <c r="B51" s="78" t="s">
        <v>1019</v>
      </c>
      <c r="C51" s="79" t="s">
        <v>328</v>
      </c>
      <c r="D51" s="80">
        <v>185</v>
      </c>
      <c r="E51" s="80">
        <v>9</v>
      </c>
      <c r="F51" s="80">
        <v>2000</v>
      </c>
      <c r="G51" s="80">
        <v>815000</v>
      </c>
      <c r="H51" s="80">
        <v>1.2</v>
      </c>
      <c r="I51" s="81" t="s">
        <v>1153</v>
      </c>
      <c r="J51" s="80">
        <v>47.92</v>
      </c>
      <c r="K51" s="80">
        <v>54.33</v>
      </c>
      <c r="L51" s="80">
        <v>121.33</v>
      </c>
      <c r="M51" s="80">
        <v>34.32</v>
      </c>
      <c r="N51" s="80">
        <v>20</v>
      </c>
      <c r="O51" s="80">
        <v>257.89999999999998</v>
      </c>
      <c r="P51" s="80">
        <v>82.24</v>
      </c>
    </row>
    <row r="52" spans="1:16">
      <c r="A52" s="77">
        <v>346070</v>
      </c>
      <c r="B52" s="78" t="s">
        <v>172</v>
      </c>
      <c r="C52" s="79" t="s">
        <v>328</v>
      </c>
      <c r="D52" s="80">
        <v>185</v>
      </c>
      <c r="E52" s="80">
        <v>9</v>
      </c>
      <c r="F52" s="80">
        <v>2000</v>
      </c>
      <c r="G52" s="80">
        <v>810000</v>
      </c>
      <c r="H52" s="80">
        <v>1.1000000000000001</v>
      </c>
      <c r="I52" s="81" t="s">
        <v>1153</v>
      </c>
      <c r="J52" s="80">
        <v>47.63</v>
      </c>
      <c r="K52" s="80">
        <v>49.5</v>
      </c>
      <c r="L52" s="80">
        <v>121.33</v>
      </c>
      <c r="M52" s="80">
        <v>34.32</v>
      </c>
      <c r="N52" s="80">
        <v>20</v>
      </c>
      <c r="O52" s="80">
        <v>252.78</v>
      </c>
      <c r="P52" s="80">
        <v>81.95</v>
      </c>
    </row>
    <row r="53" spans="1:16">
      <c r="A53" s="77">
        <v>300110</v>
      </c>
      <c r="B53" s="78" t="s">
        <v>1020</v>
      </c>
      <c r="C53" s="79" t="s">
        <v>328</v>
      </c>
      <c r="D53" s="80">
        <v>420</v>
      </c>
      <c r="E53" s="80">
        <v>6</v>
      </c>
      <c r="F53" s="80">
        <v>2000</v>
      </c>
      <c r="G53" s="80">
        <v>1280001.23</v>
      </c>
      <c r="H53" s="80">
        <v>1.1000000000000001</v>
      </c>
      <c r="I53" s="79" t="s">
        <v>1153</v>
      </c>
      <c r="J53" s="80">
        <v>104.12</v>
      </c>
      <c r="K53" s="80">
        <v>117.33</v>
      </c>
      <c r="L53" s="80">
        <v>275.45</v>
      </c>
      <c r="M53" s="80">
        <v>94.39</v>
      </c>
      <c r="N53" s="80">
        <v>20</v>
      </c>
      <c r="O53" s="80">
        <v>591.29</v>
      </c>
      <c r="P53" s="80">
        <v>198.51</v>
      </c>
    </row>
    <row r="54" spans="1:16" ht="31.5">
      <c r="A54" s="77">
        <v>370100</v>
      </c>
      <c r="B54" s="78" t="s">
        <v>1021</v>
      </c>
      <c r="C54" s="79" t="s">
        <v>328</v>
      </c>
      <c r="D54" s="80">
        <v>150</v>
      </c>
      <c r="E54" s="80">
        <v>6</v>
      </c>
      <c r="F54" s="80">
        <v>2000</v>
      </c>
      <c r="G54" s="80">
        <v>264120</v>
      </c>
      <c r="H54" s="80">
        <v>0.8</v>
      </c>
      <c r="I54" s="79" t="s">
        <v>1153</v>
      </c>
      <c r="J54" s="80">
        <v>21.48</v>
      </c>
      <c r="K54" s="80">
        <v>17.600000000000001</v>
      </c>
      <c r="L54" s="80">
        <v>98.37</v>
      </c>
      <c r="M54" s="80">
        <v>32.18</v>
      </c>
      <c r="N54" s="80">
        <v>20</v>
      </c>
      <c r="O54" s="80">
        <v>169.63</v>
      </c>
      <c r="P54" s="80">
        <v>53.66</v>
      </c>
    </row>
    <row r="55" spans="1:16" ht="31.5">
      <c r="A55" s="77">
        <v>370140</v>
      </c>
      <c r="B55" s="78" t="s">
        <v>1022</v>
      </c>
      <c r="C55" s="79" t="s">
        <v>328</v>
      </c>
      <c r="D55" s="80">
        <v>150</v>
      </c>
      <c r="E55" s="80">
        <v>6</v>
      </c>
      <c r="F55" s="80">
        <v>2000</v>
      </c>
      <c r="G55" s="80">
        <v>264120</v>
      </c>
      <c r="H55" s="80">
        <v>0.8</v>
      </c>
      <c r="I55" s="79" t="s">
        <v>1153</v>
      </c>
      <c r="J55" s="80">
        <v>21.48</v>
      </c>
      <c r="K55" s="80">
        <v>17.600000000000001</v>
      </c>
      <c r="L55" s="80">
        <v>98.37</v>
      </c>
      <c r="M55" s="80">
        <v>0</v>
      </c>
      <c r="N55" s="80">
        <v>20</v>
      </c>
      <c r="O55" s="80">
        <v>137.44999999999999</v>
      </c>
      <c r="P55" s="80">
        <v>21.48</v>
      </c>
    </row>
    <row r="56" spans="1:16">
      <c r="A56" s="77">
        <v>320550</v>
      </c>
      <c r="B56" s="78" t="s">
        <v>1023</v>
      </c>
      <c r="C56" s="79" t="s">
        <v>328</v>
      </c>
      <c r="D56" s="80">
        <v>155</v>
      </c>
      <c r="E56" s="80">
        <v>7</v>
      </c>
      <c r="F56" s="80">
        <v>1500</v>
      </c>
      <c r="G56" s="80">
        <v>812000</v>
      </c>
      <c r="H56" s="80">
        <v>0.7</v>
      </c>
      <c r="I56" s="79" t="s">
        <v>1153</v>
      </c>
      <c r="J56" s="80">
        <v>77.569999999999993</v>
      </c>
      <c r="K56" s="80">
        <v>54.13</v>
      </c>
      <c r="L56" s="80">
        <v>139.88999999999999</v>
      </c>
      <c r="M56" s="80">
        <v>40.76</v>
      </c>
      <c r="N56" s="80">
        <v>20</v>
      </c>
      <c r="O56" s="80">
        <v>312.35000000000002</v>
      </c>
      <c r="P56" s="80">
        <v>118.33</v>
      </c>
    </row>
    <row r="57" spans="1:16">
      <c r="A57" s="77">
        <v>319300</v>
      </c>
      <c r="B57" s="78" t="s">
        <v>1024</v>
      </c>
      <c r="C57" s="79" t="s">
        <v>954</v>
      </c>
      <c r="D57" s="80">
        <v>138</v>
      </c>
      <c r="E57" s="80">
        <v>8</v>
      </c>
      <c r="F57" s="80">
        <v>1500</v>
      </c>
      <c r="G57" s="80">
        <v>875000</v>
      </c>
      <c r="H57" s="80">
        <v>0.9</v>
      </c>
      <c r="I57" s="79" t="s">
        <v>1153</v>
      </c>
      <c r="J57" s="80">
        <v>75.150000000000006</v>
      </c>
      <c r="K57" s="80">
        <v>65.62</v>
      </c>
      <c r="L57" s="80">
        <v>124.55</v>
      </c>
      <c r="M57" s="80">
        <v>40.76</v>
      </c>
      <c r="N57" s="80">
        <v>20</v>
      </c>
      <c r="O57" s="80">
        <v>306.08</v>
      </c>
      <c r="P57" s="80">
        <v>115.91</v>
      </c>
    </row>
    <row r="58" spans="1:16">
      <c r="A58" s="77">
        <v>329300</v>
      </c>
      <c r="B58" s="78" t="s">
        <v>1025</v>
      </c>
      <c r="C58" s="79" t="s">
        <v>328</v>
      </c>
      <c r="D58" s="80">
        <v>138</v>
      </c>
      <c r="E58" s="80">
        <v>7</v>
      </c>
      <c r="F58" s="80">
        <v>1500</v>
      </c>
      <c r="G58" s="80">
        <v>875000</v>
      </c>
      <c r="H58" s="80">
        <v>1.1000000000000001</v>
      </c>
      <c r="I58" s="81" t="s">
        <v>1153</v>
      </c>
      <c r="J58" s="80">
        <v>83.59</v>
      </c>
      <c r="K58" s="80">
        <v>91.66</v>
      </c>
      <c r="L58" s="80">
        <v>124.55</v>
      </c>
      <c r="M58" s="80">
        <v>40.76</v>
      </c>
      <c r="N58" s="80">
        <v>20</v>
      </c>
      <c r="O58" s="80">
        <v>340.56</v>
      </c>
      <c r="P58" s="80">
        <v>124.35</v>
      </c>
    </row>
    <row r="59" spans="1:16">
      <c r="A59" s="77">
        <v>339300</v>
      </c>
      <c r="B59" s="78" t="s">
        <v>1026</v>
      </c>
      <c r="C59" s="79" t="s">
        <v>957</v>
      </c>
      <c r="D59" s="80">
        <v>138</v>
      </c>
      <c r="E59" s="80">
        <v>6</v>
      </c>
      <c r="F59" s="80">
        <v>1500</v>
      </c>
      <c r="G59" s="80">
        <v>875000</v>
      </c>
      <c r="H59" s="80">
        <v>1.45</v>
      </c>
      <c r="I59" s="79" t="s">
        <v>1153</v>
      </c>
      <c r="J59" s="80">
        <v>94.9</v>
      </c>
      <c r="K59" s="80">
        <v>140.97</v>
      </c>
      <c r="L59" s="80">
        <v>124.55</v>
      </c>
      <c r="M59" s="80">
        <v>40.76</v>
      </c>
      <c r="N59" s="80">
        <v>20</v>
      </c>
      <c r="O59" s="80">
        <v>401.18</v>
      </c>
      <c r="P59" s="80">
        <v>135.66</v>
      </c>
    </row>
    <row r="60" spans="1:16">
      <c r="A60" s="77">
        <v>319660</v>
      </c>
      <c r="B60" s="78" t="s">
        <v>1027</v>
      </c>
      <c r="C60" s="79" t="s">
        <v>954</v>
      </c>
      <c r="D60" s="80">
        <v>216</v>
      </c>
      <c r="E60" s="80">
        <v>8</v>
      </c>
      <c r="F60" s="80">
        <v>1500</v>
      </c>
      <c r="G60" s="80">
        <v>1800000</v>
      </c>
      <c r="H60" s="80">
        <v>0.85</v>
      </c>
      <c r="I60" s="79" t="s">
        <v>1153</v>
      </c>
      <c r="J60" s="80">
        <v>154.59</v>
      </c>
      <c r="K60" s="80">
        <v>127.5</v>
      </c>
      <c r="L60" s="80">
        <v>194.95</v>
      </c>
      <c r="M60" s="80">
        <v>40.76</v>
      </c>
      <c r="N60" s="80">
        <v>20</v>
      </c>
      <c r="O60" s="80">
        <v>517.79999999999995</v>
      </c>
      <c r="P60" s="80">
        <v>195.35</v>
      </c>
    </row>
    <row r="61" spans="1:16">
      <c r="A61" s="77">
        <v>329660</v>
      </c>
      <c r="B61" s="78" t="s">
        <v>1028</v>
      </c>
      <c r="C61" s="79" t="s">
        <v>328</v>
      </c>
      <c r="D61" s="80">
        <v>216</v>
      </c>
      <c r="E61" s="80">
        <v>7</v>
      </c>
      <c r="F61" s="80">
        <v>1500</v>
      </c>
      <c r="G61" s="80">
        <v>1800000</v>
      </c>
      <c r="H61" s="80">
        <v>0.95</v>
      </c>
      <c r="I61" s="79" t="s">
        <v>1153</v>
      </c>
      <c r="J61" s="80">
        <v>171.96</v>
      </c>
      <c r="K61" s="80">
        <v>162.85</v>
      </c>
      <c r="L61" s="80">
        <v>194.95</v>
      </c>
      <c r="M61" s="80">
        <v>40.76</v>
      </c>
      <c r="N61" s="80">
        <v>20</v>
      </c>
      <c r="O61" s="80">
        <v>570.52</v>
      </c>
      <c r="P61" s="80">
        <v>212.72</v>
      </c>
    </row>
    <row r="62" spans="1:16">
      <c r="A62" s="77">
        <v>339660</v>
      </c>
      <c r="B62" s="78" t="s">
        <v>1029</v>
      </c>
      <c r="C62" s="79" t="s">
        <v>957</v>
      </c>
      <c r="D62" s="80">
        <v>216</v>
      </c>
      <c r="E62" s="80">
        <v>6</v>
      </c>
      <c r="F62" s="80">
        <v>1500</v>
      </c>
      <c r="G62" s="80">
        <v>1800000</v>
      </c>
      <c r="H62" s="80">
        <v>1.25</v>
      </c>
      <c r="I62" s="79" t="s">
        <v>1153</v>
      </c>
      <c r="J62" s="80">
        <v>195.22</v>
      </c>
      <c r="K62" s="80">
        <v>250</v>
      </c>
      <c r="L62" s="80">
        <v>194.95</v>
      </c>
      <c r="M62" s="80">
        <v>40.76</v>
      </c>
      <c r="N62" s="80">
        <v>20</v>
      </c>
      <c r="O62" s="80">
        <v>680.93</v>
      </c>
      <c r="P62" s="80">
        <v>235.98</v>
      </c>
    </row>
    <row r="63" spans="1:16">
      <c r="A63" s="77">
        <v>306010</v>
      </c>
      <c r="B63" s="78" t="s">
        <v>1030</v>
      </c>
      <c r="C63" s="79" t="s">
        <v>328</v>
      </c>
      <c r="D63" s="80">
        <v>0</v>
      </c>
      <c r="E63" s="80">
        <v>4</v>
      </c>
      <c r="F63" s="80">
        <v>2000</v>
      </c>
      <c r="G63" s="80">
        <v>1685000</v>
      </c>
      <c r="H63" s="80">
        <v>0.5</v>
      </c>
      <c r="I63" s="79" t="s">
        <v>195</v>
      </c>
      <c r="J63" s="80">
        <v>230.98</v>
      </c>
      <c r="K63" s="80">
        <v>105.31</v>
      </c>
      <c r="L63" s="80">
        <v>0</v>
      </c>
      <c r="M63" s="80">
        <v>58.64</v>
      </c>
      <c r="N63" s="80">
        <v>5</v>
      </c>
      <c r="O63" s="80">
        <v>394.93</v>
      </c>
      <c r="P63" s="80">
        <v>289.62</v>
      </c>
    </row>
    <row r="64" spans="1:16">
      <c r="A64" s="74">
        <v>301800</v>
      </c>
      <c r="B64" s="129" t="s">
        <v>1031</v>
      </c>
      <c r="C64" s="74" t="s">
        <v>328</v>
      </c>
      <c r="D64" s="76">
        <v>0</v>
      </c>
      <c r="E64" s="76">
        <v>3</v>
      </c>
      <c r="F64" s="76">
        <v>1000</v>
      </c>
      <c r="G64" s="76">
        <v>587.61</v>
      </c>
      <c r="H64" s="76">
        <v>0.5</v>
      </c>
      <c r="I64" s="74" t="s">
        <v>195</v>
      </c>
      <c r="J64" s="76">
        <v>0.21</v>
      </c>
      <c r="K64" s="76">
        <v>0.09</v>
      </c>
      <c r="L64" s="76">
        <v>0</v>
      </c>
      <c r="M64" s="76">
        <v>0</v>
      </c>
      <c r="N64" s="76">
        <v>0</v>
      </c>
      <c r="O64" s="76">
        <v>0.3</v>
      </c>
      <c r="P64" s="76">
        <v>0.21</v>
      </c>
    </row>
    <row r="65" spans="1:16" ht="31.5">
      <c r="A65" s="74">
        <v>310030</v>
      </c>
      <c r="B65" s="129" t="s">
        <v>1032</v>
      </c>
      <c r="C65" s="74" t="s">
        <v>328</v>
      </c>
      <c r="D65" s="76">
        <v>0</v>
      </c>
      <c r="E65" s="76">
        <v>8</v>
      </c>
      <c r="F65" s="76">
        <v>1500</v>
      </c>
      <c r="G65" s="76">
        <v>230000</v>
      </c>
      <c r="H65" s="76">
        <v>0.9</v>
      </c>
      <c r="I65" s="74" t="s">
        <v>1155</v>
      </c>
      <c r="J65" s="76">
        <v>22.22</v>
      </c>
      <c r="K65" s="76">
        <v>17.25</v>
      </c>
      <c r="L65" s="76">
        <v>0</v>
      </c>
      <c r="M65" s="76">
        <v>84.37</v>
      </c>
      <c r="N65" s="76">
        <v>10</v>
      </c>
      <c r="O65" s="76">
        <v>123.84</v>
      </c>
      <c r="P65" s="76">
        <v>106.59</v>
      </c>
    </row>
    <row r="66" spans="1:16" ht="31.5">
      <c r="A66" s="74">
        <v>300125</v>
      </c>
      <c r="B66" s="129" t="s">
        <v>1033</v>
      </c>
      <c r="C66" s="74" t="s">
        <v>328</v>
      </c>
      <c r="D66" s="76">
        <v>380</v>
      </c>
      <c r="E66" s="76">
        <v>7</v>
      </c>
      <c r="F66" s="76">
        <v>2000</v>
      </c>
      <c r="G66" s="76">
        <v>1580000</v>
      </c>
      <c r="H66" s="76">
        <v>0.7</v>
      </c>
      <c r="I66" s="74" t="s">
        <v>1155</v>
      </c>
      <c r="J66" s="76">
        <v>113.21</v>
      </c>
      <c r="K66" s="76">
        <v>79</v>
      </c>
      <c r="L66" s="76">
        <v>340.48</v>
      </c>
      <c r="M66" s="76">
        <v>160.16</v>
      </c>
      <c r="N66" s="76">
        <v>20</v>
      </c>
      <c r="O66" s="76">
        <v>692.85</v>
      </c>
      <c r="P66" s="76">
        <v>273.37</v>
      </c>
    </row>
    <row r="67" spans="1:16">
      <c r="A67" s="74">
        <v>340200</v>
      </c>
      <c r="B67" s="129" t="s">
        <v>1034</v>
      </c>
      <c r="C67" s="74" t="s">
        <v>328</v>
      </c>
      <c r="D67" s="76">
        <v>6</v>
      </c>
      <c r="E67" s="76">
        <v>4</v>
      </c>
      <c r="F67" s="76">
        <v>1750</v>
      </c>
      <c r="G67" s="76">
        <v>6797.79</v>
      </c>
      <c r="H67" s="76">
        <v>0.5</v>
      </c>
      <c r="I67" s="74" t="s">
        <v>1154</v>
      </c>
      <c r="J67" s="76">
        <v>1.06</v>
      </c>
      <c r="K67" s="76">
        <v>0.48</v>
      </c>
      <c r="L67" s="76">
        <v>7.53</v>
      </c>
      <c r="M67" s="76">
        <v>32.18</v>
      </c>
      <c r="N67" s="76">
        <v>5</v>
      </c>
      <c r="O67" s="76">
        <v>41.25</v>
      </c>
      <c r="P67" s="76">
        <v>33.24</v>
      </c>
    </row>
    <row r="68" spans="1:16">
      <c r="A68" s="74">
        <v>340800</v>
      </c>
      <c r="B68" s="129" t="s">
        <v>1035</v>
      </c>
      <c r="C68" s="74" t="s">
        <v>328</v>
      </c>
      <c r="D68" s="76">
        <v>44</v>
      </c>
      <c r="E68" s="76">
        <v>8</v>
      </c>
      <c r="F68" s="76">
        <v>1666</v>
      </c>
      <c r="G68" s="76">
        <v>181815.22</v>
      </c>
      <c r="H68" s="76">
        <v>0.8</v>
      </c>
      <c r="I68" s="74" t="s">
        <v>1153</v>
      </c>
      <c r="J68" s="76">
        <v>15.81</v>
      </c>
      <c r="K68" s="76">
        <v>10.91</v>
      </c>
      <c r="L68" s="76">
        <v>39.71</v>
      </c>
      <c r="M68" s="76">
        <v>0</v>
      </c>
      <c r="N68" s="76">
        <v>10</v>
      </c>
      <c r="O68" s="76">
        <v>66.430000000000007</v>
      </c>
      <c r="P68" s="76">
        <v>15.81</v>
      </c>
    </row>
    <row r="69" spans="1:16">
      <c r="A69" s="74">
        <v>341200</v>
      </c>
      <c r="B69" s="129" t="s">
        <v>1036</v>
      </c>
      <c r="C69" s="74" t="s">
        <v>328</v>
      </c>
      <c r="D69" s="76">
        <v>82</v>
      </c>
      <c r="E69" s="76">
        <v>8</v>
      </c>
      <c r="F69" s="76">
        <v>1666</v>
      </c>
      <c r="G69" s="76">
        <v>265340</v>
      </c>
      <c r="H69" s="76">
        <v>0.8</v>
      </c>
      <c r="I69" s="74" t="s">
        <v>1153</v>
      </c>
      <c r="J69" s="76">
        <v>23.08</v>
      </c>
      <c r="K69" s="76">
        <v>15.92</v>
      </c>
      <c r="L69" s="76">
        <v>74</v>
      </c>
      <c r="M69" s="76">
        <v>0</v>
      </c>
      <c r="N69" s="76">
        <v>10</v>
      </c>
      <c r="O69" s="76">
        <v>113</v>
      </c>
      <c r="P69" s="76">
        <v>23.08</v>
      </c>
    </row>
    <row r="70" spans="1:16">
      <c r="A70" s="74">
        <v>347000</v>
      </c>
      <c r="B70" s="129" t="s">
        <v>1037</v>
      </c>
      <c r="C70" s="74" t="s">
        <v>328</v>
      </c>
      <c r="D70" s="76">
        <v>215</v>
      </c>
      <c r="E70" s="76">
        <v>8</v>
      </c>
      <c r="F70" s="76">
        <v>1666</v>
      </c>
      <c r="G70" s="76">
        <v>715260</v>
      </c>
      <c r="H70" s="76">
        <v>0.8</v>
      </c>
      <c r="I70" s="74" t="s">
        <v>1153</v>
      </c>
      <c r="J70" s="76">
        <v>62.22</v>
      </c>
      <c r="K70" s="76">
        <v>42.93</v>
      </c>
      <c r="L70" s="76">
        <v>194.04</v>
      </c>
      <c r="M70" s="76">
        <v>0</v>
      </c>
      <c r="N70" s="76">
        <v>10</v>
      </c>
      <c r="O70" s="76">
        <v>299.19</v>
      </c>
      <c r="P70" s="76">
        <v>62.22</v>
      </c>
    </row>
    <row r="71" spans="1:16">
      <c r="A71" s="74">
        <v>300510</v>
      </c>
      <c r="B71" s="129" t="s">
        <v>1038</v>
      </c>
      <c r="C71" s="74" t="s">
        <v>328</v>
      </c>
      <c r="D71" s="76">
        <v>0</v>
      </c>
      <c r="E71" s="76">
        <v>10</v>
      </c>
      <c r="F71" s="76">
        <v>1500</v>
      </c>
      <c r="G71" s="76">
        <v>7541200</v>
      </c>
      <c r="H71" s="76">
        <v>0.9</v>
      </c>
      <c r="I71" s="74" t="s">
        <v>195</v>
      </c>
      <c r="J71" s="76">
        <v>614.76</v>
      </c>
      <c r="K71" s="76">
        <v>452.47</v>
      </c>
      <c r="L71" s="76">
        <v>0</v>
      </c>
      <c r="M71" s="76">
        <v>104.4</v>
      </c>
      <c r="N71" s="76">
        <v>10</v>
      </c>
      <c r="O71" s="76">
        <v>1171.6300000000001</v>
      </c>
      <c r="P71" s="76">
        <v>719.16</v>
      </c>
    </row>
    <row r="72" spans="1:16">
      <c r="A72" s="74">
        <v>300130</v>
      </c>
      <c r="B72" s="129" t="s">
        <v>1039</v>
      </c>
      <c r="C72" s="74" t="s">
        <v>328</v>
      </c>
      <c r="D72" s="76">
        <v>0</v>
      </c>
      <c r="E72" s="76">
        <v>6</v>
      </c>
      <c r="F72" s="76">
        <v>1500</v>
      </c>
      <c r="G72" s="76">
        <v>65200</v>
      </c>
      <c r="H72" s="76">
        <v>0.5</v>
      </c>
      <c r="I72" s="74" t="s">
        <v>195</v>
      </c>
      <c r="J72" s="76">
        <v>8.39</v>
      </c>
      <c r="K72" s="76">
        <v>3.62</v>
      </c>
      <c r="L72" s="76">
        <v>0</v>
      </c>
      <c r="M72" s="76">
        <v>0</v>
      </c>
      <c r="N72" s="76">
        <v>5</v>
      </c>
      <c r="O72" s="76">
        <v>12.01</v>
      </c>
      <c r="P72" s="76">
        <v>8.39</v>
      </c>
    </row>
    <row r="73" spans="1:16">
      <c r="A73" s="74">
        <v>340320</v>
      </c>
      <c r="B73" s="129" t="s">
        <v>1040</v>
      </c>
      <c r="C73" s="74" t="s">
        <v>328</v>
      </c>
      <c r="D73" s="76">
        <v>0</v>
      </c>
      <c r="E73" s="76">
        <v>6</v>
      </c>
      <c r="F73" s="76">
        <v>1500</v>
      </c>
      <c r="G73" s="76">
        <v>691955</v>
      </c>
      <c r="H73" s="76">
        <v>0.5</v>
      </c>
      <c r="I73" s="74" t="s">
        <v>195</v>
      </c>
      <c r="J73" s="76">
        <v>89.12</v>
      </c>
      <c r="K73" s="76">
        <v>38.44</v>
      </c>
      <c r="L73" s="76">
        <v>0</v>
      </c>
      <c r="M73" s="76">
        <v>40.76</v>
      </c>
      <c r="N73" s="76">
        <v>5</v>
      </c>
      <c r="O73" s="76">
        <v>168.32</v>
      </c>
      <c r="P73" s="76">
        <v>129.88</v>
      </c>
    </row>
    <row r="74" spans="1:16">
      <c r="A74" s="74">
        <v>300800</v>
      </c>
      <c r="B74" s="129" t="s">
        <v>1003</v>
      </c>
      <c r="C74" s="74" t="s">
        <v>328</v>
      </c>
      <c r="D74" s="76">
        <v>0</v>
      </c>
      <c r="E74" s="76">
        <v>8</v>
      </c>
      <c r="F74" s="76">
        <v>1000</v>
      </c>
      <c r="G74" s="76">
        <v>29900</v>
      </c>
      <c r="H74" s="76">
        <v>0.5</v>
      </c>
      <c r="I74" s="74" t="s">
        <v>195</v>
      </c>
      <c r="J74" s="76">
        <v>4.57</v>
      </c>
      <c r="K74" s="76">
        <v>1.86</v>
      </c>
      <c r="L74" s="76">
        <v>0</v>
      </c>
      <c r="M74" s="76">
        <v>0</v>
      </c>
      <c r="N74" s="76">
        <v>5</v>
      </c>
      <c r="O74" s="76">
        <v>6.43</v>
      </c>
      <c r="P74" s="76">
        <v>4.57</v>
      </c>
    </row>
    <row r="75" spans="1:16" ht="31.5">
      <c r="A75" s="74">
        <v>370400</v>
      </c>
      <c r="B75" s="129" t="s">
        <v>1004</v>
      </c>
      <c r="C75" s="74" t="s">
        <v>328</v>
      </c>
      <c r="D75" s="76">
        <v>0</v>
      </c>
      <c r="E75" s="76">
        <v>6</v>
      </c>
      <c r="F75" s="76">
        <v>2000</v>
      </c>
      <c r="G75" s="76">
        <v>1375000</v>
      </c>
      <c r="H75" s="76">
        <v>0.5</v>
      </c>
      <c r="I75" s="74" t="s">
        <v>195</v>
      </c>
      <c r="J75" s="76">
        <v>125.83</v>
      </c>
      <c r="K75" s="76">
        <v>57.29</v>
      </c>
      <c r="L75" s="76">
        <v>0</v>
      </c>
      <c r="M75" s="76">
        <v>40.76</v>
      </c>
      <c r="N75" s="76">
        <v>10</v>
      </c>
      <c r="O75" s="76">
        <v>223.88</v>
      </c>
      <c r="P75" s="76">
        <v>166.59</v>
      </c>
    </row>
    <row r="76" spans="1:16">
      <c r="A76" s="74">
        <v>370700</v>
      </c>
      <c r="B76" s="129" t="s">
        <v>1005</v>
      </c>
      <c r="C76" s="74" t="s">
        <v>328</v>
      </c>
      <c r="D76" s="76">
        <v>0</v>
      </c>
      <c r="E76" s="76">
        <v>6</v>
      </c>
      <c r="F76" s="76">
        <v>2000</v>
      </c>
      <c r="G76" s="76">
        <v>612500</v>
      </c>
      <c r="H76" s="76">
        <v>0.5</v>
      </c>
      <c r="I76" s="74" t="s">
        <v>195</v>
      </c>
      <c r="J76" s="76">
        <v>56.05</v>
      </c>
      <c r="K76" s="76">
        <v>25.52</v>
      </c>
      <c r="L76" s="76">
        <v>0</v>
      </c>
      <c r="M76" s="76">
        <v>40.76</v>
      </c>
      <c r="N76" s="76">
        <v>10</v>
      </c>
      <c r="O76" s="76">
        <v>122.33</v>
      </c>
      <c r="P76" s="76">
        <v>96.81</v>
      </c>
    </row>
    <row r="77" spans="1:16">
      <c r="A77" s="74">
        <v>316000</v>
      </c>
      <c r="B77" s="129" t="s">
        <v>1041</v>
      </c>
      <c r="C77" s="74" t="s">
        <v>328</v>
      </c>
      <c r="D77" s="76">
        <v>33</v>
      </c>
      <c r="E77" s="76">
        <v>7</v>
      </c>
      <c r="F77" s="76">
        <v>2000</v>
      </c>
      <c r="G77" s="76">
        <v>135000</v>
      </c>
      <c r="H77" s="76">
        <v>0.8</v>
      </c>
      <c r="I77" s="74" t="s">
        <v>1153</v>
      </c>
      <c r="J77" s="76">
        <v>10.88</v>
      </c>
      <c r="K77" s="76">
        <v>7.71</v>
      </c>
      <c r="L77" s="76">
        <v>29.78</v>
      </c>
      <c r="M77" s="76">
        <v>0</v>
      </c>
      <c r="N77" s="76">
        <v>10</v>
      </c>
      <c r="O77" s="76">
        <v>48.37</v>
      </c>
      <c r="P77" s="76">
        <v>10.88</v>
      </c>
    </row>
    <row r="78" spans="1:16">
      <c r="A78" s="74">
        <v>370150</v>
      </c>
      <c r="B78" s="129" t="s">
        <v>1042</v>
      </c>
      <c r="C78" s="74" t="s">
        <v>328</v>
      </c>
      <c r="D78" s="76">
        <v>65</v>
      </c>
      <c r="E78" s="76">
        <v>8</v>
      </c>
      <c r="F78" s="76">
        <v>1500</v>
      </c>
      <c r="G78" s="76">
        <v>932139</v>
      </c>
      <c r="H78" s="76">
        <v>0.9</v>
      </c>
      <c r="I78" s="74" t="s">
        <v>1154</v>
      </c>
      <c r="J78" s="76">
        <v>90.06</v>
      </c>
      <c r="K78" s="76">
        <v>69.91</v>
      </c>
      <c r="L78" s="76">
        <v>81.66</v>
      </c>
      <c r="M78" s="76">
        <v>0</v>
      </c>
      <c r="N78" s="76">
        <v>10</v>
      </c>
      <c r="O78" s="76">
        <v>241.63</v>
      </c>
      <c r="P78" s="76">
        <v>90.06</v>
      </c>
    </row>
    <row r="79" spans="1:16" ht="31.5">
      <c r="A79" s="74">
        <v>370600</v>
      </c>
      <c r="B79" s="129" t="s">
        <v>1043</v>
      </c>
      <c r="C79" s="74" t="s">
        <v>328</v>
      </c>
      <c r="D79" s="76">
        <v>23</v>
      </c>
      <c r="E79" s="76">
        <v>6</v>
      </c>
      <c r="F79" s="76">
        <v>2000</v>
      </c>
      <c r="G79" s="76">
        <v>315000</v>
      </c>
      <c r="H79" s="76">
        <v>0.5</v>
      </c>
      <c r="I79" s="74" t="s">
        <v>1153</v>
      </c>
      <c r="J79" s="76">
        <v>28.82</v>
      </c>
      <c r="K79" s="76">
        <v>13.12</v>
      </c>
      <c r="L79" s="76">
        <v>20.75</v>
      </c>
      <c r="M79" s="76">
        <v>40.76</v>
      </c>
      <c r="N79" s="76">
        <v>10</v>
      </c>
      <c r="O79" s="76">
        <v>103.45</v>
      </c>
      <c r="P79" s="76">
        <v>69.58</v>
      </c>
    </row>
    <row r="80" spans="1:16">
      <c r="A80" s="74">
        <v>311500</v>
      </c>
      <c r="B80" s="129" t="s">
        <v>1044</v>
      </c>
      <c r="C80" s="74" t="s">
        <v>954</v>
      </c>
      <c r="D80" s="76">
        <v>98</v>
      </c>
      <c r="E80" s="76">
        <v>8</v>
      </c>
      <c r="F80" s="76">
        <v>2000</v>
      </c>
      <c r="G80" s="76">
        <v>758000</v>
      </c>
      <c r="H80" s="76">
        <v>0.7</v>
      </c>
      <c r="I80" s="74" t="s">
        <v>1153</v>
      </c>
      <c r="J80" s="76">
        <v>48.82</v>
      </c>
      <c r="K80" s="76">
        <v>33.159999999999997</v>
      </c>
      <c r="L80" s="76">
        <v>88.44</v>
      </c>
      <c r="M80" s="76">
        <v>40.76</v>
      </c>
      <c r="N80" s="76">
        <v>20</v>
      </c>
      <c r="O80" s="76">
        <v>211.18</v>
      </c>
      <c r="P80" s="76">
        <v>89.58</v>
      </c>
    </row>
    <row r="81" spans="1:16">
      <c r="A81" s="74">
        <v>321500</v>
      </c>
      <c r="B81" s="129" t="s">
        <v>1045</v>
      </c>
      <c r="C81" s="74" t="s">
        <v>328</v>
      </c>
      <c r="D81" s="76">
        <v>98</v>
      </c>
      <c r="E81" s="76">
        <v>7</v>
      </c>
      <c r="F81" s="76">
        <v>2000</v>
      </c>
      <c r="G81" s="76">
        <v>758000</v>
      </c>
      <c r="H81" s="76">
        <v>0.8</v>
      </c>
      <c r="I81" s="74" t="s">
        <v>1153</v>
      </c>
      <c r="J81" s="76">
        <v>54.31</v>
      </c>
      <c r="K81" s="76">
        <v>43.31</v>
      </c>
      <c r="L81" s="76">
        <v>88.44</v>
      </c>
      <c r="M81" s="76">
        <v>40.76</v>
      </c>
      <c r="N81" s="76">
        <v>20</v>
      </c>
      <c r="O81" s="76">
        <v>226.82</v>
      </c>
      <c r="P81" s="76">
        <v>95.07</v>
      </c>
    </row>
    <row r="82" spans="1:16">
      <c r="A82" s="74">
        <v>331500</v>
      </c>
      <c r="B82" s="129" t="s">
        <v>1046</v>
      </c>
      <c r="C82" s="74" t="s">
        <v>957</v>
      </c>
      <c r="D82" s="76">
        <v>98</v>
      </c>
      <c r="E82" s="76">
        <v>6</v>
      </c>
      <c r="F82" s="76">
        <v>2000</v>
      </c>
      <c r="G82" s="76">
        <v>758000</v>
      </c>
      <c r="H82" s="76">
        <v>1.1000000000000001</v>
      </c>
      <c r="I82" s="74" t="s">
        <v>1153</v>
      </c>
      <c r="J82" s="76">
        <v>61.65</v>
      </c>
      <c r="K82" s="76">
        <v>69.48</v>
      </c>
      <c r="L82" s="76">
        <v>88.44</v>
      </c>
      <c r="M82" s="76">
        <v>40.76</v>
      </c>
      <c r="N82" s="76">
        <v>20</v>
      </c>
      <c r="O82" s="76">
        <v>260.33</v>
      </c>
      <c r="P82" s="76">
        <v>102.41</v>
      </c>
    </row>
    <row r="83" spans="1:16">
      <c r="A83" s="74">
        <v>310800</v>
      </c>
      <c r="B83" s="129" t="s">
        <v>1047</v>
      </c>
      <c r="C83" s="74" t="s">
        <v>954</v>
      </c>
      <c r="D83" s="76">
        <v>152</v>
      </c>
      <c r="E83" s="76">
        <v>8</v>
      </c>
      <c r="F83" s="76">
        <v>2000</v>
      </c>
      <c r="G83" s="76">
        <v>1020000</v>
      </c>
      <c r="H83" s="76">
        <v>0.7</v>
      </c>
      <c r="I83" s="74" t="s">
        <v>1153</v>
      </c>
      <c r="J83" s="76">
        <v>65.7</v>
      </c>
      <c r="K83" s="76">
        <v>44.62</v>
      </c>
      <c r="L83" s="76">
        <v>137.18</v>
      </c>
      <c r="M83" s="76">
        <v>40.76</v>
      </c>
      <c r="N83" s="76">
        <v>20</v>
      </c>
      <c r="O83" s="76">
        <v>288.26</v>
      </c>
      <c r="P83" s="76">
        <v>106.46</v>
      </c>
    </row>
    <row r="84" spans="1:16">
      <c r="A84" s="74">
        <v>320800</v>
      </c>
      <c r="B84" s="129" t="s">
        <v>174</v>
      </c>
      <c r="C84" s="74" t="s">
        <v>328</v>
      </c>
      <c r="D84" s="76">
        <v>152</v>
      </c>
      <c r="E84" s="76">
        <v>7</v>
      </c>
      <c r="F84" s="76">
        <v>2000</v>
      </c>
      <c r="G84" s="76">
        <v>1020000</v>
      </c>
      <c r="H84" s="76">
        <v>0.8</v>
      </c>
      <c r="I84" s="74" t="s">
        <v>1153</v>
      </c>
      <c r="J84" s="76">
        <v>73.08</v>
      </c>
      <c r="K84" s="76">
        <v>58.28</v>
      </c>
      <c r="L84" s="76">
        <v>137.18</v>
      </c>
      <c r="M84" s="76">
        <v>40.76</v>
      </c>
      <c r="N84" s="76">
        <v>20</v>
      </c>
      <c r="O84" s="76">
        <v>309.3</v>
      </c>
      <c r="P84" s="76">
        <v>113.84</v>
      </c>
    </row>
    <row r="85" spans="1:16">
      <c r="A85" s="74">
        <v>330800</v>
      </c>
      <c r="B85" s="129" t="s">
        <v>1048</v>
      </c>
      <c r="C85" s="74" t="s">
        <v>957</v>
      </c>
      <c r="D85" s="76">
        <v>152</v>
      </c>
      <c r="E85" s="76">
        <v>6</v>
      </c>
      <c r="F85" s="76">
        <v>2000</v>
      </c>
      <c r="G85" s="76">
        <v>1020000</v>
      </c>
      <c r="H85" s="76">
        <v>1.1000000000000001</v>
      </c>
      <c r="I85" s="74" t="s">
        <v>1153</v>
      </c>
      <c r="J85" s="76">
        <v>82.97</v>
      </c>
      <c r="K85" s="76">
        <v>93.5</v>
      </c>
      <c r="L85" s="76">
        <v>137.18</v>
      </c>
      <c r="M85" s="76">
        <v>40.76</v>
      </c>
      <c r="N85" s="76">
        <v>20</v>
      </c>
      <c r="O85" s="76">
        <v>354.41</v>
      </c>
      <c r="P85" s="76">
        <v>123.73</v>
      </c>
    </row>
    <row r="86" spans="1:16">
      <c r="A86" s="74">
        <v>313200</v>
      </c>
      <c r="B86" s="129" t="s">
        <v>1049</v>
      </c>
      <c r="C86" s="74" t="s">
        <v>954</v>
      </c>
      <c r="D86" s="76">
        <v>138</v>
      </c>
      <c r="E86" s="76">
        <v>8</v>
      </c>
      <c r="F86" s="76">
        <v>2000</v>
      </c>
      <c r="G86" s="76">
        <v>1217617.1599999999</v>
      </c>
      <c r="H86" s="76">
        <v>0.7</v>
      </c>
      <c r="I86" s="74" t="s">
        <v>1153</v>
      </c>
      <c r="J86" s="76">
        <v>78.430000000000007</v>
      </c>
      <c r="K86" s="76">
        <v>53.27</v>
      </c>
      <c r="L86" s="76">
        <v>124.55</v>
      </c>
      <c r="M86" s="76">
        <v>40.76</v>
      </c>
      <c r="N86" s="76">
        <v>20</v>
      </c>
      <c r="O86" s="76">
        <v>297.01</v>
      </c>
      <c r="P86" s="76">
        <v>119.19</v>
      </c>
    </row>
    <row r="87" spans="1:16">
      <c r="A87" s="74">
        <v>323200</v>
      </c>
      <c r="B87" s="129" t="s">
        <v>1050</v>
      </c>
      <c r="C87" s="74" t="s">
        <v>328</v>
      </c>
      <c r="D87" s="76">
        <v>138</v>
      </c>
      <c r="E87" s="76">
        <v>7</v>
      </c>
      <c r="F87" s="76">
        <v>2000</v>
      </c>
      <c r="G87" s="76">
        <v>1217617.1599999999</v>
      </c>
      <c r="H87" s="76">
        <v>0.8</v>
      </c>
      <c r="I87" s="74" t="s">
        <v>1153</v>
      </c>
      <c r="J87" s="76">
        <v>87.24</v>
      </c>
      <c r="K87" s="76">
        <v>69.569999999999993</v>
      </c>
      <c r="L87" s="76">
        <v>124.55</v>
      </c>
      <c r="M87" s="76">
        <v>40.76</v>
      </c>
      <c r="N87" s="76">
        <v>20</v>
      </c>
      <c r="O87" s="76">
        <v>322.12</v>
      </c>
      <c r="P87" s="76">
        <v>128</v>
      </c>
    </row>
    <row r="88" spans="1:16">
      <c r="A88" s="74">
        <v>333200</v>
      </c>
      <c r="B88" s="129" t="s">
        <v>1051</v>
      </c>
      <c r="C88" s="74" t="s">
        <v>957</v>
      </c>
      <c r="D88" s="76">
        <v>138</v>
      </c>
      <c r="E88" s="76">
        <v>6</v>
      </c>
      <c r="F88" s="76">
        <v>2000</v>
      </c>
      <c r="G88" s="76">
        <v>1217617.1599999999</v>
      </c>
      <c r="H88" s="76">
        <v>1.1000000000000001</v>
      </c>
      <c r="I88" s="74" t="s">
        <v>1153</v>
      </c>
      <c r="J88" s="76">
        <v>99.04</v>
      </c>
      <c r="K88" s="76">
        <v>111.61</v>
      </c>
      <c r="L88" s="76">
        <v>124.55</v>
      </c>
      <c r="M88" s="76">
        <v>40.76</v>
      </c>
      <c r="N88" s="76">
        <v>20</v>
      </c>
      <c r="O88" s="76">
        <v>375.96</v>
      </c>
      <c r="P88" s="76">
        <v>139.80000000000001</v>
      </c>
    </row>
    <row r="89" spans="1:16">
      <c r="A89" s="74">
        <v>313300</v>
      </c>
      <c r="B89" s="129" t="s">
        <v>1052</v>
      </c>
      <c r="C89" s="74" t="s">
        <v>954</v>
      </c>
      <c r="D89" s="76">
        <v>268</v>
      </c>
      <c r="E89" s="76">
        <v>8</v>
      </c>
      <c r="F89" s="76">
        <v>2000</v>
      </c>
      <c r="G89" s="76">
        <v>1872200</v>
      </c>
      <c r="H89" s="76">
        <v>0.7</v>
      </c>
      <c r="I89" s="74" t="s">
        <v>1153</v>
      </c>
      <c r="J89" s="76">
        <v>120.59</v>
      </c>
      <c r="K89" s="76">
        <v>81.900000000000006</v>
      </c>
      <c r="L89" s="76">
        <v>241.88</v>
      </c>
      <c r="M89" s="76">
        <v>40.76</v>
      </c>
      <c r="N89" s="76">
        <v>20</v>
      </c>
      <c r="O89" s="76">
        <v>485.13</v>
      </c>
      <c r="P89" s="76">
        <v>161.35</v>
      </c>
    </row>
    <row r="90" spans="1:16">
      <c r="A90" s="74">
        <v>323300</v>
      </c>
      <c r="B90" s="129" t="s">
        <v>175</v>
      </c>
      <c r="C90" s="74" t="s">
        <v>328</v>
      </c>
      <c r="D90" s="76">
        <v>268</v>
      </c>
      <c r="E90" s="76">
        <v>7</v>
      </c>
      <c r="F90" s="76">
        <v>2000</v>
      </c>
      <c r="G90" s="76">
        <v>1872200</v>
      </c>
      <c r="H90" s="76">
        <v>0.8</v>
      </c>
      <c r="I90" s="74" t="s">
        <v>1153</v>
      </c>
      <c r="J90" s="76">
        <v>134.15</v>
      </c>
      <c r="K90" s="76">
        <v>106.98</v>
      </c>
      <c r="L90" s="76">
        <v>241.88</v>
      </c>
      <c r="M90" s="76">
        <v>40.76</v>
      </c>
      <c r="N90" s="76">
        <v>20</v>
      </c>
      <c r="O90" s="76">
        <v>523.77</v>
      </c>
      <c r="P90" s="76">
        <v>174.91</v>
      </c>
    </row>
    <row r="91" spans="1:16">
      <c r="A91" s="74">
        <v>333300</v>
      </c>
      <c r="B91" s="129" t="s">
        <v>1053</v>
      </c>
      <c r="C91" s="74" t="s">
        <v>957</v>
      </c>
      <c r="D91" s="76">
        <v>268</v>
      </c>
      <c r="E91" s="76">
        <v>6</v>
      </c>
      <c r="F91" s="76">
        <v>2000</v>
      </c>
      <c r="G91" s="76">
        <v>1872200</v>
      </c>
      <c r="H91" s="76">
        <v>1.1000000000000001</v>
      </c>
      <c r="I91" s="74" t="s">
        <v>1153</v>
      </c>
      <c r="J91" s="76">
        <v>152.29</v>
      </c>
      <c r="K91" s="76">
        <v>171.61</v>
      </c>
      <c r="L91" s="76">
        <v>241.88</v>
      </c>
      <c r="M91" s="76">
        <v>40.76</v>
      </c>
      <c r="N91" s="76">
        <v>20</v>
      </c>
      <c r="O91" s="76">
        <v>606.54</v>
      </c>
      <c r="P91" s="76">
        <v>193.05</v>
      </c>
    </row>
    <row r="92" spans="1:16">
      <c r="A92" s="74">
        <v>370060</v>
      </c>
      <c r="B92" s="129" t="s">
        <v>1054</v>
      </c>
      <c r="C92" s="74" t="s">
        <v>328</v>
      </c>
      <c r="D92" s="76">
        <v>30</v>
      </c>
      <c r="E92" s="76">
        <v>8</v>
      </c>
      <c r="F92" s="76">
        <v>1500</v>
      </c>
      <c r="G92" s="76">
        <v>263900</v>
      </c>
      <c r="H92" s="76">
        <v>0.9</v>
      </c>
      <c r="I92" s="74" t="s">
        <v>1154</v>
      </c>
      <c r="J92" s="76">
        <v>25.49</v>
      </c>
      <c r="K92" s="76">
        <v>19.79</v>
      </c>
      <c r="L92" s="76">
        <v>37.69</v>
      </c>
      <c r="M92" s="76">
        <v>40.76</v>
      </c>
      <c r="N92" s="76">
        <v>10</v>
      </c>
      <c r="O92" s="76">
        <v>123.73</v>
      </c>
      <c r="P92" s="76">
        <v>66.25</v>
      </c>
    </row>
    <row r="93" spans="1:16" ht="31.5">
      <c r="A93" s="74">
        <v>370040</v>
      </c>
      <c r="B93" s="129" t="s">
        <v>1055</v>
      </c>
      <c r="C93" s="74" t="s">
        <v>328</v>
      </c>
      <c r="D93" s="76">
        <v>67</v>
      </c>
      <c r="E93" s="76">
        <v>8</v>
      </c>
      <c r="F93" s="76">
        <v>1500</v>
      </c>
      <c r="G93" s="76">
        <v>271973.19</v>
      </c>
      <c r="H93" s="76">
        <v>0.5</v>
      </c>
      <c r="I93" s="74" t="s">
        <v>1153</v>
      </c>
      <c r="J93" s="76">
        <v>26.27</v>
      </c>
      <c r="K93" s="76">
        <v>11.33</v>
      </c>
      <c r="L93" s="76">
        <v>60.47</v>
      </c>
      <c r="M93" s="76">
        <v>40.76</v>
      </c>
      <c r="N93" s="76">
        <v>10</v>
      </c>
      <c r="O93" s="76">
        <v>138.83000000000001</v>
      </c>
      <c r="P93" s="76">
        <v>67.03</v>
      </c>
    </row>
    <row r="94" spans="1:16">
      <c r="A94" s="74">
        <v>390000</v>
      </c>
      <c r="B94" s="129" t="s">
        <v>1056</v>
      </c>
      <c r="C94" s="74" t="s">
        <v>328</v>
      </c>
      <c r="D94" s="76">
        <v>16</v>
      </c>
      <c r="E94" s="76">
        <v>10</v>
      </c>
      <c r="F94" s="76">
        <v>2000</v>
      </c>
      <c r="G94" s="76">
        <v>67850</v>
      </c>
      <c r="H94" s="76">
        <v>0.5</v>
      </c>
      <c r="I94" s="74" t="s">
        <v>1153</v>
      </c>
      <c r="J94" s="76">
        <v>4.1399999999999997</v>
      </c>
      <c r="K94" s="76">
        <v>1.69</v>
      </c>
      <c r="L94" s="76">
        <v>14.44</v>
      </c>
      <c r="M94" s="76">
        <v>34.32</v>
      </c>
      <c r="N94" s="76">
        <v>10</v>
      </c>
      <c r="O94" s="76">
        <v>54.59</v>
      </c>
      <c r="P94" s="76">
        <v>38.46</v>
      </c>
    </row>
    <row r="95" spans="1:16" ht="31.5">
      <c r="A95" s="74">
        <v>390200</v>
      </c>
      <c r="B95" s="129" t="s">
        <v>1057</v>
      </c>
      <c r="C95" s="74" t="s">
        <v>328</v>
      </c>
      <c r="D95" s="76">
        <v>55</v>
      </c>
      <c r="E95" s="76">
        <v>10</v>
      </c>
      <c r="F95" s="76">
        <v>2000</v>
      </c>
      <c r="G95" s="76">
        <v>1490000</v>
      </c>
      <c r="H95" s="76">
        <v>0.5</v>
      </c>
      <c r="I95" s="74" t="s">
        <v>1153</v>
      </c>
      <c r="J95" s="76">
        <v>91.09</v>
      </c>
      <c r="K95" s="76">
        <v>37.25</v>
      </c>
      <c r="L95" s="76">
        <v>49.64</v>
      </c>
      <c r="M95" s="76">
        <v>34.32</v>
      </c>
      <c r="N95" s="76">
        <v>10</v>
      </c>
      <c r="O95" s="76">
        <v>212.3</v>
      </c>
      <c r="P95" s="76">
        <v>125.41</v>
      </c>
    </row>
    <row r="96" spans="1:16">
      <c r="A96" s="74">
        <v>390100</v>
      </c>
      <c r="B96" s="129" t="s">
        <v>1058</v>
      </c>
      <c r="C96" s="74" t="s">
        <v>328</v>
      </c>
      <c r="D96" s="76">
        <v>12</v>
      </c>
      <c r="E96" s="76">
        <v>10</v>
      </c>
      <c r="F96" s="76">
        <v>2000</v>
      </c>
      <c r="G96" s="76">
        <v>44000</v>
      </c>
      <c r="H96" s="76">
        <v>0.5</v>
      </c>
      <c r="I96" s="74" t="s">
        <v>1153</v>
      </c>
      <c r="J96" s="76">
        <v>2.69</v>
      </c>
      <c r="K96" s="76">
        <v>1.1000000000000001</v>
      </c>
      <c r="L96" s="76">
        <v>10.83</v>
      </c>
      <c r="M96" s="76">
        <v>34.32</v>
      </c>
      <c r="N96" s="76">
        <v>10</v>
      </c>
      <c r="O96" s="76">
        <v>48.94</v>
      </c>
      <c r="P96" s="76">
        <v>37.01</v>
      </c>
    </row>
    <row r="97" spans="1:16">
      <c r="A97" s="74">
        <v>300010</v>
      </c>
      <c r="B97" s="129" t="s">
        <v>1059</v>
      </c>
      <c r="C97" s="74" t="s">
        <v>328</v>
      </c>
      <c r="D97" s="76">
        <v>0</v>
      </c>
      <c r="E97" s="76">
        <v>6</v>
      </c>
      <c r="F97" s="76">
        <v>1500</v>
      </c>
      <c r="G97" s="76">
        <v>39154.15</v>
      </c>
      <c r="H97" s="76">
        <v>0.5</v>
      </c>
      <c r="I97" s="74" t="s">
        <v>195</v>
      </c>
      <c r="J97" s="76">
        <v>5.04</v>
      </c>
      <c r="K97" s="76">
        <v>2.17</v>
      </c>
      <c r="L97" s="76">
        <v>0</v>
      </c>
      <c r="M97" s="76">
        <v>0</v>
      </c>
      <c r="N97" s="76">
        <v>5</v>
      </c>
      <c r="O97" s="76">
        <v>7.21</v>
      </c>
      <c r="P97" s="76">
        <v>5.04</v>
      </c>
    </row>
    <row r="98" spans="1:16">
      <c r="A98" s="74">
        <v>351500</v>
      </c>
      <c r="B98" s="129" t="s">
        <v>1060</v>
      </c>
      <c r="C98" s="74" t="s">
        <v>328</v>
      </c>
      <c r="D98" s="76">
        <v>220</v>
      </c>
      <c r="E98" s="76">
        <v>5</v>
      </c>
      <c r="F98" s="76">
        <v>1500</v>
      </c>
      <c r="G98" s="76">
        <v>4300000</v>
      </c>
      <c r="H98" s="76">
        <v>1</v>
      </c>
      <c r="I98" s="74" t="s">
        <v>1153</v>
      </c>
      <c r="J98" s="76">
        <v>612.48</v>
      </c>
      <c r="K98" s="76">
        <v>573.33000000000004</v>
      </c>
      <c r="L98" s="76">
        <v>198.56</v>
      </c>
      <c r="M98" s="76">
        <v>40.76</v>
      </c>
      <c r="N98" s="76">
        <v>10</v>
      </c>
      <c r="O98" s="76">
        <v>1425.13</v>
      </c>
      <c r="P98" s="76">
        <v>653.24</v>
      </c>
    </row>
    <row r="99" spans="1:16">
      <c r="A99" s="74">
        <v>351000</v>
      </c>
      <c r="B99" s="129" t="s">
        <v>1061</v>
      </c>
      <c r="C99" s="74" t="s">
        <v>328</v>
      </c>
      <c r="D99" s="76">
        <v>175</v>
      </c>
      <c r="E99" s="76">
        <v>5</v>
      </c>
      <c r="F99" s="76">
        <v>1500</v>
      </c>
      <c r="G99" s="76">
        <v>2750000</v>
      </c>
      <c r="H99" s="76">
        <v>1</v>
      </c>
      <c r="I99" s="74" t="s">
        <v>1153</v>
      </c>
      <c r="J99" s="76">
        <v>391.7</v>
      </c>
      <c r="K99" s="76">
        <v>366.66</v>
      </c>
      <c r="L99" s="76">
        <v>157.94</v>
      </c>
      <c r="M99" s="76">
        <v>40.76</v>
      </c>
      <c r="N99" s="76">
        <v>10</v>
      </c>
      <c r="O99" s="76">
        <v>957.06</v>
      </c>
      <c r="P99" s="76">
        <v>432.46</v>
      </c>
    </row>
    <row r="100" spans="1:16">
      <c r="A100" s="74">
        <v>352000</v>
      </c>
      <c r="B100" s="129" t="s">
        <v>1062</v>
      </c>
      <c r="C100" s="74" t="s">
        <v>328</v>
      </c>
      <c r="D100" s="76">
        <v>558</v>
      </c>
      <c r="E100" s="76">
        <v>5</v>
      </c>
      <c r="F100" s="76">
        <v>1500</v>
      </c>
      <c r="G100" s="76">
        <v>5830000</v>
      </c>
      <c r="H100" s="76">
        <v>1</v>
      </c>
      <c r="I100" s="74" t="s">
        <v>1153</v>
      </c>
      <c r="J100" s="76">
        <v>830.41</v>
      </c>
      <c r="K100" s="76">
        <v>777.33</v>
      </c>
      <c r="L100" s="76">
        <v>503.62</v>
      </c>
      <c r="M100" s="76">
        <v>40.76</v>
      </c>
      <c r="N100" s="76">
        <v>10</v>
      </c>
      <c r="O100" s="76">
        <v>2152.12</v>
      </c>
      <c r="P100" s="76">
        <v>871.17</v>
      </c>
    </row>
    <row r="101" spans="1:16">
      <c r="A101" s="74">
        <v>371200</v>
      </c>
      <c r="B101" s="129" t="s">
        <v>1063</v>
      </c>
      <c r="C101" s="74" t="s">
        <v>328</v>
      </c>
      <c r="D101" s="76">
        <v>0</v>
      </c>
      <c r="E101" s="76">
        <v>8</v>
      </c>
      <c r="F101" s="76">
        <v>1250</v>
      </c>
      <c r="G101" s="76">
        <v>992.22</v>
      </c>
      <c r="H101" s="76">
        <v>0.5</v>
      </c>
      <c r="I101" s="74" t="s">
        <v>1155</v>
      </c>
      <c r="J101" s="76">
        <v>0.12</v>
      </c>
      <c r="K101" s="76">
        <v>0.04</v>
      </c>
      <c r="L101" s="76">
        <v>0</v>
      </c>
      <c r="M101" s="76">
        <v>0</v>
      </c>
      <c r="N101" s="76">
        <v>0</v>
      </c>
      <c r="O101" s="76">
        <v>0.16</v>
      </c>
      <c r="P101" s="76">
        <v>0.12</v>
      </c>
    </row>
    <row r="102" spans="1:16">
      <c r="A102" s="74">
        <v>344000</v>
      </c>
      <c r="B102" s="129" t="s">
        <v>1064</v>
      </c>
      <c r="C102" s="74" t="s">
        <v>328</v>
      </c>
      <c r="D102" s="76">
        <v>85</v>
      </c>
      <c r="E102" s="76">
        <v>6</v>
      </c>
      <c r="F102" s="76">
        <v>1500</v>
      </c>
      <c r="G102" s="76">
        <v>125500</v>
      </c>
      <c r="H102" s="76">
        <v>0.5</v>
      </c>
      <c r="I102" s="74" t="s">
        <v>1153</v>
      </c>
      <c r="J102" s="76">
        <v>16.16</v>
      </c>
      <c r="K102" s="76">
        <v>6.97</v>
      </c>
      <c r="L102" s="76">
        <v>76.709999999999994</v>
      </c>
      <c r="M102" s="76">
        <v>0</v>
      </c>
      <c r="N102" s="76">
        <v>5</v>
      </c>
      <c r="O102" s="76">
        <v>99.84</v>
      </c>
      <c r="P102" s="76">
        <v>16.16</v>
      </c>
    </row>
    <row r="103" spans="1:16">
      <c r="A103" s="74">
        <v>300240</v>
      </c>
      <c r="B103" s="129" t="s">
        <v>176</v>
      </c>
      <c r="C103" s="74" t="s">
        <v>328</v>
      </c>
      <c r="D103" s="76">
        <v>0</v>
      </c>
      <c r="E103" s="76">
        <v>8</v>
      </c>
      <c r="F103" s="76">
        <v>1000</v>
      </c>
      <c r="G103" s="76">
        <v>22976</v>
      </c>
      <c r="H103" s="76">
        <v>0.5</v>
      </c>
      <c r="I103" s="74" t="s">
        <v>195</v>
      </c>
      <c r="J103" s="76">
        <v>3.32</v>
      </c>
      <c r="K103" s="76">
        <v>1.43</v>
      </c>
      <c r="L103" s="76">
        <v>0</v>
      </c>
      <c r="M103" s="76">
        <v>0</v>
      </c>
      <c r="N103" s="76">
        <v>10</v>
      </c>
      <c r="O103" s="76">
        <v>4.75</v>
      </c>
      <c r="P103" s="76">
        <v>3.32</v>
      </c>
    </row>
    <row r="104" spans="1:16">
      <c r="A104" s="74">
        <v>340300</v>
      </c>
      <c r="B104" s="129" t="s">
        <v>1006</v>
      </c>
      <c r="C104" s="74" t="s">
        <v>328</v>
      </c>
      <c r="D104" s="76">
        <v>13</v>
      </c>
      <c r="E104" s="76">
        <v>10</v>
      </c>
      <c r="F104" s="76">
        <v>2000</v>
      </c>
      <c r="G104" s="76">
        <v>6929.1</v>
      </c>
      <c r="H104" s="76">
        <v>0.5</v>
      </c>
      <c r="I104" s="74" t="s">
        <v>1154</v>
      </c>
      <c r="J104" s="76">
        <v>0.37</v>
      </c>
      <c r="K104" s="76">
        <v>0.17</v>
      </c>
      <c r="L104" s="76">
        <v>16.329999999999998</v>
      </c>
      <c r="M104" s="76">
        <v>0</v>
      </c>
      <c r="N104" s="76">
        <v>20</v>
      </c>
      <c r="O104" s="76">
        <v>16.87</v>
      </c>
      <c r="P104" s="76">
        <v>0.37</v>
      </c>
    </row>
    <row r="105" spans="1:16">
      <c r="A105" s="74">
        <v>340400</v>
      </c>
      <c r="B105" s="129" t="s">
        <v>1007</v>
      </c>
      <c r="C105" s="74" t="s">
        <v>328</v>
      </c>
      <c r="D105" s="76">
        <v>47</v>
      </c>
      <c r="E105" s="76">
        <v>10</v>
      </c>
      <c r="F105" s="76">
        <v>2000</v>
      </c>
      <c r="G105" s="76">
        <v>63801</v>
      </c>
      <c r="H105" s="76">
        <v>0.5</v>
      </c>
      <c r="I105" s="74" t="s">
        <v>1153</v>
      </c>
      <c r="J105" s="76">
        <v>3.46</v>
      </c>
      <c r="K105" s="76">
        <v>1.59</v>
      </c>
      <c r="L105" s="76">
        <v>42.41</v>
      </c>
      <c r="M105" s="76">
        <v>0</v>
      </c>
      <c r="N105" s="76">
        <v>20</v>
      </c>
      <c r="O105" s="76">
        <v>47.46</v>
      </c>
      <c r="P105" s="76">
        <v>3.46</v>
      </c>
    </row>
    <row r="106" spans="1:16">
      <c r="A106" s="74">
        <v>340610</v>
      </c>
      <c r="B106" s="129" t="s">
        <v>1065</v>
      </c>
      <c r="C106" s="74" t="s">
        <v>328</v>
      </c>
      <c r="D106" s="76">
        <v>63</v>
      </c>
      <c r="E106" s="76">
        <v>10</v>
      </c>
      <c r="F106" s="76">
        <v>2000</v>
      </c>
      <c r="G106" s="76">
        <v>70077</v>
      </c>
      <c r="H106" s="76">
        <v>0.5</v>
      </c>
      <c r="I106" s="74" t="s">
        <v>1153</v>
      </c>
      <c r="J106" s="76">
        <v>3.8</v>
      </c>
      <c r="K106" s="76">
        <v>1.75</v>
      </c>
      <c r="L106" s="76">
        <v>56.86</v>
      </c>
      <c r="M106" s="76">
        <v>0</v>
      </c>
      <c r="N106" s="76">
        <v>20</v>
      </c>
      <c r="O106" s="76">
        <v>62.41</v>
      </c>
      <c r="P106" s="76">
        <v>3.8</v>
      </c>
    </row>
    <row r="107" spans="1:16">
      <c r="A107" s="74">
        <v>341810</v>
      </c>
      <c r="B107" s="129" t="s">
        <v>1066</v>
      </c>
      <c r="C107" s="74" t="s">
        <v>328</v>
      </c>
      <c r="D107" s="76">
        <v>173</v>
      </c>
      <c r="E107" s="76">
        <v>10</v>
      </c>
      <c r="F107" s="76">
        <v>2000</v>
      </c>
      <c r="G107" s="76">
        <v>99070</v>
      </c>
      <c r="H107" s="76">
        <v>0.5</v>
      </c>
      <c r="I107" s="74" t="s">
        <v>1153</v>
      </c>
      <c r="J107" s="76">
        <v>5.38</v>
      </c>
      <c r="K107" s="76">
        <v>2.4700000000000002</v>
      </c>
      <c r="L107" s="76">
        <v>156.13999999999999</v>
      </c>
      <c r="M107" s="76">
        <v>0</v>
      </c>
      <c r="N107" s="76">
        <v>20</v>
      </c>
      <c r="O107" s="76">
        <v>163.99</v>
      </c>
      <c r="P107" s="76">
        <v>5.38</v>
      </c>
    </row>
    <row r="108" spans="1:16">
      <c r="A108" s="74">
        <v>343600</v>
      </c>
      <c r="B108" s="129" t="s">
        <v>1067</v>
      </c>
      <c r="C108" s="74" t="s">
        <v>328</v>
      </c>
      <c r="D108" s="76">
        <v>444</v>
      </c>
      <c r="E108" s="76">
        <v>10</v>
      </c>
      <c r="F108" s="76">
        <v>2000</v>
      </c>
      <c r="G108" s="76">
        <v>284328</v>
      </c>
      <c r="H108" s="76">
        <v>0.5</v>
      </c>
      <c r="I108" s="74" t="s">
        <v>1153</v>
      </c>
      <c r="J108" s="76">
        <v>15.45</v>
      </c>
      <c r="K108" s="76">
        <v>7.1</v>
      </c>
      <c r="L108" s="76">
        <v>400.73</v>
      </c>
      <c r="M108" s="76">
        <v>0</v>
      </c>
      <c r="N108" s="76">
        <v>20</v>
      </c>
      <c r="O108" s="76">
        <v>423.28</v>
      </c>
      <c r="P108" s="76">
        <v>15.45</v>
      </c>
    </row>
    <row r="109" spans="1:16">
      <c r="A109" s="74">
        <v>337000</v>
      </c>
      <c r="B109" s="129" t="s">
        <v>1068</v>
      </c>
      <c r="C109" s="74" t="s">
        <v>328</v>
      </c>
      <c r="D109" s="76">
        <v>3</v>
      </c>
      <c r="E109" s="76">
        <v>4</v>
      </c>
      <c r="F109" s="76">
        <v>1500</v>
      </c>
      <c r="G109" s="76">
        <v>11492.34</v>
      </c>
      <c r="H109" s="76">
        <v>0.5</v>
      </c>
      <c r="I109" s="74" t="s">
        <v>1155</v>
      </c>
      <c r="J109" s="76">
        <v>2.1</v>
      </c>
      <c r="K109" s="76">
        <v>0.95</v>
      </c>
      <c r="L109" s="76">
        <v>2.68</v>
      </c>
      <c r="M109" s="76">
        <v>0</v>
      </c>
      <c r="N109" s="76">
        <v>5</v>
      </c>
      <c r="O109" s="76">
        <v>5.73</v>
      </c>
      <c r="P109" s="76">
        <v>2.1</v>
      </c>
    </row>
    <row r="110" spans="1:16">
      <c r="A110" s="74">
        <v>370440</v>
      </c>
      <c r="B110" s="129" t="s">
        <v>177</v>
      </c>
      <c r="C110" s="74" t="s">
        <v>328</v>
      </c>
      <c r="D110" s="76">
        <v>46</v>
      </c>
      <c r="E110" s="76">
        <v>6</v>
      </c>
      <c r="F110" s="76">
        <v>2000</v>
      </c>
      <c r="G110" s="76">
        <v>570000</v>
      </c>
      <c r="H110" s="76">
        <v>0.9</v>
      </c>
      <c r="I110" s="74" t="s">
        <v>1154</v>
      </c>
      <c r="J110" s="76">
        <v>52.16</v>
      </c>
      <c r="K110" s="76">
        <v>42.75</v>
      </c>
      <c r="L110" s="76">
        <v>57.79</v>
      </c>
      <c r="M110" s="76">
        <v>40.76</v>
      </c>
      <c r="N110" s="76">
        <v>10</v>
      </c>
      <c r="O110" s="76">
        <v>193.46</v>
      </c>
      <c r="P110" s="76">
        <v>92.92</v>
      </c>
    </row>
    <row r="111" spans="1:16">
      <c r="A111" s="74">
        <v>307050</v>
      </c>
      <c r="B111" s="129" t="s">
        <v>1069</v>
      </c>
      <c r="C111" s="74" t="s">
        <v>328</v>
      </c>
      <c r="D111" s="76">
        <v>0</v>
      </c>
      <c r="E111" s="76">
        <v>4</v>
      </c>
      <c r="F111" s="76">
        <v>2000</v>
      </c>
      <c r="G111" s="76">
        <v>5630.24</v>
      </c>
      <c r="H111" s="76">
        <v>0.5</v>
      </c>
      <c r="I111" s="74" t="s">
        <v>1155</v>
      </c>
      <c r="J111" s="76">
        <v>0.81</v>
      </c>
      <c r="K111" s="76">
        <v>0.35</v>
      </c>
      <c r="L111" s="76">
        <v>0</v>
      </c>
      <c r="M111" s="76">
        <v>0</v>
      </c>
      <c r="N111" s="76">
        <v>0</v>
      </c>
      <c r="O111" s="76">
        <v>1.1599999999999999</v>
      </c>
      <c r="P111" s="76">
        <v>0.81</v>
      </c>
    </row>
    <row r="112" spans="1:16">
      <c r="A112" s="74">
        <v>307000</v>
      </c>
      <c r="B112" s="129" t="s">
        <v>1070</v>
      </c>
      <c r="C112" s="74" t="s">
        <v>328</v>
      </c>
      <c r="D112" s="76">
        <v>0</v>
      </c>
      <c r="E112" s="76">
        <v>4</v>
      </c>
      <c r="F112" s="76">
        <v>2000</v>
      </c>
      <c r="G112" s="76">
        <v>20662.5</v>
      </c>
      <c r="H112" s="76">
        <v>0.5</v>
      </c>
      <c r="I112" s="74" t="s">
        <v>1155</v>
      </c>
      <c r="J112" s="76">
        <v>2.98</v>
      </c>
      <c r="K112" s="76">
        <v>1.29</v>
      </c>
      <c r="L112" s="76">
        <v>0</v>
      </c>
      <c r="M112" s="76">
        <v>0</v>
      </c>
      <c r="N112" s="76">
        <v>0</v>
      </c>
      <c r="O112" s="76">
        <v>4.2699999999999996</v>
      </c>
      <c r="P112" s="76">
        <v>2.98</v>
      </c>
    </row>
    <row r="113" spans="1:16">
      <c r="A113" s="74">
        <v>300050</v>
      </c>
      <c r="B113" s="129" t="s">
        <v>1071</v>
      </c>
      <c r="C113" s="74" t="s">
        <v>328</v>
      </c>
      <c r="D113" s="76">
        <v>0</v>
      </c>
      <c r="E113" s="76">
        <v>6</v>
      </c>
      <c r="F113" s="76">
        <v>1500</v>
      </c>
      <c r="G113" s="76">
        <v>14872</v>
      </c>
      <c r="H113" s="76">
        <v>0.5</v>
      </c>
      <c r="I113" s="74" t="s">
        <v>1155</v>
      </c>
      <c r="J113" s="76">
        <v>1.91</v>
      </c>
      <c r="K113" s="76">
        <v>0.82</v>
      </c>
      <c r="L113" s="76">
        <v>0</v>
      </c>
      <c r="M113" s="76">
        <v>0</v>
      </c>
      <c r="N113" s="76">
        <v>5</v>
      </c>
      <c r="O113" s="76">
        <v>2.73</v>
      </c>
      <c r="P113" s="76">
        <v>1.91</v>
      </c>
    </row>
    <row r="114" spans="1:16" ht="31.5">
      <c r="A114" s="74">
        <v>370020</v>
      </c>
      <c r="B114" s="129" t="s">
        <v>1072</v>
      </c>
      <c r="C114" s="74" t="s">
        <v>328</v>
      </c>
      <c r="D114" s="76">
        <v>150</v>
      </c>
      <c r="E114" s="76">
        <v>9</v>
      </c>
      <c r="F114" s="76">
        <v>2000</v>
      </c>
      <c r="G114" s="76">
        <v>650000</v>
      </c>
      <c r="H114" s="76">
        <v>1.1000000000000001</v>
      </c>
      <c r="I114" s="74" t="s">
        <v>1153</v>
      </c>
      <c r="J114" s="76">
        <v>38.22</v>
      </c>
      <c r="K114" s="76">
        <v>39.72</v>
      </c>
      <c r="L114" s="76">
        <v>98.37</v>
      </c>
      <c r="M114" s="76">
        <v>34.32</v>
      </c>
      <c r="N114" s="76">
        <v>20</v>
      </c>
      <c r="O114" s="76">
        <v>210.63</v>
      </c>
      <c r="P114" s="76">
        <v>72.540000000000006</v>
      </c>
    </row>
    <row r="115" spans="1:16" ht="31.5">
      <c r="A115" s="74">
        <v>370030</v>
      </c>
      <c r="B115" s="129" t="s">
        <v>1073</v>
      </c>
      <c r="C115" s="74" t="s">
        <v>328</v>
      </c>
      <c r="D115" s="76">
        <v>150</v>
      </c>
      <c r="E115" s="76">
        <v>9</v>
      </c>
      <c r="F115" s="76">
        <v>2000</v>
      </c>
      <c r="G115" s="76">
        <v>670000</v>
      </c>
      <c r="H115" s="76">
        <v>1.1000000000000001</v>
      </c>
      <c r="I115" s="74" t="s">
        <v>1153</v>
      </c>
      <c r="J115" s="76">
        <v>39.4</v>
      </c>
      <c r="K115" s="76">
        <v>40.94</v>
      </c>
      <c r="L115" s="76">
        <v>98.37</v>
      </c>
      <c r="M115" s="76">
        <v>34.32</v>
      </c>
      <c r="N115" s="76">
        <v>20</v>
      </c>
      <c r="O115" s="76">
        <v>213.03</v>
      </c>
      <c r="P115" s="76">
        <v>73.72</v>
      </c>
    </row>
    <row r="116" spans="1:16">
      <c r="A116" s="74">
        <v>344500</v>
      </c>
      <c r="B116" s="129" t="s">
        <v>1074</v>
      </c>
      <c r="C116" s="74" t="s">
        <v>328</v>
      </c>
      <c r="D116" s="76">
        <v>15</v>
      </c>
      <c r="E116" s="76">
        <v>7</v>
      </c>
      <c r="F116" s="76">
        <v>2000</v>
      </c>
      <c r="G116" s="76">
        <v>116773.6</v>
      </c>
      <c r="H116" s="76">
        <v>0.8</v>
      </c>
      <c r="I116" s="74" t="s">
        <v>1153</v>
      </c>
      <c r="J116" s="76">
        <v>8.36</v>
      </c>
      <c r="K116" s="76">
        <v>6.67</v>
      </c>
      <c r="L116" s="76">
        <v>13.53</v>
      </c>
      <c r="M116" s="76">
        <v>34.32</v>
      </c>
      <c r="N116" s="76">
        <v>20</v>
      </c>
      <c r="O116" s="76">
        <v>62.88</v>
      </c>
      <c r="P116" s="76">
        <v>42.68</v>
      </c>
    </row>
    <row r="117" spans="1:16">
      <c r="A117" s="74">
        <v>327530</v>
      </c>
      <c r="B117" s="129" t="s">
        <v>1075</v>
      </c>
      <c r="C117" s="74" t="s">
        <v>328</v>
      </c>
      <c r="D117" s="76">
        <v>49</v>
      </c>
      <c r="E117" s="76">
        <v>7</v>
      </c>
      <c r="F117" s="76">
        <v>1500</v>
      </c>
      <c r="G117" s="76">
        <v>333000</v>
      </c>
      <c r="H117" s="76">
        <v>1.1000000000000001</v>
      </c>
      <c r="I117" s="74" t="s">
        <v>1153</v>
      </c>
      <c r="J117" s="76">
        <v>31.81</v>
      </c>
      <c r="K117" s="76">
        <v>34.880000000000003</v>
      </c>
      <c r="L117" s="76">
        <v>44.22</v>
      </c>
      <c r="M117" s="76">
        <v>34.32</v>
      </c>
      <c r="N117" s="76">
        <v>20</v>
      </c>
      <c r="O117" s="76">
        <v>145.22999999999999</v>
      </c>
      <c r="P117" s="76">
        <v>66.13</v>
      </c>
    </row>
    <row r="118" spans="1:16" ht="47.25">
      <c r="A118" s="74">
        <v>352500</v>
      </c>
      <c r="B118" s="129" t="s">
        <v>1076</v>
      </c>
      <c r="C118" s="74" t="s">
        <v>957</v>
      </c>
      <c r="D118" s="76">
        <v>74</v>
      </c>
      <c r="E118" s="76">
        <v>7</v>
      </c>
      <c r="F118" s="76">
        <v>1500</v>
      </c>
      <c r="G118" s="76">
        <v>730000</v>
      </c>
      <c r="H118" s="76">
        <v>1.1000000000000001</v>
      </c>
      <c r="I118" s="74" t="s">
        <v>1153</v>
      </c>
      <c r="J118" s="76">
        <v>69.739999999999995</v>
      </c>
      <c r="K118" s="76">
        <v>76.47</v>
      </c>
      <c r="L118" s="76">
        <v>66.78</v>
      </c>
      <c r="M118" s="76">
        <v>34.32</v>
      </c>
      <c r="N118" s="76">
        <v>20</v>
      </c>
      <c r="O118" s="76">
        <v>247.31</v>
      </c>
      <c r="P118" s="76">
        <v>104.06</v>
      </c>
    </row>
    <row r="119" spans="1:16" ht="31.5">
      <c r="A119" s="74">
        <v>312000</v>
      </c>
      <c r="B119" s="129" t="s">
        <v>1077</v>
      </c>
      <c r="C119" s="74" t="s">
        <v>328</v>
      </c>
      <c r="D119" s="76">
        <v>74</v>
      </c>
      <c r="E119" s="76">
        <v>7</v>
      </c>
      <c r="F119" s="76">
        <v>1500</v>
      </c>
      <c r="G119" s="76">
        <v>710000</v>
      </c>
      <c r="H119" s="76">
        <v>1.1000000000000001</v>
      </c>
      <c r="I119" s="74" t="s">
        <v>1153</v>
      </c>
      <c r="J119" s="76">
        <v>67.83</v>
      </c>
      <c r="K119" s="76">
        <v>74.38</v>
      </c>
      <c r="L119" s="76">
        <v>66.78</v>
      </c>
      <c r="M119" s="76">
        <v>34.32</v>
      </c>
      <c r="N119" s="76">
        <v>20</v>
      </c>
      <c r="O119" s="76">
        <v>243.31</v>
      </c>
      <c r="P119" s="76">
        <v>102.15</v>
      </c>
    </row>
    <row r="120" spans="1:16">
      <c r="A120" s="74">
        <v>311400</v>
      </c>
      <c r="B120" s="129" t="s">
        <v>1078</v>
      </c>
      <c r="C120" s="74" t="s">
        <v>954</v>
      </c>
      <c r="D120" s="76">
        <v>198</v>
      </c>
      <c r="E120" s="76">
        <v>10</v>
      </c>
      <c r="F120" s="76">
        <v>2000</v>
      </c>
      <c r="G120" s="76">
        <v>1637945</v>
      </c>
      <c r="H120" s="76">
        <v>1.05</v>
      </c>
      <c r="I120" s="74" t="s">
        <v>1153</v>
      </c>
      <c r="J120" s="76">
        <v>89.01</v>
      </c>
      <c r="K120" s="76">
        <v>85.99</v>
      </c>
      <c r="L120" s="76">
        <v>178.7</v>
      </c>
      <c r="M120" s="76">
        <v>40.76</v>
      </c>
      <c r="N120" s="76">
        <v>20</v>
      </c>
      <c r="O120" s="76">
        <v>394.46</v>
      </c>
      <c r="P120" s="76">
        <v>129.77000000000001</v>
      </c>
    </row>
    <row r="121" spans="1:16" ht="31.5">
      <c r="A121" s="74">
        <v>321400</v>
      </c>
      <c r="B121" s="129" t="s">
        <v>178</v>
      </c>
      <c r="C121" s="74" t="s">
        <v>328</v>
      </c>
      <c r="D121" s="76">
        <v>198</v>
      </c>
      <c r="E121" s="76">
        <v>8</v>
      </c>
      <c r="F121" s="76">
        <v>2000</v>
      </c>
      <c r="G121" s="76">
        <v>1637945</v>
      </c>
      <c r="H121" s="76">
        <v>1.1499999999999999</v>
      </c>
      <c r="I121" s="74" t="s">
        <v>1153</v>
      </c>
      <c r="J121" s="76">
        <v>105.5</v>
      </c>
      <c r="K121" s="76">
        <v>117.72</v>
      </c>
      <c r="L121" s="76">
        <v>178.7</v>
      </c>
      <c r="M121" s="76">
        <v>40.76</v>
      </c>
      <c r="N121" s="76">
        <v>20</v>
      </c>
      <c r="O121" s="76">
        <v>442.68</v>
      </c>
      <c r="P121" s="76">
        <v>146.26</v>
      </c>
    </row>
    <row r="122" spans="1:16" ht="31.5">
      <c r="A122" s="74">
        <v>331400</v>
      </c>
      <c r="B122" s="129" t="s">
        <v>1079</v>
      </c>
      <c r="C122" s="74" t="s">
        <v>957</v>
      </c>
      <c r="D122" s="76">
        <v>198</v>
      </c>
      <c r="E122" s="76">
        <v>6</v>
      </c>
      <c r="F122" s="76">
        <v>2000</v>
      </c>
      <c r="G122" s="76">
        <v>1637945</v>
      </c>
      <c r="H122" s="76">
        <v>1.2</v>
      </c>
      <c r="I122" s="74" t="s">
        <v>1153</v>
      </c>
      <c r="J122" s="76">
        <v>133.22999999999999</v>
      </c>
      <c r="K122" s="76">
        <v>163.79</v>
      </c>
      <c r="L122" s="76">
        <v>178.7</v>
      </c>
      <c r="M122" s="76">
        <v>40.76</v>
      </c>
      <c r="N122" s="76">
        <v>20</v>
      </c>
      <c r="O122" s="76">
        <v>516.48</v>
      </c>
      <c r="P122" s="76">
        <v>173.99</v>
      </c>
    </row>
    <row r="123" spans="1:16">
      <c r="A123" s="74">
        <v>311200</v>
      </c>
      <c r="B123" s="129" t="s">
        <v>1080</v>
      </c>
      <c r="C123" s="74" t="s">
        <v>954</v>
      </c>
      <c r="D123" s="76">
        <v>148</v>
      </c>
      <c r="E123" s="76">
        <v>10</v>
      </c>
      <c r="F123" s="76">
        <v>2000</v>
      </c>
      <c r="G123" s="76">
        <v>1400720</v>
      </c>
      <c r="H123" s="76">
        <v>1.05</v>
      </c>
      <c r="I123" s="74" t="s">
        <v>1153</v>
      </c>
      <c r="J123" s="76">
        <v>76.12</v>
      </c>
      <c r="K123" s="76">
        <v>73.53</v>
      </c>
      <c r="L123" s="76">
        <v>133.57</v>
      </c>
      <c r="M123" s="76">
        <v>40.76</v>
      </c>
      <c r="N123" s="76">
        <v>20</v>
      </c>
      <c r="O123" s="76">
        <v>323.98</v>
      </c>
      <c r="P123" s="76">
        <v>116.88</v>
      </c>
    </row>
    <row r="124" spans="1:16">
      <c r="A124" s="74">
        <v>321200</v>
      </c>
      <c r="B124" s="129" t="s">
        <v>1081</v>
      </c>
      <c r="C124" s="74" t="s">
        <v>328</v>
      </c>
      <c r="D124" s="76">
        <v>148</v>
      </c>
      <c r="E124" s="76">
        <v>8</v>
      </c>
      <c r="F124" s="76">
        <v>2000</v>
      </c>
      <c r="G124" s="76">
        <v>1400720</v>
      </c>
      <c r="H124" s="76">
        <v>1.1499999999999999</v>
      </c>
      <c r="I124" s="74" t="s">
        <v>1153</v>
      </c>
      <c r="J124" s="76">
        <v>90.22</v>
      </c>
      <c r="K124" s="76">
        <v>100.67</v>
      </c>
      <c r="L124" s="76">
        <v>133.57</v>
      </c>
      <c r="M124" s="76">
        <v>40.76</v>
      </c>
      <c r="N124" s="76">
        <v>20</v>
      </c>
      <c r="O124" s="76">
        <v>365.22</v>
      </c>
      <c r="P124" s="76">
        <v>130.97999999999999</v>
      </c>
    </row>
    <row r="125" spans="1:16">
      <c r="A125" s="74">
        <v>331200</v>
      </c>
      <c r="B125" s="129" t="s">
        <v>1082</v>
      </c>
      <c r="C125" s="74" t="s">
        <v>957</v>
      </c>
      <c r="D125" s="76">
        <v>148</v>
      </c>
      <c r="E125" s="76">
        <v>6</v>
      </c>
      <c r="F125" s="76">
        <v>2000</v>
      </c>
      <c r="G125" s="76">
        <v>1400720</v>
      </c>
      <c r="H125" s="76">
        <v>1.2</v>
      </c>
      <c r="I125" s="74" t="s">
        <v>1153</v>
      </c>
      <c r="J125" s="76">
        <v>113.94</v>
      </c>
      <c r="K125" s="76">
        <v>140.07</v>
      </c>
      <c r="L125" s="76">
        <v>133.57</v>
      </c>
      <c r="M125" s="76">
        <v>40.76</v>
      </c>
      <c r="N125" s="76">
        <v>20</v>
      </c>
      <c r="O125" s="76">
        <v>428.34</v>
      </c>
      <c r="P125" s="76">
        <v>154.69999999999999</v>
      </c>
    </row>
    <row r="126" spans="1:16">
      <c r="A126" s="74">
        <v>310400</v>
      </c>
      <c r="B126" s="129" t="s">
        <v>1083</v>
      </c>
      <c r="C126" s="74" t="s">
        <v>954</v>
      </c>
      <c r="D126" s="76">
        <v>198</v>
      </c>
      <c r="E126" s="76">
        <v>10</v>
      </c>
      <c r="F126" s="76">
        <v>2000</v>
      </c>
      <c r="G126" s="76">
        <v>1637945</v>
      </c>
      <c r="H126" s="76">
        <v>1.05</v>
      </c>
      <c r="I126" s="74" t="s">
        <v>1153</v>
      </c>
      <c r="J126" s="76">
        <v>89.01</v>
      </c>
      <c r="K126" s="76">
        <v>85.99</v>
      </c>
      <c r="L126" s="76">
        <v>178.7</v>
      </c>
      <c r="M126" s="76">
        <v>40.76</v>
      </c>
      <c r="N126" s="76">
        <v>20</v>
      </c>
      <c r="O126" s="76">
        <v>394.46</v>
      </c>
      <c r="P126" s="76">
        <v>129.77000000000001</v>
      </c>
    </row>
    <row r="127" spans="1:16">
      <c r="A127" s="74">
        <v>320400</v>
      </c>
      <c r="B127" s="129" t="s">
        <v>1084</v>
      </c>
      <c r="C127" s="74" t="s">
        <v>328</v>
      </c>
      <c r="D127" s="76">
        <v>198</v>
      </c>
      <c r="E127" s="76">
        <v>8</v>
      </c>
      <c r="F127" s="76">
        <v>2000</v>
      </c>
      <c r="G127" s="76">
        <v>1637945</v>
      </c>
      <c r="H127" s="76">
        <v>1.1499999999999999</v>
      </c>
      <c r="I127" s="74" t="s">
        <v>1153</v>
      </c>
      <c r="J127" s="76">
        <v>105.5</v>
      </c>
      <c r="K127" s="76">
        <v>117.72</v>
      </c>
      <c r="L127" s="76">
        <v>178.7</v>
      </c>
      <c r="M127" s="76">
        <v>40.76</v>
      </c>
      <c r="N127" s="76">
        <v>20</v>
      </c>
      <c r="O127" s="76">
        <v>442.68</v>
      </c>
      <c r="P127" s="76">
        <v>146.26</v>
      </c>
    </row>
    <row r="128" spans="1:16">
      <c r="A128" s="74">
        <v>330400</v>
      </c>
      <c r="B128" s="129" t="s">
        <v>1085</v>
      </c>
      <c r="C128" s="74" t="s">
        <v>957</v>
      </c>
      <c r="D128" s="76">
        <v>198</v>
      </c>
      <c r="E128" s="76">
        <v>6</v>
      </c>
      <c r="F128" s="76">
        <v>2000</v>
      </c>
      <c r="G128" s="76">
        <v>1637945</v>
      </c>
      <c r="H128" s="76">
        <v>1.2</v>
      </c>
      <c r="I128" s="74" t="s">
        <v>1153</v>
      </c>
      <c r="J128" s="76">
        <v>133.22999999999999</v>
      </c>
      <c r="K128" s="76">
        <v>163.79</v>
      </c>
      <c r="L128" s="76">
        <v>178.7</v>
      </c>
      <c r="M128" s="76">
        <v>40.76</v>
      </c>
      <c r="N128" s="76">
        <v>20</v>
      </c>
      <c r="O128" s="76">
        <v>516.48</v>
      </c>
      <c r="P128" s="76">
        <v>173.99</v>
      </c>
    </row>
    <row r="129" spans="1:16">
      <c r="A129" s="74">
        <v>370250</v>
      </c>
      <c r="B129" s="129" t="s">
        <v>1086</v>
      </c>
      <c r="C129" s="74"/>
      <c r="D129" s="76">
        <v>2</v>
      </c>
      <c r="E129" s="76">
        <v>5</v>
      </c>
      <c r="F129" s="76">
        <v>2000</v>
      </c>
      <c r="G129" s="76">
        <v>3335.55</v>
      </c>
      <c r="H129" s="76">
        <v>0.5</v>
      </c>
      <c r="I129" s="74" t="s">
        <v>1154</v>
      </c>
      <c r="J129" s="76">
        <v>0.35</v>
      </c>
      <c r="K129" s="76">
        <v>0.16</v>
      </c>
      <c r="L129" s="76">
        <v>2.5099999999999998</v>
      </c>
      <c r="M129" s="76">
        <v>0</v>
      </c>
      <c r="N129" s="76">
        <v>10</v>
      </c>
      <c r="O129" s="76">
        <v>3.02</v>
      </c>
      <c r="P129" s="76">
        <v>0.35</v>
      </c>
    </row>
    <row r="130" spans="1:16">
      <c r="A130" s="74">
        <v>370200</v>
      </c>
      <c r="B130" s="129" t="s">
        <v>1008</v>
      </c>
      <c r="C130" s="74" t="s">
        <v>328</v>
      </c>
      <c r="D130" s="76">
        <v>3</v>
      </c>
      <c r="E130" s="76">
        <v>7</v>
      </c>
      <c r="F130" s="76">
        <v>2000</v>
      </c>
      <c r="G130" s="76">
        <v>1812.35</v>
      </c>
      <c r="H130" s="76">
        <v>0.5</v>
      </c>
      <c r="I130" s="74" t="s">
        <v>1154</v>
      </c>
      <c r="J130" s="76">
        <v>0.14000000000000001</v>
      </c>
      <c r="K130" s="76">
        <v>0.06</v>
      </c>
      <c r="L130" s="76">
        <v>3.76</v>
      </c>
      <c r="M130" s="76">
        <v>0</v>
      </c>
      <c r="N130" s="76">
        <v>10</v>
      </c>
      <c r="O130" s="76">
        <v>3.96</v>
      </c>
      <c r="P130" s="76">
        <v>0.14000000000000001</v>
      </c>
    </row>
    <row r="131" spans="1:16">
      <c r="A131" s="74">
        <v>323104</v>
      </c>
      <c r="B131" s="129" t="s">
        <v>1009</v>
      </c>
      <c r="C131" s="74" t="s">
        <v>328</v>
      </c>
      <c r="D131" s="76">
        <v>99</v>
      </c>
      <c r="E131" s="76">
        <v>7</v>
      </c>
      <c r="F131" s="76">
        <v>2000</v>
      </c>
      <c r="G131" s="76">
        <v>6996457.96</v>
      </c>
      <c r="H131" s="76">
        <v>0.9</v>
      </c>
      <c r="I131" s="74" t="s">
        <v>1155</v>
      </c>
      <c r="J131" s="76">
        <v>438.65</v>
      </c>
      <c r="K131" s="76">
        <v>449.77</v>
      </c>
      <c r="L131" s="76">
        <v>15.96</v>
      </c>
      <c r="M131" s="76">
        <v>40.76</v>
      </c>
      <c r="N131" s="76">
        <v>30</v>
      </c>
      <c r="O131" s="76">
        <v>945.14</v>
      </c>
      <c r="P131" s="76">
        <v>479.41</v>
      </c>
    </row>
    <row r="132" spans="1:16">
      <c r="A132" s="74">
        <v>325125</v>
      </c>
      <c r="B132" s="129" t="s">
        <v>1010</v>
      </c>
      <c r="C132" s="74" t="s">
        <v>328</v>
      </c>
      <c r="D132" s="76">
        <v>99</v>
      </c>
      <c r="E132" s="76">
        <v>8</v>
      </c>
      <c r="F132" s="76">
        <v>1500</v>
      </c>
      <c r="G132" s="76">
        <v>5636407.1399999997</v>
      </c>
      <c r="H132" s="76">
        <v>1</v>
      </c>
      <c r="I132" s="74" t="s">
        <v>1153</v>
      </c>
      <c r="J132" s="76">
        <v>544.59</v>
      </c>
      <c r="K132" s="76">
        <v>469.7</v>
      </c>
      <c r="L132" s="76">
        <v>89.35</v>
      </c>
      <c r="M132" s="76">
        <v>40.76</v>
      </c>
      <c r="N132" s="76">
        <v>10</v>
      </c>
      <c r="O132" s="76">
        <v>1144.4000000000001</v>
      </c>
      <c r="P132" s="76">
        <v>585.35</v>
      </c>
    </row>
    <row r="133" spans="1:16">
      <c r="A133" s="74">
        <v>307100</v>
      </c>
      <c r="B133" s="129" t="s">
        <v>1087</v>
      </c>
      <c r="C133" s="74" t="s">
        <v>328</v>
      </c>
      <c r="D133" s="76">
        <v>0</v>
      </c>
      <c r="E133" s="76">
        <v>4</v>
      </c>
      <c r="F133" s="76">
        <v>2000</v>
      </c>
      <c r="G133" s="76">
        <v>26017.87</v>
      </c>
      <c r="H133" s="76">
        <v>0.5</v>
      </c>
      <c r="I133" s="74" t="s">
        <v>1155</v>
      </c>
      <c r="J133" s="76">
        <v>3.75</v>
      </c>
      <c r="K133" s="76">
        <v>1.62</v>
      </c>
      <c r="L133" s="76">
        <v>0</v>
      </c>
      <c r="M133" s="76">
        <v>0</v>
      </c>
      <c r="N133" s="76">
        <v>0</v>
      </c>
      <c r="O133" s="76">
        <v>5.37</v>
      </c>
      <c r="P133" s="76">
        <v>3.75</v>
      </c>
    </row>
    <row r="134" spans="1:16">
      <c r="A134" s="74">
        <v>305710</v>
      </c>
      <c r="B134" s="129" t="s">
        <v>1088</v>
      </c>
      <c r="C134" s="74" t="s">
        <v>328</v>
      </c>
      <c r="D134" s="76">
        <v>0</v>
      </c>
      <c r="E134" s="76">
        <v>4</v>
      </c>
      <c r="F134" s="76">
        <v>2000</v>
      </c>
      <c r="G134" s="76">
        <v>22636.43</v>
      </c>
      <c r="H134" s="76">
        <v>0.5</v>
      </c>
      <c r="I134" s="74" t="s">
        <v>195</v>
      </c>
      <c r="J134" s="76">
        <v>3.26</v>
      </c>
      <c r="K134" s="76">
        <v>1.41</v>
      </c>
      <c r="L134" s="76">
        <v>0</v>
      </c>
      <c r="M134" s="76">
        <v>0</v>
      </c>
      <c r="N134" s="76">
        <v>0</v>
      </c>
      <c r="O134" s="76">
        <v>4.67</v>
      </c>
      <c r="P134" s="76">
        <v>3.26</v>
      </c>
    </row>
    <row r="135" spans="1:16">
      <c r="A135" s="74">
        <v>306580</v>
      </c>
      <c r="B135" s="129" t="s">
        <v>1089</v>
      </c>
      <c r="C135" s="74" t="s">
        <v>328</v>
      </c>
      <c r="D135" s="76">
        <v>0</v>
      </c>
      <c r="E135" s="76">
        <v>4</v>
      </c>
      <c r="F135" s="76">
        <v>2000</v>
      </c>
      <c r="G135" s="76">
        <v>26324.55</v>
      </c>
      <c r="H135" s="76">
        <v>0.5</v>
      </c>
      <c r="I135" s="74" t="s">
        <v>195</v>
      </c>
      <c r="J135" s="76">
        <v>3.79</v>
      </c>
      <c r="K135" s="76">
        <v>1.64</v>
      </c>
      <c r="L135" s="76">
        <v>0</v>
      </c>
      <c r="M135" s="76">
        <v>0</v>
      </c>
      <c r="N135" s="76">
        <v>0</v>
      </c>
      <c r="O135" s="76">
        <v>5.43</v>
      </c>
      <c r="P135" s="76">
        <v>3.79</v>
      </c>
    </row>
    <row r="136" spans="1:16">
      <c r="A136" s="74">
        <v>300030</v>
      </c>
      <c r="B136" s="129" t="s">
        <v>1090</v>
      </c>
      <c r="C136" s="74" t="s">
        <v>328</v>
      </c>
      <c r="D136" s="76">
        <v>0</v>
      </c>
      <c r="E136" s="76">
        <v>10</v>
      </c>
      <c r="F136" s="76">
        <v>1500</v>
      </c>
      <c r="G136" s="76">
        <v>247544.14</v>
      </c>
      <c r="H136" s="76">
        <v>0.5</v>
      </c>
      <c r="I136" s="74" t="s">
        <v>195</v>
      </c>
      <c r="J136" s="76">
        <v>20.170000000000002</v>
      </c>
      <c r="K136" s="76">
        <v>8.25</v>
      </c>
      <c r="L136" s="76">
        <v>0</v>
      </c>
      <c r="M136" s="76">
        <v>0</v>
      </c>
      <c r="N136" s="76">
        <v>10</v>
      </c>
      <c r="O136" s="76">
        <v>28.42</v>
      </c>
      <c r="P136" s="76">
        <v>20.170000000000002</v>
      </c>
    </row>
    <row r="137" spans="1:16">
      <c r="A137" s="74">
        <v>325020</v>
      </c>
      <c r="B137" s="129" t="s">
        <v>1091</v>
      </c>
      <c r="C137" s="74" t="s">
        <v>328</v>
      </c>
      <c r="D137" s="76">
        <v>619</v>
      </c>
      <c r="E137" s="76">
        <v>5</v>
      </c>
      <c r="F137" s="76">
        <v>1500</v>
      </c>
      <c r="G137" s="76">
        <v>5156043.4000000004</v>
      </c>
      <c r="H137" s="76">
        <v>1</v>
      </c>
      <c r="I137" s="74" t="s">
        <v>1153</v>
      </c>
      <c r="J137" s="76">
        <v>734.41</v>
      </c>
      <c r="K137" s="76">
        <v>687.47</v>
      </c>
      <c r="L137" s="76">
        <v>558.66999999999996</v>
      </c>
      <c r="M137" s="76">
        <v>40.76</v>
      </c>
      <c r="N137" s="76">
        <v>10</v>
      </c>
      <c r="O137" s="76">
        <v>2021.31</v>
      </c>
      <c r="P137" s="76">
        <v>775.17</v>
      </c>
    </row>
    <row r="138" spans="1:16">
      <c r="A138" s="74">
        <v>325010</v>
      </c>
      <c r="B138" s="129" t="s">
        <v>1092</v>
      </c>
      <c r="C138" s="74" t="s">
        <v>328</v>
      </c>
      <c r="D138" s="76">
        <v>619</v>
      </c>
      <c r="E138" s="76">
        <v>5</v>
      </c>
      <c r="F138" s="76">
        <v>1500</v>
      </c>
      <c r="G138" s="76">
        <v>5865000</v>
      </c>
      <c r="H138" s="76">
        <v>1</v>
      </c>
      <c r="I138" s="74" t="s">
        <v>1153</v>
      </c>
      <c r="J138" s="76">
        <v>835.39</v>
      </c>
      <c r="K138" s="76">
        <v>782</v>
      </c>
      <c r="L138" s="76">
        <v>558.66999999999996</v>
      </c>
      <c r="M138" s="76">
        <v>40.76</v>
      </c>
      <c r="N138" s="76">
        <v>10</v>
      </c>
      <c r="O138" s="76">
        <v>2216.8200000000002</v>
      </c>
      <c r="P138" s="76">
        <v>876.15</v>
      </c>
    </row>
    <row r="139" spans="1:16">
      <c r="A139" s="74">
        <v>325150</v>
      </c>
      <c r="B139" s="129" t="s">
        <v>1093</v>
      </c>
      <c r="C139" s="74" t="s">
        <v>328</v>
      </c>
      <c r="D139" s="76">
        <v>300</v>
      </c>
      <c r="E139" s="76">
        <v>5</v>
      </c>
      <c r="F139" s="76">
        <v>1500</v>
      </c>
      <c r="G139" s="76">
        <v>4803819.9000000004</v>
      </c>
      <c r="H139" s="76">
        <v>1</v>
      </c>
      <c r="I139" s="74" t="s">
        <v>1153</v>
      </c>
      <c r="J139" s="76">
        <v>684.24</v>
      </c>
      <c r="K139" s="76">
        <v>640.5</v>
      </c>
      <c r="L139" s="76">
        <v>270.76</v>
      </c>
      <c r="M139" s="76">
        <v>40.76</v>
      </c>
      <c r="N139" s="76">
        <v>10</v>
      </c>
      <c r="O139" s="76">
        <v>1636.26</v>
      </c>
      <c r="P139" s="76">
        <v>725</v>
      </c>
    </row>
    <row r="140" spans="1:16">
      <c r="A140" s="74">
        <v>325200</v>
      </c>
      <c r="B140" s="129" t="s">
        <v>1094</v>
      </c>
      <c r="C140" s="74" t="s">
        <v>328</v>
      </c>
      <c r="D140" s="76">
        <v>409</v>
      </c>
      <c r="E140" s="76">
        <v>5</v>
      </c>
      <c r="F140" s="76">
        <v>1500</v>
      </c>
      <c r="G140" s="76">
        <v>8332480</v>
      </c>
      <c r="H140" s="76">
        <v>1</v>
      </c>
      <c r="I140" s="74" t="s">
        <v>1153</v>
      </c>
      <c r="J140" s="76">
        <v>1186.8599999999999</v>
      </c>
      <c r="K140" s="76">
        <v>1110.99</v>
      </c>
      <c r="L140" s="76">
        <v>369.14</v>
      </c>
      <c r="M140" s="76">
        <v>40.76</v>
      </c>
      <c r="N140" s="76">
        <v>10</v>
      </c>
      <c r="O140" s="76">
        <v>2707.75</v>
      </c>
      <c r="P140" s="76">
        <v>1227.6199999999999</v>
      </c>
    </row>
    <row r="141" spans="1:16">
      <c r="A141" s="74">
        <v>325250</v>
      </c>
      <c r="B141" s="129" t="s">
        <v>1095</v>
      </c>
      <c r="C141" s="74" t="s">
        <v>328</v>
      </c>
      <c r="D141" s="76">
        <v>540</v>
      </c>
      <c r="E141" s="76">
        <v>5</v>
      </c>
      <c r="F141" s="76">
        <v>1500</v>
      </c>
      <c r="G141" s="76">
        <v>8074693.9000000004</v>
      </c>
      <c r="H141" s="76">
        <v>1</v>
      </c>
      <c r="I141" s="74" t="s">
        <v>1153</v>
      </c>
      <c r="J141" s="76">
        <v>1150.1400000000001</v>
      </c>
      <c r="K141" s="76">
        <v>1076.6199999999999</v>
      </c>
      <c r="L141" s="76">
        <v>487.37</v>
      </c>
      <c r="M141" s="76">
        <v>40.76</v>
      </c>
      <c r="N141" s="76">
        <v>10</v>
      </c>
      <c r="O141" s="76">
        <v>2754.89</v>
      </c>
      <c r="P141" s="76">
        <v>1190.9000000000001</v>
      </c>
    </row>
    <row r="142" spans="1:16">
      <c r="A142" s="74">
        <v>371150</v>
      </c>
      <c r="B142" s="129" t="s">
        <v>1096</v>
      </c>
      <c r="C142" s="74" t="s">
        <v>328</v>
      </c>
      <c r="D142" s="76">
        <v>9</v>
      </c>
      <c r="E142" s="76">
        <v>3</v>
      </c>
      <c r="F142" s="76">
        <v>1250</v>
      </c>
      <c r="G142" s="76">
        <v>16400</v>
      </c>
      <c r="H142" s="76">
        <v>0.8</v>
      </c>
      <c r="I142" s="74" t="s">
        <v>1154</v>
      </c>
      <c r="J142" s="76">
        <v>4.66</v>
      </c>
      <c r="K142" s="76">
        <v>3.49</v>
      </c>
      <c r="L142" s="76">
        <v>11.3</v>
      </c>
      <c r="M142" s="76">
        <v>0</v>
      </c>
      <c r="N142" s="76">
        <v>5</v>
      </c>
      <c r="O142" s="76">
        <v>19.45</v>
      </c>
      <c r="P142" s="76">
        <v>4.66</v>
      </c>
    </row>
    <row r="143" spans="1:16">
      <c r="A143" s="74">
        <v>312520</v>
      </c>
      <c r="B143" s="129" t="s">
        <v>1097</v>
      </c>
      <c r="C143" s="74" t="s">
        <v>954</v>
      </c>
      <c r="D143" s="76">
        <v>79</v>
      </c>
      <c r="E143" s="76">
        <v>9</v>
      </c>
      <c r="F143" s="76">
        <v>2000</v>
      </c>
      <c r="G143" s="76">
        <v>450000</v>
      </c>
      <c r="H143" s="76">
        <v>0.7</v>
      </c>
      <c r="I143" s="74" t="s">
        <v>1153</v>
      </c>
      <c r="J143" s="76">
        <v>26.46</v>
      </c>
      <c r="K143" s="76">
        <v>17.5</v>
      </c>
      <c r="L143" s="76">
        <v>71.3</v>
      </c>
      <c r="M143" s="76">
        <v>34.32</v>
      </c>
      <c r="N143" s="76">
        <v>20</v>
      </c>
      <c r="O143" s="76">
        <v>149.58000000000001</v>
      </c>
      <c r="P143" s="76">
        <v>60.78</v>
      </c>
    </row>
    <row r="144" spans="1:16">
      <c r="A144" s="74">
        <v>322520</v>
      </c>
      <c r="B144" s="129" t="s">
        <v>179</v>
      </c>
      <c r="C144" s="74" t="s">
        <v>328</v>
      </c>
      <c r="D144" s="76">
        <v>79</v>
      </c>
      <c r="E144" s="76">
        <v>8</v>
      </c>
      <c r="F144" s="76">
        <v>2000</v>
      </c>
      <c r="G144" s="76">
        <v>450000</v>
      </c>
      <c r="H144" s="76">
        <v>1</v>
      </c>
      <c r="I144" s="74" t="s">
        <v>1153</v>
      </c>
      <c r="J144" s="76">
        <v>28.98</v>
      </c>
      <c r="K144" s="76">
        <v>28.12</v>
      </c>
      <c r="L144" s="76">
        <v>71.3</v>
      </c>
      <c r="M144" s="76">
        <v>34.32</v>
      </c>
      <c r="N144" s="76">
        <v>20</v>
      </c>
      <c r="O144" s="76">
        <v>162.72</v>
      </c>
      <c r="P144" s="76">
        <v>63.3</v>
      </c>
    </row>
    <row r="145" spans="1:16">
      <c r="A145" s="74">
        <v>332520</v>
      </c>
      <c r="B145" s="129" t="s">
        <v>1098</v>
      </c>
      <c r="C145" s="74" t="s">
        <v>957</v>
      </c>
      <c r="D145" s="76">
        <v>79</v>
      </c>
      <c r="E145" s="76">
        <v>7</v>
      </c>
      <c r="F145" s="76">
        <v>2000</v>
      </c>
      <c r="G145" s="76">
        <v>450000</v>
      </c>
      <c r="H145" s="76">
        <v>1.3</v>
      </c>
      <c r="I145" s="74" t="s">
        <v>1153</v>
      </c>
      <c r="J145" s="76">
        <v>32.24</v>
      </c>
      <c r="K145" s="76">
        <v>41.78</v>
      </c>
      <c r="L145" s="76">
        <v>71.3</v>
      </c>
      <c r="M145" s="76">
        <v>34.32</v>
      </c>
      <c r="N145" s="76">
        <v>20</v>
      </c>
      <c r="O145" s="76">
        <v>179.64</v>
      </c>
      <c r="P145" s="76">
        <v>66.56</v>
      </c>
    </row>
    <row r="146" spans="1:16">
      <c r="A146" s="74">
        <v>342200</v>
      </c>
      <c r="B146" s="129" t="s">
        <v>1099</v>
      </c>
      <c r="C146" s="74" t="s">
        <v>328</v>
      </c>
      <c r="D146" s="76">
        <v>2</v>
      </c>
      <c r="E146" s="76">
        <v>5</v>
      </c>
      <c r="F146" s="76">
        <v>1250</v>
      </c>
      <c r="G146" s="76">
        <v>1164.1600000000001</v>
      </c>
      <c r="H146" s="76">
        <v>0.5</v>
      </c>
      <c r="I146" s="74" t="s">
        <v>1154</v>
      </c>
      <c r="J146" s="76">
        <v>0.19</v>
      </c>
      <c r="K146" s="76">
        <v>0.09</v>
      </c>
      <c r="L146" s="76">
        <v>2.5099999999999998</v>
      </c>
      <c r="M146" s="76">
        <v>0</v>
      </c>
      <c r="N146" s="76">
        <v>10</v>
      </c>
      <c r="O146" s="76">
        <v>2.79</v>
      </c>
      <c r="P146" s="76">
        <v>0.19</v>
      </c>
    </row>
    <row r="147" spans="1:16">
      <c r="A147" s="74">
        <v>340140</v>
      </c>
      <c r="B147" s="129" t="s">
        <v>1100</v>
      </c>
      <c r="C147" s="74" t="s">
        <v>328</v>
      </c>
      <c r="D147" s="76">
        <v>83</v>
      </c>
      <c r="E147" s="76">
        <v>8</v>
      </c>
      <c r="F147" s="76">
        <v>1750</v>
      </c>
      <c r="G147" s="76">
        <v>520000</v>
      </c>
      <c r="H147" s="76">
        <v>0.9</v>
      </c>
      <c r="I147" s="74" t="s">
        <v>1153</v>
      </c>
      <c r="J147" s="76">
        <v>43.06</v>
      </c>
      <c r="K147" s="76">
        <v>33.42</v>
      </c>
      <c r="L147" s="76">
        <v>74.91</v>
      </c>
      <c r="M147" s="76">
        <v>34.32</v>
      </c>
      <c r="N147" s="76">
        <v>10</v>
      </c>
      <c r="O147" s="76">
        <v>185.71</v>
      </c>
      <c r="P147" s="76">
        <v>77.38</v>
      </c>
    </row>
    <row r="148" spans="1:16">
      <c r="A148" s="74">
        <v>340150</v>
      </c>
      <c r="B148" s="129" t="s">
        <v>181</v>
      </c>
      <c r="C148" s="74" t="s">
        <v>328</v>
      </c>
      <c r="D148" s="76">
        <v>100</v>
      </c>
      <c r="E148" s="76">
        <v>8</v>
      </c>
      <c r="F148" s="76">
        <v>1750</v>
      </c>
      <c r="G148" s="76">
        <v>732500</v>
      </c>
      <c r="H148" s="76">
        <v>0.9</v>
      </c>
      <c r="I148" s="74" t="s">
        <v>1153</v>
      </c>
      <c r="J148" s="76">
        <v>60.66</v>
      </c>
      <c r="K148" s="76">
        <v>47.08</v>
      </c>
      <c r="L148" s="76">
        <v>90.25</v>
      </c>
      <c r="M148" s="76">
        <v>34.32</v>
      </c>
      <c r="N148" s="76">
        <v>10</v>
      </c>
      <c r="O148" s="76">
        <v>232.31</v>
      </c>
      <c r="P148" s="76">
        <v>94.98</v>
      </c>
    </row>
    <row r="149" spans="1:16">
      <c r="A149" s="74">
        <v>345500</v>
      </c>
      <c r="B149" s="129" t="s">
        <v>1101</v>
      </c>
      <c r="C149" s="74" t="s">
        <v>328</v>
      </c>
      <c r="D149" s="76">
        <v>134</v>
      </c>
      <c r="E149" s="76">
        <v>8</v>
      </c>
      <c r="F149" s="76">
        <v>1750</v>
      </c>
      <c r="G149" s="76">
        <v>940900</v>
      </c>
      <c r="H149" s="76">
        <v>0.9</v>
      </c>
      <c r="I149" s="74" t="s">
        <v>1153</v>
      </c>
      <c r="J149" s="76">
        <v>77.92</v>
      </c>
      <c r="K149" s="76">
        <v>60.48</v>
      </c>
      <c r="L149" s="76">
        <v>120.94</v>
      </c>
      <c r="M149" s="76">
        <v>34.32</v>
      </c>
      <c r="N149" s="76">
        <v>10</v>
      </c>
      <c r="O149" s="76">
        <v>293.66000000000003</v>
      </c>
      <c r="P149" s="76">
        <v>112.24</v>
      </c>
    </row>
    <row r="150" spans="1:16">
      <c r="A150" s="74">
        <v>340210</v>
      </c>
      <c r="B150" s="129" t="s">
        <v>180</v>
      </c>
      <c r="C150" s="74" t="s">
        <v>328</v>
      </c>
      <c r="D150" s="76">
        <v>111</v>
      </c>
      <c r="E150" s="76">
        <v>8</v>
      </c>
      <c r="F150" s="76">
        <v>1750</v>
      </c>
      <c r="G150" s="76">
        <v>650000</v>
      </c>
      <c r="H150" s="76">
        <v>0.9</v>
      </c>
      <c r="I150" s="74" t="s">
        <v>1153</v>
      </c>
      <c r="J150" s="76">
        <v>53.83</v>
      </c>
      <c r="K150" s="76">
        <v>41.78</v>
      </c>
      <c r="L150" s="76">
        <v>100.18</v>
      </c>
      <c r="M150" s="76">
        <v>34.32</v>
      </c>
      <c r="N150" s="76">
        <v>10</v>
      </c>
      <c r="O150" s="76">
        <v>230.11</v>
      </c>
      <c r="P150" s="76">
        <v>88.15</v>
      </c>
    </row>
    <row r="151" spans="1:16">
      <c r="A151" s="74">
        <v>340270</v>
      </c>
      <c r="B151" s="129" t="s">
        <v>1102</v>
      </c>
      <c r="C151" s="74" t="s">
        <v>328</v>
      </c>
      <c r="D151" s="76">
        <v>120</v>
      </c>
      <c r="E151" s="76">
        <v>8</v>
      </c>
      <c r="F151" s="76">
        <v>1750</v>
      </c>
      <c r="G151" s="76">
        <v>933500</v>
      </c>
      <c r="H151" s="76">
        <v>0.9</v>
      </c>
      <c r="I151" s="74" t="s">
        <v>1153</v>
      </c>
      <c r="J151" s="76">
        <v>77.31</v>
      </c>
      <c r="K151" s="76">
        <v>60.01</v>
      </c>
      <c r="L151" s="76">
        <v>108.3</v>
      </c>
      <c r="M151" s="76">
        <v>34.32</v>
      </c>
      <c r="N151" s="76">
        <v>10</v>
      </c>
      <c r="O151" s="76">
        <v>279.94</v>
      </c>
      <c r="P151" s="76">
        <v>111.63</v>
      </c>
    </row>
    <row r="152" spans="1:16">
      <c r="A152" s="74">
        <v>340110</v>
      </c>
      <c r="B152" s="129" t="s">
        <v>1103</v>
      </c>
      <c r="C152" s="74" t="s">
        <v>328</v>
      </c>
      <c r="D152" s="76">
        <v>13</v>
      </c>
      <c r="E152" s="76">
        <v>8</v>
      </c>
      <c r="F152" s="76">
        <v>1750</v>
      </c>
      <c r="G152" s="76">
        <v>524500</v>
      </c>
      <c r="H152" s="76">
        <v>0.9</v>
      </c>
      <c r="I152" s="74" t="s">
        <v>1153</v>
      </c>
      <c r="J152" s="76">
        <v>43.43</v>
      </c>
      <c r="K152" s="76">
        <v>33.71</v>
      </c>
      <c r="L152" s="76">
        <v>11.73</v>
      </c>
      <c r="M152" s="76">
        <v>34.32</v>
      </c>
      <c r="N152" s="76">
        <v>10</v>
      </c>
      <c r="O152" s="76">
        <v>123.19</v>
      </c>
      <c r="P152" s="76">
        <v>77.75</v>
      </c>
    </row>
    <row r="153" spans="1:16">
      <c r="A153" s="74">
        <v>342220</v>
      </c>
      <c r="B153" s="129" t="s">
        <v>182</v>
      </c>
      <c r="C153" s="74" t="s">
        <v>328</v>
      </c>
      <c r="D153" s="76">
        <v>110</v>
      </c>
      <c r="E153" s="76">
        <v>8</v>
      </c>
      <c r="F153" s="76">
        <v>1750</v>
      </c>
      <c r="G153" s="76">
        <v>800000</v>
      </c>
      <c r="H153" s="76">
        <v>0.9</v>
      </c>
      <c r="I153" s="74" t="s">
        <v>1153</v>
      </c>
      <c r="J153" s="76">
        <v>66.25</v>
      </c>
      <c r="K153" s="76">
        <v>51.42</v>
      </c>
      <c r="L153" s="76">
        <v>99.28</v>
      </c>
      <c r="M153" s="76">
        <v>34.32</v>
      </c>
      <c r="N153" s="76">
        <v>10</v>
      </c>
      <c r="O153" s="76">
        <v>251.27</v>
      </c>
      <c r="P153" s="76">
        <v>100.57</v>
      </c>
    </row>
    <row r="154" spans="1:16">
      <c r="A154" s="74">
        <v>340100</v>
      </c>
      <c r="B154" s="129" t="s">
        <v>1104</v>
      </c>
      <c r="C154" s="74" t="s">
        <v>328</v>
      </c>
      <c r="D154" s="76">
        <v>47</v>
      </c>
      <c r="E154" s="76">
        <v>8</v>
      </c>
      <c r="F154" s="76">
        <v>1750</v>
      </c>
      <c r="G154" s="76">
        <v>428242.47</v>
      </c>
      <c r="H154" s="76">
        <v>0.9</v>
      </c>
      <c r="I154" s="74" t="s">
        <v>1153</v>
      </c>
      <c r="J154" s="76">
        <v>35.46</v>
      </c>
      <c r="K154" s="76">
        <v>27.52</v>
      </c>
      <c r="L154" s="76">
        <v>42.41</v>
      </c>
      <c r="M154" s="76">
        <v>34.32</v>
      </c>
      <c r="N154" s="76">
        <v>10</v>
      </c>
      <c r="O154" s="76">
        <v>139.71</v>
      </c>
      <c r="P154" s="76">
        <v>69.78</v>
      </c>
    </row>
    <row r="155" spans="1:16">
      <c r="A155" s="74">
        <v>340620</v>
      </c>
      <c r="B155" s="129" t="s">
        <v>1105</v>
      </c>
      <c r="C155" s="74" t="s">
        <v>328</v>
      </c>
      <c r="D155" s="76">
        <v>58</v>
      </c>
      <c r="E155" s="76">
        <v>8</v>
      </c>
      <c r="F155" s="76">
        <v>1750</v>
      </c>
      <c r="G155" s="76">
        <v>821600</v>
      </c>
      <c r="H155" s="76">
        <v>0.9</v>
      </c>
      <c r="I155" s="74" t="s">
        <v>1153</v>
      </c>
      <c r="J155" s="76">
        <v>68.040000000000006</v>
      </c>
      <c r="K155" s="76">
        <v>52.81</v>
      </c>
      <c r="L155" s="76">
        <v>52.34</v>
      </c>
      <c r="M155" s="76">
        <v>34.32</v>
      </c>
      <c r="N155" s="76">
        <v>10</v>
      </c>
      <c r="O155" s="76">
        <v>207.51</v>
      </c>
      <c r="P155" s="76">
        <v>102.36</v>
      </c>
    </row>
    <row r="156" spans="1:16">
      <c r="A156" s="74">
        <v>341840</v>
      </c>
      <c r="B156" s="129" t="s">
        <v>1106</v>
      </c>
      <c r="C156" s="74" t="s">
        <v>328</v>
      </c>
      <c r="D156" s="76">
        <v>130</v>
      </c>
      <c r="E156" s="76">
        <v>8</v>
      </c>
      <c r="F156" s="76">
        <v>1750</v>
      </c>
      <c r="G156" s="76">
        <v>717715</v>
      </c>
      <c r="H156" s="76">
        <v>0.9</v>
      </c>
      <c r="I156" s="74" t="s">
        <v>1153</v>
      </c>
      <c r="J156" s="76">
        <v>59.44</v>
      </c>
      <c r="K156" s="76">
        <v>46.13</v>
      </c>
      <c r="L156" s="76">
        <v>117.33</v>
      </c>
      <c r="M156" s="76">
        <v>34.32</v>
      </c>
      <c r="N156" s="76">
        <v>10</v>
      </c>
      <c r="O156" s="76">
        <v>257.22000000000003</v>
      </c>
      <c r="P156" s="76">
        <v>93.76</v>
      </c>
    </row>
    <row r="157" spans="1:16">
      <c r="A157" s="74">
        <v>341150</v>
      </c>
      <c r="B157" s="129" t="s">
        <v>1107</v>
      </c>
      <c r="C157" s="74" t="s">
        <v>328</v>
      </c>
      <c r="D157" s="76">
        <v>80</v>
      </c>
      <c r="E157" s="76">
        <v>8</v>
      </c>
      <c r="F157" s="76">
        <v>1750</v>
      </c>
      <c r="G157" s="76">
        <v>700000</v>
      </c>
      <c r="H157" s="76">
        <v>0.9</v>
      </c>
      <c r="I157" s="74" t="s">
        <v>1153</v>
      </c>
      <c r="J157" s="76">
        <v>57.97</v>
      </c>
      <c r="K157" s="76">
        <v>45</v>
      </c>
      <c r="L157" s="76">
        <v>72.2</v>
      </c>
      <c r="M157" s="76">
        <v>34.32</v>
      </c>
      <c r="N157" s="76">
        <v>10</v>
      </c>
      <c r="O157" s="76">
        <v>209.49</v>
      </c>
      <c r="P157" s="76">
        <v>92.29</v>
      </c>
    </row>
    <row r="158" spans="1:16">
      <c r="A158" s="74">
        <v>341680</v>
      </c>
      <c r="B158" s="129" t="s">
        <v>1108</v>
      </c>
      <c r="C158" s="74" t="s">
        <v>328</v>
      </c>
      <c r="D158" s="76">
        <v>100</v>
      </c>
      <c r="E158" s="76">
        <v>8</v>
      </c>
      <c r="F158" s="76">
        <v>1750</v>
      </c>
      <c r="G158" s="76">
        <v>636295</v>
      </c>
      <c r="H158" s="76">
        <v>0.9</v>
      </c>
      <c r="I158" s="74" t="s">
        <v>1153</v>
      </c>
      <c r="J158" s="76">
        <v>52.69</v>
      </c>
      <c r="K158" s="76">
        <v>40.9</v>
      </c>
      <c r="L158" s="76">
        <v>90.25</v>
      </c>
      <c r="M158" s="76">
        <v>34.32</v>
      </c>
      <c r="N158" s="76">
        <v>10</v>
      </c>
      <c r="O158" s="76">
        <v>218.16</v>
      </c>
      <c r="P158" s="76">
        <v>87.01</v>
      </c>
    </row>
    <row r="159" spans="1:16">
      <c r="A159" s="74">
        <v>340840</v>
      </c>
      <c r="B159" s="129" t="s">
        <v>1109</v>
      </c>
      <c r="C159" s="74" t="s">
        <v>328</v>
      </c>
      <c r="D159" s="76">
        <v>130</v>
      </c>
      <c r="E159" s="76">
        <v>8</v>
      </c>
      <c r="F159" s="76">
        <v>1750</v>
      </c>
      <c r="G159" s="76">
        <v>707825</v>
      </c>
      <c r="H159" s="76">
        <v>0.9</v>
      </c>
      <c r="I159" s="74" t="s">
        <v>1153</v>
      </c>
      <c r="J159" s="76">
        <v>58.62</v>
      </c>
      <c r="K159" s="76">
        <v>45.5</v>
      </c>
      <c r="L159" s="76">
        <v>117.33</v>
      </c>
      <c r="M159" s="76">
        <v>34.32</v>
      </c>
      <c r="N159" s="76">
        <v>10</v>
      </c>
      <c r="O159" s="76">
        <v>255.77</v>
      </c>
      <c r="P159" s="76">
        <v>92.94</v>
      </c>
    </row>
    <row r="160" spans="1:16">
      <c r="A160" s="74">
        <v>340250</v>
      </c>
      <c r="B160" s="129" t="s">
        <v>1110</v>
      </c>
      <c r="C160" s="74" t="s">
        <v>328</v>
      </c>
      <c r="D160" s="76">
        <v>134</v>
      </c>
      <c r="E160" s="76">
        <v>8</v>
      </c>
      <c r="F160" s="76">
        <v>1750</v>
      </c>
      <c r="G160" s="76">
        <v>724700</v>
      </c>
      <c r="H160" s="76">
        <v>0.9</v>
      </c>
      <c r="I160" s="74" t="s">
        <v>1153</v>
      </c>
      <c r="J160" s="76">
        <v>60.01</v>
      </c>
      <c r="K160" s="76">
        <v>46.58</v>
      </c>
      <c r="L160" s="76">
        <v>120.94</v>
      </c>
      <c r="M160" s="76">
        <v>34.32</v>
      </c>
      <c r="N160" s="76">
        <v>10</v>
      </c>
      <c r="O160" s="76">
        <v>261.85000000000002</v>
      </c>
      <c r="P160" s="76">
        <v>94.33</v>
      </c>
    </row>
    <row r="161" spans="1:16">
      <c r="A161" s="74">
        <v>300310</v>
      </c>
      <c r="B161" s="129" t="s">
        <v>1011</v>
      </c>
      <c r="C161" s="74" t="s">
        <v>328</v>
      </c>
      <c r="D161" s="76">
        <v>0</v>
      </c>
      <c r="E161" s="76">
        <v>4</v>
      </c>
      <c r="F161" s="76">
        <v>2000</v>
      </c>
      <c r="G161" s="76">
        <v>12583.19</v>
      </c>
      <c r="H161" s="76">
        <v>0.5</v>
      </c>
      <c r="I161" s="74" t="s">
        <v>195</v>
      </c>
      <c r="J161" s="76">
        <v>1.81</v>
      </c>
      <c r="K161" s="76">
        <v>0.78</v>
      </c>
      <c r="L161" s="76">
        <v>0</v>
      </c>
      <c r="M161" s="76">
        <v>0</v>
      </c>
      <c r="N161" s="76">
        <v>0</v>
      </c>
      <c r="O161" s="76">
        <v>2.59</v>
      </c>
      <c r="P161" s="76">
        <v>1.81</v>
      </c>
    </row>
    <row r="162" spans="1:16">
      <c r="A162" s="74">
        <v>370130</v>
      </c>
      <c r="B162" s="129" t="s">
        <v>1012</v>
      </c>
      <c r="C162" s="74" t="s">
        <v>328</v>
      </c>
      <c r="D162" s="76">
        <v>0</v>
      </c>
      <c r="E162" s="76">
        <v>7</v>
      </c>
      <c r="F162" s="76">
        <v>2000</v>
      </c>
      <c r="G162" s="76">
        <v>2217.1</v>
      </c>
      <c r="H162" s="76">
        <v>0.5</v>
      </c>
      <c r="I162" s="74" t="s">
        <v>1155</v>
      </c>
      <c r="J162" s="76">
        <v>0.17</v>
      </c>
      <c r="K162" s="76">
        <v>7.0000000000000007E-2</v>
      </c>
      <c r="L162" s="76">
        <v>0</v>
      </c>
      <c r="M162" s="76">
        <v>0</v>
      </c>
      <c r="N162" s="76">
        <v>10</v>
      </c>
      <c r="O162" s="76">
        <v>0.24</v>
      </c>
      <c r="P162" s="76">
        <v>0.17</v>
      </c>
    </row>
    <row r="163" spans="1:16">
      <c r="A163" s="74">
        <v>370120</v>
      </c>
      <c r="B163" s="129" t="s">
        <v>1013</v>
      </c>
      <c r="C163" s="74" t="s">
        <v>328</v>
      </c>
      <c r="D163" s="76">
        <v>13</v>
      </c>
      <c r="E163" s="76">
        <v>7</v>
      </c>
      <c r="F163" s="76">
        <v>2000</v>
      </c>
      <c r="G163" s="76">
        <v>4783.7299999999996</v>
      </c>
      <c r="H163" s="76">
        <v>0.5</v>
      </c>
      <c r="I163" s="74" t="s">
        <v>1154</v>
      </c>
      <c r="J163" s="76">
        <v>0.38</v>
      </c>
      <c r="K163" s="76">
        <v>0.17</v>
      </c>
      <c r="L163" s="76">
        <v>16.329999999999998</v>
      </c>
      <c r="M163" s="76">
        <v>0</v>
      </c>
      <c r="N163" s="76">
        <v>10</v>
      </c>
      <c r="O163" s="76">
        <v>16.88</v>
      </c>
      <c r="P163" s="76">
        <v>0.38</v>
      </c>
    </row>
    <row r="164" spans="1:16">
      <c r="A164" s="74">
        <v>371050</v>
      </c>
      <c r="B164" s="129" t="s">
        <v>1111</v>
      </c>
      <c r="C164" s="74" t="s">
        <v>957</v>
      </c>
      <c r="D164" s="76">
        <v>13</v>
      </c>
      <c r="E164" s="76">
        <v>5</v>
      </c>
      <c r="F164" s="76">
        <v>1250</v>
      </c>
      <c r="G164" s="76">
        <v>8612.59</v>
      </c>
      <c r="H164" s="76">
        <v>0.5</v>
      </c>
      <c r="I164" s="74" t="s">
        <v>1154</v>
      </c>
      <c r="J164" s="76">
        <v>1.47</v>
      </c>
      <c r="K164" s="76">
        <v>0.68</v>
      </c>
      <c r="L164" s="76">
        <v>16.329999999999998</v>
      </c>
      <c r="M164" s="76">
        <v>32.18</v>
      </c>
      <c r="N164" s="76">
        <v>10</v>
      </c>
      <c r="O164" s="76">
        <v>50.66</v>
      </c>
      <c r="P164" s="76">
        <v>33.65</v>
      </c>
    </row>
    <row r="165" spans="1:16">
      <c r="A165" s="74">
        <v>371000</v>
      </c>
      <c r="B165" s="129" t="s">
        <v>1112</v>
      </c>
      <c r="C165" s="74" t="s">
        <v>957</v>
      </c>
      <c r="D165" s="76">
        <v>11</v>
      </c>
      <c r="E165" s="76">
        <v>5</v>
      </c>
      <c r="F165" s="76">
        <v>1250</v>
      </c>
      <c r="G165" s="76">
        <v>8401.86</v>
      </c>
      <c r="H165" s="76">
        <v>0.5</v>
      </c>
      <c r="I165" s="74" t="s">
        <v>1154</v>
      </c>
      <c r="J165" s="76">
        <v>1.43</v>
      </c>
      <c r="K165" s="76">
        <v>0.67</v>
      </c>
      <c r="L165" s="76">
        <v>13.81</v>
      </c>
      <c r="M165" s="76">
        <v>32.18</v>
      </c>
      <c r="N165" s="76">
        <v>10</v>
      </c>
      <c r="O165" s="76">
        <v>48.09</v>
      </c>
      <c r="P165" s="76">
        <v>33.61</v>
      </c>
    </row>
    <row r="166" spans="1:16">
      <c r="A166" s="74">
        <v>371100</v>
      </c>
      <c r="B166" s="129" t="s">
        <v>1113</v>
      </c>
      <c r="C166" s="74" t="s">
        <v>957</v>
      </c>
      <c r="D166" s="76">
        <v>0</v>
      </c>
      <c r="E166" s="76">
        <v>8</v>
      </c>
      <c r="F166" s="76">
        <v>1250</v>
      </c>
      <c r="G166" s="76">
        <v>470.57</v>
      </c>
      <c r="H166" s="76">
        <v>0.5</v>
      </c>
      <c r="I166" s="74" t="s">
        <v>1155</v>
      </c>
      <c r="J166" s="76">
        <v>0.06</v>
      </c>
      <c r="K166" s="76">
        <v>0.02</v>
      </c>
      <c r="L166" s="76">
        <v>0</v>
      </c>
      <c r="M166" s="76">
        <v>0</v>
      </c>
      <c r="N166" s="76">
        <v>0</v>
      </c>
      <c r="O166" s="76">
        <v>0.08</v>
      </c>
      <c r="P166" s="76">
        <v>0.06</v>
      </c>
    </row>
    <row r="167" spans="1:16">
      <c r="A167" s="74">
        <v>337050</v>
      </c>
      <c r="B167" s="129" t="s">
        <v>1114</v>
      </c>
      <c r="C167" s="74" t="s">
        <v>328</v>
      </c>
      <c r="D167" s="76">
        <v>3</v>
      </c>
      <c r="E167" s="76">
        <v>5</v>
      </c>
      <c r="F167" s="76">
        <v>2000</v>
      </c>
      <c r="G167" s="76">
        <v>4332.63</v>
      </c>
      <c r="H167" s="76">
        <v>0.5</v>
      </c>
      <c r="I167" s="74" t="s">
        <v>1154</v>
      </c>
      <c r="J167" s="76">
        <v>0.48</v>
      </c>
      <c r="K167" s="76">
        <v>0.21</v>
      </c>
      <c r="L167" s="76">
        <v>3.76</v>
      </c>
      <c r="M167" s="76">
        <v>0</v>
      </c>
      <c r="N167" s="76">
        <v>5</v>
      </c>
      <c r="O167" s="76">
        <v>4.45</v>
      </c>
      <c r="P167" s="76">
        <v>0.48</v>
      </c>
    </row>
    <row r="168" spans="1:16">
      <c r="A168" s="74">
        <v>381000</v>
      </c>
      <c r="B168" s="129" t="s">
        <v>1115</v>
      </c>
      <c r="C168" s="74" t="s">
        <v>328</v>
      </c>
      <c r="D168" s="76">
        <v>0</v>
      </c>
      <c r="E168" s="76">
        <v>8</v>
      </c>
      <c r="F168" s="76">
        <v>1250</v>
      </c>
      <c r="G168" s="76">
        <v>930.87</v>
      </c>
      <c r="H168" s="76">
        <v>0.5</v>
      </c>
      <c r="I168" s="74" t="s">
        <v>195</v>
      </c>
      <c r="J168" s="76">
        <v>0.1</v>
      </c>
      <c r="K168" s="76">
        <v>0.04</v>
      </c>
      <c r="L168" s="76">
        <v>0</v>
      </c>
      <c r="M168" s="76">
        <v>0</v>
      </c>
      <c r="N168" s="76">
        <v>10</v>
      </c>
      <c r="O168" s="76">
        <v>0.14000000000000001</v>
      </c>
      <c r="P168" s="76">
        <v>0.1</v>
      </c>
    </row>
    <row r="169" spans="1:16">
      <c r="A169" s="74">
        <v>300060</v>
      </c>
      <c r="B169" s="129" t="s">
        <v>1116</v>
      </c>
      <c r="C169" s="74" t="s">
        <v>328</v>
      </c>
      <c r="D169" s="76">
        <v>0</v>
      </c>
      <c r="E169" s="76">
        <v>7</v>
      </c>
      <c r="F169" s="76">
        <v>2000</v>
      </c>
      <c r="G169" s="76">
        <v>120000</v>
      </c>
      <c r="H169" s="76">
        <v>0.8</v>
      </c>
      <c r="I169" s="74" t="s">
        <v>195</v>
      </c>
      <c r="J169" s="76">
        <v>9.67</v>
      </c>
      <c r="K169" s="76">
        <v>6.85</v>
      </c>
      <c r="L169" s="76">
        <v>0</v>
      </c>
      <c r="M169" s="76">
        <v>0</v>
      </c>
      <c r="N169" s="76">
        <v>10</v>
      </c>
      <c r="O169" s="76">
        <v>16.52</v>
      </c>
      <c r="P169" s="76">
        <v>9.67</v>
      </c>
    </row>
    <row r="170" spans="1:16">
      <c r="A170" s="74">
        <v>300220</v>
      </c>
      <c r="B170" s="129" t="s">
        <v>1117</v>
      </c>
      <c r="C170" s="74" t="s">
        <v>328</v>
      </c>
      <c r="D170" s="76">
        <v>15</v>
      </c>
      <c r="E170" s="76">
        <v>8</v>
      </c>
      <c r="F170" s="76">
        <v>2333</v>
      </c>
      <c r="G170" s="76">
        <v>350000</v>
      </c>
      <c r="H170" s="76">
        <v>0.5</v>
      </c>
      <c r="I170" s="74" t="s">
        <v>1153</v>
      </c>
      <c r="J170" s="76">
        <v>22.95</v>
      </c>
      <c r="K170" s="76">
        <v>9.3699999999999992</v>
      </c>
      <c r="L170" s="76">
        <v>90.25</v>
      </c>
      <c r="M170" s="76">
        <v>0</v>
      </c>
      <c r="N170" s="76">
        <v>5</v>
      </c>
      <c r="O170" s="76">
        <v>122.57</v>
      </c>
      <c r="P170" s="76">
        <v>22.95</v>
      </c>
    </row>
    <row r="171" spans="1:16">
      <c r="A171" s="74">
        <v>300100</v>
      </c>
      <c r="B171" s="129" t="s">
        <v>1118</v>
      </c>
      <c r="C171" s="74" t="s">
        <v>328</v>
      </c>
      <c r="D171" s="76">
        <v>0</v>
      </c>
      <c r="E171" s="76">
        <v>8</v>
      </c>
      <c r="F171" s="76">
        <v>2333</v>
      </c>
      <c r="G171" s="76">
        <v>230000</v>
      </c>
      <c r="H171" s="76">
        <v>0.5</v>
      </c>
      <c r="I171" s="74" t="s">
        <v>195</v>
      </c>
      <c r="J171" s="76">
        <v>15.08</v>
      </c>
      <c r="K171" s="76">
        <v>6.16</v>
      </c>
      <c r="L171" s="76">
        <v>0</v>
      </c>
      <c r="M171" s="76">
        <v>0</v>
      </c>
      <c r="N171" s="76">
        <v>5</v>
      </c>
      <c r="O171" s="76">
        <v>21.24</v>
      </c>
      <c r="P171" s="76">
        <v>15.08</v>
      </c>
    </row>
    <row r="172" spans="1:16">
      <c r="A172" s="74">
        <v>300200</v>
      </c>
      <c r="B172" s="129" t="s">
        <v>184</v>
      </c>
      <c r="C172" s="74" t="s">
        <v>328</v>
      </c>
      <c r="D172" s="76">
        <v>0</v>
      </c>
      <c r="E172" s="76">
        <v>8</v>
      </c>
      <c r="F172" s="76">
        <v>2333</v>
      </c>
      <c r="G172" s="76">
        <v>265000</v>
      </c>
      <c r="H172" s="76">
        <v>0.5</v>
      </c>
      <c r="I172" s="74" t="s">
        <v>195</v>
      </c>
      <c r="J172" s="76">
        <v>17.37</v>
      </c>
      <c r="K172" s="76">
        <v>7.09</v>
      </c>
      <c r="L172" s="76">
        <v>0</v>
      </c>
      <c r="M172" s="76">
        <v>0</v>
      </c>
      <c r="N172" s="76">
        <v>5</v>
      </c>
      <c r="O172" s="76">
        <v>24.46</v>
      </c>
      <c r="P172" s="76">
        <v>17.37</v>
      </c>
    </row>
    <row r="173" spans="1:16">
      <c r="A173" s="74">
        <v>300210</v>
      </c>
      <c r="B173" s="129" t="s">
        <v>1119</v>
      </c>
      <c r="C173" s="74" t="s">
        <v>328</v>
      </c>
      <c r="D173" s="76">
        <v>15</v>
      </c>
      <c r="E173" s="76">
        <v>8</v>
      </c>
      <c r="F173" s="76">
        <v>2333</v>
      </c>
      <c r="G173" s="76">
        <v>275000</v>
      </c>
      <c r="H173" s="76">
        <v>0.5</v>
      </c>
      <c r="I173" s="74" t="s">
        <v>1153</v>
      </c>
      <c r="J173" s="76">
        <v>18.03</v>
      </c>
      <c r="K173" s="76">
        <v>7.36</v>
      </c>
      <c r="L173" s="76">
        <v>90.25</v>
      </c>
      <c r="M173" s="76">
        <v>0</v>
      </c>
      <c r="N173" s="76">
        <v>5</v>
      </c>
      <c r="O173" s="76">
        <v>115.64</v>
      </c>
      <c r="P173" s="76">
        <v>18.03</v>
      </c>
    </row>
    <row r="174" spans="1:16">
      <c r="A174" s="74">
        <v>341000</v>
      </c>
      <c r="B174" s="129" t="s">
        <v>1120</v>
      </c>
      <c r="C174" s="74" t="s">
        <v>328</v>
      </c>
      <c r="D174" s="76">
        <v>155</v>
      </c>
      <c r="E174" s="76">
        <v>7</v>
      </c>
      <c r="F174" s="76">
        <v>2000</v>
      </c>
      <c r="G174" s="76">
        <v>345000</v>
      </c>
      <c r="H174" s="76">
        <v>0.8</v>
      </c>
      <c r="I174" s="74" t="s">
        <v>1153</v>
      </c>
      <c r="J174" s="76">
        <v>24.72</v>
      </c>
      <c r="K174" s="76">
        <v>19.71</v>
      </c>
      <c r="L174" s="76">
        <v>139.88999999999999</v>
      </c>
      <c r="M174" s="76">
        <v>32.18</v>
      </c>
      <c r="N174" s="76">
        <v>20</v>
      </c>
      <c r="O174" s="76">
        <v>216.5</v>
      </c>
      <c r="P174" s="76">
        <v>56.9</v>
      </c>
    </row>
    <row r="175" spans="1:16">
      <c r="A175" s="74">
        <v>341100</v>
      </c>
      <c r="B175" s="129" t="s">
        <v>1121</v>
      </c>
      <c r="C175" s="74" t="s">
        <v>328</v>
      </c>
      <c r="D175" s="76">
        <v>126</v>
      </c>
      <c r="E175" s="76">
        <v>7</v>
      </c>
      <c r="F175" s="76">
        <v>2000</v>
      </c>
      <c r="G175" s="76">
        <v>540000</v>
      </c>
      <c r="H175" s="76">
        <v>0.8</v>
      </c>
      <c r="I175" s="74" t="s">
        <v>1153</v>
      </c>
      <c r="J175" s="76">
        <v>38.69</v>
      </c>
      <c r="K175" s="76">
        <v>30.85</v>
      </c>
      <c r="L175" s="76">
        <v>113.72</v>
      </c>
      <c r="M175" s="76">
        <v>32.18</v>
      </c>
      <c r="N175" s="76">
        <v>20</v>
      </c>
      <c r="O175" s="76">
        <v>215.44</v>
      </c>
      <c r="P175" s="76">
        <v>70.87</v>
      </c>
    </row>
    <row r="176" spans="1:16">
      <c r="A176" s="74">
        <v>341500</v>
      </c>
      <c r="B176" s="129" t="s">
        <v>1122</v>
      </c>
      <c r="C176" s="74" t="s">
        <v>328</v>
      </c>
      <c r="D176" s="76">
        <v>85</v>
      </c>
      <c r="E176" s="76">
        <v>7</v>
      </c>
      <c r="F176" s="76">
        <v>2000</v>
      </c>
      <c r="G176" s="76">
        <v>364773.6</v>
      </c>
      <c r="H176" s="76">
        <v>0.8</v>
      </c>
      <c r="I176" s="74" t="s">
        <v>1153</v>
      </c>
      <c r="J176" s="76">
        <v>26.13</v>
      </c>
      <c r="K176" s="76">
        <v>20.84</v>
      </c>
      <c r="L176" s="76">
        <v>76.709999999999994</v>
      </c>
      <c r="M176" s="76">
        <v>32.18</v>
      </c>
      <c r="N176" s="76">
        <v>20</v>
      </c>
      <c r="O176" s="76">
        <v>155.86000000000001</v>
      </c>
      <c r="P176" s="76">
        <v>58.31</v>
      </c>
    </row>
    <row r="177" spans="1:16">
      <c r="A177" s="74">
        <v>310650</v>
      </c>
      <c r="B177" s="129" t="s">
        <v>1123</v>
      </c>
      <c r="C177" s="74" t="s">
        <v>954</v>
      </c>
      <c r="D177" s="76">
        <v>165</v>
      </c>
      <c r="E177" s="76">
        <v>11</v>
      </c>
      <c r="F177" s="76">
        <v>1800</v>
      </c>
      <c r="G177" s="76">
        <v>1400000</v>
      </c>
      <c r="H177" s="76">
        <v>1.4</v>
      </c>
      <c r="I177" s="74" t="s">
        <v>1153</v>
      </c>
      <c r="J177" s="76">
        <v>78.89</v>
      </c>
      <c r="K177" s="76">
        <v>98.98</v>
      </c>
      <c r="L177" s="76">
        <v>148.91999999999999</v>
      </c>
      <c r="M177" s="76">
        <v>40.76</v>
      </c>
      <c r="N177" s="76">
        <v>20</v>
      </c>
      <c r="O177" s="76">
        <v>367.55</v>
      </c>
      <c r="P177" s="76">
        <v>119.65</v>
      </c>
    </row>
    <row r="178" spans="1:16">
      <c r="A178" s="74">
        <v>320650</v>
      </c>
      <c r="B178" s="129" t="s">
        <v>1124</v>
      </c>
      <c r="C178" s="74" t="s">
        <v>328</v>
      </c>
      <c r="D178" s="76">
        <v>165</v>
      </c>
      <c r="E178" s="76">
        <v>9</v>
      </c>
      <c r="F178" s="76">
        <v>1800</v>
      </c>
      <c r="G178" s="76">
        <v>1400000</v>
      </c>
      <c r="H178" s="76">
        <v>1.5</v>
      </c>
      <c r="I178" s="74" t="s">
        <v>1153</v>
      </c>
      <c r="J178" s="76">
        <v>91.48</v>
      </c>
      <c r="K178" s="76">
        <v>129.62</v>
      </c>
      <c r="L178" s="76">
        <v>148.91999999999999</v>
      </c>
      <c r="M178" s="76">
        <v>40.76</v>
      </c>
      <c r="N178" s="76">
        <v>20</v>
      </c>
      <c r="O178" s="76">
        <v>410.78</v>
      </c>
      <c r="P178" s="76">
        <v>132.24</v>
      </c>
    </row>
    <row r="179" spans="1:16">
      <c r="A179" s="74">
        <v>330650</v>
      </c>
      <c r="B179" s="129" t="s">
        <v>1125</v>
      </c>
      <c r="C179" s="74" t="s">
        <v>957</v>
      </c>
      <c r="D179" s="76">
        <v>165</v>
      </c>
      <c r="E179" s="76">
        <v>7</v>
      </c>
      <c r="F179" s="76">
        <v>1800</v>
      </c>
      <c r="G179" s="76">
        <v>1400000</v>
      </c>
      <c r="H179" s="76">
        <v>1.6</v>
      </c>
      <c r="I179" s="74" t="s">
        <v>1153</v>
      </c>
      <c r="J179" s="76">
        <v>111.46</v>
      </c>
      <c r="K179" s="76">
        <v>177.77</v>
      </c>
      <c r="L179" s="76">
        <v>148.91999999999999</v>
      </c>
      <c r="M179" s="76">
        <v>40.76</v>
      </c>
      <c r="N179" s="76">
        <v>20</v>
      </c>
      <c r="O179" s="76">
        <v>478.91</v>
      </c>
      <c r="P179" s="76">
        <v>152.22</v>
      </c>
    </row>
    <row r="180" spans="1:16">
      <c r="A180" s="74">
        <v>310080</v>
      </c>
      <c r="B180" s="129" t="s">
        <v>1126</v>
      </c>
      <c r="C180" s="74" t="s">
        <v>954</v>
      </c>
      <c r="D180" s="76">
        <v>310</v>
      </c>
      <c r="E180" s="76">
        <v>11</v>
      </c>
      <c r="F180" s="76">
        <v>1800</v>
      </c>
      <c r="G180" s="76">
        <v>4647725</v>
      </c>
      <c r="H180" s="76">
        <v>1.4</v>
      </c>
      <c r="I180" s="74" t="s">
        <v>1153</v>
      </c>
      <c r="J180" s="76">
        <v>261.91000000000003</v>
      </c>
      <c r="K180" s="76">
        <v>328.62</v>
      </c>
      <c r="L180" s="76">
        <v>279.79000000000002</v>
      </c>
      <c r="M180" s="76">
        <v>40.76</v>
      </c>
      <c r="N180" s="76">
        <v>20</v>
      </c>
      <c r="O180" s="76">
        <v>911.08</v>
      </c>
      <c r="P180" s="76">
        <v>302.67</v>
      </c>
    </row>
    <row r="181" spans="1:16">
      <c r="A181" s="74">
        <v>320080</v>
      </c>
      <c r="B181" s="129" t="s">
        <v>1127</v>
      </c>
      <c r="C181" s="74" t="s">
        <v>328</v>
      </c>
      <c r="D181" s="76">
        <v>310</v>
      </c>
      <c r="E181" s="76">
        <v>9</v>
      </c>
      <c r="F181" s="76">
        <v>1800</v>
      </c>
      <c r="G181" s="76">
        <v>4647725</v>
      </c>
      <c r="H181" s="76">
        <v>1.5</v>
      </c>
      <c r="I181" s="74" t="s">
        <v>1153</v>
      </c>
      <c r="J181" s="76">
        <v>303.69</v>
      </c>
      <c r="K181" s="76">
        <v>430.34</v>
      </c>
      <c r="L181" s="76">
        <v>279.79000000000002</v>
      </c>
      <c r="M181" s="76">
        <v>40.76</v>
      </c>
      <c r="N181" s="76">
        <v>20</v>
      </c>
      <c r="O181" s="76">
        <v>1054.58</v>
      </c>
      <c r="P181" s="76">
        <v>344.45</v>
      </c>
    </row>
    <row r="182" spans="1:16">
      <c r="A182" s="74">
        <v>330080</v>
      </c>
      <c r="B182" s="129" t="s">
        <v>1128</v>
      </c>
      <c r="C182" s="74" t="s">
        <v>957</v>
      </c>
      <c r="D182" s="76">
        <v>310</v>
      </c>
      <c r="E182" s="76">
        <v>7</v>
      </c>
      <c r="F182" s="76">
        <v>1800</v>
      </c>
      <c r="G182" s="76">
        <v>4647725</v>
      </c>
      <c r="H182" s="76">
        <v>1.6</v>
      </c>
      <c r="I182" s="74" t="s">
        <v>1153</v>
      </c>
      <c r="J182" s="76">
        <v>370.03</v>
      </c>
      <c r="K182" s="76">
        <v>590.17999999999995</v>
      </c>
      <c r="L182" s="76">
        <v>279.79000000000002</v>
      </c>
      <c r="M182" s="76">
        <v>40.76</v>
      </c>
      <c r="N182" s="76">
        <v>20</v>
      </c>
      <c r="O182" s="76">
        <v>1280.76</v>
      </c>
      <c r="P182" s="76">
        <v>410.79</v>
      </c>
    </row>
    <row r="183" spans="1:16">
      <c r="A183" s="74">
        <v>320140</v>
      </c>
      <c r="B183" s="129" t="s">
        <v>1129</v>
      </c>
      <c r="C183" s="74" t="s">
        <v>328</v>
      </c>
      <c r="D183" s="76">
        <v>155</v>
      </c>
      <c r="E183" s="76">
        <v>9</v>
      </c>
      <c r="F183" s="76">
        <v>1800</v>
      </c>
      <c r="G183" s="76">
        <v>1500000</v>
      </c>
      <c r="H183" s="76">
        <v>1.5</v>
      </c>
      <c r="I183" s="74" t="s">
        <v>1153</v>
      </c>
      <c r="J183" s="76">
        <v>98.01</v>
      </c>
      <c r="K183" s="76">
        <v>138.88</v>
      </c>
      <c r="L183" s="76">
        <v>139.88999999999999</v>
      </c>
      <c r="M183" s="76">
        <v>40.76</v>
      </c>
      <c r="N183" s="76">
        <v>20</v>
      </c>
      <c r="O183" s="76">
        <v>417.54</v>
      </c>
      <c r="P183" s="76">
        <v>138.77000000000001</v>
      </c>
    </row>
    <row r="184" spans="1:16">
      <c r="A184" s="74">
        <v>310040</v>
      </c>
      <c r="B184" s="129" t="s">
        <v>1130</v>
      </c>
      <c r="C184" s="74" t="s">
        <v>954</v>
      </c>
      <c r="D184" s="76">
        <v>128</v>
      </c>
      <c r="E184" s="76">
        <v>11</v>
      </c>
      <c r="F184" s="76">
        <v>1800</v>
      </c>
      <c r="G184" s="76">
        <v>1200920</v>
      </c>
      <c r="H184" s="76">
        <v>1.4</v>
      </c>
      <c r="I184" s="74" t="s">
        <v>1153</v>
      </c>
      <c r="J184" s="76">
        <v>67.67</v>
      </c>
      <c r="K184" s="76">
        <v>84.91</v>
      </c>
      <c r="L184" s="76">
        <v>115.52</v>
      </c>
      <c r="M184" s="76">
        <v>40.76</v>
      </c>
      <c r="N184" s="76">
        <v>20</v>
      </c>
      <c r="O184" s="76">
        <v>308.86</v>
      </c>
      <c r="P184" s="76">
        <v>108.43</v>
      </c>
    </row>
    <row r="185" spans="1:16">
      <c r="A185" s="74">
        <v>320040</v>
      </c>
      <c r="B185" s="129" t="s">
        <v>1131</v>
      </c>
      <c r="C185" s="74" t="s">
        <v>328</v>
      </c>
      <c r="D185" s="76">
        <v>128</v>
      </c>
      <c r="E185" s="76">
        <v>9</v>
      </c>
      <c r="F185" s="76">
        <v>1800</v>
      </c>
      <c r="G185" s="76">
        <v>1200920</v>
      </c>
      <c r="H185" s="76">
        <v>1.5</v>
      </c>
      <c r="I185" s="74" t="s">
        <v>1153</v>
      </c>
      <c r="J185" s="76">
        <v>78.47</v>
      </c>
      <c r="K185" s="76">
        <v>111.19</v>
      </c>
      <c r="L185" s="76">
        <v>115.52</v>
      </c>
      <c r="M185" s="76">
        <v>40.76</v>
      </c>
      <c r="N185" s="76">
        <v>20</v>
      </c>
      <c r="O185" s="76">
        <v>345.94</v>
      </c>
      <c r="P185" s="76">
        <v>119.23</v>
      </c>
    </row>
    <row r="186" spans="1:16">
      <c r="A186" s="74">
        <v>330040</v>
      </c>
      <c r="B186" s="129" t="s">
        <v>1132</v>
      </c>
      <c r="C186" s="74" t="s">
        <v>957</v>
      </c>
      <c r="D186" s="76">
        <v>128</v>
      </c>
      <c r="E186" s="76">
        <v>7</v>
      </c>
      <c r="F186" s="76">
        <v>1800</v>
      </c>
      <c r="G186" s="76">
        <v>1200920</v>
      </c>
      <c r="H186" s="76">
        <v>1.6</v>
      </c>
      <c r="I186" s="74" t="s">
        <v>1153</v>
      </c>
      <c r="J186" s="76">
        <v>95.61</v>
      </c>
      <c r="K186" s="76">
        <v>152.49</v>
      </c>
      <c r="L186" s="76">
        <v>115.52</v>
      </c>
      <c r="M186" s="76">
        <v>40.76</v>
      </c>
      <c r="N186" s="76">
        <v>20</v>
      </c>
      <c r="O186" s="76">
        <v>404.38</v>
      </c>
      <c r="P186" s="76">
        <v>136.37</v>
      </c>
    </row>
    <row r="187" spans="1:16">
      <c r="A187" s="74">
        <v>310060</v>
      </c>
      <c r="B187" s="129" t="s">
        <v>1133</v>
      </c>
      <c r="C187" s="74" t="s">
        <v>954</v>
      </c>
      <c r="D187" s="76">
        <v>150</v>
      </c>
      <c r="E187" s="76">
        <v>11</v>
      </c>
      <c r="F187" s="76">
        <v>1800</v>
      </c>
      <c r="G187" s="76">
        <v>1583900</v>
      </c>
      <c r="H187" s="76">
        <v>1.4</v>
      </c>
      <c r="I187" s="74" t="s">
        <v>1153</v>
      </c>
      <c r="J187" s="76">
        <v>89.25</v>
      </c>
      <c r="K187" s="76">
        <v>111.99</v>
      </c>
      <c r="L187" s="76">
        <v>135.38</v>
      </c>
      <c r="M187" s="76">
        <v>40.76</v>
      </c>
      <c r="N187" s="76">
        <v>20</v>
      </c>
      <c r="O187" s="76">
        <v>377.38</v>
      </c>
      <c r="P187" s="76">
        <v>130.01</v>
      </c>
    </row>
    <row r="188" spans="1:16">
      <c r="A188" s="74">
        <v>320060</v>
      </c>
      <c r="B188" s="129" t="s">
        <v>183</v>
      </c>
      <c r="C188" s="74" t="s">
        <v>328</v>
      </c>
      <c r="D188" s="76">
        <v>150</v>
      </c>
      <c r="E188" s="76">
        <v>9</v>
      </c>
      <c r="F188" s="76">
        <v>1800</v>
      </c>
      <c r="G188" s="76">
        <v>1583900</v>
      </c>
      <c r="H188" s="76">
        <v>1.5</v>
      </c>
      <c r="I188" s="74" t="s">
        <v>1153</v>
      </c>
      <c r="J188" s="76">
        <v>103.49</v>
      </c>
      <c r="K188" s="76">
        <v>146.65</v>
      </c>
      <c r="L188" s="76">
        <v>135.38</v>
      </c>
      <c r="M188" s="76">
        <v>40.76</v>
      </c>
      <c r="N188" s="76">
        <v>20</v>
      </c>
      <c r="O188" s="76">
        <v>426.28</v>
      </c>
      <c r="P188" s="76">
        <v>144.25</v>
      </c>
    </row>
    <row r="189" spans="1:16">
      <c r="A189" s="74">
        <v>330060</v>
      </c>
      <c r="B189" s="129" t="s">
        <v>1134</v>
      </c>
      <c r="C189" s="74" t="s">
        <v>957</v>
      </c>
      <c r="D189" s="76">
        <v>150</v>
      </c>
      <c r="E189" s="76">
        <v>7</v>
      </c>
      <c r="F189" s="76">
        <v>1800</v>
      </c>
      <c r="G189" s="76">
        <v>1583900</v>
      </c>
      <c r="H189" s="76">
        <v>1.6</v>
      </c>
      <c r="I189" s="74" t="s">
        <v>1153</v>
      </c>
      <c r="J189" s="76">
        <v>126.1</v>
      </c>
      <c r="K189" s="76">
        <v>201.13</v>
      </c>
      <c r="L189" s="76">
        <v>135.38</v>
      </c>
      <c r="M189" s="76">
        <v>40.76</v>
      </c>
      <c r="N189" s="76">
        <v>20</v>
      </c>
      <c r="O189" s="76">
        <v>503.37</v>
      </c>
      <c r="P189" s="76">
        <v>166.86</v>
      </c>
    </row>
    <row r="190" spans="1:16">
      <c r="A190" s="74">
        <v>311650</v>
      </c>
      <c r="B190" s="129" t="s">
        <v>1135</v>
      </c>
      <c r="C190" s="74" t="s">
        <v>954</v>
      </c>
      <c r="D190" s="76">
        <v>165</v>
      </c>
      <c r="E190" s="76">
        <v>11</v>
      </c>
      <c r="F190" s="76">
        <v>1800</v>
      </c>
      <c r="G190" s="76">
        <v>1365000</v>
      </c>
      <c r="H190" s="76">
        <v>1.4</v>
      </c>
      <c r="I190" s="74" t="s">
        <v>1153</v>
      </c>
      <c r="J190" s="76">
        <v>76.92</v>
      </c>
      <c r="K190" s="76">
        <v>96.51</v>
      </c>
      <c r="L190" s="76">
        <v>148.91999999999999</v>
      </c>
      <c r="M190" s="76">
        <v>40.76</v>
      </c>
      <c r="N190" s="76">
        <v>20</v>
      </c>
      <c r="O190" s="76">
        <v>363.11</v>
      </c>
      <c r="P190" s="76">
        <v>117.68</v>
      </c>
    </row>
    <row r="191" spans="1:16">
      <c r="A191" s="74">
        <v>321650</v>
      </c>
      <c r="B191" s="129" t="s">
        <v>1136</v>
      </c>
      <c r="C191" s="74" t="s">
        <v>328</v>
      </c>
      <c r="D191" s="76">
        <v>165</v>
      </c>
      <c r="E191" s="76">
        <v>9</v>
      </c>
      <c r="F191" s="76">
        <v>1800</v>
      </c>
      <c r="G191" s="76">
        <v>1365000</v>
      </c>
      <c r="H191" s="76">
        <v>1.5</v>
      </c>
      <c r="I191" s="74" t="s">
        <v>1153</v>
      </c>
      <c r="J191" s="76">
        <v>89.19</v>
      </c>
      <c r="K191" s="76">
        <v>126.38</v>
      </c>
      <c r="L191" s="76">
        <v>148.91999999999999</v>
      </c>
      <c r="M191" s="76">
        <v>40.76</v>
      </c>
      <c r="N191" s="76">
        <v>20</v>
      </c>
      <c r="O191" s="76">
        <v>405.25</v>
      </c>
      <c r="P191" s="76">
        <v>129.94999999999999</v>
      </c>
    </row>
    <row r="192" spans="1:16">
      <c r="A192" s="74">
        <v>331650</v>
      </c>
      <c r="B192" s="129" t="s">
        <v>1014</v>
      </c>
      <c r="C192" s="74" t="s">
        <v>957</v>
      </c>
      <c r="D192" s="76">
        <v>165</v>
      </c>
      <c r="E192" s="76">
        <v>7</v>
      </c>
      <c r="F192" s="76">
        <v>1800</v>
      </c>
      <c r="G192" s="76">
        <v>1365000</v>
      </c>
      <c r="H192" s="76">
        <v>1.6</v>
      </c>
      <c r="I192" s="74" t="s">
        <v>1153</v>
      </c>
      <c r="J192" s="76">
        <v>108.67</v>
      </c>
      <c r="K192" s="76">
        <v>173.33</v>
      </c>
      <c r="L192" s="76">
        <v>148.91999999999999</v>
      </c>
      <c r="M192" s="76">
        <v>40.76</v>
      </c>
      <c r="N192" s="76">
        <v>20</v>
      </c>
      <c r="O192" s="76">
        <v>471.68</v>
      </c>
      <c r="P192" s="76">
        <v>149.43</v>
      </c>
    </row>
    <row r="193" spans="1:16">
      <c r="A193" s="74">
        <v>310180</v>
      </c>
      <c r="B193" s="129" t="s">
        <v>1015</v>
      </c>
      <c r="C193" s="74" t="s">
        <v>954</v>
      </c>
      <c r="D193" s="76">
        <v>310</v>
      </c>
      <c r="E193" s="76">
        <v>11</v>
      </c>
      <c r="F193" s="76">
        <v>1800</v>
      </c>
      <c r="G193" s="76">
        <v>4647725</v>
      </c>
      <c r="H193" s="76">
        <v>1.4</v>
      </c>
      <c r="I193" s="74" t="s">
        <v>1153</v>
      </c>
      <c r="J193" s="76">
        <v>261.91000000000003</v>
      </c>
      <c r="K193" s="76">
        <v>328.62</v>
      </c>
      <c r="L193" s="76">
        <v>279.79000000000002</v>
      </c>
      <c r="M193" s="76">
        <v>40.76</v>
      </c>
      <c r="N193" s="76">
        <v>20</v>
      </c>
      <c r="O193" s="76">
        <v>911.08</v>
      </c>
      <c r="P193" s="76">
        <v>302.67</v>
      </c>
    </row>
    <row r="194" spans="1:16">
      <c r="A194" s="74">
        <v>320180</v>
      </c>
      <c r="B194" s="129" t="s">
        <v>1016</v>
      </c>
      <c r="C194" s="74" t="s">
        <v>328</v>
      </c>
      <c r="D194" s="76">
        <v>310</v>
      </c>
      <c r="E194" s="76">
        <v>9</v>
      </c>
      <c r="F194" s="76">
        <v>1800</v>
      </c>
      <c r="G194" s="76">
        <v>4647725</v>
      </c>
      <c r="H194" s="76">
        <v>1.5</v>
      </c>
      <c r="I194" s="74" t="s">
        <v>1153</v>
      </c>
      <c r="J194" s="76">
        <v>303.69</v>
      </c>
      <c r="K194" s="76">
        <v>430.34</v>
      </c>
      <c r="L194" s="76">
        <v>279.79000000000002</v>
      </c>
      <c r="M194" s="76">
        <v>40.76</v>
      </c>
      <c r="N194" s="76">
        <v>20</v>
      </c>
      <c r="O194" s="76">
        <v>1054.58</v>
      </c>
      <c r="P194" s="76">
        <v>344.45</v>
      </c>
    </row>
    <row r="195" spans="1:16">
      <c r="A195" s="74">
        <v>330180</v>
      </c>
      <c r="B195" s="129" t="s">
        <v>1137</v>
      </c>
      <c r="C195" s="74" t="s">
        <v>957</v>
      </c>
      <c r="D195" s="76">
        <v>310</v>
      </c>
      <c r="E195" s="76">
        <v>7</v>
      </c>
      <c r="F195" s="76">
        <v>1800</v>
      </c>
      <c r="G195" s="76">
        <v>4647725</v>
      </c>
      <c r="H195" s="76">
        <v>1.6</v>
      </c>
      <c r="I195" s="74" t="s">
        <v>1153</v>
      </c>
      <c r="J195" s="76">
        <v>370.03</v>
      </c>
      <c r="K195" s="76">
        <v>590.17999999999995</v>
      </c>
      <c r="L195" s="76">
        <v>279.79000000000002</v>
      </c>
      <c r="M195" s="76">
        <v>40.76</v>
      </c>
      <c r="N195" s="76">
        <v>20</v>
      </c>
      <c r="O195" s="76">
        <v>1280.76</v>
      </c>
      <c r="P195" s="76">
        <v>410.79</v>
      </c>
    </row>
    <row r="196" spans="1:16">
      <c r="A196" s="74">
        <v>320700</v>
      </c>
      <c r="B196" s="129" t="s">
        <v>1138</v>
      </c>
      <c r="C196" s="74" t="s">
        <v>328</v>
      </c>
      <c r="D196" s="76">
        <v>88</v>
      </c>
      <c r="E196" s="76">
        <v>9</v>
      </c>
      <c r="F196" s="76">
        <v>1800</v>
      </c>
      <c r="G196" s="76">
        <v>1250000</v>
      </c>
      <c r="H196" s="76">
        <v>1.5</v>
      </c>
      <c r="I196" s="74" t="s">
        <v>1153</v>
      </c>
      <c r="J196" s="76">
        <v>81.67</v>
      </c>
      <c r="K196" s="76">
        <v>115.74</v>
      </c>
      <c r="L196" s="76">
        <v>79.42</v>
      </c>
      <c r="M196" s="76">
        <v>40.76</v>
      </c>
      <c r="N196" s="76">
        <v>20</v>
      </c>
      <c r="O196" s="76">
        <v>317.58999999999997</v>
      </c>
      <c r="P196" s="76">
        <v>122.43</v>
      </c>
    </row>
    <row r="197" spans="1:16" ht="31.5">
      <c r="A197" s="74">
        <v>300140</v>
      </c>
      <c r="B197" s="129" t="s">
        <v>1139</v>
      </c>
      <c r="C197" s="74" t="s">
        <v>328</v>
      </c>
      <c r="D197" s="76">
        <v>0</v>
      </c>
      <c r="E197" s="76">
        <v>8</v>
      </c>
      <c r="F197" s="76">
        <v>1500</v>
      </c>
      <c r="G197" s="76">
        <v>3009440</v>
      </c>
      <c r="H197" s="76">
        <v>0.9</v>
      </c>
      <c r="I197" s="74" t="s">
        <v>195</v>
      </c>
      <c r="J197" s="76">
        <v>290.77</v>
      </c>
      <c r="K197" s="76">
        <v>225.7</v>
      </c>
      <c r="L197" s="76">
        <v>0</v>
      </c>
      <c r="M197" s="76">
        <v>251.72</v>
      </c>
      <c r="N197" s="76">
        <v>10</v>
      </c>
      <c r="O197" s="76">
        <v>768.19</v>
      </c>
      <c r="P197" s="76">
        <v>542.49</v>
      </c>
    </row>
    <row r="198" spans="1:16" ht="31.5">
      <c r="A198" s="74">
        <v>300170</v>
      </c>
      <c r="B198" s="129" t="s">
        <v>1140</v>
      </c>
      <c r="C198" s="74" t="s">
        <v>328</v>
      </c>
      <c r="D198" s="76">
        <v>0</v>
      </c>
      <c r="E198" s="76">
        <v>8</v>
      </c>
      <c r="F198" s="76">
        <v>1500</v>
      </c>
      <c r="G198" s="76">
        <v>3757394.67</v>
      </c>
      <c r="H198" s="76">
        <v>0.9</v>
      </c>
      <c r="I198" s="74" t="s">
        <v>195</v>
      </c>
      <c r="J198" s="76">
        <v>363.04</v>
      </c>
      <c r="K198" s="76">
        <v>281.8</v>
      </c>
      <c r="L198" s="76">
        <v>0</v>
      </c>
      <c r="M198" s="76">
        <v>251.72</v>
      </c>
      <c r="N198" s="76">
        <v>10</v>
      </c>
      <c r="O198" s="76">
        <v>896.56</v>
      </c>
      <c r="P198" s="76">
        <v>614.76</v>
      </c>
    </row>
    <row r="199" spans="1:16">
      <c r="A199" s="74">
        <v>309100</v>
      </c>
      <c r="B199" s="129" t="s">
        <v>1141</v>
      </c>
      <c r="C199" s="74" t="s">
        <v>328</v>
      </c>
      <c r="D199" s="76">
        <v>0</v>
      </c>
      <c r="E199" s="76">
        <v>8</v>
      </c>
      <c r="F199" s="76">
        <v>1500</v>
      </c>
      <c r="G199" s="76">
        <v>258900</v>
      </c>
      <c r="H199" s="76">
        <v>0.9</v>
      </c>
      <c r="I199" s="74" t="s">
        <v>1155</v>
      </c>
      <c r="J199" s="76">
        <v>25.01</v>
      </c>
      <c r="K199" s="76">
        <v>19.41</v>
      </c>
      <c r="L199" s="76">
        <v>0</v>
      </c>
      <c r="M199" s="76">
        <v>90.1</v>
      </c>
      <c r="N199" s="76">
        <v>10</v>
      </c>
      <c r="O199" s="76">
        <v>134.52000000000001</v>
      </c>
      <c r="P199" s="76">
        <v>115.11</v>
      </c>
    </row>
    <row r="200" spans="1:16">
      <c r="A200" s="74">
        <v>309000</v>
      </c>
      <c r="B200" s="129" t="s">
        <v>1142</v>
      </c>
      <c r="C200" s="74" t="s">
        <v>328</v>
      </c>
      <c r="D200" s="76">
        <v>92</v>
      </c>
      <c r="E200" s="76">
        <v>8</v>
      </c>
      <c r="F200" s="76">
        <v>1500</v>
      </c>
      <c r="G200" s="76">
        <v>957755.88</v>
      </c>
      <c r="H200" s="76">
        <v>0.9</v>
      </c>
      <c r="I200" s="74" t="s">
        <v>1153</v>
      </c>
      <c r="J200" s="76">
        <v>92.53</v>
      </c>
      <c r="K200" s="76">
        <v>71.83</v>
      </c>
      <c r="L200" s="76">
        <v>83.03</v>
      </c>
      <c r="M200" s="76">
        <v>0</v>
      </c>
      <c r="N200" s="76">
        <v>10</v>
      </c>
      <c r="O200" s="76">
        <v>247.39</v>
      </c>
      <c r="P200" s="76">
        <v>92.53</v>
      </c>
    </row>
    <row r="201" spans="1:16">
      <c r="A201" s="74">
        <v>303500</v>
      </c>
      <c r="B201" s="129" t="s">
        <v>1143</v>
      </c>
      <c r="C201" s="74" t="s">
        <v>328</v>
      </c>
      <c r="D201" s="76">
        <v>0</v>
      </c>
      <c r="E201" s="76">
        <v>8</v>
      </c>
      <c r="F201" s="76">
        <v>1500</v>
      </c>
      <c r="G201" s="76">
        <v>2246332</v>
      </c>
      <c r="H201" s="76">
        <v>0.9</v>
      </c>
      <c r="I201" s="74" t="s">
        <v>1155</v>
      </c>
      <c r="J201" s="76">
        <v>217.04</v>
      </c>
      <c r="K201" s="76">
        <v>168.47</v>
      </c>
      <c r="L201" s="76">
        <v>0</v>
      </c>
      <c r="M201" s="76">
        <v>90.1</v>
      </c>
      <c r="N201" s="76">
        <v>10</v>
      </c>
      <c r="O201" s="76">
        <v>475.61</v>
      </c>
      <c r="P201" s="76">
        <v>307.14</v>
      </c>
    </row>
    <row r="202" spans="1:16" ht="31.5">
      <c r="A202" s="74">
        <v>303600</v>
      </c>
      <c r="B202" s="129" t="s">
        <v>1144</v>
      </c>
      <c r="C202" s="74" t="s">
        <v>328</v>
      </c>
      <c r="D202" s="76">
        <v>0</v>
      </c>
      <c r="E202" s="76">
        <v>8</v>
      </c>
      <c r="F202" s="76">
        <v>1500</v>
      </c>
      <c r="G202" s="76">
        <v>1800000</v>
      </c>
      <c r="H202" s="76">
        <v>0.9</v>
      </c>
      <c r="I202" s="74" t="s">
        <v>1155</v>
      </c>
      <c r="J202" s="76">
        <v>173.91</v>
      </c>
      <c r="K202" s="76">
        <v>135</v>
      </c>
      <c r="L202" s="76">
        <v>0</v>
      </c>
      <c r="M202" s="76">
        <v>90.1</v>
      </c>
      <c r="N202" s="76">
        <v>10</v>
      </c>
      <c r="O202" s="76">
        <v>399.01</v>
      </c>
      <c r="P202" s="76">
        <v>264.01</v>
      </c>
    </row>
    <row r="203" spans="1:16">
      <c r="A203" s="74">
        <v>300090</v>
      </c>
      <c r="B203" s="129" t="s">
        <v>1145</v>
      </c>
      <c r="C203" s="74" t="s">
        <v>328</v>
      </c>
      <c r="D203" s="76">
        <v>0</v>
      </c>
      <c r="E203" s="76">
        <v>8</v>
      </c>
      <c r="F203" s="76">
        <v>1000</v>
      </c>
      <c r="G203" s="76">
        <v>60984</v>
      </c>
      <c r="H203" s="76">
        <v>0.5</v>
      </c>
      <c r="I203" s="74" t="s">
        <v>195</v>
      </c>
      <c r="J203" s="76">
        <v>9.32</v>
      </c>
      <c r="K203" s="76">
        <v>3.81</v>
      </c>
      <c r="L203" s="76">
        <v>0</v>
      </c>
      <c r="M203" s="76">
        <v>0</v>
      </c>
      <c r="N203" s="76">
        <v>5</v>
      </c>
      <c r="O203" s="76">
        <v>13.13</v>
      </c>
      <c r="P203" s="76">
        <v>9.32</v>
      </c>
    </row>
    <row r="204" spans="1:16">
      <c r="A204" s="74">
        <v>370000</v>
      </c>
      <c r="B204" s="129" t="s">
        <v>1146</v>
      </c>
      <c r="C204" s="74" t="s">
        <v>328</v>
      </c>
      <c r="D204" s="76">
        <v>220</v>
      </c>
      <c r="E204" s="76">
        <v>4</v>
      </c>
      <c r="F204" s="76">
        <v>2000</v>
      </c>
      <c r="G204" s="76">
        <v>1222827.04</v>
      </c>
      <c r="H204" s="76">
        <v>1.1000000000000001</v>
      </c>
      <c r="I204" s="74" t="s">
        <v>1153</v>
      </c>
      <c r="J204" s="76">
        <v>141.15</v>
      </c>
      <c r="K204" s="76">
        <v>168.13</v>
      </c>
      <c r="L204" s="76">
        <v>144.28</v>
      </c>
      <c r="M204" s="76">
        <v>40.76</v>
      </c>
      <c r="N204" s="76">
        <v>20</v>
      </c>
      <c r="O204" s="76">
        <v>494.32</v>
      </c>
      <c r="P204" s="76">
        <v>181.91</v>
      </c>
    </row>
    <row r="205" spans="1:16">
      <c r="A205" s="74">
        <v>370110</v>
      </c>
      <c r="B205" s="129" t="s">
        <v>1147</v>
      </c>
      <c r="C205" s="74" t="s">
        <v>328</v>
      </c>
      <c r="D205" s="76">
        <v>95</v>
      </c>
      <c r="E205" s="76">
        <v>5</v>
      </c>
      <c r="F205" s="76">
        <v>2000</v>
      </c>
      <c r="G205" s="76">
        <v>110870</v>
      </c>
      <c r="H205" s="76">
        <v>0.8</v>
      </c>
      <c r="I205" s="74" t="s">
        <v>1154</v>
      </c>
      <c r="J205" s="76">
        <v>10.52</v>
      </c>
      <c r="K205" s="76">
        <v>8.86</v>
      </c>
      <c r="L205" s="76">
        <v>116.91</v>
      </c>
      <c r="M205" s="76">
        <v>32.18</v>
      </c>
      <c r="N205" s="76">
        <v>20</v>
      </c>
      <c r="O205" s="76">
        <v>168.47</v>
      </c>
      <c r="P205" s="76">
        <v>42.7</v>
      </c>
    </row>
    <row r="206" spans="1:16">
      <c r="A206" s="74">
        <v>370160</v>
      </c>
      <c r="B206" s="129" t="s">
        <v>1148</v>
      </c>
      <c r="C206" s="74" t="s">
        <v>328</v>
      </c>
      <c r="D206" s="76">
        <v>95</v>
      </c>
      <c r="E206" s="76">
        <v>5</v>
      </c>
      <c r="F206" s="76">
        <v>2000</v>
      </c>
      <c r="G206" s="76">
        <v>110870</v>
      </c>
      <c r="H206" s="76">
        <v>0.8</v>
      </c>
      <c r="I206" s="74" t="s">
        <v>1154</v>
      </c>
      <c r="J206" s="76">
        <v>10.52</v>
      </c>
      <c r="K206" s="76">
        <v>8.86</v>
      </c>
      <c r="L206" s="76">
        <v>116.91</v>
      </c>
      <c r="M206" s="76">
        <v>0</v>
      </c>
      <c r="N206" s="76">
        <v>20</v>
      </c>
      <c r="O206" s="76">
        <v>136.29</v>
      </c>
      <c r="P206" s="76">
        <v>10.52</v>
      </c>
    </row>
    <row r="207" spans="1:16">
      <c r="A207" s="74">
        <v>341450</v>
      </c>
      <c r="B207" s="129" t="s">
        <v>1149</v>
      </c>
      <c r="C207" s="74" t="s">
        <v>328</v>
      </c>
      <c r="D207" s="76">
        <v>0</v>
      </c>
      <c r="E207" s="76">
        <v>6</v>
      </c>
      <c r="F207" s="76">
        <v>1250</v>
      </c>
      <c r="G207" s="76">
        <v>2639.23</v>
      </c>
      <c r="H207" s="76">
        <v>0.5</v>
      </c>
      <c r="I207" s="74" t="s">
        <v>1155</v>
      </c>
      <c r="J207" s="76">
        <v>0.42</v>
      </c>
      <c r="K207" s="76">
        <v>0.17</v>
      </c>
      <c r="L207" s="76">
        <v>0</v>
      </c>
      <c r="M207" s="76">
        <v>0</v>
      </c>
      <c r="N207" s="76">
        <v>0</v>
      </c>
      <c r="O207" s="76">
        <v>0.59</v>
      </c>
      <c r="P207" s="76">
        <v>0.42</v>
      </c>
    </row>
    <row r="208" spans="1:16">
      <c r="A208" s="74">
        <v>370450</v>
      </c>
      <c r="B208" s="129" t="s">
        <v>1150</v>
      </c>
      <c r="C208" s="74" t="s">
        <v>328</v>
      </c>
      <c r="D208" s="76">
        <v>4</v>
      </c>
      <c r="E208" s="76">
        <v>4</v>
      </c>
      <c r="F208" s="76">
        <v>1250</v>
      </c>
      <c r="G208" s="76">
        <v>1759.23</v>
      </c>
      <c r="H208" s="76">
        <v>0.5</v>
      </c>
      <c r="I208" s="74" t="s">
        <v>1154</v>
      </c>
      <c r="J208" s="76">
        <v>0.4</v>
      </c>
      <c r="K208" s="76">
        <v>0.17</v>
      </c>
      <c r="L208" s="76">
        <v>5.0199999999999996</v>
      </c>
      <c r="M208" s="76">
        <v>0</v>
      </c>
      <c r="N208" s="76">
        <v>0</v>
      </c>
      <c r="O208" s="76">
        <v>5.59</v>
      </c>
      <c r="P208" s="76">
        <v>0.4</v>
      </c>
    </row>
    <row r="209" spans="1:16">
      <c r="A209" s="74">
        <v>340410</v>
      </c>
      <c r="B209" s="129" t="s">
        <v>1151</v>
      </c>
      <c r="C209" s="74" t="s">
        <v>328</v>
      </c>
      <c r="D209" s="76">
        <v>105</v>
      </c>
      <c r="E209" s="76">
        <v>8</v>
      </c>
      <c r="F209" s="76">
        <v>1500</v>
      </c>
      <c r="G209" s="76">
        <v>1014360</v>
      </c>
      <c r="H209" s="76">
        <v>0.9</v>
      </c>
      <c r="I209" s="74" t="s">
        <v>1153</v>
      </c>
      <c r="J209" s="76">
        <v>98</v>
      </c>
      <c r="K209" s="76">
        <v>76.069999999999993</v>
      </c>
      <c r="L209" s="76">
        <v>94.76</v>
      </c>
      <c r="M209" s="76">
        <v>40.76</v>
      </c>
      <c r="N209" s="76">
        <v>10</v>
      </c>
      <c r="O209" s="76">
        <v>309.58999999999997</v>
      </c>
      <c r="P209" s="76">
        <v>138.76</v>
      </c>
    </row>
  </sheetData>
  <autoFilter ref="A1:Q209"/>
  <mergeCells count="11">
    <mergeCell ref="A13:P13"/>
    <mergeCell ref="A9:C9"/>
    <mergeCell ref="A10:C10"/>
    <mergeCell ref="A12:C12"/>
    <mergeCell ref="A8:B8"/>
    <mergeCell ref="A11:H11"/>
    <mergeCell ref="A7:C7"/>
    <mergeCell ref="A3:H3"/>
    <mergeCell ref="A4:H4"/>
    <mergeCell ref="A5:H5"/>
    <mergeCell ref="A6:H6"/>
  </mergeCells>
  <printOptions horizontalCentered="1"/>
  <pageMargins left="0.70866141732283472" right="0.70866141732283472" top="0.74803149606299213" bottom="0.74803149606299213" header="0.31496062992125984" footer="0.31496062992125984"/>
  <pageSetup paperSize="9" scale="56" orientation="landscape" r:id="rId1"/>
  <headerFooter>
    <oddFooter>&amp;LAGÊNCIA DE ASSUNTOS METROPOLITANOS DO PARANÁ - AMEP
DIRETORIA DE OBRAS&amp;CENGª CIBELE CRISTINE MELLO FRANCZAK
DIRETORA DE OBRAS&amp;RPágina &amp;P de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CC"/>
  </sheetPr>
  <dimension ref="A2:Q6361"/>
  <sheetViews>
    <sheetView showGridLines="0" zoomScaleNormal="100" zoomScaleSheetLayoutView="115" workbookViewId="0">
      <selection activeCell="B30" sqref="B30"/>
    </sheetView>
  </sheetViews>
  <sheetFormatPr defaultRowHeight="15.75"/>
  <cols>
    <col min="1" max="1" width="13.85546875" style="229" customWidth="1"/>
    <col min="2" max="2" width="127.42578125" style="229" customWidth="1"/>
    <col min="3" max="3" width="11.5703125" style="229" customWidth="1"/>
    <col min="4" max="4" width="15.5703125" style="229" customWidth="1"/>
    <col min="5" max="16384" width="9.140625" style="229"/>
  </cols>
  <sheetData>
    <row r="2" spans="1:17" s="45" customFormat="1">
      <c r="A2" s="495" t="s">
        <v>167</v>
      </c>
      <c r="B2" s="495"/>
      <c r="C2" s="495"/>
      <c r="D2" s="495"/>
      <c r="E2" s="60"/>
      <c r="F2" s="60"/>
      <c r="G2" s="60"/>
      <c r="H2" s="60"/>
    </row>
    <row r="3" spans="1:17" s="45" customFormat="1">
      <c r="A3" s="541" t="s">
        <v>165</v>
      </c>
      <c r="B3" s="541"/>
      <c r="C3" s="541"/>
      <c r="D3" s="541"/>
      <c r="E3" s="62"/>
      <c r="F3" s="62"/>
      <c r="G3" s="62"/>
      <c r="H3" s="62"/>
    </row>
    <row r="4" spans="1:17" s="45" customFormat="1">
      <c r="A4" s="541"/>
      <c r="B4" s="541"/>
      <c r="C4" s="541"/>
      <c r="D4" s="541"/>
      <c r="E4" s="62"/>
      <c r="F4" s="62"/>
      <c r="G4" s="62"/>
      <c r="H4" s="62"/>
    </row>
    <row r="5" spans="1:17" s="45" customFormat="1">
      <c r="A5" s="541" t="s">
        <v>25931</v>
      </c>
      <c r="B5" s="541"/>
      <c r="C5" s="541"/>
      <c r="D5" s="541"/>
      <c r="E5" s="62"/>
      <c r="F5" s="62"/>
      <c r="G5" s="62"/>
      <c r="H5" s="62"/>
    </row>
    <row r="6" spans="1:17" s="117" customFormat="1">
      <c r="A6" s="583"/>
      <c r="B6" s="583"/>
      <c r="C6" s="583"/>
      <c r="D6" s="115"/>
      <c r="E6" s="115"/>
      <c r="F6" s="115"/>
      <c r="G6" s="115"/>
      <c r="H6" s="115"/>
      <c r="I6" s="116"/>
      <c r="J6" s="115"/>
      <c r="K6" s="115"/>
      <c r="L6" s="115"/>
      <c r="M6" s="115"/>
      <c r="N6" s="115"/>
      <c r="O6" s="115"/>
      <c r="P6" s="115"/>
      <c r="Q6" s="45"/>
    </row>
    <row r="7" spans="1:17" s="117" customFormat="1">
      <c r="A7" s="112"/>
      <c r="B7" s="106"/>
      <c r="C7" s="112"/>
      <c r="D7" s="122"/>
      <c r="E7" s="106"/>
      <c r="F7" s="106"/>
      <c r="G7" s="106"/>
      <c r="H7" s="106"/>
      <c r="I7" s="116"/>
      <c r="J7" s="115"/>
      <c r="K7" s="115"/>
      <c r="L7" s="115"/>
      <c r="M7" s="115"/>
      <c r="N7" s="115"/>
      <c r="O7" s="115"/>
      <c r="P7" s="115"/>
      <c r="Q7" s="45"/>
    </row>
    <row r="8" spans="1:17">
      <c r="A8" s="228"/>
      <c r="B8" s="587"/>
      <c r="C8" s="587"/>
      <c r="D8" s="228"/>
    </row>
    <row r="9" spans="1:17">
      <c r="A9" s="586" t="s">
        <v>22701</v>
      </c>
      <c r="B9" s="586"/>
      <c r="C9" s="586"/>
      <c r="D9" s="586"/>
    </row>
    <row r="10" spans="1:17">
      <c r="A10" s="263" t="s">
        <v>156</v>
      </c>
      <c r="B10" s="263" t="s">
        <v>157</v>
      </c>
      <c r="C10" s="263" t="s">
        <v>158</v>
      </c>
      <c r="D10" s="264" t="s">
        <v>1187</v>
      </c>
    </row>
    <row r="11" spans="1:17">
      <c r="A11" s="261">
        <v>307731</v>
      </c>
      <c r="B11" s="265" t="s">
        <v>11309</v>
      </c>
      <c r="C11" s="261" t="s">
        <v>9451</v>
      </c>
      <c r="D11" s="266">
        <v>117.51</v>
      </c>
    </row>
    <row r="12" spans="1:17">
      <c r="A12" s="261">
        <v>307732</v>
      </c>
      <c r="B12" s="265" t="s">
        <v>11310</v>
      </c>
      <c r="C12" s="261" t="s">
        <v>9451</v>
      </c>
      <c r="D12" s="266">
        <v>88.23</v>
      </c>
    </row>
    <row r="13" spans="1:17">
      <c r="A13" s="261">
        <v>308308</v>
      </c>
      <c r="B13" s="265" t="s">
        <v>11311</v>
      </c>
      <c r="C13" s="261" t="s">
        <v>97</v>
      </c>
      <c r="D13" s="266">
        <v>14207.94</v>
      </c>
    </row>
    <row r="14" spans="1:17">
      <c r="A14" s="261">
        <v>308313</v>
      </c>
      <c r="B14" s="265" t="s">
        <v>11312</v>
      </c>
      <c r="C14" s="261" t="s">
        <v>97</v>
      </c>
      <c r="D14" s="266">
        <v>93032.3</v>
      </c>
    </row>
    <row r="15" spans="1:17">
      <c r="A15" s="261">
        <v>308309</v>
      </c>
      <c r="B15" s="265" t="s">
        <v>11313</v>
      </c>
      <c r="C15" s="261" t="s">
        <v>97</v>
      </c>
      <c r="D15" s="266">
        <v>23203.95</v>
      </c>
    </row>
    <row r="16" spans="1:17">
      <c r="A16" s="261">
        <v>308310</v>
      </c>
      <c r="B16" s="265" t="s">
        <v>11314</v>
      </c>
      <c r="C16" s="261" t="s">
        <v>97</v>
      </c>
      <c r="D16" s="266">
        <v>37373.39</v>
      </c>
    </row>
    <row r="17" spans="1:4">
      <c r="A17" s="261">
        <v>308311</v>
      </c>
      <c r="B17" s="265" t="s">
        <v>11315</v>
      </c>
      <c r="C17" s="261" t="s">
        <v>97</v>
      </c>
      <c r="D17" s="266">
        <v>50151.18</v>
      </c>
    </row>
    <row r="18" spans="1:4">
      <c r="A18" s="261">
        <v>308312</v>
      </c>
      <c r="B18" s="265" t="s">
        <v>11316</v>
      </c>
      <c r="C18" s="261" t="s">
        <v>97</v>
      </c>
      <c r="D18" s="266">
        <v>68791.360000000001</v>
      </c>
    </row>
    <row r="19" spans="1:4">
      <c r="A19" s="261">
        <v>308307</v>
      </c>
      <c r="B19" s="265" t="s">
        <v>11317</v>
      </c>
      <c r="C19" s="261" t="s">
        <v>97</v>
      </c>
      <c r="D19" s="266">
        <v>9510.4599999999991</v>
      </c>
    </row>
    <row r="20" spans="1:4">
      <c r="A20" s="261">
        <v>308322</v>
      </c>
      <c r="B20" s="265" t="s">
        <v>11318</v>
      </c>
      <c r="C20" s="261" t="s">
        <v>97</v>
      </c>
      <c r="D20" s="266">
        <v>8610.75</v>
      </c>
    </row>
    <row r="21" spans="1:4">
      <c r="A21" s="261">
        <v>308327</v>
      </c>
      <c r="B21" s="265" t="s">
        <v>11319</v>
      </c>
      <c r="C21" s="261" t="s">
        <v>97</v>
      </c>
      <c r="D21" s="266">
        <v>55944.4</v>
      </c>
    </row>
    <row r="22" spans="1:4">
      <c r="A22" s="261">
        <v>308323</v>
      </c>
      <c r="B22" s="265" t="s">
        <v>11320</v>
      </c>
      <c r="C22" s="261" t="s">
        <v>97</v>
      </c>
      <c r="D22" s="266">
        <v>11961.95</v>
      </c>
    </row>
    <row r="23" spans="1:4">
      <c r="A23" s="261">
        <v>308324</v>
      </c>
      <c r="B23" s="265" t="s">
        <v>11321</v>
      </c>
      <c r="C23" s="261" t="s">
        <v>97</v>
      </c>
      <c r="D23" s="266">
        <v>19921.939999999999</v>
      </c>
    </row>
    <row r="24" spans="1:4">
      <c r="A24" s="261">
        <v>308325</v>
      </c>
      <c r="B24" s="265" t="s">
        <v>11322</v>
      </c>
      <c r="C24" s="261" t="s">
        <v>97</v>
      </c>
      <c r="D24" s="266">
        <v>28598.18</v>
      </c>
    </row>
    <row r="25" spans="1:4">
      <c r="A25" s="261">
        <v>308326</v>
      </c>
      <c r="B25" s="265" t="s">
        <v>11323</v>
      </c>
      <c r="C25" s="261" t="s">
        <v>97</v>
      </c>
      <c r="D25" s="266">
        <v>40438.86</v>
      </c>
    </row>
    <row r="26" spans="1:4">
      <c r="A26" s="261">
        <v>308321</v>
      </c>
      <c r="B26" s="265" t="s">
        <v>11324</v>
      </c>
      <c r="C26" s="261" t="s">
        <v>97</v>
      </c>
      <c r="D26" s="266">
        <v>4979.1400000000003</v>
      </c>
    </row>
    <row r="27" spans="1:4">
      <c r="A27" s="261">
        <v>308315</v>
      </c>
      <c r="B27" s="265" t="s">
        <v>11325</v>
      </c>
      <c r="C27" s="261" t="s">
        <v>97</v>
      </c>
      <c r="D27" s="266">
        <v>10183.74</v>
      </c>
    </row>
    <row r="28" spans="1:4">
      <c r="A28" s="261">
        <v>308320</v>
      </c>
      <c r="B28" s="265" t="s">
        <v>11326</v>
      </c>
      <c r="C28" s="261" t="s">
        <v>97</v>
      </c>
      <c r="D28" s="266">
        <v>58554.17</v>
      </c>
    </row>
    <row r="29" spans="1:4">
      <c r="A29" s="261">
        <v>308316</v>
      </c>
      <c r="B29" s="265" t="s">
        <v>11327</v>
      </c>
      <c r="C29" s="261" t="s">
        <v>97</v>
      </c>
      <c r="D29" s="266">
        <v>15486.78</v>
      </c>
    </row>
    <row r="30" spans="1:4">
      <c r="A30" s="261">
        <v>308317</v>
      </c>
      <c r="B30" s="265" t="s">
        <v>11328</v>
      </c>
      <c r="C30" s="261" t="s">
        <v>97</v>
      </c>
      <c r="D30" s="266">
        <v>24956.78</v>
      </c>
    </row>
    <row r="31" spans="1:4">
      <c r="A31" s="261">
        <v>308318</v>
      </c>
      <c r="B31" s="265" t="s">
        <v>11329</v>
      </c>
      <c r="C31" s="261" t="s">
        <v>97</v>
      </c>
      <c r="D31" s="266">
        <v>32429.599999999999</v>
      </c>
    </row>
    <row r="32" spans="1:4">
      <c r="A32" s="261">
        <v>308319</v>
      </c>
      <c r="B32" s="265" t="s">
        <v>11330</v>
      </c>
      <c r="C32" s="261" t="s">
        <v>97</v>
      </c>
      <c r="D32" s="266">
        <v>44993.08</v>
      </c>
    </row>
    <row r="33" spans="1:4">
      <c r="A33" s="261">
        <v>308314</v>
      </c>
      <c r="B33" s="265" t="s">
        <v>11331</v>
      </c>
      <c r="C33" s="261" t="s">
        <v>97</v>
      </c>
      <c r="D33" s="266">
        <v>7125.18</v>
      </c>
    </row>
    <row r="34" spans="1:4">
      <c r="A34" s="261">
        <v>308250</v>
      </c>
      <c r="B34" s="265" t="s">
        <v>11332</v>
      </c>
      <c r="C34" s="261" t="s">
        <v>97</v>
      </c>
      <c r="D34" s="266">
        <v>5781.49</v>
      </c>
    </row>
    <row r="35" spans="1:4">
      <c r="A35" s="261">
        <v>308251</v>
      </c>
      <c r="B35" s="265" t="s">
        <v>11333</v>
      </c>
      <c r="C35" s="261" t="s">
        <v>97</v>
      </c>
      <c r="D35" s="266">
        <v>8603.01</v>
      </c>
    </row>
    <row r="36" spans="1:4">
      <c r="A36" s="261">
        <v>308268</v>
      </c>
      <c r="B36" s="265" t="s">
        <v>11334</v>
      </c>
      <c r="C36" s="261" t="s">
        <v>97</v>
      </c>
      <c r="D36" s="266">
        <v>128606.13</v>
      </c>
    </row>
    <row r="37" spans="1:4">
      <c r="A37" s="261">
        <v>308252</v>
      </c>
      <c r="B37" s="265" t="s">
        <v>11335</v>
      </c>
      <c r="C37" s="261" t="s">
        <v>97</v>
      </c>
      <c r="D37" s="266">
        <v>10880.97</v>
      </c>
    </row>
    <row r="38" spans="1:4">
      <c r="A38" s="261">
        <v>308253</v>
      </c>
      <c r="B38" s="265" t="s">
        <v>11336</v>
      </c>
      <c r="C38" s="261" t="s">
        <v>97</v>
      </c>
      <c r="D38" s="266">
        <v>13719.13</v>
      </c>
    </row>
    <row r="39" spans="1:4">
      <c r="A39" s="261">
        <v>308254</v>
      </c>
      <c r="B39" s="265" t="s">
        <v>11337</v>
      </c>
      <c r="C39" s="261" t="s">
        <v>97</v>
      </c>
      <c r="D39" s="266">
        <v>15754.44</v>
      </c>
    </row>
    <row r="40" spans="1:4">
      <c r="A40" s="261">
        <v>308255</v>
      </c>
      <c r="B40" s="265" t="s">
        <v>11338</v>
      </c>
      <c r="C40" s="261" t="s">
        <v>97</v>
      </c>
      <c r="D40" s="266">
        <v>19030.28</v>
      </c>
    </row>
    <row r="41" spans="1:4">
      <c r="A41" s="261">
        <v>308256</v>
      </c>
      <c r="B41" s="265" t="s">
        <v>11339</v>
      </c>
      <c r="C41" s="261" t="s">
        <v>97</v>
      </c>
      <c r="D41" s="266">
        <v>22431.87</v>
      </c>
    </row>
    <row r="42" spans="1:4">
      <c r="A42" s="261">
        <v>308257</v>
      </c>
      <c r="B42" s="265" t="s">
        <v>11340</v>
      </c>
      <c r="C42" s="261" t="s">
        <v>97</v>
      </c>
      <c r="D42" s="266">
        <v>56887.16</v>
      </c>
    </row>
    <row r="43" spans="1:4">
      <c r="A43" s="261">
        <v>308258</v>
      </c>
      <c r="B43" s="265" t="s">
        <v>11341</v>
      </c>
      <c r="C43" s="261" t="s">
        <v>97</v>
      </c>
      <c r="D43" s="266">
        <v>63249.5</v>
      </c>
    </row>
    <row r="44" spans="1:4">
      <c r="A44" s="261">
        <v>308259</v>
      </c>
      <c r="B44" s="265" t="s">
        <v>11342</v>
      </c>
      <c r="C44" s="261" t="s">
        <v>97</v>
      </c>
      <c r="D44" s="266">
        <v>68607.199999999997</v>
      </c>
    </row>
    <row r="45" spans="1:4">
      <c r="A45" s="261">
        <v>308260</v>
      </c>
      <c r="B45" s="265" t="s">
        <v>11343</v>
      </c>
      <c r="C45" s="261" t="s">
        <v>97</v>
      </c>
      <c r="D45" s="266">
        <v>74013.02</v>
      </c>
    </row>
    <row r="46" spans="1:4">
      <c r="A46" s="261">
        <v>308261</v>
      </c>
      <c r="B46" s="265" t="s">
        <v>11344</v>
      </c>
      <c r="C46" s="261" t="s">
        <v>97</v>
      </c>
      <c r="D46" s="266">
        <v>84116.85</v>
      </c>
    </row>
    <row r="47" spans="1:4">
      <c r="A47" s="261">
        <v>308262</v>
      </c>
      <c r="B47" s="265" t="s">
        <v>11345</v>
      </c>
      <c r="C47" s="261" t="s">
        <v>97</v>
      </c>
      <c r="D47" s="266">
        <v>86793.08</v>
      </c>
    </row>
    <row r="48" spans="1:4">
      <c r="A48" s="261">
        <v>308263</v>
      </c>
      <c r="B48" s="265" t="s">
        <v>11346</v>
      </c>
      <c r="C48" s="261" t="s">
        <v>97</v>
      </c>
      <c r="D48" s="266">
        <v>96975.62</v>
      </c>
    </row>
    <row r="49" spans="1:4">
      <c r="A49" s="261">
        <v>308264</v>
      </c>
      <c r="B49" s="265" t="s">
        <v>11347</v>
      </c>
      <c r="C49" s="261" t="s">
        <v>97</v>
      </c>
      <c r="D49" s="266">
        <v>103665.1</v>
      </c>
    </row>
    <row r="50" spans="1:4">
      <c r="A50" s="261">
        <v>308265</v>
      </c>
      <c r="B50" s="265" t="s">
        <v>11348</v>
      </c>
      <c r="C50" s="261" t="s">
        <v>97</v>
      </c>
      <c r="D50" s="266">
        <v>106173.11</v>
      </c>
    </row>
    <row r="51" spans="1:4">
      <c r="A51" s="261">
        <v>308266</v>
      </c>
      <c r="B51" s="265" t="s">
        <v>11349</v>
      </c>
      <c r="C51" s="261" t="s">
        <v>97</v>
      </c>
      <c r="D51" s="266">
        <v>114737.83</v>
      </c>
    </row>
    <row r="52" spans="1:4">
      <c r="A52" s="261">
        <v>308267</v>
      </c>
      <c r="B52" s="265" t="s">
        <v>11350</v>
      </c>
      <c r="C52" s="261" t="s">
        <v>97</v>
      </c>
      <c r="D52" s="266">
        <v>120988.11</v>
      </c>
    </row>
    <row r="53" spans="1:4">
      <c r="A53" s="261">
        <v>308288</v>
      </c>
      <c r="B53" s="265" t="s">
        <v>11351</v>
      </c>
      <c r="C53" s="261" t="s">
        <v>97</v>
      </c>
      <c r="D53" s="266">
        <v>11303.66</v>
      </c>
    </row>
    <row r="54" spans="1:4">
      <c r="A54" s="261">
        <v>308289</v>
      </c>
      <c r="B54" s="265" t="s">
        <v>11352</v>
      </c>
      <c r="C54" s="261" t="s">
        <v>97</v>
      </c>
      <c r="D54" s="266">
        <v>15592.97</v>
      </c>
    </row>
    <row r="55" spans="1:4">
      <c r="A55" s="261">
        <v>308306</v>
      </c>
      <c r="B55" s="265" t="s">
        <v>11353</v>
      </c>
      <c r="C55" s="261" t="s">
        <v>97</v>
      </c>
      <c r="D55" s="266">
        <v>103526.99</v>
      </c>
    </row>
    <row r="56" spans="1:4">
      <c r="A56" s="261">
        <v>308290</v>
      </c>
      <c r="B56" s="265" t="s">
        <v>11354</v>
      </c>
      <c r="C56" s="261" t="s">
        <v>97</v>
      </c>
      <c r="D56" s="266">
        <v>20446.849999999999</v>
      </c>
    </row>
    <row r="57" spans="1:4">
      <c r="A57" s="261">
        <v>308291</v>
      </c>
      <c r="B57" s="265" t="s">
        <v>11355</v>
      </c>
      <c r="C57" s="261" t="s">
        <v>97</v>
      </c>
      <c r="D57" s="266">
        <v>25090.02</v>
      </c>
    </row>
    <row r="58" spans="1:4">
      <c r="A58" s="261">
        <v>308292</v>
      </c>
      <c r="B58" s="265" t="s">
        <v>11356</v>
      </c>
      <c r="C58" s="261" t="s">
        <v>97</v>
      </c>
      <c r="D58" s="266">
        <v>29169.54</v>
      </c>
    </row>
    <row r="59" spans="1:4">
      <c r="A59" s="261">
        <v>308293</v>
      </c>
      <c r="B59" s="265" t="s">
        <v>11357</v>
      </c>
      <c r="C59" s="261" t="s">
        <v>97</v>
      </c>
      <c r="D59" s="266">
        <v>33420.79</v>
      </c>
    </row>
    <row r="60" spans="1:4">
      <c r="A60" s="261">
        <v>308294</v>
      </c>
      <c r="B60" s="265" t="s">
        <v>11358</v>
      </c>
      <c r="C60" s="261" t="s">
        <v>97</v>
      </c>
      <c r="D60" s="266">
        <v>38403.5</v>
      </c>
    </row>
    <row r="61" spans="1:4">
      <c r="A61" s="261">
        <v>308295</v>
      </c>
      <c r="B61" s="265" t="s">
        <v>11359</v>
      </c>
      <c r="C61" s="261" t="s">
        <v>97</v>
      </c>
      <c r="D61" s="266">
        <v>43898.34</v>
      </c>
    </row>
    <row r="62" spans="1:4">
      <c r="A62" s="261">
        <v>308296</v>
      </c>
      <c r="B62" s="265" t="s">
        <v>11360</v>
      </c>
      <c r="C62" s="261" t="s">
        <v>97</v>
      </c>
      <c r="D62" s="266">
        <v>49207.25</v>
      </c>
    </row>
    <row r="63" spans="1:4">
      <c r="A63" s="261">
        <v>308297</v>
      </c>
      <c r="B63" s="265" t="s">
        <v>11361</v>
      </c>
      <c r="C63" s="261" t="s">
        <v>97</v>
      </c>
      <c r="D63" s="266">
        <v>53207.48</v>
      </c>
    </row>
    <row r="64" spans="1:4">
      <c r="A64" s="261">
        <v>308298</v>
      </c>
      <c r="B64" s="265" t="s">
        <v>11362</v>
      </c>
      <c r="C64" s="261" t="s">
        <v>97</v>
      </c>
      <c r="D64" s="266">
        <v>60792.81</v>
      </c>
    </row>
    <row r="65" spans="1:4">
      <c r="A65" s="261">
        <v>308299</v>
      </c>
      <c r="B65" s="265" t="s">
        <v>11363</v>
      </c>
      <c r="C65" s="261" t="s">
        <v>97</v>
      </c>
      <c r="D65" s="266">
        <v>65592.17</v>
      </c>
    </row>
    <row r="66" spans="1:4">
      <c r="A66" s="261">
        <v>308300</v>
      </c>
      <c r="B66" s="265" t="s">
        <v>11364</v>
      </c>
      <c r="C66" s="261" t="s">
        <v>97</v>
      </c>
      <c r="D66" s="266">
        <v>70470.31</v>
      </c>
    </row>
    <row r="67" spans="1:4">
      <c r="A67" s="261">
        <v>308301</v>
      </c>
      <c r="B67" s="265" t="s">
        <v>11365</v>
      </c>
      <c r="C67" s="261" t="s">
        <v>97</v>
      </c>
      <c r="D67" s="266">
        <v>74999.97</v>
      </c>
    </row>
    <row r="68" spans="1:4">
      <c r="A68" s="261">
        <v>308302</v>
      </c>
      <c r="B68" s="265" t="s">
        <v>11366</v>
      </c>
      <c r="C68" s="261" t="s">
        <v>97</v>
      </c>
      <c r="D68" s="266">
        <v>80829.75</v>
      </c>
    </row>
    <row r="69" spans="1:4">
      <c r="A69" s="261">
        <v>308303</v>
      </c>
      <c r="B69" s="265" t="s">
        <v>11367</v>
      </c>
      <c r="C69" s="261" t="s">
        <v>97</v>
      </c>
      <c r="D69" s="266">
        <v>87306.74</v>
      </c>
    </row>
    <row r="70" spans="1:4">
      <c r="A70" s="261">
        <v>308304</v>
      </c>
      <c r="B70" s="265" t="s">
        <v>11368</v>
      </c>
      <c r="C70" s="261" t="s">
        <v>97</v>
      </c>
      <c r="D70" s="266">
        <v>92013.25</v>
      </c>
    </row>
    <row r="71" spans="1:4">
      <c r="A71" s="261">
        <v>308305</v>
      </c>
      <c r="B71" s="265" t="s">
        <v>11369</v>
      </c>
      <c r="C71" s="261" t="s">
        <v>97</v>
      </c>
      <c r="D71" s="266">
        <v>98245.119999999995</v>
      </c>
    </row>
    <row r="72" spans="1:4">
      <c r="A72" s="261">
        <v>308269</v>
      </c>
      <c r="B72" s="265" t="s">
        <v>11370</v>
      </c>
      <c r="C72" s="261" t="s">
        <v>97</v>
      </c>
      <c r="D72" s="266">
        <v>6303.22</v>
      </c>
    </row>
    <row r="73" spans="1:4">
      <c r="A73" s="261">
        <v>308270</v>
      </c>
      <c r="B73" s="265" t="s">
        <v>11371</v>
      </c>
      <c r="C73" s="261" t="s">
        <v>97</v>
      </c>
      <c r="D73" s="266">
        <v>9810.7800000000007</v>
      </c>
    </row>
    <row r="74" spans="1:4">
      <c r="A74" s="261">
        <v>308287</v>
      </c>
      <c r="B74" s="265" t="s">
        <v>11372</v>
      </c>
      <c r="C74" s="261" t="s">
        <v>97</v>
      </c>
      <c r="D74" s="266">
        <v>114007.67999999999</v>
      </c>
    </row>
    <row r="75" spans="1:4">
      <c r="A75" s="261">
        <v>308271</v>
      </c>
      <c r="B75" s="265" t="s">
        <v>11373</v>
      </c>
      <c r="C75" s="261" t="s">
        <v>97</v>
      </c>
      <c r="D75" s="266">
        <v>11910.09</v>
      </c>
    </row>
    <row r="76" spans="1:4">
      <c r="A76" s="261">
        <v>308272</v>
      </c>
      <c r="B76" s="265" t="s">
        <v>11374</v>
      </c>
      <c r="C76" s="261" t="s">
        <v>97</v>
      </c>
      <c r="D76" s="266">
        <v>14818.19</v>
      </c>
    </row>
    <row r="77" spans="1:4">
      <c r="A77" s="261">
        <v>308273</v>
      </c>
      <c r="B77" s="265" t="s">
        <v>11375</v>
      </c>
      <c r="C77" s="261" t="s">
        <v>97</v>
      </c>
      <c r="D77" s="266">
        <v>18242.29</v>
      </c>
    </row>
    <row r="78" spans="1:4">
      <c r="A78" s="261">
        <v>308274</v>
      </c>
      <c r="B78" s="265" t="s">
        <v>11376</v>
      </c>
      <c r="C78" s="261" t="s">
        <v>97</v>
      </c>
      <c r="D78" s="266">
        <v>20660.8</v>
      </c>
    </row>
    <row r="79" spans="1:4">
      <c r="A79" s="261">
        <v>308275</v>
      </c>
      <c r="B79" s="265" t="s">
        <v>11377</v>
      </c>
      <c r="C79" s="261" t="s">
        <v>97</v>
      </c>
      <c r="D79" s="266">
        <v>31000.17</v>
      </c>
    </row>
    <row r="80" spans="1:4">
      <c r="A80" s="261">
        <v>308276</v>
      </c>
      <c r="B80" s="265" t="s">
        <v>11378</v>
      </c>
      <c r="C80" s="261" t="s">
        <v>97</v>
      </c>
      <c r="D80" s="266">
        <v>51176.07</v>
      </c>
    </row>
    <row r="81" spans="1:4">
      <c r="A81" s="261">
        <v>308277</v>
      </c>
      <c r="B81" s="265" t="s">
        <v>11379</v>
      </c>
      <c r="C81" s="261" t="s">
        <v>97</v>
      </c>
      <c r="D81" s="266">
        <v>56615.22</v>
      </c>
    </row>
    <row r="82" spans="1:4">
      <c r="A82" s="261">
        <v>308278</v>
      </c>
      <c r="B82" s="265" t="s">
        <v>11380</v>
      </c>
      <c r="C82" s="261" t="s">
        <v>97</v>
      </c>
      <c r="D82" s="266">
        <v>61653.01</v>
      </c>
    </row>
    <row r="83" spans="1:4">
      <c r="A83" s="261">
        <v>308279</v>
      </c>
      <c r="B83" s="265" t="s">
        <v>11381</v>
      </c>
      <c r="C83" s="261" t="s">
        <v>97</v>
      </c>
      <c r="D83" s="266">
        <v>66622.89</v>
      </c>
    </row>
    <row r="84" spans="1:4">
      <c r="A84" s="261">
        <v>308280</v>
      </c>
      <c r="B84" s="265" t="s">
        <v>11382</v>
      </c>
      <c r="C84" s="261" t="s">
        <v>97</v>
      </c>
      <c r="D84" s="266">
        <v>73779.61</v>
      </c>
    </row>
    <row r="85" spans="1:4">
      <c r="A85" s="261">
        <v>308281</v>
      </c>
      <c r="B85" s="265" t="s">
        <v>11383</v>
      </c>
      <c r="C85" s="261" t="s">
        <v>97</v>
      </c>
      <c r="D85" s="266">
        <v>79340.460000000006</v>
      </c>
    </row>
    <row r="86" spans="1:4">
      <c r="A86" s="261">
        <v>308282</v>
      </c>
      <c r="B86" s="265" t="s">
        <v>11384</v>
      </c>
      <c r="C86" s="261" t="s">
        <v>97</v>
      </c>
      <c r="D86" s="266">
        <v>85873.05</v>
      </c>
    </row>
    <row r="87" spans="1:4">
      <c r="A87" s="261">
        <v>308283</v>
      </c>
      <c r="B87" s="265" t="s">
        <v>11385</v>
      </c>
      <c r="C87" s="261" t="s">
        <v>97</v>
      </c>
      <c r="D87" s="266">
        <v>90560.86</v>
      </c>
    </row>
    <row r="88" spans="1:4">
      <c r="A88" s="261">
        <v>308284</v>
      </c>
      <c r="B88" s="265" t="s">
        <v>11386</v>
      </c>
      <c r="C88" s="261" t="s">
        <v>97</v>
      </c>
      <c r="D88" s="266">
        <v>97931.57</v>
      </c>
    </row>
    <row r="89" spans="1:4">
      <c r="A89" s="261">
        <v>308285</v>
      </c>
      <c r="B89" s="265" t="s">
        <v>11387</v>
      </c>
      <c r="C89" s="261" t="s">
        <v>97</v>
      </c>
      <c r="D89" s="266">
        <v>103809.07</v>
      </c>
    </row>
    <row r="90" spans="1:4">
      <c r="A90" s="261">
        <v>308286</v>
      </c>
      <c r="B90" s="265" t="s">
        <v>11388</v>
      </c>
      <c r="C90" s="261" t="s">
        <v>97</v>
      </c>
      <c r="D90" s="266">
        <v>109600.38</v>
      </c>
    </row>
    <row r="91" spans="1:4">
      <c r="A91" s="261">
        <v>307733</v>
      </c>
      <c r="B91" s="265" t="s">
        <v>11389</v>
      </c>
      <c r="C91" s="261" t="s">
        <v>6</v>
      </c>
      <c r="D91" s="266">
        <v>459.59</v>
      </c>
    </row>
    <row r="92" spans="1:4">
      <c r="A92" s="261">
        <v>307734</v>
      </c>
      <c r="B92" s="265" t="s">
        <v>11390</v>
      </c>
      <c r="C92" s="261" t="s">
        <v>6</v>
      </c>
      <c r="D92" s="266">
        <v>586.88</v>
      </c>
    </row>
    <row r="93" spans="1:4">
      <c r="A93" s="261">
        <v>307735</v>
      </c>
      <c r="B93" s="265" t="s">
        <v>11391</v>
      </c>
      <c r="C93" s="261" t="s">
        <v>6</v>
      </c>
      <c r="D93" s="266">
        <v>964.39</v>
      </c>
    </row>
    <row r="94" spans="1:4">
      <c r="A94" s="261">
        <v>307736</v>
      </c>
      <c r="B94" s="265" t="s">
        <v>11392</v>
      </c>
      <c r="C94" s="261" t="s">
        <v>6</v>
      </c>
      <c r="D94" s="266">
        <v>1299.99</v>
      </c>
    </row>
    <row r="95" spans="1:4">
      <c r="A95" s="261">
        <v>307737</v>
      </c>
      <c r="B95" s="265" t="s">
        <v>11393</v>
      </c>
      <c r="C95" s="261" t="s">
        <v>6</v>
      </c>
      <c r="D95" s="266">
        <v>1595.34</v>
      </c>
    </row>
    <row r="96" spans="1:4">
      <c r="A96" s="261">
        <v>307730</v>
      </c>
      <c r="B96" s="265" t="s">
        <v>9514</v>
      </c>
      <c r="C96" s="261" t="s">
        <v>6</v>
      </c>
      <c r="D96" s="266">
        <v>0</v>
      </c>
    </row>
    <row r="97" spans="1:4">
      <c r="A97" s="261">
        <v>307084</v>
      </c>
      <c r="B97" s="265" t="s">
        <v>11394</v>
      </c>
      <c r="C97" s="261" t="s">
        <v>6</v>
      </c>
      <c r="D97" s="266">
        <v>32.880000000000003</v>
      </c>
    </row>
    <row r="98" spans="1:4">
      <c r="A98" s="261">
        <v>407818</v>
      </c>
      <c r="B98" s="265" t="s">
        <v>11395</v>
      </c>
      <c r="C98" s="261" t="s">
        <v>10</v>
      </c>
      <c r="D98" s="266">
        <v>12.87</v>
      </c>
    </row>
    <row r="99" spans="1:4">
      <c r="A99" s="261">
        <v>407819</v>
      </c>
      <c r="B99" s="265" t="s">
        <v>11396</v>
      </c>
      <c r="C99" s="261" t="s">
        <v>10</v>
      </c>
      <c r="D99" s="266">
        <v>12.74</v>
      </c>
    </row>
    <row r="100" spans="1:4">
      <c r="A100" s="261">
        <v>407820</v>
      </c>
      <c r="B100" s="265" t="s">
        <v>11397</v>
      </c>
      <c r="C100" s="261" t="s">
        <v>10</v>
      </c>
      <c r="D100" s="266">
        <v>13.77</v>
      </c>
    </row>
    <row r="101" spans="1:4">
      <c r="A101" s="261">
        <v>407740</v>
      </c>
      <c r="B101" s="265" t="s">
        <v>11398</v>
      </c>
      <c r="C101" s="261" t="s">
        <v>10</v>
      </c>
      <c r="D101" s="266">
        <v>16.2</v>
      </c>
    </row>
    <row r="102" spans="1:4">
      <c r="A102" s="261">
        <v>408037</v>
      </c>
      <c r="B102" s="265" t="s">
        <v>11399</v>
      </c>
      <c r="C102" s="261" t="s">
        <v>97</v>
      </c>
      <c r="D102" s="266">
        <v>23.88</v>
      </c>
    </row>
    <row r="103" spans="1:4">
      <c r="A103" s="261">
        <v>408038</v>
      </c>
      <c r="B103" s="265" t="s">
        <v>11400</v>
      </c>
      <c r="C103" s="261" t="s">
        <v>97</v>
      </c>
      <c r="D103" s="266">
        <v>32</v>
      </c>
    </row>
    <row r="104" spans="1:4">
      <c r="A104" s="261">
        <v>408039</v>
      </c>
      <c r="B104" s="265" t="s">
        <v>11401</v>
      </c>
      <c r="C104" s="261" t="s">
        <v>97</v>
      </c>
      <c r="D104" s="266">
        <v>42.74</v>
      </c>
    </row>
    <row r="105" spans="1:4">
      <c r="A105" s="261">
        <v>408041</v>
      </c>
      <c r="B105" s="265" t="s">
        <v>11402</v>
      </c>
      <c r="C105" s="261" t="s">
        <v>97</v>
      </c>
      <c r="D105" s="266">
        <v>60.67</v>
      </c>
    </row>
    <row r="106" spans="1:4">
      <c r="A106" s="261">
        <v>408042</v>
      </c>
      <c r="B106" s="265" t="s">
        <v>11403</v>
      </c>
      <c r="C106" s="261" t="s">
        <v>97</v>
      </c>
      <c r="D106" s="266">
        <v>90.09</v>
      </c>
    </row>
    <row r="107" spans="1:4">
      <c r="A107" s="261">
        <v>408031</v>
      </c>
      <c r="B107" s="265" t="s">
        <v>11404</v>
      </c>
      <c r="C107" s="261" t="s">
        <v>97</v>
      </c>
      <c r="D107" s="266">
        <v>21.27</v>
      </c>
    </row>
    <row r="108" spans="1:4">
      <c r="A108" s="261">
        <v>408032</v>
      </c>
      <c r="B108" s="265" t="s">
        <v>11405</v>
      </c>
      <c r="C108" s="261" t="s">
        <v>97</v>
      </c>
      <c r="D108" s="266">
        <v>29.13</v>
      </c>
    </row>
    <row r="109" spans="1:4">
      <c r="A109" s="261">
        <v>408033</v>
      </c>
      <c r="B109" s="265" t="s">
        <v>11406</v>
      </c>
      <c r="C109" s="261" t="s">
        <v>97</v>
      </c>
      <c r="D109" s="266">
        <v>41.56</v>
      </c>
    </row>
    <row r="110" spans="1:4">
      <c r="A110" s="261">
        <v>408035</v>
      </c>
      <c r="B110" s="265" t="s">
        <v>11407</v>
      </c>
      <c r="C110" s="261" t="s">
        <v>97</v>
      </c>
      <c r="D110" s="266">
        <v>71.41</v>
      </c>
    </row>
    <row r="111" spans="1:4">
      <c r="A111" s="261">
        <v>408036</v>
      </c>
      <c r="B111" s="265" t="s">
        <v>11408</v>
      </c>
      <c r="C111" s="261" t="s">
        <v>97</v>
      </c>
      <c r="D111" s="266">
        <v>141.96</v>
      </c>
    </row>
    <row r="112" spans="1:4">
      <c r="A112" s="261">
        <v>408067</v>
      </c>
      <c r="B112" s="265" t="s">
        <v>11409</v>
      </c>
      <c r="C112" s="261" t="s">
        <v>10</v>
      </c>
      <c r="D112" s="266">
        <v>12.28</v>
      </c>
    </row>
    <row r="113" spans="1:4">
      <c r="A113" s="261">
        <v>407743</v>
      </c>
      <c r="B113" s="265" t="s">
        <v>11410</v>
      </c>
      <c r="C113" s="261" t="s">
        <v>10</v>
      </c>
      <c r="D113" s="266">
        <v>14.63</v>
      </c>
    </row>
    <row r="114" spans="1:4" ht="31.5">
      <c r="A114" s="261">
        <v>607137</v>
      </c>
      <c r="B114" s="265" t="s">
        <v>11411</v>
      </c>
      <c r="C114" s="261" t="s">
        <v>6</v>
      </c>
      <c r="D114" s="266">
        <v>60350.07</v>
      </c>
    </row>
    <row r="115" spans="1:4" ht="31.5">
      <c r="A115" s="261">
        <v>606785</v>
      </c>
      <c r="B115" s="265" t="s">
        <v>11412</v>
      </c>
      <c r="C115" s="261" t="s">
        <v>6</v>
      </c>
      <c r="D115" s="266">
        <v>59857.26</v>
      </c>
    </row>
    <row r="116" spans="1:4" ht="31.5">
      <c r="A116" s="261">
        <v>607139</v>
      </c>
      <c r="B116" s="265" t="s">
        <v>11413</v>
      </c>
      <c r="C116" s="261" t="s">
        <v>6</v>
      </c>
      <c r="D116" s="266">
        <v>61197.58</v>
      </c>
    </row>
    <row r="117" spans="1:4" ht="31.5">
      <c r="A117" s="261">
        <v>606787</v>
      </c>
      <c r="B117" s="265" t="s">
        <v>11414</v>
      </c>
      <c r="C117" s="261" t="s">
        <v>6</v>
      </c>
      <c r="D117" s="266">
        <v>60375.9</v>
      </c>
    </row>
    <row r="118" spans="1:4" ht="31.5">
      <c r="A118" s="261">
        <v>607140</v>
      </c>
      <c r="B118" s="265" t="s">
        <v>11415</v>
      </c>
      <c r="C118" s="261" t="s">
        <v>6</v>
      </c>
      <c r="D118" s="266">
        <v>55827.8</v>
      </c>
    </row>
    <row r="119" spans="1:4" ht="31.5">
      <c r="A119" s="261">
        <v>606788</v>
      </c>
      <c r="B119" s="265" t="s">
        <v>11416</v>
      </c>
      <c r="C119" s="261" t="s">
        <v>6</v>
      </c>
      <c r="D119" s="266">
        <v>55694.41</v>
      </c>
    </row>
    <row r="120" spans="1:4" ht="31.5">
      <c r="A120" s="261">
        <v>607141</v>
      </c>
      <c r="B120" s="265" t="s">
        <v>11417</v>
      </c>
      <c r="C120" s="261" t="s">
        <v>6</v>
      </c>
      <c r="D120" s="266">
        <v>62325.31</v>
      </c>
    </row>
    <row r="121" spans="1:4" ht="31.5">
      <c r="A121" s="261">
        <v>606789</v>
      </c>
      <c r="B121" s="265" t="s">
        <v>11418</v>
      </c>
      <c r="C121" s="261" t="s">
        <v>6</v>
      </c>
      <c r="D121" s="266">
        <v>61813.27</v>
      </c>
    </row>
    <row r="122" spans="1:4" ht="31.5">
      <c r="A122" s="261">
        <v>607144</v>
      </c>
      <c r="B122" s="265" t="s">
        <v>11419</v>
      </c>
      <c r="C122" s="261" t="s">
        <v>6</v>
      </c>
      <c r="D122" s="266">
        <v>72890.42</v>
      </c>
    </row>
    <row r="123" spans="1:4" ht="31.5">
      <c r="A123" s="261">
        <v>606792</v>
      </c>
      <c r="B123" s="265" t="s">
        <v>11420</v>
      </c>
      <c r="C123" s="261" t="s">
        <v>6</v>
      </c>
      <c r="D123" s="266">
        <v>72421.850000000006</v>
      </c>
    </row>
    <row r="124" spans="1:4" ht="31.5">
      <c r="A124" s="261">
        <v>607142</v>
      </c>
      <c r="B124" s="265" t="s">
        <v>11421</v>
      </c>
      <c r="C124" s="261" t="s">
        <v>6</v>
      </c>
      <c r="D124" s="266">
        <v>65428.92</v>
      </c>
    </row>
    <row r="125" spans="1:4" ht="31.5">
      <c r="A125" s="261">
        <v>606790</v>
      </c>
      <c r="B125" s="265" t="s">
        <v>11422</v>
      </c>
      <c r="C125" s="261" t="s">
        <v>6</v>
      </c>
      <c r="D125" s="266">
        <v>64875.96</v>
      </c>
    </row>
    <row r="126" spans="1:4" ht="31.5">
      <c r="A126" s="261">
        <v>607145</v>
      </c>
      <c r="B126" s="265" t="s">
        <v>11423</v>
      </c>
      <c r="C126" s="261" t="s">
        <v>6</v>
      </c>
      <c r="D126" s="266">
        <v>80677.63</v>
      </c>
    </row>
    <row r="127" spans="1:4" ht="31.5">
      <c r="A127" s="261">
        <v>606793</v>
      </c>
      <c r="B127" s="265" t="s">
        <v>11424</v>
      </c>
      <c r="C127" s="261" t="s">
        <v>6</v>
      </c>
      <c r="D127" s="266">
        <v>80149.88</v>
      </c>
    </row>
    <row r="128" spans="1:4" ht="31.5">
      <c r="A128" s="261">
        <v>607146</v>
      </c>
      <c r="B128" s="265" t="s">
        <v>11425</v>
      </c>
      <c r="C128" s="261" t="s">
        <v>6</v>
      </c>
      <c r="D128" s="266">
        <v>84074.76</v>
      </c>
    </row>
    <row r="129" spans="1:4" ht="31.5">
      <c r="A129" s="261">
        <v>606794</v>
      </c>
      <c r="B129" s="265" t="s">
        <v>11426</v>
      </c>
      <c r="C129" s="261" t="s">
        <v>6</v>
      </c>
      <c r="D129" s="266">
        <v>83505.61</v>
      </c>
    </row>
    <row r="130" spans="1:4" ht="31.5">
      <c r="A130" s="261">
        <v>607143</v>
      </c>
      <c r="B130" s="265" t="s">
        <v>11427</v>
      </c>
      <c r="C130" s="261" t="s">
        <v>6</v>
      </c>
      <c r="D130" s="266">
        <v>70656.92</v>
      </c>
    </row>
    <row r="131" spans="1:4" ht="31.5">
      <c r="A131" s="261">
        <v>606791</v>
      </c>
      <c r="B131" s="265" t="s">
        <v>11428</v>
      </c>
      <c r="C131" s="261" t="s">
        <v>6</v>
      </c>
      <c r="D131" s="266">
        <v>70019.81</v>
      </c>
    </row>
    <row r="132" spans="1:4" ht="31.5">
      <c r="A132" s="261">
        <v>607147</v>
      </c>
      <c r="B132" s="265" t="s">
        <v>11429</v>
      </c>
      <c r="C132" s="261" t="s">
        <v>6</v>
      </c>
      <c r="D132" s="266">
        <v>90647.83</v>
      </c>
    </row>
    <row r="133" spans="1:4" ht="31.5">
      <c r="A133" s="261">
        <v>606795</v>
      </c>
      <c r="B133" s="265" t="s">
        <v>11430</v>
      </c>
      <c r="C133" s="261" t="s">
        <v>6</v>
      </c>
      <c r="D133" s="266">
        <v>89993.96</v>
      </c>
    </row>
    <row r="134" spans="1:4" ht="31.5">
      <c r="A134" s="261">
        <v>607112</v>
      </c>
      <c r="B134" s="265" t="s">
        <v>11431</v>
      </c>
      <c r="C134" s="261" t="s">
        <v>6</v>
      </c>
      <c r="D134" s="266">
        <v>29441.75</v>
      </c>
    </row>
    <row r="135" spans="1:4" ht="31.5">
      <c r="A135" s="261">
        <v>606760</v>
      </c>
      <c r="B135" s="265" t="s">
        <v>11432</v>
      </c>
      <c r="C135" s="261" t="s">
        <v>6</v>
      </c>
      <c r="D135" s="266">
        <v>29269.32</v>
      </c>
    </row>
    <row r="136" spans="1:4" ht="31.5">
      <c r="A136" s="261">
        <v>607113</v>
      </c>
      <c r="B136" s="265" t="s">
        <v>11433</v>
      </c>
      <c r="C136" s="261" t="s">
        <v>6</v>
      </c>
      <c r="D136" s="266">
        <v>34495.660000000003</v>
      </c>
    </row>
    <row r="137" spans="1:4" ht="31.5">
      <c r="A137" s="261">
        <v>606761</v>
      </c>
      <c r="B137" s="265" t="s">
        <v>11434</v>
      </c>
      <c r="C137" s="261" t="s">
        <v>6</v>
      </c>
      <c r="D137" s="266">
        <v>34297.93</v>
      </c>
    </row>
    <row r="138" spans="1:4" ht="31.5">
      <c r="A138" s="261">
        <v>606762</v>
      </c>
      <c r="B138" s="265" t="s">
        <v>11435</v>
      </c>
      <c r="C138" s="261" t="s">
        <v>6</v>
      </c>
      <c r="D138" s="266">
        <v>34006.339999999997</v>
      </c>
    </row>
    <row r="139" spans="1:4" ht="31.5">
      <c r="A139" s="261">
        <v>607114</v>
      </c>
      <c r="B139" s="265" t="s">
        <v>11436</v>
      </c>
      <c r="C139" s="261" t="s">
        <v>6</v>
      </c>
      <c r="D139" s="266">
        <v>34206.370000000003</v>
      </c>
    </row>
    <row r="140" spans="1:4" ht="31.5">
      <c r="A140" s="261">
        <v>607116</v>
      </c>
      <c r="B140" s="265" t="s">
        <v>11437</v>
      </c>
      <c r="C140" s="261" t="s">
        <v>6</v>
      </c>
      <c r="D140" s="266">
        <v>36293.589999999997</v>
      </c>
    </row>
    <row r="141" spans="1:4" ht="31.5">
      <c r="A141" s="261">
        <v>606764</v>
      </c>
      <c r="B141" s="265" t="s">
        <v>11438</v>
      </c>
      <c r="C141" s="261" t="s">
        <v>6</v>
      </c>
      <c r="D141" s="266">
        <v>36083.160000000003</v>
      </c>
    </row>
    <row r="142" spans="1:4" ht="31.5">
      <c r="A142" s="261">
        <v>607115</v>
      </c>
      <c r="B142" s="265" t="s">
        <v>11439</v>
      </c>
      <c r="C142" s="261" t="s">
        <v>6</v>
      </c>
      <c r="D142" s="266">
        <v>41226.29</v>
      </c>
    </row>
    <row r="143" spans="1:4" ht="31.5">
      <c r="A143" s="261">
        <v>606763</v>
      </c>
      <c r="B143" s="265" t="s">
        <v>11440</v>
      </c>
      <c r="C143" s="261" t="s">
        <v>6</v>
      </c>
      <c r="D143" s="266">
        <v>40972.199999999997</v>
      </c>
    </row>
    <row r="144" spans="1:4" ht="31.5">
      <c r="A144" s="261">
        <v>607117</v>
      </c>
      <c r="B144" s="265" t="s">
        <v>11441</v>
      </c>
      <c r="C144" s="261" t="s">
        <v>6</v>
      </c>
      <c r="D144" s="266">
        <v>41247.480000000003</v>
      </c>
    </row>
    <row r="145" spans="1:4" ht="31.5">
      <c r="A145" s="261">
        <v>606765</v>
      </c>
      <c r="B145" s="265" t="s">
        <v>11442</v>
      </c>
      <c r="C145" s="261" t="s">
        <v>6</v>
      </c>
      <c r="D145" s="266">
        <v>41000.160000000003</v>
      </c>
    </row>
    <row r="146" spans="1:4" ht="31.5">
      <c r="A146" s="261">
        <v>607118</v>
      </c>
      <c r="B146" s="265" t="s">
        <v>11443</v>
      </c>
      <c r="C146" s="261" t="s">
        <v>6</v>
      </c>
      <c r="D146" s="266">
        <v>36948.04</v>
      </c>
    </row>
    <row r="147" spans="1:4" ht="31.5">
      <c r="A147" s="261">
        <v>606766</v>
      </c>
      <c r="B147" s="265" t="s">
        <v>11444</v>
      </c>
      <c r="C147" s="261" t="s">
        <v>6</v>
      </c>
      <c r="D147" s="266">
        <v>36729.18</v>
      </c>
    </row>
    <row r="148" spans="1:4" ht="31.5">
      <c r="A148" s="261">
        <v>607120</v>
      </c>
      <c r="B148" s="265" t="s">
        <v>11445</v>
      </c>
      <c r="C148" s="261" t="s">
        <v>6</v>
      </c>
      <c r="D148" s="266">
        <v>37604.269999999997</v>
      </c>
    </row>
    <row r="149" spans="1:4" ht="31.5">
      <c r="A149" s="261">
        <v>606768</v>
      </c>
      <c r="B149" s="265" t="s">
        <v>11446</v>
      </c>
      <c r="C149" s="261" t="s">
        <v>6</v>
      </c>
      <c r="D149" s="266">
        <v>37375.480000000003</v>
      </c>
    </row>
    <row r="150" spans="1:4" ht="31.5">
      <c r="A150" s="261">
        <v>607119</v>
      </c>
      <c r="B150" s="265" t="s">
        <v>11447</v>
      </c>
      <c r="C150" s="261" t="s">
        <v>6</v>
      </c>
      <c r="D150" s="266">
        <v>43217.5</v>
      </c>
    </row>
    <row r="151" spans="1:4" ht="31.5">
      <c r="A151" s="261">
        <v>606767</v>
      </c>
      <c r="B151" s="265" t="s">
        <v>11448</v>
      </c>
      <c r="C151" s="261" t="s">
        <v>6</v>
      </c>
      <c r="D151" s="266">
        <v>42940.99</v>
      </c>
    </row>
    <row r="152" spans="1:4" ht="31.5">
      <c r="A152" s="261">
        <v>607121</v>
      </c>
      <c r="B152" s="265" t="s">
        <v>11449</v>
      </c>
      <c r="C152" s="261" t="s">
        <v>6</v>
      </c>
      <c r="D152" s="266">
        <v>40719.11</v>
      </c>
    </row>
    <row r="153" spans="1:4" ht="31.5">
      <c r="A153" s="261">
        <v>606769</v>
      </c>
      <c r="B153" s="265" t="s">
        <v>11450</v>
      </c>
      <c r="C153" s="261" t="s">
        <v>6</v>
      </c>
      <c r="D153" s="266">
        <v>40457.08</v>
      </c>
    </row>
    <row r="154" spans="1:4" ht="31.5">
      <c r="A154" s="261">
        <v>607123</v>
      </c>
      <c r="B154" s="265" t="s">
        <v>11451</v>
      </c>
      <c r="C154" s="261" t="s">
        <v>6</v>
      </c>
      <c r="D154" s="266">
        <v>40151.19</v>
      </c>
    </row>
    <row r="155" spans="1:4" ht="31.5">
      <c r="A155" s="261">
        <v>606771</v>
      </c>
      <c r="B155" s="265" t="s">
        <v>11452</v>
      </c>
      <c r="C155" s="261" t="s">
        <v>6</v>
      </c>
      <c r="D155" s="266">
        <v>39892.07</v>
      </c>
    </row>
    <row r="156" spans="1:4" ht="31.5">
      <c r="A156" s="261">
        <v>607122</v>
      </c>
      <c r="B156" s="265" t="s">
        <v>11453</v>
      </c>
      <c r="C156" s="261" t="s">
        <v>6</v>
      </c>
      <c r="D156" s="266">
        <v>44557.67</v>
      </c>
    </row>
    <row r="157" spans="1:4" ht="31.5">
      <c r="A157" s="261">
        <v>606770</v>
      </c>
      <c r="B157" s="265" t="s">
        <v>11454</v>
      </c>
      <c r="C157" s="261" t="s">
        <v>6</v>
      </c>
      <c r="D157" s="266">
        <v>44259.69</v>
      </c>
    </row>
    <row r="158" spans="1:4" ht="31.5">
      <c r="A158" s="261">
        <v>607125</v>
      </c>
      <c r="B158" s="265" t="s">
        <v>11455</v>
      </c>
      <c r="C158" s="261" t="s">
        <v>6</v>
      </c>
      <c r="D158" s="266">
        <v>41520.559999999998</v>
      </c>
    </row>
    <row r="159" spans="1:4" ht="31.5">
      <c r="A159" s="261">
        <v>606773</v>
      </c>
      <c r="B159" s="265" t="s">
        <v>11456</v>
      </c>
      <c r="C159" s="261" t="s">
        <v>6</v>
      </c>
      <c r="D159" s="266">
        <v>41249.699999999997</v>
      </c>
    </row>
    <row r="160" spans="1:4" ht="31.5">
      <c r="A160" s="261">
        <v>607124</v>
      </c>
      <c r="B160" s="265" t="s">
        <v>11457</v>
      </c>
      <c r="C160" s="261" t="s">
        <v>6</v>
      </c>
      <c r="D160" s="266">
        <v>45251.67</v>
      </c>
    </row>
    <row r="161" spans="1:4" ht="31.5">
      <c r="A161" s="261">
        <v>606772</v>
      </c>
      <c r="B161" s="265" t="s">
        <v>11458</v>
      </c>
      <c r="C161" s="261" t="s">
        <v>6</v>
      </c>
      <c r="D161" s="266">
        <v>44941.84</v>
      </c>
    </row>
    <row r="162" spans="1:4" ht="31.5">
      <c r="A162" s="261">
        <v>607126</v>
      </c>
      <c r="B162" s="265" t="s">
        <v>11459</v>
      </c>
      <c r="C162" s="261" t="s">
        <v>6</v>
      </c>
      <c r="D162" s="266">
        <v>46500.44</v>
      </c>
    </row>
    <row r="163" spans="1:4" ht="31.5">
      <c r="A163" s="261">
        <v>606774</v>
      </c>
      <c r="B163" s="265" t="s">
        <v>11460</v>
      </c>
      <c r="C163" s="261" t="s">
        <v>6</v>
      </c>
      <c r="D163" s="266">
        <v>46177.62</v>
      </c>
    </row>
    <row r="164" spans="1:4" ht="31.5">
      <c r="A164" s="261">
        <v>607127</v>
      </c>
      <c r="B164" s="265" t="s">
        <v>11461</v>
      </c>
      <c r="C164" s="261" t="s">
        <v>6</v>
      </c>
      <c r="D164" s="266">
        <v>42846.34</v>
      </c>
    </row>
    <row r="165" spans="1:4" ht="31.5">
      <c r="A165" s="261">
        <v>606775</v>
      </c>
      <c r="B165" s="265" t="s">
        <v>11462</v>
      </c>
      <c r="C165" s="261" t="s">
        <v>6</v>
      </c>
      <c r="D165" s="266">
        <v>42554.86</v>
      </c>
    </row>
    <row r="166" spans="1:4" ht="31.5">
      <c r="A166" s="261">
        <v>607129</v>
      </c>
      <c r="B166" s="265" t="s">
        <v>11463</v>
      </c>
      <c r="C166" s="261" t="s">
        <v>6</v>
      </c>
      <c r="D166" s="266">
        <v>44807.09</v>
      </c>
    </row>
    <row r="167" spans="1:4" ht="31.5">
      <c r="A167" s="261">
        <v>606777</v>
      </c>
      <c r="B167" s="265" t="s">
        <v>11464</v>
      </c>
      <c r="C167" s="261" t="s">
        <v>6</v>
      </c>
      <c r="D167" s="266">
        <v>44490.48</v>
      </c>
    </row>
    <row r="168" spans="1:4" ht="31.5">
      <c r="A168" s="261">
        <v>607128</v>
      </c>
      <c r="B168" s="265" t="s">
        <v>11465</v>
      </c>
      <c r="C168" s="261" t="s">
        <v>6</v>
      </c>
      <c r="D168" s="266">
        <v>49246.29</v>
      </c>
    </row>
    <row r="169" spans="1:4" ht="31.5">
      <c r="A169" s="261">
        <v>606776</v>
      </c>
      <c r="B169" s="265" t="s">
        <v>11466</v>
      </c>
      <c r="C169" s="261" t="s">
        <v>6</v>
      </c>
      <c r="D169" s="266">
        <v>48877.38</v>
      </c>
    </row>
    <row r="170" spans="1:4" ht="31.5">
      <c r="A170" s="261">
        <v>607130</v>
      </c>
      <c r="B170" s="265" t="s">
        <v>11467</v>
      </c>
      <c r="C170" s="261" t="s">
        <v>6</v>
      </c>
      <c r="D170" s="266">
        <v>52472.639999999999</v>
      </c>
    </row>
    <row r="171" spans="1:4" ht="31.5">
      <c r="A171" s="261">
        <v>606778</v>
      </c>
      <c r="B171" s="265" t="s">
        <v>11468</v>
      </c>
      <c r="C171" s="261" t="s">
        <v>6</v>
      </c>
      <c r="D171" s="266">
        <v>52066.37</v>
      </c>
    </row>
    <row r="172" spans="1:4" ht="31.5">
      <c r="A172" s="261">
        <v>607131</v>
      </c>
      <c r="B172" s="265" t="s">
        <v>11469</v>
      </c>
      <c r="C172" s="261" t="s">
        <v>6</v>
      </c>
      <c r="D172" s="266">
        <v>49293.39</v>
      </c>
    </row>
    <row r="173" spans="1:4" ht="31.5">
      <c r="A173" s="261">
        <v>606779</v>
      </c>
      <c r="B173" s="265" t="s">
        <v>11470</v>
      </c>
      <c r="C173" s="261" t="s">
        <v>6</v>
      </c>
      <c r="D173" s="266">
        <v>48934.51</v>
      </c>
    </row>
    <row r="174" spans="1:4" ht="31.5">
      <c r="A174" s="261">
        <v>607133</v>
      </c>
      <c r="B174" s="265" t="s">
        <v>11471</v>
      </c>
      <c r="C174" s="261" t="s">
        <v>6</v>
      </c>
      <c r="D174" s="266">
        <v>50092.45</v>
      </c>
    </row>
    <row r="175" spans="1:4" ht="31.5">
      <c r="A175" s="261">
        <v>606781</v>
      </c>
      <c r="B175" s="265" t="s">
        <v>11472</v>
      </c>
      <c r="C175" s="261" t="s">
        <v>6</v>
      </c>
      <c r="D175" s="266">
        <v>49718.8</v>
      </c>
    </row>
    <row r="176" spans="1:4" ht="31.5">
      <c r="A176" s="261">
        <v>607132</v>
      </c>
      <c r="B176" s="265" t="s">
        <v>11473</v>
      </c>
      <c r="C176" s="261" t="s">
        <v>6</v>
      </c>
      <c r="D176" s="266">
        <v>54528.83</v>
      </c>
    </row>
    <row r="177" spans="1:4" ht="31.5">
      <c r="A177" s="261">
        <v>606780</v>
      </c>
      <c r="B177" s="265" t="s">
        <v>11474</v>
      </c>
      <c r="C177" s="261" t="s">
        <v>6</v>
      </c>
      <c r="D177" s="266">
        <v>54093.54</v>
      </c>
    </row>
    <row r="178" spans="1:4" ht="31.5">
      <c r="A178" s="261">
        <v>607134</v>
      </c>
      <c r="B178" s="265" t="s">
        <v>11475</v>
      </c>
      <c r="C178" s="261" t="s">
        <v>6</v>
      </c>
      <c r="D178" s="266">
        <v>54001.37</v>
      </c>
    </row>
    <row r="179" spans="1:4" ht="31.5">
      <c r="A179" s="261">
        <v>606782</v>
      </c>
      <c r="B179" s="265" t="s">
        <v>11476</v>
      </c>
      <c r="C179" s="261" t="s">
        <v>6</v>
      </c>
      <c r="D179" s="266">
        <v>53576.6</v>
      </c>
    </row>
    <row r="180" spans="1:4" ht="31.5">
      <c r="A180" s="261">
        <v>607136</v>
      </c>
      <c r="B180" s="265" t="s">
        <v>11477</v>
      </c>
      <c r="C180" s="261" t="s">
        <v>6</v>
      </c>
      <c r="D180" s="266">
        <v>53326.86</v>
      </c>
    </row>
    <row r="181" spans="1:4" ht="31.5">
      <c r="A181" s="261">
        <v>606784</v>
      </c>
      <c r="B181" s="265" t="s">
        <v>11478</v>
      </c>
      <c r="C181" s="261" t="s">
        <v>6</v>
      </c>
      <c r="D181" s="266">
        <v>52912.3</v>
      </c>
    </row>
    <row r="182" spans="1:4" ht="31.5">
      <c r="A182" s="261">
        <v>607135</v>
      </c>
      <c r="B182" s="265" t="s">
        <v>11479</v>
      </c>
      <c r="C182" s="261" t="s">
        <v>6</v>
      </c>
      <c r="D182" s="266">
        <v>59492.34</v>
      </c>
    </row>
    <row r="183" spans="1:4" ht="31.5">
      <c r="A183" s="261">
        <v>606783</v>
      </c>
      <c r="B183" s="265" t="s">
        <v>11480</v>
      </c>
      <c r="C183" s="261" t="s">
        <v>6</v>
      </c>
      <c r="D183" s="266">
        <v>59015.360000000001</v>
      </c>
    </row>
    <row r="184" spans="1:4" ht="31.5">
      <c r="A184" s="261">
        <v>607138</v>
      </c>
      <c r="B184" s="265" t="s">
        <v>11481</v>
      </c>
      <c r="C184" s="261" t="s">
        <v>6</v>
      </c>
      <c r="D184" s="266">
        <v>54211.23</v>
      </c>
    </row>
    <row r="185" spans="1:4" ht="31.5">
      <c r="A185" s="261">
        <v>606786</v>
      </c>
      <c r="B185" s="265" t="s">
        <v>11482</v>
      </c>
      <c r="C185" s="261" t="s">
        <v>6</v>
      </c>
      <c r="D185" s="266">
        <v>53771.95</v>
      </c>
    </row>
    <row r="186" spans="1:4" ht="31.5">
      <c r="A186" s="261">
        <v>606842</v>
      </c>
      <c r="B186" s="265" t="s">
        <v>11483</v>
      </c>
      <c r="C186" s="261" t="s">
        <v>6</v>
      </c>
      <c r="D186" s="266">
        <v>67617.66</v>
      </c>
    </row>
    <row r="187" spans="1:4" ht="31.5">
      <c r="A187" s="261">
        <v>606832</v>
      </c>
      <c r="B187" s="265" t="s">
        <v>11484</v>
      </c>
      <c r="C187" s="261" t="s">
        <v>6</v>
      </c>
      <c r="D187" s="266">
        <v>67415.77</v>
      </c>
    </row>
    <row r="188" spans="1:4" ht="31.5">
      <c r="A188" s="261">
        <v>606843</v>
      </c>
      <c r="B188" s="265" t="s">
        <v>11485</v>
      </c>
      <c r="C188" s="261" t="s">
        <v>6</v>
      </c>
      <c r="D188" s="266">
        <v>70272.23</v>
      </c>
    </row>
    <row r="189" spans="1:4" ht="31.5">
      <c r="A189" s="261">
        <v>606833</v>
      </c>
      <c r="B189" s="265" t="s">
        <v>11486</v>
      </c>
      <c r="C189" s="261" t="s">
        <v>6</v>
      </c>
      <c r="D189" s="266">
        <v>70058.320000000007</v>
      </c>
    </row>
    <row r="190" spans="1:4" ht="31.5">
      <c r="A190" s="261">
        <v>606845</v>
      </c>
      <c r="B190" s="265" t="s">
        <v>11487</v>
      </c>
      <c r="C190" s="261" t="s">
        <v>6</v>
      </c>
      <c r="D190" s="266">
        <v>72890.03</v>
      </c>
    </row>
    <row r="191" spans="1:4" ht="31.5">
      <c r="A191" s="261">
        <v>606835</v>
      </c>
      <c r="B191" s="265" t="s">
        <v>11488</v>
      </c>
      <c r="C191" s="261" t="s">
        <v>6</v>
      </c>
      <c r="D191" s="266">
        <v>72678.61</v>
      </c>
    </row>
    <row r="192" spans="1:4" ht="31.5">
      <c r="A192" s="261">
        <v>606844</v>
      </c>
      <c r="B192" s="265" t="s">
        <v>11489</v>
      </c>
      <c r="C192" s="261" t="s">
        <v>6</v>
      </c>
      <c r="D192" s="266">
        <v>71364.55</v>
      </c>
    </row>
    <row r="193" spans="1:4" ht="31.5">
      <c r="A193" s="261">
        <v>606834</v>
      </c>
      <c r="B193" s="265" t="s">
        <v>11490</v>
      </c>
      <c r="C193" s="261" t="s">
        <v>6</v>
      </c>
      <c r="D193" s="266">
        <v>71145.62</v>
      </c>
    </row>
    <row r="194" spans="1:4" ht="31.5">
      <c r="A194" s="261">
        <v>606847</v>
      </c>
      <c r="B194" s="265" t="s">
        <v>11491</v>
      </c>
      <c r="C194" s="261" t="s">
        <v>6</v>
      </c>
      <c r="D194" s="266">
        <v>76203.649999999994</v>
      </c>
    </row>
    <row r="195" spans="1:4" ht="31.5">
      <c r="A195" s="261">
        <v>606837</v>
      </c>
      <c r="B195" s="265" t="s">
        <v>11492</v>
      </c>
      <c r="C195" s="261" t="s">
        <v>6</v>
      </c>
      <c r="D195" s="266">
        <v>75961.41</v>
      </c>
    </row>
    <row r="196" spans="1:4" ht="31.5">
      <c r="A196" s="261">
        <v>606846</v>
      </c>
      <c r="B196" s="265" t="s">
        <v>11493</v>
      </c>
      <c r="C196" s="261" t="s">
        <v>6</v>
      </c>
      <c r="D196" s="266">
        <v>77137.58</v>
      </c>
    </row>
    <row r="197" spans="1:4" ht="31.5">
      <c r="A197" s="261">
        <v>606836</v>
      </c>
      <c r="B197" s="265" t="s">
        <v>11494</v>
      </c>
      <c r="C197" s="261" t="s">
        <v>6</v>
      </c>
      <c r="D197" s="266">
        <v>76894.210000000006</v>
      </c>
    </row>
    <row r="198" spans="1:4" ht="31.5">
      <c r="A198" s="261">
        <v>606848</v>
      </c>
      <c r="B198" s="265" t="s">
        <v>11495</v>
      </c>
      <c r="C198" s="261" t="s">
        <v>6</v>
      </c>
      <c r="D198" s="266">
        <v>76663.92</v>
      </c>
    </row>
    <row r="199" spans="1:4" ht="31.5">
      <c r="A199" s="261">
        <v>606838</v>
      </c>
      <c r="B199" s="265" t="s">
        <v>11496</v>
      </c>
      <c r="C199" s="261" t="s">
        <v>6</v>
      </c>
      <c r="D199" s="266">
        <v>76409.460000000006</v>
      </c>
    </row>
    <row r="200" spans="1:4" ht="31.5">
      <c r="A200" s="261">
        <v>606849</v>
      </c>
      <c r="B200" s="265" t="s">
        <v>11497</v>
      </c>
      <c r="C200" s="261" t="s">
        <v>6</v>
      </c>
      <c r="D200" s="266">
        <v>83286.89</v>
      </c>
    </row>
    <row r="201" spans="1:4" ht="31.5">
      <c r="A201" s="261">
        <v>606839</v>
      </c>
      <c r="B201" s="265" t="s">
        <v>11498</v>
      </c>
      <c r="C201" s="261" t="s">
        <v>6</v>
      </c>
      <c r="D201" s="266">
        <v>83041.460000000006</v>
      </c>
    </row>
    <row r="202" spans="1:4" ht="31.5">
      <c r="A202" s="261">
        <v>606850</v>
      </c>
      <c r="B202" s="265" t="s">
        <v>11499</v>
      </c>
      <c r="C202" s="261" t="s">
        <v>6</v>
      </c>
      <c r="D202" s="266">
        <v>83970.62</v>
      </c>
    </row>
    <row r="203" spans="1:4" ht="31.5">
      <c r="A203" s="261">
        <v>606840</v>
      </c>
      <c r="B203" s="265" t="s">
        <v>11500</v>
      </c>
      <c r="C203" s="261" t="s">
        <v>6</v>
      </c>
      <c r="D203" s="266">
        <v>83698.789999999994</v>
      </c>
    </row>
    <row r="204" spans="1:4" ht="31.5">
      <c r="A204" s="261">
        <v>606851</v>
      </c>
      <c r="B204" s="265" t="s">
        <v>11501</v>
      </c>
      <c r="C204" s="261" t="s">
        <v>6</v>
      </c>
      <c r="D204" s="266">
        <v>84471.26</v>
      </c>
    </row>
    <row r="205" spans="1:4" ht="31.5">
      <c r="A205" s="261">
        <v>606841</v>
      </c>
      <c r="B205" s="265" t="s">
        <v>11502</v>
      </c>
      <c r="C205" s="261" t="s">
        <v>6</v>
      </c>
      <c r="D205" s="266">
        <v>84213.22</v>
      </c>
    </row>
    <row r="206" spans="1:4">
      <c r="A206" s="261">
        <v>605604</v>
      </c>
      <c r="B206" s="265" t="s">
        <v>11503</v>
      </c>
      <c r="C206" s="261" t="s">
        <v>5</v>
      </c>
      <c r="D206" s="266">
        <v>301.75</v>
      </c>
    </row>
    <row r="207" spans="1:4">
      <c r="A207" s="261">
        <v>605695</v>
      </c>
      <c r="B207" s="265" t="s">
        <v>11504</v>
      </c>
      <c r="C207" s="261" t="s">
        <v>6</v>
      </c>
      <c r="D207" s="266">
        <v>1595.22</v>
      </c>
    </row>
    <row r="208" spans="1:4">
      <c r="A208" s="261">
        <v>605607</v>
      </c>
      <c r="B208" s="265" t="s">
        <v>11505</v>
      </c>
      <c r="C208" s="261" t="s">
        <v>6</v>
      </c>
      <c r="D208" s="266">
        <v>1580.03</v>
      </c>
    </row>
    <row r="209" spans="1:4">
      <c r="A209" s="261">
        <v>605696</v>
      </c>
      <c r="B209" s="265" t="s">
        <v>11506</v>
      </c>
      <c r="C209" s="261" t="s">
        <v>6</v>
      </c>
      <c r="D209" s="266">
        <v>1837.09</v>
      </c>
    </row>
    <row r="210" spans="1:4">
      <c r="A210" s="261">
        <v>605608</v>
      </c>
      <c r="B210" s="265" t="s">
        <v>11507</v>
      </c>
      <c r="C210" s="261" t="s">
        <v>6</v>
      </c>
      <c r="D210" s="266">
        <v>1820.95</v>
      </c>
    </row>
    <row r="211" spans="1:4">
      <c r="A211" s="261">
        <v>605697</v>
      </c>
      <c r="B211" s="265" t="s">
        <v>11508</v>
      </c>
      <c r="C211" s="261" t="s">
        <v>6</v>
      </c>
      <c r="D211" s="266">
        <v>2078.9899999999998</v>
      </c>
    </row>
    <row r="212" spans="1:4">
      <c r="A212" s="261">
        <v>605609</v>
      </c>
      <c r="B212" s="265" t="s">
        <v>11509</v>
      </c>
      <c r="C212" s="261" t="s">
        <v>6</v>
      </c>
      <c r="D212" s="266">
        <v>2061.89</v>
      </c>
    </row>
    <row r="213" spans="1:4">
      <c r="A213" s="261">
        <v>605698</v>
      </c>
      <c r="B213" s="265" t="s">
        <v>11510</v>
      </c>
      <c r="C213" s="261" t="s">
        <v>6</v>
      </c>
      <c r="D213" s="266">
        <v>2273.6</v>
      </c>
    </row>
    <row r="214" spans="1:4">
      <c r="A214" s="261">
        <v>605610</v>
      </c>
      <c r="B214" s="265" t="s">
        <v>11511</v>
      </c>
      <c r="C214" s="261" t="s">
        <v>6</v>
      </c>
      <c r="D214" s="266">
        <v>2255.56</v>
      </c>
    </row>
    <row r="215" spans="1:4">
      <c r="A215" s="261">
        <v>605699</v>
      </c>
      <c r="B215" s="265" t="s">
        <v>11512</v>
      </c>
      <c r="C215" s="261" t="s">
        <v>6</v>
      </c>
      <c r="D215" s="266">
        <v>2515.04</v>
      </c>
    </row>
    <row r="216" spans="1:4">
      <c r="A216" s="261">
        <v>605611</v>
      </c>
      <c r="B216" s="265" t="s">
        <v>11513</v>
      </c>
      <c r="C216" s="261" t="s">
        <v>6</v>
      </c>
      <c r="D216" s="266">
        <v>2496.0500000000002</v>
      </c>
    </row>
    <row r="217" spans="1:4">
      <c r="A217" s="261">
        <v>605700</v>
      </c>
      <c r="B217" s="265" t="s">
        <v>11514</v>
      </c>
      <c r="C217" s="261" t="s">
        <v>6</v>
      </c>
      <c r="D217" s="266">
        <v>2852</v>
      </c>
    </row>
    <row r="218" spans="1:4">
      <c r="A218" s="261">
        <v>605612</v>
      </c>
      <c r="B218" s="265" t="s">
        <v>11515</v>
      </c>
      <c r="C218" s="261" t="s">
        <v>6</v>
      </c>
      <c r="D218" s="266">
        <v>2832.05</v>
      </c>
    </row>
    <row r="219" spans="1:4">
      <c r="A219" s="261">
        <v>605701</v>
      </c>
      <c r="B219" s="265" t="s">
        <v>11516</v>
      </c>
      <c r="C219" s="261" t="s">
        <v>6</v>
      </c>
      <c r="D219" s="266">
        <v>3046.57</v>
      </c>
    </row>
    <row r="220" spans="1:4">
      <c r="A220" s="261">
        <v>605613</v>
      </c>
      <c r="B220" s="265" t="s">
        <v>11517</v>
      </c>
      <c r="C220" s="261" t="s">
        <v>6</v>
      </c>
      <c r="D220" s="266">
        <v>3025.68</v>
      </c>
    </row>
    <row r="221" spans="1:4">
      <c r="A221" s="261">
        <v>605702</v>
      </c>
      <c r="B221" s="265" t="s">
        <v>11518</v>
      </c>
      <c r="C221" s="261" t="s">
        <v>6</v>
      </c>
      <c r="D221" s="266">
        <v>3320.17</v>
      </c>
    </row>
    <row r="222" spans="1:4">
      <c r="A222" s="261">
        <v>605614</v>
      </c>
      <c r="B222" s="265" t="s">
        <v>11519</v>
      </c>
      <c r="C222" s="261" t="s">
        <v>6</v>
      </c>
      <c r="D222" s="266">
        <v>3287.4</v>
      </c>
    </row>
    <row r="223" spans="1:4">
      <c r="A223" s="261">
        <v>605703</v>
      </c>
      <c r="B223" s="265" t="s">
        <v>11520</v>
      </c>
      <c r="C223" s="261" t="s">
        <v>6</v>
      </c>
      <c r="D223" s="266">
        <v>3518.89</v>
      </c>
    </row>
    <row r="224" spans="1:4">
      <c r="A224" s="261">
        <v>605615</v>
      </c>
      <c r="B224" s="265" t="s">
        <v>11521</v>
      </c>
      <c r="C224" s="261" t="s">
        <v>6</v>
      </c>
      <c r="D224" s="266">
        <v>3484.69</v>
      </c>
    </row>
    <row r="225" spans="1:4">
      <c r="A225" s="261">
        <v>605704</v>
      </c>
      <c r="B225" s="265" t="s">
        <v>11522</v>
      </c>
      <c r="C225" s="261" t="s">
        <v>6</v>
      </c>
      <c r="D225" s="266">
        <v>3765.6</v>
      </c>
    </row>
    <row r="226" spans="1:4">
      <c r="A226" s="261">
        <v>605616</v>
      </c>
      <c r="B226" s="265" t="s">
        <v>11523</v>
      </c>
      <c r="C226" s="261" t="s">
        <v>6</v>
      </c>
      <c r="D226" s="266">
        <v>3729.98</v>
      </c>
    </row>
    <row r="227" spans="1:4">
      <c r="A227" s="261">
        <v>605705</v>
      </c>
      <c r="B227" s="265" t="s">
        <v>11524</v>
      </c>
      <c r="C227" s="261" t="s">
        <v>6</v>
      </c>
      <c r="D227" s="266">
        <v>4016.28</v>
      </c>
    </row>
    <row r="228" spans="1:4">
      <c r="A228" s="261">
        <v>605617</v>
      </c>
      <c r="B228" s="265" t="s">
        <v>11525</v>
      </c>
      <c r="C228" s="261" t="s">
        <v>6</v>
      </c>
      <c r="D228" s="266">
        <v>3979.24</v>
      </c>
    </row>
    <row r="229" spans="1:4">
      <c r="A229" s="261">
        <v>605706</v>
      </c>
      <c r="B229" s="265" t="s">
        <v>11526</v>
      </c>
      <c r="C229" s="261" t="s">
        <v>6</v>
      </c>
      <c r="D229" s="266">
        <v>4221.1099999999997</v>
      </c>
    </row>
    <row r="230" spans="1:4">
      <c r="A230" s="261">
        <v>605618</v>
      </c>
      <c r="B230" s="265" t="s">
        <v>11527</v>
      </c>
      <c r="C230" s="261" t="s">
        <v>6</v>
      </c>
      <c r="D230" s="266">
        <v>4182.6400000000003</v>
      </c>
    </row>
    <row r="231" spans="1:4">
      <c r="A231" s="261">
        <v>605707</v>
      </c>
      <c r="B231" s="265" t="s">
        <v>11528</v>
      </c>
      <c r="C231" s="261" t="s">
        <v>6</v>
      </c>
      <c r="D231" s="266">
        <v>4682.1099999999997</v>
      </c>
    </row>
    <row r="232" spans="1:4">
      <c r="A232" s="261">
        <v>605619</v>
      </c>
      <c r="B232" s="265" t="s">
        <v>11529</v>
      </c>
      <c r="C232" s="261" t="s">
        <v>6</v>
      </c>
      <c r="D232" s="266">
        <v>4642.22</v>
      </c>
    </row>
    <row r="233" spans="1:4">
      <c r="A233" s="261">
        <v>605708</v>
      </c>
      <c r="B233" s="265" t="s">
        <v>11530</v>
      </c>
      <c r="C233" s="261" t="s">
        <v>6</v>
      </c>
      <c r="D233" s="266">
        <v>5492.3</v>
      </c>
    </row>
    <row r="234" spans="1:4">
      <c r="A234" s="261">
        <v>605620</v>
      </c>
      <c r="B234" s="265" t="s">
        <v>11531</v>
      </c>
      <c r="C234" s="261" t="s">
        <v>6</v>
      </c>
      <c r="D234" s="266">
        <v>5450.98</v>
      </c>
    </row>
    <row r="235" spans="1:4">
      <c r="A235" s="261">
        <v>605709</v>
      </c>
      <c r="B235" s="265" t="s">
        <v>11532</v>
      </c>
      <c r="C235" s="261" t="s">
        <v>6</v>
      </c>
      <c r="D235" s="266">
        <v>5757.94</v>
      </c>
    </row>
    <row r="236" spans="1:4">
      <c r="A236" s="261">
        <v>605621</v>
      </c>
      <c r="B236" s="265" t="s">
        <v>11533</v>
      </c>
      <c r="C236" s="261" t="s">
        <v>6</v>
      </c>
      <c r="D236" s="266">
        <v>5715.2</v>
      </c>
    </row>
    <row r="237" spans="1:4">
      <c r="A237" s="261">
        <v>605710</v>
      </c>
      <c r="B237" s="265" t="s">
        <v>11534</v>
      </c>
      <c r="C237" s="261" t="s">
        <v>6</v>
      </c>
      <c r="D237" s="266">
        <v>6185.75</v>
      </c>
    </row>
    <row r="238" spans="1:4">
      <c r="A238" s="261">
        <v>605622</v>
      </c>
      <c r="B238" s="265" t="s">
        <v>11535</v>
      </c>
      <c r="C238" s="261" t="s">
        <v>6</v>
      </c>
      <c r="D238" s="266">
        <v>6141.59</v>
      </c>
    </row>
    <row r="239" spans="1:4">
      <c r="A239" s="261">
        <v>605711</v>
      </c>
      <c r="B239" s="265" t="s">
        <v>11536</v>
      </c>
      <c r="C239" s="261" t="s">
        <v>6</v>
      </c>
      <c r="D239" s="266">
        <v>6394.7</v>
      </c>
    </row>
    <row r="240" spans="1:4">
      <c r="A240" s="261">
        <v>605623</v>
      </c>
      <c r="B240" s="265" t="s">
        <v>11537</v>
      </c>
      <c r="C240" s="261" t="s">
        <v>6</v>
      </c>
      <c r="D240" s="266">
        <v>6349.11</v>
      </c>
    </row>
    <row r="241" spans="1:4">
      <c r="A241" s="261">
        <v>605712</v>
      </c>
      <c r="B241" s="265" t="s">
        <v>11538</v>
      </c>
      <c r="C241" s="261" t="s">
        <v>6</v>
      </c>
      <c r="D241" s="266">
        <v>6734.57</v>
      </c>
    </row>
    <row r="242" spans="1:4">
      <c r="A242" s="261">
        <v>605624</v>
      </c>
      <c r="B242" s="265" t="s">
        <v>11539</v>
      </c>
      <c r="C242" s="261" t="s">
        <v>6</v>
      </c>
      <c r="D242" s="266">
        <v>6687.56</v>
      </c>
    </row>
    <row r="243" spans="1:4">
      <c r="A243" s="261">
        <v>605713</v>
      </c>
      <c r="B243" s="265" t="s">
        <v>11540</v>
      </c>
      <c r="C243" s="261" t="s">
        <v>6</v>
      </c>
      <c r="D243" s="266">
        <v>9038.85</v>
      </c>
    </row>
    <row r="244" spans="1:4">
      <c r="A244" s="261">
        <v>605625</v>
      </c>
      <c r="B244" s="265" t="s">
        <v>11541</v>
      </c>
      <c r="C244" s="261" t="s">
        <v>6</v>
      </c>
      <c r="D244" s="266">
        <v>8990.42</v>
      </c>
    </row>
    <row r="245" spans="1:4">
      <c r="A245" s="261">
        <v>605714</v>
      </c>
      <c r="B245" s="265" t="s">
        <v>11542</v>
      </c>
      <c r="C245" s="261" t="s">
        <v>6</v>
      </c>
      <c r="D245" s="266">
        <v>11377.34</v>
      </c>
    </row>
    <row r="246" spans="1:4">
      <c r="A246" s="261">
        <v>605626</v>
      </c>
      <c r="B246" s="265" t="s">
        <v>11543</v>
      </c>
      <c r="C246" s="261" t="s">
        <v>6</v>
      </c>
      <c r="D246" s="266">
        <v>11327.47</v>
      </c>
    </row>
    <row r="247" spans="1:4">
      <c r="A247" s="261">
        <v>605715</v>
      </c>
      <c r="B247" s="265" t="s">
        <v>11544</v>
      </c>
      <c r="C247" s="261" t="s">
        <v>6</v>
      </c>
      <c r="D247" s="266">
        <v>12152.5</v>
      </c>
    </row>
    <row r="248" spans="1:4">
      <c r="A248" s="261">
        <v>605627</v>
      </c>
      <c r="B248" s="265" t="s">
        <v>11545</v>
      </c>
      <c r="C248" s="261" t="s">
        <v>6</v>
      </c>
      <c r="D248" s="266">
        <v>12101.21</v>
      </c>
    </row>
    <row r="249" spans="1:4">
      <c r="A249" s="261">
        <v>605716</v>
      </c>
      <c r="B249" s="265" t="s">
        <v>11546</v>
      </c>
      <c r="C249" s="261" t="s">
        <v>6</v>
      </c>
      <c r="D249" s="266">
        <v>12608.41</v>
      </c>
    </row>
    <row r="250" spans="1:4">
      <c r="A250" s="261">
        <v>605628</v>
      </c>
      <c r="B250" s="265" t="s">
        <v>11547</v>
      </c>
      <c r="C250" s="261" t="s">
        <v>6</v>
      </c>
      <c r="D250" s="266">
        <v>12555.7</v>
      </c>
    </row>
    <row r="251" spans="1:4">
      <c r="A251" s="261">
        <v>605717</v>
      </c>
      <c r="B251" s="265" t="s">
        <v>11548</v>
      </c>
      <c r="C251" s="261" t="s">
        <v>6</v>
      </c>
      <c r="D251" s="266">
        <v>13438.3</v>
      </c>
    </row>
    <row r="252" spans="1:4">
      <c r="A252" s="261">
        <v>605629</v>
      </c>
      <c r="B252" s="265" t="s">
        <v>11549</v>
      </c>
      <c r="C252" s="261" t="s">
        <v>6</v>
      </c>
      <c r="D252" s="266">
        <v>13384.16</v>
      </c>
    </row>
    <row r="253" spans="1:4">
      <c r="A253" s="261">
        <v>605651</v>
      </c>
      <c r="B253" s="265" t="s">
        <v>11550</v>
      </c>
      <c r="C253" s="261" t="s">
        <v>6</v>
      </c>
      <c r="D253" s="266">
        <v>1506.11</v>
      </c>
    </row>
    <row r="254" spans="1:4">
      <c r="A254" s="261">
        <v>605460</v>
      </c>
      <c r="B254" s="265" t="s">
        <v>11551</v>
      </c>
      <c r="C254" s="261" t="s">
        <v>6</v>
      </c>
      <c r="D254" s="266">
        <v>1490.91</v>
      </c>
    </row>
    <row r="255" spans="1:4">
      <c r="A255" s="261">
        <v>605652</v>
      </c>
      <c r="B255" s="265" t="s">
        <v>11552</v>
      </c>
      <c r="C255" s="261" t="s">
        <v>6</v>
      </c>
      <c r="D255" s="266">
        <v>1734.05</v>
      </c>
    </row>
    <row r="256" spans="1:4">
      <c r="A256" s="261">
        <v>605461</v>
      </c>
      <c r="B256" s="265" t="s">
        <v>11553</v>
      </c>
      <c r="C256" s="261" t="s">
        <v>6</v>
      </c>
      <c r="D256" s="266">
        <v>1717.91</v>
      </c>
    </row>
    <row r="257" spans="1:4">
      <c r="A257" s="261">
        <v>605653</v>
      </c>
      <c r="B257" s="265" t="s">
        <v>11554</v>
      </c>
      <c r="C257" s="261" t="s">
        <v>6</v>
      </c>
      <c r="D257" s="266">
        <v>1962.03</v>
      </c>
    </row>
    <row r="258" spans="1:4">
      <c r="A258" s="261">
        <v>605462</v>
      </c>
      <c r="B258" s="265" t="s">
        <v>11555</v>
      </c>
      <c r="C258" s="261" t="s">
        <v>6</v>
      </c>
      <c r="D258" s="266">
        <v>1944.93</v>
      </c>
    </row>
    <row r="259" spans="1:4">
      <c r="A259" s="261">
        <v>605654</v>
      </c>
      <c r="B259" s="265" t="s">
        <v>11556</v>
      </c>
      <c r="C259" s="261" t="s">
        <v>6</v>
      </c>
      <c r="D259" s="266">
        <v>2145.5100000000002</v>
      </c>
    </row>
    <row r="260" spans="1:4">
      <c r="A260" s="261">
        <v>605463</v>
      </c>
      <c r="B260" s="265" t="s">
        <v>11557</v>
      </c>
      <c r="C260" s="261" t="s">
        <v>6</v>
      </c>
      <c r="D260" s="266">
        <v>2127.46</v>
      </c>
    </row>
    <row r="261" spans="1:4">
      <c r="A261" s="261">
        <v>605655</v>
      </c>
      <c r="B261" s="265" t="s">
        <v>11558</v>
      </c>
      <c r="C261" s="261" t="s">
        <v>6</v>
      </c>
      <c r="D261" s="266">
        <v>2373.41</v>
      </c>
    </row>
    <row r="262" spans="1:4">
      <c r="A262" s="261">
        <v>605464</v>
      </c>
      <c r="B262" s="265" t="s">
        <v>11559</v>
      </c>
      <c r="C262" s="261" t="s">
        <v>6</v>
      </c>
      <c r="D262" s="266">
        <v>2354.41</v>
      </c>
    </row>
    <row r="263" spans="1:4">
      <c r="A263" s="261">
        <v>605656</v>
      </c>
      <c r="B263" s="265" t="s">
        <v>11560</v>
      </c>
      <c r="C263" s="261" t="s">
        <v>6</v>
      </c>
      <c r="D263" s="266">
        <v>2690.48</v>
      </c>
    </row>
    <row r="264" spans="1:4">
      <c r="A264" s="261">
        <v>605465</v>
      </c>
      <c r="B264" s="265" t="s">
        <v>11561</v>
      </c>
      <c r="C264" s="261" t="s">
        <v>6</v>
      </c>
      <c r="D264" s="266">
        <v>2670.53</v>
      </c>
    </row>
    <row r="265" spans="1:4">
      <c r="A265" s="261">
        <v>605657</v>
      </c>
      <c r="B265" s="265" t="s">
        <v>11562</v>
      </c>
      <c r="C265" s="261" t="s">
        <v>6</v>
      </c>
      <c r="D265" s="266">
        <v>2873.92</v>
      </c>
    </row>
    <row r="266" spans="1:4">
      <c r="A266" s="261">
        <v>605466</v>
      </c>
      <c r="B266" s="265" t="s">
        <v>11563</v>
      </c>
      <c r="C266" s="261" t="s">
        <v>6</v>
      </c>
      <c r="D266" s="266">
        <v>2853.02</v>
      </c>
    </row>
    <row r="267" spans="1:4">
      <c r="A267" s="261">
        <v>605658</v>
      </c>
      <c r="B267" s="265" t="s">
        <v>11564</v>
      </c>
      <c r="C267" s="261" t="s">
        <v>6</v>
      </c>
      <c r="D267" s="266">
        <v>3133.59</v>
      </c>
    </row>
    <row r="268" spans="1:4">
      <c r="A268" s="261">
        <v>605467</v>
      </c>
      <c r="B268" s="265" t="s">
        <v>11565</v>
      </c>
      <c r="C268" s="261" t="s">
        <v>6</v>
      </c>
      <c r="D268" s="266">
        <v>3100.82</v>
      </c>
    </row>
    <row r="269" spans="1:4">
      <c r="A269" s="261">
        <v>605659</v>
      </c>
      <c r="B269" s="265" t="s">
        <v>11566</v>
      </c>
      <c r="C269" s="261" t="s">
        <v>6</v>
      </c>
      <c r="D269" s="266">
        <v>3321.17</v>
      </c>
    </row>
    <row r="270" spans="1:4">
      <c r="A270" s="261">
        <v>605468</v>
      </c>
      <c r="B270" s="265" t="s">
        <v>11567</v>
      </c>
      <c r="C270" s="261" t="s">
        <v>6</v>
      </c>
      <c r="D270" s="266">
        <v>3286.97</v>
      </c>
    </row>
    <row r="271" spans="1:4">
      <c r="A271" s="261">
        <v>605660</v>
      </c>
      <c r="B271" s="265" t="s">
        <v>11568</v>
      </c>
      <c r="C271" s="261" t="s">
        <v>6</v>
      </c>
      <c r="D271" s="266">
        <v>3553.96</v>
      </c>
    </row>
    <row r="272" spans="1:4">
      <c r="A272" s="261">
        <v>605469</v>
      </c>
      <c r="B272" s="265" t="s">
        <v>11569</v>
      </c>
      <c r="C272" s="261" t="s">
        <v>6</v>
      </c>
      <c r="D272" s="266">
        <v>3518.34</v>
      </c>
    </row>
    <row r="273" spans="1:4">
      <c r="A273" s="261">
        <v>605661</v>
      </c>
      <c r="B273" s="265" t="s">
        <v>11570</v>
      </c>
      <c r="C273" s="261" t="s">
        <v>6</v>
      </c>
      <c r="D273" s="266">
        <v>3790.72</v>
      </c>
    </row>
    <row r="274" spans="1:4">
      <c r="A274" s="261">
        <v>605470</v>
      </c>
      <c r="B274" s="265" t="s">
        <v>11571</v>
      </c>
      <c r="C274" s="261" t="s">
        <v>6</v>
      </c>
      <c r="D274" s="266">
        <v>3753.67</v>
      </c>
    </row>
    <row r="275" spans="1:4">
      <c r="A275" s="261">
        <v>605662</v>
      </c>
      <c r="B275" s="265" t="s">
        <v>11572</v>
      </c>
      <c r="C275" s="261" t="s">
        <v>6</v>
      </c>
      <c r="D275" s="266">
        <v>3984.4</v>
      </c>
    </row>
    <row r="276" spans="1:4">
      <c r="A276" s="261">
        <v>605471</v>
      </c>
      <c r="B276" s="265" t="s">
        <v>11573</v>
      </c>
      <c r="C276" s="261" t="s">
        <v>6</v>
      </c>
      <c r="D276" s="266">
        <v>3945.93</v>
      </c>
    </row>
    <row r="277" spans="1:4">
      <c r="A277" s="261">
        <v>605663</v>
      </c>
      <c r="B277" s="265" t="s">
        <v>11574</v>
      </c>
      <c r="C277" s="261" t="s">
        <v>6</v>
      </c>
      <c r="D277" s="266">
        <v>4431.6499999999996</v>
      </c>
    </row>
    <row r="278" spans="1:4">
      <c r="A278" s="261">
        <v>605472</v>
      </c>
      <c r="B278" s="265" t="s">
        <v>11575</v>
      </c>
      <c r="C278" s="261" t="s">
        <v>6</v>
      </c>
      <c r="D278" s="266">
        <v>4391.76</v>
      </c>
    </row>
    <row r="279" spans="1:4">
      <c r="A279" s="261">
        <v>605664</v>
      </c>
      <c r="B279" s="265" t="s">
        <v>11576</v>
      </c>
      <c r="C279" s="261" t="s">
        <v>6</v>
      </c>
      <c r="D279" s="266">
        <v>5192.16</v>
      </c>
    </row>
    <row r="280" spans="1:4">
      <c r="A280" s="261">
        <v>605473</v>
      </c>
      <c r="B280" s="265" t="s">
        <v>11577</v>
      </c>
      <c r="C280" s="261" t="s">
        <v>6</v>
      </c>
      <c r="D280" s="266">
        <v>5150.8500000000004</v>
      </c>
    </row>
    <row r="281" spans="1:4">
      <c r="A281" s="261">
        <v>605665</v>
      </c>
      <c r="B281" s="265" t="s">
        <v>11578</v>
      </c>
      <c r="C281" s="261" t="s">
        <v>6</v>
      </c>
      <c r="D281" s="266">
        <v>5441.59</v>
      </c>
    </row>
    <row r="282" spans="1:4">
      <c r="A282" s="261">
        <v>605474</v>
      </c>
      <c r="B282" s="265" t="s">
        <v>11579</v>
      </c>
      <c r="C282" s="261" t="s">
        <v>6</v>
      </c>
      <c r="D282" s="266">
        <v>5398.85</v>
      </c>
    </row>
    <row r="283" spans="1:4">
      <c r="A283" s="261">
        <v>605666</v>
      </c>
      <c r="B283" s="265" t="s">
        <v>11580</v>
      </c>
      <c r="C283" s="261" t="s">
        <v>6</v>
      </c>
      <c r="D283" s="266">
        <v>5847.77</v>
      </c>
    </row>
    <row r="284" spans="1:4">
      <c r="A284" s="261">
        <v>605475</v>
      </c>
      <c r="B284" s="265" t="s">
        <v>11581</v>
      </c>
      <c r="C284" s="261" t="s">
        <v>6</v>
      </c>
      <c r="D284" s="266">
        <v>5803.6</v>
      </c>
    </row>
    <row r="285" spans="1:4">
      <c r="A285" s="261">
        <v>605667</v>
      </c>
      <c r="B285" s="265" t="s">
        <v>11582</v>
      </c>
      <c r="C285" s="261" t="s">
        <v>6</v>
      </c>
      <c r="D285" s="266">
        <v>6048.6</v>
      </c>
    </row>
    <row r="286" spans="1:4">
      <c r="A286" s="261">
        <v>605476</v>
      </c>
      <c r="B286" s="265" t="s">
        <v>11583</v>
      </c>
      <c r="C286" s="261" t="s">
        <v>6</v>
      </c>
      <c r="D286" s="266">
        <v>6003.01</v>
      </c>
    </row>
    <row r="287" spans="1:4">
      <c r="A287" s="261">
        <v>605668</v>
      </c>
      <c r="B287" s="265" t="s">
        <v>11584</v>
      </c>
      <c r="C287" s="261" t="s">
        <v>6</v>
      </c>
      <c r="D287" s="266">
        <v>6374.96</v>
      </c>
    </row>
    <row r="288" spans="1:4">
      <c r="A288" s="261">
        <v>605477</v>
      </c>
      <c r="B288" s="265" t="s">
        <v>11585</v>
      </c>
      <c r="C288" s="261" t="s">
        <v>6</v>
      </c>
      <c r="D288" s="266">
        <v>6327.95</v>
      </c>
    </row>
    <row r="289" spans="1:4">
      <c r="A289" s="261">
        <v>605669</v>
      </c>
      <c r="B289" s="265" t="s">
        <v>11586</v>
      </c>
      <c r="C289" s="261" t="s">
        <v>6</v>
      </c>
      <c r="D289" s="266">
        <v>8371.6200000000008</v>
      </c>
    </row>
    <row r="290" spans="1:4">
      <c r="A290" s="261">
        <v>605478</v>
      </c>
      <c r="B290" s="265" t="s">
        <v>11587</v>
      </c>
      <c r="C290" s="261" t="s">
        <v>6</v>
      </c>
      <c r="D290" s="266">
        <v>8323.18</v>
      </c>
    </row>
    <row r="291" spans="1:4">
      <c r="A291" s="261">
        <v>605670</v>
      </c>
      <c r="B291" s="265" t="s">
        <v>11588</v>
      </c>
      <c r="C291" s="261" t="s">
        <v>6</v>
      </c>
      <c r="D291" s="266">
        <v>10536.52</v>
      </c>
    </row>
    <row r="292" spans="1:4">
      <c r="A292" s="261">
        <v>605479</v>
      </c>
      <c r="B292" s="265" t="s">
        <v>11589</v>
      </c>
      <c r="C292" s="261" t="s">
        <v>6</v>
      </c>
      <c r="D292" s="266">
        <v>10486.65</v>
      </c>
    </row>
    <row r="293" spans="1:4">
      <c r="A293" s="261">
        <v>605671</v>
      </c>
      <c r="B293" s="265" t="s">
        <v>11590</v>
      </c>
      <c r="C293" s="261" t="s">
        <v>6</v>
      </c>
      <c r="D293" s="266">
        <v>11263.83</v>
      </c>
    </row>
    <row r="294" spans="1:4">
      <c r="A294" s="261">
        <v>605480</v>
      </c>
      <c r="B294" s="265" t="s">
        <v>11591</v>
      </c>
      <c r="C294" s="261" t="s">
        <v>6</v>
      </c>
      <c r="D294" s="266">
        <v>11212.54</v>
      </c>
    </row>
    <row r="295" spans="1:4">
      <c r="A295" s="261">
        <v>605672</v>
      </c>
      <c r="B295" s="265" t="s">
        <v>11592</v>
      </c>
      <c r="C295" s="261" t="s">
        <v>6</v>
      </c>
      <c r="D295" s="266">
        <v>11702.64</v>
      </c>
    </row>
    <row r="296" spans="1:4">
      <c r="A296" s="261">
        <v>605481</v>
      </c>
      <c r="B296" s="265" t="s">
        <v>11593</v>
      </c>
      <c r="C296" s="261" t="s">
        <v>6</v>
      </c>
      <c r="D296" s="266">
        <v>11649.93</v>
      </c>
    </row>
    <row r="297" spans="1:4">
      <c r="A297" s="261">
        <v>605673</v>
      </c>
      <c r="B297" s="265" t="s">
        <v>11594</v>
      </c>
      <c r="C297" s="261" t="s">
        <v>6</v>
      </c>
      <c r="D297" s="266">
        <v>12488.11</v>
      </c>
    </row>
    <row r="298" spans="1:4">
      <c r="A298" s="261">
        <v>605482</v>
      </c>
      <c r="B298" s="265" t="s">
        <v>11595</v>
      </c>
      <c r="C298" s="261" t="s">
        <v>6</v>
      </c>
      <c r="D298" s="266">
        <v>12433.97</v>
      </c>
    </row>
    <row r="299" spans="1:4">
      <c r="A299" s="261">
        <v>605718</v>
      </c>
      <c r="B299" s="265" t="s">
        <v>11596</v>
      </c>
      <c r="C299" s="261" t="s">
        <v>6</v>
      </c>
      <c r="D299" s="266">
        <v>7518.34</v>
      </c>
    </row>
    <row r="300" spans="1:4">
      <c r="A300" s="261">
        <v>605630</v>
      </c>
      <c r="B300" s="265" t="s">
        <v>11597</v>
      </c>
      <c r="C300" s="261" t="s">
        <v>6</v>
      </c>
      <c r="D300" s="266">
        <v>7482.73</v>
      </c>
    </row>
    <row r="301" spans="1:4">
      <c r="A301" s="261">
        <v>605719</v>
      </c>
      <c r="B301" s="265" t="s">
        <v>11598</v>
      </c>
      <c r="C301" s="261" t="s">
        <v>6</v>
      </c>
      <c r="D301" s="266">
        <v>9311.83</v>
      </c>
    </row>
    <row r="302" spans="1:4">
      <c r="A302" s="261">
        <v>605631</v>
      </c>
      <c r="B302" s="265" t="s">
        <v>11599</v>
      </c>
      <c r="C302" s="261" t="s">
        <v>6</v>
      </c>
      <c r="D302" s="266">
        <v>9271.93</v>
      </c>
    </row>
    <row r="303" spans="1:4">
      <c r="A303" s="261">
        <v>605720</v>
      </c>
      <c r="B303" s="265" t="s">
        <v>11600</v>
      </c>
      <c r="C303" s="261" t="s">
        <v>6</v>
      </c>
      <c r="D303" s="266">
        <v>9752.66</v>
      </c>
    </row>
    <row r="304" spans="1:4">
      <c r="A304" s="261">
        <v>605632</v>
      </c>
      <c r="B304" s="265" t="s">
        <v>11601</v>
      </c>
      <c r="C304" s="261" t="s">
        <v>6</v>
      </c>
      <c r="D304" s="266">
        <v>9711.35</v>
      </c>
    </row>
    <row r="305" spans="1:4">
      <c r="A305" s="261">
        <v>605721</v>
      </c>
      <c r="B305" s="265" t="s">
        <v>11602</v>
      </c>
      <c r="C305" s="261" t="s">
        <v>6</v>
      </c>
      <c r="D305" s="266">
        <v>10892.17</v>
      </c>
    </row>
    <row r="306" spans="1:4">
      <c r="A306" s="261">
        <v>605633</v>
      </c>
      <c r="B306" s="265" t="s">
        <v>11603</v>
      </c>
      <c r="C306" s="261" t="s">
        <v>6</v>
      </c>
      <c r="D306" s="266">
        <v>10847.29</v>
      </c>
    </row>
    <row r="307" spans="1:4">
      <c r="A307" s="261">
        <v>605722</v>
      </c>
      <c r="B307" s="265" t="s">
        <v>11604</v>
      </c>
      <c r="C307" s="261" t="s">
        <v>6</v>
      </c>
      <c r="D307" s="266">
        <v>11541.01</v>
      </c>
    </row>
    <row r="308" spans="1:4">
      <c r="A308" s="261">
        <v>605634</v>
      </c>
      <c r="B308" s="265" t="s">
        <v>11605</v>
      </c>
      <c r="C308" s="261" t="s">
        <v>6</v>
      </c>
      <c r="D308" s="266">
        <v>11493.99</v>
      </c>
    </row>
    <row r="309" spans="1:4">
      <c r="A309" s="261">
        <v>605723</v>
      </c>
      <c r="B309" s="265" t="s">
        <v>11606</v>
      </c>
      <c r="C309" s="261" t="s">
        <v>6</v>
      </c>
      <c r="D309" s="266">
        <v>13497.36</v>
      </c>
    </row>
    <row r="310" spans="1:4">
      <c r="A310" s="261">
        <v>605635</v>
      </c>
      <c r="B310" s="265" t="s">
        <v>11607</v>
      </c>
      <c r="C310" s="261" t="s">
        <v>6</v>
      </c>
      <c r="D310" s="266">
        <v>13445.36</v>
      </c>
    </row>
    <row r="311" spans="1:4">
      <c r="A311" s="261">
        <v>605724</v>
      </c>
      <c r="B311" s="265" t="s">
        <v>11608</v>
      </c>
      <c r="C311" s="261" t="s">
        <v>6</v>
      </c>
      <c r="D311" s="266">
        <v>15402.91</v>
      </c>
    </row>
    <row r="312" spans="1:4">
      <c r="A312" s="261">
        <v>605636</v>
      </c>
      <c r="B312" s="265" t="s">
        <v>11609</v>
      </c>
      <c r="C312" s="261" t="s">
        <v>6</v>
      </c>
      <c r="D312" s="266">
        <v>15330.97</v>
      </c>
    </row>
    <row r="313" spans="1:4">
      <c r="A313" s="261">
        <v>605725</v>
      </c>
      <c r="B313" s="265" t="s">
        <v>11610</v>
      </c>
      <c r="C313" s="261" t="s">
        <v>6</v>
      </c>
      <c r="D313" s="266">
        <v>16353.71</v>
      </c>
    </row>
    <row r="314" spans="1:4">
      <c r="A314" s="261">
        <v>605637</v>
      </c>
      <c r="B314" s="265" t="s">
        <v>11611</v>
      </c>
      <c r="C314" s="261" t="s">
        <v>6</v>
      </c>
      <c r="D314" s="266">
        <v>16279.63</v>
      </c>
    </row>
    <row r="315" spans="1:4">
      <c r="A315" s="261">
        <v>605726</v>
      </c>
      <c r="B315" s="265" t="s">
        <v>11612</v>
      </c>
      <c r="C315" s="261" t="s">
        <v>6</v>
      </c>
      <c r="D315" s="266">
        <v>17310.97</v>
      </c>
    </row>
    <row r="316" spans="1:4">
      <c r="A316" s="261">
        <v>605638</v>
      </c>
      <c r="B316" s="265" t="s">
        <v>11613</v>
      </c>
      <c r="C316" s="261" t="s">
        <v>6</v>
      </c>
      <c r="D316" s="266">
        <v>17234.03</v>
      </c>
    </row>
    <row r="317" spans="1:4">
      <c r="A317" s="261">
        <v>605727</v>
      </c>
      <c r="B317" s="265" t="s">
        <v>11614</v>
      </c>
      <c r="C317" s="261" t="s">
        <v>6</v>
      </c>
      <c r="D317" s="266">
        <v>18555.84</v>
      </c>
    </row>
    <row r="318" spans="1:4">
      <c r="A318" s="261">
        <v>605639</v>
      </c>
      <c r="B318" s="265" t="s">
        <v>11615</v>
      </c>
      <c r="C318" s="261" t="s">
        <v>6</v>
      </c>
      <c r="D318" s="266">
        <v>18475.34</v>
      </c>
    </row>
    <row r="319" spans="1:4">
      <c r="A319" s="261">
        <v>605728</v>
      </c>
      <c r="B319" s="265" t="s">
        <v>11616</v>
      </c>
      <c r="C319" s="261" t="s">
        <v>6</v>
      </c>
      <c r="D319" s="266">
        <v>19250.5</v>
      </c>
    </row>
    <row r="320" spans="1:4">
      <c r="A320" s="261">
        <v>605640</v>
      </c>
      <c r="B320" s="265" t="s">
        <v>11617</v>
      </c>
      <c r="C320" s="261" t="s">
        <v>6</v>
      </c>
      <c r="D320" s="266">
        <v>19167.86</v>
      </c>
    </row>
    <row r="321" spans="1:4">
      <c r="A321" s="261">
        <v>605729</v>
      </c>
      <c r="B321" s="265" t="s">
        <v>11618</v>
      </c>
      <c r="C321" s="261" t="s">
        <v>6</v>
      </c>
      <c r="D321" s="266">
        <v>21151.68</v>
      </c>
    </row>
    <row r="322" spans="1:4">
      <c r="A322" s="261">
        <v>605641</v>
      </c>
      <c r="B322" s="265" t="s">
        <v>11619</v>
      </c>
      <c r="C322" s="261" t="s">
        <v>6</v>
      </c>
      <c r="D322" s="266">
        <v>21063.35</v>
      </c>
    </row>
    <row r="323" spans="1:4">
      <c r="A323" s="261">
        <v>605730</v>
      </c>
      <c r="B323" s="265" t="s">
        <v>11620</v>
      </c>
      <c r="C323" s="261" t="s">
        <v>6</v>
      </c>
      <c r="D323" s="266">
        <v>23065.55</v>
      </c>
    </row>
    <row r="324" spans="1:4">
      <c r="A324" s="261">
        <v>605642</v>
      </c>
      <c r="B324" s="265" t="s">
        <v>11621</v>
      </c>
      <c r="C324" s="261" t="s">
        <v>6</v>
      </c>
      <c r="D324" s="266">
        <v>22971.52</v>
      </c>
    </row>
    <row r="325" spans="1:4">
      <c r="A325" s="261">
        <v>605731</v>
      </c>
      <c r="B325" s="265" t="s">
        <v>11622</v>
      </c>
      <c r="C325" s="261" t="s">
        <v>6</v>
      </c>
      <c r="D325" s="266">
        <v>29252.83</v>
      </c>
    </row>
    <row r="326" spans="1:4">
      <c r="A326" s="261">
        <v>605643</v>
      </c>
      <c r="B326" s="265" t="s">
        <v>11623</v>
      </c>
      <c r="C326" s="261" t="s">
        <v>6</v>
      </c>
      <c r="D326" s="266">
        <v>29155.95</v>
      </c>
    </row>
    <row r="327" spans="1:4">
      <c r="A327" s="261">
        <v>605732</v>
      </c>
      <c r="B327" s="265" t="s">
        <v>11624</v>
      </c>
      <c r="C327" s="261" t="s">
        <v>6</v>
      </c>
      <c r="D327" s="266">
        <v>30239.78</v>
      </c>
    </row>
    <row r="328" spans="1:4">
      <c r="A328" s="261">
        <v>605644</v>
      </c>
      <c r="B328" s="265" t="s">
        <v>11625</v>
      </c>
      <c r="C328" s="261" t="s">
        <v>6</v>
      </c>
      <c r="D328" s="266">
        <v>30123.43</v>
      </c>
    </row>
    <row r="329" spans="1:4">
      <c r="A329" s="261">
        <v>605733</v>
      </c>
      <c r="B329" s="265" t="s">
        <v>11626</v>
      </c>
      <c r="C329" s="261" t="s">
        <v>6</v>
      </c>
      <c r="D329" s="266">
        <v>36841.379999999997</v>
      </c>
    </row>
    <row r="330" spans="1:4">
      <c r="A330" s="261">
        <v>605645</v>
      </c>
      <c r="B330" s="265" t="s">
        <v>11627</v>
      </c>
      <c r="C330" s="261" t="s">
        <v>6</v>
      </c>
      <c r="D330" s="266">
        <v>36719.21</v>
      </c>
    </row>
    <row r="331" spans="1:4">
      <c r="A331" s="261">
        <v>605734</v>
      </c>
      <c r="B331" s="265" t="s">
        <v>11628</v>
      </c>
      <c r="C331" s="261" t="s">
        <v>6</v>
      </c>
      <c r="D331" s="266">
        <v>39582.03</v>
      </c>
    </row>
    <row r="332" spans="1:4">
      <c r="A332" s="261">
        <v>605646</v>
      </c>
      <c r="B332" s="265" t="s">
        <v>11629</v>
      </c>
      <c r="C332" s="261" t="s">
        <v>6</v>
      </c>
      <c r="D332" s="266">
        <v>39454.050000000003</v>
      </c>
    </row>
    <row r="333" spans="1:4">
      <c r="A333" s="261">
        <v>605735</v>
      </c>
      <c r="B333" s="265" t="s">
        <v>11630</v>
      </c>
      <c r="C333" s="261" t="s">
        <v>6</v>
      </c>
      <c r="D333" s="266">
        <v>48817.85</v>
      </c>
    </row>
    <row r="334" spans="1:4">
      <c r="A334" s="261">
        <v>605647</v>
      </c>
      <c r="B334" s="265" t="s">
        <v>11631</v>
      </c>
      <c r="C334" s="261" t="s">
        <v>6</v>
      </c>
      <c r="D334" s="266">
        <v>48683.21</v>
      </c>
    </row>
    <row r="335" spans="1:4">
      <c r="A335" s="261">
        <v>605736</v>
      </c>
      <c r="B335" s="265" t="s">
        <v>11632</v>
      </c>
      <c r="C335" s="261" t="s">
        <v>6</v>
      </c>
      <c r="D335" s="266">
        <v>62342.34</v>
      </c>
    </row>
    <row r="336" spans="1:4">
      <c r="A336" s="261">
        <v>605648</v>
      </c>
      <c r="B336" s="265" t="s">
        <v>11633</v>
      </c>
      <c r="C336" s="261" t="s">
        <v>6</v>
      </c>
      <c r="D336" s="266">
        <v>62201.06</v>
      </c>
    </row>
    <row r="337" spans="1:4">
      <c r="A337" s="261">
        <v>605737</v>
      </c>
      <c r="B337" s="265" t="s">
        <v>11634</v>
      </c>
      <c r="C337" s="261" t="s">
        <v>6</v>
      </c>
      <c r="D337" s="266">
        <v>66293.710000000006</v>
      </c>
    </row>
    <row r="338" spans="1:4">
      <c r="A338" s="261">
        <v>605649</v>
      </c>
      <c r="B338" s="265" t="s">
        <v>11635</v>
      </c>
      <c r="C338" s="261" t="s">
        <v>6</v>
      </c>
      <c r="D338" s="266">
        <v>66146.61</v>
      </c>
    </row>
    <row r="339" spans="1:4">
      <c r="A339" s="261">
        <v>605738</v>
      </c>
      <c r="B339" s="265" t="s">
        <v>11636</v>
      </c>
      <c r="C339" s="261" t="s">
        <v>6</v>
      </c>
      <c r="D339" s="266">
        <v>70301.13</v>
      </c>
    </row>
    <row r="340" spans="1:4">
      <c r="A340" s="261">
        <v>605650</v>
      </c>
      <c r="B340" s="265" t="s">
        <v>11637</v>
      </c>
      <c r="C340" s="261" t="s">
        <v>6</v>
      </c>
      <c r="D340" s="266">
        <v>70147.38</v>
      </c>
    </row>
    <row r="341" spans="1:4">
      <c r="A341" s="261">
        <v>605674</v>
      </c>
      <c r="B341" s="265" t="s">
        <v>11638</v>
      </c>
      <c r="C341" s="261" t="s">
        <v>6</v>
      </c>
      <c r="D341" s="266">
        <v>7263.6</v>
      </c>
    </row>
    <row r="342" spans="1:4">
      <c r="A342" s="261">
        <v>605483</v>
      </c>
      <c r="B342" s="265" t="s">
        <v>11639</v>
      </c>
      <c r="C342" s="261" t="s">
        <v>6</v>
      </c>
      <c r="D342" s="266">
        <v>7227.98</v>
      </c>
    </row>
    <row r="343" spans="1:4">
      <c r="A343" s="261">
        <v>605675</v>
      </c>
      <c r="B343" s="265" t="s">
        <v>11640</v>
      </c>
      <c r="C343" s="261" t="s">
        <v>6</v>
      </c>
      <c r="D343" s="266">
        <v>9003.7999999999993</v>
      </c>
    </row>
    <row r="344" spans="1:4">
      <c r="A344" s="261">
        <v>605484</v>
      </c>
      <c r="B344" s="265" t="s">
        <v>11641</v>
      </c>
      <c r="C344" s="261" t="s">
        <v>6</v>
      </c>
      <c r="D344" s="266">
        <v>8963.91</v>
      </c>
    </row>
    <row r="345" spans="1:4">
      <c r="A345" s="261">
        <v>605676</v>
      </c>
      <c r="B345" s="265" t="s">
        <v>11642</v>
      </c>
      <c r="C345" s="261" t="s">
        <v>6</v>
      </c>
      <c r="D345" s="266">
        <v>9434.65</v>
      </c>
    </row>
    <row r="346" spans="1:4">
      <c r="A346" s="261">
        <v>605485</v>
      </c>
      <c r="B346" s="265" t="s">
        <v>11643</v>
      </c>
      <c r="C346" s="261" t="s">
        <v>6</v>
      </c>
      <c r="D346" s="266">
        <v>9393.33</v>
      </c>
    </row>
    <row r="347" spans="1:4">
      <c r="A347" s="261">
        <v>605677</v>
      </c>
      <c r="B347" s="265" t="s">
        <v>11644</v>
      </c>
      <c r="C347" s="261" t="s">
        <v>6</v>
      </c>
      <c r="D347" s="266">
        <v>10530.87</v>
      </c>
    </row>
    <row r="348" spans="1:4">
      <c r="A348" s="261">
        <v>605486</v>
      </c>
      <c r="B348" s="265" t="s">
        <v>11645</v>
      </c>
      <c r="C348" s="261" t="s">
        <v>6</v>
      </c>
      <c r="D348" s="266">
        <v>10485.99</v>
      </c>
    </row>
    <row r="349" spans="1:4">
      <c r="A349" s="261">
        <v>605678</v>
      </c>
      <c r="B349" s="265" t="s">
        <v>11646</v>
      </c>
      <c r="C349" s="261" t="s">
        <v>6</v>
      </c>
      <c r="D349" s="266">
        <v>11159.72</v>
      </c>
    </row>
    <row r="350" spans="1:4">
      <c r="A350" s="261">
        <v>605487</v>
      </c>
      <c r="B350" s="265" t="s">
        <v>11647</v>
      </c>
      <c r="C350" s="261" t="s">
        <v>6</v>
      </c>
      <c r="D350" s="266">
        <v>11112.7</v>
      </c>
    </row>
    <row r="351" spans="1:4">
      <c r="A351" s="261">
        <v>605679</v>
      </c>
      <c r="B351" s="265" t="s">
        <v>11648</v>
      </c>
      <c r="C351" s="261" t="s">
        <v>6</v>
      </c>
      <c r="D351" s="266">
        <v>13051.14</v>
      </c>
    </row>
    <row r="352" spans="1:4">
      <c r="A352" s="261">
        <v>605488</v>
      </c>
      <c r="B352" s="265" t="s">
        <v>11649</v>
      </c>
      <c r="C352" s="261" t="s">
        <v>6</v>
      </c>
      <c r="D352" s="266">
        <v>12999.14</v>
      </c>
    </row>
    <row r="353" spans="1:4">
      <c r="A353" s="261">
        <v>605680</v>
      </c>
      <c r="B353" s="265" t="s">
        <v>11650</v>
      </c>
      <c r="C353" s="261" t="s">
        <v>6</v>
      </c>
      <c r="D353" s="266">
        <v>14893.43</v>
      </c>
    </row>
    <row r="354" spans="1:4">
      <c r="A354" s="261">
        <v>605489</v>
      </c>
      <c r="B354" s="265" t="s">
        <v>11651</v>
      </c>
      <c r="C354" s="261" t="s">
        <v>6</v>
      </c>
      <c r="D354" s="266">
        <v>14821.48</v>
      </c>
    </row>
    <row r="355" spans="1:4">
      <c r="A355" s="261">
        <v>605681</v>
      </c>
      <c r="B355" s="265" t="s">
        <v>11652</v>
      </c>
      <c r="C355" s="261" t="s">
        <v>6</v>
      </c>
      <c r="D355" s="266">
        <v>15812.59</v>
      </c>
    </row>
    <row r="356" spans="1:4">
      <c r="A356" s="261">
        <v>605490</v>
      </c>
      <c r="B356" s="265" t="s">
        <v>11653</v>
      </c>
      <c r="C356" s="261" t="s">
        <v>6</v>
      </c>
      <c r="D356" s="266">
        <v>15738.51</v>
      </c>
    </row>
    <row r="357" spans="1:4">
      <c r="A357" s="261">
        <v>605682</v>
      </c>
      <c r="B357" s="265" t="s">
        <v>11654</v>
      </c>
      <c r="C357" s="261" t="s">
        <v>6</v>
      </c>
      <c r="D357" s="266">
        <v>16738.21</v>
      </c>
    </row>
    <row r="358" spans="1:4">
      <c r="A358" s="261">
        <v>605491</v>
      </c>
      <c r="B358" s="265" t="s">
        <v>11655</v>
      </c>
      <c r="C358" s="261" t="s">
        <v>6</v>
      </c>
      <c r="D358" s="266">
        <v>16661.28</v>
      </c>
    </row>
    <row r="359" spans="1:4">
      <c r="A359" s="261">
        <v>605683</v>
      </c>
      <c r="B359" s="265" t="s">
        <v>11656</v>
      </c>
      <c r="C359" s="261" t="s">
        <v>6</v>
      </c>
      <c r="D359" s="266">
        <v>17941.46</v>
      </c>
    </row>
    <row r="360" spans="1:4">
      <c r="A360" s="261">
        <v>605492</v>
      </c>
      <c r="B360" s="265" t="s">
        <v>11657</v>
      </c>
      <c r="C360" s="261" t="s">
        <v>6</v>
      </c>
      <c r="D360" s="266">
        <v>17860.97</v>
      </c>
    </row>
    <row r="361" spans="1:4">
      <c r="A361" s="261">
        <v>605684</v>
      </c>
      <c r="B361" s="265" t="s">
        <v>11658</v>
      </c>
      <c r="C361" s="261" t="s">
        <v>6</v>
      </c>
      <c r="D361" s="266">
        <v>18614.46</v>
      </c>
    </row>
    <row r="362" spans="1:4">
      <c r="A362" s="261">
        <v>605493</v>
      </c>
      <c r="B362" s="265" t="s">
        <v>11659</v>
      </c>
      <c r="C362" s="261" t="s">
        <v>6</v>
      </c>
      <c r="D362" s="266">
        <v>18531.830000000002</v>
      </c>
    </row>
    <row r="363" spans="1:4">
      <c r="A363" s="261">
        <v>605685</v>
      </c>
      <c r="B363" s="265" t="s">
        <v>11660</v>
      </c>
      <c r="C363" s="261" t="s">
        <v>6</v>
      </c>
      <c r="D363" s="266">
        <v>20450.72</v>
      </c>
    </row>
    <row r="364" spans="1:4">
      <c r="A364" s="261">
        <v>605494</v>
      </c>
      <c r="B364" s="265" t="s">
        <v>11661</v>
      </c>
      <c r="C364" s="261" t="s">
        <v>6</v>
      </c>
      <c r="D364" s="266">
        <v>20362.39</v>
      </c>
    </row>
    <row r="365" spans="1:4">
      <c r="A365" s="261">
        <v>605686</v>
      </c>
      <c r="B365" s="265" t="s">
        <v>11662</v>
      </c>
      <c r="C365" s="261" t="s">
        <v>6</v>
      </c>
      <c r="D365" s="266">
        <v>22301.33</v>
      </c>
    </row>
    <row r="366" spans="1:4">
      <c r="A366" s="261">
        <v>605495</v>
      </c>
      <c r="B366" s="265" t="s">
        <v>11663</v>
      </c>
      <c r="C366" s="261" t="s">
        <v>6</v>
      </c>
      <c r="D366" s="266">
        <v>22207.3</v>
      </c>
    </row>
    <row r="367" spans="1:4">
      <c r="A367" s="261">
        <v>605687</v>
      </c>
      <c r="B367" s="265" t="s">
        <v>11664</v>
      </c>
      <c r="C367" s="261" t="s">
        <v>6</v>
      </c>
      <c r="D367" s="266">
        <v>25476.639999999999</v>
      </c>
    </row>
    <row r="368" spans="1:4">
      <c r="A368" s="261">
        <v>605496</v>
      </c>
      <c r="B368" s="265" t="s">
        <v>11665</v>
      </c>
      <c r="C368" s="261" t="s">
        <v>6</v>
      </c>
      <c r="D368" s="266">
        <v>25379.759999999998</v>
      </c>
    </row>
    <row r="369" spans="1:4">
      <c r="A369" s="261">
        <v>605688</v>
      </c>
      <c r="B369" s="265" t="s">
        <v>11666</v>
      </c>
      <c r="C369" s="261" t="s">
        <v>6</v>
      </c>
      <c r="D369" s="266">
        <v>26356.959999999999</v>
      </c>
    </row>
    <row r="370" spans="1:4">
      <c r="A370" s="261">
        <v>605497</v>
      </c>
      <c r="B370" s="265" t="s">
        <v>11667</v>
      </c>
      <c r="C370" s="261" t="s">
        <v>6</v>
      </c>
      <c r="D370" s="266">
        <v>26240.61</v>
      </c>
    </row>
    <row r="371" spans="1:4">
      <c r="A371" s="261">
        <v>605689</v>
      </c>
      <c r="B371" s="265" t="s">
        <v>11668</v>
      </c>
      <c r="C371" s="261" t="s">
        <v>6</v>
      </c>
      <c r="D371" s="266">
        <v>33076.01</v>
      </c>
    </row>
    <row r="372" spans="1:4">
      <c r="A372" s="261">
        <v>605498</v>
      </c>
      <c r="B372" s="265" t="s">
        <v>11669</v>
      </c>
      <c r="C372" s="261" t="s">
        <v>6</v>
      </c>
      <c r="D372" s="266">
        <v>32953.839999999997</v>
      </c>
    </row>
    <row r="373" spans="1:4">
      <c r="A373" s="261">
        <v>605690</v>
      </c>
      <c r="B373" s="265" t="s">
        <v>11670</v>
      </c>
      <c r="C373" s="261" t="s">
        <v>6</v>
      </c>
      <c r="D373" s="266">
        <v>35547.370000000003</v>
      </c>
    </row>
    <row r="374" spans="1:4">
      <c r="A374" s="261">
        <v>605499</v>
      </c>
      <c r="B374" s="265" t="s">
        <v>11671</v>
      </c>
      <c r="C374" s="261" t="s">
        <v>6</v>
      </c>
      <c r="D374" s="266">
        <v>35419.39</v>
      </c>
    </row>
    <row r="375" spans="1:4">
      <c r="A375" s="261">
        <v>605691</v>
      </c>
      <c r="B375" s="265" t="s">
        <v>11672</v>
      </c>
      <c r="C375" s="261" t="s">
        <v>6</v>
      </c>
      <c r="D375" s="266">
        <v>43683.25</v>
      </c>
    </row>
    <row r="376" spans="1:4">
      <c r="A376" s="261">
        <v>605500</v>
      </c>
      <c r="B376" s="265" t="s">
        <v>11673</v>
      </c>
      <c r="C376" s="261" t="s">
        <v>6</v>
      </c>
      <c r="D376" s="266">
        <v>43548.62</v>
      </c>
    </row>
    <row r="377" spans="1:4">
      <c r="A377" s="261">
        <v>605692</v>
      </c>
      <c r="B377" s="265" t="s">
        <v>11674</v>
      </c>
      <c r="C377" s="261" t="s">
        <v>6</v>
      </c>
      <c r="D377" s="266">
        <v>52267.86</v>
      </c>
    </row>
    <row r="378" spans="1:4">
      <c r="A378" s="261">
        <v>605501</v>
      </c>
      <c r="B378" s="265" t="s">
        <v>11675</v>
      </c>
      <c r="C378" s="261" t="s">
        <v>6</v>
      </c>
      <c r="D378" s="266">
        <v>52126.58</v>
      </c>
    </row>
    <row r="379" spans="1:4">
      <c r="A379" s="261">
        <v>605693</v>
      </c>
      <c r="B379" s="265" t="s">
        <v>11676</v>
      </c>
      <c r="C379" s="261" t="s">
        <v>6</v>
      </c>
      <c r="D379" s="266">
        <v>55628.94</v>
      </c>
    </row>
    <row r="380" spans="1:4">
      <c r="A380" s="261">
        <v>605502</v>
      </c>
      <c r="B380" s="265" t="s">
        <v>11677</v>
      </c>
      <c r="C380" s="261" t="s">
        <v>6</v>
      </c>
      <c r="D380" s="266">
        <v>55481.84</v>
      </c>
    </row>
    <row r="381" spans="1:4">
      <c r="A381" s="261">
        <v>605694</v>
      </c>
      <c r="B381" s="265" t="s">
        <v>11678</v>
      </c>
      <c r="C381" s="261" t="s">
        <v>6</v>
      </c>
      <c r="D381" s="266">
        <v>59046.1</v>
      </c>
    </row>
    <row r="382" spans="1:4">
      <c r="A382" s="261">
        <v>605503</v>
      </c>
      <c r="B382" s="265" t="s">
        <v>11679</v>
      </c>
      <c r="C382" s="261" t="s">
        <v>6</v>
      </c>
      <c r="D382" s="266">
        <v>58892.35</v>
      </c>
    </row>
    <row r="383" spans="1:4" ht="31.5">
      <c r="A383" s="261">
        <v>606433</v>
      </c>
      <c r="B383" s="265" t="s">
        <v>11680</v>
      </c>
      <c r="C383" s="261" t="s">
        <v>6</v>
      </c>
      <c r="D383" s="266">
        <v>8757.76</v>
      </c>
    </row>
    <row r="384" spans="1:4" ht="31.5">
      <c r="A384" s="261">
        <v>606343</v>
      </c>
      <c r="B384" s="265" t="s">
        <v>11681</v>
      </c>
      <c r="C384" s="261" t="s">
        <v>6</v>
      </c>
      <c r="D384" s="266">
        <v>8715.74</v>
      </c>
    </row>
    <row r="385" spans="1:4" ht="31.5">
      <c r="A385" s="261">
        <v>606434</v>
      </c>
      <c r="B385" s="265" t="s">
        <v>11682</v>
      </c>
      <c r="C385" s="261" t="s">
        <v>6</v>
      </c>
      <c r="D385" s="266">
        <v>9685.32</v>
      </c>
    </row>
    <row r="386" spans="1:4" ht="31.5">
      <c r="A386" s="261">
        <v>606344</v>
      </c>
      <c r="B386" s="265" t="s">
        <v>11683</v>
      </c>
      <c r="C386" s="261" t="s">
        <v>6</v>
      </c>
      <c r="D386" s="266">
        <v>9640.4500000000007</v>
      </c>
    </row>
    <row r="387" spans="1:4" ht="31.5">
      <c r="A387" s="261">
        <v>606435</v>
      </c>
      <c r="B387" s="265" t="s">
        <v>11684</v>
      </c>
      <c r="C387" s="261" t="s">
        <v>6</v>
      </c>
      <c r="D387" s="266">
        <v>10584.67</v>
      </c>
    </row>
    <row r="388" spans="1:4" ht="31.5">
      <c r="A388" s="261">
        <v>606345</v>
      </c>
      <c r="B388" s="265" t="s">
        <v>11685</v>
      </c>
      <c r="C388" s="261" t="s">
        <v>6</v>
      </c>
      <c r="D388" s="266">
        <v>10537.66</v>
      </c>
    </row>
    <row r="389" spans="1:4" ht="31.5">
      <c r="A389" s="261">
        <v>606436</v>
      </c>
      <c r="B389" s="265" t="s">
        <v>11686</v>
      </c>
      <c r="C389" s="261" t="s">
        <v>6</v>
      </c>
      <c r="D389" s="266">
        <v>11253.63</v>
      </c>
    </row>
    <row r="390" spans="1:4" ht="31.5">
      <c r="A390" s="261">
        <v>606346</v>
      </c>
      <c r="B390" s="265" t="s">
        <v>11687</v>
      </c>
      <c r="C390" s="261" t="s">
        <v>6</v>
      </c>
      <c r="D390" s="266">
        <v>11203.05</v>
      </c>
    </row>
    <row r="391" spans="1:4" ht="31.5">
      <c r="A391" s="261">
        <v>606437</v>
      </c>
      <c r="B391" s="265" t="s">
        <v>11688</v>
      </c>
      <c r="C391" s="261" t="s">
        <v>6</v>
      </c>
      <c r="D391" s="266">
        <v>12179.26</v>
      </c>
    </row>
    <row r="392" spans="1:4" ht="31.5">
      <c r="A392" s="261">
        <v>606347</v>
      </c>
      <c r="B392" s="265" t="s">
        <v>11689</v>
      </c>
      <c r="C392" s="261" t="s">
        <v>6</v>
      </c>
      <c r="D392" s="266">
        <v>12127.02</v>
      </c>
    </row>
    <row r="393" spans="1:4" ht="31.5">
      <c r="A393" s="261">
        <v>606438</v>
      </c>
      <c r="B393" s="265" t="s">
        <v>11690</v>
      </c>
      <c r="C393" s="261" t="s">
        <v>6</v>
      </c>
      <c r="D393" s="266">
        <v>12505.96</v>
      </c>
    </row>
    <row r="394" spans="1:4" ht="31.5">
      <c r="A394" s="261">
        <v>606348</v>
      </c>
      <c r="B394" s="265" t="s">
        <v>11691</v>
      </c>
      <c r="C394" s="261" t="s">
        <v>6</v>
      </c>
      <c r="D394" s="266">
        <v>12452.53</v>
      </c>
    </row>
    <row r="395" spans="1:4" ht="31.5">
      <c r="A395" s="261">
        <v>606439</v>
      </c>
      <c r="B395" s="265" t="s">
        <v>11692</v>
      </c>
      <c r="C395" s="261" t="s">
        <v>6</v>
      </c>
      <c r="D395" s="266">
        <v>13173.64</v>
      </c>
    </row>
    <row r="396" spans="1:4" ht="31.5">
      <c r="A396" s="261">
        <v>606349</v>
      </c>
      <c r="B396" s="265" t="s">
        <v>11693</v>
      </c>
      <c r="C396" s="261" t="s">
        <v>6</v>
      </c>
      <c r="D396" s="266">
        <v>13102.41</v>
      </c>
    </row>
    <row r="397" spans="1:4" ht="31.5">
      <c r="A397" s="261">
        <v>606440</v>
      </c>
      <c r="B397" s="265" t="s">
        <v>11694</v>
      </c>
      <c r="C397" s="261" t="s">
        <v>6</v>
      </c>
      <c r="D397" s="266">
        <v>13780.1</v>
      </c>
    </row>
    <row r="398" spans="1:4" ht="31.5">
      <c r="A398" s="261">
        <v>606350</v>
      </c>
      <c r="B398" s="265" t="s">
        <v>11695</v>
      </c>
      <c r="C398" s="261" t="s">
        <v>6</v>
      </c>
      <c r="D398" s="266">
        <v>13706.02</v>
      </c>
    </row>
    <row r="399" spans="1:4" ht="31.5">
      <c r="A399" s="261">
        <v>606441</v>
      </c>
      <c r="B399" s="265" t="s">
        <v>11696</v>
      </c>
      <c r="C399" s="261" t="s">
        <v>6</v>
      </c>
      <c r="D399" s="266">
        <v>14437.8</v>
      </c>
    </row>
    <row r="400" spans="1:4" ht="31.5">
      <c r="A400" s="261">
        <v>606351</v>
      </c>
      <c r="B400" s="265" t="s">
        <v>11697</v>
      </c>
      <c r="C400" s="261" t="s">
        <v>6</v>
      </c>
      <c r="D400" s="266">
        <v>14361.57</v>
      </c>
    </row>
    <row r="401" spans="1:4" ht="31.5">
      <c r="A401" s="261">
        <v>606442</v>
      </c>
      <c r="B401" s="265" t="s">
        <v>11698</v>
      </c>
      <c r="C401" s="261" t="s">
        <v>6</v>
      </c>
      <c r="D401" s="266">
        <v>15067.52</v>
      </c>
    </row>
    <row r="402" spans="1:4" ht="31.5">
      <c r="A402" s="261">
        <v>606352</v>
      </c>
      <c r="B402" s="265" t="s">
        <v>11699</v>
      </c>
      <c r="C402" s="261" t="s">
        <v>6</v>
      </c>
      <c r="D402" s="266">
        <v>14988.45</v>
      </c>
    </row>
    <row r="403" spans="1:4" ht="31.5">
      <c r="A403" s="261">
        <v>606443</v>
      </c>
      <c r="B403" s="265" t="s">
        <v>11700</v>
      </c>
      <c r="C403" s="261" t="s">
        <v>6</v>
      </c>
      <c r="D403" s="266">
        <v>15978.07</v>
      </c>
    </row>
    <row r="404" spans="1:4" ht="31.5">
      <c r="A404" s="261">
        <v>606353</v>
      </c>
      <c r="B404" s="265" t="s">
        <v>11701</v>
      </c>
      <c r="C404" s="261" t="s">
        <v>6</v>
      </c>
      <c r="D404" s="266">
        <v>15896.86</v>
      </c>
    </row>
    <row r="405" spans="1:4" ht="31.5">
      <c r="A405" s="261">
        <v>606444</v>
      </c>
      <c r="B405" s="265" t="s">
        <v>11702</v>
      </c>
      <c r="C405" s="261" t="s">
        <v>6</v>
      </c>
      <c r="D405" s="266">
        <v>16664.62</v>
      </c>
    </row>
    <row r="406" spans="1:4" ht="31.5">
      <c r="A406" s="261">
        <v>606354</v>
      </c>
      <c r="B406" s="265" t="s">
        <v>11703</v>
      </c>
      <c r="C406" s="261" t="s">
        <v>6</v>
      </c>
      <c r="D406" s="266">
        <v>16580.560000000001</v>
      </c>
    </row>
    <row r="407" spans="1:4" ht="31.5">
      <c r="A407" s="261">
        <v>606445</v>
      </c>
      <c r="B407" s="265" t="s">
        <v>11704</v>
      </c>
      <c r="C407" s="261" t="s">
        <v>6</v>
      </c>
      <c r="D407" s="266">
        <v>17316.96</v>
      </c>
    </row>
    <row r="408" spans="1:4" ht="31.5">
      <c r="A408" s="261">
        <v>606355</v>
      </c>
      <c r="B408" s="265" t="s">
        <v>11705</v>
      </c>
      <c r="C408" s="261" t="s">
        <v>6</v>
      </c>
      <c r="D408" s="266">
        <v>17231.48</v>
      </c>
    </row>
    <row r="409" spans="1:4" ht="31.5">
      <c r="A409" s="261">
        <v>606446</v>
      </c>
      <c r="B409" s="265" t="s">
        <v>11706</v>
      </c>
      <c r="C409" s="261" t="s">
        <v>6</v>
      </c>
      <c r="D409" s="266">
        <v>17949.68</v>
      </c>
    </row>
    <row r="410" spans="1:4" ht="31.5">
      <c r="A410" s="261">
        <v>606356</v>
      </c>
      <c r="B410" s="265" t="s">
        <v>11707</v>
      </c>
      <c r="C410" s="261" t="s">
        <v>6</v>
      </c>
      <c r="D410" s="266">
        <v>17862.07</v>
      </c>
    </row>
    <row r="411" spans="1:4" ht="31.5">
      <c r="A411" s="261">
        <v>606447</v>
      </c>
      <c r="B411" s="265" t="s">
        <v>11708</v>
      </c>
      <c r="C411" s="261" t="s">
        <v>6</v>
      </c>
      <c r="D411" s="266">
        <v>18635.580000000002</v>
      </c>
    </row>
    <row r="412" spans="1:4" ht="31.5">
      <c r="A412" s="261">
        <v>606357</v>
      </c>
      <c r="B412" s="265" t="s">
        <v>11709</v>
      </c>
      <c r="C412" s="261" t="s">
        <v>6</v>
      </c>
      <c r="D412" s="266">
        <v>18529.2</v>
      </c>
    </row>
    <row r="413" spans="1:4" ht="31.5">
      <c r="A413" s="261">
        <v>606448</v>
      </c>
      <c r="B413" s="265" t="s">
        <v>11710</v>
      </c>
      <c r="C413" s="261" t="s">
        <v>6</v>
      </c>
      <c r="D413" s="266">
        <v>19600.919999999998</v>
      </c>
    </row>
    <row r="414" spans="1:4" ht="31.5">
      <c r="A414" s="261">
        <v>606358</v>
      </c>
      <c r="B414" s="265" t="s">
        <v>11711</v>
      </c>
      <c r="C414" s="261" t="s">
        <v>6</v>
      </c>
      <c r="D414" s="266">
        <v>19491.22</v>
      </c>
    </row>
    <row r="415" spans="1:4" ht="31.5">
      <c r="A415" s="261">
        <v>606449</v>
      </c>
      <c r="B415" s="265" t="s">
        <v>11712</v>
      </c>
      <c r="C415" s="261" t="s">
        <v>6</v>
      </c>
      <c r="D415" s="266">
        <v>24170.27</v>
      </c>
    </row>
    <row r="416" spans="1:4" ht="31.5">
      <c r="A416" s="261">
        <v>606359</v>
      </c>
      <c r="B416" s="265" t="s">
        <v>11713</v>
      </c>
      <c r="C416" s="261" t="s">
        <v>6</v>
      </c>
      <c r="D416" s="266">
        <v>24057.25</v>
      </c>
    </row>
    <row r="417" spans="1:4" ht="31.5">
      <c r="A417" s="261">
        <v>606450</v>
      </c>
      <c r="B417" s="265" t="s">
        <v>11714</v>
      </c>
      <c r="C417" s="261" t="s">
        <v>6</v>
      </c>
      <c r="D417" s="266">
        <v>25128.83</v>
      </c>
    </row>
    <row r="418" spans="1:4" ht="31.5">
      <c r="A418" s="261">
        <v>606360</v>
      </c>
      <c r="B418" s="265" t="s">
        <v>11715</v>
      </c>
      <c r="C418" s="261" t="s">
        <v>6</v>
      </c>
      <c r="D418" s="266">
        <v>25011.65</v>
      </c>
    </row>
    <row r="419" spans="1:4" ht="31.5">
      <c r="A419" s="261">
        <v>606451</v>
      </c>
      <c r="B419" s="265" t="s">
        <v>11716</v>
      </c>
      <c r="C419" s="261" t="s">
        <v>6</v>
      </c>
      <c r="D419" s="266">
        <v>25938.78</v>
      </c>
    </row>
    <row r="420" spans="1:4" ht="31.5">
      <c r="A420" s="261">
        <v>606361</v>
      </c>
      <c r="B420" s="265" t="s">
        <v>11717</v>
      </c>
      <c r="C420" s="261" t="s">
        <v>6</v>
      </c>
      <c r="D420" s="266">
        <v>25818.28</v>
      </c>
    </row>
    <row r="421" spans="1:4" ht="31.5">
      <c r="A421" s="261">
        <v>606452</v>
      </c>
      <c r="B421" s="265" t="s">
        <v>11718</v>
      </c>
      <c r="C421" s="261" t="s">
        <v>6</v>
      </c>
      <c r="D421" s="266">
        <v>29563.439999999999</v>
      </c>
    </row>
    <row r="422" spans="1:4" ht="31.5">
      <c r="A422" s="261">
        <v>606362</v>
      </c>
      <c r="B422" s="265" t="s">
        <v>11719</v>
      </c>
      <c r="C422" s="261" t="s">
        <v>6</v>
      </c>
      <c r="D422" s="266">
        <v>29439.61</v>
      </c>
    </row>
    <row r="423" spans="1:4" ht="31.5">
      <c r="A423" s="261">
        <v>606453</v>
      </c>
      <c r="B423" s="265" t="s">
        <v>11720</v>
      </c>
      <c r="C423" s="261" t="s">
        <v>6</v>
      </c>
      <c r="D423" s="266">
        <v>30021.46</v>
      </c>
    </row>
    <row r="424" spans="1:4" ht="31.5">
      <c r="A424" s="261">
        <v>606363</v>
      </c>
      <c r="B424" s="265" t="s">
        <v>11721</v>
      </c>
      <c r="C424" s="261" t="s">
        <v>6</v>
      </c>
      <c r="D424" s="266">
        <v>29895.14</v>
      </c>
    </row>
    <row r="425" spans="1:4" ht="31.5">
      <c r="A425" s="261">
        <v>606454</v>
      </c>
      <c r="B425" s="265" t="s">
        <v>11722</v>
      </c>
      <c r="C425" s="261" t="s">
        <v>6</v>
      </c>
      <c r="D425" s="266">
        <v>35849.480000000003</v>
      </c>
    </row>
    <row r="426" spans="1:4" ht="31.5">
      <c r="A426" s="261">
        <v>606364</v>
      </c>
      <c r="B426" s="265" t="s">
        <v>11723</v>
      </c>
      <c r="C426" s="261" t="s">
        <v>6</v>
      </c>
      <c r="D426" s="266">
        <v>35719.839999999997</v>
      </c>
    </row>
    <row r="427" spans="1:4" ht="31.5">
      <c r="A427" s="261">
        <v>606455</v>
      </c>
      <c r="B427" s="265" t="s">
        <v>11724</v>
      </c>
      <c r="C427" s="261" t="s">
        <v>6</v>
      </c>
      <c r="D427" s="266">
        <v>36431.01</v>
      </c>
    </row>
    <row r="428" spans="1:4" ht="31.5">
      <c r="A428" s="261">
        <v>606365</v>
      </c>
      <c r="B428" s="265" t="s">
        <v>11725</v>
      </c>
      <c r="C428" s="261" t="s">
        <v>6</v>
      </c>
      <c r="D428" s="266">
        <v>36299.699999999997</v>
      </c>
    </row>
    <row r="429" spans="1:4" ht="31.5">
      <c r="A429" s="261">
        <v>606456</v>
      </c>
      <c r="B429" s="265" t="s">
        <v>11726</v>
      </c>
      <c r="C429" s="261" t="s">
        <v>6</v>
      </c>
      <c r="D429" s="266">
        <v>37818.92</v>
      </c>
    </row>
    <row r="430" spans="1:4" ht="31.5">
      <c r="A430" s="261">
        <v>606366</v>
      </c>
      <c r="B430" s="265" t="s">
        <v>11727</v>
      </c>
      <c r="C430" s="261" t="s">
        <v>6</v>
      </c>
      <c r="D430" s="266">
        <v>37684.28</v>
      </c>
    </row>
    <row r="431" spans="1:4" ht="31.5">
      <c r="A431" s="261">
        <v>606457</v>
      </c>
      <c r="B431" s="265" t="s">
        <v>11728</v>
      </c>
      <c r="C431" s="261" t="s">
        <v>6</v>
      </c>
      <c r="D431" s="266">
        <v>38434.18</v>
      </c>
    </row>
    <row r="432" spans="1:4" ht="31.5">
      <c r="A432" s="261">
        <v>606367</v>
      </c>
      <c r="B432" s="265" t="s">
        <v>11729</v>
      </c>
      <c r="C432" s="261" t="s">
        <v>6</v>
      </c>
      <c r="D432" s="266">
        <v>38297.050000000003</v>
      </c>
    </row>
    <row r="433" spans="1:4" ht="31.5">
      <c r="A433" s="261">
        <v>606458</v>
      </c>
      <c r="B433" s="265" t="s">
        <v>11730</v>
      </c>
      <c r="C433" s="261" t="s">
        <v>6</v>
      </c>
      <c r="D433" s="266">
        <v>52261.96</v>
      </c>
    </row>
    <row r="434" spans="1:4" ht="31.5">
      <c r="A434" s="261">
        <v>606368</v>
      </c>
      <c r="B434" s="265" t="s">
        <v>11731</v>
      </c>
      <c r="C434" s="261" t="s">
        <v>6</v>
      </c>
      <c r="D434" s="266">
        <v>52122.34</v>
      </c>
    </row>
    <row r="435" spans="1:4" ht="31.5">
      <c r="A435" s="261">
        <v>606459</v>
      </c>
      <c r="B435" s="265" t="s">
        <v>11732</v>
      </c>
      <c r="C435" s="261" t="s">
        <v>6</v>
      </c>
      <c r="D435" s="266">
        <v>54407.839999999997</v>
      </c>
    </row>
    <row r="436" spans="1:4" ht="31.5">
      <c r="A436" s="261">
        <v>606369</v>
      </c>
      <c r="B436" s="265" t="s">
        <v>11733</v>
      </c>
      <c r="C436" s="261" t="s">
        <v>6</v>
      </c>
      <c r="D436" s="266">
        <v>54264.9</v>
      </c>
    </row>
    <row r="437" spans="1:4" ht="31.5">
      <c r="A437" s="261">
        <v>606479</v>
      </c>
      <c r="B437" s="265" t="s">
        <v>11734</v>
      </c>
      <c r="C437" s="261" t="s">
        <v>6</v>
      </c>
      <c r="D437" s="266">
        <v>12305.77</v>
      </c>
    </row>
    <row r="438" spans="1:4" ht="31.5">
      <c r="A438" s="261">
        <v>606460</v>
      </c>
      <c r="B438" s="265" t="s">
        <v>11735</v>
      </c>
      <c r="C438" s="261" t="s">
        <v>6</v>
      </c>
      <c r="D438" s="266">
        <v>12252.59</v>
      </c>
    </row>
    <row r="439" spans="1:4" ht="31.5">
      <c r="A439" s="261">
        <v>606480</v>
      </c>
      <c r="B439" s="265" t="s">
        <v>11736</v>
      </c>
      <c r="C439" s="261" t="s">
        <v>6</v>
      </c>
      <c r="D439" s="266">
        <v>16025.86</v>
      </c>
    </row>
    <row r="440" spans="1:4" ht="31.5">
      <c r="A440" s="261">
        <v>606461</v>
      </c>
      <c r="B440" s="265" t="s">
        <v>11737</v>
      </c>
      <c r="C440" s="261" t="s">
        <v>6</v>
      </c>
      <c r="D440" s="266">
        <v>15961.03</v>
      </c>
    </row>
    <row r="441" spans="1:4" ht="31.5">
      <c r="A441" s="261">
        <v>606481</v>
      </c>
      <c r="B441" s="265" t="s">
        <v>11738</v>
      </c>
      <c r="C441" s="261" t="s">
        <v>6</v>
      </c>
      <c r="D441" s="266">
        <v>18637.72</v>
      </c>
    </row>
    <row r="442" spans="1:4" ht="31.5">
      <c r="A442" s="261">
        <v>606462</v>
      </c>
      <c r="B442" s="265" t="s">
        <v>11739</v>
      </c>
      <c r="C442" s="261" t="s">
        <v>6</v>
      </c>
      <c r="D442" s="266">
        <v>18542.98</v>
      </c>
    </row>
    <row r="443" spans="1:4" ht="31.5">
      <c r="A443" s="261">
        <v>606482</v>
      </c>
      <c r="B443" s="265" t="s">
        <v>11740</v>
      </c>
      <c r="C443" s="261" t="s">
        <v>6</v>
      </c>
      <c r="D443" s="266">
        <v>19609.919999999998</v>
      </c>
    </row>
    <row r="444" spans="1:4" ht="31.5">
      <c r="A444" s="261">
        <v>606463</v>
      </c>
      <c r="B444" s="265" t="s">
        <v>11741</v>
      </c>
      <c r="C444" s="261" t="s">
        <v>6</v>
      </c>
      <c r="D444" s="266">
        <v>19511.86</v>
      </c>
    </row>
    <row r="445" spans="1:4" ht="31.5">
      <c r="A445" s="261">
        <v>606483</v>
      </c>
      <c r="B445" s="265" t="s">
        <v>11742</v>
      </c>
      <c r="C445" s="261" t="s">
        <v>6</v>
      </c>
      <c r="D445" s="266">
        <v>20095.419999999998</v>
      </c>
    </row>
    <row r="446" spans="1:4" ht="31.5">
      <c r="A446" s="261">
        <v>606464</v>
      </c>
      <c r="B446" s="265" t="s">
        <v>11743</v>
      </c>
      <c r="C446" s="261" t="s">
        <v>6</v>
      </c>
      <c r="D446" s="266">
        <v>19995.689999999999</v>
      </c>
    </row>
    <row r="447" spans="1:4" ht="31.5">
      <c r="A447" s="261">
        <v>606484</v>
      </c>
      <c r="B447" s="265" t="s">
        <v>11744</v>
      </c>
      <c r="C447" s="261" t="s">
        <v>6</v>
      </c>
      <c r="D447" s="266">
        <v>20789.599999999999</v>
      </c>
    </row>
    <row r="448" spans="1:4" ht="31.5">
      <c r="A448" s="261">
        <v>606465</v>
      </c>
      <c r="B448" s="265" t="s">
        <v>11745</v>
      </c>
      <c r="C448" s="261" t="s">
        <v>6</v>
      </c>
      <c r="D448" s="266">
        <v>20686.54</v>
      </c>
    </row>
    <row r="449" spans="1:4" ht="31.5">
      <c r="A449" s="261">
        <v>606485</v>
      </c>
      <c r="B449" s="265" t="s">
        <v>11746</v>
      </c>
      <c r="C449" s="261" t="s">
        <v>6</v>
      </c>
      <c r="D449" s="266">
        <v>21457.45</v>
      </c>
    </row>
    <row r="450" spans="1:4" ht="31.5">
      <c r="A450" s="261">
        <v>606466</v>
      </c>
      <c r="B450" s="265" t="s">
        <v>11747</v>
      </c>
      <c r="C450" s="261" t="s">
        <v>6</v>
      </c>
      <c r="D450" s="266">
        <v>21353.56</v>
      </c>
    </row>
    <row r="451" spans="1:4" ht="31.5">
      <c r="A451" s="261">
        <v>606486</v>
      </c>
      <c r="B451" s="265" t="s">
        <v>11748</v>
      </c>
      <c r="C451" s="261" t="s">
        <v>6</v>
      </c>
      <c r="D451" s="266">
        <v>22397.24</v>
      </c>
    </row>
    <row r="452" spans="1:4" ht="31.5">
      <c r="A452" s="261">
        <v>606467</v>
      </c>
      <c r="B452" s="265" t="s">
        <v>11749</v>
      </c>
      <c r="C452" s="261" t="s">
        <v>6</v>
      </c>
      <c r="D452" s="266">
        <v>22290.86</v>
      </c>
    </row>
    <row r="453" spans="1:4" ht="31.5">
      <c r="A453" s="261">
        <v>606487</v>
      </c>
      <c r="B453" s="265" t="s">
        <v>11750</v>
      </c>
      <c r="C453" s="261" t="s">
        <v>6</v>
      </c>
      <c r="D453" s="266">
        <v>23050.79</v>
      </c>
    </row>
    <row r="454" spans="1:4" ht="31.5">
      <c r="A454" s="261">
        <v>606468</v>
      </c>
      <c r="B454" s="265" t="s">
        <v>11751</v>
      </c>
      <c r="C454" s="261" t="s">
        <v>6</v>
      </c>
      <c r="D454" s="266">
        <v>22942.75</v>
      </c>
    </row>
    <row r="455" spans="1:4" ht="31.5">
      <c r="A455" s="261">
        <v>606488</v>
      </c>
      <c r="B455" s="265" t="s">
        <v>11752</v>
      </c>
      <c r="C455" s="261" t="s">
        <v>6</v>
      </c>
      <c r="D455" s="266">
        <v>28496.23</v>
      </c>
    </row>
    <row r="456" spans="1:4" ht="31.5">
      <c r="A456" s="261">
        <v>606469</v>
      </c>
      <c r="B456" s="265" t="s">
        <v>11753</v>
      </c>
      <c r="C456" s="261" t="s">
        <v>6</v>
      </c>
      <c r="D456" s="266">
        <v>28384.86</v>
      </c>
    </row>
    <row r="457" spans="1:4" ht="31.5">
      <c r="A457" s="261">
        <v>606489</v>
      </c>
      <c r="B457" s="265" t="s">
        <v>11754</v>
      </c>
      <c r="C457" s="261" t="s">
        <v>6</v>
      </c>
      <c r="D457" s="266">
        <v>30038.93</v>
      </c>
    </row>
    <row r="458" spans="1:4" ht="31.5">
      <c r="A458" s="261">
        <v>606470</v>
      </c>
      <c r="B458" s="265" t="s">
        <v>11755</v>
      </c>
      <c r="C458" s="261" t="s">
        <v>6</v>
      </c>
      <c r="D458" s="266">
        <v>29925.91</v>
      </c>
    </row>
    <row r="459" spans="1:4" ht="31.5">
      <c r="A459" s="261">
        <v>606490</v>
      </c>
      <c r="B459" s="265" t="s">
        <v>11756</v>
      </c>
      <c r="C459" s="261" t="s">
        <v>6</v>
      </c>
      <c r="D459" s="266">
        <v>30919.65</v>
      </c>
    </row>
    <row r="460" spans="1:4" ht="31.5">
      <c r="A460" s="261">
        <v>606471</v>
      </c>
      <c r="B460" s="265" t="s">
        <v>11757</v>
      </c>
      <c r="C460" s="261" t="s">
        <v>6</v>
      </c>
      <c r="D460" s="266">
        <v>30803.3</v>
      </c>
    </row>
    <row r="461" spans="1:4" ht="31.5">
      <c r="A461" s="261">
        <v>606491</v>
      </c>
      <c r="B461" s="265" t="s">
        <v>11758</v>
      </c>
      <c r="C461" s="261" t="s">
        <v>6</v>
      </c>
      <c r="D461" s="266">
        <v>31784.18</v>
      </c>
    </row>
    <row r="462" spans="1:4" ht="31.5">
      <c r="A462" s="261">
        <v>606472</v>
      </c>
      <c r="B462" s="265" t="s">
        <v>11759</v>
      </c>
      <c r="C462" s="261" t="s">
        <v>6</v>
      </c>
      <c r="D462" s="266">
        <v>31665.33</v>
      </c>
    </row>
    <row r="463" spans="1:4" ht="31.5">
      <c r="A463" s="261">
        <v>606492</v>
      </c>
      <c r="B463" s="265" t="s">
        <v>11760</v>
      </c>
      <c r="C463" s="261" t="s">
        <v>6</v>
      </c>
      <c r="D463" s="266">
        <v>32452.13</v>
      </c>
    </row>
    <row r="464" spans="1:4" ht="31.5">
      <c r="A464" s="261">
        <v>606473</v>
      </c>
      <c r="B464" s="265" t="s">
        <v>11761</v>
      </c>
      <c r="C464" s="261" t="s">
        <v>6</v>
      </c>
      <c r="D464" s="266">
        <v>32331.63</v>
      </c>
    </row>
    <row r="465" spans="1:4" ht="31.5">
      <c r="A465" s="261">
        <v>606493</v>
      </c>
      <c r="B465" s="265" t="s">
        <v>11762</v>
      </c>
      <c r="C465" s="261" t="s">
        <v>6</v>
      </c>
      <c r="D465" s="266">
        <v>34220.53</v>
      </c>
    </row>
    <row r="466" spans="1:4" ht="31.5">
      <c r="A466" s="261">
        <v>606474</v>
      </c>
      <c r="B466" s="265" t="s">
        <v>11763</v>
      </c>
      <c r="C466" s="261" t="s">
        <v>6</v>
      </c>
      <c r="D466" s="266">
        <v>34099.19</v>
      </c>
    </row>
    <row r="467" spans="1:4" ht="31.5">
      <c r="A467" s="261">
        <v>606494</v>
      </c>
      <c r="B467" s="265" t="s">
        <v>11764</v>
      </c>
      <c r="C467" s="261" t="s">
        <v>6</v>
      </c>
      <c r="D467" s="266">
        <v>39575.96</v>
      </c>
    </row>
    <row r="468" spans="1:4" ht="31.5">
      <c r="A468" s="261">
        <v>606475</v>
      </c>
      <c r="B468" s="265" t="s">
        <v>11765</v>
      </c>
      <c r="C468" s="261" t="s">
        <v>6</v>
      </c>
      <c r="D468" s="266">
        <v>39448.81</v>
      </c>
    </row>
    <row r="469" spans="1:4" ht="31.5">
      <c r="A469" s="261">
        <v>606495</v>
      </c>
      <c r="B469" s="265" t="s">
        <v>11766</v>
      </c>
      <c r="C469" s="261" t="s">
        <v>6</v>
      </c>
      <c r="D469" s="266">
        <v>46590.99</v>
      </c>
    </row>
    <row r="470" spans="1:4" ht="31.5">
      <c r="A470" s="261">
        <v>606476</v>
      </c>
      <c r="B470" s="265" t="s">
        <v>11767</v>
      </c>
      <c r="C470" s="261" t="s">
        <v>6</v>
      </c>
      <c r="D470" s="266">
        <v>46460.51</v>
      </c>
    </row>
    <row r="471" spans="1:4" ht="31.5">
      <c r="A471" s="261">
        <v>606496</v>
      </c>
      <c r="B471" s="265" t="s">
        <v>11768</v>
      </c>
      <c r="C471" s="261" t="s">
        <v>6</v>
      </c>
      <c r="D471" s="266">
        <v>47700.46</v>
      </c>
    </row>
    <row r="472" spans="1:4" ht="31.5">
      <c r="A472" s="261">
        <v>606477</v>
      </c>
      <c r="B472" s="265" t="s">
        <v>11769</v>
      </c>
      <c r="C472" s="261" t="s">
        <v>6</v>
      </c>
      <c r="D472" s="266">
        <v>47567.49</v>
      </c>
    </row>
    <row r="473" spans="1:4" ht="31.5">
      <c r="A473" s="261">
        <v>606497</v>
      </c>
      <c r="B473" s="265" t="s">
        <v>11770</v>
      </c>
      <c r="C473" s="261" t="s">
        <v>6</v>
      </c>
      <c r="D473" s="266">
        <v>49003.48</v>
      </c>
    </row>
    <row r="474" spans="1:4" ht="31.5">
      <c r="A474" s="261">
        <v>606478</v>
      </c>
      <c r="B474" s="265" t="s">
        <v>11771</v>
      </c>
      <c r="C474" s="261" t="s">
        <v>6</v>
      </c>
      <c r="D474" s="266">
        <v>48866.35</v>
      </c>
    </row>
    <row r="475" spans="1:4" ht="31.5">
      <c r="A475" s="261">
        <v>605835</v>
      </c>
      <c r="B475" s="265" t="s">
        <v>11772</v>
      </c>
      <c r="C475" s="261" t="s">
        <v>6</v>
      </c>
      <c r="D475" s="266">
        <v>7317.13</v>
      </c>
    </row>
    <row r="476" spans="1:4" ht="31.5">
      <c r="A476" s="261">
        <v>605571</v>
      </c>
      <c r="B476" s="265" t="s">
        <v>11773</v>
      </c>
      <c r="C476" s="261" t="s">
        <v>6</v>
      </c>
      <c r="D476" s="266">
        <v>6504.79</v>
      </c>
    </row>
    <row r="477" spans="1:4" ht="31.5">
      <c r="A477" s="261">
        <v>605850</v>
      </c>
      <c r="B477" s="265" t="s">
        <v>11774</v>
      </c>
      <c r="C477" s="261" t="s">
        <v>6</v>
      </c>
      <c r="D477" s="266">
        <v>7793.2</v>
      </c>
    </row>
    <row r="478" spans="1:4" ht="31.5">
      <c r="A478" s="261">
        <v>605582</v>
      </c>
      <c r="B478" s="265" t="s">
        <v>11775</v>
      </c>
      <c r="C478" s="261" t="s">
        <v>6</v>
      </c>
      <c r="D478" s="266">
        <v>6980.85</v>
      </c>
    </row>
    <row r="479" spans="1:4" ht="31.5">
      <c r="A479" s="261">
        <v>605889</v>
      </c>
      <c r="B479" s="265" t="s">
        <v>11776</v>
      </c>
      <c r="C479" s="261" t="s">
        <v>6</v>
      </c>
      <c r="D479" s="266">
        <v>8519.86</v>
      </c>
    </row>
    <row r="480" spans="1:4" ht="31.5">
      <c r="A480" s="261">
        <v>605593</v>
      </c>
      <c r="B480" s="265" t="s">
        <v>11777</v>
      </c>
      <c r="C480" s="261" t="s">
        <v>6</v>
      </c>
      <c r="D480" s="266">
        <v>7707.51</v>
      </c>
    </row>
    <row r="481" spans="1:4" ht="31.5">
      <c r="A481" s="261">
        <v>605739</v>
      </c>
      <c r="B481" s="265" t="s">
        <v>11778</v>
      </c>
      <c r="C481" s="261" t="s">
        <v>6</v>
      </c>
      <c r="D481" s="266">
        <v>7063.8</v>
      </c>
    </row>
    <row r="482" spans="1:4" ht="31.5">
      <c r="A482" s="261">
        <v>605504</v>
      </c>
      <c r="B482" s="265" t="s">
        <v>11779</v>
      </c>
      <c r="C482" s="261" t="s">
        <v>6</v>
      </c>
      <c r="D482" s="266">
        <v>6202.22</v>
      </c>
    </row>
    <row r="483" spans="1:4" ht="31.5">
      <c r="A483" s="261">
        <v>605781</v>
      </c>
      <c r="B483" s="265" t="s">
        <v>11780</v>
      </c>
      <c r="C483" s="261" t="s">
        <v>6</v>
      </c>
      <c r="D483" s="266">
        <v>7539.87</v>
      </c>
    </row>
    <row r="484" spans="1:4" ht="31.5">
      <c r="A484" s="261">
        <v>605524</v>
      </c>
      <c r="B484" s="265" t="s">
        <v>11781</v>
      </c>
      <c r="C484" s="261" t="s">
        <v>6</v>
      </c>
      <c r="D484" s="266">
        <v>6678.29</v>
      </c>
    </row>
    <row r="485" spans="1:4" ht="31.5">
      <c r="A485" s="261">
        <v>605815</v>
      </c>
      <c r="B485" s="265" t="s">
        <v>11782</v>
      </c>
      <c r="C485" s="261" t="s">
        <v>6</v>
      </c>
      <c r="D485" s="266">
        <v>8266.5300000000007</v>
      </c>
    </row>
    <row r="486" spans="1:4" ht="31.5">
      <c r="A486" s="261">
        <v>605544</v>
      </c>
      <c r="B486" s="265" t="s">
        <v>11783</v>
      </c>
      <c r="C486" s="261" t="s">
        <v>6</v>
      </c>
      <c r="D486" s="266">
        <v>7404.94</v>
      </c>
    </row>
    <row r="487" spans="1:4" ht="31.5">
      <c r="A487" s="261">
        <v>605836</v>
      </c>
      <c r="B487" s="265" t="s">
        <v>11784</v>
      </c>
      <c r="C487" s="261" t="s">
        <v>6</v>
      </c>
      <c r="D487" s="266">
        <v>8312.2999999999993</v>
      </c>
    </row>
    <row r="488" spans="1:4" ht="31.5">
      <c r="A488" s="261">
        <v>605572</v>
      </c>
      <c r="B488" s="265" t="s">
        <v>11785</v>
      </c>
      <c r="C488" s="261" t="s">
        <v>6</v>
      </c>
      <c r="D488" s="266">
        <v>7434.39</v>
      </c>
    </row>
    <row r="489" spans="1:4" ht="31.5">
      <c r="A489" s="261">
        <v>605851</v>
      </c>
      <c r="B489" s="265" t="s">
        <v>11786</v>
      </c>
      <c r="C489" s="261" t="s">
        <v>6</v>
      </c>
      <c r="D489" s="266">
        <v>8934.1</v>
      </c>
    </row>
    <row r="490" spans="1:4" ht="31.5">
      <c r="A490" s="261">
        <v>605583</v>
      </c>
      <c r="B490" s="265" t="s">
        <v>11787</v>
      </c>
      <c r="C490" s="261" t="s">
        <v>6</v>
      </c>
      <c r="D490" s="266">
        <v>8056.19</v>
      </c>
    </row>
    <row r="491" spans="1:4" ht="31.5">
      <c r="A491" s="261">
        <v>605890</v>
      </c>
      <c r="B491" s="265" t="s">
        <v>11788</v>
      </c>
      <c r="C491" s="261" t="s">
        <v>6</v>
      </c>
      <c r="D491" s="266">
        <v>9883.2000000000007</v>
      </c>
    </row>
    <row r="492" spans="1:4" ht="31.5">
      <c r="A492" s="261">
        <v>605594</v>
      </c>
      <c r="B492" s="265" t="s">
        <v>11789</v>
      </c>
      <c r="C492" s="261" t="s">
        <v>6</v>
      </c>
      <c r="D492" s="266">
        <v>9005.2900000000009</v>
      </c>
    </row>
    <row r="493" spans="1:4" ht="31.5">
      <c r="A493" s="261">
        <v>605740</v>
      </c>
      <c r="B493" s="265" t="s">
        <v>11790</v>
      </c>
      <c r="C493" s="261" t="s">
        <v>6</v>
      </c>
      <c r="D493" s="266">
        <v>8026.77</v>
      </c>
    </row>
    <row r="494" spans="1:4" ht="31.5">
      <c r="A494" s="261">
        <v>605505</v>
      </c>
      <c r="B494" s="265" t="s">
        <v>11791</v>
      </c>
      <c r="C494" s="261" t="s">
        <v>6</v>
      </c>
      <c r="D494" s="266">
        <v>7090.86</v>
      </c>
    </row>
    <row r="495" spans="1:4" ht="31.5">
      <c r="A495" s="261">
        <v>605782</v>
      </c>
      <c r="B495" s="265" t="s">
        <v>11792</v>
      </c>
      <c r="C495" s="261" t="s">
        <v>6</v>
      </c>
      <c r="D495" s="266">
        <v>8648.57</v>
      </c>
    </row>
    <row r="496" spans="1:4" ht="31.5">
      <c r="A496" s="261">
        <v>605525</v>
      </c>
      <c r="B496" s="265" t="s">
        <v>11793</v>
      </c>
      <c r="C496" s="261" t="s">
        <v>6</v>
      </c>
      <c r="D496" s="266">
        <v>7712.66</v>
      </c>
    </row>
    <row r="497" spans="1:4" ht="31.5">
      <c r="A497" s="261">
        <v>605816</v>
      </c>
      <c r="B497" s="265" t="s">
        <v>11794</v>
      </c>
      <c r="C497" s="261" t="s">
        <v>6</v>
      </c>
      <c r="D497" s="266">
        <v>9597.68</v>
      </c>
    </row>
    <row r="498" spans="1:4" ht="31.5">
      <c r="A498" s="261">
        <v>605545</v>
      </c>
      <c r="B498" s="265" t="s">
        <v>11795</v>
      </c>
      <c r="C498" s="261" t="s">
        <v>6</v>
      </c>
      <c r="D498" s="266">
        <v>8661.77</v>
      </c>
    </row>
    <row r="499" spans="1:4" ht="31.5">
      <c r="A499" s="261">
        <v>605837</v>
      </c>
      <c r="B499" s="265" t="s">
        <v>11796</v>
      </c>
      <c r="C499" s="261" t="s">
        <v>6</v>
      </c>
      <c r="D499" s="266">
        <v>9918.1200000000008</v>
      </c>
    </row>
    <row r="500" spans="1:4" ht="31.5">
      <c r="A500" s="261">
        <v>605573</v>
      </c>
      <c r="B500" s="265" t="s">
        <v>11797</v>
      </c>
      <c r="C500" s="261" t="s">
        <v>6</v>
      </c>
      <c r="D500" s="266">
        <v>8988.25</v>
      </c>
    </row>
    <row r="501" spans="1:4" ht="31.5">
      <c r="A501" s="261">
        <v>605852</v>
      </c>
      <c r="B501" s="265" t="s">
        <v>11798</v>
      </c>
      <c r="C501" s="261" t="s">
        <v>6</v>
      </c>
      <c r="D501" s="266">
        <v>10705.09</v>
      </c>
    </row>
    <row r="502" spans="1:4" ht="31.5">
      <c r="A502" s="261">
        <v>605584</v>
      </c>
      <c r="B502" s="265" t="s">
        <v>11799</v>
      </c>
      <c r="C502" s="261" t="s">
        <v>6</v>
      </c>
      <c r="D502" s="266">
        <v>9775.2099999999991</v>
      </c>
    </row>
    <row r="503" spans="1:4" ht="31.5">
      <c r="A503" s="261">
        <v>605891</v>
      </c>
      <c r="B503" s="265" t="s">
        <v>11800</v>
      </c>
      <c r="C503" s="261" t="s">
        <v>6</v>
      </c>
      <c r="D503" s="266">
        <v>11906.3</v>
      </c>
    </row>
    <row r="504" spans="1:4" ht="31.5">
      <c r="A504" s="261">
        <v>605595</v>
      </c>
      <c r="B504" s="265" t="s">
        <v>11801</v>
      </c>
      <c r="C504" s="261" t="s">
        <v>6</v>
      </c>
      <c r="D504" s="266">
        <v>10976.42</v>
      </c>
    </row>
    <row r="505" spans="1:4" ht="31.5">
      <c r="A505" s="261">
        <v>605741</v>
      </c>
      <c r="B505" s="265" t="s">
        <v>11802</v>
      </c>
      <c r="C505" s="261" t="s">
        <v>6</v>
      </c>
      <c r="D505" s="266">
        <v>9585.3700000000008</v>
      </c>
    </row>
    <row r="506" spans="1:4" ht="31.5">
      <c r="A506" s="261">
        <v>605506</v>
      </c>
      <c r="B506" s="265" t="s">
        <v>11803</v>
      </c>
      <c r="C506" s="261" t="s">
        <v>6</v>
      </c>
      <c r="D506" s="266">
        <v>8581.67</v>
      </c>
    </row>
    <row r="507" spans="1:4" ht="31.5">
      <c r="A507" s="261">
        <v>605783</v>
      </c>
      <c r="B507" s="265" t="s">
        <v>11804</v>
      </c>
      <c r="C507" s="261" t="s">
        <v>6</v>
      </c>
      <c r="D507" s="266">
        <v>10372.33</v>
      </c>
    </row>
    <row r="508" spans="1:4" ht="31.5">
      <c r="A508" s="261">
        <v>605526</v>
      </c>
      <c r="B508" s="265" t="s">
        <v>11805</v>
      </c>
      <c r="C508" s="261" t="s">
        <v>6</v>
      </c>
      <c r="D508" s="266">
        <v>9368.64</v>
      </c>
    </row>
    <row r="509" spans="1:4" ht="31.5">
      <c r="A509" s="261">
        <v>605817</v>
      </c>
      <c r="B509" s="265" t="s">
        <v>11806</v>
      </c>
      <c r="C509" s="261" t="s">
        <v>6</v>
      </c>
      <c r="D509" s="266">
        <v>11573.54</v>
      </c>
    </row>
    <row r="510" spans="1:4" ht="31.5">
      <c r="A510" s="261">
        <v>605546</v>
      </c>
      <c r="B510" s="265" t="s">
        <v>11807</v>
      </c>
      <c r="C510" s="261" t="s">
        <v>6</v>
      </c>
      <c r="D510" s="266">
        <v>10569.84</v>
      </c>
    </row>
    <row r="511" spans="1:4" ht="31.5">
      <c r="A511" s="261">
        <v>605838</v>
      </c>
      <c r="B511" s="265" t="s">
        <v>11808</v>
      </c>
      <c r="C511" s="261" t="s">
        <v>6</v>
      </c>
      <c r="D511" s="266">
        <v>11308.15</v>
      </c>
    </row>
    <row r="512" spans="1:4" ht="31.5">
      <c r="A512" s="261">
        <v>605574</v>
      </c>
      <c r="B512" s="265" t="s">
        <v>11809</v>
      </c>
      <c r="C512" s="261" t="s">
        <v>6</v>
      </c>
      <c r="D512" s="266">
        <v>10238.43</v>
      </c>
    </row>
    <row r="513" spans="1:4" ht="31.5">
      <c r="A513" s="261">
        <v>605853</v>
      </c>
      <c r="B513" s="265" t="s">
        <v>11810</v>
      </c>
      <c r="C513" s="261" t="s">
        <v>6</v>
      </c>
      <c r="D513" s="266">
        <v>12279.71</v>
      </c>
    </row>
    <row r="514" spans="1:4" ht="31.5">
      <c r="A514" s="261">
        <v>605585</v>
      </c>
      <c r="B514" s="265" t="s">
        <v>11811</v>
      </c>
      <c r="C514" s="261" t="s">
        <v>6</v>
      </c>
      <c r="D514" s="266">
        <v>11210</v>
      </c>
    </row>
    <row r="515" spans="1:4" ht="31.5">
      <c r="A515" s="261">
        <v>605892</v>
      </c>
      <c r="B515" s="265" t="s">
        <v>11812</v>
      </c>
      <c r="C515" s="261" t="s">
        <v>6</v>
      </c>
      <c r="D515" s="266">
        <v>13762.68</v>
      </c>
    </row>
    <row r="516" spans="1:4" ht="31.5">
      <c r="A516" s="261">
        <v>605596</v>
      </c>
      <c r="B516" s="265" t="s">
        <v>11813</v>
      </c>
      <c r="C516" s="261" t="s">
        <v>6</v>
      </c>
      <c r="D516" s="266">
        <v>12692.97</v>
      </c>
    </row>
    <row r="517" spans="1:4" ht="31.5">
      <c r="A517" s="261">
        <v>605742</v>
      </c>
      <c r="B517" s="265" t="s">
        <v>11814</v>
      </c>
      <c r="C517" s="261" t="s">
        <v>6</v>
      </c>
      <c r="D517" s="266">
        <v>10928.16</v>
      </c>
    </row>
    <row r="518" spans="1:4" ht="31.5">
      <c r="A518" s="261">
        <v>605507</v>
      </c>
      <c r="B518" s="265" t="s">
        <v>11815</v>
      </c>
      <c r="C518" s="261" t="s">
        <v>6</v>
      </c>
      <c r="D518" s="266">
        <v>9775.14</v>
      </c>
    </row>
    <row r="519" spans="1:4" ht="31.5">
      <c r="A519" s="261">
        <v>605784</v>
      </c>
      <c r="B519" s="265" t="s">
        <v>11816</v>
      </c>
      <c r="C519" s="261" t="s">
        <v>6</v>
      </c>
      <c r="D519" s="266">
        <v>11899.72</v>
      </c>
    </row>
    <row r="520" spans="1:4" ht="31.5">
      <c r="A520" s="261">
        <v>605527</v>
      </c>
      <c r="B520" s="265" t="s">
        <v>11817</v>
      </c>
      <c r="C520" s="261" t="s">
        <v>6</v>
      </c>
      <c r="D520" s="266">
        <v>10746.7</v>
      </c>
    </row>
    <row r="521" spans="1:4" ht="31.5">
      <c r="A521" s="261">
        <v>605818</v>
      </c>
      <c r="B521" s="265" t="s">
        <v>11818</v>
      </c>
      <c r="C521" s="261" t="s">
        <v>6</v>
      </c>
      <c r="D521" s="266">
        <v>13382.7</v>
      </c>
    </row>
    <row r="522" spans="1:4" ht="31.5">
      <c r="A522" s="261">
        <v>605547</v>
      </c>
      <c r="B522" s="265" t="s">
        <v>11819</v>
      </c>
      <c r="C522" s="261" t="s">
        <v>6</v>
      </c>
      <c r="D522" s="266">
        <v>12229.67</v>
      </c>
    </row>
    <row r="523" spans="1:4" ht="31.5">
      <c r="A523" s="261">
        <v>605839</v>
      </c>
      <c r="B523" s="265" t="s">
        <v>11820</v>
      </c>
      <c r="C523" s="261" t="s">
        <v>6</v>
      </c>
      <c r="D523" s="266">
        <v>12784.79</v>
      </c>
    </row>
    <row r="524" spans="1:4" ht="31.5">
      <c r="A524" s="261">
        <v>605575</v>
      </c>
      <c r="B524" s="265" t="s">
        <v>11821</v>
      </c>
      <c r="C524" s="261" t="s">
        <v>6</v>
      </c>
      <c r="D524" s="266">
        <v>11608.69</v>
      </c>
    </row>
    <row r="525" spans="1:4" ht="31.5">
      <c r="A525" s="261">
        <v>605854</v>
      </c>
      <c r="B525" s="265" t="s">
        <v>11822</v>
      </c>
      <c r="C525" s="261" t="s">
        <v>6</v>
      </c>
      <c r="D525" s="266">
        <v>13960.39</v>
      </c>
    </row>
    <row r="526" spans="1:4" ht="31.5">
      <c r="A526" s="261">
        <v>605586</v>
      </c>
      <c r="B526" s="265" t="s">
        <v>11823</v>
      </c>
      <c r="C526" s="261" t="s">
        <v>6</v>
      </c>
      <c r="D526" s="266">
        <v>12784.28</v>
      </c>
    </row>
    <row r="527" spans="1:4" ht="31.5">
      <c r="A527" s="261">
        <v>605893</v>
      </c>
      <c r="B527" s="265" t="s">
        <v>11824</v>
      </c>
      <c r="C527" s="261" t="s">
        <v>6</v>
      </c>
      <c r="D527" s="266">
        <v>15754.79</v>
      </c>
    </row>
    <row r="528" spans="1:4" ht="31.5">
      <c r="A528" s="261">
        <v>605597</v>
      </c>
      <c r="B528" s="265" t="s">
        <v>11825</v>
      </c>
      <c r="C528" s="261" t="s">
        <v>6</v>
      </c>
      <c r="D528" s="266">
        <v>14578.68</v>
      </c>
    </row>
    <row r="529" spans="1:4" ht="31.5">
      <c r="A529" s="261">
        <v>605743</v>
      </c>
      <c r="B529" s="265" t="s">
        <v>11826</v>
      </c>
      <c r="C529" s="261" t="s">
        <v>6</v>
      </c>
      <c r="D529" s="266">
        <v>12366.17</v>
      </c>
    </row>
    <row r="530" spans="1:4" ht="31.5">
      <c r="A530" s="261">
        <v>605508</v>
      </c>
      <c r="B530" s="265" t="s">
        <v>11827</v>
      </c>
      <c r="C530" s="261" t="s">
        <v>6</v>
      </c>
      <c r="D530" s="266">
        <v>11098.12</v>
      </c>
    </row>
    <row r="531" spans="1:4" ht="31.5">
      <c r="A531" s="261">
        <v>605785</v>
      </c>
      <c r="B531" s="265" t="s">
        <v>11828</v>
      </c>
      <c r="C531" s="261" t="s">
        <v>6</v>
      </c>
      <c r="D531" s="266">
        <v>13541.76</v>
      </c>
    </row>
    <row r="532" spans="1:4" ht="31.5">
      <c r="A532" s="261">
        <v>605528</v>
      </c>
      <c r="B532" s="265" t="s">
        <v>11829</v>
      </c>
      <c r="C532" s="261" t="s">
        <v>6</v>
      </c>
      <c r="D532" s="266">
        <v>12273.71</v>
      </c>
    </row>
    <row r="533" spans="1:4" ht="31.5">
      <c r="A533" s="261">
        <v>605819</v>
      </c>
      <c r="B533" s="265" t="s">
        <v>11830</v>
      </c>
      <c r="C533" s="261" t="s">
        <v>6</v>
      </c>
      <c r="D533" s="266">
        <v>15336.17</v>
      </c>
    </row>
    <row r="534" spans="1:4" ht="31.5">
      <c r="A534" s="261">
        <v>605548</v>
      </c>
      <c r="B534" s="265" t="s">
        <v>11831</v>
      </c>
      <c r="C534" s="261" t="s">
        <v>6</v>
      </c>
      <c r="D534" s="266">
        <v>14068.11</v>
      </c>
    </row>
    <row r="535" spans="1:4" ht="31.5">
      <c r="A535" s="261">
        <v>605840</v>
      </c>
      <c r="B535" s="265" t="s">
        <v>11832</v>
      </c>
      <c r="C535" s="261" t="s">
        <v>6</v>
      </c>
      <c r="D535" s="266">
        <v>16525.28</v>
      </c>
    </row>
    <row r="536" spans="1:4" ht="31.5">
      <c r="A536" s="261">
        <v>605576</v>
      </c>
      <c r="B536" s="265" t="s">
        <v>11833</v>
      </c>
      <c r="C536" s="261" t="s">
        <v>6</v>
      </c>
      <c r="D536" s="266">
        <v>13134.2</v>
      </c>
    </row>
    <row r="537" spans="1:4" ht="31.5">
      <c r="A537" s="261">
        <v>605855</v>
      </c>
      <c r="B537" s="265" t="s">
        <v>11834</v>
      </c>
      <c r="C537" s="261" t="s">
        <v>6</v>
      </c>
      <c r="D537" s="266">
        <v>17924.330000000002</v>
      </c>
    </row>
    <row r="538" spans="1:4" ht="31.5">
      <c r="A538" s="261">
        <v>605587</v>
      </c>
      <c r="B538" s="265" t="s">
        <v>11835</v>
      </c>
      <c r="C538" s="261" t="s">
        <v>6</v>
      </c>
      <c r="D538" s="266">
        <v>14533.25</v>
      </c>
    </row>
    <row r="539" spans="1:4" ht="31.5">
      <c r="A539" s="261">
        <v>605898</v>
      </c>
      <c r="B539" s="265" t="s">
        <v>11836</v>
      </c>
      <c r="C539" s="261" t="s">
        <v>6</v>
      </c>
      <c r="D539" s="266">
        <v>20059.810000000001</v>
      </c>
    </row>
    <row r="540" spans="1:4" ht="31.5">
      <c r="A540" s="261">
        <v>605598</v>
      </c>
      <c r="B540" s="265" t="s">
        <v>11837</v>
      </c>
      <c r="C540" s="261" t="s">
        <v>6</v>
      </c>
      <c r="D540" s="266">
        <v>16668.73</v>
      </c>
    </row>
    <row r="541" spans="1:4" ht="31.5">
      <c r="A541" s="261">
        <v>605744</v>
      </c>
      <c r="B541" s="265" t="s">
        <v>11838</v>
      </c>
      <c r="C541" s="261" t="s">
        <v>6</v>
      </c>
      <c r="D541" s="266">
        <v>15643.15</v>
      </c>
    </row>
    <row r="542" spans="1:4" ht="31.5">
      <c r="A542" s="261">
        <v>605509</v>
      </c>
      <c r="B542" s="265" t="s">
        <v>11839</v>
      </c>
      <c r="C542" s="261" t="s">
        <v>6</v>
      </c>
      <c r="D542" s="266">
        <v>12570.05</v>
      </c>
    </row>
    <row r="543" spans="1:4" ht="31.5">
      <c r="A543" s="261">
        <v>605787</v>
      </c>
      <c r="B543" s="265" t="s">
        <v>11840</v>
      </c>
      <c r="C543" s="261" t="s">
        <v>6</v>
      </c>
      <c r="D543" s="266">
        <v>17042.2</v>
      </c>
    </row>
    <row r="544" spans="1:4" ht="31.5">
      <c r="A544" s="261">
        <v>605529</v>
      </c>
      <c r="B544" s="265" t="s">
        <v>11841</v>
      </c>
      <c r="C544" s="261" t="s">
        <v>6</v>
      </c>
      <c r="D544" s="266">
        <v>13969.09</v>
      </c>
    </row>
    <row r="545" spans="1:4" ht="31.5">
      <c r="A545" s="261">
        <v>605820</v>
      </c>
      <c r="B545" s="265" t="s">
        <v>11842</v>
      </c>
      <c r="C545" s="261" t="s">
        <v>6</v>
      </c>
      <c r="D545" s="266">
        <v>19177.68</v>
      </c>
    </row>
    <row r="546" spans="1:4" ht="31.5">
      <c r="A546" s="261">
        <v>605549</v>
      </c>
      <c r="B546" s="265" t="s">
        <v>11843</v>
      </c>
      <c r="C546" s="261" t="s">
        <v>6</v>
      </c>
      <c r="D546" s="266">
        <v>16104.58</v>
      </c>
    </row>
    <row r="547" spans="1:4" ht="31.5">
      <c r="A547" s="261">
        <v>605841</v>
      </c>
      <c r="B547" s="265" t="s">
        <v>11844</v>
      </c>
      <c r="C547" s="261" t="s">
        <v>6</v>
      </c>
      <c r="D547" s="266">
        <v>18082.05</v>
      </c>
    </row>
    <row r="548" spans="1:4" ht="31.5">
      <c r="A548" s="261">
        <v>605577</v>
      </c>
      <c r="B548" s="265" t="s">
        <v>11845</v>
      </c>
      <c r="C548" s="261" t="s">
        <v>6</v>
      </c>
      <c r="D548" s="266">
        <v>14375.97</v>
      </c>
    </row>
    <row r="549" spans="1:4" ht="31.5">
      <c r="A549" s="261">
        <v>605856</v>
      </c>
      <c r="B549" s="265" t="s">
        <v>11846</v>
      </c>
      <c r="C549" s="261" t="s">
        <v>6</v>
      </c>
      <c r="D549" s="266">
        <v>19723.990000000002</v>
      </c>
    </row>
    <row r="550" spans="1:4" ht="31.5">
      <c r="A550" s="261">
        <v>605588</v>
      </c>
      <c r="B550" s="265" t="s">
        <v>11847</v>
      </c>
      <c r="C550" s="261" t="s">
        <v>6</v>
      </c>
      <c r="D550" s="266">
        <v>16017.91</v>
      </c>
    </row>
    <row r="551" spans="1:4" ht="31.5">
      <c r="A551" s="261">
        <v>605899</v>
      </c>
      <c r="B551" s="265" t="s">
        <v>11848</v>
      </c>
      <c r="C551" s="261" t="s">
        <v>6</v>
      </c>
      <c r="D551" s="266">
        <v>22230.21</v>
      </c>
    </row>
    <row r="552" spans="1:4" ht="31.5">
      <c r="A552" s="261">
        <v>605599</v>
      </c>
      <c r="B552" s="265" t="s">
        <v>11849</v>
      </c>
      <c r="C552" s="261" t="s">
        <v>6</v>
      </c>
      <c r="D552" s="266">
        <v>18524.13</v>
      </c>
    </row>
    <row r="553" spans="1:4" ht="31.5">
      <c r="A553" s="261">
        <v>605745</v>
      </c>
      <c r="B553" s="265" t="s">
        <v>11850</v>
      </c>
      <c r="C553" s="261" t="s">
        <v>6</v>
      </c>
      <c r="D553" s="266">
        <v>17127.23</v>
      </c>
    </row>
    <row r="554" spans="1:4" ht="31.5">
      <c r="A554" s="261">
        <v>605510</v>
      </c>
      <c r="B554" s="265" t="s">
        <v>11851</v>
      </c>
      <c r="C554" s="261" t="s">
        <v>6</v>
      </c>
      <c r="D554" s="266">
        <v>13767.7</v>
      </c>
    </row>
    <row r="555" spans="1:4" ht="31.5">
      <c r="A555" s="261">
        <v>605788</v>
      </c>
      <c r="B555" s="265" t="s">
        <v>11852</v>
      </c>
      <c r="C555" s="261" t="s">
        <v>6</v>
      </c>
      <c r="D555" s="266">
        <v>18769.169999999998</v>
      </c>
    </row>
    <row r="556" spans="1:4" ht="31.5">
      <c r="A556" s="261">
        <v>605530</v>
      </c>
      <c r="B556" s="265" t="s">
        <v>11853</v>
      </c>
      <c r="C556" s="261" t="s">
        <v>6</v>
      </c>
      <c r="D556" s="266">
        <v>15409.64</v>
      </c>
    </row>
    <row r="557" spans="1:4" ht="31.5">
      <c r="A557" s="261">
        <v>605821</v>
      </c>
      <c r="B557" s="265" t="s">
        <v>11854</v>
      </c>
      <c r="C557" s="261" t="s">
        <v>6</v>
      </c>
      <c r="D557" s="266">
        <v>21275.4</v>
      </c>
    </row>
    <row r="558" spans="1:4" ht="31.5">
      <c r="A558" s="261">
        <v>605550</v>
      </c>
      <c r="B558" s="265" t="s">
        <v>11855</v>
      </c>
      <c r="C558" s="261" t="s">
        <v>6</v>
      </c>
      <c r="D558" s="266">
        <v>17915.86</v>
      </c>
    </row>
    <row r="559" spans="1:4" ht="31.5">
      <c r="A559" s="261">
        <v>605842</v>
      </c>
      <c r="B559" s="265" t="s">
        <v>11856</v>
      </c>
      <c r="C559" s="261" t="s">
        <v>6</v>
      </c>
      <c r="D559" s="266">
        <v>20033.099999999999</v>
      </c>
    </row>
    <row r="560" spans="1:4" ht="31.5">
      <c r="A560" s="261">
        <v>605578</v>
      </c>
      <c r="B560" s="265" t="s">
        <v>11857</v>
      </c>
      <c r="C560" s="261" t="s">
        <v>6</v>
      </c>
      <c r="D560" s="266">
        <v>15976.1</v>
      </c>
    </row>
    <row r="561" spans="1:4" ht="31.5">
      <c r="A561" s="261">
        <v>605857</v>
      </c>
      <c r="B561" s="265" t="s">
        <v>11858</v>
      </c>
      <c r="C561" s="261" t="s">
        <v>6</v>
      </c>
      <c r="D561" s="266">
        <v>21937.360000000001</v>
      </c>
    </row>
    <row r="562" spans="1:4" ht="31.5">
      <c r="A562" s="261">
        <v>605589</v>
      </c>
      <c r="B562" s="265" t="s">
        <v>11859</v>
      </c>
      <c r="C562" s="261" t="s">
        <v>6</v>
      </c>
      <c r="D562" s="266">
        <v>17880.36</v>
      </c>
    </row>
    <row r="563" spans="1:4" ht="31.5">
      <c r="A563" s="261">
        <v>605900</v>
      </c>
      <c r="B563" s="265" t="s">
        <v>11860</v>
      </c>
      <c r="C563" s="261" t="s">
        <v>6</v>
      </c>
      <c r="D563" s="266">
        <v>24843.99</v>
      </c>
    </row>
    <row r="564" spans="1:4" ht="31.5">
      <c r="A564" s="261">
        <v>605600</v>
      </c>
      <c r="B564" s="265" t="s">
        <v>11861</v>
      </c>
      <c r="C564" s="261" t="s">
        <v>6</v>
      </c>
      <c r="D564" s="266">
        <v>20786.990000000002</v>
      </c>
    </row>
    <row r="565" spans="1:4" ht="31.5">
      <c r="A565" s="261">
        <v>605746</v>
      </c>
      <c r="B565" s="265" t="s">
        <v>11862</v>
      </c>
      <c r="C565" s="261" t="s">
        <v>6</v>
      </c>
      <c r="D565" s="266">
        <v>18992.38</v>
      </c>
    </row>
    <row r="566" spans="1:4" ht="31.5">
      <c r="A566" s="261">
        <v>605511</v>
      </c>
      <c r="B566" s="265" t="s">
        <v>11863</v>
      </c>
      <c r="C566" s="261" t="s">
        <v>6</v>
      </c>
      <c r="D566" s="266">
        <v>15314.25</v>
      </c>
    </row>
    <row r="567" spans="1:4" ht="31.5">
      <c r="A567" s="261">
        <v>605789</v>
      </c>
      <c r="B567" s="265" t="s">
        <v>11864</v>
      </c>
      <c r="C567" s="261" t="s">
        <v>6</v>
      </c>
      <c r="D567" s="266">
        <v>20896.650000000001</v>
      </c>
    </row>
    <row r="568" spans="1:4" ht="31.5">
      <c r="A568" s="261">
        <v>605531</v>
      </c>
      <c r="B568" s="265" t="s">
        <v>11865</v>
      </c>
      <c r="C568" s="261" t="s">
        <v>6</v>
      </c>
      <c r="D568" s="266">
        <v>17218.509999999998</v>
      </c>
    </row>
    <row r="569" spans="1:4" ht="31.5">
      <c r="A569" s="261">
        <v>605822</v>
      </c>
      <c r="B569" s="265" t="s">
        <v>11866</v>
      </c>
      <c r="C569" s="261" t="s">
        <v>6</v>
      </c>
      <c r="D569" s="266">
        <v>23803.279999999999</v>
      </c>
    </row>
    <row r="570" spans="1:4" ht="31.5">
      <c r="A570" s="261">
        <v>605551</v>
      </c>
      <c r="B570" s="265" t="s">
        <v>11867</v>
      </c>
      <c r="C570" s="261" t="s">
        <v>6</v>
      </c>
      <c r="D570" s="266">
        <v>20125.14</v>
      </c>
    </row>
    <row r="571" spans="1:4" ht="31.5">
      <c r="A571" s="261">
        <v>605843</v>
      </c>
      <c r="B571" s="265" t="s">
        <v>11868</v>
      </c>
      <c r="C571" s="261" t="s">
        <v>6</v>
      </c>
      <c r="D571" s="266">
        <v>21597.35</v>
      </c>
    </row>
    <row r="572" spans="1:4" ht="31.5">
      <c r="A572" s="261">
        <v>605579</v>
      </c>
      <c r="B572" s="265" t="s">
        <v>11869</v>
      </c>
      <c r="C572" s="261" t="s">
        <v>6</v>
      </c>
      <c r="D572" s="266">
        <v>17272.650000000001</v>
      </c>
    </row>
    <row r="573" spans="1:4" ht="31.5">
      <c r="A573" s="261">
        <v>605858</v>
      </c>
      <c r="B573" s="265" t="s">
        <v>11870</v>
      </c>
      <c r="C573" s="261" t="s">
        <v>6</v>
      </c>
      <c r="D573" s="266">
        <v>23783.360000000001</v>
      </c>
    </row>
    <row r="574" spans="1:4" ht="31.5">
      <c r="A574" s="261">
        <v>605590</v>
      </c>
      <c r="B574" s="265" t="s">
        <v>11871</v>
      </c>
      <c r="C574" s="261" t="s">
        <v>6</v>
      </c>
      <c r="D574" s="266">
        <v>19458.669999999998</v>
      </c>
    </row>
    <row r="575" spans="1:4" ht="31.5">
      <c r="A575" s="261">
        <v>605901</v>
      </c>
      <c r="B575" s="265" t="s">
        <v>11872</v>
      </c>
      <c r="C575" s="261" t="s">
        <v>6</v>
      </c>
      <c r="D575" s="266">
        <v>27120.05</v>
      </c>
    </row>
    <row r="576" spans="1:4" ht="31.5">
      <c r="A576" s="261">
        <v>605601</v>
      </c>
      <c r="B576" s="265" t="s">
        <v>11873</v>
      </c>
      <c r="C576" s="261" t="s">
        <v>6</v>
      </c>
      <c r="D576" s="266">
        <v>22795.360000000001</v>
      </c>
    </row>
    <row r="577" spans="1:4" ht="31.5">
      <c r="A577" s="261">
        <v>605747</v>
      </c>
      <c r="B577" s="265" t="s">
        <v>11874</v>
      </c>
      <c r="C577" s="261" t="s">
        <v>6</v>
      </c>
      <c r="D577" s="266">
        <v>20483.95</v>
      </c>
    </row>
    <row r="578" spans="1:4" ht="31.5">
      <c r="A578" s="261">
        <v>605512</v>
      </c>
      <c r="B578" s="265" t="s">
        <v>11875</v>
      </c>
      <c r="C578" s="261" t="s">
        <v>6</v>
      </c>
      <c r="D578" s="266">
        <v>16563.52</v>
      </c>
    </row>
    <row r="579" spans="1:4" ht="31.5">
      <c r="A579" s="261">
        <v>605790</v>
      </c>
      <c r="B579" s="265" t="s">
        <v>11876</v>
      </c>
      <c r="C579" s="261" t="s">
        <v>6</v>
      </c>
      <c r="D579" s="266">
        <v>22669.96</v>
      </c>
    </row>
    <row r="580" spans="1:4" ht="31.5">
      <c r="A580" s="261">
        <v>605532</v>
      </c>
      <c r="B580" s="265" t="s">
        <v>11877</v>
      </c>
      <c r="C580" s="261" t="s">
        <v>6</v>
      </c>
      <c r="D580" s="266">
        <v>18749.54</v>
      </c>
    </row>
    <row r="581" spans="1:4" ht="31.5">
      <c r="A581" s="261">
        <v>605823</v>
      </c>
      <c r="B581" s="265" t="s">
        <v>11878</v>
      </c>
      <c r="C581" s="261" t="s">
        <v>6</v>
      </c>
      <c r="D581" s="266">
        <v>26006.65</v>
      </c>
    </row>
    <row r="582" spans="1:4" ht="31.5">
      <c r="A582" s="261">
        <v>605552</v>
      </c>
      <c r="B582" s="265" t="s">
        <v>11879</v>
      </c>
      <c r="C582" s="261" t="s">
        <v>6</v>
      </c>
      <c r="D582" s="266">
        <v>22086.23</v>
      </c>
    </row>
    <row r="583" spans="1:4" ht="31.5">
      <c r="A583" s="261">
        <v>605844</v>
      </c>
      <c r="B583" s="265" t="s">
        <v>11880</v>
      </c>
      <c r="C583" s="261" t="s">
        <v>6</v>
      </c>
      <c r="D583" s="266">
        <v>23621.61</v>
      </c>
    </row>
    <row r="584" spans="1:4" ht="31.5">
      <c r="A584" s="261">
        <v>605580</v>
      </c>
      <c r="B584" s="265" t="s">
        <v>11881</v>
      </c>
      <c r="C584" s="261" t="s">
        <v>6</v>
      </c>
      <c r="D584" s="266">
        <v>18993.61</v>
      </c>
    </row>
    <row r="585" spans="1:4" ht="31.5">
      <c r="A585" s="261">
        <v>605887</v>
      </c>
      <c r="B585" s="265" t="s">
        <v>11882</v>
      </c>
      <c r="C585" s="261" t="s">
        <v>6</v>
      </c>
      <c r="D585" s="266">
        <v>26108.81</v>
      </c>
    </row>
    <row r="586" spans="1:4" ht="31.5">
      <c r="A586" s="261">
        <v>605591</v>
      </c>
      <c r="B586" s="265" t="s">
        <v>11883</v>
      </c>
      <c r="C586" s="261" t="s">
        <v>6</v>
      </c>
      <c r="D586" s="266">
        <v>21480.81</v>
      </c>
    </row>
    <row r="587" spans="1:4" ht="31.5">
      <c r="A587" s="261">
        <v>605902</v>
      </c>
      <c r="B587" s="265" t="s">
        <v>11884</v>
      </c>
      <c r="C587" s="261" t="s">
        <v>6</v>
      </c>
      <c r="D587" s="266">
        <v>29905.23</v>
      </c>
    </row>
    <row r="588" spans="1:4" ht="31.5">
      <c r="A588" s="261">
        <v>605602</v>
      </c>
      <c r="B588" s="265" t="s">
        <v>11885</v>
      </c>
      <c r="C588" s="261" t="s">
        <v>6</v>
      </c>
      <c r="D588" s="266">
        <v>25277.22</v>
      </c>
    </row>
    <row r="589" spans="1:4" ht="31.5">
      <c r="A589" s="261">
        <v>605748</v>
      </c>
      <c r="B589" s="265" t="s">
        <v>11886</v>
      </c>
      <c r="C589" s="261" t="s">
        <v>6</v>
      </c>
      <c r="D589" s="266">
        <v>22422.31</v>
      </c>
    </row>
    <row r="590" spans="1:4" ht="31.5">
      <c r="A590" s="261">
        <v>605513</v>
      </c>
      <c r="B590" s="265" t="s">
        <v>11887</v>
      </c>
      <c r="C590" s="261" t="s">
        <v>6</v>
      </c>
      <c r="D590" s="266">
        <v>18227.75</v>
      </c>
    </row>
    <row r="591" spans="1:4" ht="31.5">
      <c r="A591" s="261">
        <v>605804</v>
      </c>
      <c r="B591" s="265" t="s">
        <v>11888</v>
      </c>
      <c r="C591" s="261" t="s">
        <v>6</v>
      </c>
      <c r="D591" s="266">
        <v>24909.51</v>
      </c>
    </row>
    <row r="592" spans="1:4" ht="31.5">
      <c r="A592" s="261">
        <v>605533</v>
      </c>
      <c r="B592" s="265" t="s">
        <v>11889</v>
      </c>
      <c r="C592" s="261" t="s">
        <v>6</v>
      </c>
      <c r="D592" s="266">
        <v>20714.95</v>
      </c>
    </row>
    <row r="593" spans="1:4" ht="31.5">
      <c r="A593" s="261">
        <v>605824</v>
      </c>
      <c r="B593" s="265" t="s">
        <v>11890</v>
      </c>
      <c r="C593" s="261" t="s">
        <v>6</v>
      </c>
      <c r="D593" s="266">
        <v>28705.93</v>
      </c>
    </row>
    <row r="594" spans="1:4" ht="31.5">
      <c r="A594" s="261">
        <v>605553</v>
      </c>
      <c r="B594" s="265" t="s">
        <v>11891</v>
      </c>
      <c r="C594" s="261" t="s">
        <v>6</v>
      </c>
      <c r="D594" s="266">
        <v>24511.360000000001</v>
      </c>
    </row>
    <row r="595" spans="1:4" ht="31.5">
      <c r="A595" s="261">
        <v>605845</v>
      </c>
      <c r="B595" s="265" t="s">
        <v>11892</v>
      </c>
      <c r="C595" s="261" t="s">
        <v>6</v>
      </c>
      <c r="D595" s="266">
        <v>25675.16</v>
      </c>
    </row>
    <row r="596" spans="1:4" ht="31.5">
      <c r="A596" s="261">
        <v>605581</v>
      </c>
      <c r="B596" s="265" t="s">
        <v>11893</v>
      </c>
      <c r="C596" s="261" t="s">
        <v>6</v>
      </c>
      <c r="D596" s="266">
        <v>22672.79</v>
      </c>
    </row>
    <row r="597" spans="1:4" ht="31.5">
      <c r="A597" s="261">
        <v>605888</v>
      </c>
      <c r="B597" s="265" t="s">
        <v>11894</v>
      </c>
      <c r="C597" s="261" t="s">
        <v>6</v>
      </c>
      <c r="D597" s="266">
        <v>28482.97</v>
      </c>
    </row>
    <row r="598" spans="1:4" ht="31.5">
      <c r="A598" s="261">
        <v>605592</v>
      </c>
      <c r="B598" s="265" t="s">
        <v>11895</v>
      </c>
      <c r="C598" s="261" t="s">
        <v>6</v>
      </c>
      <c r="D598" s="266">
        <v>25480.6</v>
      </c>
    </row>
    <row r="599" spans="1:4" ht="31.5">
      <c r="A599" s="261">
        <v>605903</v>
      </c>
      <c r="B599" s="265" t="s">
        <v>11896</v>
      </c>
      <c r="C599" s="261" t="s">
        <v>6</v>
      </c>
      <c r="D599" s="266">
        <v>32768.769999999997</v>
      </c>
    </row>
    <row r="600" spans="1:4" ht="31.5">
      <c r="A600" s="261">
        <v>605603</v>
      </c>
      <c r="B600" s="265" t="s">
        <v>11897</v>
      </c>
      <c r="C600" s="261" t="s">
        <v>6</v>
      </c>
      <c r="D600" s="266">
        <v>29766.400000000001</v>
      </c>
    </row>
    <row r="601" spans="1:4" ht="31.5">
      <c r="A601" s="261">
        <v>605771</v>
      </c>
      <c r="B601" s="265" t="s">
        <v>11898</v>
      </c>
      <c r="C601" s="261" t="s">
        <v>6</v>
      </c>
      <c r="D601" s="266">
        <v>24403.17</v>
      </c>
    </row>
    <row r="602" spans="1:4" ht="31.5">
      <c r="A602" s="261">
        <v>605514</v>
      </c>
      <c r="B602" s="265" t="s">
        <v>11899</v>
      </c>
      <c r="C602" s="261" t="s">
        <v>6</v>
      </c>
      <c r="D602" s="266">
        <v>22005.13</v>
      </c>
    </row>
    <row r="603" spans="1:4" ht="31.5">
      <c r="A603" s="261">
        <v>605805</v>
      </c>
      <c r="B603" s="265" t="s">
        <v>11900</v>
      </c>
      <c r="C603" s="261" t="s">
        <v>6</v>
      </c>
      <c r="D603" s="266">
        <v>27210.99</v>
      </c>
    </row>
    <row r="604" spans="1:4" ht="31.5">
      <c r="A604" s="261">
        <v>605534</v>
      </c>
      <c r="B604" s="265" t="s">
        <v>11901</v>
      </c>
      <c r="C604" s="261" t="s">
        <v>6</v>
      </c>
      <c r="D604" s="266">
        <v>24812.95</v>
      </c>
    </row>
    <row r="605" spans="1:4" ht="31.5">
      <c r="A605" s="261">
        <v>605825</v>
      </c>
      <c r="B605" s="265" t="s">
        <v>11902</v>
      </c>
      <c r="C605" s="261" t="s">
        <v>6</v>
      </c>
      <c r="D605" s="266">
        <v>31496.78</v>
      </c>
    </row>
    <row r="606" spans="1:4" ht="31.5">
      <c r="A606" s="261">
        <v>605554</v>
      </c>
      <c r="B606" s="265" t="s">
        <v>11903</v>
      </c>
      <c r="C606" s="261" t="s">
        <v>6</v>
      </c>
      <c r="D606" s="266">
        <v>29098.74</v>
      </c>
    </row>
    <row r="607" spans="1:4" ht="31.5">
      <c r="A607" s="261">
        <v>605772</v>
      </c>
      <c r="B607" s="265" t="s">
        <v>11904</v>
      </c>
      <c r="C607" s="261" t="s">
        <v>6</v>
      </c>
      <c r="D607" s="266">
        <v>28452</v>
      </c>
    </row>
    <row r="608" spans="1:4" ht="31.5">
      <c r="A608" s="261">
        <v>605515</v>
      </c>
      <c r="B608" s="265" t="s">
        <v>11905</v>
      </c>
      <c r="C608" s="261" t="s">
        <v>6</v>
      </c>
      <c r="D608" s="266">
        <v>23957.33</v>
      </c>
    </row>
    <row r="609" spans="1:4" ht="31.5">
      <c r="A609" s="261">
        <v>605806</v>
      </c>
      <c r="B609" s="265" t="s">
        <v>11906</v>
      </c>
      <c r="C609" s="261" t="s">
        <v>6</v>
      </c>
      <c r="D609" s="266">
        <v>31599.87</v>
      </c>
    </row>
    <row r="610" spans="1:4" ht="31.5">
      <c r="A610" s="261">
        <v>605535</v>
      </c>
      <c r="B610" s="265" t="s">
        <v>11907</v>
      </c>
      <c r="C610" s="261" t="s">
        <v>6</v>
      </c>
      <c r="D610" s="266">
        <v>27105.19</v>
      </c>
    </row>
    <row r="611" spans="1:4" ht="31.5">
      <c r="A611" s="261">
        <v>605826</v>
      </c>
      <c r="B611" s="265" t="s">
        <v>11908</v>
      </c>
      <c r="C611" s="261" t="s">
        <v>6</v>
      </c>
      <c r="D611" s="266">
        <v>36404.71</v>
      </c>
    </row>
    <row r="612" spans="1:4" ht="31.5">
      <c r="A612" s="261">
        <v>605555</v>
      </c>
      <c r="B612" s="265" t="s">
        <v>11909</v>
      </c>
      <c r="C612" s="261" t="s">
        <v>6</v>
      </c>
      <c r="D612" s="266">
        <v>31910.03</v>
      </c>
    </row>
    <row r="613" spans="1:4" ht="31.5">
      <c r="A613" s="261">
        <v>605773</v>
      </c>
      <c r="B613" s="265" t="s">
        <v>11910</v>
      </c>
      <c r="C613" s="261" t="s">
        <v>6</v>
      </c>
      <c r="D613" s="266">
        <v>30226.04</v>
      </c>
    </row>
    <row r="614" spans="1:4" ht="31.5">
      <c r="A614" s="261">
        <v>605516</v>
      </c>
      <c r="B614" s="265" t="s">
        <v>11911</v>
      </c>
      <c r="C614" s="261" t="s">
        <v>6</v>
      </c>
      <c r="D614" s="266">
        <v>25432.39</v>
      </c>
    </row>
    <row r="615" spans="1:4" ht="31.5">
      <c r="A615" s="261">
        <v>605807</v>
      </c>
      <c r="B615" s="265" t="s">
        <v>11912</v>
      </c>
      <c r="C615" s="261" t="s">
        <v>6</v>
      </c>
      <c r="D615" s="266">
        <v>33733.379999999997</v>
      </c>
    </row>
    <row r="616" spans="1:4" ht="31.5">
      <c r="A616" s="261">
        <v>605536</v>
      </c>
      <c r="B616" s="265" t="s">
        <v>11913</v>
      </c>
      <c r="C616" s="261" t="s">
        <v>6</v>
      </c>
      <c r="D616" s="266">
        <v>28939.73</v>
      </c>
    </row>
    <row r="617" spans="1:4" ht="31.5">
      <c r="A617" s="261">
        <v>605827</v>
      </c>
      <c r="B617" s="265" t="s">
        <v>11914</v>
      </c>
      <c r="C617" s="261" t="s">
        <v>6</v>
      </c>
      <c r="D617" s="266">
        <v>39086.92</v>
      </c>
    </row>
    <row r="618" spans="1:4" ht="31.5">
      <c r="A618" s="261">
        <v>605556</v>
      </c>
      <c r="B618" s="265" t="s">
        <v>11915</v>
      </c>
      <c r="C618" s="261" t="s">
        <v>6</v>
      </c>
      <c r="D618" s="266">
        <v>34293.269999999997</v>
      </c>
    </row>
    <row r="619" spans="1:4" ht="31.5">
      <c r="A619" s="261">
        <v>605774</v>
      </c>
      <c r="B619" s="265" t="s">
        <v>11916</v>
      </c>
      <c r="C619" s="261" t="s">
        <v>6</v>
      </c>
      <c r="D619" s="266">
        <v>32551.68</v>
      </c>
    </row>
    <row r="620" spans="1:4" ht="31.5">
      <c r="A620" s="261">
        <v>605517</v>
      </c>
      <c r="B620" s="265" t="s">
        <v>11917</v>
      </c>
      <c r="C620" s="261" t="s">
        <v>6</v>
      </c>
      <c r="D620" s="266">
        <v>27390.11</v>
      </c>
    </row>
    <row r="621" spans="1:4" ht="31.5">
      <c r="A621" s="261">
        <v>605808</v>
      </c>
      <c r="B621" s="265" t="s">
        <v>11918</v>
      </c>
      <c r="C621" s="261" t="s">
        <v>6</v>
      </c>
      <c r="D621" s="266">
        <v>36437.93</v>
      </c>
    </row>
    <row r="622" spans="1:4" ht="31.5">
      <c r="A622" s="261">
        <v>605537</v>
      </c>
      <c r="B622" s="265" t="s">
        <v>11919</v>
      </c>
      <c r="C622" s="261" t="s">
        <v>6</v>
      </c>
      <c r="D622" s="266">
        <v>31276.36</v>
      </c>
    </row>
    <row r="623" spans="1:4" ht="31.5">
      <c r="A623" s="261">
        <v>605828</v>
      </c>
      <c r="B623" s="265" t="s">
        <v>11920</v>
      </c>
      <c r="C623" s="261" t="s">
        <v>6</v>
      </c>
      <c r="D623" s="266">
        <v>42369.83</v>
      </c>
    </row>
    <row r="624" spans="1:4" ht="31.5">
      <c r="A624" s="261">
        <v>605557</v>
      </c>
      <c r="B624" s="265" t="s">
        <v>11921</v>
      </c>
      <c r="C624" s="261" t="s">
        <v>6</v>
      </c>
      <c r="D624" s="266">
        <v>37208.26</v>
      </c>
    </row>
    <row r="625" spans="1:4" ht="31.5">
      <c r="A625" s="261">
        <v>605775</v>
      </c>
      <c r="B625" s="265" t="s">
        <v>11922</v>
      </c>
      <c r="C625" s="261" t="s">
        <v>6</v>
      </c>
      <c r="D625" s="266">
        <v>34326.46</v>
      </c>
    </row>
    <row r="626" spans="1:4" ht="31.5">
      <c r="A626" s="261">
        <v>605518</v>
      </c>
      <c r="B626" s="265" t="s">
        <v>11923</v>
      </c>
      <c r="C626" s="261" t="s">
        <v>6</v>
      </c>
      <c r="D626" s="266">
        <v>28966.42</v>
      </c>
    </row>
    <row r="627" spans="1:4" ht="31.5">
      <c r="A627" s="261">
        <v>605809</v>
      </c>
      <c r="B627" s="265" t="s">
        <v>11924</v>
      </c>
      <c r="C627" s="261" t="s">
        <v>6</v>
      </c>
      <c r="D627" s="266">
        <v>38611.050000000003</v>
      </c>
    </row>
    <row r="628" spans="1:4" ht="31.5">
      <c r="A628" s="261">
        <v>605538</v>
      </c>
      <c r="B628" s="265" t="s">
        <v>11925</v>
      </c>
      <c r="C628" s="261" t="s">
        <v>6</v>
      </c>
      <c r="D628" s="266">
        <v>33251.01</v>
      </c>
    </row>
    <row r="629" spans="1:4" ht="31.5">
      <c r="A629" s="261">
        <v>605829</v>
      </c>
      <c r="B629" s="265" t="s">
        <v>11926</v>
      </c>
      <c r="C629" s="261" t="s">
        <v>6</v>
      </c>
      <c r="D629" s="266">
        <v>45150.97</v>
      </c>
    </row>
    <row r="630" spans="1:4" ht="31.5">
      <c r="A630" s="261">
        <v>605558</v>
      </c>
      <c r="B630" s="265" t="s">
        <v>11927</v>
      </c>
      <c r="C630" s="261" t="s">
        <v>6</v>
      </c>
      <c r="D630" s="266">
        <v>39790.93</v>
      </c>
    </row>
    <row r="631" spans="1:4" ht="31.5">
      <c r="A631" s="261">
        <v>605776</v>
      </c>
      <c r="B631" s="265" t="s">
        <v>11928</v>
      </c>
      <c r="C631" s="261" t="s">
        <v>6</v>
      </c>
      <c r="D631" s="266">
        <v>36680.81</v>
      </c>
    </row>
    <row r="632" spans="1:4" ht="31.5">
      <c r="A632" s="261">
        <v>605519</v>
      </c>
      <c r="B632" s="265" t="s">
        <v>11929</v>
      </c>
      <c r="C632" s="261" t="s">
        <v>6</v>
      </c>
      <c r="D632" s="266">
        <v>34280.04</v>
      </c>
    </row>
    <row r="633" spans="1:4" ht="31.5">
      <c r="A633" s="261">
        <v>605810</v>
      </c>
      <c r="B633" s="265" t="s">
        <v>11930</v>
      </c>
      <c r="C633" s="261" t="s">
        <v>6</v>
      </c>
      <c r="D633" s="266">
        <v>41383.17</v>
      </c>
    </row>
    <row r="634" spans="1:4" ht="31.5">
      <c r="A634" s="261">
        <v>605539</v>
      </c>
      <c r="B634" s="265" t="s">
        <v>11931</v>
      </c>
      <c r="C634" s="261" t="s">
        <v>6</v>
      </c>
      <c r="D634" s="266">
        <v>38982.400000000001</v>
      </c>
    </row>
    <row r="635" spans="1:4" ht="31.5">
      <c r="A635" s="261">
        <v>605830</v>
      </c>
      <c r="B635" s="265" t="s">
        <v>11932</v>
      </c>
      <c r="C635" s="261" t="s">
        <v>6</v>
      </c>
      <c r="D635" s="266">
        <v>48560.77</v>
      </c>
    </row>
    <row r="636" spans="1:4" ht="31.5">
      <c r="A636" s="261">
        <v>605559</v>
      </c>
      <c r="B636" s="265" t="s">
        <v>11933</v>
      </c>
      <c r="C636" s="261" t="s">
        <v>6</v>
      </c>
      <c r="D636" s="266">
        <v>46160</v>
      </c>
    </row>
    <row r="637" spans="1:4" ht="31.5">
      <c r="A637" s="261">
        <v>605777</v>
      </c>
      <c r="B637" s="265" t="s">
        <v>11934</v>
      </c>
      <c r="C637" s="261" t="s">
        <v>6</v>
      </c>
      <c r="D637" s="266">
        <v>39200.03</v>
      </c>
    </row>
    <row r="638" spans="1:4" ht="31.5">
      <c r="A638" s="261">
        <v>605520</v>
      </c>
      <c r="B638" s="265" t="s">
        <v>11935</v>
      </c>
      <c r="C638" s="261" t="s">
        <v>6</v>
      </c>
      <c r="D638" s="266">
        <v>36631.949999999997</v>
      </c>
    </row>
    <row r="639" spans="1:4" ht="31.5">
      <c r="A639" s="261">
        <v>605811</v>
      </c>
      <c r="B639" s="265" t="s">
        <v>11936</v>
      </c>
      <c r="C639" s="261" t="s">
        <v>6</v>
      </c>
      <c r="D639" s="266">
        <v>44339.6</v>
      </c>
    </row>
    <row r="640" spans="1:4" ht="31.5">
      <c r="A640" s="261">
        <v>605540</v>
      </c>
      <c r="B640" s="265" t="s">
        <v>11937</v>
      </c>
      <c r="C640" s="261" t="s">
        <v>6</v>
      </c>
      <c r="D640" s="266">
        <v>41771.519999999997</v>
      </c>
    </row>
    <row r="641" spans="1:4" ht="31.5">
      <c r="A641" s="261">
        <v>605831</v>
      </c>
      <c r="B641" s="265" t="s">
        <v>11938</v>
      </c>
      <c r="C641" s="261" t="s">
        <v>6</v>
      </c>
      <c r="D641" s="266">
        <v>52184.54</v>
      </c>
    </row>
    <row r="642" spans="1:4" ht="31.5">
      <c r="A642" s="261">
        <v>605560</v>
      </c>
      <c r="B642" s="265" t="s">
        <v>11939</v>
      </c>
      <c r="C642" s="261" t="s">
        <v>6</v>
      </c>
      <c r="D642" s="266">
        <v>49616.46</v>
      </c>
    </row>
    <row r="643" spans="1:4" ht="31.5">
      <c r="A643" s="261">
        <v>605778</v>
      </c>
      <c r="B643" s="265" t="s">
        <v>11940</v>
      </c>
      <c r="C643" s="261" t="s">
        <v>6</v>
      </c>
      <c r="D643" s="266">
        <v>41617.24</v>
      </c>
    </row>
    <row r="644" spans="1:4" ht="31.5">
      <c r="A644" s="261">
        <v>605521</v>
      </c>
      <c r="B644" s="265" t="s">
        <v>11941</v>
      </c>
      <c r="C644" s="261" t="s">
        <v>6</v>
      </c>
      <c r="D644" s="266">
        <v>39006.1</v>
      </c>
    </row>
    <row r="645" spans="1:4" ht="31.5">
      <c r="A645" s="261">
        <v>605812</v>
      </c>
      <c r="B645" s="265" t="s">
        <v>11942</v>
      </c>
      <c r="C645" s="261" t="s">
        <v>6</v>
      </c>
      <c r="D645" s="266">
        <v>47213.440000000002</v>
      </c>
    </row>
    <row r="646" spans="1:4" ht="31.5">
      <c r="A646" s="261">
        <v>605541</v>
      </c>
      <c r="B646" s="265" t="s">
        <v>11943</v>
      </c>
      <c r="C646" s="261" t="s">
        <v>6</v>
      </c>
      <c r="D646" s="266">
        <v>44602.3</v>
      </c>
    </row>
    <row r="647" spans="1:4" ht="31.5">
      <c r="A647" s="261">
        <v>605832</v>
      </c>
      <c r="B647" s="265" t="s">
        <v>11944</v>
      </c>
      <c r="C647" s="261" t="s">
        <v>6</v>
      </c>
      <c r="D647" s="266">
        <v>55755.37</v>
      </c>
    </row>
    <row r="648" spans="1:4" ht="31.5">
      <c r="A648" s="261">
        <v>605561</v>
      </c>
      <c r="B648" s="265" t="s">
        <v>11945</v>
      </c>
      <c r="C648" s="261" t="s">
        <v>6</v>
      </c>
      <c r="D648" s="266">
        <v>53144.23</v>
      </c>
    </row>
    <row r="649" spans="1:4" ht="31.5">
      <c r="A649" s="261">
        <v>605779</v>
      </c>
      <c r="B649" s="265" t="s">
        <v>11946</v>
      </c>
      <c r="C649" s="261" t="s">
        <v>6</v>
      </c>
      <c r="D649" s="266">
        <v>46494.86</v>
      </c>
    </row>
    <row r="650" spans="1:4" ht="31.5">
      <c r="A650" s="261">
        <v>605522</v>
      </c>
      <c r="B650" s="265" t="s">
        <v>11947</v>
      </c>
      <c r="C650" s="261" t="s">
        <v>6</v>
      </c>
      <c r="D650" s="266">
        <v>44243.63</v>
      </c>
    </row>
    <row r="651" spans="1:4" ht="31.5">
      <c r="A651" s="261">
        <v>605813</v>
      </c>
      <c r="B651" s="265" t="s">
        <v>11948</v>
      </c>
      <c r="C651" s="261" t="s">
        <v>6</v>
      </c>
      <c r="D651" s="266">
        <v>52567.13</v>
      </c>
    </row>
    <row r="652" spans="1:4" ht="31.5">
      <c r="A652" s="261">
        <v>605542</v>
      </c>
      <c r="B652" s="265" t="s">
        <v>11949</v>
      </c>
      <c r="C652" s="261" t="s">
        <v>6</v>
      </c>
      <c r="D652" s="266">
        <v>50315.9</v>
      </c>
    </row>
    <row r="653" spans="1:4" ht="31.5">
      <c r="A653" s="261">
        <v>605833</v>
      </c>
      <c r="B653" s="265" t="s">
        <v>11950</v>
      </c>
      <c r="C653" s="261" t="s">
        <v>6</v>
      </c>
      <c r="D653" s="266">
        <v>61835.72</v>
      </c>
    </row>
    <row r="654" spans="1:4" ht="31.5">
      <c r="A654" s="261">
        <v>605562</v>
      </c>
      <c r="B654" s="265" t="s">
        <v>11951</v>
      </c>
      <c r="C654" s="261" t="s">
        <v>6</v>
      </c>
      <c r="D654" s="266">
        <v>59584.49</v>
      </c>
    </row>
    <row r="655" spans="1:4" ht="31.5">
      <c r="A655" s="261">
        <v>605780</v>
      </c>
      <c r="B655" s="265" t="s">
        <v>11952</v>
      </c>
      <c r="C655" s="261" t="s">
        <v>6</v>
      </c>
      <c r="D655" s="266">
        <v>50796.1</v>
      </c>
    </row>
    <row r="656" spans="1:4" ht="31.5">
      <c r="A656" s="261">
        <v>605523</v>
      </c>
      <c r="B656" s="265" t="s">
        <v>11953</v>
      </c>
      <c r="C656" s="261" t="s">
        <v>6</v>
      </c>
      <c r="D656" s="266">
        <v>46929.2</v>
      </c>
    </row>
    <row r="657" spans="1:4" ht="31.5">
      <c r="A657" s="261">
        <v>605814</v>
      </c>
      <c r="B657" s="265" t="s">
        <v>11954</v>
      </c>
      <c r="C657" s="261" t="s">
        <v>6</v>
      </c>
      <c r="D657" s="266">
        <v>57363.87</v>
      </c>
    </row>
    <row r="658" spans="1:4" ht="31.5">
      <c r="A658" s="261">
        <v>605543</v>
      </c>
      <c r="B658" s="265" t="s">
        <v>11955</v>
      </c>
      <c r="C658" s="261" t="s">
        <v>6</v>
      </c>
      <c r="D658" s="266">
        <v>53496.959999999999</v>
      </c>
    </row>
    <row r="659" spans="1:4" ht="31.5">
      <c r="A659" s="261">
        <v>605834</v>
      </c>
      <c r="B659" s="265" t="s">
        <v>11956</v>
      </c>
      <c r="C659" s="261" t="s">
        <v>6</v>
      </c>
      <c r="D659" s="266">
        <v>67388.78</v>
      </c>
    </row>
    <row r="660" spans="1:4" ht="31.5">
      <c r="A660" s="261">
        <v>605563</v>
      </c>
      <c r="B660" s="265" t="s">
        <v>11957</v>
      </c>
      <c r="C660" s="261" t="s">
        <v>6</v>
      </c>
      <c r="D660" s="266">
        <v>63521.87</v>
      </c>
    </row>
    <row r="661" spans="1:4">
      <c r="A661" s="261">
        <v>605606</v>
      </c>
      <c r="B661" s="265" t="s">
        <v>11958</v>
      </c>
      <c r="C661" s="261" t="s">
        <v>5</v>
      </c>
      <c r="D661" s="266">
        <v>14.84</v>
      </c>
    </row>
    <row r="662" spans="1:4">
      <c r="A662" s="261">
        <v>705314</v>
      </c>
      <c r="B662" s="265" t="s">
        <v>11959</v>
      </c>
      <c r="C662" s="261" t="s">
        <v>97</v>
      </c>
      <c r="D662" s="266">
        <v>13337.91</v>
      </c>
    </row>
    <row r="663" spans="1:4">
      <c r="A663" s="261">
        <v>705312</v>
      </c>
      <c r="B663" s="265" t="s">
        <v>11960</v>
      </c>
      <c r="C663" s="261" t="s">
        <v>97</v>
      </c>
      <c r="D663" s="266">
        <v>12441.95</v>
      </c>
    </row>
    <row r="664" spans="1:4">
      <c r="A664" s="261">
        <v>705316</v>
      </c>
      <c r="B664" s="265" t="s">
        <v>11961</v>
      </c>
      <c r="C664" s="261" t="s">
        <v>97</v>
      </c>
      <c r="D664" s="266">
        <v>14633.28</v>
      </c>
    </row>
    <row r="665" spans="1:4">
      <c r="A665" s="261">
        <v>705315</v>
      </c>
      <c r="B665" s="265" t="s">
        <v>11962</v>
      </c>
      <c r="C665" s="261" t="s">
        <v>97</v>
      </c>
      <c r="D665" s="266">
        <v>13666</v>
      </c>
    </row>
    <row r="666" spans="1:4">
      <c r="A666" s="261">
        <v>705318</v>
      </c>
      <c r="B666" s="265" t="s">
        <v>11963</v>
      </c>
      <c r="C666" s="261" t="s">
        <v>97</v>
      </c>
      <c r="D666" s="266">
        <v>15585.92</v>
      </c>
    </row>
    <row r="667" spans="1:4">
      <c r="A667" s="261">
        <v>705317</v>
      </c>
      <c r="B667" s="265" t="s">
        <v>11964</v>
      </c>
      <c r="C667" s="261" t="s">
        <v>97</v>
      </c>
      <c r="D667" s="266">
        <v>14495.86</v>
      </c>
    </row>
    <row r="668" spans="1:4">
      <c r="A668" s="261">
        <v>705320</v>
      </c>
      <c r="B668" s="265" t="s">
        <v>11965</v>
      </c>
      <c r="C668" s="261" t="s">
        <v>97</v>
      </c>
      <c r="D668" s="266">
        <v>19574.25</v>
      </c>
    </row>
    <row r="669" spans="1:4">
      <c r="A669" s="261">
        <v>705319</v>
      </c>
      <c r="B669" s="265" t="s">
        <v>11966</v>
      </c>
      <c r="C669" s="261" t="s">
        <v>97</v>
      </c>
      <c r="D669" s="266">
        <v>18240.060000000001</v>
      </c>
    </row>
    <row r="670" spans="1:4">
      <c r="A670" s="261">
        <v>705322</v>
      </c>
      <c r="B670" s="265" t="s">
        <v>11967</v>
      </c>
      <c r="C670" s="261" t="s">
        <v>97</v>
      </c>
      <c r="D670" s="266">
        <v>20577.46</v>
      </c>
    </row>
    <row r="671" spans="1:4">
      <c r="A671" s="261">
        <v>705321</v>
      </c>
      <c r="B671" s="265" t="s">
        <v>11968</v>
      </c>
      <c r="C671" s="261" t="s">
        <v>97</v>
      </c>
      <c r="D671" s="266">
        <v>19071.04</v>
      </c>
    </row>
    <row r="672" spans="1:4">
      <c r="A672" s="261">
        <v>705324</v>
      </c>
      <c r="B672" s="265" t="s">
        <v>11969</v>
      </c>
      <c r="C672" s="261" t="s">
        <v>97</v>
      </c>
      <c r="D672" s="266">
        <v>22609.35</v>
      </c>
    </row>
    <row r="673" spans="1:4">
      <c r="A673" s="261">
        <v>705323</v>
      </c>
      <c r="B673" s="265" t="s">
        <v>11970</v>
      </c>
      <c r="C673" s="261" t="s">
        <v>97</v>
      </c>
      <c r="D673" s="266">
        <v>20994.98</v>
      </c>
    </row>
    <row r="674" spans="1:4">
      <c r="A674" s="261">
        <v>705326</v>
      </c>
      <c r="B674" s="265" t="s">
        <v>11971</v>
      </c>
      <c r="C674" s="261" t="s">
        <v>97</v>
      </c>
      <c r="D674" s="266">
        <v>24266.17</v>
      </c>
    </row>
    <row r="675" spans="1:4">
      <c r="A675" s="261">
        <v>705325</v>
      </c>
      <c r="B675" s="265" t="s">
        <v>11972</v>
      </c>
      <c r="C675" s="261" t="s">
        <v>97</v>
      </c>
      <c r="D675" s="266">
        <v>22498.7</v>
      </c>
    </row>
    <row r="676" spans="1:4">
      <c r="A676" s="261">
        <v>705328</v>
      </c>
      <c r="B676" s="265" t="s">
        <v>11973</v>
      </c>
      <c r="C676" s="261" t="s">
        <v>97</v>
      </c>
      <c r="D676" s="266">
        <v>30842.58</v>
      </c>
    </row>
    <row r="677" spans="1:4">
      <c r="A677" s="261">
        <v>705327</v>
      </c>
      <c r="B677" s="265" t="s">
        <v>11974</v>
      </c>
      <c r="C677" s="261" t="s">
        <v>97</v>
      </c>
      <c r="D677" s="266">
        <v>28649.84</v>
      </c>
    </row>
    <row r="678" spans="1:4">
      <c r="A678" s="261">
        <v>705330</v>
      </c>
      <c r="B678" s="265" t="s">
        <v>11975</v>
      </c>
      <c r="C678" s="261" t="s">
        <v>97</v>
      </c>
      <c r="D678" s="266">
        <v>28722.35</v>
      </c>
    </row>
    <row r="679" spans="1:4">
      <c r="A679" s="261">
        <v>705329</v>
      </c>
      <c r="B679" s="265" t="s">
        <v>11976</v>
      </c>
      <c r="C679" s="261" t="s">
        <v>97</v>
      </c>
      <c r="D679" s="266">
        <v>26531.23</v>
      </c>
    </row>
    <row r="680" spans="1:4">
      <c r="A680" s="261">
        <v>705332</v>
      </c>
      <c r="B680" s="265" t="s">
        <v>11977</v>
      </c>
      <c r="C680" s="261" t="s">
        <v>97</v>
      </c>
      <c r="D680" s="266">
        <v>31143.99</v>
      </c>
    </row>
    <row r="681" spans="1:4">
      <c r="A681" s="261">
        <v>705331</v>
      </c>
      <c r="B681" s="265" t="s">
        <v>11978</v>
      </c>
      <c r="C681" s="261" t="s">
        <v>97</v>
      </c>
      <c r="D681" s="266">
        <v>28907.25</v>
      </c>
    </row>
    <row r="682" spans="1:4">
      <c r="A682" s="261">
        <v>705334</v>
      </c>
      <c r="B682" s="265" t="s">
        <v>11979</v>
      </c>
      <c r="C682" s="261" t="s">
        <v>97</v>
      </c>
      <c r="D682" s="266">
        <v>33214.410000000003</v>
      </c>
    </row>
    <row r="683" spans="1:4">
      <c r="A683" s="261">
        <v>705333</v>
      </c>
      <c r="B683" s="265" t="s">
        <v>11980</v>
      </c>
      <c r="C683" s="261" t="s">
        <v>97</v>
      </c>
      <c r="D683" s="266">
        <v>30998.15</v>
      </c>
    </row>
    <row r="684" spans="1:4">
      <c r="A684" s="261">
        <v>705336</v>
      </c>
      <c r="B684" s="265" t="s">
        <v>11981</v>
      </c>
      <c r="C684" s="261" t="s">
        <v>97</v>
      </c>
      <c r="D684" s="266">
        <v>44668.639999999999</v>
      </c>
    </row>
    <row r="685" spans="1:4">
      <c r="A685" s="261">
        <v>705335</v>
      </c>
      <c r="B685" s="265" t="s">
        <v>11982</v>
      </c>
      <c r="C685" s="261" t="s">
        <v>97</v>
      </c>
      <c r="D685" s="266">
        <v>41579.71</v>
      </c>
    </row>
    <row r="686" spans="1:4">
      <c r="A686" s="261">
        <v>705338</v>
      </c>
      <c r="B686" s="265" t="s">
        <v>11983</v>
      </c>
      <c r="C686" s="261" t="s">
        <v>97</v>
      </c>
      <c r="D686" s="266">
        <v>41490.660000000003</v>
      </c>
    </row>
    <row r="687" spans="1:4">
      <c r="A687" s="261">
        <v>705337</v>
      </c>
      <c r="B687" s="265" t="s">
        <v>11984</v>
      </c>
      <c r="C687" s="261" t="s">
        <v>97</v>
      </c>
      <c r="D687" s="266">
        <v>38299.07</v>
      </c>
    </row>
    <row r="688" spans="1:4">
      <c r="A688" s="261">
        <v>705340</v>
      </c>
      <c r="B688" s="265" t="s">
        <v>11985</v>
      </c>
      <c r="C688" s="261" t="s">
        <v>97</v>
      </c>
      <c r="D688" s="266">
        <v>44855.79</v>
      </c>
    </row>
    <row r="689" spans="1:4">
      <c r="A689" s="261">
        <v>705339</v>
      </c>
      <c r="B689" s="265" t="s">
        <v>11986</v>
      </c>
      <c r="C689" s="261" t="s">
        <v>97</v>
      </c>
      <c r="D689" s="266">
        <v>41627.58</v>
      </c>
    </row>
    <row r="690" spans="1:4">
      <c r="A690" s="261">
        <v>705342</v>
      </c>
      <c r="B690" s="265" t="s">
        <v>11987</v>
      </c>
      <c r="C690" s="261" t="s">
        <v>97</v>
      </c>
      <c r="D690" s="266">
        <v>50949.51</v>
      </c>
    </row>
    <row r="691" spans="1:4">
      <c r="A691" s="261">
        <v>705341</v>
      </c>
      <c r="B691" s="265" t="s">
        <v>11988</v>
      </c>
      <c r="C691" s="261" t="s">
        <v>97</v>
      </c>
      <c r="D691" s="266">
        <v>47359.31</v>
      </c>
    </row>
    <row r="692" spans="1:4">
      <c r="A692" s="261">
        <v>705344</v>
      </c>
      <c r="B692" s="265" t="s">
        <v>11989</v>
      </c>
      <c r="C692" s="261" t="s">
        <v>97</v>
      </c>
      <c r="D692" s="266">
        <v>64662.05</v>
      </c>
    </row>
    <row r="693" spans="1:4">
      <c r="A693" s="261">
        <v>705343</v>
      </c>
      <c r="B693" s="265" t="s">
        <v>11990</v>
      </c>
      <c r="C693" s="261" t="s">
        <v>97</v>
      </c>
      <c r="D693" s="266">
        <v>60263.38</v>
      </c>
    </row>
    <row r="694" spans="1:4">
      <c r="A694" s="261">
        <v>705225</v>
      </c>
      <c r="B694" s="265" t="s">
        <v>11991</v>
      </c>
      <c r="C694" s="261" t="s">
        <v>97</v>
      </c>
      <c r="D694" s="266">
        <v>11389.15</v>
      </c>
    </row>
    <row r="695" spans="1:4">
      <c r="A695" s="261">
        <v>705224</v>
      </c>
      <c r="B695" s="265" t="s">
        <v>11992</v>
      </c>
      <c r="C695" s="261" t="s">
        <v>97</v>
      </c>
      <c r="D695" s="266">
        <v>10564.8</v>
      </c>
    </row>
    <row r="696" spans="1:4">
      <c r="A696" s="261">
        <v>705227</v>
      </c>
      <c r="B696" s="265" t="s">
        <v>11993</v>
      </c>
      <c r="C696" s="261" t="s">
        <v>97</v>
      </c>
      <c r="D696" s="266">
        <v>11832.69</v>
      </c>
    </row>
    <row r="697" spans="1:4">
      <c r="A697" s="261">
        <v>705226</v>
      </c>
      <c r="B697" s="265" t="s">
        <v>11994</v>
      </c>
      <c r="C697" s="261" t="s">
        <v>97</v>
      </c>
      <c r="D697" s="266">
        <v>11076.59</v>
      </c>
    </row>
    <row r="698" spans="1:4">
      <c r="A698" s="261">
        <v>705229</v>
      </c>
      <c r="B698" s="265" t="s">
        <v>11995</v>
      </c>
      <c r="C698" s="261" t="s">
        <v>97</v>
      </c>
      <c r="D698" s="266">
        <v>12715.67</v>
      </c>
    </row>
    <row r="699" spans="1:4">
      <c r="A699" s="261">
        <v>705228</v>
      </c>
      <c r="B699" s="265" t="s">
        <v>11996</v>
      </c>
      <c r="C699" s="261" t="s">
        <v>97</v>
      </c>
      <c r="D699" s="266">
        <v>11843.12</v>
      </c>
    </row>
    <row r="700" spans="1:4">
      <c r="A700" s="261">
        <v>705231</v>
      </c>
      <c r="B700" s="265" t="s">
        <v>11997</v>
      </c>
      <c r="C700" s="261" t="s">
        <v>97</v>
      </c>
      <c r="D700" s="266">
        <v>15881.8</v>
      </c>
    </row>
    <row r="701" spans="1:4">
      <c r="A701" s="261">
        <v>705230</v>
      </c>
      <c r="B701" s="265" t="s">
        <v>11998</v>
      </c>
      <c r="C701" s="261" t="s">
        <v>97</v>
      </c>
      <c r="D701" s="266">
        <v>14859.78</v>
      </c>
    </row>
    <row r="702" spans="1:4">
      <c r="A702" s="261">
        <v>705233</v>
      </c>
      <c r="B702" s="265" t="s">
        <v>11999</v>
      </c>
      <c r="C702" s="261" t="s">
        <v>97</v>
      </c>
      <c r="D702" s="266">
        <v>17724.55</v>
      </c>
    </row>
    <row r="703" spans="1:4">
      <c r="A703" s="261">
        <v>705232</v>
      </c>
      <c r="B703" s="265" t="s">
        <v>12000</v>
      </c>
      <c r="C703" s="261" t="s">
        <v>97</v>
      </c>
      <c r="D703" s="266">
        <v>16413.169999999998</v>
      </c>
    </row>
    <row r="704" spans="1:4">
      <c r="A704" s="261">
        <v>705235</v>
      </c>
      <c r="B704" s="265" t="s">
        <v>12001</v>
      </c>
      <c r="C704" s="261" t="s">
        <v>97</v>
      </c>
      <c r="D704" s="266">
        <v>18274.7</v>
      </c>
    </row>
    <row r="705" spans="1:4">
      <c r="A705" s="261">
        <v>705234</v>
      </c>
      <c r="B705" s="265" t="s">
        <v>12002</v>
      </c>
      <c r="C705" s="261" t="s">
        <v>97</v>
      </c>
      <c r="D705" s="266">
        <v>17050.47</v>
      </c>
    </row>
    <row r="706" spans="1:4">
      <c r="A706" s="261">
        <v>705237</v>
      </c>
      <c r="B706" s="265" t="s">
        <v>12003</v>
      </c>
      <c r="C706" s="261" t="s">
        <v>97</v>
      </c>
      <c r="D706" s="266">
        <v>19755.02</v>
      </c>
    </row>
    <row r="707" spans="1:4">
      <c r="A707" s="261">
        <v>705236</v>
      </c>
      <c r="B707" s="265" t="s">
        <v>12004</v>
      </c>
      <c r="C707" s="261" t="s">
        <v>97</v>
      </c>
      <c r="D707" s="266">
        <v>18381.25</v>
      </c>
    </row>
    <row r="708" spans="1:4">
      <c r="A708" s="261">
        <v>705239</v>
      </c>
      <c r="B708" s="265" t="s">
        <v>12005</v>
      </c>
      <c r="C708" s="261" t="s">
        <v>97</v>
      </c>
      <c r="D708" s="266">
        <v>25253.63</v>
      </c>
    </row>
    <row r="709" spans="1:4">
      <c r="A709" s="261">
        <v>705238</v>
      </c>
      <c r="B709" s="265" t="s">
        <v>12006</v>
      </c>
      <c r="C709" s="261" t="s">
        <v>97</v>
      </c>
      <c r="D709" s="266">
        <v>23535.99</v>
      </c>
    </row>
    <row r="710" spans="1:4">
      <c r="A710" s="261">
        <v>705241</v>
      </c>
      <c r="B710" s="265" t="s">
        <v>12007</v>
      </c>
      <c r="C710" s="261" t="s">
        <v>97</v>
      </c>
      <c r="D710" s="266">
        <v>23941.01</v>
      </c>
    </row>
    <row r="711" spans="1:4">
      <c r="A711" s="261">
        <v>705240</v>
      </c>
      <c r="B711" s="265" t="s">
        <v>12008</v>
      </c>
      <c r="C711" s="261" t="s">
        <v>97</v>
      </c>
      <c r="D711" s="266">
        <v>22138.16</v>
      </c>
    </row>
    <row r="712" spans="1:4">
      <c r="A712" s="261">
        <v>705243</v>
      </c>
      <c r="B712" s="265" t="s">
        <v>12009</v>
      </c>
      <c r="C712" s="261" t="s">
        <v>97</v>
      </c>
      <c r="D712" s="266">
        <v>25428.41</v>
      </c>
    </row>
    <row r="713" spans="1:4">
      <c r="A713" s="261">
        <v>705242</v>
      </c>
      <c r="B713" s="265" t="s">
        <v>12010</v>
      </c>
      <c r="C713" s="261" t="s">
        <v>97</v>
      </c>
      <c r="D713" s="266">
        <v>23621.73</v>
      </c>
    </row>
    <row r="714" spans="1:4">
      <c r="A714" s="261">
        <v>705245</v>
      </c>
      <c r="B714" s="265" t="s">
        <v>12011</v>
      </c>
      <c r="C714" s="261" t="s">
        <v>97</v>
      </c>
      <c r="D714" s="266">
        <v>28237.65</v>
      </c>
    </row>
    <row r="715" spans="1:4">
      <c r="A715" s="261">
        <v>705244</v>
      </c>
      <c r="B715" s="265" t="s">
        <v>12012</v>
      </c>
      <c r="C715" s="261" t="s">
        <v>97</v>
      </c>
      <c r="D715" s="266">
        <v>26309.56</v>
      </c>
    </row>
    <row r="716" spans="1:4">
      <c r="A716" s="261">
        <v>705247</v>
      </c>
      <c r="B716" s="265" t="s">
        <v>12013</v>
      </c>
      <c r="C716" s="261" t="s">
        <v>97</v>
      </c>
      <c r="D716" s="266">
        <v>35815.57</v>
      </c>
    </row>
    <row r="717" spans="1:4">
      <c r="A717" s="261">
        <v>705246</v>
      </c>
      <c r="B717" s="265" t="s">
        <v>12014</v>
      </c>
      <c r="C717" s="261" t="s">
        <v>97</v>
      </c>
      <c r="D717" s="266">
        <v>33452.82</v>
      </c>
    </row>
    <row r="718" spans="1:4">
      <c r="A718" s="261">
        <v>705249</v>
      </c>
      <c r="B718" s="265" t="s">
        <v>12015</v>
      </c>
      <c r="C718" s="261" t="s">
        <v>97</v>
      </c>
      <c r="D718" s="266">
        <v>33977.870000000003</v>
      </c>
    </row>
    <row r="719" spans="1:4">
      <c r="A719" s="261">
        <v>705248</v>
      </c>
      <c r="B719" s="265" t="s">
        <v>12016</v>
      </c>
      <c r="C719" s="261" t="s">
        <v>97</v>
      </c>
      <c r="D719" s="266">
        <v>31364.92</v>
      </c>
    </row>
    <row r="720" spans="1:4">
      <c r="A720" s="261">
        <v>705251</v>
      </c>
      <c r="B720" s="265" t="s">
        <v>12017</v>
      </c>
      <c r="C720" s="261" t="s">
        <v>97</v>
      </c>
      <c r="D720" s="266">
        <v>36039.480000000003</v>
      </c>
    </row>
    <row r="721" spans="1:4">
      <c r="A721" s="261">
        <v>705250</v>
      </c>
      <c r="B721" s="265" t="s">
        <v>12018</v>
      </c>
      <c r="C721" s="261" t="s">
        <v>97</v>
      </c>
      <c r="D721" s="266">
        <v>33419.47</v>
      </c>
    </row>
    <row r="722" spans="1:4">
      <c r="A722" s="261">
        <v>705253</v>
      </c>
      <c r="B722" s="265" t="s">
        <v>12019</v>
      </c>
      <c r="C722" s="261" t="s">
        <v>97</v>
      </c>
      <c r="D722" s="266">
        <v>39438.28</v>
      </c>
    </row>
    <row r="723" spans="1:4">
      <c r="A723" s="261">
        <v>705252</v>
      </c>
      <c r="B723" s="265" t="s">
        <v>12020</v>
      </c>
      <c r="C723" s="261" t="s">
        <v>97</v>
      </c>
      <c r="D723" s="266">
        <v>36588.31</v>
      </c>
    </row>
    <row r="724" spans="1:4">
      <c r="A724" s="261">
        <v>705255</v>
      </c>
      <c r="B724" s="265" t="s">
        <v>12021</v>
      </c>
      <c r="C724" s="261" t="s">
        <v>97</v>
      </c>
      <c r="D724" s="266">
        <v>49980.26</v>
      </c>
    </row>
    <row r="725" spans="1:4">
      <c r="A725" s="261">
        <v>705254</v>
      </c>
      <c r="B725" s="265" t="s">
        <v>12022</v>
      </c>
      <c r="C725" s="261" t="s">
        <v>97</v>
      </c>
      <c r="D725" s="266">
        <v>46532.79</v>
      </c>
    </row>
    <row r="726" spans="1:4">
      <c r="A726" s="261">
        <v>705403</v>
      </c>
      <c r="B726" s="265" t="s">
        <v>12023</v>
      </c>
      <c r="C726" s="261" t="s">
        <v>97</v>
      </c>
      <c r="D726" s="266">
        <v>16642.34</v>
      </c>
    </row>
    <row r="727" spans="1:4">
      <c r="A727" s="261">
        <v>705402</v>
      </c>
      <c r="B727" s="265" t="s">
        <v>12024</v>
      </c>
      <c r="C727" s="261" t="s">
        <v>97</v>
      </c>
      <c r="D727" s="266">
        <v>15442.21</v>
      </c>
    </row>
    <row r="728" spans="1:4">
      <c r="A728" s="261">
        <v>705405</v>
      </c>
      <c r="B728" s="265" t="s">
        <v>12025</v>
      </c>
      <c r="C728" s="261" t="s">
        <v>97</v>
      </c>
      <c r="D728" s="266">
        <v>18043.53</v>
      </c>
    </row>
    <row r="729" spans="1:4">
      <c r="A729" s="261">
        <v>705404</v>
      </c>
      <c r="B729" s="265" t="s">
        <v>12026</v>
      </c>
      <c r="C729" s="261" t="s">
        <v>97</v>
      </c>
      <c r="D729" s="266">
        <v>16827.39</v>
      </c>
    </row>
    <row r="730" spans="1:4">
      <c r="A730" s="261">
        <v>705407</v>
      </c>
      <c r="B730" s="265" t="s">
        <v>12027</v>
      </c>
      <c r="C730" s="261" t="s">
        <v>97</v>
      </c>
      <c r="D730" s="266">
        <v>18856.259999999998</v>
      </c>
    </row>
    <row r="731" spans="1:4">
      <c r="A731" s="261">
        <v>705406</v>
      </c>
      <c r="B731" s="265" t="s">
        <v>12028</v>
      </c>
      <c r="C731" s="261" t="s">
        <v>97</v>
      </c>
      <c r="D731" s="266">
        <v>17501.75</v>
      </c>
    </row>
    <row r="732" spans="1:4">
      <c r="A732" s="261">
        <v>705409</v>
      </c>
      <c r="B732" s="265" t="s">
        <v>12029</v>
      </c>
      <c r="C732" s="261" t="s">
        <v>97</v>
      </c>
      <c r="D732" s="266">
        <v>23774.12</v>
      </c>
    </row>
    <row r="733" spans="1:4">
      <c r="A733" s="261">
        <v>705408</v>
      </c>
      <c r="B733" s="265" t="s">
        <v>12030</v>
      </c>
      <c r="C733" s="261" t="s">
        <v>97</v>
      </c>
      <c r="D733" s="266">
        <v>22105.47</v>
      </c>
    </row>
    <row r="734" spans="1:4">
      <c r="A734" s="261">
        <v>705411</v>
      </c>
      <c r="B734" s="265" t="s">
        <v>12031</v>
      </c>
      <c r="C734" s="261" t="s">
        <v>97</v>
      </c>
      <c r="D734" s="266">
        <v>25185.46</v>
      </c>
    </row>
    <row r="735" spans="1:4">
      <c r="A735" s="261">
        <v>705410</v>
      </c>
      <c r="B735" s="265" t="s">
        <v>12032</v>
      </c>
      <c r="C735" s="261" t="s">
        <v>97</v>
      </c>
      <c r="D735" s="266">
        <v>23250.25</v>
      </c>
    </row>
    <row r="736" spans="1:4">
      <c r="A736" s="261">
        <v>705413</v>
      </c>
      <c r="B736" s="265" t="s">
        <v>12033</v>
      </c>
      <c r="C736" s="261" t="s">
        <v>97</v>
      </c>
      <c r="D736" s="266">
        <v>27186.52</v>
      </c>
    </row>
    <row r="737" spans="1:4">
      <c r="A737" s="261">
        <v>705412</v>
      </c>
      <c r="B737" s="265" t="s">
        <v>12034</v>
      </c>
      <c r="C737" s="261" t="s">
        <v>97</v>
      </c>
      <c r="D737" s="266">
        <v>25245.86</v>
      </c>
    </row>
    <row r="738" spans="1:4">
      <c r="A738" s="261">
        <v>705415</v>
      </c>
      <c r="B738" s="265" t="s">
        <v>12035</v>
      </c>
      <c r="C738" s="261" t="s">
        <v>97</v>
      </c>
      <c r="D738" s="266">
        <v>29914.560000000001</v>
      </c>
    </row>
    <row r="739" spans="1:4">
      <c r="A739" s="261">
        <v>705414</v>
      </c>
      <c r="B739" s="265" t="s">
        <v>12036</v>
      </c>
      <c r="C739" s="261" t="s">
        <v>97</v>
      </c>
      <c r="D739" s="266">
        <v>27728.07</v>
      </c>
    </row>
    <row r="740" spans="1:4">
      <c r="A740" s="261">
        <v>705417</v>
      </c>
      <c r="B740" s="265" t="s">
        <v>12037</v>
      </c>
      <c r="C740" s="261" t="s">
        <v>97</v>
      </c>
      <c r="D740" s="266">
        <v>37942.54</v>
      </c>
    </row>
    <row r="741" spans="1:4">
      <c r="A741" s="261">
        <v>705416</v>
      </c>
      <c r="B741" s="265" t="s">
        <v>12038</v>
      </c>
      <c r="C741" s="261" t="s">
        <v>97</v>
      </c>
      <c r="D741" s="266">
        <v>35250.86</v>
      </c>
    </row>
    <row r="742" spans="1:4">
      <c r="A742" s="261">
        <v>705419</v>
      </c>
      <c r="B742" s="265" t="s">
        <v>12039</v>
      </c>
      <c r="C742" s="261" t="s">
        <v>97</v>
      </c>
      <c r="D742" s="266">
        <v>35680.910000000003</v>
      </c>
    </row>
    <row r="743" spans="1:4">
      <c r="A743" s="261">
        <v>705418</v>
      </c>
      <c r="B743" s="265" t="s">
        <v>12040</v>
      </c>
      <c r="C743" s="261" t="s">
        <v>97</v>
      </c>
      <c r="D743" s="266">
        <v>32974.910000000003</v>
      </c>
    </row>
    <row r="744" spans="1:4">
      <c r="A744" s="261">
        <v>705421</v>
      </c>
      <c r="B744" s="265" t="s">
        <v>12041</v>
      </c>
      <c r="C744" s="261" t="s">
        <v>97</v>
      </c>
      <c r="D744" s="266">
        <v>38510.33</v>
      </c>
    </row>
    <row r="745" spans="1:4">
      <c r="A745" s="261">
        <v>705420</v>
      </c>
      <c r="B745" s="265" t="s">
        <v>12042</v>
      </c>
      <c r="C745" s="261" t="s">
        <v>97</v>
      </c>
      <c r="D745" s="266">
        <v>35787.040000000001</v>
      </c>
    </row>
    <row r="746" spans="1:4">
      <c r="A746" s="261">
        <v>705423</v>
      </c>
      <c r="B746" s="265" t="s">
        <v>12043</v>
      </c>
      <c r="C746" s="261" t="s">
        <v>97</v>
      </c>
      <c r="D746" s="266">
        <v>43862.720000000001</v>
      </c>
    </row>
    <row r="747" spans="1:4">
      <c r="A747" s="261">
        <v>705422</v>
      </c>
      <c r="B747" s="265" t="s">
        <v>12044</v>
      </c>
      <c r="C747" s="261" t="s">
        <v>97</v>
      </c>
      <c r="D747" s="266">
        <v>40815.760000000002</v>
      </c>
    </row>
    <row r="748" spans="1:4">
      <c r="A748" s="261">
        <v>705425</v>
      </c>
      <c r="B748" s="265" t="s">
        <v>12045</v>
      </c>
      <c r="C748" s="261" t="s">
        <v>97</v>
      </c>
      <c r="D748" s="266">
        <v>55608.89</v>
      </c>
    </row>
    <row r="749" spans="1:4">
      <c r="A749" s="261">
        <v>705424</v>
      </c>
      <c r="B749" s="265" t="s">
        <v>12046</v>
      </c>
      <c r="C749" s="261" t="s">
        <v>97</v>
      </c>
      <c r="D749" s="266">
        <v>51869.71</v>
      </c>
    </row>
    <row r="750" spans="1:4">
      <c r="A750" s="261">
        <v>705427</v>
      </c>
      <c r="B750" s="265" t="s">
        <v>12047</v>
      </c>
      <c r="C750" s="261" t="s">
        <v>97</v>
      </c>
      <c r="D750" s="266">
        <v>50374.7</v>
      </c>
    </row>
    <row r="751" spans="1:4">
      <c r="A751" s="261">
        <v>705426</v>
      </c>
      <c r="B751" s="265" t="s">
        <v>12048</v>
      </c>
      <c r="C751" s="261" t="s">
        <v>97</v>
      </c>
      <c r="D751" s="266">
        <v>46461.95</v>
      </c>
    </row>
    <row r="752" spans="1:4">
      <c r="A752" s="261">
        <v>705429</v>
      </c>
      <c r="B752" s="265" t="s">
        <v>12049</v>
      </c>
      <c r="C752" s="261" t="s">
        <v>97</v>
      </c>
      <c r="D752" s="266">
        <v>52251.76</v>
      </c>
    </row>
    <row r="753" spans="1:4">
      <c r="A753" s="261">
        <v>705428</v>
      </c>
      <c r="B753" s="265" t="s">
        <v>12050</v>
      </c>
      <c r="C753" s="261" t="s">
        <v>97</v>
      </c>
      <c r="D753" s="266">
        <v>48395.93</v>
      </c>
    </row>
    <row r="754" spans="1:4">
      <c r="A754" s="261">
        <v>705431</v>
      </c>
      <c r="B754" s="265" t="s">
        <v>12051</v>
      </c>
      <c r="C754" s="261" t="s">
        <v>97</v>
      </c>
      <c r="D754" s="266">
        <v>63092.44</v>
      </c>
    </row>
    <row r="755" spans="1:4">
      <c r="A755" s="261">
        <v>705430</v>
      </c>
      <c r="B755" s="265" t="s">
        <v>12052</v>
      </c>
      <c r="C755" s="261" t="s">
        <v>97</v>
      </c>
      <c r="D755" s="266">
        <v>58789.41</v>
      </c>
    </row>
    <row r="756" spans="1:4">
      <c r="A756" s="261">
        <v>705433</v>
      </c>
      <c r="B756" s="265" t="s">
        <v>12053</v>
      </c>
      <c r="C756" s="261" t="s">
        <v>97</v>
      </c>
      <c r="D756" s="266">
        <v>80084.52</v>
      </c>
    </row>
    <row r="757" spans="1:4">
      <c r="A757" s="261">
        <v>705432</v>
      </c>
      <c r="B757" s="265" t="s">
        <v>12054</v>
      </c>
      <c r="C757" s="261" t="s">
        <v>97</v>
      </c>
      <c r="D757" s="266">
        <v>74754.84</v>
      </c>
    </row>
    <row r="758" spans="1:4">
      <c r="A758" s="261">
        <v>705257</v>
      </c>
      <c r="B758" s="265" t="s">
        <v>12055</v>
      </c>
      <c r="C758" s="261" t="s">
        <v>6</v>
      </c>
      <c r="D758" s="266">
        <v>3941.75</v>
      </c>
    </row>
    <row r="759" spans="1:4">
      <c r="A759" s="261">
        <v>705256</v>
      </c>
      <c r="B759" s="265" t="s">
        <v>12056</v>
      </c>
      <c r="C759" s="261" t="s">
        <v>6</v>
      </c>
      <c r="D759" s="266">
        <v>3697.18</v>
      </c>
    </row>
    <row r="760" spans="1:4">
      <c r="A760" s="261">
        <v>705259</v>
      </c>
      <c r="B760" s="265" t="s">
        <v>12057</v>
      </c>
      <c r="C760" s="261" t="s">
        <v>6</v>
      </c>
      <c r="D760" s="266">
        <v>3416.92</v>
      </c>
    </row>
    <row r="761" spans="1:4">
      <c r="A761" s="261">
        <v>705258</v>
      </c>
      <c r="B761" s="265" t="s">
        <v>12058</v>
      </c>
      <c r="C761" s="261" t="s">
        <v>6</v>
      </c>
      <c r="D761" s="266">
        <v>3172.35</v>
      </c>
    </row>
    <row r="762" spans="1:4">
      <c r="A762" s="261">
        <v>705267</v>
      </c>
      <c r="B762" s="265" t="s">
        <v>12059</v>
      </c>
      <c r="C762" s="261" t="s">
        <v>6</v>
      </c>
      <c r="D762" s="266">
        <v>4944.6499999999996</v>
      </c>
    </row>
    <row r="763" spans="1:4">
      <c r="A763" s="261">
        <v>705266</v>
      </c>
      <c r="B763" s="265" t="s">
        <v>12060</v>
      </c>
      <c r="C763" s="261" t="s">
        <v>6</v>
      </c>
      <c r="D763" s="266">
        <v>4621.99</v>
      </c>
    </row>
    <row r="764" spans="1:4">
      <c r="A764" s="261">
        <v>705269</v>
      </c>
      <c r="B764" s="265" t="s">
        <v>12061</v>
      </c>
      <c r="C764" s="261" t="s">
        <v>6</v>
      </c>
      <c r="D764" s="266">
        <v>5201.16</v>
      </c>
    </row>
    <row r="765" spans="1:4">
      <c r="A765" s="261">
        <v>705268</v>
      </c>
      <c r="B765" s="265" t="s">
        <v>12062</v>
      </c>
      <c r="C765" s="261" t="s">
        <v>6</v>
      </c>
      <c r="D765" s="266">
        <v>4878.5</v>
      </c>
    </row>
    <row r="766" spans="1:4">
      <c r="A766" s="261">
        <v>705261</v>
      </c>
      <c r="B766" s="265" t="s">
        <v>12063</v>
      </c>
      <c r="C766" s="261" t="s">
        <v>6</v>
      </c>
      <c r="D766" s="266">
        <v>3660.99</v>
      </c>
    </row>
    <row r="767" spans="1:4">
      <c r="A767" s="261">
        <v>705260</v>
      </c>
      <c r="B767" s="265" t="s">
        <v>12064</v>
      </c>
      <c r="C767" s="261" t="s">
        <v>6</v>
      </c>
      <c r="D767" s="266">
        <v>3416.43</v>
      </c>
    </row>
    <row r="768" spans="1:4">
      <c r="A768" s="261">
        <v>705263</v>
      </c>
      <c r="B768" s="265" t="s">
        <v>12065</v>
      </c>
      <c r="C768" s="261" t="s">
        <v>6</v>
      </c>
      <c r="D768" s="266">
        <v>4143.3900000000003</v>
      </c>
    </row>
    <row r="769" spans="1:4">
      <c r="A769" s="261">
        <v>705262</v>
      </c>
      <c r="B769" s="265" t="s">
        <v>12066</v>
      </c>
      <c r="C769" s="261" t="s">
        <v>6</v>
      </c>
      <c r="D769" s="266">
        <v>3898.83</v>
      </c>
    </row>
    <row r="770" spans="1:4">
      <c r="A770" s="261">
        <v>705265</v>
      </c>
      <c r="B770" s="265" t="s">
        <v>12067</v>
      </c>
      <c r="C770" s="261" t="s">
        <v>6</v>
      </c>
      <c r="D770" s="266">
        <v>4558.0200000000004</v>
      </c>
    </row>
    <row r="771" spans="1:4">
      <c r="A771" s="261">
        <v>705264</v>
      </c>
      <c r="B771" s="265" t="s">
        <v>12068</v>
      </c>
      <c r="C771" s="261" t="s">
        <v>6</v>
      </c>
      <c r="D771" s="266">
        <v>4313.45</v>
      </c>
    </row>
    <row r="772" spans="1:4">
      <c r="A772" s="261">
        <v>705271</v>
      </c>
      <c r="B772" s="265" t="s">
        <v>12069</v>
      </c>
      <c r="C772" s="261" t="s">
        <v>6</v>
      </c>
      <c r="D772" s="266">
        <v>5676.39</v>
      </c>
    </row>
    <row r="773" spans="1:4">
      <c r="A773" s="261">
        <v>705270</v>
      </c>
      <c r="B773" s="265" t="s">
        <v>12070</v>
      </c>
      <c r="C773" s="261" t="s">
        <v>6</v>
      </c>
      <c r="D773" s="266">
        <v>5360.04</v>
      </c>
    </row>
    <row r="774" spans="1:4">
      <c r="A774" s="261">
        <v>705273</v>
      </c>
      <c r="B774" s="265" t="s">
        <v>12071</v>
      </c>
      <c r="C774" s="261" t="s">
        <v>6</v>
      </c>
      <c r="D774" s="266">
        <v>5033.8999999999996</v>
      </c>
    </row>
    <row r="775" spans="1:4">
      <c r="A775" s="261">
        <v>705272</v>
      </c>
      <c r="B775" s="265" t="s">
        <v>12072</v>
      </c>
      <c r="C775" s="261" t="s">
        <v>6</v>
      </c>
      <c r="D775" s="266">
        <v>4717.55</v>
      </c>
    </row>
    <row r="776" spans="1:4">
      <c r="A776" s="261">
        <v>705281</v>
      </c>
      <c r="B776" s="265" t="s">
        <v>12073</v>
      </c>
      <c r="C776" s="261" t="s">
        <v>6</v>
      </c>
      <c r="D776" s="266">
        <v>7754.52</v>
      </c>
    </row>
    <row r="777" spans="1:4">
      <c r="A777" s="261">
        <v>705280</v>
      </c>
      <c r="B777" s="265" t="s">
        <v>12074</v>
      </c>
      <c r="C777" s="261" t="s">
        <v>6</v>
      </c>
      <c r="D777" s="266">
        <v>7247.18</v>
      </c>
    </row>
    <row r="778" spans="1:4">
      <c r="A778" s="261">
        <v>705283</v>
      </c>
      <c r="B778" s="265" t="s">
        <v>12075</v>
      </c>
      <c r="C778" s="261" t="s">
        <v>6</v>
      </c>
      <c r="D778" s="266">
        <v>7955.56</v>
      </c>
    </row>
    <row r="779" spans="1:4">
      <c r="A779" s="261">
        <v>705282</v>
      </c>
      <c r="B779" s="265" t="s">
        <v>12076</v>
      </c>
      <c r="C779" s="261" t="s">
        <v>6</v>
      </c>
      <c r="D779" s="266">
        <v>7448.22</v>
      </c>
    </row>
    <row r="780" spans="1:4">
      <c r="A780" s="261">
        <v>705275</v>
      </c>
      <c r="B780" s="265" t="s">
        <v>12077</v>
      </c>
      <c r="C780" s="261" t="s">
        <v>6</v>
      </c>
      <c r="D780" s="266">
        <v>5665.62</v>
      </c>
    </row>
    <row r="781" spans="1:4">
      <c r="A781" s="261">
        <v>705274</v>
      </c>
      <c r="B781" s="265" t="s">
        <v>12078</v>
      </c>
      <c r="C781" s="261" t="s">
        <v>6</v>
      </c>
      <c r="D781" s="266">
        <v>5349.27</v>
      </c>
    </row>
    <row r="782" spans="1:4">
      <c r="A782" s="261">
        <v>705277</v>
      </c>
      <c r="B782" s="265" t="s">
        <v>12079</v>
      </c>
      <c r="C782" s="261" t="s">
        <v>6</v>
      </c>
      <c r="D782" s="266">
        <v>6340.95</v>
      </c>
    </row>
    <row r="783" spans="1:4">
      <c r="A783" s="261">
        <v>705276</v>
      </c>
      <c r="B783" s="265" t="s">
        <v>12080</v>
      </c>
      <c r="C783" s="261" t="s">
        <v>6</v>
      </c>
      <c r="D783" s="266">
        <v>5928.55</v>
      </c>
    </row>
    <row r="784" spans="1:4">
      <c r="A784" s="261">
        <v>705279</v>
      </c>
      <c r="B784" s="265" t="s">
        <v>12081</v>
      </c>
      <c r="C784" s="261" t="s">
        <v>6</v>
      </c>
      <c r="D784" s="266">
        <v>7225.31</v>
      </c>
    </row>
    <row r="785" spans="1:4">
      <c r="A785" s="261">
        <v>705278</v>
      </c>
      <c r="B785" s="265" t="s">
        <v>12082</v>
      </c>
      <c r="C785" s="261" t="s">
        <v>6</v>
      </c>
      <c r="D785" s="266">
        <v>6812.91</v>
      </c>
    </row>
    <row r="786" spans="1:4">
      <c r="A786" s="261">
        <v>705285</v>
      </c>
      <c r="B786" s="265" t="s">
        <v>12083</v>
      </c>
      <c r="C786" s="261" t="s">
        <v>6</v>
      </c>
      <c r="D786" s="266">
        <v>7301.45</v>
      </c>
    </row>
    <row r="787" spans="1:4">
      <c r="A787" s="261">
        <v>705284</v>
      </c>
      <c r="B787" s="265" t="s">
        <v>12084</v>
      </c>
      <c r="C787" s="261" t="s">
        <v>6</v>
      </c>
      <c r="D787" s="266">
        <v>6903.82</v>
      </c>
    </row>
    <row r="788" spans="1:4">
      <c r="A788" s="261">
        <v>705287</v>
      </c>
      <c r="B788" s="265" t="s">
        <v>12085</v>
      </c>
      <c r="C788" s="261" t="s">
        <v>6</v>
      </c>
      <c r="D788" s="266">
        <v>6666.29</v>
      </c>
    </row>
    <row r="789" spans="1:4">
      <c r="A789" s="261">
        <v>705286</v>
      </c>
      <c r="B789" s="265" t="s">
        <v>12086</v>
      </c>
      <c r="C789" s="261" t="s">
        <v>6</v>
      </c>
      <c r="D789" s="266">
        <v>6268.65</v>
      </c>
    </row>
    <row r="790" spans="1:4">
      <c r="A790" s="261">
        <v>705295</v>
      </c>
      <c r="B790" s="265" t="s">
        <v>12087</v>
      </c>
      <c r="C790" s="261" t="s">
        <v>6</v>
      </c>
      <c r="D790" s="266">
        <v>10182.620000000001</v>
      </c>
    </row>
    <row r="791" spans="1:4">
      <c r="A791" s="261">
        <v>705294</v>
      </c>
      <c r="B791" s="265" t="s">
        <v>12088</v>
      </c>
      <c r="C791" s="261" t="s">
        <v>6</v>
      </c>
      <c r="D791" s="266">
        <v>9571.82</v>
      </c>
    </row>
    <row r="792" spans="1:4">
      <c r="A792" s="261">
        <v>705297</v>
      </c>
      <c r="B792" s="265" t="s">
        <v>12089</v>
      </c>
      <c r="C792" s="261" t="s">
        <v>6</v>
      </c>
      <c r="D792" s="266">
        <v>11014.52</v>
      </c>
    </row>
    <row r="793" spans="1:4">
      <c r="A793" s="261">
        <v>705296</v>
      </c>
      <c r="B793" s="265" t="s">
        <v>12090</v>
      </c>
      <c r="C793" s="261" t="s">
        <v>6</v>
      </c>
      <c r="D793" s="266">
        <v>10403.719999999999</v>
      </c>
    </row>
    <row r="794" spans="1:4">
      <c r="A794" s="261">
        <v>705289</v>
      </c>
      <c r="B794" s="265" t="s">
        <v>12091</v>
      </c>
      <c r="C794" s="261" t="s">
        <v>6</v>
      </c>
      <c r="D794" s="266">
        <v>7499.12</v>
      </c>
    </row>
    <row r="795" spans="1:4">
      <c r="A795" s="261">
        <v>705288</v>
      </c>
      <c r="B795" s="265" t="s">
        <v>12092</v>
      </c>
      <c r="C795" s="261" t="s">
        <v>6</v>
      </c>
      <c r="D795" s="266">
        <v>6996.99</v>
      </c>
    </row>
    <row r="796" spans="1:4">
      <c r="A796" s="261">
        <v>705291</v>
      </c>
      <c r="B796" s="265" t="s">
        <v>12093</v>
      </c>
      <c r="C796" s="261" t="s">
        <v>6</v>
      </c>
      <c r="D796" s="266">
        <v>8563.64</v>
      </c>
    </row>
    <row r="797" spans="1:4">
      <c r="A797" s="261">
        <v>705290</v>
      </c>
      <c r="B797" s="265" t="s">
        <v>12094</v>
      </c>
      <c r="C797" s="261" t="s">
        <v>6</v>
      </c>
      <c r="D797" s="266">
        <v>8061.51</v>
      </c>
    </row>
    <row r="798" spans="1:4">
      <c r="A798" s="261">
        <v>705293</v>
      </c>
      <c r="B798" s="265" t="s">
        <v>12095</v>
      </c>
      <c r="C798" s="261" t="s">
        <v>6</v>
      </c>
      <c r="D798" s="266">
        <v>9204.2900000000009</v>
      </c>
    </row>
    <row r="799" spans="1:4">
      <c r="A799" s="261">
        <v>705292</v>
      </c>
      <c r="B799" s="265" t="s">
        <v>12096</v>
      </c>
      <c r="C799" s="261" t="s">
        <v>6</v>
      </c>
      <c r="D799" s="266">
        <v>8593.49</v>
      </c>
    </row>
    <row r="800" spans="1:4">
      <c r="A800" s="261">
        <v>705299</v>
      </c>
      <c r="B800" s="265" t="s">
        <v>12097</v>
      </c>
      <c r="C800" s="261" t="s">
        <v>6</v>
      </c>
      <c r="D800" s="266">
        <v>9344.9699999999993</v>
      </c>
    </row>
    <row r="801" spans="1:4">
      <c r="A801" s="261">
        <v>705298</v>
      </c>
      <c r="B801" s="265" t="s">
        <v>12098</v>
      </c>
      <c r="C801" s="261" t="s">
        <v>6</v>
      </c>
      <c r="D801" s="266">
        <v>8753.11</v>
      </c>
    </row>
    <row r="802" spans="1:4">
      <c r="A802" s="261">
        <v>705301</v>
      </c>
      <c r="B802" s="265" t="s">
        <v>12099</v>
      </c>
      <c r="C802" s="261" t="s">
        <v>6</v>
      </c>
      <c r="D802" s="266">
        <v>8739.89</v>
      </c>
    </row>
    <row r="803" spans="1:4">
      <c r="A803" s="261">
        <v>705300</v>
      </c>
      <c r="B803" s="265" t="s">
        <v>12100</v>
      </c>
      <c r="C803" s="261" t="s">
        <v>6</v>
      </c>
      <c r="D803" s="266">
        <v>8148.03</v>
      </c>
    </row>
    <row r="804" spans="1:4">
      <c r="A804" s="261">
        <v>705309</v>
      </c>
      <c r="B804" s="265" t="s">
        <v>12101</v>
      </c>
      <c r="C804" s="261" t="s">
        <v>6</v>
      </c>
      <c r="D804" s="266">
        <v>14106.8</v>
      </c>
    </row>
    <row r="805" spans="1:4">
      <c r="A805" s="261">
        <v>705308</v>
      </c>
      <c r="B805" s="265" t="s">
        <v>12102</v>
      </c>
      <c r="C805" s="261" t="s">
        <v>6</v>
      </c>
      <c r="D805" s="266">
        <v>13224.7</v>
      </c>
    </row>
    <row r="806" spans="1:4">
      <c r="A806" s="261">
        <v>705311</v>
      </c>
      <c r="B806" s="265" t="s">
        <v>12103</v>
      </c>
      <c r="C806" s="261" t="s">
        <v>6</v>
      </c>
      <c r="D806" s="266">
        <v>14011.74</v>
      </c>
    </row>
    <row r="807" spans="1:4">
      <c r="A807" s="261">
        <v>705310</v>
      </c>
      <c r="B807" s="265" t="s">
        <v>12104</v>
      </c>
      <c r="C807" s="261" t="s">
        <v>6</v>
      </c>
      <c r="D807" s="266">
        <v>13129.63</v>
      </c>
    </row>
    <row r="808" spans="1:4">
      <c r="A808" s="261">
        <v>705303</v>
      </c>
      <c r="B808" s="265" t="s">
        <v>12105</v>
      </c>
      <c r="C808" s="261" t="s">
        <v>6</v>
      </c>
      <c r="D808" s="266">
        <v>9361.06</v>
      </c>
    </row>
    <row r="809" spans="1:4">
      <c r="A809" s="261">
        <v>705302</v>
      </c>
      <c r="B809" s="265" t="s">
        <v>12106</v>
      </c>
      <c r="C809" s="261" t="s">
        <v>6</v>
      </c>
      <c r="D809" s="266">
        <v>8641.52</v>
      </c>
    </row>
    <row r="810" spans="1:4">
      <c r="A810" s="261">
        <v>705305</v>
      </c>
      <c r="B810" s="265" t="s">
        <v>12107</v>
      </c>
      <c r="C810" s="261" t="s">
        <v>6</v>
      </c>
      <c r="D810" s="266">
        <v>11459.3</v>
      </c>
    </row>
    <row r="811" spans="1:4">
      <c r="A811" s="261">
        <v>705304</v>
      </c>
      <c r="B811" s="265" t="s">
        <v>12108</v>
      </c>
      <c r="C811" s="261" t="s">
        <v>6</v>
      </c>
      <c r="D811" s="266">
        <v>10739.76</v>
      </c>
    </row>
    <row r="812" spans="1:4">
      <c r="A812" s="261">
        <v>705307</v>
      </c>
      <c r="B812" s="265" t="s">
        <v>12109</v>
      </c>
      <c r="C812" s="261" t="s">
        <v>6</v>
      </c>
      <c r="D812" s="266">
        <v>12595.4</v>
      </c>
    </row>
    <row r="813" spans="1:4">
      <c r="A813" s="261">
        <v>705306</v>
      </c>
      <c r="B813" s="265" t="s">
        <v>12110</v>
      </c>
      <c r="C813" s="261" t="s">
        <v>6</v>
      </c>
      <c r="D813" s="266">
        <v>11713.3</v>
      </c>
    </row>
    <row r="814" spans="1:4">
      <c r="A814" s="261">
        <v>705169</v>
      </c>
      <c r="B814" s="265" t="s">
        <v>12111</v>
      </c>
      <c r="C814" s="261" t="s">
        <v>6</v>
      </c>
      <c r="D814" s="266">
        <v>2369.1</v>
      </c>
    </row>
    <row r="815" spans="1:4">
      <c r="A815" s="261">
        <v>705168</v>
      </c>
      <c r="B815" s="265" t="s">
        <v>12112</v>
      </c>
      <c r="C815" s="261" t="s">
        <v>6</v>
      </c>
      <c r="D815" s="266">
        <v>2232.08</v>
      </c>
    </row>
    <row r="816" spans="1:4">
      <c r="A816" s="261">
        <v>705171</v>
      </c>
      <c r="B816" s="265" t="s">
        <v>12113</v>
      </c>
      <c r="C816" s="261" t="s">
        <v>6</v>
      </c>
      <c r="D816" s="266">
        <v>2090.23</v>
      </c>
    </row>
    <row r="817" spans="1:4">
      <c r="A817" s="261">
        <v>705170</v>
      </c>
      <c r="B817" s="265" t="s">
        <v>12114</v>
      </c>
      <c r="C817" s="261" t="s">
        <v>6</v>
      </c>
      <c r="D817" s="266">
        <v>1953.21</v>
      </c>
    </row>
    <row r="818" spans="1:4">
      <c r="A818" s="261">
        <v>705179</v>
      </c>
      <c r="B818" s="265" t="s">
        <v>12115</v>
      </c>
      <c r="C818" s="261" t="s">
        <v>6</v>
      </c>
      <c r="D818" s="266">
        <v>2972.6</v>
      </c>
    </row>
    <row r="819" spans="1:4">
      <c r="A819" s="261">
        <v>705178</v>
      </c>
      <c r="B819" s="265" t="s">
        <v>12116</v>
      </c>
      <c r="C819" s="261" t="s">
        <v>6</v>
      </c>
      <c r="D819" s="266">
        <v>2792.33</v>
      </c>
    </row>
    <row r="820" spans="1:4">
      <c r="A820" s="261">
        <v>705181</v>
      </c>
      <c r="B820" s="265" t="s">
        <v>12117</v>
      </c>
      <c r="C820" s="261" t="s">
        <v>6</v>
      </c>
      <c r="D820" s="266">
        <v>3109.47</v>
      </c>
    </row>
    <row r="821" spans="1:4">
      <c r="A821" s="261">
        <v>705180</v>
      </c>
      <c r="B821" s="265" t="s">
        <v>12118</v>
      </c>
      <c r="C821" s="261" t="s">
        <v>6</v>
      </c>
      <c r="D821" s="266">
        <v>2929.2</v>
      </c>
    </row>
    <row r="822" spans="1:4">
      <c r="A822" s="261">
        <v>705173</v>
      </c>
      <c r="B822" s="265" t="s">
        <v>12119</v>
      </c>
      <c r="C822" s="261" t="s">
        <v>6</v>
      </c>
      <c r="D822" s="266">
        <v>2284.7199999999998</v>
      </c>
    </row>
    <row r="823" spans="1:4">
      <c r="A823" s="261">
        <v>705172</v>
      </c>
      <c r="B823" s="265" t="s">
        <v>12120</v>
      </c>
      <c r="C823" s="261" t="s">
        <v>6</v>
      </c>
      <c r="D823" s="266">
        <v>2147.6999999999998</v>
      </c>
    </row>
    <row r="824" spans="1:4">
      <c r="A824" s="261">
        <v>705175</v>
      </c>
      <c r="B824" s="265" t="s">
        <v>12121</v>
      </c>
      <c r="C824" s="261" t="s">
        <v>6</v>
      </c>
      <c r="D824" s="266">
        <v>2552.63</v>
      </c>
    </row>
    <row r="825" spans="1:4">
      <c r="A825" s="261">
        <v>705174</v>
      </c>
      <c r="B825" s="265" t="s">
        <v>12122</v>
      </c>
      <c r="C825" s="261" t="s">
        <v>6</v>
      </c>
      <c r="D825" s="266">
        <v>2415.61</v>
      </c>
    </row>
    <row r="826" spans="1:4">
      <c r="A826" s="261">
        <v>705177</v>
      </c>
      <c r="B826" s="265" t="s">
        <v>12123</v>
      </c>
      <c r="C826" s="261" t="s">
        <v>6</v>
      </c>
      <c r="D826" s="266">
        <v>2859.11</v>
      </c>
    </row>
    <row r="827" spans="1:4">
      <c r="A827" s="261">
        <v>705176</v>
      </c>
      <c r="B827" s="265" t="s">
        <v>12124</v>
      </c>
      <c r="C827" s="261" t="s">
        <v>6</v>
      </c>
      <c r="D827" s="266">
        <v>2678.84</v>
      </c>
    </row>
    <row r="828" spans="1:4">
      <c r="A828" s="261">
        <v>705183</v>
      </c>
      <c r="B828" s="265" t="s">
        <v>12125</v>
      </c>
      <c r="C828" s="261" t="s">
        <v>6</v>
      </c>
      <c r="D828" s="266">
        <v>3314.19</v>
      </c>
    </row>
    <row r="829" spans="1:4">
      <c r="A829" s="261">
        <v>705182</v>
      </c>
      <c r="B829" s="265" t="s">
        <v>12126</v>
      </c>
      <c r="C829" s="261" t="s">
        <v>6</v>
      </c>
      <c r="D829" s="266">
        <v>3138.15</v>
      </c>
    </row>
    <row r="830" spans="1:4">
      <c r="A830" s="261">
        <v>705185</v>
      </c>
      <c r="B830" s="265" t="s">
        <v>12127</v>
      </c>
      <c r="C830" s="261" t="s">
        <v>6</v>
      </c>
      <c r="D830" s="266">
        <v>2990.96</v>
      </c>
    </row>
    <row r="831" spans="1:4">
      <c r="A831" s="261">
        <v>705184</v>
      </c>
      <c r="B831" s="265" t="s">
        <v>12128</v>
      </c>
      <c r="C831" s="261" t="s">
        <v>6</v>
      </c>
      <c r="D831" s="266">
        <v>2814.92</v>
      </c>
    </row>
    <row r="832" spans="1:4">
      <c r="A832" s="261">
        <v>705193</v>
      </c>
      <c r="B832" s="265" t="s">
        <v>12129</v>
      </c>
      <c r="C832" s="261" t="s">
        <v>6</v>
      </c>
      <c r="D832" s="266">
        <v>4523.17</v>
      </c>
    </row>
    <row r="833" spans="1:4">
      <c r="A833" s="261">
        <v>705192</v>
      </c>
      <c r="B833" s="265" t="s">
        <v>12130</v>
      </c>
      <c r="C833" s="261" t="s">
        <v>6</v>
      </c>
      <c r="D833" s="266">
        <v>4240.57</v>
      </c>
    </row>
    <row r="834" spans="1:4">
      <c r="A834" s="261">
        <v>705195</v>
      </c>
      <c r="B834" s="265" t="s">
        <v>12131</v>
      </c>
      <c r="C834" s="261" t="s">
        <v>6</v>
      </c>
      <c r="D834" s="266">
        <v>4851.2700000000004</v>
      </c>
    </row>
    <row r="835" spans="1:4">
      <c r="A835" s="261">
        <v>705194</v>
      </c>
      <c r="B835" s="265" t="s">
        <v>12132</v>
      </c>
      <c r="C835" s="261" t="s">
        <v>6</v>
      </c>
      <c r="D835" s="266">
        <v>4568.68</v>
      </c>
    </row>
    <row r="836" spans="1:4">
      <c r="A836" s="261">
        <v>705187</v>
      </c>
      <c r="B836" s="265" t="s">
        <v>12133</v>
      </c>
      <c r="C836" s="261" t="s">
        <v>6</v>
      </c>
      <c r="D836" s="266">
        <v>3377.77</v>
      </c>
    </row>
    <row r="837" spans="1:4">
      <c r="A837" s="261">
        <v>705186</v>
      </c>
      <c r="B837" s="265" t="s">
        <v>12134</v>
      </c>
      <c r="C837" s="261" t="s">
        <v>6</v>
      </c>
      <c r="D837" s="266">
        <v>3147.92</v>
      </c>
    </row>
    <row r="838" spans="1:4">
      <c r="A838" s="261">
        <v>705189</v>
      </c>
      <c r="B838" s="265" t="s">
        <v>12135</v>
      </c>
      <c r="C838" s="261" t="s">
        <v>6</v>
      </c>
      <c r="D838" s="266">
        <v>3804.06</v>
      </c>
    </row>
    <row r="839" spans="1:4">
      <c r="A839" s="261">
        <v>705188</v>
      </c>
      <c r="B839" s="265" t="s">
        <v>12136</v>
      </c>
      <c r="C839" s="261" t="s">
        <v>6</v>
      </c>
      <c r="D839" s="266">
        <v>3574.22</v>
      </c>
    </row>
    <row r="840" spans="1:4">
      <c r="A840" s="261">
        <v>705191</v>
      </c>
      <c r="B840" s="265" t="s">
        <v>12137</v>
      </c>
      <c r="C840" s="261" t="s">
        <v>6</v>
      </c>
      <c r="D840" s="266">
        <v>4151.1899999999996</v>
      </c>
    </row>
    <row r="841" spans="1:4">
      <c r="A841" s="261">
        <v>705190</v>
      </c>
      <c r="B841" s="265" t="s">
        <v>12138</v>
      </c>
      <c r="C841" s="261" t="s">
        <v>6</v>
      </c>
      <c r="D841" s="266">
        <v>3868.59</v>
      </c>
    </row>
    <row r="842" spans="1:4">
      <c r="A842" s="261">
        <v>705197</v>
      </c>
      <c r="B842" s="265" t="s">
        <v>12139</v>
      </c>
      <c r="C842" s="261" t="s">
        <v>6</v>
      </c>
      <c r="D842" s="266">
        <v>4497.88</v>
      </c>
    </row>
    <row r="843" spans="1:4">
      <c r="A843" s="261">
        <v>705196</v>
      </c>
      <c r="B843" s="265" t="s">
        <v>12140</v>
      </c>
      <c r="C843" s="261" t="s">
        <v>6</v>
      </c>
      <c r="D843" s="266">
        <v>4217.32</v>
      </c>
    </row>
    <row r="844" spans="1:4">
      <c r="A844" s="261">
        <v>705199</v>
      </c>
      <c r="B844" s="265" t="s">
        <v>12141</v>
      </c>
      <c r="C844" s="261" t="s">
        <v>6</v>
      </c>
      <c r="D844" s="266">
        <v>4253.3599999999997</v>
      </c>
    </row>
    <row r="845" spans="1:4">
      <c r="A845" s="261">
        <v>705198</v>
      </c>
      <c r="B845" s="265" t="s">
        <v>12142</v>
      </c>
      <c r="C845" s="261" t="s">
        <v>6</v>
      </c>
      <c r="D845" s="266">
        <v>3972.8</v>
      </c>
    </row>
    <row r="846" spans="1:4">
      <c r="A846" s="261">
        <v>705207</v>
      </c>
      <c r="B846" s="265" t="s">
        <v>12143</v>
      </c>
      <c r="C846" s="261" t="s">
        <v>6</v>
      </c>
      <c r="D846" s="266">
        <v>6387.21</v>
      </c>
    </row>
    <row r="847" spans="1:4">
      <c r="A847" s="261">
        <v>705206</v>
      </c>
      <c r="B847" s="265" t="s">
        <v>12144</v>
      </c>
      <c r="C847" s="261" t="s">
        <v>6</v>
      </c>
      <c r="D847" s="266">
        <v>5970.52</v>
      </c>
    </row>
    <row r="848" spans="1:4">
      <c r="A848" s="261">
        <v>705209</v>
      </c>
      <c r="B848" s="265" t="s">
        <v>12145</v>
      </c>
      <c r="C848" s="261" t="s">
        <v>6</v>
      </c>
      <c r="D848" s="266">
        <v>7236.83</v>
      </c>
    </row>
    <row r="849" spans="1:4">
      <c r="A849" s="261">
        <v>705208</v>
      </c>
      <c r="B849" s="265" t="s">
        <v>12146</v>
      </c>
      <c r="C849" s="261" t="s">
        <v>6</v>
      </c>
      <c r="D849" s="266">
        <v>6751.56</v>
      </c>
    </row>
    <row r="850" spans="1:4">
      <c r="A850" s="261">
        <v>705201</v>
      </c>
      <c r="B850" s="265" t="s">
        <v>12147</v>
      </c>
      <c r="C850" s="261" t="s">
        <v>6</v>
      </c>
      <c r="D850" s="266">
        <v>4896.03</v>
      </c>
    </row>
    <row r="851" spans="1:4">
      <c r="A851" s="261">
        <v>705200</v>
      </c>
      <c r="B851" s="265" t="s">
        <v>12148</v>
      </c>
      <c r="C851" s="261" t="s">
        <v>6</v>
      </c>
      <c r="D851" s="266">
        <v>4615.47</v>
      </c>
    </row>
    <row r="852" spans="1:4">
      <c r="A852" s="261">
        <v>705203</v>
      </c>
      <c r="B852" s="265" t="s">
        <v>12149</v>
      </c>
      <c r="C852" s="261" t="s">
        <v>6</v>
      </c>
      <c r="D852" s="266">
        <v>5360.88</v>
      </c>
    </row>
    <row r="853" spans="1:4">
      <c r="A853" s="261">
        <v>705202</v>
      </c>
      <c r="B853" s="265" t="s">
        <v>12150</v>
      </c>
      <c r="C853" s="261" t="s">
        <v>6</v>
      </c>
      <c r="D853" s="266">
        <v>5017.01</v>
      </c>
    </row>
    <row r="854" spans="1:4">
      <c r="A854" s="261">
        <v>705205</v>
      </c>
      <c r="B854" s="265" t="s">
        <v>12151</v>
      </c>
      <c r="C854" s="261" t="s">
        <v>6</v>
      </c>
      <c r="D854" s="266">
        <v>5875.93</v>
      </c>
    </row>
    <row r="855" spans="1:4">
      <c r="A855" s="261">
        <v>705204</v>
      </c>
      <c r="B855" s="265" t="s">
        <v>12152</v>
      </c>
      <c r="C855" s="261" t="s">
        <v>6</v>
      </c>
      <c r="D855" s="266">
        <v>5532.06</v>
      </c>
    </row>
    <row r="856" spans="1:4">
      <c r="A856" s="261">
        <v>705211</v>
      </c>
      <c r="B856" s="265" t="s">
        <v>12153</v>
      </c>
      <c r="C856" s="261" t="s">
        <v>6</v>
      </c>
      <c r="D856" s="266">
        <v>5719.28</v>
      </c>
    </row>
    <row r="857" spans="1:4">
      <c r="A857" s="261">
        <v>705210</v>
      </c>
      <c r="B857" s="265" t="s">
        <v>12154</v>
      </c>
      <c r="C857" s="261" t="s">
        <v>6</v>
      </c>
      <c r="D857" s="266">
        <v>5315.27</v>
      </c>
    </row>
    <row r="858" spans="1:4">
      <c r="A858" s="261">
        <v>705213</v>
      </c>
      <c r="B858" s="265" t="s">
        <v>12155</v>
      </c>
      <c r="C858" s="261" t="s">
        <v>6</v>
      </c>
      <c r="D858" s="266">
        <v>5645.72</v>
      </c>
    </row>
    <row r="859" spans="1:4">
      <c r="A859" s="261">
        <v>705212</v>
      </c>
      <c r="B859" s="265" t="s">
        <v>12156</v>
      </c>
      <c r="C859" s="261" t="s">
        <v>6</v>
      </c>
      <c r="D859" s="266">
        <v>5241.71</v>
      </c>
    </row>
    <row r="860" spans="1:4">
      <c r="A860" s="261">
        <v>705221</v>
      </c>
      <c r="B860" s="265" t="s">
        <v>12157</v>
      </c>
      <c r="C860" s="261" t="s">
        <v>6</v>
      </c>
      <c r="D860" s="266">
        <v>8780.2000000000007</v>
      </c>
    </row>
    <row r="861" spans="1:4">
      <c r="A861" s="261">
        <v>705220</v>
      </c>
      <c r="B861" s="265" t="s">
        <v>12158</v>
      </c>
      <c r="C861" s="261" t="s">
        <v>6</v>
      </c>
      <c r="D861" s="266">
        <v>8213.67</v>
      </c>
    </row>
    <row r="862" spans="1:4">
      <c r="A862" s="261">
        <v>705223</v>
      </c>
      <c r="B862" s="265" t="s">
        <v>12159</v>
      </c>
      <c r="C862" s="261" t="s">
        <v>6</v>
      </c>
      <c r="D862" s="266">
        <v>9465.59</v>
      </c>
    </row>
    <row r="863" spans="1:4">
      <c r="A863" s="261">
        <v>705222</v>
      </c>
      <c r="B863" s="265" t="s">
        <v>12160</v>
      </c>
      <c r="C863" s="261" t="s">
        <v>6</v>
      </c>
      <c r="D863" s="266">
        <v>8813.57</v>
      </c>
    </row>
    <row r="864" spans="1:4">
      <c r="A864" s="261">
        <v>705215</v>
      </c>
      <c r="B864" s="265" t="s">
        <v>12161</v>
      </c>
      <c r="C864" s="261" t="s">
        <v>6</v>
      </c>
      <c r="D864" s="266">
        <v>6675.23</v>
      </c>
    </row>
    <row r="865" spans="1:4">
      <c r="A865" s="261">
        <v>705214</v>
      </c>
      <c r="B865" s="265" t="s">
        <v>12162</v>
      </c>
      <c r="C865" s="261" t="s">
        <v>6</v>
      </c>
      <c r="D865" s="266">
        <v>6186.79</v>
      </c>
    </row>
    <row r="866" spans="1:4">
      <c r="A866" s="261">
        <v>705217</v>
      </c>
      <c r="B866" s="265" t="s">
        <v>12163</v>
      </c>
      <c r="C866" s="261" t="s">
        <v>6</v>
      </c>
      <c r="D866" s="266">
        <v>7435.63</v>
      </c>
    </row>
    <row r="867" spans="1:4">
      <c r="A867" s="261">
        <v>705216</v>
      </c>
      <c r="B867" s="265" t="s">
        <v>12164</v>
      </c>
      <c r="C867" s="261" t="s">
        <v>6</v>
      </c>
      <c r="D867" s="266">
        <v>6947.19</v>
      </c>
    </row>
    <row r="868" spans="1:4">
      <c r="A868" s="261">
        <v>705219</v>
      </c>
      <c r="B868" s="265" t="s">
        <v>12165</v>
      </c>
      <c r="C868" s="261" t="s">
        <v>6</v>
      </c>
      <c r="D868" s="266">
        <v>8076.81</v>
      </c>
    </row>
    <row r="869" spans="1:4">
      <c r="A869" s="261">
        <v>705218</v>
      </c>
      <c r="B869" s="265" t="s">
        <v>12166</v>
      </c>
      <c r="C869" s="261" t="s">
        <v>6</v>
      </c>
      <c r="D869" s="266">
        <v>7510.28</v>
      </c>
    </row>
    <row r="870" spans="1:4">
      <c r="A870" s="261">
        <v>705346</v>
      </c>
      <c r="B870" s="265" t="s">
        <v>12167</v>
      </c>
      <c r="C870" s="261" t="s">
        <v>6</v>
      </c>
      <c r="D870" s="266">
        <v>5411.42</v>
      </c>
    </row>
    <row r="871" spans="1:4">
      <c r="A871" s="261">
        <v>705345</v>
      </c>
      <c r="B871" s="265" t="s">
        <v>12168</v>
      </c>
      <c r="C871" s="261" t="s">
        <v>6</v>
      </c>
      <c r="D871" s="266">
        <v>5059.18</v>
      </c>
    </row>
    <row r="872" spans="1:4">
      <c r="A872" s="261">
        <v>705348</v>
      </c>
      <c r="B872" s="265" t="s">
        <v>12169</v>
      </c>
      <c r="C872" s="261" t="s">
        <v>6</v>
      </c>
      <c r="D872" s="266">
        <v>4846.16</v>
      </c>
    </row>
    <row r="873" spans="1:4">
      <c r="A873" s="261">
        <v>705347</v>
      </c>
      <c r="B873" s="265" t="s">
        <v>12170</v>
      </c>
      <c r="C873" s="261" t="s">
        <v>6</v>
      </c>
      <c r="D873" s="266">
        <v>4493.92</v>
      </c>
    </row>
    <row r="874" spans="1:4">
      <c r="A874" s="261">
        <v>705356</v>
      </c>
      <c r="B874" s="265" t="s">
        <v>12171</v>
      </c>
      <c r="C874" s="261" t="s">
        <v>6</v>
      </c>
      <c r="D874" s="266">
        <v>7199.85</v>
      </c>
    </row>
    <row r="875" spans="1:4">
      <c r="A875" s="261">
        <v>705355</v>
      </c>
      <c r="B875" s="265" t="s">
        <v>12172</v>
      </c>
      <c r="C875" s="261" t="s">
        <v>6</v>
      </c>
      <c r="D875" s="266">
        <v>6732.6</v>
      </c>
    </row>
    <row r="876" spans="1:4">
      <c r="A876" s="261">
        <v>705358</v>
      </c>
      <c r="B876" s="265" t="s">
        <v>12173</v>
      </c>
      <c r="C876" s="261" t="s">
        <v>6</v>
      </c>
      <c r="D876" s="266">
        <v>7314.45</v>
      </c>
    </row>
    <row r="877" spans="1:4">
      <c r="A877" s="261">
        <v>705357</v>
      </c>
      <c r="B877" s="265" t="s">
        <v>12174</v>
      </c>
      <c r="C877" s="261" t="s">
        <v>6</v>
      </c>
      <c r="D877" s="266">
        <v>6847.2</v>
      </c>
    </row>
    <row r="878" spans="1:4">
      <c r="A878" s="261">
        <v>705350</v>
      </c>
      <c r="B878" s="265" t="s">
        <v>12175</v>
      </c>
      <c r="C878" s="261" t="s">
        <v>6</v>
      </c>
      <c r="D878" s="266">
        <v>5308.16</v>
      </c>
    </row>
    <row r="879" spans="1:4">
      <c r="A879" s="261">
        <v>705349</v>
      </c>
      <c r="B879" s="265" t="s">
        <v>12176</v>
      </c>
      <c r="C879" s="261" t="s">
        <v>6</v>
      </c>
      <c r="D879" s="266">
        <v>4955.92</v>
      </c>
    </row>
    <row r="880" spans="1:4">
      <c r="A880" s="261">
        <v>705352</v>
      </c>
      <c r="B880" s="265" t="s">
        <v>12177</v>
      </c>
      <c r="C880" s="261" t="s">
        <v>6</v>
      </c>
      <c r="D880" s="266">
        <v>5702.76</v>
      </c>
    </row>
    <row r="881" spans="1:4">
      <c r="A881" s="261">
        <v>705351</v>
      </c>
      <c r="B881" s="265" t="s">
        <v>12178</v>
      </c>
      <c r="C881" s="261" t="s">
        <v>6</v>
      </c>
      <c r="D881" s="266">
        <v>5350.52</v>
      </c>
    </row>
    <row r="882" spans="1:4">
      <c r="A882" s="261">
        <v>705354</v>
      </c>
      <c r="B882" s="265" t="s">
        <v>12179</v>
      </c>
      <c r="C882" s="261" t="s">
        <v>6</v>
      </c>
      <c r="D882" s="266">
        <v>6299.24</v>
      </c>
    </row>
    <row r="883" spans="1:4">
      <c r="A883" s="261">
        <v>705353</v>
      </c>
      <c r="B883" s="265" t="s">
        <v>12180</v>
      </c>
      <c r="C883" s="261" t="s">
        <v>6</v>
      </c>
      <c r="D883" s="266">
        <v>5947</v>
      </c>
    </row>
    <row r="884" spans="1:4">
      <c r="A884" s="261">
        <v>705360</v>
      </c>
      <c r="B884" s="265" t="s">
        <v>12181</v>
      </c>
      <c r="C884" s="261" t="s">
        <v>6</v>
      </c>
      <c r="D884" s="266">
        <v>7799.7</v>
      </c>
    </row>
    <row r="885" spans="1:4">
      <c r="A885" s="261">
        <v>705359</v>
      </c>
      <c r="B885" s="265" t="s">
        <v>12182</v>
      </c>
      <c r="C885" s="261" t="s">
        <v>6</v>
      </c>
      <c r="D885" s="266">
        <v>7345.11</v>
      </c>
    </row>
    <row r="886" spans="1:4">
      <c r="A886" s="261">
        <v>705362</v>
      </c>
      <c r="B886" s="265" t="s">
        <v>12183</v>
      </c>
      <c r="C886" s="261" t="s">
        <v>6</v>
      </c>
      <c r="D886" s="266">
        <v>7070.29</v>
      </c>
    </row>
    <row r="887" spans="1:4">
      <c r="A887" s="261">
        <v>705361</v>
      </c>
      <c r="B887" s="265" t="s">
        <v>12184</v>
      </c>
      <c r="C887" s="261" t="s">
        <v>6</v>
      </c>
      <c r="D887" s="266">
        <v>6615.69</v>
      </c>
    </row>
    <row r="888" spans="1:4">
      <c r="A888" s="261">
        <v>705370</v>
      </c>
      <c r="B888" s="265" t="s">
        <v>12185</v>
      </c>
      <c r="C888" s="261" t="s">
        <v>6</v>
      </c>
      <c r="D888" s="266">
        <v>10541.73</v>
      </c>
    </row>
    <row r="889" spans="1:4">
      <c r="A889" s="261">
        <v>705369</v>
      </c>
      <c r="B889" s="265" t="s">
        <v>12186</v>
      </c>
      <c r="C889" s="261" t="s">
        <v>6</v>
      </c>
      <c r="D889" s="266">
        <v>9819.11</v>
      </c>
    </row>
    <row r="890" spans="1:4">
      <c r="A890" s="261">
        <v>705372</v>
      </c>
      <c r="B890" s="265" t="s">
        <v>12187</v>
      </c>
      <c r="C890" s="261" t="s">
        <v>6</v>
      </c>
      <c r="D890" s="266">
        <v>11256.02</v>
      </c>
    </row>
    <row r="891" spans="1:4">
      <c r="A891" s="261">
        <v>705371</v>
      </c>
      <c r="B891" s="265" t="s">
        <v>12188</v>
      </c>
      <c r="C891" s="261" t="s">
        <v>6</v>
      </c>
      <c r="D891" s="266">
        <v>10533.41</v>
      </c>
    </row>
    <row r="892" spans="1:4">
      <c r="A892" s="261">
        <v>705364</v>
      </c>
      <c r="B892" s="265" t="s">
        <v>12189</v>
      </c>
      <c r="C892" s="261" t="s">
        <v>6</v>
      </c>
      <c r="D892" s="266">
        <v>8045.92</v>
      </c>
    </row>
    <row r="893" spans="1:4">
      <c r="A893" s="261">
        <v>705363</v>
      </c>
      <c r="B893" s="265" t="s">
        <v>12190</v>
      </c>
      <c r="C893" s="261" t="s">
        <v>6</v>
      </c>
      <c r="D893" s="266">
        <v>7591.32</v>
      </c>
    </row>
    <row r="894" spans="1:4">
      <c r="A894" s="261">
        <v>705366</v>
      </c>
      <c r="B894" s="265" t="s">
        <v>12191</v>
      </c>
      <c r="C894" s="261" t="s">
        <v>6</v>
      </c>
      <c r="D894" s="266">
        <v>8736.82</v>
      </c>
    </row>
    <row r="895" spans="1:4">
      <c r="A895" s="261">
        <v>705365</v>
      </c>
      <c r="B895" s="265" t="s">
        <v>12192</v>
      </c>
      <c r="C895" s="261" t="s">
        <v>6</v>
      </c>
      <c r="D895" s="266">
        <v>8140.83</v>
      </c>
    </row>
    <row r="896" spans="1:4">
      <c r="A896" s="261">
        <v>705368</v>
      </c>
      <c r="B896" s="265" t="s">
        <v>12193</v>
      </c>
      <c r="C896" s="261" t="s">
        <v>6</v>
      </c>
      <c r="D896" s="266">
        <v>9840.2800000000007</v>
      </c>
    </row>
    <row r="897" spans="1:4">
      <c r="A897" s="261">
        <v>705367</v>
      </c>
      <c r="B897" s="265" t="s">
        <v>12194</v>
      </c>
      <c r="C897" s="261" t="s">
        <v>6</v>
      </c>
      <c r="D897" s="266">
        <v>9244.2900000000009</v>
      </c>
    </row>
    <row r="898" spans="1:4">
      <c r="A898" s="261">
        <v>705374</v>
      </c>
      <c r="B898" s="265" t="s">
        <v>12195</v>
      </c>
      <c r="C898" s="261" t="s">
        <v>6</v>
      </c>
      <c r="D898" s="266">
        <v>10311.66</v>
      </c>
    </row>
    <row r="899" spans="1:4">
      <c r="A899" s="261">
        <v>705373</v>
      </c>
      <c r="B899" s="265" t="s">
        <v>12196</v>
      </c>
      <c r="C899" s="261" t="s">
        <v>6</v>
      </c>
      <c r="D899" s="266">
        <v>9734.57</v>
      </c>
    </row>
    <row r="900" spans="1:4">
      <c r="A900" s="261">
        <v>705376</v>
      </c>
      <c r="B900" s="265" t="s">
        <v>12197</v>
      </c>
      <c r="C900" s="261" t="s">
        <v>6</v>
      </c>
      <c r="D900" s="266">
        <v>9203.74</v>
      </c>
    </row>
    <row r="901" spans="1:4">
      <c r="A901" s="261">
        <v>705375</v>
      </c>
      <c r="B901" s="265" t="s">
        <v>12198</v>
      </c>
      <c r="C901" s="261" t="s">
        <v>6</v>
      </c>
      <c r="D901" s="266">
        <v>8626.64</v>
      </c>
    </row>
    <row r="902" spans="1:4">
      <c r="A902" s="261">
        <v>705384</v>
      </c>
      <c r="B902" s="265" t="s">
        <v>12199</v>
      </c>
      <c r="C902" s="261" t="s">
        <v>6</v>
      </c>
      <c r="D902" s="266">
        <v>13992.5</v>
      </c>
    </row>
    <row r="903" spans="1:4">
      <c r="A903" s="261">
        <v>705383</v>
      </c>
      <c r="B903" s="265" t="s">
        <v>12200</v>
      </c>
      <c r="C903" s="261" t="s">
        <v>6</v>
      </c>
      <c r="D903" s="266">
        <v>13113.59</v>
      </c>
    </row>
    <row r="904" spans="1:4">
      <c r="A904" s="261">
        <v>705386</v>
      </c>
      <c r="B904" s="265" t="s">
        <v>12201</v>
      </c>
      <c r="C904" s="261" t="s">
        <v>6</v>
      </c>
      <c r="D904" s="266">
        <v>15126.61</v>
      </c>
    </row>
    <row r="905" spans="1:4">
      <c r="A905" s="261">
        <v>705385</v>
      </c>
      <c r="B905" s="265" t="s">
        <v>12202</v>
      </c>
      <c r="C905" s="261" t="s">
        <v>6</v>
      </c>
      <c r="D905" s="266">
        <v>14247.71</v>
      </c>
    </row>
    <row r="906" spans="1:4">
      <c r="A906" s="261">
        <v>705378</v>
      </c>
      <c r="B906" s="265" t="s">
        <v>12203</v>
      </c>
      <c r="C906" s="261" t="s">
        <v>6</v>
      </c>
      <c r="D906" s="266">
        <v>10423.17</v>
      </c>
    </row>
    <row r="907" spans="1:4">
      <c r="A907" s="261">
        <v>705377</v>
      </c>
      <c r="B907" s="265" t="s">
        <v>12204</v>
      </c>
      <c r="C907" s="261" t="s">
        <v>6</v>
      </c>
      <c r="D907" s="266">
        <v>9697.2800000000007</v>
      </c>
    </row>
    <row r="908" spans="1:4">
      <c r="A908" s="261">
        <v>705380</v>
      </c>
      <c r="B908" s="265" t="s">
        <v>12205</v>
      </c>
      <c r="C908" s="261" t="s">
        <v>6</v>
      </c>
      <c r="D908" s="266">
        <v>11886.06</v>
      </c>
    </row>
    <row r="909" spans="1:4">
      <c r="A909" s="261">
        <v>705379</v>
      </c>
      <c r="B909" s="265" t="s">
        <v>12206</v>
      </c>
      <c r="C909" s="261" t="s">
        <v>6</v>
      </c>
      <c r="D909" s="266">
        <v>11160.17</v>
      </c>
    </row>
    <row r="910" spans="1:4">
      <c r="A910" s="261">
        <v>705382</v>
      </c>
      <c r="B910" s="265" t="s">
        <v>12207</v>
      </c>
      <c r="C910" s="261" t="s">
        <v>6</v>
      </c>
      <c r="D910" s="266">
        <v>13051.01</v>
      </c>
    </row>
    <row r="911" spans="1:4">
      <c r="A911" s="261">
        <v>705381</v>
      </c>
      <c r="B911" s="265" t="s">
        <v>12208</v>
      </c>
      <c r="C911" s="261" t="s">
        <v>6</v>
      </c>
      <c r="D911" s="266">
        <v>12172.11</v>
      </c>
    </row>
    <row r="912" spans="1:4">
      <c r="A912" s="261">
        <v>705388</v>
      </c>
      <c r="B912" s="265" t="s">
        <v>12209</v>
      </c>
      <c r="C912" s="261" t="s">
        <v>6</v>
      </c>
      <c r="D912" s="266">
        <v>12880.43</v>
      </c>
    </row>
    <row r="913" spans="1:4">
      <c r="A913" s="261">
        <v>705387</v>
      </c>
      <c r="B913" s="265" t="s">
        <v>12210</v>
      </c>
      <c r="C913" s="261" t="s">
        <v>6</v>
      </c>
      <c r="D913" s="266">
        <v>12025.79</v>
      </c>
    </row>
    <row r="914" spans="1:4">
      <c r="A914" s="261">
        <v>705389</v>
      </c>
      <c r="B914" s="265" t="s">
        <v>12211</v>
      </c>
      <c r="C914" s="261" t="s">
        <v>6</v>
      </c>
      <c r="D914" s="266">
        <v>11242.03</v>
      </c>
    </row>
    <row r="915" spans="1:4">
      <c r="A915" s="261">
        <v>705390</v>
      </c>
      <c r="B915" s="265" t="s">
        <v>12212</v>
      </c>
      <c r="C915" s="261" t="s">
        <v>6</v>
      </c>
      <c r="D915" s="266">
        <v>12096.67</v>
      </c>
    </row>
    <row r="916" spans="1:4">
      <c r="A916" s="261">
        <v>705399</v>
      </c>
      <c r="B916" s="265" t="s">
        <v>12213</v>
      </c>
      <c r="C916" s="261" t="s">
        <v>6</v>
      </c>
      <c r="D916" s="266">
        <v>18707.21</v>
      </c>
    </row>
    <row r="917" spans="1:4">
      <c r="A917" s="261">
        <v>705398</v>
      </c>
      <c r="B917" s="265" t="s">
        <v>12214</v>
      </c>
      <c r="C917" s="261" t="s">
        <v>6</v>
      </c>
      <c r="D917" s="266">
        <v>17430.39</v>
      </c>
    </row>
    <row r="918" spans="1:4">
      <c r="A918" s="261">
        <v>705401</v>
      </c>
      <c r="B918" s="265" t="s">
        <v>12215</v>
      </c>
      <c r="C918" s="261" t="s">
        <v>6</v>
      </c>
      <c r="D918" s="266">
        <v>20243.12</v>
      </c>
    </row>
    <row r="919" spans="1:4">
      <c r="A919" s="261">
        <v>705400</v>
      </c>
      <c r="B919" s="265" t="s">
        <v>12216</v>
      </c>
      <c r="C919" s="261" t="s">
        <v>6</v>
      </c>
      <c r="D919" s="266">
        <v>18966.3</v>
      </c>
    </row>
    <row r="920" spans="1:4">
      <c r="A920" s="261">
        <v>705392</v>
      </c>
      <c r="B920" s="265" t="s">
        <v>12217</v>
      </c>
      <c r="C920" s="261" t="s">
        <v>6</v>
      </c>
      <c r="D920" s="266">
        <v>13768.73</v>
      </c>
    </row>
    <row r="921" spans="1:4">
      <c r="A921" s="261">
        <v>705391</v>
      </c>
      <c r="B921" s="265" t="s">
        <v>12218</v>
      </c>
      <c r="C921" s="261" t="s">
        <v>6</v>
      </c>
      <c r="D921" s="266">
        <v>12734.68</v>
      </c>
    </row>
    <row r="922" spans="1:4">
      <c r="A922" s="261">
        <v>705395</v>
      </c>
      <c r="B922" s="265" t="s">
        <v>12219</v>
      </c>
      <c r="C922" s="261" t="s">
        <v>6</v>
      </c>
      <c r="D922" s="266">
        <v>15806.26</v>
      </c>
    </row>
    <row r="923" spans="1:4">
      <c r="A923" s="261">
        <v>705394</v>
      </c>
      <c r="B923" s="265" t="s">
        <v>12220</v>
      </c>
      <c r="C923" s="261" t="s">
        <v>6</v>
      </c>
      <c r="D923" s="266">
        <v>14772.21</v>
      </c>
    </row>
    <row r="924" spans="1:4">
      <c r="A924" s="261">
        <v>705397</v>
      </c>
      <c r="B924" s="265" t="s">
        <v>12221</v>
      </c>
      <c r="C924" s="261" t="s">
        <v>6</v>
      </c>
      <c r="D924" s="266">
        <v>17240.91</v>
      </c>
    </row>
    <row r="925" spans="1:4">
      <c r="A925" s="261">
        <v>705396</v>
      </c>
      <c r="B925" s="265" t="s">
        <v>12222</v>
      </c>
      <c r="C925" s="261" t="s">
        <v>6</v>
      </c>
      <c r="D925" s="266">
        <v>15964.09</v>
      </c>
    </row>
    <row r="926" spans="1:4">
      <c r="A926" s="261">
        <v>804213</v>
      </c>
      <c r="B926" s="265" t="s">
        <v>12223</v>
      </c>
      <c r="C926" s="261" t="s">
        <v>97</v>
      </c>
      <c r="D926" s="266">
        <v>1452.21</v>
      </c>
    </row>
    <row r="927" spans="1:4">
      <c r="A927" s="261">
        <v>804212</v>
      </c>
      <c r="B927" s="265" t="s">
        <v>12224</v>
      </c>
      <c r="C927" s="261" t="s">
        <v>97</v>
      </c>
      <c r="D927" s="266">
        <v>1245.57</v>
      </c>
    </row>
    <row r="928" spans="1:4">
      <c r="A928" s="261">
        <v>804217</v>
      </c>
      <c r="B928" s="265" t="s">
        <v>12225</v>
      </c>
      <c r="C928" s="261" t="s">
        <v>97</v>
      </c>
      <c r="D928" s="266">
        <v>1460.95</v>
      </c>
    </row>
    <row r="929" spans="1:4">
      <c r="A929" s="261">
        <v>804216</v>
      </c>
      <c r="B929" s="265" t="s">
        <v>12226</v>
      </c>
      <c r="C929" s="261" t="s">
        <v>97</v>
      </c>
      <c r="D929" s="266">
        <v>1253.8900000000001</v>
      </c>
    </row>
    <row r="930" spans="1:4">
      <c r="A930" s="261">
        <v>804219</v>
      </c>
      <c r="B930" s="265" t="s">
        <v>12227</v>
      </c>
      <c r="C930" s="261" t="s">
        <v>97</v>
      </c>
      <c r="D930" s="266">
        <v>1472.06</v>
      </c>
    </row>
    <row r="931" spans="1:4">
      <c r="A931" s="261">
        <v>804218</v>
      </c>
      <c r="B931" s="265" t="s">
        <v>12228</v>
      </c>
      <c r="C931" s="261" t="s">
        <v>97</v>
      </c>
      <c r="D931" s="266">
        <v>1264.58</v>
      </c>
    </row>
    <row r="932" spans="1:4">
      <c r="A932" s="261">
        <v>804221</v>
      </c>
      <c r="B932" s="265" t="s">
        <v>12229</v>
      </c>
      <c r="C932" s="261" t="s">
        <v>97</v>
      </c>
      <c r="D932" s="266">
        <v>1489.92</v>
      </c>
    </row>
    <row r="933" spans="1:4">
      <c r="A933" s="261">
        <v>804220</v>
      </c>
      <c r="B933" s="265" t="s">
        <v>12230</v>
      </c>
      <c r="C933" s="261" t="s">
        <v>97</v>
      </c>
      <c r="D933" s="266">
        <v>1281.7</v>
      </c>
    </row>
    <row r="934" spans="1:4">
      <c r="A934" s="261">
        <v>804223</v>
      </c>
      <c r="B934" s="265" t="s">
        <v>12231</v>
      </c>
      <c r="C934" s="261" t="s">
        <v>97</v>
      </c>
      <c r="D934" s="266">
        <v>1513.34</v>
      </c>
    </row>
    <row r="935" spans="1:4">
      <c r="A935" s="261">
        <v>804222</v>
      </c>
      <c r="B935" s="265" t="s">
        <v>12232</v>
      </c>
      <c r="C935" s="261" t="s">
        <v>97</v>
      </c>
      <c r="D935" s="266">
        <v>1304.17</v>
      </c>
    </row>
    <row r="936" spans="1:4">
      <c r="A936" s="261">
        <v>804225</v>
      </c>
      <c r="B936" s="265" t="s">
        <v>12233</v>
      </c>
      <c r="C936" s="261" t="s">
        <v>97</v>
      </c>
      <c r="D936" s="266">
        <v>1544.27</v>
      </c>
    </row>
    <row r="937" spans="1:4">
      <c r="A937" s="261">
        <v>804224</v>
      </c>
      <c r="B937" s="265" t="s">
        <v>12234</v>
      </c>
      <c r="C937" s="261" t="s">
        <v>97</v>
      </c>
      <c r="D937" s="266">
        <v>1334.04</v>
      </c>
    </row>
    <row r="938" spans="1:4">
      <c r="A938" s="261">
        <v>804227</v>
      </c>
      <c r="B938" s="265" t="s">
        <v>12235</v>
      </c>
      <c r="C938" s="261" t="s">
        <v>97</v>
      </c>
      <c r="D938" s="266">
        <v>1586.28</v>
      </c>
    </row>
    <row r="939" spans="1:4">
      <c r="A939" s="261">
        <v>804226</v>
      </c>
      <c r="B939" s="265" t="s">
        <v>12236</v>
      </c>
      <c r="C939" s="261" t="s">
        <v>97</v>
      </c>
      <c r="D939" s="266">
        <v>1374.78</v>
      </c>
    </row>
    <row r="940" spans="1:4">
      <c r="A940" s="261">
        <v>804229</v>
      </c>
      <c r="B940" s="265" t="s">
        <v>12237</v>
      </c>
      <c r="C940" s="261" t="s">
        <v>97</v>
      </c>
      <c r="D940" s="266">
        <v>1641.33</v>
      </c>
    </row>
    <row r="941" spans="1:4">
      <c r="A941" s="261">
        <v>804228</v>
      </c>
      <c r="B941" s="265" t="s">
        <v>12238</v>
      </c>
      <c r="C941" s="261" t="s">
        <v>97</v>
      </c>
      <c r="D941" s="266">
        <v>1428.46</v>
      </c>
    </row>
    <row r="942" spans="1:4">
      <c r="A942" s="261">
        <v>804231</v>
      </c>
      <c r="B942" s="265" t="s">
        <v>12239</v>
      </c>
      <c r="C942" s="261" t="s">
        <v>97</v>
      </c>
      <c r="D942" s="266">
        <v>1716.92</v>
      </c>
    </row>
    <row r="943" spans="1:4">
      <c r="A943" s="261">
        <v>804230</v>
      </c>
      <c r="B943" s="265" t="s">
        <v>12240</v>
      </c>
      <c r="C943" s="261" t="s">
        <v>97</v>
      </c>
      <c r="D943" s="266">
        <v>1502.47</v>
      </c>
    </row>
    <row r="944" spans="1:4">
      <c r="A944" s="261">
        <v>804215</v>
      </c>
      <c r="B944" s="265" t="s">
        <v>12241</v>
      </c>
      <c r="C944" s="261" t="s">
        <v>97</v>
      </c>
      <c r="D944" s="266">
        <v>1454.2</v>
      </c>
    </row>
    <row r="945" spans="1:4">
      <c r="A945" s="261">
        <v>804214</v>
      </c>
      <c r="B945" s="265" t="s">
        <v>12242</v>
      </c>
      <c r="C945" s="261" t="s">
        <v>97</v>
      </c>
      <c r="D945" s="266">
        <v>1247.45</v>
      </c>
    </row>
    <row r="946" spans="1:4">
      <c r="A946" s="261">
        <v>804417</v>
      </c>
      <c r="B946" s="265" t="s">
        <v>12243</v>
      </c>
      <c r="C946" s="261" t="s">
        <v>97</v>
      </c>
      <c r="D946" s="266">
        <v>3753.83</v>
      </c>
    </row>
    <row r="947" spans="1:4">
      <c r="A947" s="261">
        <v>804233</v>
      </c>
      <c r="B947" s="265" t="s">
        <v>12244</v>
      </c>
      <c r="C947" s="261" t="s">
        <v>97</v>
      </c>
      <c r="D947" s="266">
        <v>2151.59</v>
      </c>
    </row>
    <row r="948" spans="1:4">
      <c r="A948" s="261">
        <v>804416</v>
      </c>
      <c r="B948" s="265" t="s">
        <v>12245</v>
      </c>
      <c r="C948" s="261" t="s">
        <v>97</v>
      </c>
      <c r="D948" s="266">
        <v>3214.69</v>
      </c>
    </row>
    <row r="949" spans="1:4">
      <c r="A949" s="261">
        <v>804232</v>
      </c>
      <c r="B949" s="265" t="s">
        <v>12246</v>
      </c>
      <c r="C949" s="261" t="s">
        <v>97</v>
      </c>
      <c r="D949" s="266">
        <v>1830.91</v>
      </c>
    </row>
    <row r="950" spans="1:4">
      <c r="A950" s="261">
        <v>804237</v>
      </c>
      <c r="B950" s="265" t="s">
        <v>12247</v>
      </c>
      <c r="C950" s="261" t="s">
        <v>97</v>
      </c>
      <c r="D950" s="266">
        <v>2164.7199999999998</v>
      </c>
    </row>
    <row r="951" spans="1:4">
      <c r="A951" s="261">
        <v>804236</v>
      </c>
      <c r="B951" s="265" t="s">
        <v>12248</v>
      </c>
      <c r="C951" s="261" t="s">
        <v>97</v>
      </c>
      <c r="D951" s="266">
        <v>1843.3</v>
      </c>
    </row>
    <row r="952" spans="1:4">
      <c r="A952" s="261">
        <v>804419</v>
      </c>
      <c r="B952" s="265" t="s">
        <v>12249</v>
      </c>
      <c r="C952" s="261" t="s">
        <v>97</v>
      </c>
      <c r="D952" s="266">
        <v>3926.32</v>
      </c>
    </row>
    <row r="953" spans="1:4">
      <c r="A953" s="261">
        <v>804239</v>
      </c>
      <c r="B953" s="265" t="s">
        <v>12250</v>
      </c>
      <c r="C953" s="261" t="s">
        <v>97</v>
      </c>
      <c r="D953" s="266">
        <v>2181.8200000000002</v>
      </c>
    </row>
    <row r="954" spans="1:4">
      <c r="A954" s="261">
        <v>804418</v>
      </c>
      <c r="B954" s="265" t="s">
        <v>12251</v>
      </c>
      <c r="C954" s="261" t="s">
        <v>97</v>
      </c>
      <c r="D954" s="266">
        <v>3361.42</v>
      </c>
    </row>
    <row r="955" spans="1:4">
      <c r="A955" s="261">
        <v>804238</v>
      </c>
      <c r="B955" s="265" t="s">
        <v>12252</v>
      </c>
      <c r="C955" s="261" t="s">
        <v>97</v>
      </c>
      <c r="D955" s="266">
        <v>1859.45</v>
      </c>
    </row>
    <row r="956" spans="1:4">
      <c r="A956" s="261">
        <v>804241</v>
      </c>
      <c r="B956" s="265" t="s">
        <v>12253</v>
      </c>
      <c r="C956" s="261" t="s">
        <v>97</v>
      </c>
      <c r="D956" s="266">
        <v>2206.46</v>
      </c>
    </row>
    <row r="957" spans="1:4">
      <c r="A957" s="261">
        <v>804240</v>
      </c>
      <c r="B957" s="265" t="s">
        <v>12254</v>
      </c>
      <c r="C957" s="261" t="s">
        <v>97</v>
      </c>
      <c r="D957" s="266">
        <v>1882.83</v>
      </c>
    </row>
    <row r="958" spans="1:4">
      <c r="A958" s="261">
        <v>804243</v>
      </c>
      <c r="B958" s="265" t="s">
        <v>12255</v>
      </c>
      <c r="C958" s="261" t="s">
        <v>97</v>
      </c>
      <c r="D958" s="266">
        <v>2240.23</v>
      </c>
    </row>
    <row r="959" spans="1:4">
      <c r="A959" s="261">
        <v>804242</v>
      </c>
      <c r="B959" s="265" t="s">
        <v>12256</v>
      </c>
      <c r="C959" s="261" t="s">
        <v>97</v>
      </c>
      <c r="D959" s="266">
        <v>1915.01</v>
      </c>
    </row>
    <row r="960" spans="1:4">
      <c r="A960" s="261">
        <v>804421</v>
      </c>
      <c r="B960" s="265" t="s">
        <v>12257</v>
      </c>
      <c r="C960" s="261" t="s">
        <v>97</v>
      </c>
      <c r="D960" s="266">
        <v>4380.4399999999996</v>
      </c>
    </row>
    <row r="961" spans="1:4">
      <c r="A961" s="261">
        <v>804245</v>
      </c>
      <c r="B961" s="265" t="s">
        <v>12258</v>
      </c>
      <c r="C961" s="261" t="s">
        <v>97</v>
      </c>
      <c r="D961" s="266">
        <v>2285.89</v>
      </c>
    </row>
    <row r="962" spans="1:4">
      <c r="A962" s="261">
        <v>804420</v>
      </c>
      <c r="B962" s="265" t="s">
        <v>12259</v>
      </c>
      <c r="C962" s="261" t="s">
        <v>97</v>
      </c>
      <c r="D962" s="266">
        <v>3748.27</v>
      </c>
    </row>
    <row r="963" spans="1:4">
      <c r="A963" s="261">
        <v>804244</v>
      </c>
      <c r="B963" s="265" t="s">
        <v>12260</v>
      </c>
      <c r="C963" s="261" t="s">
        <v>97</v>
      </c>
      <c r="D963" s="266">
        <v>1958.67</v>
      </c>
    </row>
    <row r="964" spans="1:4">
      <c r="A964" s="261">
        <v>804247</v>
      </c>
      <c r="B964" s="265" t="s">
        <v>12261</v>
      </c>
      <c r="C964" s="261" t="s">
        <v>97</v>
      </c>
      <c r="D964" s="266">
        <v>2345.79</v>
      </c>
    </row>
    <row r="965" spans="1:4">
      <c r="A965" s="261">
        <v>804246</v>
      </c>
      <c r="B965" s="265" t="s">
        <v>12262</v>
      </c>
      <c r="C965" s="261" t="s">
        <v>97</v>
      </c>
      <c r="D965" s="266">
        <v>2016.35</v>
      </c>
    </row>
    <row r="966" spans="1:4">
      <c r="A966" s="261">
        <v>804249</v>
      </c>
      <c r="B966" s="265" t="s">
        <v>12263</v>
      </c>
      <c r="C966" s="261" t="s">
        <v>97</v>
      </c>
      <c r="D966" s="266">
        <v>2426.27</v>
      </c>
    </row>
    <row r="967" spans="1:4">
      <c r="A967" s="261">
        <v>804248</v>
      </c>
      <c r="B967" s="265" t="s">
        <v>12264</v>
      </c>
      <c r="C967" s="261" t="s">
        <v>97</v>
      </c>
      <c r="D967" s="266">
        <v>2094.19</v>
      </c>
    </row>
    <row r="968" spans="1:4">
      <c r="A968" s="261">
        <v>804423</v>
      </c>
      <c r="B968" s="265" t="s">
        <v>12265</v>
      </c>
      <c r="C968" s="261" t="s">
        <v>97</v>
      </c>
      <c r="D968" s="266">
        <v>5420.78</v>
      </c>
    </row>
    <row r="969" spans="1:4">
      <c r="A969" s="261">
        <v>804251</v>
      </c>
      <c r="B969" s="265" t="s">
        <v>12266</v>
      </c>
      <c r="C969" s="261" t="s">
        <v>97</v>
      </c>
      <c r="D969" s="266">
        <v>2534</v>
      </c>
    </row>
    <row r="970" spans="1:4">
      <c r="A970" s="261">
        <v>804422</v>
      </c>
      <c r="B970" s="265" t="s">
        <v>12267</v>
      </c>
      <c r="C970" s="261" t="s">
        <v>97</v>
      </c>
      <c r="D970" s="266">
        <v>4632.03</v>
      </c>
    </row>
    <row r="971" spans="1:4">
      <c r="A971" s="261">
        <v>804250</v>
      </c>
      <c r="B971" s="265" t="s">
        <v>12268</v>
      </c>
      <c r="C971" s="261" t="s">
        <v>97</v>
      </c>
      <c r="D971" s="266">
        <v>2199.17</v>
      </c>
    </row>
    <row r="972" spans="1:4">
      <c r="A972" s="261">
        <v>804235</v>
      </c>
      <c r="B972" s="265" t="s">
        <v>12269</v>
      </c>
      <c r="C972" s="261" t="s">
        <v>97</v>
      </c>
      <c r="D972" s="266">
        <v>2154.7800000000002</v>
      </c>
    </row>
    <row r="973" spans="1:4">
      <c r="A973" s="261">
        <v>804234</v>
      </c>
      <c r="B973" s="265" t="s">
        <v>12270</v>
      </c>
      <c r="C973" s="261" t="s">
        <v>97</v>
      </c>
      <c r="D973" s="266">
        <v>1833.89</v>
      </c>
    </row>
    <row r="974" spans="1:4">
      <c r="A974" s="261">
        <v>804425</v>
      </c>
      <c r="B974" s="265" t="s">
        <v>12271</v>
      </c>
      <c r="C974" s="261" t="s">
        <v>97</v>
      </c>
      <c r="D974" s="266">
        <v>5419.43</v>
      </c>
    </row>
    <row r="975" spans="1:4">
      <c r="A975" s="261">
        <v>804253</v>
      </c>
      <c r="B975" s="265" t="s">
        <v>12272</v>
      </c>
      <c r="C975" s="261" t="s">
        <v>97</v>
      </c>
      <c r="D975" s="266">
        <v>2981.92</v>
      </c>
    </row>
    <row r="976" spans="1:4">
      <c r="A976" s="261">
        <v>804424</v>
      </c>
      <c r="B976" s="265" t="s">
        <v>12273</v>
      </c>
      <c r="C976" s="261" t="s">
        <v>97</v>
      </c>
      <c r="D976" s="266">
        <v>4586.43</v>
      </c>
    </row>
    <row r="977" spans="1:4">
      <c r="A977" s="261">
        <v>804252</v>
      </c>
      <c r="B977" s="265" t="s">
        <v>12274</v>
      </c>
      <c r="C977" s="261" t="s">
        <v>97</v>
      </c>
      <c r="D977" s="266">
        <v>2516.48</v>
      </c>
    </row>
    <row r="978" spans="1:4">
      <c r="A978" s="261">
        <v>804257</v>
      </c>
      <c r="B978" s="265" t="s">
        <v>12275</v>
      </c>
      <c r="C978" s="261" t="s">
        <v>97</v>
      </c>
      <c r="D978" s="266">
        <v>3001.07</v>
      </c>
    </row>
    <row r="979" spans="1:4">
      <c r="A979" s="261">
        <v>804256</v>
      </c>
      <c r="B979" s="265" t="s">
        <v>12276</v>
      </c>
      <c r="C979" s="261" t="s">
        <v>97</v>
      </c>
      <c r="D979" s="266">
        <v>2534.15</v>
      </c>
    </row>
    <row r="980" spans="1:4">
      <c r="A980" s="261">
        <v>804427</v>
      </c>
      <c r="B980" s="265" t="s">
        <v>12277</v>
      </c>
      <c r="C980" s="261" t="s">
        <v>97</v>
      </c>
      <c r="D980" s="266">
        <v>5681.03</v>
      </c>
    </row>
    <row r="981" spans="1:4">
      <c r="A981" s="261">
        <v>804259</v>
      </c>
      <c r="B981" s="265" t="s">
        <v>12278</v>
      </c>
      <c r="C981" s="261" t="s">
        <v>97</v>
      </c>
      <c r="D981" s="266">
        <v>3025.39</v>
      </c>
    </row>
    <row r="982" spans="1:4">
      <c r="A982" s="261">
        <v>804426</v>
      </c>
      <c r="B982" s="265" t="s">
        <v>12279</v>
      </c>
      <c r="C982" s="261" t="s">
        <v>97</v>
      </c>
      <c r="D982" s="266">
        <v>4805.8</v>
      </c>
    </row>
    <row r="983" spans="1:4">
      <c r="A983" s="261">
        <v>804258</v>
      </c>
      <c r="B983" s="265" t="s">
        <v>12280</v>
      </c>
      <c r="C983" s="261" t="s">
        <v>97</v>
      </c>
      <c r="D983" s="266">
        <v>2556.6799999999998</v>
      </c>
    </row>
    <row r="984" spans="1:4">
      <c r="A984" s="261">
        <v>804261</v>
      </c>
      <c r="B984" s="265" t="s">
        <v>12281</v>
      </c>
      <c r="C984" s="261" t="s">
        <v>97</v>
      </c>
      <c r="D984" s="266">
        <v>3061.26</v>
      </c>
    </row>
    <row r="985" spans="1:4">
      <c r="A985" s="261">
        <v>804260</v>
      </c>
      <c r="B985" s="265" t="s">
        <v>12282</v>
      </c>
      <c r="C985" s="261" t="s">
        <v>97</v>
      </c>
      <c r="D985" s="266">
        <v>2590.0100000000002</v>
      </c>
    </row>
    <row r="986" spans="1:4">
      <c r="A986" s="261">
        <v>804263</v>
      </c>
      <c r="B986" s="265" t="s">
        <v>12283</v>
      </c>
      <c r="C986" s="261" t="s">
        <v>97</v>
      </c>
      <c r="D986" s="266">
        <v>3110.26</v>
      </c>
    </row>
    <row r="987" spans="1:4">
      <c r="A987" s="261">
        <v>804262</v>
      </c>
      <c r="B987" s="265" t="s">
        <v>12284</v>
      </c>
      <c r="C987" s="261" t="s">
        <v>97</v>
      </c>
      <c r="D987" s="266">
        <v>2635.74</v>
      </c>
    </row>
    <row r="988" spans="1:4">
      <c r="A988" s="261">
        <v>804429</v>
      </c>
      <c r="B988" s="265" t="s">
        <v>12285</v>
      </c>
      <c r="C988" s="261" t="s">
        <v>97</v>
      </c>
      <c r="D988" s="266">
        <v>6339.71</v>
      </c>
    </row>
    <row r="989" spans="1:4">
      <c r="A989" s="261">
        <v>804265</v>
      </c>
      <c r="B989" s="265" t="s">
        <v>12286</v>
      </c>
      <c r="C989" s="261" t="s">
        <v>97</v>
      </c>
      <c r="D989" s="266">
        <v>3175.92</v>
      </c>
    </row>
    <row r="990" spans="1:4">
      <c r="A990" s="261">
        <v>804428</v>
      </c>
      <c r="B990" s="265" t="s">
        <v>12287</v>
      </c>
      <c r="C990" s="261" t="s">
        <v>97</v>
      </c>
      <c r="D990" s="266">
        <v>5359.31</v>
      </c>
    </row>
    <row r="991" spans="1:4">
      <c r="A991" s="261">
        <v>804264</v>
      </c>
      <c r="B991" s="265" t="s">
        <v>12288</v>
      </c>
      <c r="C991" s="261" t="s">
        <v>97</v>
      </c>
      <c r="D991" s="266">
        <v>2697.49</v>
      </c>
    </row>
    <row r="992" spans="1:4">
      <c r="A992" s="261">
        <v>804267</v>
      </c>
      <c r="B992" s="265" t="s">
        <v>12289</v>
      </c>
      <c r="C992" s="261" t="s">
        <v>97</v>
      </c>
      <c r="D992" s="266">
        <v>3260.2</v>
      </c>
    </row>
    <row r="993" spans="1:4">
      <c r="A993" s="261">
        <v>804266</v>
      </c>
      <c r="B993" s="265" t="s">
        <v>12290</v>
      </c>
      <c r="C993" s="261" t="s">
        <v>97</v>
      </c>
      <c r="D993" s="266">
        <v>2777.34</v>
      </c>
    </row>
    <row r="994" spans="1:4">
      <c r="A994" s="261">
        <v>804269</v>
      </c>
      <c r="B994" s="265" t="s">
        <v>12291</v>
      </c>
      <c r="C994" s="261" t="s">
        <v>97</v>
      </c>
      <c r="D994" s="266">
        <v>3372.6</v>
      </c>
    </row>
    <row r="995" spans="1:4">
      <c r="A995" s="261">
        <v>804268</v>
      </c>
      <c r="B995" s="265" t="s">
        <v>12292</v>
      </c>
      <c r="C995" s="261" t="s">
        <v>97</v>
      </c>
      <c r="D995" s="266">
        <v>2884.57</v>
      </c>
    </row>
    <row r="996" spans="1:4">
      <c r="A996" s="261">
        <v>804431</v>
      </c>
      <c r="B996" s="265" t="s">
        <v>12293</v>
      </c>
      <c r="C996" s="261" t="s">
        <v>97</v>
      </c>
      <c r="D996" s="266">
        <v>7856.87</v>
      </c>
    </row>
    <row r="997" spans="1:4">
      <c r="A997" s="261">
        <v>804271</v>
      </c>
      <c r="B997" s="265" t="s">
        <v>12294</v>
      </c>
      <c r="C997" s="261" t="s">
        <v>97</v>
      </c>
      <c r="D997" s="266">
        <v>3523.36</v>
      </c>
    </row>
    <row r="998" spans="1:4">
      <c r="A998" s="261">
        <v>804430</v>
      </c>
      <c r="B998" s="265" t="s">
        <v>12295</v>
      </c>
      <c r="C998" s="261" t="s">
        <v>97</v>
      </c>
      <c r="D998" s="266">
        <v>6631.29</v>
      </c>
    </row>
    <row r="999" spans="1:4">
      <c r="A999" s="261">
        <v>804270</v>
      </c>
      <c r="B999" s="265" t="s">
        <v>12296</v>
      </c>
      <c r="C999" s="261" t="s">
        <v>97</v>
      </c>
      <c r="D999" s="266">
        <v>3029.62</v>
      </c>
    </row>
    <row r="1000" spans="1:4">
      <c r="A1000" s="261">
        <v>804255</v>
      </c>
      <c r="B1000" s="265" t="s">
        <v>12297</v>
      </c>
      <c r="C1000" s="261" t="s">
        <v>97</v>
      </c>
      <c r="D1000" s="266">
        <v>2986.71</v>
      </c>
    </row>
    <row r="1001" spans="1:4">
      <c r="A1001" s="261">
        <v>804254</v>
      </c>
      <c r="B1001" s="265" t="s">
        <v>12298</v>
      </c>
      <c r="C1001" s="261" t="s">
        <v>97</v>
      </c>
      <c r="D1001" s="266">
        <v>2520.85</v>
      </c>
    </row>
    <row r="1002" spans="1:4">
      <c r="A1002" s="261">
        <v>804433</v>
      </c>
      <c r="B1002" s="265" t="s">
        <v>12299</v>
      </c>
      <c r="C1002" s="261" t="s">
        <v>97</v>
      </c>
      <c r="D1002" s="266">
        <v>9522.4</v>
      </c>
    </row>
    <row r="1003" spans="1:4">
      <c r="A1003" s="261">
        <v>804273</v>
      </c>
      <c r="B1003" s="265" t="s">
        <v>12300</v>
      </c>
      <c r="C1003" s="261" t="s">
        <v>97</v>
      </c>
      <c r="D1003" s="266">
        <v>5102.87</v>
      </c>
    </row>
    <row r="1004" spans="1:4">
      <c r="A1004" s="261">
        <v>804432</v>
      </c>
      <c r="B1004" s="265" t="s">
        <v>12301</v>
      </c>
      <c r="C1004" s="261" t="s">
        <v>97</v>
      </c>
      <c r="D1004" s="266">
        <v>7923.97</v>
      </c>
    </row>
    <row r="1005" spans="1:4">
      <c r="A1005" s="261">
        <v>804272</v>
      </c>
      <c r="B1005" s="265" t="s">
        <v>12302</v>
      </c>
      <c r="C1005" s="261" t="s">
        <v>97</v>
      </c>
      <c r="D1005" s="266">
        <v>4270.29</v>
      </c>
    </row>
    <row r="1006" spans="1:4">
      <c r="A1006" s="261">
        <v>804277</v>
      </c>
      <c r="B1006" s="265" t="s">
        <v>12303</v>
      </c>
      <c r="C1006" s="261" t="s">
        <v>97</v>
      </c>
      <c r="D1006" s="266">
        <v>5131.63</v>
      </c>
    </row>
    <row r="1007" spans="1:4">
      <c r="A1007" s="261">
        <v>804276</v>
      </c>
      <c r="B1007" s="265" t="s">
        <v>12304</v>
      </c>
      <c r="C1007" s="261" t="s">
        <v>97</v>
      </c>
      <c r="D1007" s="266">
        <v>4296.5200000000004</v>
      </c>
    </row>
    <row r="1008" spans="1:4">
      <c r="A1008" s="261">
        <v>804435</v>
      </c>
      <c r="B1008" s="265" t="s">
        <v>12305</v>
      </c>
      <c r="C1008" s="261" t="s">
        <v>97</v>
      </c>
      <c r="D1008" s="266">
        <v>9993.1200000000008</v>
      </c>
    </row>
    <row r="1009" spans="1:4">
      <c r="A1009" s="261">
        <v>804279</v>
      </c>
      <c r="B1009" s="265" t="s">
        <v>12306</v>
      </c>
      <c r="C1009" s="261" t="s">
        <v>97</v>
      </c>
      <c r="D1009" s="266">
        <v>5167.59</v>
      </c>
    </row>
    <row r="1010" spans="1:4">
      <c r="A1010" s="261">
        <v>804434</v>
      </c>
      <c r="B1010" s="265" t="s">
        <v>12307</v>
      </c>
      <c r="C1010" s="261" t="s">
        <v>97</v>
      </c>
      <c r="D1010" s="266">
        <v>8312.98</v>
      </c>
    </row>
    <row r="1011" spans="1:4">
      <c r="A1011" s="261">
        <v>804278</v>
      </c>
      <c r="B1011" s="265" t="s">
        <v>12308</v>
      </c>
      <c r="C1011" s="261" t="s">
        <v>97</v>
      </c>
      <c r="D1011" s="266">
        <v>4329.3100000000004</v>
      </c>
    </row>
    <row r="1012" spans="1:4">
      <c r="A1012" s="261">
        <v>804281</v>
      </c>
      <c r="B1012" s="265" t="s">
        <v>12309</v>
      </c>
      <c r="C1012" s="261" t="s">
        <v>97</v>
      </c>
      <c r="D1012" s="266">
        <v>5220.68</v>
      </c>
    </row>
    <row r="1013" spans="1:4">
      <c r="A1013" s="261">
        <v>804280</v>
      </c>
      <c r="B1013" s="265" t="s">
        <v>12310</v>
      </c>
      <c r="C1013" s="261" t="s">
        <v>97</v>
      </c>
      <c r="D1013" s="266">
        <v>4378.07</v>
      </c>
    </row>
    <row r="1014" spans="1:4">
      <c r="A1014" s="261">
        <v>804283</v>
      </c>
      <c r="B1014" s="265" t="s">
        <v>12311</v>
      </c>
      <c r="C1014" s="261" t="s">
        <v>97</v>
      </c>
      <c r="D1014" s="266">
        <v>5293.27</v>
      </c>
    </row>
    <row r="1015" spans="1:4">
      <c r="A1015" s="261">
        <v>804282</v>
      </c>
      <c r="B1015" s="265" t="s">
        <v>12312</v>
      </c>
      <c r="C1015" s="261" t="s">
        <v>97</v>
      </c>
      <c r="D1015" s="266">
        <v>4445.17</v>
      </c>
    </row>
    <row r="1016" spans="1:4">
      <c r="A1016" s="261">
        <v>804437</v>
      </c>
      <c r="B1016" s="265" t="s">
        <v>12313</v>
      </c>
      <c r="C1016" s="261" t="s">
        <v>97</v>
      </c>
      <c r="D1016" s="266">
        <v>11189.31</v>
      </c>
    </row>
    <row r="1017" spans="1:4">
      <c r="A1017" s="261">
        <v>804285</v>
      </c>
      <c r="B1017" s="265" t="s">
        <v>12314</v>
      </c>
      <c r="C1017" s="261" t="s">
        <v>97</v>
      </c>
      <c r="D1017" s="266">
        <v>5388.92</v>
      </c>
    </row>
    <row r="1018" spans="1:4">
      <c r="A1018" s="261">
        <v>804436</v>
      </c>
      <c r="B1018" s="265" t="s">
        <v>12315</v>
      </c>
      <c r="C1018" s="261" t="s">
        <v>97</v>
      </c>
      <c r="D1018" s="266">
        <v>9301.7800000000007</v>
      </c>
    </row>
    <row r="1019" spans="1:4">
      <c r="A1019" s="261">
        <v>804284</v>
      </c>
      <c r="B1019" s="265" t="s">
        <v>12316</v>
      </c>
      <c r="C1019" s="261" t="s">
        <v>97</v>
      </c>
      <c r="D1019" s="266">
        <v>4534.07</v>
      </c>
    </row>
    <row r="1020" spans="1:4">
      <c r="A1020" s="261">
        <v>804287</v>
      </c>
      <c r="B1020" s="265" t="s">
        <v>12317</v>
      </c>
      <c r="C1020" s="261" t="s">
        <v>97</v>
      </c>
      <c r="D1020" s="266">
        <v>5513.52</v>
      </c>
    </row>
    <row r="1021" spans="1:4">
      <c r="A1021" s="261">
        <v>804286</v>
      </c>
      <c r="B1021" s="265" t="s">
        <v>12318</v>
      </c>
      <c r="C1021" s="261" t="s">
        <v>97</v>
      </c>
      <c r="D1021" s="266">
        <v>4650.96</v>
      </c>
    </row>
    <row r="1022" spans="1:4">
      <c r="A1022" s="261">
        <v>804289</v>
      </c>
      <c r="B1022" s="265" t="s">
        <v>12319</v>
      </c>
      <c r="C1022" s="261" t="s">
        <v>97</v>
      </c>
      <c r="D1022" s="266">
        <v>5677.35</v>
      </c>
    </row>
    <row r="1023" spans="1:4">
      <c r="A1023" s="261">
        <v>804288</v>
      </c>
      <c r="B1023" s="265" t="s">
        <v>12320</v>
      </c>
      <c r="C1023" s="261" t="s">
        <v>97</v>
      </c>
      <c r="D1023" s="266">
        <v>4805.91</v>
      </c>
    </row>
    <row r="1024" spans="1:4">
      <c r="A1024" s="261">
        <v>804439</v>
      </c>
      <c r="B1024" s="265" t="s">
        <v>12321</v>
      </c>
      <c r="C1024" s="261" t="s">
        <v>97</v>
      </c>
      <c r="D1024" s="266">
        <v>13927.78</v>
      </c>
    </row>
    <row r="1025" spans="1:4">
      <c r="A1025" s="261">
        <v>804291</v>
      </c>
      <c r="B1025" s="265" t="s">
        <v>12322</v>
      </c>
      <c r="C1025" s="261" t="s">
        <v>97</v>
      </c>
      <c r="D1025" s="266">
        <v>5894.97</v>
      </c>
    </row>
    <row r="1026" spans="1:4">
      <c r="A1026" s="261">
        <v>804438</v>
      </c>
      <c r="B1026" s="265" t="s">
        <v>12323</v>
      </c>
      <c r="C1026" s="261" t="s">
        <v>97</v>
      </c>
      <c r="D1026" s="266">
        <v>11560.24</v>
      </c>
    </row>
    <row r="1027" spans="1:4">
      <c r="A1027" s="261">
        <v>804290</v>
      </c>
      <c r="B1027" s="265" t="s">
        <v>12324</v>
      </c>
      <c r="C1027" s="261" t="s">
        <v>97</v>
      </c>
      <c r="D1027" s="266">
        <v>5013.82</v>
      </c>
    </row>
    <row r="1028" spans="1:4">
      <c r="A1028" s="261">
        <v>804275</v>
      </c>
      <c r="B1028" s="265" t="s">
        <v>12325</v>
      </c>
      <c r="C1028" s="261" t="s">
        <v>97</v>
      </c>
      <c r="D1028" s="266">
        <v>5110.0600000000004</v>
      </c>
    </row>
    <row r="1029" spans="1:4">
      <c r="A1029" s="261">
        <v>804274</v>
      </c>
      <c r="B1029" s="265" t="s">
        <v>12326</v>
      </c>
      <c r="C1029" s="261" t="s">
        <v>97</v>
      </c>
      <c r="D1029" s="266">
        <v>4276.8500000000004</v>
      </c>
    </row>
    <row r="1030" spans="1:4">
      <c r="A1030" s="261">
        <v>804061</v>
      </c>
      <c r="B1030" s="265" t="s">
        <v>12327</v>
      </c>
      <c r="C1030" s="261" t="s">
        <v>97</v>
      </c>
      <c r="D1030" s="266">
        <v>353.89</v>
      </c>
    </row>
    <row r="1031" spans="1:4">
      <c r="A1031" s="261">
        <v>804060</v>
      </c>
      <c r="B1031" s="265" t="s">
        <v>12328</v>
      </c>
      <c r="C1031" s="261" t="s">
        <v>97</v>
      </c>
      <c r="D1031" s="266">
        <v>309.23</v>
      </c>
    </row>
    <row r="1032" spans="1:4">
      <c r="A1032" s="261">
        <v>804065</v>
      </c>
      <c r="B1032" s="265" t="s">
        <v>12329</v>
      </c>
      <c r="C1032" s="261" t="s">
        <v>97</v>
      </c>
      <c r="D1032" s="266">
        <v>355.47</v>
      </c>
    </row>
    <row r="1033" spans="1:4">
      <c r="A1033" s="261">
        <v>804064</v>
      </c>
      <c r="B1033" s="265" t="s">
        <v>12330</v>
      </c>
      <c r="C1033" s="261" t="s">
        <v>97</v>
      </c>
      <c r="D1033" s="266">
        <v>310.81</v>
      </c>
    </row>
    <row r="1034" spans="1:4">
      <c r="A1034" s="261">
        <v>804067</v>
      </c>
      <c r="B1034" s="265" t="s">
        <v>12331</v>
      </c>
      <c r="C1034" s="261" t="s">
        <v>97</v>
      </c>
      <c r="D1034" s="266">
        <v>357.05</v>
      </c>
    </row>
    <row r="1035" spans="1:4">
      <c r="A1035" s="261">
        <v>804066</v>
      </c>
      <c r="B1035" s="265" t="s">
        <v>12332</v>
      </c>
      <c r="C1035" s="261" t="s">
        <v>97</v>
      </c>
      <c r="D1035" s="266">
        <v>312.38</v>
      </c>
    </row>
    <row r="1036" spans="1:4">
      <c r="A1036" s="261">
        <v>804069</v>
      </c>
      <c r="B1036" s="265" t="s">
        <v>12333</v>
      </c>
      <c r="C1036" s="261" t="s">
        <v>97</v>
      </c>
      <c r="D1036" s="266">
        <v>359.83</v>
      </c>
    </row>
    <row r="1037" spans="1:4">
      <c r="A1037" s="261">
        <v>804068</v>
      </c>
      <c r="B1037" s="265" t="s">
        <v>12334</v>
      </c>
      <c r="C1037" s="261" t="s">
        <v>97</v>
      </c>
      <c r="D1037" s="266">
        <v>315.06</v>
      </c>
    </row>
    <row r="1038" spans="1:4">
      <c r="A1038" s="261">
        <v>804071</v>
      </c>
      <c r="B1038" s="265" t="s">
        <v>12335</v>
      </c>
      <c r="C1038" s="261" t="s">
        <v>97</v>
      </c>
      <c r="D1038" s="266">
        <v>363.77</v>
      </c>
    </row>
    <row r="1039" spans="1:4">
      <c r="A1039" s="261">
        <v>804070</v>
      </c>
      <c r="B1039" s="265" t="s">
        <v>12336</v>
      </c>
      <c r="C1039" s="261" t="s">
        <v>97</v>
      </c>
      <c r="D1039" s="266">
        <v>319</v>
      </c>
    </row>
    <row r="1040" spans="1:4">
      <c r="A1040" s="261">
        <v>804073</v>
      </c>
      <c r="B1040" s="265" t="s">
        <v>12337</v>
      </c>
      <c r="C1040" s="261" t="s">
        <v>97</v>
      </c>
      <c r="D1040" s="266">
        <v>368.92</v>
      </c>
    </row>
    <row r="1041" spans="1:4">
      <c r="A1041" s="261">
        <v>804072</v>
      </c>
      <c r="B1041" s="265" t="s">
        <v>12338</v>
      </c>
      <c r="C1041" s="261" t="s">
        <v>97</v>
      </c>
      <c r="D1041" s="266">
        <v>324.04000000000002</v>
      </c>
    </row>
    <row r="1042" spans="1:4">
      <c r="A1042" s="261">
        <v>804075</v>
      </c>
      <c r="B1042" s="265" t="s">
        <v>12339</v>
      </c>
      <c r="C1042" s="261" t="s">
        <v>97</v>
      </c>
      <c r="D1042" s="266">
        <v>376.02</v>
      </c>
    </row>
    <row r="1043" spans="1:4">
      <c r="A1043" s="261">
        <v>804074</v>
      </c>
      <c r="B1043" s="265" t="s">
        <v>12340</v>
      </c>
      <c r="C1043" s="261" t="s">
        <v>97</v>
      </c>
      <c r="D1043" s="266">
        <v>331.15</v>
      </c>
    </row>
    <row r="1044" spans="1:4">
      <c r="A1044" s="261">
        <v>804077</v>
      </c>
      <c r="B1044" s="265" t="s">
        <v>12341</v>
      </c>
      <c r="C1044" s="261" t="s">
        <v>97</v>
      </c>
      <c r="D1044" s="266">
        <v>385.11</v>
      </c>
    </row>
    <row r="1045" spans="1:4">
      <c r="A1045" s="261">
        <v>804076</v>
      </c>
      <c r="B1045" s="265" t="s">
        <v>12342</v>
      </c>
      <c r="C1045" s="261" t="s">
        <v>97</v>
      </c>
      <c r="D1045" s="266">
        <v>340.13</v>
      </c>
    </row>
    <row r="1046" spans="1:4">
      <c r="A1046" s="261">
        <v>804079</v>
      </c>
      <c r="B1046" s="265" t="s">
        <v>12343</v>
      </c>
      <c r="C1046" s="261" t="s">
        <v>97</v>
      </c>
      <c r="D1046" s="266">
        <v>398.94</v>
      </c>
    </row>
    <row r="1047" spans="1:4">
      <c r="A1047" s="261">
        <v>804078</v>
      </c>
      <c r="B1047" s="265" t="s">
        <v>12344</v>
      </c>
      <c r="C1047" s="261" t="s">
        <v>97</v>
      </c>
      <c r="D1047" s="266">
        <v>353.85</v>
      </c>
    </row>
    <row r="1048" spans="1:4">
      <c r="A1048" s="261">
        <v>804063</v>
      </c>
      <c r="B1048" s="265" t="s">
        <v>12345</v>
      </c>
      <c r="C1048" s="261" t="s">
        <v>97</v>
      </c>
      <c r="D1048" s="266">
        <v>354.68</v>
      </c>
    </row>
    <row r="1049" spans="1:4">
      <c r="A1049" s="261">
        <v>804062</v>
      </c>
      <c r="B1049" s="265" t="s">
        <v>12346</v>
      </c>
      <c r="C1049" s="261" t="s">
        <v>97</v>
      </c>
      <c r="D1049" s="266">
        <v>310.02</v>
      </c>
    </row>
    <row r="1050" spans="1:4">
      <c r="A1050" s="261">
        <v>804377</v>
      </c>
      <c r="B1050" s="265" t="s">
        <v>12347</v>
      </c>
      <c r="C1050" s="261" t="s">
        <v>97</v>
      </c>
      <c r="D1050" s="266">
        <v>1059.97</v>
      </c>
    </row>
    <row r="1051" spans="1:4">
      <c r="A1051" s="261">
        <v>804081</v>
      </c>
      <c r="B1051" s="265" t="s">
        <v>12348</v>
      </c>
      <c r="C1051" s="261" t="s">
        <v>97</v>
      </c>
      <c r="D1051" s="266">
        <v>710.62</v>
      </c>
    </row>
    <row r="1052" spans="1:4">
      <c r="A1052" s="261">
        <v>804376</v>
      </c>
      <c r="B1052" s="265" t="s">
        <v>12349</v>
      </c>
      <c r="C1052" s="261" t="s">
        <v>97</v>
      </c>
      <c r="D1052" s="266">
        <v>938.23</v>
      </c>
    </row>
    <row r="1053" spans="1:4">
      <c r="A1053" s="261">
        <v>804080</v>
      </c>
      <c r="B1053" s="265" t="s">
        <v>12350</v>
      </c>
      <c r="C1053" s="261" t="s">
        <v>97</v>
      </c>
      <c r="D1053" s="266">
        <v>612.21</v>
      </c>
    </row>
    <row r="1054" spans="1:4">
      <c r="A1054" s="261">
        <v>804085</v>
      </c>
      <c r="B1054" s="265" t="s">
        <v>12351</v>
      </c>
      <c r="C1054" s="261" t="s">
        <v>97</v>
      </c>
      <c r="D1054" s="266">
        <v>713.4</v>
      </c>
    </row>
    <row r="1055" spans="1:4">
      <c r="A1055" s="261">
        <v>804084</v>
      </c>
      <c r="B1055" s="265" t="s">
        <v>12352</v>
      </c>
      <c r="C1055" s="261" t="s">
        <v>97</v>
      </c>
      <c r="D1055" s="266">
        <v>614.89</v>
      </c>
    </row>
    <row r="1056" spans="1:4">
      <c r="A1056" s="261">
        <v>804379</v>
      </c>
      <c r="B1056" s="265" t="s">
        <v>12353</v>
      </c>
      <c r="C1056" s="261" t="s">
        <v>97</v>
      </c>
      <c r="D1056" s="266">
        <v>878.99</v>
      </c>
    </row>
    <row r="1057" spans="1:4">
      <c r="A1057" s="261">
        <v>804087</v>
      </c>
      <c r="B1057" s="265" t="s">
        <v>12354</v>
      </c>
      <c r="C1057" s="261" t="s">
        <v>97</v>
      </c>
      <c r="D1057" s="266">
        <v>716.56</v>
      </c>
    </row>
    <row r="1058" spans="1:4">
      <c r="A1058" s="261">
        <v>804378</v>
      </c>
      <c r="B1058" s="265" t="s">
        <v>12355</v>
      </c>
      <c r="C1058" s="261" t="s">
        <v>97</v>
      </c>
      <c r="D1058" s="266">
        <v>750.39</v>
      </c>
    </row>
    <row r="1059" spans="1:4">
      <c r="A1059" s="261">
        <v>804086</v>
      </c>
      <c r="B1059" s="265" t="s">
        <v>12356</v>
      </c>
      <c r="C1059" s="261" t="s">
        <v>97</v>
      </c>
      <c r="D1059" s="266">
        <v>618.04</v>
      </c>
    </row>
    <row r="1060" spans="1:4">
      <c r="A1060" s="261">
        <v>804089</v>
      </c>
      <c r="B1060" s="265" t="s">
        <v>12357</v>
      </c>
      <c r="C1060" s="261" t="s">
        <v>97</v>
      </c>
      <c r="D1060" s="266">
        <v>721.7</v>
      </c>
    </row>
    <row r="1061" spans="1:4">
      <c r="A1061" s="261">
        <v>804088</v>
      </c>
      <c r="B1061" s="265" t="s">
        <v>12358</v>
      </c>
      <c r="C1061" s="261" t="s">
        <v>97</v>
      </c>
      <c r="D1061" s="266">
        <v>623.08000000000004</v>
      </c>
    </row>
    <row r="1062" spans="1:4">
      <c r="A1062" s="261">
        <v>804091</v>
      </c>
      <c r="B1062" s="265" t="s">
        <v>12359</v>
      </c>
      <c r="C1062" s="261" t="s">
        <v>97</v>
      </c>
      <c r="D1062" s="266">
        <v>728.43</v>
      </c>
    </row>
    <row r="1063" spans="1:4">
      <c r="A1063" s="261">
        <v>804090</v>
      </c>
      <c r="B1063" s="265" t="s">
        <v>12360</v>
      </c>
      <c r="C1063" s="261" t="s">
        <v>97</v>
      </c>
      <c r="D1063" s="266">
        <v>629.70000000000005</v>
      </c>
    </row>
    <row r="1064" spans="1:4">
      <c r="A1064" s="261">
        <v>804381</v>
      </c>
      <c r="B1064" s="265" t="s">
        <v>12361</v>
      </c>
      <c r="C1064" s="261" t="s">
        <v>97</v>
      </c>
      <c r="D1064" s="266">
        <v>1252.3399999999999</v>
      </c>
    </row>
    <row r="1065" spans="1:4">
      <c r="A1065" s="261">
        <v>804093</v>
      </c>
      <c r="B1065" s="265" t="s">
        <v>12362</v>
      </c>
      <c r="C1065" s="261" t="s">
        <v>97</v>
      </c>
      <c r="D1065" s="266">
        <v>737.93</v>
      </c>
    </row>
    <row r="1066" spans="1:4">
      <c r="A1066" s="261">
        <v>804380</v>
      </c>
      <c r="B1066" s="265" t="s">
        <v>12363</v>
      </c>
      <c r="C1066" s="261" t="s">
        <v>97</v>
      </c>
      <c r="D1066" s="266">
        <v>1106.6300000000001</v>
      </c>
    </row>
    <row r="1067" spans="1:4">
      <c r="A1067" s="261">
        <v>804092</v>
      </c>
      <c r="B1067" s="265" t="s">
        <v>12364</v>
      </c>
      <c r="C1067" s="261" t="s">
        <v>97</v>
      </c>
      <c r="D1067" s="266">
        <v>638.99</v>
      </c>
    </row>
    <row r="1068" spans="1:4">
      <c r="A1068" s="261">
        <v>804095</v>
      </c>
      <c r="B1068" s="265" t="s">
        <v>12365</v>
      </c>
      <c r="C1068" s="261" t="s">
        <v>97</v>
      </c>
      <c r="D1068" s="266">
        <v>750.97</v>
      </c>
    </row>
    <row r="1069" spans="1:4">
      <c r="A1069" s="261">
        <v>804094</v>
      </c>
      <c r="B1069" s="265" t="s">
        <v>12366</v>
      </c>
      <c r="C1069" s="261" t="s">
        <v>97</v>
      </c>
      <c r="D1069" s="266">
        <v>651.91999999999996</v>
      </c>
    </row>
    <row r="1070" spans="1:4">
      <c r="A1070" s="261">
        <v>804097</v>
      </c>
      <c r="B1070" s="265" t="s">
        <v>12367</v>
      </c>
      <c r="C1070" s="261" t="s">
        <v>97</v>
      </c>
      <c r="D1070" s="266">
        <v>767.57</v>
      </c>
    </row>
    <row r="1071" spans="1:4">
      <c r="A1071" s="261">
        <v>804096</v>
      </c>
      <c r="B1071" s="265" t="s">
        <v>12368</v>
      </c>
      <c r="C1071" s="261" t="s">
        <v>97</v>
      </c>
      <c r="D1071" s="266">
        <v>668.32</v>
      </c>
    </row>
    <row r="1072" spans="1:4">
      <c r="A1072" s="261">
        <v>804383</v>
      </c>
      <c r="B1072" s="265" t="s">
        <v>12369</v>
      </c>
      <c r="C1072" s="261" t="s">
        <v>97</v>
      </c>
      <c r="D1072" s="266">
        <v>1547.82</v>
      </c>
    </row>
    <row r="1073" spans="1:4">
      <c r="A1073" s="261">
        <v>804099</v>
      </c>
      <c r="B1073" s="265" t="s">
        <v>12370</v>
      </c>
      <c r="C1073" s="261" t="s">
        <v>97</v>
      </c>
      <c r="D1073" s="266">
        <v>791.28</v>
      </c>
    </row>
    <row r="1074" spans="1:4">
      <c r="A1074" s="261">
        <v>804382</v>
      </c>
      <c r="B1074" s="265" t="s">
        <v>12371</v>
      </c>
      <c r="C1074" s="261" t="s">
        <v>97</v>
      </c>
      <c r="D1074" s="266">
        <v>1366</v>
      </c>
    </row>
    <row r="1075" spans="1:4">
      <c r="A1075" s="261">
        <v>804098</v>
      </c>
      <c r="B1075" s="265" t="s">
        <v>12372</v>
      </c>
      <c r="C1075" s="261" t="s">
        <v>97</v>
      </c>
      <c r="D1075" s="266">
        <v>691.81</v>
      </c>
    </row>
    <row r="1076" spans="1:4">
      <c r="A1076" s="261">
        <v>804083</v>
      </c>
      <c r="B1076" s="265" t="s">
        <v>12373</v>
      </c>
      <c r="C1076" s="261" t="s">
        <v>97</v>
      </c>
      <c r="D1076" s="266">
        <v>711.41</v>
      </c>
    </row>
    <row r="1077" spans="1:4">
      <c r="A1077" s="261">
        <v>804082</v>
      </c>
      <c r="B1077" s="265" t="s">
        <v>12374</v>
      </c>
      <c r="C1077" s="261" t="s">
        <v>97</v>
      </c>
      <c r="D1077" s="266">
        <v>613</v>
      </c>
    </row>
    <row r="1078" spans="1:4">
      <c r="A1078" s="261">
        <v>804385</v>
      </c>
      <c r="B1078" s="265" t="s">
        <v>12375</v>
      </c>
      <c r="C1078" s="261" t="s">
        <v>97</v>
      </c>
      <c r="D1078" s="266">
        <v>1757.59</v>
      </c>
    </row>
    <row r="1079" spans="1:4">
      <c r="A1079" s="261">
        <v>804101</v>
      </c>
      <c r="B1079" s="265" t="s">
        <v>12376</v>
      </c>
      <c r="C1079" s="261" t="s">
        <v>97</v>
      </c>
      <c r="D1079" s="266">
        <v>1201.78</v>
      </c>
    </row>
    <row r="1080" spans="1:4">
      <c r="A1080" s="261">
        <v>804384</v>
      </c>
      <c r="B1080" s="265" t="s">
        <v>12377</v>
      </c>
      <c r="C1080" s="261" t="s">
        <v>97</v>
      </c>
      <c r="D1080" s="266">
        <v>1531.63</v>
      </c>
    </row>
    <row r="1081" spans="1:4">
      <c r="A1081" s="261">
        <v>804100</v>
      </c>
      <c r="B1081" s="265" t="s">
        <v>12378</v>
      </c>
      <c r="C1081" s="261" t="s">
        <v>97</v>
      </c>
      <c r="D1081" s="266">
        <v>1030.83</v>
      </c>
    </row>
    <row r="1082" spans="1:4">
      <c r="A1082" s="261">
        <v>804105</v>
      </c>
      <c r="B1082" s="265" t="s">
        <v>12379</v>
      </c>
      <c r="C1082" s="261" t="s">
        <v>97</v>
      </c>
      <c r="D1082" s="266">
        <v>1206.1400000000001</v>
      </c>
    </row>
    <row r="1083" spans="1:4">
      <c r="A1083" s="261">
        <v>804104</v>
      </c>
      <c r="B1083" s="265" t="s">
        <v>12380</v>
      </c>
      <c r="C1083" s="261" t="s">
        <v>97</v>
      </c>
      <c r="D1083" s="266">
        <v>1035.08</v>
      </c>
    </row>
    <row r="1084" spans="1:4">
      <c r="A1084" s="261">
        <v>804387</v>
      </c>
      <c r="B1084" s="265" t="s">
        <v>12381</v>
      </c>
      <c r="C1084" s="261" t="s">
        <v>97</v>
      </c>
      <c r="D1084" s="266">
        <v>1851.73</v>
      </c>
    </row>
    <row r="1085" spans="1:4">
      <c r="A1085" s="261">
        <v>804107</v>
      </c>
      <c r="B1085" s="265" t="s">
        <v>12382</v>
      </c>
      <c r="C1085" s="261" t="s">
        <v>97</v>
      </c>
      <c r="D1085" s="266">
        <v>1212.07</v>
      </c>
    </row>
    <row r="1086" spans="1:4">
      <c r="A1086" s="261">
        <v>804386</v>
      </c>
      <c r="B1086" s="265" t="s">
        <v>12383</v>
      </c>
      <c r="C1086" s="261" t="s">
        <v>97</v>
      </c>
      <c r="D1086" s="266">
        <v>1612.89</v>
      </c>
    </row>
    <row r="1087" spans="1:4">
      <c r="A1087" s="261">
        <v>804106</v>
      </c>
      <c r="B1087" s="265" t="s">
        <v>12384</v>
      </c>
      <c r="C1087" s="261" t="s">
        <v>97</v>
      </c>
      <c r="D1087" s="266">
        <v>1040.9100000000001</v>
      </c>
    </row>
    <row r="1088" spans="1:4">
      <c r="A1088" s="261">
        <v>804109</v>
      </c>
      <c r="B1088" s="265" t="s">
        <v>12385</v>
      </c>
      <c r="C1088" s="261" t="s">
        <v>97</v>
      </c>
      <c r="D1088" s="266">
        <v>1221.1600000000001</v>
      </c>
    </row>
    <row r="1089" spans="1:4">
      <c r="A1089" s="261">
        <v>804108</v>
      </c>
      <c r="B1089" s="265" t="s">
        <v>12386</v>
      </c>
      <c r="C1089" s="261" t="s">
        <v>97</v>
      </c>
      <c r="D1089" s="266">
        <v>1049.9000000000001</v>
      </c>
    </row>
    <row r="1090" spans="1:4">
      <c r="A1090" s="261">
        <v>804111</v>
      </c>
      <c r="B1090" s="265" t="s">
        <v>12387</v>
      </c>
      <c r="C1090" s="261" t="s">
        <v>97</v>
      </c>
      <c r="D1090" s="266">
        <v>1233.03</v>
      </c>
    </row>
    <row r="1091" spans="1:4">
      <c r="A1091" s="261">
        <v>804110</v>
      </c>
      <c r="B1091" s="265" t="s">
        <v>12388</v>
      </c>
      <c r="C1091" s="261" t="s">
        <v>97</v>
      </c>
      <c r="D1091" s="266">
        <v>1061.55</v>
      </c>
    </row>
    <row r="1092" spans="1:4">
      <c r="A1092" s="261">
        <v>804389</v>
      </c>
      <c r="B1092" s="265" t="s">
        <v>12389</v>
      </c>
      <c r="C1092" s="261" t="s">
        <v>97</v>
      </c>
      <c r="D1092" s="266">
        <v>2067.7199999999998</v>
      </c>
    </row>
    <row r="1093" spans="1:4">
      <c r="A1093" s="261">
        <v>804113</v>
      </c>
      <c r="B1093" s="265" t="s">
        <v>12390</v>
      </c>
      <c r="C1093" s="261" t="s">
        <v>97</v>
      </c>
      <c r="D1093" s="266">
        <v>1249.26</v>
      </c>
    </row>
    <row r="1094" spans="1:4">
      <c r="A1094" s="261">
        <v>804388</v>
      </c>
      <c r="B1094" s="265" t="s">
        <v>12391</v>
      </c>
      <c r="C1094" s="261" t="s">
        <v>97</v>
      </c>
      <c r="D1094" s="266">
        <v>1799.63</v>
      </c>
    </row>
    <row r="1095" spans="1:4">
      <c r="A1095" s="261">
        <v>804112</v>
      </c>
      <c r="B1095" s="265" t="s">
        <v>12392</v>
      </c>
      <c r="C1095" s="261" t="s">
        <v>97</v>
      </c>
      <c r="D1095" s="266">
        <v>1077.46</v>
      </c>
    </row>
    <row r="1096" spans="1:4">
      <c r="A1096" s="261">
        <v>804115</v>
      </c>
      <c r="B1096" s="265" t="s">
        <v>12393</v>
      </c>
      <c r="C1096" s="261" t="s">
        <v>97</v>
      </c>
      <c r="D1096" s="266">
        <v>1271.8</v>
      </c>
    </row>
    <row r="1097" spans="1:4">
      <c r="A1097" s="261">
        <v>804114</v>
      </c>
      <c r="B1097" s="265" t="s">
        <v>12394</v>
      </c>
      <c r="C1097" s="261" t="s">
        <v>97</v>
      </c>
      <c r="D1097" s="266">
        <v>1099.68</v>
      </c>
    </row>
    <row r="1098" spans="1:4">
      <c r="A1098" s="261">
        <v>804117</v>
      </c>
      <c r="B1098" s="265" t="s">
        <v>12395</v>
      </c>
      <c r="C1098" s="261" t="s">
        <v>97</v>
      </c>
      <c r="D1098" s="266">
        <v>1301.44</v>
      </c>
    </row>
    <row r="1099" spans="1:4">
      <c r="A1099" s="261">
        <v>804116</v>
      </c>
      <c r="B1099" s="265" t="s">
        <v>12396</v>
      </c>
      <c r="C1099" s="261" t="s">
        <v>97</v>
      </c>
      <c r="D1099" s="266">
        <v>1129.01</v>
      </c>
    </row>
    <row r="1100" spans="1:4">
      <c r="A1100" s="261">
        <v>804391</v>
      </c>
      <c r="B1100" s="265" t="s">
        <v>12397</v>
      </c>
      <c r="C1100" s="261" t="s">
        <v>97</v>
      </c>
      <c r="D1100" s="266">
        <v>2565.42</v>
      </c>
    </row>
    <row r="1101" spans="1:4">
      <c r="A1101" s="261">
        <v>804119</v>
      </c>
      <c r="B1101" s="265" t="s">
        <v>12398</v>
      </c>
      <c r="C1101" s="261" t="s">
        <v>97</v>
      </c>
      <c r="D1101" s="266">
        <v>1342.13</v>
      </c>
    </row>
    <row r="1102" spans="1:4">
      <c r="A1102" s="261">
        <v>804390</v>
      </c>
      <c r="B1102" s="265" t="s">
        <v>12399</v>
      </c>
      <c r="C1102" s="261" t="s">
        <v>97</v>
      </c>
      <c r="D1102" s="266">
        <v>2228.8000000000002</v>
      </c>
    </row>
    <row r="1103" spans="1:4">
      <c r="A1103" s="261">
        <v>804118</v>
      </c>
      <c r="B1103" s="265" t="s">
        <v>12400</v>
      </c>
      <c r="C1103" s="261" t="s">
        <v>97</v>
      </c>
      <c r="D1103" s="266">
        <v>1169.3900000000001</v>
      </c>
    </row>
    <row r="1104" spans="1:4">
      <c r="A1104" s="261">
        <v>804103</v>
      </c>
      <c r="B1104" s="265" t="s">
        <v>12401</v>
      </c>
      <c r="C1104" s="261" t="s">
        <v>97</v>
      </c>
      <c r="D1104" s="266">
        <v>1203.3599999999999</v>
      </c>
    </row>
    <row r="1105" spans="1:4">
      <c r="A1105" s="261">
        <v>804102</v>
      </c>
      <c r="B1105" s="265" t="s">
        <v>12402</v>
      </c>
      <c r="C1105" s="261" t="s">
        <v>97</v>
      </c>
      <c r="D1105" s="266">
        <v>1032.4100000000001</v>
      </c>
    </row>
    <row r="1106" spans="1:4">
      <c r="A1106" s="261">
        <v>804393</v>
      </c>
      <c r="B1106" s="265" t="s">
        <v>12403</v>
      </c>
      <c r="C1106" s="261" t="s">
        <v>97</v>
      </c>
      <c r="D1106" s="266">
        <v>2697.67</v>
      </c>
    </row>
    <row r="1107" spans="1:4">
      <c r="A1107" s="261">
        <v>804121</v>
      </c>
      <c r="B1107" s="265" t="s">
        <v>12404</v>
      </c>
      <c r="C1107" s="261" t="s">
        <v>97</v>
      </c>
      <c r="D1107" s="266">
        <v>1793.07</v>
      </c>
    </row>
    <row r="1108" spans="1:4">
      <c r="A1108" s="261">
        <v>804392</v>
      </c>
      <c r="B1108" s="265" t="s">
        <v>12405</v>
      </c>
      <c r="C1108" s="261" t="s">
        <v>97</v>
      </c>
      <c r="D1108" s="266">
        <v>2321.0300000000002</v>
      </c>
    </row>
    <row r="1109" spans="1:4">
      <c r="A1109" s="261">
        <v>804120</v>
      </c>
      <c r="B1109" s="265" t="s">
        <v>12406</v>
      </c>
      <c r="C1109" s="261" t="s">
        <v>97</v>
      </c>
      <c r="D1109" s="266">
        <v>1527.62</v>
      </c>
    </row>
    <row r="1110" spans="1:4">
      <c r="A1110" s="261">
        <v>804125</v>
      </c>
      <c r="B1110" s="265" t="s">
        <v>12407</v>
      </c>
      <c r="C1110" s="261" t="s">
        <v>97</v>
      </c>
      <c r="D1110" s="266">
        <v>1799.01</v>
      </c>
    </row>
    <row r="1111" spans="1:4">
      <c r="A1111" s="261">
        <v>804124</v>
      </c>
      <c r="B1111" s="265" t="s">
        <v>12408</v>
      </c>
      <c r="C1111" s="261" t="s">
        <v>97</v>
      </c>
      <c r="D1111" s="266">
        <v>1533.45</v>
      </c>
    </row>
    <row r="1112" spans="1:4">
      <c r="A1112" s="261">
        <v>804395</v>
      </c>
      <c r="B1112" s="265" t="s">
        <v>12409</v>
      </c>
      <c r="C1112" s="261" t="s">
        <v>97</v>
      </c>
      <c r="D1112" s="266">
        <v>2833.06</v>
      </c>
    </row>
    <row r="1113" spans="1:4">
      <c r="A1113" s="261">
        <v>804127</v>
      </c>
      <c r="B1113" s="265" t="s">
        <v>12410</v>
      </c>
      <c r="C1113" s="261" t="s">
        <v>97</v>
      </c>
      <c r="D1113" s="266">
        <v>1807.72</v>
      </c>
    </row>
    <row r="1114" spans="1:4">
      <c r="A1114" s="261">
        <v>804394</v>
      </c>
      <c r="B1114" s="265" t="s">
        <v>12411</v>
      </c>
      <c r="C1114" s="261" t="s">
        <v>97</v>
      </c>
      <c r="D1114" s="266">
        <v>2436.35</v>
      </c>
    </row>
    <row r="1115" spans="1:4">
      <c r="A1115" s="261">
        <v>804126</v>
      </c>
      <c r="B1115" s="265" t="s">
        <v>12412</v>
      </c>
      <c r="C1115" s="261" t="s">
        <v>97</v>
      </c>
      <c r="D1115" s="266">
        <v>1541.95</v>
      </c>
    </row>
    <row r="1116" spans="1:4">
      <c r="A1116" s="261">
        <v>804129</v>
      </c>
      <c r="B1116" s="265" t="s">
        <v>12413</v>
      </c>
      <c r="C1116" s="261" t="s">
        <v>97</v>
      </c>
      <c r="D1116" s="266">
        <v>1820</v>
      </c>
    </row>
    <row r="1117" spans="1:4">
      <c r="A1117" s="261">
        <v>804128</v>
      </c>
      <c r="B1117" s="265" t="s">
        <v>12414</v>
      </c>
      <c r="C1117" s="261" t="s">
        <v>97</v>
      </c>
      <c r="D1117" s="266">
        <v>1553.91</v>
      </c>
    </row>
    <row r="1118" spans="1:4">
      <c r="A1118" s="261">
        <v>804131</v>
      </c>
      <c r="B1118" s="265" t="s">
        <v>12415</v>
      </c>
      <c r="C1118" s="261" t="s">
        <v>97</v>
      </c>
      <c r="D1118" s="266">
        <v>1837.01</v>
      </c>
    </row>
    <row r="1119" spans="1:4">
      <c r="A1119" s="261">
        <v>804130</v>
      </c>
      <c r="B1119" s="265" t="s">
        <v>12416</v>
      </c>
      <c r="C1119" s="261" t="s">
        <v>97</v>
      </c>
      <c r="D1119" s="266">
        <v>1570.61</v>
      </c>
    </row>
    <row r="1120" spans="1:4">
      <c r="A1120" s="261">
        <v>804397</v>
      </c>
      <c r="B1120" s="265" t="s">
        <v>12417</v>
      </c>
      <c r="C1120" s="261" t="s">
        <v>97</v>
      </c>
      <c r="D1120" s="266">
        <v>3156.93</v>
      </c>
    </row>
    <row r="1121" spans="1:4">
      <c r="A1121" s="261">
        <v>804133</v>
      </c>
      <c r="B1121" s="265" t="s">
        <v>12418</v>
      </c>
      <c r="C1121" s="261" t="s">
        <v>97</v>
      </c>
      <c r="D1121" s="266">
        <v>1860.75</v>
      </c>
    </row>
    <row r="1122" spans="1:4">
      <c r="A1122" s="261">
        <v>804396</v>
      </c>
      <c r="B1122" s="265" t="s">
        <v>12419</v>
      </c>
      <c r="C1122" s="261" t="s">
        <v>97</v>
      </c>
      <c r="D1122" s="266">
        <v>2712.92</v>
      </c>
    </row>
    <row r="1123" spans="1:4">
      <c r="A1123" s="261">
        <v>804132</v>
      </c>
      <c r="B1123" s="265" t="s">
        <v>12420</v>
      </c>
      <c r="C1123" s="261" t="s">
        <v>97</v>
      </c>
      <c r="D1123" s="266">
        <v>1593.92</v>
      </c>
    </row>
    <row r="1124" spans="1:4">
      <c r="A1124" s="261">
        <v>804135</v>
      </c>
      <c r="B1124" s="265" t="s">
        <v>12421</v>
      </c>
      <c r="C1124" s="261" t="s">
        <v>97</v>
      </c>
      <c r="D1124" s="266">
        <v>1891.59</v>
      </c>
    </row>
    <row r="1125" spans="1:4">
      <c r="A1125" s="261">
        <v>804134</v>
      </c>
      <c r="B1125" s="265" t="s">
        <v>12422</v>
      </c>
      <c r="C1125" s="261" t="s">
        <v>97</v>
      </c>
      <c r="D1125" s="266">
        <v>1624.34</v>
      </c>
    </row>
    <row r="1126" spans="1:4">
      <c r="A1126" s="261">
        <v>804137</v>
      </c>
      <c r="B1126" s="265" t="s">
        <v>12423</v>
      </c>
      <c r="C1126" s="261" t="s">
        <v>97</v>
      </c>
      <c r="D1126" s="266">
        <v>1855.75</v>
      </c>
    </row>
    <row r="1127" spans="1:4">
      <c r="A1127" s="261">
        <v>804136</v>
      </c>
      <c r="B1127" s="265" t="s">
        <v>12424</v>
      </c>
      <c r="C1127" s="261" t="s">
        <v>97</v>
      </c>
      <c r="D1127" s="266">
        <v>1587.97</v>
      </c>
    </row>
    <row r="1128" spans="1:4">
      <c r="A1128" s="261">
        <v>804399</v>
      </c>
      <c r="B1128" s="265" t="s">
        <v>12425</v>
      </c>
      <c r="C1128" s="261" t="s">
        <v>97</v>
      </c>
      <c r="D1128" s="266">
        <v>3926.67</v>
      </c>
    </row>
    <row r="1129" spans="1:4">
      <c r="A1129" s="261">
        <v>804139</v>
      </c>
      <c r="B1129" s="265" t="s">
        <v>12426</v>
      </c>
      <c r="C1129" s="261" t="s">
        <v>97</v>
      </c>
      <c r="D1129" s="266">
        <v>1993.18</v>
      </c>
    </row>
    <row r="1130" spans="1:4">
      <c r="A1130" s="261">
        <v>804398</v>
      </c>
      <c r="B1130" s="265" t="s">
        <v>12427</v>
      </c>
      <c r="C1130" s="261" t="s">
        <v>97</v>
      </c>
      <c r="D1130" s="266">
        <v>3367.78</v>
      </c>
    </row>
    <row r="1131" spans="1:4">
      <c r="A1131" s="261">
        <v>804138</v>
      </c>
      <c r="B1131" s="265" t="s">
        <v>12428</v>
      </c>
      <c r="C1131" s="261" t="s">
        <v>97</v>
      </c>
      <c r="D1131" s="266">
        <v>1724.77</v>
      </c>
    </row>
    <row r="1132" spans="1:4">
      <c r="A1132" s="261">
        <v>804123</v>
      </c>
      <c r="B1132" s="265" t="s">
        <v>12429</v>
      </c>
      <c r="C1132" s="261" t="s">
        <v>97</v>
      </c>
      <c r="D1132" s="266">
        <v>1793.86</v>
      </c>
    </row>
    <row r="1133" spans="1:4">
      <c r="A1133" s="261">
        <v>804122</v>
      </c>
      <c r="B1133" s="265" t="s">
        <v>12430</v>
      </c>
      <c r="C1133" s="261" t="s">
        <v>97</v>
      </c>
      <c r="D1133" s="266">
        <v>1528.41</v>
      </c>
    </row>
    <row r="1134" spans="1:4">
      <c r="A1134" s="261">
        <v>804401</v>
      </c>
      <c r="B1134" s="265" t="s">
        <v>12431</v>
      </c>
      <c r="C1134" s="261" t="s">
        <v>97</v>
      </c>
      <c r="D1134" s="266">
        <v>3883.62</v>
      </c>
    </row>
    <row r="1135" spans="1:4">
      <c r="A1135" s="261">
        <v>804141</v>
      </c>
      <c r="B1135" s="265" t="s">
        <v>12432</v>
      </c>
      <c r="C1135" s="261" t="s">
        <v>97</v>
      </c>
      <c r="D1135" s="266">
        <v>2484.41</v>
      </c>
    </row>
    <row r="1136" spans="1:4">
      <c r="A1136" s="261">
        <v>804400</v>
      </c>
      <c r="B1136" s="265" t="s">
        <v>12433</v>
      </c>
      <c r="C1136" s="261" t="s">
        <v>97</v>
      </c>
      <c r="D1136" s="266">
        <v>3302.24</v>
      </c>
    </row>
    <row r="1137" spans="1:4">
      <c r="A1137" s="261">
        <v>804140</v>
      </c>
      <c r="B1137" s="265" t="s">
        <v>12434</v>
      </c>
      <c r="C1137" s="261" t="s">
        <v>97</v>
      </c>
      <c r="D1137" s="266">
        <v>2100.2800000000002</v>
      </c>
    </row>
    <row r="1138" spans="1:4">
      <c r="A1138" s="261">
        <v>804145</v>
      </c>
      <c r="B1138" s="265" t="s">
        <v>12435</v>
      </c>
      <c r="C1138" s="261" t="s">
        <v>97</v>
      </c>
      <c r="D1138" s="266">
        <v>2493.94</v>
      </c>
    </row>
    <row r="1139" spans="1:4">
      <c r="A1139" s="261">
        <v>804144</v>
      </c>
      <c r="B1139" s="265" t="s">
        <v>12436</v>
      </c>
      <c r="C1139" s="261" t="s">
        <v>97</v>
      </c>
      <c r="D1139" s="266">
        <v>2109.39</v>
      </c>
    </row>
    <row r="1140" spans="1:4">
      <c r="A1140" s="261">
        <v>804403</v>
      </c>
      <c r="B1140" s="265" t="s">
        <v>12437</v>
      </c>
      <c r="C1140" s="261" t="s">
        <v>97</v>
      </c>
      <c r="D1140" s="266">
        <v>4089.09</v>
      </c>
    </row>
    <row r="1141" spans="1:4">
      <c r="A1141" s="261">
        <v>804147</v>
      </c>
      <c r="B1141" s="265" t="s">
        <v>12438</v>
      </c>
      <c r="C1141" s="261" t="s">
        <v>97</v>
      </c>
      <c r="D1141" s="266">
        <v>2505.84</v>
      </c>
    </row>
    <row r="1142" spans="1:4">
      <c r="A1142" s="261">
        <v>804402</v>
      </c>
      <c r="B1142" s="265" t="s">
        <v>12439</v>
      </c>
      <c r="C1142" s="261" t="s">
        <v>97</v>
      </c>
      <c r="D1142" s="266">
        <v>3474.66</v>
      </c>
    </row>
    <row r="1143" spans="1:4">
      <c r="A1143" s="261">
        <v>804146</v>
      </c>
      <c r="B1143" s="265" t="s">
        <v>12440</v>
      </c>
      <c r="C1143" s="261" t="s">
        <v>97</v>
      </c>
      <c r="D1143" s="266">
        <v>2120.86</v>
      </c>
    </row>
    <row r="1144" spans="1:4">
      <c r="A1144" s="261">
        <v>804149</v>
      </c>
      <c r="B1144" s="265" t="s">
        <v>12441</v>
      </c>
      <c r="C1144" s="261" t="s">
        <v>97</v>
      </c>
      <c r="D1144" s="266">
        <v>2523.6999999999998</v>
      </c>
    </row>
    <row r="1145" spans="1:4">
      <c r="A1145" s="261">
        <v>804148</v>
      </c>
      <c r="B1145" s="265" t="s">
        <v>12442</v>
      </c>
      <c r="C1145" s="261" t="s">
        <v>97</v>
      </c>
      <c r="D1145" s="266">
        <v>2137.98</v>
      </c>
    </row>
    <row r="1146" spans="1:4">
      <c r="A1146" s="261">
        <v>804151</v>
      </c>
      <c r="B1146" s="265" t="s">
        <v>12443</v>
      </c>
      <c r="C1146" s="261" t="s">
        <v>97</v>
      </c>
      <c r="D1146" s="266">
        <v>2548.29</v>
      </c>
    </row>
    <row r="1147" spans="1:4">
      <c r="A1147" s="261">
        <v>804150</v>
      </c>
      <c r="B1147" s="265" t="s">
        <v>12444</v>
      </c>
      <c r="C1147" s="261" t="s">
        <v>97</v>
      </c>
      <c r="D1147" s="266">
        <v>2161.7199999999998</v>
      </c>
    </row>
    <row r="1148" spans="1:4">
      <c r="A1148" s="261">
        <v>804405</v>
      </c>
      <c r="B1148" s="265" t="s">
        <v>12445</v>
      </c>
      <c r="C1148" s="261" t="s">
        <v>97</v>
      </c>
      <c r="D1148" s="266">
        <v>4569.6400000000003</v>
      </c>
    </row>
    <row r="1149" spans="1:4">
      <c r="A1149" s="261">
        <v>804153</v>
      </c>
      <c r="B1149" s="265" t="s">
        <v>12446</v>
      </c>
      <c r="C1149" s="261" t="s">
        <v>97</v>
      </c>
      <c r="D1149" s="266">
        <v>2581.59</v>
      </c>
    </row>
    <row r="1150" spans="1:4">
      <c r="A1150" s="261">
        <v>804404</v>
      </c>
      <c r="B1150" s="265" t="s">
        <v>12447</v>
      </c>
      <c r="C1150" s="261" t="s">
        <v>97</v>
      </c>
      <c r="D1150" s="266">
        <v>3879.5</v>
      </c>
    </row>
    <row r="1151" spans="1:4">
      <c r="A1151" s="261">
        <v>804152</v>
      </c>
      <c r="B1151" s="265" t="s">
        <v>12448</v>
      </c>
      <c r="C1151" s="261" t="s">
        <v>97</v>
      </c>
      <c r="D1151" s="266">
        <v>2193.9699999999998</v>
      </c>
    </row>
    <row r="1152" spans="1:4">
      <c r="A1152" s="261">
        <v>804155</v>
      </c>
      <c r="B1152" s="265" t="s">
        <v>12449</v>
      </c>
      <c r="C1152" s="261" t="s">
        <v>97</v>
      </c>
      <c r="D1152" s="266">
        <v>2624.77</v>
      </c>
    </row>
    <row r="1153" spans="1:4">
      <c r="A1153" s="261">
        <v>804154</v>
      </c>
      <c r="B1153" s="265" t="s">
        <v>12450</v>
      </c>
      <c r="C1153" s="261" t="s">
        <v>97</v>
      </c>
      <c r="D1153" s="266">
        <v>2235.98</v>
      </c>
    </row>
    <row r="1154" spans="1:4">
      <c r="A1154" s="261">
        <v>804157</v>
      </c>
      <c r="B1154" s="265" t="s">
        <v>12451</v>
      </c>
      <c r="C1154" s="261" t="s">
        <v>97</v>
      </c>
      <c r="D1154" s="266">
        <v>2684.55</v>
      </c>
    </row>
    <row r="1155" spans="1:4">
      <c r="A1155" s="261">
        <v>804156</v>
      </c>
      <c r="B1155" s="265" t="s">
        <v>12452</v>
      </c>
      <c r="C1155" s="261" t="s">
        <v>97</v>
      </c>
      <c r="D1155" s="266">
        <v>2294.39</v>
      </c>
    </row>
    <row r="1156" spans="1:4">
      <c r="A1156" s="261">
        <v>804407</v>
      </c>
      <c r="B1156" s="265" t="s">
        <v>12453</v>
      </c>
      <c r="C1156" s="261" t="s">
        <v>97</v>
      </c>
      <c r="D1156" s="266">
        <v>5689.83</v>
      </c>
    </row>
    <row r="1157" spans="1:4">
      <c r="A1157" s="261">
        <v>804159</v>
      </c>
      <c r="B1157" s="265" t="s">
        <v>12454</v>
      </c>
      <c r="C1157" s="261" t="s">
        <v>97</v>
      </c>
      <c r="D1157" s="266">
        <v>2764.47</v>
      </c>
    </row>
    <row r="1158" spans="1:4">
      <c r="A1158" s="261">
        <v>804406</v>
      </c>
      <c r="B1158" s="265" t="s">
        <v>12455</v>
      </c>
      <c r="C1158" s="261" t="s">
        <v>97</v>
      </c>
      <c r="D1158" s="266">
        <v>4819.45</v>
      </c>
    </row>
    <row r="1159" spans="1:4">
      <c r="A1159" s="261">
        <v>804158</v>
      </c>
      <c r="B1159" s="265" t="s">
        <v>12456</v>
      </c>
      <c r="C1159" s="261" t="s">
        <v>97</v>
      </c>
      <c r="D1159" s="266">
        <v>2372.84</v>
      </c>
    </row>
    <row r="1160" spans="1:4">
      <c r="A1160" s="261">
        <v>804143</v>
      </c>
      <c r="B1160" s="265" t="s">
        <v>12457</v>
      </c>
      <c r="C1160" s="261" t="s">
        <v>97</v>
      </c>
      <c r="D1160" s="266">
        <v>2487.19</v>
      </c>
    </row>
    <row r="1161" spans="1:4">
      <c r="A1161" s="261">
        <v>804142</v>
      </c>
      <c r="B1161" s="265" t="s">
        <v>12458</v>
      </c>
      <c r="C1161" s="261" t="s">
        <v>97</v>
      </c>
      <c r="D1161" s="266">
        <v>2102.9499999999998</v>
      </c>
    </row>
    <row r="1162" spans="1:4">
      <c r="A1162" s="261">
        <v>804409</v>
      </c>
      <c r="B1162" s="265" t="s">
        <v>12459</v>
      </c>
      <c r="C1162" s="261" t="s">
        <v>97</v>
      </c>
      <c r="D1162" s="266">
        <v>6993.13</v>
      </c>
    </row>
    <row r="1163" spans="1:4">
      <c r="A1163" s="261">
        <v>804161</v>
      </c>
      <c r="B1163" s="265" t="s">
        <v>12460</v>
      </c>
      <c r="C1163" s="261" t="s">
        <v>97</v>
      </c>
      <c r="D1163" s="266">
        <v>4264.6400000000003</v>
      </c>
    </row>
    <row r="1164" spans="1:4">
      <c r="A1164" s="261">
        <v>804408</v>
      </c>
      <c r="B1164" s="265" t="s">
        <v>12461</v>
      </c>
      <c r="C1164" s="261" t="s">
        <v>97</v>
      </c>
      <c r="D1164" s="266">
        <v>5851.7</v>
      </c>
    </row>
    <row r="1165" spans="1:4">
      <c r="A1165" s="261">
        <v>804160</v>
      </c>
      <c r="B1165" s="265" t="s">
        <v>12462</v>
      </c>
      <c r="C1165" s="261" t="s">
        <v>97</v>
      </c>
      <c r="D1165" s="266">
        <v>3579.68</v>
      </c>
    </row>
    <row r="1166" spans="1:4">
      <c r="A1166" s="261">
        <v>804165</v>
      </c>
      <c r="B1166" s="265" t="s">
        <v>12463</v>
      </c>
      <c r="C1166" s="261" t="s">
        <v>97</v>
      </c>
      <c r="D1166" s="266">
        <v>4277.74</v>
      </c>
    </row>
    <row r="1167" spans="1:4">
      <c r="A1167" s="261">
        <v>804164</v>
      </c>
      <c r="B1167" s="265" t="s">
        <v>12464</v>
      </c>
      <c r="C1167" s="261" t="s">
        <v>97</v>
      </c>
      <c r="D1167" s="266">
        <v>3592.25</v>
      </c>
    </row>
    <row r="1168" spans="1:4">
      <c r="A1168" s="261">
        <v>804411</v>
      </c>
      <c r="B1168" s="265" t="s">
        <v>12465</v>
      </c>
      <c r="C1168" s="261" t="s">
        <v>97</v>
      </c>
      <c r="D1168" s="266">
        <v>7374.4</v>
      </c>
    </row>
    <row r="1169" spans="1:4">
      <c r="A1169" s="261">
        <v>804167</v>
      </c>
      <c r="B1169" s="265" t="s">
        <v>12466</v>
      </c>
      <c r="C1169" s="261" t="s">
        <v>97</v>
      </c>
      <c r="D1169" s="266">
        <v>4294.8100000000004</v>
      </c>
    </row>
    <row r="1170" spans="1:4">
      <c r="A1170" s="261">
        <v>804410</v>
      </c>
      <c r="B1170" s="265" t="s">
        <v>12467</v>
      </c>
      <c r="C1170" s="261" t="s">
        <v>97</v>
      </c>
      <c r="D1170" s="266">
        <v>6167.4</v>
      </c>
    </row>
    <row r="1171" spans="1:4">
      <c r="A1171" s="261">
        <v>804166</v>
      </c>
      <c r="B1171" s="265" t="s">
        <v>12468</v>
      </c>
      <c r="C1171" s="261" t="s">
        <v>97</v>
      </c>
      <c r="D1171" s="266">
        <v>3608.58</v>
      </c>
    </row>
    <row r="1172" spans="1:4">
      <c r="A1172" s="261">
        <v>804169</v>
      </c>
      <c r="B1172" s="265" t="s">
        <v>12469</v>
      </c>
      <c r="C1172" s="261" t="s">
        <v>97</v>
      </c>
      <c r="D1172" s="266">
        <v>4319.8100000000004</v>
      </c>
    </row>
    <row r="1173" spans="1:4">
      <c r="A1173" s="261">
        <v>804168</v>
      </c>
      <c r="B1173" s="265" t="s">
        <v>12470</v>
      </c>
      <c r="C1173" s="261" t="s">
        <v>97</v>
      </c>
      <c r="D1173" s="266">
        <v>3632.63</v>
      </c>
    </row>
    <row r="1174" spans="1:4">
      <c r="A1174" s="261">
        <v>804171</v>
      </c>
      <c r="B1174" s="265" t="s">
        <v>12471</v>
      </c>
      <c r="C1174" s="261" t="s">
        <v>97</v>
      </c>
      <c r="D1174" s="266">
        <v>4353.92</v>
      </c>
    </row>
    <row r="1175" spans="1:4">
      <c r="A1175" s="261">
        <v>804170</v>
      </c>
      <c r="B1175" s="265" t="s">
        <v>12472</v>
      </c>
      <c r="C1175" s="261" t="s">
        <v>97</v>
      </c>
      <c r="D1175" s="266">
        <v>3665.48</v>
      </c>
    </row>
    <row r="1176" spans="1:4">
      <c r="A1176" s="261">
        <v>804413</v>
      </c>
      <c r="B1176" s="265" t="s">
        <v>12473</v>
      </c>
      <c r="C1176" s="261" t="s">
        <v>97</v>
      </c>
      <c r="D1176" s="266">
        <v>8262.52</v>
      </c>
    </row>
    <row r="1177" spans="1:4">
      <c r="A1177" s="261">
        <v>804173</v>
      </c>
      <c r="B1177" s="265" t="s">
        <v>12474</v>
      </c>
      <c r="C1177" s="261" t="s">
        <v>97</v>
      </c>
      <c r="D1177" s="266">
        <v>4399.91</v>
      </c>
    </row>
    <row r="1178" spans="1:4">
      <c r="A1178" s="261">
        <v>804412</v>
      </c>
      <c r="B1178" s="265" t="s">
        <v>12475</v>
      </c>
      <c r="C1178" s="261" t="s">
        <v>97</v>
      </c>
      <c r="D1178" s="266">
        <v>6903.79</v>
      </c>
    </row>
    <row r="1179" spans="1:4">
      <c r="A1179" s="261">
        <v>804172</v>
      </c>
      <c r="B1179" s="265" t="s">
        <v>12476</v>
      </c>
      <c r="C1179" s="261" t="s">
        <v>97</v>
      </c>
      <c r="D1179" s="266">
        <v>3709.98</v>
      </c>
    </row>
    <row r="1180" spans="1:4">
      <c r="A1180" s="261">
        <v>804175</v>
      </c>
      <c r="B1180" s="265" t="s">
        <v>12477</v>
      </c>
      <c r="C1180" s="261" t="s">
        <v>97</v>
      </c>
      <c r="D1180" s="266">
        <v>4461.71</v>
      </c>
    </row>
    <row r="1181" spans="1:4">
      <c r="A1181" s="261">
        <v>804174</v>
      </c>
      <c r="B1181" s="265" t="s">
        <v>12478</v>
      </c>
      <c r="C1181" s="261" t="s">
        <v>97</v>
      </c>
      <c r="D1181" s="266">
        <v>3770.09</v>
      </c>
    </row>
    <row r="1182" spans="1:4">
      <c r="A1182" s="261">
        <v>804177</v>
      </c>
      <c r="B1182" s="265" t="s">
        <v>12479</v>
      </c>
      <c r="C1182" s="261" t="s">
        <v>97</v>
      </c>
      <c r="D1182" s="266">
        <v>4544.47</v>
      </c>
    </row>
    <row r="1183" spans="1:4">
      <c r="A1183" s="261">
        <v>804176</v>
      </c>
      <c r="B1183" s="265" t="s">
        <v>12480</v>
      </c>
      <c r="C1183" s="261" t="s">
        <v>97</v>
      </c>
      <c r="D1183" s="266">
        <v>3850.85</v>
      </c>
    </row>
    <row r="1184" spans="1:4">
      <c r="A1184" s="261">
        <v>804415</v>
      </c>
      <c r="B1184" s="265" t="s">
        <v>12481</v>
      </c>
      <c r="C1184" s="261" t="s">
        <v>97</v>
      </c>
      <c r="D1184" s="266">
        <v>10351.280000000001</v>
      </c>
    </row>
    <row r="1185" spans="1:4">
      <c r="A1185" s="261">
        <v>804179</v>
      </c>
      <c r="B1185" s="265" t="s">
        <v>12482</v>
      </c>
      <c r="C1185" s="261" t="s">
        <v>97</v>
      </c>
      <c r="D1185" s="266">
        <v>4658.04</v>
      </c>
    </row>
    <row r="1186" spans="1:4">
      <c r="A1186" s="261">
        <v>804414</v>
      </c>
      <c r="B1186" s="265" t="s">
        <v>12483</v>
      </c>
      <c r="C1186" s="261" t="s">
        <v>97</v>
      </c>
      <c r="D1186" s="266">
        <v>8629.85</v>
      </c>
    </row>
    <row r="1187" spans="1:4">
      <c r="A1187" s="261">
        <v>804178</v>
      </c>
      <c r="B1187" s="265" t="s">
        <v>12484</v>
      </c>
      <c r="C1187" s="261" t="s">
        <v>97</v>
      </c>
      <c r="D1187" s="266">
        <v>3962.2</v>
      </c>
    </row>
    <row r="1188" spans="1:4">
      <c r="A1188" s="261">
        <v>804163</v>
      </c>
      <c r="B1188" s="265" t="s">
        <v>12485</v>
      </c>
      <c r="C1188" s="261" t="s">
        <v>97</v>
      </c>
      <c r="D1188" s="266">
        <v>4268.21</v>
      </c>
    </row>
    <row r="1189" spans="1:4">
      <c r="A1189" s="261">
        <v>804162</v>
      </c>
      <c r="B1189" s="265" t="s">
        <v>12486</v>
      </c>
      <c r="C1189" s="261" t="s">
        <v>97</v>
      </c>
      <c r="D1189" s="266">
        <v>3583.14</v>
      </c>
    </row>
    <row r="1190" spans="1:4">
      <c r="A1190" s="261">
        <v>804441</v>
      </c>
      <c r="B1190" s="265" t="s">
        <v>12487</v>
      </c>
      <c r="C1190" s="261" t="s">
        <v>97</v>
      </c>
      <c r="D1190" s="266">
        <v>4810</v>
      </c>
    </row>
    <row r="1191" spans="1:4">
      <c r="A1191" s="261">
        <v>804317</v>
      </c>
      <c r="B1191" s="265" t="s">
        <v>12488</v>
      </c>
      <c r="C1191" s="261" t="s">
        <v>97</v>
      </c>
      <c r="D1191" s="266">
        <v>2612.84</v>
      </c>
    </row>
    <row r="1192" spans="1:4">
      <c r="A1192" s="261">
        <v>804440</v>
      </c>
      <c r="B1192" s="265" t="s">
        <v>12489</v>
      </c>
      <c r="C1192" s="261" t="s">
        <v>97</v>
      </c>
      <c r="D1192" s="266">
        <v>4108.3500000000004</v>
      </c>
    </row>
    <row r="1193" spans="1:4">
      <c r="A1193" s="261">
        <v>804316</v>
      </c>
      <c r="B1193" s="265" t="s">
        <v>12490</v>
      </c>
      <c r="C1193" s="261" t="s">
        <v>97</v>
      </c>
      <c r="D1193" s="266">
        <v>2210.44</v>
      </c>
    </row>
    <row r="1194" spans="1:4">
      <c r="A1194" s="261">
        <v>804321</v>
      </c>
      <c r="B1194" s="265" t="s">
        <v>12491</v>
      </c>
      <c r="C1194" s="261" t="s">
        <v>97</v>
      </c>
      <c r="D1194" s="266">
        <v>2631.96</v>
      </c>
    </row>
    <row r="1195" spans="1:4">
      <c r="A1195" s="261">
        <v>804320</v>
      </c>
      <c r="B1195" s="265" t="s">
        <v>12492</v>
      </c>
      <c r="C1195" s="261" t="s">
        <v>97</v>
      </c>
      <c r="D1195" s="266">
        <v>2228.29</v>
      </c>
    </row>
    <row r="1196" spans="1:4">
      <c r="A1196" s="261">
        <v>804443</v>
      </c>
      <c r="B1196" s="265" t="s">
        <v>12493</v>
      </c>
      <c r="C1196" s="261" t="s">
        <v>97</v>
      </c>
      <c r="D1196" s="266">
        <v>5019.18</v>
      </c>
    </row>
    <row r="1197" spans="1:4">
      <c r="A1197" s="261">
        <v>804323</v>
      </c>
      <c r="B1197" s="265" t="s">
        <v>12494</v>
      </c>
      <c r="C1197" s="261" t="s">
        <v>97</v>
      </c>
      <c r="D1197" s="266">
        <v>2657.46</v>
      </c>
    </row>
    <row r="1198" spans="1:4">
      <c r="A1198" s="261">
        <v>804442</v>
      </c>
      <c r="B1198" s="265" t="s">
        <v>12495</v>
      </c>
      <c r="C1198" s="261" t="s">
        <v>97</v>
      </c>
      <c r="D1198" s="266">
        <v>4286.17</v>
      </c>
    </row>
    <row r="1199" spans="1:4">
      <c r="A1199" s="261">
        <v>804322</v>
      </c>
      <c r="B1199" s="265" t="s">
        <v>12496</v>
      </c>
      <c r="C1199" s="261" t="s">
        <v>97</v>
      </c>
      <c r="D1199" s="266">
        <v>2252.1</v>
      </c>
    </row>
    <row r="1200" spans="1:4">
      <c r="A1200" s="261">
        <v>804325</v>
      </c>
      <c r="B1200" s="265" t="s">
        <v>12497</v>
      </c>
      <c r="C1200" s="261" t="s">
        <v>97</v>
      </c>
      <c r="D1200" s="266">
        <v>2694.47</v>
      </c>
    </row>
    <row r="1201" spans="1:4">
      <c r="A1201" s="261">
        <v>804324</v>
      </c>
      <c r="B1201" s="265" t="s">
        <v>12498</v>
      </c>
      <c r="C1201" s="261" t="s">
        <v>97</v>
      </c>
      <c r="D1201" s="266">
        <v>2286.89</v>
      </c>
    </row>
    <row r="1202" spans="1:4">
      <c r="A1202" s="261">
        <v>804327</v>
      </c>
      <c r="B1202" s="265" t="s">
        <v>12499</v>
      </c>
      <c r="C1202" s="261" t="s">
        <v>97</v>
      </c>
      <c r="D1202" s="266">
        <v>2745.39</v>
      </c>
    </row>
    <row r="1203" spans="1:4">
      <c r="A1203" s="261">
        <v>804326</v>
      </c>
      <c r="B1203" s="265" t="s">
        <v>12500</v>
      </c>
      <c r="C1203" s="261" t="s">
        <v>97</v>
      </c>
      <c r="D1203" s="266">
        <v>2334.86</v>
      </c>
    </row>
    <row r="1204" spans="1:4">
      <c r="A1204" s="261">
        <v>804445</v>
      </c>
      <c r="B1204" s="265" t="s">
        <v>12501</v>
      </c>
      <c r="C1204" s="261" t="s">
        <v>97</v>
      </c>
      <c r="D1204" s="266">
        <v>5600.35</v>
      </c>
    </row>
    <row r="1205" spans="1:4">
      <c r="A1205" s="261">
        <v>804329</v>
      </c>
      <c r="B1205" s="265" t="s">
        <v>12502</v>
      </c>
      <c r="C1205" s="261" t="s">
        <v>97</v>
      </c>
      <c r="D1205" s="266">
        <v>2813.36</v>
      </c>
    </row>
    <row r="1206" spans="1:4">
      <c r="A1206" s="261">
        <v>804444</v>
      </c>
      <c r="B1206" s="265" t="s">
        <v>12503</v>
      </c>
      <c r="C1206" s="261" t="s">
        <v>97</v>
      </c>
      <c r="D1206" s="266">
        <v>4780.34</v>
      </c>
    </row>
    <row r="1207" spans="1:4">
      <c r="A1207" s="261">
        <v>804328</v>
      </c>
      <c r="B1207" s="265" t="s">
        <v>12504</v>
      </c>
      <c r="C1207" s="261" t="s">
        <v>97</v>
      </c>
      <c r="D1207" s="266">
        <v>2399.34</v>
      </c>
    </row>
    <row r="1208" spans="1:4">
      <c r="A1208" s="261">
        <v>804331</v>
      </c>
      <c r="B1208" s="265" t="s">
        <v>12505</v>
      </c>
      <c r="C1208" s="261" t="s">
        <v>97</v>
      </c>
      <c r="D1208" s="266">
        <v>2901.53</v>
      </c>
    </row>
    <row r="1209" spans="1:4">
      <c r="A1209" s="261">
        <v>804330</v>
      </c>
      <c r="B1209" s="265" t="s">
        <v>12506</v>
      </c>
      <c r="C1209" s="261" t="s">
        <v>97</v>
      </c>
      <c r="D1209" s="266">
        <v>2483.5</v>
      </c>
    </row>
    <row r="1210" spans="1:4">
      <c r="A1210" s="261">
        <v>804333</v>
      </c>
      <c r="B1210" s="265" t="s">
        <v>12507</v>
      </c>
      <c r="C1210" s="261" t="s">
        <v>97</v>
      </c>
      <c r="D1210" s="266">
        <v>3019.78</v>
      </c>
    </row>
    <row r="1211" spans="1:4">
      <c r="A1211" s="261">
        <v>804332</v>
      </c>
      <c r="B1211" s="265" t="s">
        <v>12508</v>
      </c>
      <c r="C1211" s="261" t="s">
        <v>97</v>
      </c>
      <c r="D1211" s="266">
        <v>2597.11</v>
      </c>
    </row>
    <row r="1212" spans="1:4">
      <c r="A1212" s="261">
        <v>804447</v>
      </c>
      <c r="B1212" s="265" t="s">
        <v>12509</v>
      </c>
      <c r="C1212" s="261" t="s">
        <v>97</v>
      </c>
      <c r="D1212" s="266">
        <v>6926.04</v>
      </c>
    </row>
    <row r="1213" spans="1:4">
      <c r="A1213" s="261">
        <v>804335</v>
      </c>
      <c r="B1213" s="265" t="s">
        <v>12510</v>
      </c>
      <c r="C1213" s="261" t="s">
        <v>97</v>
      </c>
      <c r="D1213" s="266">
        <v>3176.77</v>
      </c>
    </row>
    <row r="1214" spans="1:4">
      <c r="A1214" s="261">
        <v>804446</v>
      </c>
      <c r="B1214" s="265" t="s">
        <v>12511</v>
      </c>
      <c r="C1214" s="261" t="s">
        <v>97</v>
      </c>
      <c r="D1214" s="266">
        <v>5906.78</v>
      </c>
    </row>
    <row r="1215" spans="1:4">
      <c r="A1215" s="261">
        <v>804334</v>
      </c>
      <c r="B1215" s="265" t="s">
        <v>12512</v>
      </c>
      <c r="C1215" s="261" t="s">
        <v>97</v>
      </c>
      <c r="D1215" s="266">
        <v>2749.02</v>
      </c>
    </row>
    <row r="1216" spans="1:4">
      <c r="A1216" s="261">
        <v>804319</v>
      </c>
      <c r="B1216" s="265" t="s">
        <v>12513</v>
      </c>
      <c r="C1216" s="261" t="s">
        <v>97</v>
      </c>
      <c r="D1216" s="266">
        <v>2617.23</v>
      </c>
    </row>
    <row r="1217" spans="1:4">
      <c r="A1217" s="261">
        <v>804318</v>
      </c>
      <c r="B1217" s="265" t="s">
        <v>12514</v>
      </c>
      <c r="C1217" s="261" t="s">
        <v>97</v>
      </c>
      <c r="D1217" s="266">
        <v>2214.5100000000002</v>
      </c>
    </row>
    <row r="1218" spans="1:4">
      <c r="A1218" s="261">
        <v>804449</v>
      </c>
      <c r="B1218" s="265" t="s">
        <v>12515</v>
      </c>
      <c r="C1218" s="261" t="s">
        <v>97</v>
      </c>
      <c r="D1218" s="266">
        <v>6954.46</v>
      </c>
    </row>
    <row r="1219" spans="1:4">
      <c r="A1219" s="261">
        <v>804337</v>
      </c>
      <c r="B1219" s="265" t="s">
        <v>12516</v>
      </c>
      <c r="C1219" s="261" t="s">
        <v>97</v>
      </c>
      <c r="D1219" s="266">
        <v>3565.01</v>
      </c>
    </row>
    <row r="1220" spans="1:4">
      <c r="A1220" s="261">
        <v>804448</v>
      </c>
      <c r="B1220" s="265" t="s">
        <v>12517</v>
      </c>
      <c r="C1220" s="261" t="s">
        <v>97</v>
      </c>
      <c r="D1220" s="266">
        <v>5869.84</v>
      </c>
    </row>
    <row r="1221" spans="1:4">
      <c r="A1221" s="261">
        <v>804336</v>
      </c>
      <c r="B1221" s="265" t="s">
        <v>12518</v>
      </c>
      <c r="C1221" s="261" t="s">
        <v>97</v>
      </c>
      <c r="D1221" s="266">
        <v>2984.58</v>
      </c>
    </row>
    <row r="1222" spans="1:4">
      <c r="A1222" s="261">
        <v>804341</v>
      </c>
      <c r="B1222" s="265" t="s">
        <v>12519</v>
      </c>
      <c r="C1222" s="261" t="s">
        <v>97</v>
      </c>
      <c r="D1222" s="266">
        <v>3593.77</v>
      </c>
    </row>
    <row r="1223" spans="1:4">
      <c r="A1223" s="261">
        <v>804340</v>
      </c>
      <c r="B1223" s="265" t="s">
        <v>12520</v>
      </c>
      <c r="C1223" s="261" t="s">
        <v>97</v>
      </c>
      <c r="D1223" s="266">
        <v>3010.81</v>
      </c>
    </row>
    <row r="1224" spans="1:4">
      <c r="A1224" s="261">
        <v>804451</v>
      </c>
      <c r="B1224" s="265" t="s">
        <v>12521</v>
      </c>
      <c r="C1224" s="261" t="s">
        <v>97</v>
      </c>
      <c r="D1224" s="266">
        <v>7272.98</v>
      </c>
    </row>
    <row r="1225" spans="1:4">
      <c r="A1225" s="261">
        <v>804343</v>
      </c>
      <c r="B1225" s="265" t="s">
        <v>12522</v>
      </c>
      <c r="C1225" s="261" t="s">
        <v>97</v>
      </c>
      <c r="D1225" s="266">
        <v>3630.52</v>
      </c>
    </row>
    <row r="1226" spans="1:4">
      <c r="A1226" s="261">
        <v>804450</v>
      </c>
      <c r="B1226" s="265" t="s">
        <v>12523</v>
      </c>
      <c r="C1226" s="261" t="s">
        <v>97</v>
      </c>
      <c r="D1226" s="266">
        <v>6136.94</v>
      </c>
    </row>
    <row r="1227" spans="1:4">
      <c r="A1227" s="261">
        <v>804342</v>
      </c>
      <c r="B1227" s="265" t="s">
        <v>12524</v>
      </c>
      <c r="C1227" s="261" t="s">
        <v>97</v>
      </c>
      <c r="D1227" s="266">
        <v>3044.39</v>
      </c>
    </row>
    <row r="1228" spans="1:4">
      <c r="A1228" s="261">
        <v>804345</v>
      </c>
      <c r="B1228" s="265" t="s">
        <v>12525</v>
      </c>
      <c r="C1228" s="261" t="s">
        <v>97</v>
      </c>
      <c r="D1228" s="266">
        <v>3684.4</v>
      </c>
    </row>
    <row r="1229" spans="1:4">
      <c r="A1229" s="261">
        <v>804344</v>
      </c>
      <c r="B1229" s="265" t="s">
        <v>12526</v>
      </c>
      <c r="C1229" s="261" t="s">
        <v>97</v>
      </c>
      <c r="D1229" s="266">
        <v>3093.94</v>
      </c>
    </row>
    <row r="1230" spans="1:4">
      <c r="A1230" s="261">
        <v>804347</v>
      </c>
      <c r="B1230" s="265" t="s">
        <v>12527</v>
      </c>
      <c r="C1230" s="261" t="s">
        <v>97</v>
      </c>
      <c r="D1230" s="266">
        <v>3758.19</v>
      </c>
    </row>
    <row r="1231" spans="1:4">
      <c r="A1231" s="261">
        <v>804346</v>
      </c>
      <c r="B1231" s="265" t="s">
        <v>12528</v>
      </c>
      <c r="C1231" s="261" t="s">
        <v>97</v>
      </c>
      <c r="D1231" s="266">
        <v>3162.13</v>
      </c>
    </row>
    <row r="1232" spans="1:4">
      <c r="A1232" s="261">
        <v>804453</v>
      </c>
      <c r="B1232" s="265" t="s">
        <v>12529</v>
      </c>
      <c r="C1232" s="261" t="s">
        <v>97</v>
      </c>
      <c r="D1232" s="266">
        <v>8106.31</v>
      </c>
    </row>
    <row r="1233" spans="1:4">
      <c r="A1233" s="261">
        <v>804349</v>
      </c>
      <c r="B1233" s="265" t="s">
        <v>12530</v>
      </c>
      <c r="C1233" s="261" t="s">
        <v>97</v>
      </c>
      <c r="D1233" s="266">
        <v>3855.42</v>
      </c>
    </row>
    <row r="1234" spans="1:4">
      <c r="A1234" s="261">
        <v>804452</v>
      </c>
      <c r="B1234" s="265" t="s">
        <v>12531</v>
      </c>
      <c r="C1234" s="261" t="s">
        <v>97</v>
      </c>
      <c r="D1234" s="266">
        <v>6835.12</v>
      </c>
    </row>
    <row r="1235" spans="1:4">
      <c r="A1235" s="261">
        <v>804348</v>
      </c>
      <c r="B1235" s="265" t="s">
        <v>12532</v>
      </c>
      <c r="C1235" s="261" t="s">
        <v>97</v>
      </c>
      <c r="D1235" s="266">
        <v>3252.61</v>
      </c>
    </row>
    <row r="1236" spans="1:4">
      <c r="A1236" s="261">
        <v>804351</v>
      </c>
      <c r="B1236" s="265" t="s">
        <v>12533</v>
      </c>
      <c r="C1236" s="261" t="s">
        <v>97</v>
      </c>
      <c r="D1236" s="266">
        <v>3981.22</v>
      </c>
    </row>
    <row r="1237" spans="1:4">
      <c r="A1237" s="261">
        <v>804350</v>
      </c>
      <c r="B1237" s="265" t="s">
        <v>12534</v>
      </c>
      <c r="C1237" s="261" t="s">
        <v>97</v>
      </c>
      <c r="D1237" s="266">
        <v>3370.59</v>
      </c>
    </row>
    <row r="1238" spans="1:4">
      <c r="A1238" s="261">
        <v>804353</v>
      </c>
      <c r="B1238" s="265" t="s">
        <v>12535</v>
      </c>
      <c r="C1238" s="261" t="s">
        <v>97</v>
      </c>
      <c r="D1238" s="266">
        <v>4147.41</v>
      </c>
    </row>
    <row r="1239" spans="1:4">
      <c r="A1239" s="261">
        <v>804352</v>
      </c>
      <c r="B1239" s="265" t="s">
        <v>12536</v>
      </c>
      <c r="C1239" s="261" t="s">
        <v>97</v>
      </c>
      <c r="D1239" s="266">
        <v>3527.92</v>
      </c>
    </row>
    <row r="1240" spans="1:4">
      <c r="A1240" s="261">
        <v>804455</v>
      </c>
      <c r="B1240" s="265" t="s">
        <v>12537</v>
      </c>
      <c r="C1240" s="261" t="s">
        <v>97</v>
      </c>
      <c r="D1240" s="266">
        <v>10031.19</v>
      </c>
    </row>
    <row r="1241" spans="1:4">
      <c r="A1241" s="261">
        <v>804355</v>
      </c>
      <c r="B1241" s="265" t="s">
        <v>12538</v>
      </c>
      <c r="C1241" s="261" t="s">
        <v>97</v>
      </c>
      <c r="D1241" s="266">
        <v>4367.43</v>
      </c>
    </row>
    <row r="1242" spans="1:4">
      <c r="A1242" s="261">
        <v>804454</v>
      </c>
      <c r="B1242" s="265" t="s">
        <v>12539</v>
      </c>
      <c r="C1242" s="261" t="s">
        <v>97</v>
      </c>
      <c r="D1242" s="266">
        <v>8449.14</v>
      </c>
    </row>
    <row r="1243" spans="1:4">
      <c r="A1243" s="261">
        <v>804354</v>
      </c>
      <c r="B1243" s="265" t="s">
        <v>12540</v>
      </c>
      <c r="C1243" s="261" t="s">
        <v>97</v>
      </c>
      <c r="D1243" s="266">
        <v>3738.01</v>
      </c>
    </row>
    <row r="1244" spans="1:4">
      <c r="A1244" s="261">
        <v>804339</v>
      </c>
      <c r="B1244" s="265" t="s">
        <v>12541</v>
      </c>
      <c r="C1244" s="261" t="s">
        <v>97</v>
      </c>
      <c r="D1244" s="266">
        <v>3572.2</v>
      </c>
    </row>
    <row r="1245" spans="1:4">
      <c r="A1245" s="261">
        <v>804338</v>
      </c>
      <c r="B1245" s="265" t="s">
        <v>12542</v>
      </c>
      <c r="C1245" s="261" t="s">
        <v>97</v>
      </c>
      <c r="D1245" s="266">
        <v>2991.14</v>
      </c>
    </row>
    <row r="1246" spans="1:4">
      <c r="A1246" s="261">
        <v>804457</v>
      </c>
      <c r="B1246" s="265" t="s">
        <v>12543</v>
      </c>
      <c r="C1246" s="261" t="s">
        <v>97</v>
      </c>
      <c r="D1246" s="266">
        <v>12098.17</v>
      </c>
    </row>
    <row r="1247" spans="1:4">
      <c r="A1247" s="261">
        <v>804357</v>
      </c>
      <c r="B1247" s="265" t="s">
        <v>12544</v>
      </c>
      <c r="C1247" s="261" t="s">
        <v>97</v>
      </c>
      <c r="D1247" s="266">
        <v>5991.89</v>
      </c>
    </row>
    <row r="1248" spans="1:4">
      <c r="A1248" s="261">
        <v>804456</v>
      </c>
      <c r="B1248" s="265" t="s">
        <v>12545</v>
      </c>
      <c r="C1248" s="261" t="s">
        <v>97</v>
      </c>
      <c r="D1248" s="266">
        <v>10037.48</v>
      </c>
    </row>
    <row r="1249" spans="1:4">
      <c r="A1249" s="261">
        <v>804356</v>
      </c>
      <c r="B1249" s="265" t="s">
        <v>12546</v>
      </c>
      <c r="C1249" s="261" t="s">
        <v>97</v>
      </c>
      <c r="D1249" s="266">
        <v>4964.18</v>
      </c>
    </row>
    <row r="1250" spans="1:4">
      <c r="A1250" s="261">
        <v>804361</v>
      </c>
      <c r="B1250" s="265" t="s">
        <v>12547</v>
      </c>
      <c r="C1250" s="261" t="s">
        <v>97</v>
      </c>
      <c r="D1250" s="266">
        <v>6035.92</v>
      </c>
    </row>
    <row r="1251" spans="1:4">
      <c r="A1251" s="261">
        <v>804360</v>
      </c>
      <c r="B1251" s="265" t="s">
        <v>12548</v>
      </c>
      <c r="C1251" s="261" t="s">
        <v>97</v>
      </c>
      <c r="D1251" s="266">
        <v>5003.78</v>
      </c>
    </row>
    <row r="1252" spans="1:4">
      <c r="A1252" s="261">
        <v>804459</v>
      </c>
      <c r="B1252" s="265" t="s">
        <v>12549</v>
      </c>
      <c r="C1252" s="261" t="s">
        <v>97</v>
      </c>
      <c r="D1252" s="266">
        <v>12660.38</v>
      </c>
    </row>
    <row r="1253" spans="1:4">
      <c r="A1253" s="261">
        <v>804363</v>
      </c>
      <c r="B1253" s="265" t="s">
        <v>12550</v>
      </c>
      <c r="C1253" s="261" t="s">
        <v>97</v>
      </c>
      <c r="D1253" s="266">
        <v>6092.34</v>
      </c>
    </row>
    <row r="1254" spans="1:4">
      <c r="A1254" s="261">
        <v>804458</v>
      </c>
      <c r="B1254" s="265" t="s">
        <v>12551</v>
      </c>
      <c r="C1254" s="261" t="s">
        <v>97</v>
      </c>
      <c r="D1254" s="266">
        <v>10501.49</v>
      </c>
    </row>
    <row r="1255" spans="1:4">
      <c r="A1255" s="261">
        <v>804362</v>
      </c>
      <c r="B1255" s="265" t="s">
        <v>12552</v>
      </c>
      <c r="C1255" s="261" t="s">
        <v>97</v>
      </c>
      <c r="D1255" s="266">
        <v>5054.6000000000004</v>
      </c>
    </row>
    <row r="1256" spans="1:4">
      <c r="A1256" s="261">
        <v>804365</v>
      </c>
      <c r="B1256" s="265" t="s">
        <v>12553</v>
      </c>
      <c r="C1256" s="261" t="s">
        <v>97</v>
      </c>
      <c r="D1256" s="266">
        <v>6173.94</v>
      </c>
    </row>
    <row r="1257" spans="1:4">
      <c r="A1257" s="261">
        <v>804364</v>
      </c>
      <c r="B1257" s="265" t="s">
        <v>12554</v>
      </c>
      <c r="C1257" s="261" t="s">
        <v>97</v>
      </c>
      <c r="D1257" s="266">
        <v>5128.38</v>
      </c>
    </row>
    <row r="1258" spans="1:4">
      <c r="A1258" s="261">
        <v>804367</v>
      </c>
      <c r="B1258" s="265" t="s">
        <v>12555</v>
      </c>
      <c r="C1258" s="261" t="s">
        <v>97</v>
      </c>
      <c r="D1258" s="266">
        <v>6285.03</v>
      </c>
    </row>
    <row r="1259" spans="1:4">
      <c r="A1259" s="261">
        <v>804366</v>
      </c>
      <c r="B1259" s="265" t="s">
        <v>12556</v>
      </c>
      <c r="C1259" s="261" t="s">
        <v>97</v>
      </c>
      <c r="D1259" s="266">
        <v>5229.55</v>
      </c>
    </row>
    <row r="1260" spans="1:4">
      <c r="A1260" s="261">
        <v>804461</v>
      </c>
      <c r="B1260" s="265" t="s">
        <v>12557</v>
      </c>
      <c r="C1260" s="261" t="s">
        <v>97</v>
      </c>
      <c r="D1260" s="266">
        <v>14153.25</v>
      </c>
    </row>
    <row r="1261" spans="1:4">
      <c r="A1261" s="261">
        <v>804369</v>
      </c>
      <c r="B1261" s="265" t="s">
        <v>12558</v>
      </c>
      <c r="C1261" s="261" t="s">
        <v>97</v>
      </c>
      <c r="D1261" s="266">
        <v>6430.35</v>
      </c>
    </row>
    <row r="1262" spans="1:4">
      <c r="A1262" s="261">
        <v>804460</v>
      </c>
      <c r="B1262" s="265" t="s">
        <v>12559</v>
      </c>
      <c r="C1262" s="261" t="s">
        <v>97</v>
      </c>
      <c r="D1262" s="266">
        <v>11733.66</v>
      </c>
    </row>
    <row r="1263" spans="1:4">
      <c r="A1263" s="261">
        <v>804371</v>
      </c>
      <c r="B1263" s="265" t="s">
        <v>12560</v>
      </c>
      <c r="C1263" s="261" t="s">
        <v>97</v>
      </c>
      <c r="D1263" s="266">
        <v>6618.56</v>
      </c>
    </row>
    <row r="1264" spans="1:4">
      <c r="A1264" s="261">
        <v>804370</v>
      </c>
      <c r="B1264" s="265" t="s">
        <v>12561</v>
      </c>
      <c r="C1264" s="261" t="s">
        <v>97</v>
      </c>
      <c r="D1264" s="266">
        <v>5537.11</v>
      </c>
    </row>
    <row r="1265" spans="1:4">
      <c r="A1265" s="261">
        <v>804373</v>
      </c>
      <c r="B1265" s="265" t="s">
        <v>12562</v>
      </c>
      <c r="C1265" s="261" t="s">
        <v>97</v>
      </c>
      <c r="D1265" s="266">
        <v>6862.67</v>
      </c>
    </row>
    <row r="1266" spans="1:4">
      <c r="A1266" s="261">
        <v>804372</v>
      </c>
      <c r="B1266" s="265" t="s">
        <v>12563</v>
      </c>
      <c r="C1266" s="261" t="s">
        <v>97</v>
      </c>
      <c r="D1266" s="266">
        <v>5765.48</v>
      </c>
    </row>
    <row r="1267" spans="1:4">
      <c r="A1267" s="261">
        <v>804463</v>
      </c>
      <c r="B1267" s="265" t="s">
        <v>12564</v>
      </c>
      <c r="C1267" s="261" t="s">
        <v>97</v>
      </c>
      <c r="D1267" s="266">
        <v>17571.29</v>
      </c>
    </row>
    <row r="1268" spans="1:4">
      <c r="A1268" s="261">
        <v>804375</v>
      </c>
      <c r="B1268" s="265" t="s">
        <v>12565</v>
      </c>
      <c r="C1268" s="261" t="s">
        <v>97</v>
      </c>
      <c r="D1268" s="266">
        <v>7185.56</v>
      </c>
    </row>
    <row r="1269" spans="1:4">
      <c r="A1269" s="261">
        <v>804462</v>
      </c>
      <c r="B1269" s="265" t="s">
        <v>12566</v>
      </c>
      <c r="C1269" s="261" t="s">
        <v>97</v>
      </c>
      <c r="D1269" s="266">
        <v>14549.72</v>
      </c>
    </row>
    <row r="1270" spans="1:4">
      <c r="A1270" s="261">
        <v>804374</v>
      </c>
      <c r="B1270" s="265" t="s">
        <v>12567</v>
      </c>
      <c r="C1270" s="261" t="s">
        <v>97</v>
      </c>
      <c r="D1270" s="266">
        <v>6070.85</v>
      </c>
    </row>
    <row r="1271" spans="1:4">
      <c r="A1271" s="261">
        <v>804359</v>
      </c>
      <c r="B1271" s="265" t="s">
        <v>12568</v>
      </c>
      <c r="C1271" s="261" t="s">
        <v>97</v>
      </c>
      <c r="D1271" s="266">
        <v>6003.09</v>
      </c>
    </row>
    <row r="1272" spans="1:4">
      <c r="A1272" s="261">
        <v>804358</v>
      </c>
      <c r="B1272" s="265" t="s">
        <v>12569</v>
      </c>
      <c r="C1272" s="261" t="s">
        <v>97</v>
      </c>
      <c r="D1272" s="266">
        <v>4974.32</v>
      </c>
    </row>
    <row r="1273" spans="1:4">
      <c r="A1273" s="261">
        <v>804368</v>
      </c>
      <c r="B1273" s="265" t="s">
        <v>12570</v>
      </c>
      <c r="C1273" s="261" t="s">
        <v>97</v>
      </c>
      <c r="D1273" s="266">
        <v>5362.84</v>
      </c>
    </row>
    <row r="1274" spans="1:4">
      <c r="A1274" s="261">
        <v>804465</v>
      </c>
      <c r="B1274" s="265" t="s">
        <v>12571</v>
      </c>
      <c r="C1274" s="261" t="s">
        <v>6</v>
      </c>
      <c r="D1274" s="266">
        <v>124.71</v>
      </c>
    </row>
    <row r="1275" spans="1:4">
      <c r="A1275" s="261">
        <v>804464</v>
      </c>
      <c r="B1275" s="265" t="s">
        <v>12572</v>
      </c>
      <c r="C1275" s="261" t="s">
        <v>6</v>
      </c>
      <c r="D1275" s="266">
        <v>110.47</v>
      </c>
    </row>
    <row r="1276" spans="1:4">
      <c r="A1276" s="261">
        <v>804475</v>
      </c>
      <c r="B1276" s="265" t="s">
        <v>12573</v>
      </c>
      <c r="C1276" s="261" t="s">
        <v>6</v>
      </c>
      <c r="D1276" s="266">
        <v>138.43</v>
      </c>
    </row>
    <row r="1277" spans="1:4">
      <c r="A1277" s="261">
        <v>804474</v>
      </c>
      <c r="B1277" s="265" t="s">
        <v>12574</v>
      </c>
      <c r="C1277" s="261" t="s">
        <v>6</v>
      </c>
      <c r="D1277" s="266">
        <v>124.2</v>
      </c>
    </row>
    <row r="1278" spans="1:4">
      <c r="A1278" s="261">
        <v>804485</v>
      </c>
      <c r="B1278" s="265" t="s">
        <v>12575</v>
      </c>
      <c r="C1278" s="261" t="s">
        <v>6</v>
      </c>
      <c r="D1278" s="266">
        <v>207.02</v>
      </c>
    </row>
    <row r="1279" spans="1:4">
      <c r="A1279" s="261">
        <v>804484</v>
      </c>
      <c r="B1279" s="265" t="s">
        <v>12576</v>
      </c>
      <c r="C1279" s="261" t="s">
        <v>6</v>
      </c>
      <c r="D1279" s="266">
        <v>192.86</v>
      </c>
    </row>
    <row r="1280" spans="1:4">
      <c r="A1280" s="261">
        <v>804495</v>
      </c>
      <c r="B1280" s="265" t="s">
        <v>12577</v>
      </c>
      <c r="C1280" s="261" t="s">
        <v>6</v>
      </c>
      <c r="D1280" s="266">
        <v>258.52</v>
      </c>
    </row>
    <row r="1281" spans="1:4">
      <c r="A1281" s="261">
        <v>804494</v>
      </c>
      <c r="B1281" s="265" t="s">
        <v>12578</v>
      </c>
      <c r="C1281" s="261" t="s">
        <v>6</v>
      </c>
      <c r="D1281" s="266">
        <v>241.72</v>
      </c>
    </row>
    <row r="1282" spans="1:4">
      <c r="A1282" s="261">
        <v>804467</v>
      </c>
      <c r="B1282" s="265" t="s">
        <v>12579</v>
      </c>
      <c r="C1282" s="261" t="s">
        <v>6</v>
      </c>
      <c r="D1282" s="266">
        <v>188.11</v>
      </c>
    </row>
    <row r="1283" spans="1:4">
      <c r="A1283" s="261">
        <v>804466</v>
      </c>
      <c r="B1283" s="265" t="s">
        <v>12580</v>
      </c>
      <c r="C1283" s="261" t="s">
        <v>6</v>
      </c>
      <c r="D1283" s="266">
        <v>165.43</v>
      </c>
    </row>
    <row r="1284" spans="1:4">
      <c r="A1284" s="261">
        <v>804477</v>
      </c>
      <c r="B1284" s="265" t="s">
        <v>12581</v>
      </c>
      <c r="C1284" s="261" t="s">
        <v>6</v>
      </c>
      <c r="D1284" s="266">
        <v>242.98</v>
      </c>
    </row>
    <row r="1285" spans="1:4">
      <c r="A1285" s="261">
        <v>804476</v>
      </c>
      <c r="B1285" s="265" t="s">
        <v>12582</v>
      </c>
      <c r="C1285" s="261" t="s">
        <v>6</v>
      </c>
      <c r="D1285" s="266">
        <v>220.35</v>
      </c>
    </row>
    <row r="1286" spans="1:4">
      <c r="A1286" s="261">
        <v>804487</v>
      </c>
      <c r="B1286" s="265" t="s">
        <v>12583</v>
      </c>
      <c r="C1286" s="261" t="s">
        <v>6</v>
      </c>
      <c r="D1286" s="266">
        <v>349.84</v>
      </c>
    </row>
    <row r="1287" spans="1:4">
      <c r="A1287" s="261">
        <v>804486</v>
      </c>
      <c r="B1287" s="265" t="s">
        <v>12584</v>
      </c>
      <c r="C1287" s="261" t="s">
        <v>6</v>
      </c>
      <c r="D1287" s="266">
        <v>324.5</v>
      </c>
    </row>
    <row r="1288" spans="1:4">
      <c r="A1288" s="261">
        <v>804497</v>
      </c>
      <c r="B1288" s="265" t="s">
        <v>12585</v>
      </c>
      <c r="C1288" s="261" t="s">
        <v>6</v>
      </c>
      <c r="D1288" s="266">
        <v>411.84</v>
      </c>
    </row>
    <row r="1289" spans="1:4">
      <c r="A1289" s="261">
        <v>804496</v>
      </c>
      <c r="B1289" s="265" t="s">
        <v>12586</v>
      </c>
      <c r="C1289" s="261" t="s">
        <v>6</v>
      </c>
      <c r="D1289" s="266">
        <v>381.17</v>
      </c>
    </row>
    <row r="1290" spans="1:4">
      <c r="A1290" s="261">
        <v>804469</v>
      </c>
      <c r="B1290" s="265" t="s">
        <v>12587</v>
      </c>
      <c r="C1290" s="261" t="s">
        <v>6</v>
      </c>
      <c r="D1290" s="266">
        <v>335.71</v>
      </c>
    </row>
    <row r="1291" spans="1:4">
      <c r="A1291" s="261">
        <v>804468</v>
      </c>
      <c r="B1291" s="265" t="s">
        <v>12588</v>
      </c>
      <c r="C1291" s="261" t="s">
        <v>6</v>
      </c>
      <c r="D1291" s="266">
        <v>304.60000000000002</v>
      </c>
    </row>
    <row r="1292" spans="1:4">
      <c r="A1292" s="261">
        <v>804479</v>
      </c>
      <c r="B1292" s="265" t="s">
        <v>12589</v>
      </c>
      <c r="C1292" s="261" t="s">
        <v>6</v>
      </c>
      <c r="D1292" s="266">
        <v>390.58</v>
      </c>
    </row>
    <row r="1293" spans="1:4">
      <c r="A1293" s="261">
        <v>804478</v>
      </c>
      <c r="B1293" s="265" t="s">
        <v>12590</v>
      </c>
      <c r="C1293" s="261" t="s">
        <v>6</v>
      </c>
      <c r="D1293" s="266">
        <v>359.53</v>
      </c>
    </row>
    <row r="1294" spans="1:4">
      <c r="A1294" s="261">
        <v>804489</v>
      </c>
      <c r="B1294" s="265" t="s">
        <v>12591</v>
      </c>
      <c r="C1294" s="261" t="s">
        <v>6</v>
      </c>
      <c r="D1294" s="266">
        <v>492.69</v>
      </c>
    </row>
    <row r="1295" spans="1:4">
      <c r="A1295" s="261">
        <v>804488</v>
      </c>
      <c r="B1295" s="265" t="s">
        <v>12592</v>
      </c>
      <c r="C1295" s="261" t="s">
        <v>6</v>
      </c>
      <c r="D1295" s="266">
        <v>453.06</v>
      </c>
    </row>
    <row r="1296" spans="1:4">
      <c r="A1296" s="261">
        <v>804499</v>
      </c>
      <c r="B1296" s="265" t="s">
        <v>12593</v>
      </c>
      <c r="C1296" s="261" t="s">
        <v>6</v>
      </c>
      <c r="D1296" s="266">
        <v>628.4</v>
      </c>
    </row>
    <row r="1297" spans="1:4">
      <c r="A1297" s="261">
        <v>804498</v>
      </c>
      <c r="B1297" s="265" t="s">
        <v>12594</v>
      </c>
      <c r="C1297" s="261" t="s">
        <v>6</v>
      </c>
      <c r="D1297" s="266">
        <v>582.17999999999995</v>
      </c>
    </row>
    <row r="1298" spans="1:4">
      <c r="A1298" s="261">
        <v>804471</v>
      </c>
      <c r="B1298" s="265" t="s">
        <v>12595</v>
      </c>
      <c r="C1298" s="261" t="s">
        <v>6</v>
      </c>
      <c r="D1298" s="266">
        <v>453.25</v>
      </c>
    </row>
    <row r="1299" spans="1:4">
      <c r="A1299" s="261">
        <v>804470</v>
      </c>
      <c r="B1299" s="265" t="s">
        <v>12596</v>
      </c>
      <c r="C1299" s="261" t="s">
        <v>6</v>
      </c>
      <c r="D1299" s="266">
        <v>407.96</v>
      </c>
    </row>
    <row r="1300" spans="1:4">
      <c r="A1300" s="261">
        <v>804481</v>
      </c>
      <c r="B1300" s="265" t="s">
        <v>12597</v>
      </c>
      <c r="C1300" s="261" t="s">
        <v>6</v>
      </c>
      <c r="D1300" s="266">
        <v>576.71</v>
      </c>
    </row>
    <row r="1301" spans="1:4">
      <c r="A1301" s="261">
        <v>804480</v>
      </c>
      <c r="B1301" s="265" t="s">
        <v>12598</v>
      </c>
      <c r="C1301" s="261" t="s">
        <v>6</v>
      </c>
      <c r="D1301" s="266">
        <v>531.54</v>
      </c>
    </row>
    <row r="1302" spans="1:4">
      <c r="A1302" s="261">
        <v>804491</v>
      </c>
      <c r="B1302" s="265" t="s">
        <v>12599</v>
      </c>
      <c r="C1302" s="261" t="s">
        <v>6</v>
      </c>
      <c r="D1302" s="266">
        <v>759.42</v>
      </c>
    </row>
    <row r="1303" spans="1:4">
      <c r="A1303" s="261">
        <v>804490</v>
      </c>
      <c r="B1303" s="265" t="s">
        <v>12600</v>
      </c>
      <c r="C1303" s="261" t="s">
        <v>6</v>
      </c>
      <c r="D1303" s="266">
        <v>699.09</v>
      </c>
    </row>
    <row r="1304" spans="1:4">
      <c r="A1304" s="261">
        <v>804501</v>
      </c>
      <c r="B1304" s="265" t="s">
        <v>12601</v>
      </c>
      <c r="C1304" s="261" t="s">
        <v>6</v>
      </c>
      <c r="D1304" s="266">
        <v>914.6</v>
      </c>
    </row>
    <row r="1305" spans="1:4">
      <c r="A1305" s="261">
        <v>804500</v>
      </c>
      <c r="B1305" s="265" t="s">
        <v>12602</v>
      </c>
      <c r="C1305" s="261" t="s">
        <v>6</v>
      </c>
      <c r="D1305" s="266">
        <v>846.21</v>
      </c>
    </row>
    <row r="1306" spans="1:4">
      <c r="A1306" s="261">
        <v>804473</v>
      </c>
      <c r="B1306" s="265" t="s">
        <v>12603</v>
      </c>
      <c r="C1306" s="261" t="s">
        <v>6</v>
      </c>
      <c r="D1306" s="266">
        <v>732.24</v>
      </c>
    </row>
    <row r="1307" spans="1:4">
      <c r="A1307" s="261">
        <v>804472</v>
      </c>
      <c r="B1307" s="265" t="s">
        <v>12604</v>
      </c>
      <c r="C1307" s="261" t="s">
        <v>6</v>
      </c>
      <c r="D1307" s="266">
        <v>661.5</v>
      </c>
    </row>
    <row r="1308" spans="1:4">
      <c r="A1308" s="261">
        <v>804483</v>
      </c>
      <c r="B1308" s="265" t="s">
        <v>12605</v>
      </c>
      <c r="C1308" s="261" t="s">
        <v>6</v>
      </c>
      <c r="D1308" s="266">
        <v>924.3</v>
      </c>
    </row>
    <row r="1309" spans="1:4">
      <c r="A1309" s="261">
        <v>804482</v>
      </c>
      <c r="B1309" s="265" t="s">
        <v>12606</v>
      </c>
      <c r="C1309" s="261" t="s">
        <v>6</v>
      </c>
      <c r="D1309" s="266">
        <v>853.74</v>
      </c>
    </row>
    <row r="1310" spans="1:4">
      <c r="A1310" s="261">
        <v>804493</v>
      </c>
      <c r="B1310" s="265" t="s">
        <v>12607</v>
      </c>
      <c r="C1310" s="261" t="s">
        <v>6</v>
      </c>
      <c r="D1310" s="266">
        <v>1219.3699999999999</v>
      </c>
    </row>
    <row r="1311" spans="1:4">
      <c r="A1311" s="261">
        <v>804492</v>
      </c>
      <c r="B1311" s="265" t="s">
        <v>12608</v>
      </c>
      <c r="C1311" s="261" t="s">
        <v>6</v>
      </c>
      <c r="D1311" s="266">
        <v>1125.98</v>
      </c>
    </row>
    <row r="1312" spans="1:4">
      <c r="A1312" s="261">
        <v>804503</v>
      </c>
      <c r="B1312" s="265" t="s">
        <v>12609</v>
      </c>
      <c r="C1312" s="261" t="s">
        <v>6</v>
      </c>
      <c r="D1312" s="266">
        <v>1465.66</v>
      </c>
    </row>
    <row r="1313" spans="1:4">
      <c r="A1313" s="261">
        <v>804502</v>
      </c>
      <c r="B1313" s="265" t="s">
        <v>12610</v>
      </c>
      <c r="C1313" s="261" t="s">
        <v>6</v>
      </c>
      <c r="D1313" s="266">
        <v>1369.12</v>
      </c>
    </row>
    <row r="1314" spans="1:4">
      <c r="A1314" s="261">
        <v>804180</v>
      </c>
      <c r="B1314" s="265" t="s">
        <v>12611</v>
      </c>
      <c r="C1314" s="261" t="s">
        <v>6</v>
      </c>
      <c r="D1314" s="266">
        <v>1137.3499999999999</v>
      </c>
    </row>
    <row r="1315" spans="1:4">
      <c r="A1315" s="261">
        <v>804181</v>
      </c>
      <c r="B1315" s="265" t="s">
        <v>12612</v>
      </c>
      <c r="C1315" s="261" t="s">
        <v>6</v>
      </c>
      <c r="D1315" s="266">
        <v>1201.8800000000001</v>
      </c>
    </row>
    <row r="1316" spans="1:4">
      <c r="A1316" s="261">
        <v>804182</v>
      </c>
      <c r="B1316" s="265" t="s">
        <v>12613</v>
      </c>
      <c r="C1316" s="261" t="s">
        <v>6</v>
      </c>
      <c r="D1316" s="266">
        <v>1207.7</v>
      </c>
    </row>
    <row r="1317" spans="1:4">
      <c r="A1317" s="261">
        <v>804183</v>
      </c>
      <c r="B1317" s="265" t="s">
        <v>12614</v>
      </c>
      <c r="C1317" s="261" t="s">
        <v>6</v>
      </c>
      <c r="D1317" s="266">
        <v>1272.23</v>
      </c>
    </row>
    <row r="1318" spans="1:4">
      <c r="A1318" s="261">
        <v>804184</v>
      </c>
      <c r="B1318" s="265" t="s">
        <v>12615</v>
      </c>
      <c r="C1318" s="261" t="s">
        <v>6</v>
      </c>
      <c r="D1318" s="266">
        <v>1277.4000000000001</v>
      </c>
    </row>
    <row r="1319" spans="1:4">
      <c r="A1319" s="261">
        <v>804185</v>
      </c>
      <c r="B1319" s="265" t="s">
        <v>12616</v>
      </c>
      <c r="C1319" s="261" t="s">
        <v>6</v>
      </c>
      <c r="D1319" s="266">
        <v>1341.93</v>
      </c>
    </row>
    <row r="1320" spans="1:4">
      <c r="A1320" s="261">
        <v>804186</v>
      </c>
      <c r="B1320" s="265" t="s">
        <v>12617</v>
      </c>
      <c r="C1320" s="261" t="s">
        <v>6</v>
      </c>
      <c r="D1320" s="266">
        <v>1312.04</v>
      </c>
    </row>
    <row r="1321" spans="1:4">
      <c r="A1321" s="261">
        <v>804187</v>
      </c>
      <c r="B1321" s="265" t="s">
        <v>12618</v>
      </c>
      <c r="C1321" s="261" t="s">
        <v>6</v>
      </c>
      <c r="D1321" s="266">
        <v>1376.58</v>
      </c>
    </row>
    <row r="1322" spans="1:4">
      <c r="A1322" s="261">
        <v>804188</v>
      </c>
      <c r="B1322" s="265" t="s">
        <v>12619</v>
      </c>
      <c r="C1322" s="261" t="s">
        <v>6</v>
      </c>
      <c r="D1322" s="266">
        <v>1434.06</v>
      </c>
    </row>
    <row r="1323" spans="1:4">
      <c r="A1323" s="261">
        <v>804189</v>
      </c>
      <c r="B1323" s="265" t="s">
        <v>12620</v>
      </c>
      <c r="C1323" s="261" t="s">
        <v>6</v>
      </c>
      <c r="D1323" s="266">
        <v>1520.38</v>
      </c>
    </row>
    <row r="1324" spans="1:4">
      <c r="A1324" s="261">
        <v>804190</v>
      </c>
      <c r="B1324" s="265" t="s">
        <v>12621</v>
      </c>
      <c r="C1324" s="261" t="s">
        <v>6</v>
      </c>
      <c r="D1324" s="266">
        <v>1590.29</v>
      </c>
    </row>
    <row r="1325" spans="1:4">
      <c r="A1325" s="261">
        <v>804191</v>
      </c>
      <c r="B1325" s="265" t="s">
        <v>12622</v>
      </c>
      <c r="C1325" s="261" t="s">
        <v>6</v>
      </c>
      <c r="D1325" s="266">
        <v>1676.61</v>
      </c>
    </row>
    <row r="1326" spans="1:4">
      <c r="A1326" s="261">
        <v>804192</v>
      </c>
      <c r="B1326" s="265" t="s">
        <v>12623</v>
      </c>
      <c r="C1326" s="261" t="s">
        <v>6</v>
      </c>
      <c r="D1326" s="266">
        <v>1697.49</v>
      </c>
    </row>
    <row r="1327" spans="1:4">
      <c r="A1327" s="261">
        <v>804193</v>
      </c>
      <c r="B1327" s="265" t="s">
        <v>12624</v>
      </c>
      <c r="C1327" s="261" t="s">
        <v>6</v>
      </c>
      <c r="D1327" s="266">
        <v>1783.81</v>
      </c>
    </row>
    <row r="1328" spans="1:4">
      <c r="A1328" s="261">
        <v>804194</v>
      </c>
      <c r="B1328" s="265" t="s">
        <v>12625</v>
      </c>
      <c r="C1328" s="261" t="s">
        <v>6</v>
      </c>
      <c r="D1328" s="266">
        <v>1813.33</v>
      </c>
    </row>
    <row r="1329" spans="1:4">
      <c r="A1329" s="261">
        <v>804195</v>
      </c>
      <c r="B1329" s="265" t="s">
        <v>12626</v>
      </c>
      <c r="C1329" s="261" t="s">
        <v>6</v>
      </c>
      <c r="D1329" s="266">
        <v>1899.65</v>
      </c>
    </row>
    <row r="1330" spans="1:4">
      <c r="A1330" s="261">
        <v>804196</v>
      </c>
      <c r="B1330" s="265" t="s">
        <v>12627</v>
      </c>
      <c r="C1330" s="261" t="s">
        <v>6</v>
      </c>
      <c r="D1330" s="266">
        <v>1918.64</v>
      </c>
    </row>
    <row r="1331" spans="1:4">
      <c r="A1331" s="261">
        <v>804197</v>
      </c>
      <c r="B1331" s="265" t="s">
        <v>12628</v>
      </c>
      <c r="C1331" s="261" t="s">
        <v>6</v>
      </c>
      <c r="D1331" s="266">
        <v>2028.81</v>
      </c>
    </row>
    <row r="1332" spans="1:4">
      <c r="A1332" s="261">
        <v>804198</v>
      </c>
      <c r="B1332" s="265" t="s">
        <v>12629</v>
      </c>
      <c r="C1332" s="261" t="s">
        <v>6</v>
      </c>
      <c r="D1332" s="266">
        <v>1940.45</v>
      </c>
    </row>
    <row r="1333" spans="1:4">
      <c r="A1333" s="261">
        <v>804199</v>
      </c>
      <c r="B1333" s="265" t="s">
        <v>12630</v>
      </c>
      <c r="C1333" s="261" t="s">
        <v>6</v>
      </c>
      <c r="D1333" s="266">
        <v>2050.61</v>
      </c>
    </row>
    <row r="1334" spans="1:4">
      <c r="A1334" s="261">
        <v>804200</v>
      </c>
      <c r="B1334" s="265" t="s">
        <v>12631</v>
      </c>
      <c r="C1334" s="261" t="s">
        <v>6</v>
      </c>
      <c r="D1334" s="266">
        <v>2111.67</v>
      </c>
    </row>
    <row r="1335" spans="1:4">
      <c r="A1335" s="261">
        <v>804201</v>
      </c>
      <c r="B1335" s="265" t="s">
        <v>12632</v>
      </c>
      <c r="C1335" s="261" t="s">
        <v>6</v>
      </c>
      <c r="D1335" s="266">
        <v>2221.84</v>
      </c>
    </row>
    <row r="1336" spans="1:4">
      <c r="A1336" s="261">
        <v>804202</v>
      </c>
      <c r="B1336" s="265" t="s">
        <v>12633</v>
      </c>
      <c r="C1336" s="261" t="s">
        <v>6</v>
      </c>
      <c r="D1336" s="266">
        <v>2293.63</v>
      </c>
    </row>
    <row r="1337" spans="1:4">
      <c r="A1337" s="261">
        <v>804203</v>
      </c>
      <c r="B1337" s="265" t="s">
        <v>12634</v>
      </c>
      <c r="C1337" s="261" t="s">
        <v>6</v>
      </c>
      <c r="D1337" s="266">
        <v>2403.8000000000002</v>
      </c>
    </row>
    <row r="1338" spans="1:4">
      <c r="A1338" s="261">
        <v>804204</v>
      </c>
      <c r="B1338" s="265" t="s">
        <v>12635</v>
      </c>
      <c r="C1338" s="261" t="s">
        <v>6</v>
      </c>
      <c r="D1338" s="266">
        <v>2533.1</v>
      </c>
    </row>
    <row r="1339" spans="1:4">
      <c r="A1339" s="261">
        <v>804205</v>
      </c>
      <c r="B1339" s="265" t="s">
        <v>12636</v>
      </c>
      <c r="C1339" s="261" t="s">
        <v>6</v>
      </c>
      <c r="D1339" s="266">
        <v>2675.57</v>
      </c>
    </row>
    <row r="1340" spans="1:4">
      <c r="A1340" s="261">
        <v>804206</v>
      </c>
      <c r="B1340" s="265" t="s">
        <v>12637</v>
      </c>
      <c r="C1340" s="261" t="s">
        <v>6</v>
      </c>
      <c r="D1340" s="266">
        <v>2730.23</v>
      </c>
    </row>
    <row r="1341" spans="1:4">
      <c r="A1341" s="261">
        <v>804207</v>
      </c>
      <c r="B1341" s="265" t="s">
        <v>12638</v>
      </c>
      <c r="C1341" s="261" t="s">
        <v>6</v>
      </c>
      <c r="D1341" s="266">
        <v>2872.71</v>
      </c>
    </row>
    <row r="1342" spans="1:4">
      <c r="A1342" s="261">
        <v>804208</v>
      </c>
      <c r="B1342" s="265" t="s">
        <v>12639</v>
      </c>
      <c r="C1342" s="261" t="s">
        <v>6</v>
      </c>
      <c r="D1342" s="266">
        <v>3178.59</v>
      </c>
    </row>
    <row r="1343" spans="1:4">
      <c r="A1343" s="261">
        <v>804209</v>
      </c>
      <c r="B1343" s="265" t="s">
        <v>12640</v>
      </c>
      <c r="C1343" s="261" t="s">
        <v>6</v>
      </c>
      <c r="D1343" s="266">
        <v>3321.07</v>
      </c>
    </row>
    <row r="1344" spans="1:4">
      <c r="A1344" s="261">
        <v>804210</v>
      </c>
      <c r="B1344" s="265" t="s">
        <v>12641</v>
      </c>
      <c r="C1344" s="261" t="s">
        <v>6</v>
      </c>
      <c r="D1344" s="266">
        <v>3185.74</v>
      </c>
    </row>
    <row r="1345" spans="1:4">
      <c r="A1345" s="261">
        <v>804211</v>
      </c>
      <c r="B1345" s="265" t="s">
        <v>12642</v>
      </c>
      <c r="C1345" s="261" t="s">
        <v>6</v>
      </c>
      <c r="D1345" s="266">
        <v>3328.22</v>
      </c>
    </row>
    <row r="1346" spans="1:4">
      <c r="A1346" s="261">
        <v>804012</v>
      </c>
      <c r="B1346" s="265" t="s">
        <v>12643</v>
      </c>
      <c r="C1346" s="261" t="s">
        <v>6</v>
      </c>
      <c r="D1346" s="266">
        <v>232.68</v>
      </c>
    </row>
    <row r="1347" spans="1:4">
      <c r="A1347" s="261">
        <v>804013</v>
      </c>
      <c r="B1347" s="265" t="s">
        <v>12644</v>
      </c>
      <c r="C1347" s="261" t="s">
        <v>6</v>
      </c>
      <c r="D1347" s="266">
        <v>248.37</v>
      </c>
    </row>
    <row r="1348" spans="1:4">
      <c r="A1348" s="261">
        <v>804014</v>
      </c>
      <c r="B1348" s="265" t="s">
        <v>12645</v>
      </c>
      <c r="C1348" s="261" t="s">
        <v>6</v>
      </c>
      <c r="D1348" s="266">
        <v>247.22</v>
      </c>
    </row>
    <row r="1349" spans="1:4">
      <c r="A1349" s="261">
        <v>804015</v>
      </c>
      <c r="B1349" s="265" t="s">
        <v>12646</v>
      </c>
      <c r="C1349" s="261" t="s">
        <v>6</v>
      </c>
      <c r="D1349" s="266">
        <v>262.89999999999998</v>
      </c>
    </row>
    <row r="1350" spans="1:4">
      <c r="A1350" s="261">
        <v>804016</v>
      </c>
      <c r="B1350" s="265" t="s">
        <v>12647</v>
      </c>
      <c r="C1350" s="261" t="s">
        <v>6</v>
      </c>
      <c r="D1350" s="266">
        <v>250.88</v>
      </c>
    </row>
    <row r="1351" spans="1:4">
      <c r="A1351" s="261">
        <v>804017</v>
      </c>
      <c r="B1351" s="265" t="s">
        <v>12648</v>
      </c>
      <c r="C1351" s="261" t="s">
        <v>6</v>
      </c>
      <c r="D1351" s="266">
        <v>266.57</v>
      </c>
    </row>
    <row r="1352" spans="1:4">
      <c r="A1352" s="261">
        <v>804018</v>
      </c>
      <c r="B1352" s="265" t="s">
        <v>12649</v>
      </c>
      <c r="C1352" s="261" t="s">
        <v>6</v>
      </c>
      <c r="D1352" s="266">
        <v>289.69</v>
      </c>
    </row>
    <row r="1353" spans="1:4">
      <c r="A1353" s="261">
        <v>804019</v>
      </c>
      <c r="B1353" s="265" t="s">
        <v>12650</v>
      </c>
      <c r="C1353" s="261" t="s">
        <v>6</v>
      </c>
      <c r="D1353" s="266">
        <v>305.38</v>
      </c>
    </row>
    <row r="1354" spans="1:4">
      <c r="A1354" s="261">
        <v>804020</v>
      </c>
      <c r="B1354" s="265" t="s">
        <v>12651</v>
      </c>
      <c r="C1354" s="261" t="s">
        <v>6</v>
      </c>
      <c r="D1354" s="266">
        <v>354.77</v>
      </c>
    </row>
    <row r="1355" spans="1:4">
      <c r="A1355" s="261">
        <v>804021</v>
      </c>
      <c r="B1355" s="265" t="s">
        <v>12652</v>
      </c>
      <c r="C1355" s="261" t="s">
        <v>6</v>
      </c>
      <c r="D1355" s="266">
        <v>378.38</v>
      </c>
    </row>
    <row r="1356" spans="1:4">
      <c r="A1356" s="261">
        <v>804022</v>
      </c>
      <c r="B1356" s="265" t="s">
        <v>12653</v>
      </c>
      <c r="C1356" s="261" t="s">
        <v>6</v>
      </c>
      <c r="D1356" s="266">
        <v>384.62</v>
      </c>
    </row>
    <row r="1357" spans="1:4">
      <c r="A1357" s="261">
        <v>804023</v>
      </c>
      <c r="B1357" s="265" t="s">
        <v>12654</v>
      </c>
      <c r="C1357" s="261" t="s">
        <v>6</v>
      </c>
      <c r="D1357" s="266">
        <v>408.22</v>
      </c>
    </row>
    <row r="1358" spans="1:4">
      <c r="A1358" s="261">
        <v>804024</v>
      </c>
      <c r="B1358" s="265" t="s">
        <v>12655</v>
      </c>
      <c r="C1358" s="261" t="s">
        <v>6</v>
      </c>
      <c r="D1358" s="266">
        <v>422.37</v>
      </c>
    </row>
    <row r="1359" spans="1:4">
      <c r="A1359" s="261">
        <v>804025</v>
      </c>
      <c r="B1359" s="265" t="s">
        <v>12656</v>
      </c>
      <c r="C1359" s="261" t="s">
        <v>6</v>
      </c>
      <c r="D1359" s="266">
        <v>445.98</v>
      </c>
    </row>
    <row r="1360" spans="1:4">
      <c r="A1360" s="261">
        <v>804026</v>
      </c>
      <c r="B1360" s="265" t="s">
        <v>12657</v>
      </c>
      <c r="C1360" s="261" t="s">
        <v>6</v>
      </c>
      <c r="D1360" s="266">
        <v>493.44</v>
      </c>
    </row>
    <row r="1361" spans="1:4">
      <c r="A1361" s="261">
        <v>804027</v>
      </c>
      <c r="B1361" s="265" t="s">
        <v>12658</v>
      </c>
      <c r="C1361" s="261" t="s">
        <v>6</v>
      </c>
      <c r="D1361" s="266">
        <v>517.04999999999995</v>
      </c>
    </row>
    <row r="1362" spans="1:4">
      <c r="A1362" s="261">
        <v>804028</v>
      </c>
      <c r="B1362" s="265" t="s">
        <v>12659</v>
      </c>
      <c r="C1362" s="261" t="s">
        <v>6</v>
      </c>
      <c r="D1362" s="266">
        <v>596.29999999999995</v>
      </c>
    </row>
    <row r="1363" spans="1:4">
      <c r="A1363" s="261">
        <v>804029</v>
      </c>
      <c r="B1363" s="265" t="s">
        <v>12660</v>
      </c>
      <c r="C1363" s="261" t="s">
        <v>6</v>
      </c>
      <c r="D1363" s="266">
        <v>628.55999999999995</v>
      </c>
    </row>
    <row r="1364" spans="1:4">
      <c r="A1364" s="261">
        <v>804030</v>
      </c>
      <c r="B1364" s="265" t="s">
        <v>12661</v>
      </c>
      <c r="C1364" s="261" t="s">
        <v>6</v>
      </c>
      <c r="D1364" s="266">
        <v>631.47</v>
      </c>
    </row>
    <row r="1365" spans="1:4">
      <c r="A1365" s="261">
        <v>804031</v>
      </c>
      <c r="B1365" s="265" t="s">
        <v>12662</v>
      </c>
      <c r="C1365" s="261" t="s">
        <v>6</v>
      </c>
      <c r="D1365" s="266">
        <v>663.74</v>
      </c>
    </row>
    <row r="1366" spans="1:4">
      <c r="A1366" s="261">
        <v>804032</v>
      </c>
      <c r="B1366" s="265" t="s">
        <v>12663</v>
      </c>
      <c r="C1366" s="261" t="s">
        <v>6</v>
      </c>
      <c r="D1366" s="266">
        <v>666.32</v>
      </c>
    </row>
    <row r="1367" spans="1:4">
      <c r="A1367" s="261">
        <v>804033</v>
      </c>
      <c r="B1367" s="265" t="s">
        <v>12664</v>
      </c>
      <c r="C1367" s="261" t="s">
        <v>6</v>
      </c>
      <c r="D1367" s="266">
        <v>698.59</v>
      </c>
    </row>
    <row r="1368" spans="1:4">
      <c r="A1368" s="261">
        <v>804034</v>
      </c>
      <c r="B1368" s="265" t="s">
        <v>12665</v>
      </c>
      <c r="C1368" s="261" t="s">
        <v>6</v>
      </c>
      <c r="D1368" s="266">
        <v>683.65</v>
      </c>
    </row>
    <row r="1369" spans="1:4">
      <c r="A1369" s="261">
        <v>804035</v>
      </c>
      <c r="B1369" s="265" t="s">
        <v>12666</v>
      </c>
      <c r="C1369" s="261" t="s">
        <v>6</v>
      </c>
      <c r="D1369" s="266">
        <v>715.91</v>
      </c>
    </row>
    <row r="1370" spans="1:4">
      <c r="A1370" s="261">
        <v>804036</v>
      </c>
      <c r="B1370" s="265" t="s">
        <v>12667</v>
      </c>
      <c r="C1370" s="261" t="s">
        <v>6</v>
      </c>
      <c r="D1370" s="266">
        <v>746.11</v>
      </c>
    </row>
    <row r="1371" spans="1:4">
      <c r="A1371" s="261">
        <v>804037</v>
      </c>
      <c r="B1371" s="265" t="s">
        <v>12668</v>
      </c>
      <c r="C1371" s="261" t="s">
        <v>6</v>
      </c>
      <c r="D1371" s="266">
        <v>788.25</v>
      </c>
    </row>
    <row r="1372" spans="1:4">
      <c r="A1372" s="261">
        <v>804038</v>
      </c>
      <c r="B1372" s="265" t="s">
        <v>12669</v>
      </c>
      <c r="C1372" s="261" t="s">
        <v>6</v>
      </c>
      <c r="D1372" s="266">
        <v>824.23</v>
      </c>
    </row>
    <row r="1373" spans="1:4">
      <c r="A1373" s="261">
        <v>804039</v>
      </c>
      <c r="B1373" s="265" t="s">
        <v>12670</v>
      </c>
      <c r="C1373" s="261" t="s">
        <v>6</v>
      </c>
      <c r="D1373" s="266">
        <v>866.37</v>
      </c>
    </row>
    <row r="1374" spans="1:4">
      <c r="A1374" s="261">
        <v>804040</v>
      </c>
      <c r="B1374" s="265" t="s">
        <v>12671</v>
      </c>
      <c r="C1374" s="261" t="s">
        <v>6</v>
      </c>
      <c r="D1374" s="266">
        <v>877.83</v>
      </c>
    </row>
    <row r="1375" spans="1:4">
      <c r="A1375" s="261">
        <v>804041</v>
      </c>
      <c r="B1375" s="265" t="s">
        <v>12672</v>
      </c>
      <c r="C1375" s="261" t="s">
        <v>6</v>
      </c>
      <c r="D1375" s="266">
        <v>919.96</v>
      </c>
    </row>
    <row r="1376" spans="1:4">
      <c r="A1376" s="261">
        <v>804042</v>
      </c>
      <c r="B1376" s="265" t="s">
        <v>12673</v>
      </c>
      <c r="C1376" s="261" t="s">
        <v>6</v>
      </c>
      <c r="D1376" s="266">
        <v>935.75</v>
      </c>
    </row>
    <row r="1377" spans="1:4">
      <c r="A1377" s="261">
        <v>804043</v>
      </c>
      <c r="B1377" s="265" t="s">
        <v>12674</v>
      </c>
      <c r="C1377" s="261" t="s">
        <v>6</v>
      </c>
      <c r="D1377" s="266">
        <v>977.88</v>
      </c>
    </row>
    <row r="1378" spans="1:4">
      <c r="A1378" s="261">
        <v>804044</v>
      </c>
      <c r="B1378" s="265" t="s">
        <v>12675</v>
      </c>
      <c r="C1378" s="261" t="s">
        <v>6</v>
      </c>
      <c r="D1378" s="266">
        <v>989.12</v>
      </c>
    </row>
    <row r="1379" spans="1:4">
      <c r="A1379" s="261">
        <v>804045</v>
      </c>
      <c r="B1379" s="265" t="s">
        <v>12676</v>
      </c>
      <c r="C1379" s="261" t="s">
        <v>6</v>
      </c>
      <c r="D1379" s="266">
        <v>1041.8399999999999</v>
      </c>
    </row>
    <row r="1380" spans="1:4">
      <c r="A1380" s="261">
        <v>804046</v>
      </c>
      <c r="B1380" s="265" t="s">
        <v>12677</v>
      </c>
      <c r="C1380" s="261" t="s">
        <v>6</v>
      </c>
      <c r="D1380" s="266">
        <v>1000.02</v>
      </c>
    </row>
    <row r="1381" spans="1:4">
      <c r="A1381" s="261">
        <v>804047</v>
      </c>
      <c r="B1381" s="265" t="s">
        <v>12678</v>
      </c>
      <c r="C1381" s="261" t="s">
        <v>6</v>
      </c>
      <c r="D1381" s="266">
        <v>1052.75</v>
      </c>
    </row>
    <row r="1382" spans="1:4">
      <c r="A1382" s="261">
        <v>804048</v>
      </c>
      <c r="B1382" s="265" t="s">
        <v>12679</v>
      </c>
      <c r="C1382" s="261" t="s">
        <v>6</v>
      </c>
      <c r="D1382" s="266">
        <v>1085.6300000000001</v>
      </c>
    </row>
    <row r="1383" spans="1:4">
      <c r="A1383" s="261">
        <v>804049</v>
      </c>
      <c r="B1383" s="265" t="s">
        <v>12680</v>
      </c>
      <c r="C1383" s="261" t="s">
        <v>6</v>
      </c>
      <c r="D1383" s="266">
        <v>1138.3599999999999</v>
      </c>
    </row>
    <row r="1384" spans="1:4">
      <c r="A1384" s="261">
        <v>804050</v>
      </c>
      <c r="B1384" s="265" t="s">
        <v>12681</v>
      </c>
      <c r="C1384" s="261" t="s">
        <v>6</v>
      </c>
      <c r="D1384" s="266">
        <v>1176.6099999999999</v>
      </c>
    </row>
    <row r="1385" spans="1:4">
      <c r="A1385" s="261">
        <v>804051</v>
      </c>
      <c r="B1385" s="265" t="s">
        <v>12682</v>
      </c>
      <c r="C1385" s="261" t="s">
        <v>6</v>
      </c>
      <c r="D1385" s="266">
        <v>1229.3399999999999</v>
      </c>
    </row>
    <row r="1386" spans="1:4">
      <c r="A1386" s="261">
        <v>804052</v>
      </c>
      <c r="B1386" s="265" t="s">
        <v>12683</v>
      </c>
      <c r="C1386" s="261" t="s">
        <v>6</v>
      </c>
      <c r="D1386" s="266">
        <v>1299.79</v>
      </c>
    </row>
    <row r="1387" spans="1:4">
      <c r="A1387" s="261">
        <v>804053</v>
      </c>
      <c r="B1387" s="265" t="s">
        <v>12684</v>
      </c>
      <c r="C1387" s="261" t="s">
        <v>6</v>
      </c>
      <c r="D1387" s="266">
        <v>1368.47</v>
      </c>
    </row>
    <row r="1388" spans="1:4">
      <c r="A1388" s="261">
        <v>804054</v>
      </c>
      <c r="B1388" s="265" t="s">
        <v>12685</v>
      </c>
      <c r="C1388" s="261" t="s">
        <v>6</v>
      </c>
      <c r="D1388" s="266">
        <v>1398.36</v>
      </c>
    </row>
    <row r="1389" spans="1:4">
      <c r="A1389" s="261">
        <v>804055</v>
      </c>
      <c r="B1389" s="265" t="s">
        <v>12686</v>
      </c>
      <c r="C1389" s="261" t="s">
        <v>6</v>
      </c>
      <c r="D1389" s="266">
        <v>1467.03</v>
      </c>
    </row>
    <row r="1390" spans="1:4">
      <c r="A1390" s="261">
        <v>804056</v>
      </c>
      <c r="B1390" s="265" t="s">
        <v>12687</v>
      </c>
      <c r="C1390" s="261" t="s">
        <v>6</v>
      </c>
      <c r="D1390" s="266">
        <v>1622.54</v>
      </c>
    </row>
    <row r="1391" spans="1:4">
      <c r="A1391" s="261">
        <v>804057</v>
      </c>
      <c r="B1391" s="265" t="s">
        <v>12688</v>
      </c>
      <c r="C1391" s="261" t="s">
        <v>6</v>
      </c>
      <c r="D1391" s="266">
        <v>1691.21</v>
      </c>
    </row>
    <row r="1392" spans="1:4">
      <c r="A1392" s="261">
        <v>804058</v>
      </c>
      <c r="B1392" s="265" t="s">
        <v>12689</v>
      </c>
      <c r="C1392" s="261" t="s">
        <v>6</v>
      </c>
      <c r="D1392" s="266">
        <v>1626.11</v>
      </c>
    </row>
    <row r="1393" spans="1:4">
      <c r="A1393" s="261">
        <v>804059</v>
      </c>
      <c r="B1393" s="265" t="s">
        <v>12690</v>
      </c>
      <c r="C1393" s="261" t="s">
        <v>6</v>
      </c>
      <c r="D1393" s="266">
        <v>1694.79</v>
      </c>
    </row>
    <row r="1394" spans="1:4">
      <c r="A1394" s="261">
        <v>804292</v>
      </c>
      <c r="B1394" s="265" t="s">
        <v>12691</v>
      </c>
      <c r="C1394" s="261" t="s">
        <v>6</v>
      </c>
      <c r="D1394" s="266">
        <v>2122</v>
      </c>
    </row>
    <row r="1395" spans="1:4">
      <c r="A1395" s="261">
        <v>804293</v>
      </c>
      <c r="B1395" s="265" t="s">
        <v>12692</v>
      </c>
      <c r="C1395" s="261" t="s">
        <v>6</v>
      </c>
      <c r="D1395" s="266">
        <v>2252.5100000000002</v>
      </c>
    </row>
    <row r="1396" spans="1:4">
      <c r="A1396" s="261">
        <v>804294</v>
      </c>
      <c r="B1396" s="265" t="s">
        <v>12693</v>
      </c>
      <c r="C1396" s="261" t="s">
        <v>6</v>
      </c>
      <c r="D1396" s="266">
        <v>2356.36</v>
      </c>
    </row>
    <row r="1397" spans="1:4">
      <c r="A1397" s="261">
        <v>804295</v>
      </c>
      <c r="B1397" s="265" t="s">
        <v>12694</v>
      </c>
      <c r="C1397" s="261" t="s">
        <v>6</v>
      </c>
      <c r="D1397" s="266">
        <v>2486.86</v>
      </c>
    </row>
    <row r="1398" spans="1:4">
      <c r="A1398" s="261">
        <v>804296</v>
      </c>
      <c r="B1398" s="265" t="s">
        <v>12695</v>
      </c>
      <c r="C1398" s="261" t="s">
        <v>6</v>
      </c>
      <c r="D1398" s="266">
        <v>2517.15</v>
      </c>
    </row>
    <row r="1399" spans="1:4">
      <c r="A1399" s="261">
        <v>804297</v>
      </c>
      <c r="B1399" s="265" t="s">
        <v>12696</v>
      </c>
      <c r="C1399" s="261" t="s">
        <v>6</v>
      </c>
      <c r="D1399" s="266">
        <v>2647.66</v>
      </c>
    </row>
    <row r="1400" spans="1:4">
      <c r="A1400" s="261">
        <v>804298</v>
      </c>
      <c r="B1400" s="265" t="s">
        <v>12697</v>
      </c>
      <c r="C1400" s="261" t="s">
        <v>6</v>
      </c>
      <c r="D1400" s="266">
        <v>2690.91</v>
      </c>
    </row>
    <row r="1401" spans="1:4">
      <c r="A1401" s="261">
        <v>804299</v>
      </c>
      <c r="B1401" s="265" t="s">
        <v>12698</v>
      </c>
      <c r="C1401" s="261" t="s">
        <v>6</v>
      </c>
      <c r="D1401" s="266">
        <v>2821.42</v>
      </c>
    </row>
    <row r="1402" spans="1:4">
      <c r="A1402" s="261">
        <v>804300</v>
      </c>
      <c r="B1402" s="265" t="s">
        <v>12699</v>
      </c>
      <c r="C1402" s="261" t="s">
        <v>6</v>
      </c>
      <c r="D1402" s="266">
        <v>2847.92</v>
      </c>
    </row>
    <row r="1403" spans="1:4">
      <c r="A1403" s="261">
        <v>804301</v>
      </c>
      <c r="B1403" s="265" t="s">
        <v>12700</v>
      </c>
      <c r="C1403" s="261" t="s">
        <v>6</v>
      </c>
      <c r="D1403" s="266">
        <v>3015.43</v>
      </c>
    </row>
    <row r="1404" spans="1:4">
      <c r="A1404" s="261">
        <v>804302</v>
      </c>
      <c r="B1404" s="265" t="s">
        <v>12701</v>
      </c>
      <c r="C1404" s="261" t="s">
        <v>6</v>
      </c>
      <c r="D1404" s="266">
        <v>2880.63</v>
      </c>
    </row>
    <row r="1405" spans="1:4">
      <c r="A1405" s="261">
        <v>804303</v>
      </c>
      <c r="B1405" s="265" t="s">
        <v>12702</v>
      </c>
      <c r="C1405" s="261" t="s">
        <v>6</v>
      </c>
      <c r="D1405" s="266">
        <v>3048.14</v>
      </c>
    </row>
    <row r="1406" spans="1:4">
      <c r="A1406" s="261">
        <v>804304</v>
      </c>
      <c r="B1406" s="265" t="s">
        <v>12703</v>
      </c>
      <c r="C1406" s="261" t="s">
        <v>6</v>
      </c>
      <c r="D1406" s="266">
        <v>3137.46</v>
      </c>
    </row>
    <row r="1407" spans="1:4">
      <c r="A1407" s="261">
        <v>804305</v>
      </c>
      <c r="B1407" s="265" t="s">
        <v>12704</v>
      </c>
      <c r="C1407" s="261" t="s">
        <v>6</v>
      </c>
      <c r="D1407" s="266">
        <v>3304.98</v>
      </c>
    </row>
    <row r="1408" spans="1:4">
      <c r="A1408" s="261">
        <v>804306</v>
      </c>
      <c r="B1408" s="265" t="s">
        <v>12705</v>
      </c>
      <c r="C1408" s="261" t="s">
        <v>6</v>
      </c>
      <c r="D1408" s="266">
        <v>3410.4</v>
      </c>
    </row>
    <row r="1409" spans="1:4">
      <c r="A1409" s="261">
        <v>804307</v>
      </c>
      <c r="B1409" s="265" t="s">
        <v>12706</v>
      </c>
      <c r="C1409" s="261" t="s">
        <v>6</v>
      </c>
      <c r="D1409" s="266">
        <v>3577.91</v>
      </c>
    </row>
    <row r="1410" spans="1:4">
      <c r="A1410" s="261">
        <v>804308</v>
      </c>
      <c r="B1410" s="265" t="s">
        <v>12707</v>
      </c>
      <c r="C1410" s="261" t="s">
        <v>6</v>
      </c>
      <c r="D1410" s="266">
        <v>3766.65</v>
      </c>
    </row>
    <row r="1411" spans="1:4">
      <c r="A1411" s="261">
        <v>804309</v>
      </c>
      <c r="B1411" s="265" t="s">
        <v>12708</v>
      </c>
      <c r="C1411" s="261" t="s">
        <v>6</v>
      </c>
      <c r="D1411" s="266">
        <v>3983.03</v>
      </c>
    </row>
    <row r="1412" spans="1:4">
      <c r="A1412" s="261">
        <v>804310</v>
      </c>
      <c r="B1412" s="265" t="s">
        <v>12709</v>
      </c>
      <c r="C1412" s="261" t="s">
        <v>6</v>
      </c>
      <c r="D1412" s="266">
        <v>4062.35</v>
      </c>
    </row>
    <row r="1413" spans="1:4">
      <c r="A1413" s="261">
        <v>804311</v>
      </c>
      <c r="B1413" s="265" t="s">
        <v>12710</v>
      </c>
      <c r="C1413" s="261" t="s">
        <v>6</v>
      </c>
      <c r="D1413" s="266">
        <v>4278.7299999999996</v>
      </c>
    </row>
    <row r="1414" spans="1:4">
      <c r="A1414" s="261">
        <v>804312</v>
      </c>
      <c r="B1414" s="265" t="s">
        <v>12711</v>
      </c>
      <c r="C1414" s="261" t="s">
        <v>6</v>
      </c>
      <c r="D1414" s="266">
        <v>4734.8900000000003</v>
      </c>
    </row>
    <row r="1415" spans="1:4">
      <c r="A1415" s="261">
        <v>804313</v>
      </c>
      <c r="B1415" s="265" t="s">
        <v>12712</v>
      </c>
      <c r="C1415" s="261" t="s">
        <v>6</v>
      </c>
      <c r="D1415" s="266">
        <v>4951.2700000000004</v>
      </c>
    </row>
    <row r="1416" spans="1:4">
      <c r="A1416" s="261">
        <v>804314</v>
      </c>
      <c r="B1416" s="265" t="s">
        <v>12713</v>
      </c>
      <c r="C1416" s="261" t="s">
        <v>6</v>
      </c>
      <c r="D1416" s="266">
        <v>4745.6099999999997</v>
      </c>
    </row>
    <row r="1417" spans="1:4">
      <c r="A1417" s="261">
        <v>804315</v>
      </c>
      <c r="B1417" s="265" t="s">
        <v>12714</v>
      </c>
      <c r="C1417" s="261" t="s">
        <v>6</v>
      </c>
      <c r="D1417" s="266">
        <v>4961.99</v>
      </c>
    </row>
    <row r="1418" spans="1:4">
      <c r="A1418" s="261">
        <v>805446</v>
      </c>
      <c r="B1418" s="265" t="s">
        <v>12715</v>
      </c>
      <c r="C1418" s="261" t="s">
        <v>97</v>
      </c>
      <c r="D1418" s="266">
        <v>39.81</v>
      </c>
    </row>
    <row r="1419" spans="1:4">
      <c r="A1419" s="261">
        <v>805447</v>
      </c>
      <c r="B1419" s="265" t="s">
        <v>12716</v>
      </c>
      <c r="C1419" s="261" t="s">
        <v>97</v>
      </c>
      <c r="D1419" s="266">
        <v>49.66</v>
      </c>
    </row>
    <row r="1420" spans="1:4">
      <c r="A1420" s="261">
        <v>805448</v>
      </c>
      <c r="B1420" s="265" t="s">
        <v>12717</v>
      </c>
      <c r="C1420" s="261" t="s">
        <v>97</v>
      </c>
      <c r="D1420" s="266">
        <v>47.73</v>
      </c>
    </row>
    <row r="1421" spans="1:4">
      <c r="A1421" s="261">
        <v>805449</v>
      </c>
      <c r="B1421" s="265" t="s">
        <v>12718</v>
      </c>
      <c r="C1421" s="261" t="s">
        <v>97</v>
      </c>
      <c r="D1421" s="266">
        <v>59.52</v>
      </c>
    </row>
    <row r="1422" spans="1:4">
      <c r="A1422" s="261">
        <v>805450</v>
      </c>
      <c r="B1422" s="265" t="s">
        <v>12719</v>
      </c>
      <c r="C1422" s="261" t="s">
        <v>97</v>
      </c>
      <c r="D1422" s="266">
        <v>55.39</v>
      </c>
    </row>
    <row r="1423" spans="1:4">
      <c r="A1423" s="261">
        <v>805451</v>
      </c>
      <c r="B1423" s="265" t="s">
        <v>12720</v>
      </c>
      <c r="C1423" s="261" t="s">
        <v>97</v>
      </c>
      <c r="D1423" s="266">
        <v>69.03</v>
      </c>
    </row>
    <row r="1424" spans="1:4">
      <c r="A1424" s="261">
        <v>805452</v>
      </c>
      <c r="B1424" s="265" t="s">
        <v>12721</v>
      </c>
      <c r="C1424" s="261" t="s">
        <v>97</v>
      </c>
      <c r="D1424" s="266">
        <v>64.8</v>
      </c>
    </row>
    <row r="1425" spans="1:4">
      <c r="A1425" s="261">
        <v>805453</v>
      </c>
      <c r="B1425" s="265" t="s">
        <v>12722</v>
      </c>
      <c r="C1425" s="261" t="s">
        <v>97</v>
      </c>
      <c r="D1425" s="266">
        <v>81</v>
      </c>
    </row>
    <row r="1426" spans="1:4">
      <c r="A1426" s="261">
        <v>805434</v>
      </c>
      <c r="B1426" s="265" t="s">
        <v>12723</v>
      </c>
      <c r="C1426" s="261" t="s">
        <v>97</v>
      </c>
      <c r="D1426" s="266">
        <v>13.59</v>
      </c>
    </row>
    <row r="1427" spans="1:4">
      <c r="A1427" s="261">
        <v>805435</v>
      </c>
      <c r="B1427" s="265" t="s">
        <v>12724</v>
      </c>
      <c r="C1427" s="261" t="s">
        <v>97</v>
      </c>
      <c r="D1427" s="266">
        <v>16.559999999999999</v>
      </c>
    </row>
    <row r="1428" spans="1:4">
      <c r="A1428" s="261">
        <v>805436</v>
      </c>
      <c r="B1428" s="265" t="s">
        <v>12725</v>
      </c>
      <c r="C1428" s="261" t="s">
        <v>97</v>
      </c>
      <c r="D1428" s="266">
        <v>15.83</v>
      </c>
    </row>
    <row r="1429" spans="1:4">
      <c r="A1429" s="261">
        <v>805437</v>
      </c>
      <c r="B1429" s="265" t="s">
        <v>12726</v>
      </c>
      <c r="C1429" s="261" t="s">
        <v>97</v>
      </c>
      <c r="D1429" s="266">
        <v>19.72</v>
      </c>
    </row>
    <row r="1430" spans="1:4">
      <c r="A1430" s="261">
        <v>805438</v>
      </c>
      <c r="B1430" s="265" t="s">
        <v>12727</v>
      </c>
      <c r="C1430" s="261" t="s">
        <v>97</v>
      </c>
      <c r="D1430" s="266">
        <v>21.5</v>
      </c>
    </row>
    <row r="1431" spans="1:4">
      <c r="A1431" s="261">
        <v>805439</v>
      </c>
      <c r="B1431" s="265" t="s">
        <v>12728</v>
      </c>
      <c r="C1431" s="261" t="s">
        <v>97</v>
      </c>
      <c r="D1431" s="266">
        <v>26.42</v>
      </c>
    </row>
    <row r="1432" spans="1:4">
      <c r="A1432" s="261">
        <v>805440</v>
      </c>
      <c r="B1432" s="265" t="s">
        <v>12729</v>
      </c>
      <c r="C1432" s="261" t="s">
        <v>97</v>
      </c>
      <c r="D1432" s="266">
        <v>23.99</v>
      </c>
    </row>
    <row r="1433" spans="1:4">
      <c r="A1433" s="261">
        <v>805441</v>
      </c>
      <c r="B1433" s="265" t="s">
        <v>12730</v>
      </c>
      <c r="C1433" s="261" t="s">
        <v>97</v>
      </c>
      <c r="D1433" s="266">
        <v>29.93</v>
      </c>
    </row>
    <row r="1434" spans="1:4">
      <c r="A1434" s="261">
        <v>805442</v>
      </c>
      <c r="B1434" s="265" t="s">
        <v>12731</v>
      </c>
      <c r="C1434" s="261" t="s">
        <v>97</v>
      </c>
      <c r="D1434" s="266">
        <v>29.16</v>
      </c>
    </row>
    <row r="1435" spans="1:4">
      <c r="A1435" s="261">
        <v>805443</v>
      </c>
      <c r="B1435" s="265" t="s">
        <v>12732</v>
      </c>
      <c r="C1435" s="261" t="s">
        <v>97</v>
      </c>
      <c r="D1435" s="266">
        <v>35.93</v>
      </c>
    </row>
    <row r="1436" spans="1:4">
      <c r="A1436" s="261">
        <v>805444</v>
      </c>
      <c r="B1436" s="265" t="s">
        <v>12733</v>
      </c>
      <c r="C1436" s="261" t="s">
        <v>97</v>
      </c>
      <c r="D1436" s="266">
        <v>32.4</v>
      </c>
    </row>
    <row r="1437" spans="1:4">
      <c r="A1437" s="261">
        <v>805445</v>
      </c>
      <c r="B1437" s="265" t="s">
        <v>12734</v>
      </c>
      <c r="C1437" s="261" t="s">
        <v>97</v>
      </c>
      <c r="D1437" s="266">
        <v>40.5</v>
      </c>
    </row>
    <row r="1438" spans="1:4">
      <c r="A1438" s="261">
        <v>805454</v>
      </c>
      <c r="B1438" s="265" t="s">
        <v>12735</v>
      </c>
      <c r="C1438" s="261" t="s">
        <v>97</v>
      </c>
      <c r="D1438" s="266">
        <v>71.709999999999994</v>
      </c>
    </row>
    <row r="1439" spans="1:4">
      <c r="A1439" s="261">
        <v>805455</v>
      </c>
      <c r="B1439" s="265" t="s">
        <v>12736</v>
      </c>
      <c r="C1439" s="261" t="s">
        <v>97</v>
      </c>
      <c r="D1439" s="266">
        <v>89.45</v>
      </c>
    </row>
    <row r="1440" spans="1:4">
      <c r="A1440" s="261">
        <v>805456</v>
      </c>
      <c r="B1440" s="265" t="s">
        <v>12737</v>
      </c>
      <c r="C1440" s="261" t="s">
        <v>97</v>
      </c>
      <c r="D1440" s="266">
        <v>81.37</v>
      </c>
    </row>
    <row r="1441" spans="1:4">
      <c r="A1441" s="261">
        <v>805457</v>
      </c>
      <c r="B1441" s="265" t="s">
        <v>12738</v>
      </c>
      <c r="C1441" s="261" t="s">
        <v>97</v>
      </c>
      <c r="D1441" s="266">
        <v>101.77</v>
      </c>
    </row>
    <row r="1442" spans="1:4">
      <c r="A1442" s="261">
        <v>805458</v>
      </c>
      <c r="B1442" s="265" t="s">
        <v>12739</v>
      </c>
      <c r="C1442" s="261" t="s">
        <v>97</v>
      </c>
      <c r="D1442" s="266">
        <v>97.44</v>
      </c>
    </row>
    <row r="1443" spans="1:4">
      <c r="A1443" s="261">
        <v>805459</v>
      </c>
      <c r="B1443" s="265" t="s">
        <v>12740</v>
      </c>
      <c r="C1443" s="261" t="s">
        <v>97</v>
      </c>
      <c r="D1443" s="266">
        <v>121.85</v>
      </c>
    </row>
    <row r="1444" spans="1:4">
      <c r="A1444" s="261">
        <v>909620</v>
      </c>
      <c r="B1444" s="265" t="s">
        <v>12741</v>
      </c>
      <c r="C1444" s="261" t="s">
        <v>3</v>
      </c>
      <c r="D1444" s="266">
        <v>122.66</v>
      </c>
    </row>
    <row r="1445" spans="1:4">
      <c r="A1445" s="261">
        <v>909621</v>
      </c>
      <c r="B1445" s="265" t="s">
        <v>12742</v>
      </c>
      <c r="C1445" s="261" t="s">
        <v>3</v>
      </c>
      <c r="D1445" s="266">
        <v>121.27</v>
      </c>
    </row>
    <row r="1446" spans="1:4">
      <c r="A1446" s="261">
        <v>903860</v>
      </c>
      <c r="B1446" s="265" t="s">
        <v>12743</v>
      </c>
      <c r="C1446" s="261" t="s">
        <v>3</v>
      </c>
      <c r="D1446" s="266">
        <v>2.74</v>
      </c>
    </row>
    <row r="1447" spans="1:4">
      <c r="A1447" s="261">
        <v>903818</v>
      </c>
      <c r="B1447" s="265" t="s">
        <v>12744</v>
      </c>
      <c r="C1447" s="261" t="s">
        <v>3</v>
      </c>
      <c r="D1447" s="266">
        <v>14.39</v>
      </c>
    </row>
    <row r="1448" spans="1:4">
      <c r="A1448" s="261">
        <v>903802</v>
      </c>
      <c r="B1448" s="265" t="s">
        <v>12745</v>
      </c>
      <c r="C1448" s="261" t="s">
        <v>97</v>
      </c>
      <c r="D1448" s="266">
        <v>14259.37</v>
      </c>
    </row>
    <row r="1449" spans="1:4">
      <c r="A1449" s="261">
        <v>919113</v>
      </c>
      <c r="B1449" s="265" t="s">
        <v>12746</v>
      </c>
      <c r="C1449" s="261" t="s">
        <v>6</v>
      </c>
      <c r="D1449" s="266">
        <v>54.05</v>
      </c>
    </row>
    <row r="1450" spans="1:4">
      <c r="A1450" s="261">
        <v>903788</v>
      </c>
      <c r="B1450" s="265" t="s">
        <v>12747</v>
      </c>
      <c r="C1450" s="261" t="s">
        <v>3</v>
      </c>
      <c r="D1450" s="266">
        <v>4.37</v>
      </c>
    </row>
    <row r="1451" spans="1:4">
      <c r="A1451" s="261">
        <v>919247</v>
      </c>
      <c r="B1451" s="265" t="s">
        <v>12748</v>
      </c>
      <c r="C1451" s="261" t="s">
        <v>3</v>
      </c>
      <c r="D1451" s="266">
        <v>46.27</v>
      </c>
    </row>
    <row r="1452" spans="1:4">
      <c r="A1452" s="261">
        <v>919016</v>
      </c>
      <c r="B1452" s="265" t="s">
        <v>12749</v>
      </c>
      <c r="C1452" s="261" t="s">
        <v>97</v>
      </c>
      <c r="D1452" s="266">
        <v>7695.63</v>
      </c>
    </row>
    <row r="1453" spans="1:4">
      <c r="A1453" s="261">
        <v>919079</v>
      </c>
      <c r="B1453" s="265" t="s">
        <v>12750</v>
      </c>
      <c r="C1453" s="261" t="s">
        <v>3</v>
      </c>
      <c r="D1453" s="266">
        <v>108.44</v>
      </c>
    </row>
    <row r="1454" spans="1:4">
      <c r="A1454" s="261">
        <v>919250</v>
      </c>
      <c r="B1454" s="265" t="s">
        <v>12751</v>
      </c>
      <c r="C1454" s="261" t="s">
        <v>97</v>
      </c>
      <c r="D1454" s="266">
        <v>517.62</v>
      </c>
    </row>
    <row r="1455" spans="1:4">
      <c r="A1455" s="261">
        <v>903807</v>
      </c>
      <c r="B1455" s="265" t="s">
        <v>12752</v>
      </c>
      <c r="C1455" s="261" t="s">
        <v>97</v>
      </c>
      <c r="D1455" s="266">
        <v>101224.13</v>
      </c>
    </row>
    <row r="1456" spans="1:4">
      <c r="A1456" s="261">
        <v>903806</v>
      </c>
      <c r="B1456" s="265" t="s">
        <v>12753</v>
      </c>
      <c r="C1456" s="261" t="s">
        <v>97</v>
      </c>
      <c r="D1456" s="266">
        <v>170468.3</v>
      </c>
    </row>
    <row r="1457" spans="1:4">
      <c r="A1457" s="261">
        <v>903804</v>
      </c>
      <c r="B1457" s="265" t="s">
        <v>12754</v>
      </c>
      <c r="C1457" s="261" t="s">
        <v>97</v>
      </c>
      <c r="D1457" s="266">
        <v>61842.34</v>
      </c>
    </row>
    <row r="1458" spans="1:4">
      <c r="A1458" s="261">
        <v>903805</v>
      </c>
      <c r="B1458" s="265" t="s">
        <v>12755</v>
      </c>
      <c r="C1458" s="261" t="s">
        <v>97</v>
      </c>
      <c r="D1458" s="266">
        <v>72894.320000000007</v>
      </c>
    </row>
    <row r="1459" spans="1:4">
      <c r="A1459" s="261">
        <v>903810</v>
      </c>
      <c r="B1459" s="265" t="s">
        <v>12756</v>
      </c>
      <c r="C1459" s="261" t="s">
        <v>97</v>
      </c>
      <c r="D1459" s="266">
        <v>181615.73</v>
      </c>
    </row>
    <row r="1460" spans="1:4">
      <c r="A1460" s="261">
        <v>903809</v>
      </c>
      <c r="B1460" s="265" t="s">
        <v>12757</v>
      </c>
      <c r="C1460" s="261" t="s">
        <v>97</v>
      </c>
      <c r="D1460" s="266">
        <v>117188.49</v>
      </c>
    </row>
    <row r="1461" spans="1:4">
      <c r="A1461" s="261">
        <v>903808</v>
      </c>
      <c r="B1461" s="265" t="s">
        <v>12758</v>
      </c>
      <c r="C1461" s="261" t="s">
        <v>97</v>
      </c>
      <c r="D1461" s="266">
        <v>104544.65</v>
      </c>
    </row>
    <row r="1462" spans="1:4">
      <c r="A1462" s="261">
        <v>903845</v>
      </c>
      <c r="B1462" s="265" t="s">
        <v>12759</v>
      </c>
      <c r="C1462" s="261" t="s">
        <v>5</v>
      </c>
      <c r="D1462" s="266">
        <v>110.82</v>
      </c>
    </row>
    <row r="1463" spans="1:4">
      <c r="A1463" s="261">
        <v>903789</v>
      </c>
      <c r="B1463" s="265" t="s">
        <v>12760</v>
      </c>
      <c r="C1463" s="261" t="s">
        <v>3</v>
      </c>
      <c r="D1463" s="266">
        <v>33.03</v>
      </c>
    </row>
    <row r="1464" spans="1:4" ht="31.5">
      <c r="A1464" s="261">
        <v>919009</v>
      </c>
      <c r="B1464" s="265" t="s">
        <v>12761</v>
      </c>
      <c r="C1464" s="261" t="s">
        <v>97</v>
      </c>
      <c r="D1464" s="266">
        <v>64579.29</v>
      </c>
    </row>
    <row r="1465" spans="1:4" ht="31.5">
      <c r="A1465" s="261">
        <v>919007</v>
      </c>
      <c r="B1465" s="265" t="s">
        <v>12762</v>
      </c>
      <c r="C1465" s="261" t="s">
        <v>97</v>
      </c>
      <c r="D1465" s="266">
        <v>118367.55</v>
      </c>
    </row>
    <row r="1466" spans="1:4" ht="31.5">
      <c r="A1466" s="261">
        <v>919011</v>
      </c>
      <c r="B1466" s="265" t="s">
        <v>12763</v>
      </c>
      <c r="C1466" s="261" t="s">
        <v>97</v>
      </c>
      <c r="D1466" s="266">
        <v>33498.65</v>
      </c>
    </row>
    <row r="1467" spans="1:4" ht="31.5">
      <c r="A1467" s="261">
        <v>919246</v>
      </c>
      <c r="B1467" s="265" t="s">
        <v>12764</v>
      </c>
      <c r="C1467" s="261" t="s">
        <v>97</v>
      </c>
      <c r="D1467" s="266">
        <v>46127.99</v>
      </c>
    </row>
    <row r="1468" spans="1:4" ht="31.5">
      <c r="A1468" s="261">
        <v>919013</v>
      </c>
      <c r="B1468" s="265" t="s">
        <v>12765</v>
      </c>
      <c r="C1468" s="261" t="s">
        <v>97</v>
      </c>
      <c r="D1468" s="266">
        <v>128998.91</v>
      </c>
    </row>
    <row r="1469" spans="1:4" ht="31.5">
      <c r="A1469" s="261">
        <v>919008</v>
      </c>
      <c r="B1469" s="265" t="s">
        <v>12766</v>
      </c>
      <c r="C1469" s="261" t="s">
        <v>97</v>
      </c>
      <c r="D1469" s="266">
        <v>91850.21</v>
      </c>
    </row>
    <row r="1470" spans="1:4" ht="31.5">
      <c r="A1470" s="261">
        <v>919012</v>
      </c>
      <c r="B1470" s="265" t="s">
        <v>12767</v>
      </c>
      <c r="C1470" s="261" t="s">
        <v>97</v>
      </c>
      <c r="D1470" s="266">
        <v>60048.68</v>
      </c>
    </row>
    <row r="1471" spans="1:4">
      <c r="A1471" s="261">
        <v>903848</v>
      </c>
      <c r="B1471" s="265" t="s">
        <v>12768</v>
      </c>
      <c r="C1471" s="261" t="s">
        <v>6</v>
      </c>
      <c r="D1471" s="266">
        <v>163.81</v>
      </c>
    </row>
    <row r="1472" spans="1:4">
      <c r="A1472" s="261">
        <v>919002</v>
      </c>
      <c r="B1472" s="265" t="s">
        <v>12769</v>
      </c>
      <c r="C1472" s="261" t="s">
        <v>97</v>
      </c>
      <c r="D1472" s="266">
        <v>32717.66</v>
      </c>
    </row>
    <row r="1473" spans="1:4">
      <c r="A1473" s="261">
        <v>919210</v>
      </c>
      <c r="B1473" s="265" t="s">
        <v>12770</v>
      </c>
      <c r="C1473" s="261" t="s">
        <v>97</v>
      </c>
      <c r="D1473" s="266">
        <v>19125.810000000001</v>
      </c>
    </row>
    <row r="1474" spans="1:4">
      <c r="A1474" s="261">
        <v>909612</v>
      </c>
      <c r="B1474" s="265" t="s">
        <v>12771</v>
      </c>
      <c r="C1474" s="261" t="s">
        <v>97</v>
      </c>
      <c r="D1474" s="266">
        <v>12963.93</v>
      </c>
    </row>
    <row r="1475" spans="1:4">
      <c r="A1475" s="261">
        <v>909613</v>
      </c>
      <c r="B1475" s="265" t="s">
        <v>12772</v>
      </c>
      <c r="C1475" s="261" t="s">
        <v>97</v>
      </c>
      <c r="D1475" s="266">
        <v>21306.28</v>
      </c>
    </row>
    <row r="1476" spans="1:4">
      <c r="A1476" s="261">
        <v>909614</v>
      </c>
      <c r="B1476" s="265" t="s">
        <v>12773</v>
      </c>
      <c r="C1476" s="261" t="s">
        <v>97</v>
      </c>
      <c r="D1476" s="266">
        <v>46433.79</v>
      </c>
    </row>
    <row r="1477" spans="1:4">
      <c r="A1477" s="261">
        <v>909616</v>
      </c>
      <c r="B1477" s="265" t="s">
        <v>12774</v>
      </c>
      <c r="C1477" s="261" t="s">
        <v>97</v>
      </c>
      <c r="D1477" s="266">
        <v>37072.480000000003</v>
      </c>
    </row>
    <row r="1478" spans="1:4">
      <c r="A1478" s="261">
        <v>909617</v>
      </c>
      <c r="B1478" s="265" t="s">
        <v>12775</v>
      </c>
      <c r="C1478" s="261" t="s">
        <v>97</v>
      </c>
      <c r="D1478" s="266">
        <v>22011.88</v>
      </c>
    </row>
    <row r="1479" spans="1:4">
      <c r="A1479" s="261">
        <v>909615</v>
      </c>
      <c r="B1479" s="265" t="s">
        <v>12776</v>
      </c>
      <c r="C1479" s="261" t="s">
        <v>97</v>
      </c>
      <c r="D1479" s="266">
        <v>16862.259999999998</v>
      </c>
    </row>
    <row r="1480" spans="1:4">
      <c r="A1480" s="261">
        <v>919101</v>
      </c>
      <c r="B1480" s="265" t="s">
        <v>12777</v>
      </c>
      <c r="C1480" s="261" t="s">
        <v>97</v>
      </c>
      <c r="D1480" s="266">
        <v>1866.34</v>
      </c>
    </row>
    <row r="1481" spans="1:4">
      <c r="A1481" s="261">
        <v>1100657</v>
      </c>
      <c r="B1481" s="265" t="s">
        <v>12778</v>
      </c>
      <c r="C1481" s="261" t="s">
        <v>5</v>
      </c>
      <c r="D1481" s="266">
        <v>3.65</v>
      </c>
    </row>
    <row r="1482" spans="1:4">
      <c r="A1482" s="261">
        <v>1108055</v>
      </c>
      <c r="B1482" s="265" t="s">
        <v>12779</v>
      </c>
      <c r="C1482" s="261" t="s">
        <v>5</v>
      </c>
      <c r="D1482" s="266">
        <v>2602.9499999999998</v>
      </c>
    </row>
    <row r="1483" spans="1:4">
      <c r="A1483" s="261">
        <v>1109665</v>
      </c>
      <c r="B1483" s="265" t="s">
        <v>12780</v>
      </c>
      <c r="C1483" s="261" t="s">
        <v>5</v>
      </c>
      <c r="D1483" s="266">
        <v>695.66</v>
      </c>
    </row>
    <row r="1484" spans="1:4">
      <c r="A1484" s="261">
        <v>1109664</v>
      </c>
      <c r="B1484" s="265" t="s">
        <v>12781</v>
      </c>
      <c r="C1484" s="261" t="s">
        <v>5</v>
      </c>
      <c r="D1484" s="266">
        <v>640.86</v>
      </c>
    </row>
    <row r="1485" spans="1:4">
      <c r="A1485" s="261">
        <v>1109667</v>
      </c>
      <c r="B1485" s="265" t="s">
        <v>12782</v>
      </c>
      <c r="C1485" s="261" t="s">
        <v>5</v>
      </c>
      <c r="D1485" s="266">
        <v>541.96</v>
      </c>
    </row>
    <row r="1486" spans="1:4">
      <c r="A1486" s="261">
        <v>1109666</v>
      </c>
      <c r="B1486" s="265" t="s">
        <v>12783</v>
      </c>
      <c r="C1486" s="261" t="s">
        <v>5</v>
      </c>
      <c r="D1486" s="266">
        <v>446.98</v>
      </c>
    </row>
    <row r="1487" spans="1:4">
      <c r="A1487" s="261">
        <v>1109669</v>
      </c>
      <c r="B1487" s="265" t="s">
        <v>12784</v>
      </c>
      <c r="C1487" s="261" t="s">
        <v>5</v>
      </c>
      <c r="D1487" s="266">
        <v>464.92</v>
      </c>
    </row>
    <row r="1488" spans="1:4">
      <c r="A1488" s="261">
        <v>1109668</v>
      </c>
      <c r="B1488" s="265" t="s">
        <v>12785</v>
      </c>
      <c r="C1488" s="261" t="s">
        <v>5</v>
      </c>
      <c r="D1488" s="266">
        <v>350.99</v>
      </c>
    </row>
    <row r="1489" spans="1:4">
      <c r="A1489" s="261">
        <v>1108060</v>
      </c>
      <c r="B1489" s="265" t="s">
        <v>12786</v>
      </c>
      <c r="C1489" s="261" t="s">
        <v>5</v>
      </c>
      <c r="D1489" s="266">
        <v>546.84</v>
      </c>
    </row>
    <row r="1490" spans="1:4">
      <c r="A1490" s="261">
        <v>1109626</v>
      </c>
      <c r="B1490" s="265" t="s">
        <v>12787</v>
      </c>
      <c r="C1490" s="261" t="s">
        <v>5</v>
      </c>
      <c r="D1490" s="266">
        <v>427.91</v>
      </c>
    </row>
    <row r="1491" spans="1:4">
      <c r="A1491" s="261">
        <v>1109671</v>
      </c>
      <c r="B1491" s="265" t="s">
        <v>12788</v>
      </c>
      <c r="C1491" s="261" t="s">
        <v>5</v>
      </c>
      <c r="D1491" s="266">
        <v>428.82</v>
      </c>
    </row>
    <row r="1492" spans="1:4">
      <c r="A1492" s="261">
        <v>1109670</v>
      </c>
      <c r="B1492" s="265" t="s">
        <v>12789</v>
      </c>
      <c r="C1492" s="261" t="s">
        <v>5</v>
      </c>
      <c r="D1492" s="266">
        <v>303.85000000000002</v>
      </c>
    </row>
    <row r="1493" spans="1:4">
      <c r="A1493" s="261">
        <v>1109672</v>
      </c>
      <c r="B1493" s="265" t="s">
        <v>12790</v>
      </c>
      <c r="C1493" s="261" t="s">
        <v>5</v>
      </c>
      <c r="D1493" s="266">
        <v>353.92</v>
      </c>
    </row>
    <row r="1494" spans="1:4">
      <c r="A1494" s="261">
        <v>1109624</v>
      </c>
      <c r="B1494" s="265" t="s">
        <v>12791</v>
      </c>
      <c r="C1494" s="261" t="s">
        <v>5</v>
      </c>
      <c r="D1494" s="266">
        <v>209.93</v>
      </c>
    </row>
    <row r="1495" spans="1:4">
      <c r="A1495" s="261">
        <v>1109622</v>
      </c>
      <c r="B1495" s="265" t="s">
        <v>12792</v>
      </c>
      <c r="C1495" s="261" t="s">
        <v>5</v>
      </c>
      <c r="D1495" s="266">
        <v>420.91</v>
      </c>
    </row>
    <row r="1496" spans="1:4">
      <c r="A1496" s="261">
        <v>1109623</v>
      </c>
      <c r="B1496" s="265" t="s">
        <v>12793</v>
      </c>
      <c r="C1496" s="261" t="s">
        <v>5</v>
      </c>
      <c r="D1496" s="266">
        <v>327.81</v>
      </c>
    </row>
    <row r="1497" spans="1:4">
      <c r="A1497" s="261">
        <v>1109697</v>
      </c>
      <c r="B1497" s="265" t="s">
        <v>12794</v>
      </c>
      <c r="C1497" s="261" t="s">
        <v>5</v>
      </c>
      <c r="D1497" s="266">
        <v>325.61</v>
      </c>
    </row>
    <row r="1498" spans="1:4">
      <c r="A1498" s="261">
        <v>1109698</v>
      </c>
      <c r="B1498" s="265" t="s">
        <v>12795</v>
      </c>
      <c r="C1498" s="261" t="s">
        <v>5</v>
      </c>
      <c r="D1498" s="266">
        <v>207.71</v>
      </c>
    </row>
    <row r="1499" spans="1:4">
      <c r="A1499" s="261">
        <v>1109679</v>
      </c>
      <c r="B1499" s="265" t="s">
        <v>12796</v>
      </c>
      <c r="C1499" s="261" t="s">
        <v>5</v>
      </c>
      <c r="D1499" s="266">
        <v>368.32</v>
      </c>
    </row>
    <row r="1500" spans="1:4">
      <c r="A1500" s="261">
        <v>1109625</v>
      </c>
      <c r="B1500" s="265" t="s">
        <v>12797</v>
      </c>
      <c r="C1500" s="261" t="s">
        <v>5</v>
      </c>
      <c r="D1500" s="266">
        <v>261.37</v>
      </c>
    </row>
    <row r="1501" spans="1:4">
      <c r="A1501" s="261">
        <v>1109678</v>
      </c>
      <c r="B1501" s="265" t="s">
        <v>12798</v>
      </c>
      <c r="C1501" s="261" t="s">
        <v>5</v>
      </c>
      <c r="D1501" s="266">
        <v>339.44</v>
      </c>
    </row>
    <row r="1502" spans="1:4">
      <c r="A1502" s="261">
        <v>1109694</v>
      </c>
      <c r="B1502" s="265" t="s">
        <v>12799</v>
      </c>
      <c r="C1502" s="261" t="s">
        <v>5</v>
      </c>
      <c r="D1502" s="266">
        <v>224.78</v>
      </c>
    </row>
    <row r="1503" spans="1:4">
      <c r="A1503" s="261">
        <v>1109673</v>
      </c>
      <c r="B1503" s="265" t="s">
        <v>12800</v>
      </c>
      <c r="C1503" s="261" t="s">
        <v>5</v>
      </c>
      <c r="D1503" s="266">
        <v>397.03</v>
      </c>
    </row>
    <row r="1504" spans="1:4">
      <c r="A1504" s="261">
        <v>1109690</v>
      </c>
      <c r="B1504" s="265" t="s">
        <v>12801</v>
      </c>
      <c r="C1504" s="261" t="s">
        <v>5</v>
      </c>
      <c r="D1504" s="266">
        <v>297.17</v>
      </c>
    </row>
    <row r="1505" spans="1:4">
      <c r="A1505" s="261">
        <v>1109674</v>
      </c>
      <c r="B1505" s="265" t="s">
        <v>12802</v>
      </c>
      <c r="C1505" s="261" t="s">
        <v>5</v>
      </c>
      <c r="D1505" s="266">
        <v>377.65</v>
      </c>
    </row>
    <row r="1506" spans="1:4">
      <c r="A1506" s="261">
        <v>1109691</v>
      </c>
      <c r="B1506" s="265" t="s">
        <v>12803</v>
      </c>
      <c r="C1506" s="261" t="s">
        <v>5</v>
      </c>
      <c r="D1506" s="266">
        <v>272.8</v>
      </c>
    </row>
    <row r="1507" spans="1:4">
      <c r="A1507" s="261">
        <v>1109675</v>
      </c>
      <c r="B1507" s="265" t="s">
        <v>12804</v>
      </c>
      <c r="C1507" s="261" t="s">
        <v>5</v>
      </c>
      <c r="D1507" s="266">
        <v>362.16</v>
      </c>
    </row>
    <row r="1508" spans="1:4">
      <c r="A1508" s="261">
        <v>1109692</v>
      </c>
      <c r="B1508" s="265" t="s">
        <v>12805</v>
      </c>
      <c r="C1508" s="261" t="s">
        <v>5</v>
      </c>
      <c r="D1508" s="266">
        <v>253.36</v>
      </c>
    </row>
    <row r="1509" spans="1:4">
      <c r="A1509" s="261">
        <v>1109676</v>
      </c>
      <c r="B1509" s="265" t="s">
        <v>12806</v>
      </c>
      <c r="C1509" s="261" t="s">
        <v>5</v>
      </c>
      <c r="D1509" s="266">
        <v>349.65</v>
      </c>
    </row>
    <row r="1510" spans="1:4">
      <c r="A1510" s="261">
        <v>1109693</v>
      </c>
      <c r="B1510" s="265" t="s">
        <v>12807</v>
      </c>
      <c r="C1510" s="261" t="s">
        <v>5</v>
      </c>
      <c r="D1510" s="266">
        <v>237.64</v>
      </c>
    </row>
    <row r="1511" spans="1:4">
      <c r="A1511" s="261">
        <v>1109680</v>
      </c>
      <c r="B1511" s="265" t="s">
        <v>12808</v>
      </c>
      <c r="C1511" s="261" t="s">
        <v>5</v>
      </c>
      <c r="D1511" s="266">
        <v>2904.94</v>
      </c>
    </row>
    <row r="1512" spans="1:4" ht="31.5">
      <c r="A1512" s="261">
        <v>1107748</v>
      </c>
      <c r="B1512" s="265" t="s">
        <v>12809</v>
      </c>
      <c r="C1512" s="261" t="s">
        <v>5</v>
      </c>
      <c r="D1512" s="266">
        <v>10374.65</v>
      </c>
    </row>
    <row r="1513" spans="1:4">
      <c r="A1513" s="261">
        <v>1110000</v>
      </c>
      <c r="B1513" s="265" t="s">
        <v>10634</v>
      </c>
      <c r="C1513" s="261" t="s">
        <v>5</v>
      </c>
      <c r="D1513" s="266">
        <v>0</v>
      </c>
    </row>
    <row r="1514" spans="1:4" ht="31.5">
      <c r="A1514" s="261">
        <v>1106059</v>
      </c>
      <c r="B1514" s="265" t="s">
        <v>12810</v>
      </c>
      <c r="C1514" s="261" t="s">
        <v>5</v>
      </c>
      <c r="D1514" s="266">
        <v>519.91999999999996</v>
      </c>
    </row>
    <row r="1515" spans="1:4" ht="31.5">
      <c r="A1515" s="261">
        <v>1106060</v>
      </c>
      <c r="B1515" s="265" t="s">
        <v>12811</v>
      </c>
      <c r="C1515" s="261" t="s">
        <v>5</v>
      </c>
      <c r="D1515" s="266">
        <v>413.63</v>
      </c>
    </row>
    <row r="1516" spans="1:4" ht="31.5">
      <c r="A1516" s="261">
        <v>1100658</v>
      </c>
      <c r="B1516" s="265" t="s">
        <v>12812</v>
      </c>
      <c r="C1516" s="261" t="s">
        <v>5</v>
      </c>
      <c r="D1516" s="266">
        <v>431.91</v>
      </c>
    </row>
    <row r="1517" spans="1:4" ht="31.5">
      <c r="A1517" s="261">
        <v>1106159</v>
      </c>
      <c r="B1517" s="265" t="s">
        <v>12813</v>
      </c>
      <c r="C1517" s="261" t="s">
        <v>5</v>
      </c>
      <c r="D1517" s="266">
        <v>459.76</v>
      </c>
    </row>
    <row r="1518" spans="1:4" ht="31.5">
      <c r="A1518" s="261">
        <v>1107902</v>
      </c>
      <c r="B1518" s="265" t="s">
        <v>12814</v>
      </c>
      <c r="C1518" s="261" t="s">
        <v>5</v>
      </c>
      <c r="D1518" s="266">
        <v>490.84</v>
      </c>
    </row>
    <row r="1519" spans="1:4" ht="31.5">
      <c r="A1519" s="261">
        <v>1107906</v>
      </c>
      <c r="B1519" s="265" t="s">
        <v>12815</v>
      </c>
      <c r="C1519" s="261" t="s">
        <v>5</v>
      </c>
      <c r="D1519" s="266">
        <v>525.58000000000004</v>
      </c>
    </row>
    <row r="1520" spans="1:4" ht="31.5">
      <c r="A1520" s="261">
        <v>1107910</v>
      </c>
      <c r="B1520" s="265" t="s">
        <v>12816</v>
      </c>
      <c r="C1520" s="261" t="s">
        <v>5</v>
      </c>
      <c r="D1520" s="266">
        <v>564.41</v>
      </c>
    </row>
    <row r="1521" spans="1:4" ht="31.5">
      <c r="A1521" s="261">
        <v>1107911</v>
      </c>
      <c r="B1521" s="265" t="s">
        <v>12817</v>
      </c>
      <c r="C1521" s="261" t="s">
        <v>5</v>
      </c>
      <c r="D1521" s="266">
        <v>607.79999999999995</v>
      </c>
    </row>
    <row r="1522" spans="1:4" ht="31.5">
      <c r="A1522" s="261">
        <v>1107912</v>
      </c>
      <c r="B1522" s="265" t="s">
        <v>12818</v>
      </c>
      <c r="C1522" s="261" t="s">
        <v>5</v>
      </c>
      <c r="D1522" s="266">
        <v>669.11</v>
      </c>
    </row>
    <row r="1523" spans="1:4">
      <c r="A1523" s="261">
        <v>1106164</v>
      </c>
      <c r="B1523" s="265" t="s">
        <v>12819</v>
      </c>
      <c r="C1523" s="261" t="s">
        <v>5</v>
      </c>
      <c r="D1523" s="266">
        <v>248.84</v>
      </c>
    </row>
    <row r="1524" spans="1:4">
      <c r="A1524" s="261">
        <v>1106165</v>
      </c>
      <c r="B1524" s="265" t="s">
        <v>12820</v>
      </c>
      <c r="C1524" s="261" t="s">
        <v>5</v>
      </c>
      <c r="D1524" s="266">
        <v>351.37</v>
      </c>
    </row>
    <row r="1525" spans="1:4">
      <c r="A1525" s="261">
        <v>1106156</v>
      </c>
      <c r="B1525" s="265" t="s">
        <v>12821</v>
      </c>
      <c r="C1525" s="261" t="s">
        <v>5</v>
      </c>
      <c r="D1525" s="266">
        <v>477.85</v>
      </c>
    </row>
    <row r="1526" spans="1:4">
      <c r="A1526" s="261">
        <v>1107932</v>
      </c>
      <c r="B1526" s="265" t="s">
        <v>12822</v>
      </c>
      <c r="C1526" s="261" t="s">
        <v>5</v>
      </c>
      <c r="D1526" s="266">
        <v>510.64</v>
      </c>
    </row>
    <row r="1527" spans="1:4">
      <c r="A1527" s="261">
        <v>1108111</v>
      </c>
      <c r="B1527" s="265" t="s">
        <v>12823</v>
      </c>
      <c r="C1527" s="261" t="s">
        <v>5</v>
      </c>
      <c r="D1527" s="266">
        <v>384.48</v>
      </c>
    </row>
    <row r="1528" spans="1:4">
      <c r="A1528" s="261">
        <v>1108112</v>
      </c>
      <c r="B1528" s="265" t="s">
        <v>12824</v>
      </c>
      <c r="C1528" s="261" t="s">
        <v>5</v>
      </c>
      <c r="D1528" s="266">
        <v>393.73</v>
      </c>
    </row>
    <row r="1529" spans="1:4">
      <c r="A1529" s="261">
        <v>1108113</v>
      </c>
      <c r="B1529" s="265" t="s">
        <v>12825</v>
      </c>
      <c r="C1529" s="261" t="s">
        <v>5</v>
      </c>
      <c r="D1529" s="266">
        <v>416.63</v>
      </c>
    </row>
    <row r="1530" spans="1:4">
      <c r="A1530" s="261">
        <v>1108114</v>
      </c>
      <c r="B1530" s="265" t="s">
        <v>12826</v>
      </c>
      <c r="C1530" s="261" t="s">
        <v>5</v>
      </c>
      <c r="D1530" s="266">
        <v>442.18</v>
      </c>
    </row>
    <row r="1531" spans="1:4">
      <c r="A1531" s="261">
        <v>1108061</v>
      </c>
      <c r="B1531" s="265" t="s">
        <v>12827</v>
      </c>
      <c r="C1531" s="261" t="s">
        <v>5</v>
      </c>
      <c r="D1531" s="266">
        <v>802.87</v>
      </c>
    </row>
    <row r="1532" spans="1:4">
      <c r="A1532" s="261">
        <v>1108064</v>
      </c>
      <c r="B1532" s="265" t="s">
        <v>12828</v>
      </c>
      <c r="C1532" s="261" t="s">
        <v>5</v>
      </c>
      <c r="D1532" s="266">
        <v>867.27</v>
      </c>
    </row>
    <row r="1533" spans="1:4">
      <c r="A1533" s="261">
        <v>1107888</v>
      </c>
      <c r="B1533" s="265" t="s">
        <v>12829</v>
      </c>
      <c r="C1533" s="261" t="s">
        <v>5</v>
      </c>
      <c r="D1533" s="266">
        <v>393.07</v>
      </c>
    </row>
    <row r="1534" spans="1:4">
      <c r="A1534" s="261">
        <v>1107889</v>
      </c>
      <c r="B1534" s="265" t="s">
        <v>12830</v>
      </c>
      <c r="C1534" s="261" t="s">
        <v>5</v>
      </c>
      <c r="D1534" s="266">
        <v>285.58</v>
      </c>
    </row>
    <row r="1535" spans="1:4">
      <c r="A1535" s="261">
        <v>1107892</v>
      </c>
      <c r="B1535" s="265" t="s">
        <v>12831</v>
      </c>
      <c r="C1535" s="261" t="s">
        <v>5</v>
      </c>
      <c r="D1535" s="266">
        <v>409.32</v>
      </c>
    </row>
    <row r="1536" spans="1:4">
      <c r="A1536" s="261">
        <v>1107891</v>
      </c>
      <c r="B1536" s="265" t="s">
        <v>12832</v>
      </c>
      <c r="C1536" s="261" t="s">
        <v>5</v>
      </c>
      <c r="D1536" s="266">
        <v>303.73</v>
      </c>
    </row>
    <row r="1537" spans="1:4">
      <c r="A1537" s="261">
        <v>1107928</v>
      </c>
      <c r="B1537" s="265" t="s">
        <v>12833</v>
      </c>
      <c r="C1537" s="261" t="s">
        <v>5</v>
      </c>
      <c r="D1537" s="266">
        <v>338.94</v>
      </c>
    </row>
    <row r="1538" spans="1:4">
      <c r="A1538" s="261">
        <v>1107929</v>
      </c>
      <c r="B1538" s="265" t="s">
        <v>12834</v>
      </c>
      <c r="C1538" s="261" t="s">
        <v>5</v>
      </c>
      <c r="D1538" s="266">
        <v>232.87</v>
      </c>
    </row>
    <row r="1539" spans="1:4">
      <c r="A1539" s="261">
        <v>1106109</v>
      </c>
      <c r="B1539" s="265" t="s">
        <v>12835</v>
      </c>
      <c r="C1539" s="261" t="s">
        <v>5</v>
      </c>
      <c r="D1539" s="266">
        <v>325.70999999999998</v>
      </c>
    </row>
    <row r="1540" spans="1:4">
      <c r="A1540" s="261">
        <v>1106117</v>
      </c>
      <c r="B1540" s="265" t="s">
        <v>12836</v>
      </c>
      <c r="C1540" s="261" t="s">
        <v>5</v>
      </c>
      <c r="D1540" s="266">
        <v>219.63</v>
      </c>
    </row>
    <row r="1541" spans="1:4">
      <c r="A1541" s="261">
        <v>1107896</v>
      </c>
      <c r="B1541" s="265" t="s">
        <v>12837</v>
      </c>
      <c r="C1541" s="261" t="s">
        <v>5</v>
      </c>
      <c r="D1541" s="266">
        <v>427.55</v>
      </c>
    </row>
    <row r="1542" spans="1:4">
      <c r="A1542" s="261">
        <v>1107895</v>
      </c>
      <c r="B1542" s="265" t="s">
        <v>12838</v>
      </c>
      <c r="C1542" s="261" t="s">
        <v>5</v>
      </c>
      <c r="D1542" s="266">
        <v>324.08</v>
      </c>
    </row>
    <row r="1543" spans="1:4">
      <c r="A1543" s="261">
        <v>1119528</v>
      </c>
      <c r="B1543" s="265" t="s">
        <v>12839</v>
      </c>
      <c r="C1543" s="261" t="s">
        <v>5</v>
      </c>
      <c r="D1543" s="266">
        <v>350.98</v>
      </c>
    </row>
    <row r="1544" spans="1:4">
      <c r="A1544" s="261">
        <v>1106135</v>
      </c>
      <c r="B1544" s="265" t="s">
        <v>12840</v>
      </c>
      <c r="C1544" s="261" t="s">
        <v>5</v>
      </c>
      <c r="D1544" s="266">
        <v>246.38</v>
      </c>
    </row>
    <row r="1545" spans="1:4">
      <c r="A1545" s="261">
        <v>1106136</v>
      </c>
      <c r="B1545" s="265" t="s">
        <v>12841</v>
      </c>
      <c r="C1545" s="261" t="s">
        <v>5</v>
      </c>
      <c r="D1545" s="266">
        <v>336.99</v>
      </c>
    </row>
    <row r="1546" spans="1:4">
      <c r="A1546" s="261">
        <v>1106137</v>
      </c>
      <c r="B1546" s="265" t="s">
        <v>12842</v>
      </c>
      <c r="C1546" s="261" t="s">
        <v>5</v>
      </c>
      <c r="D1546" s="266">
        <v>232.38</v>
      </c>
    </row>
    <row r="1547" spans="1:4">
      <c r="A1547" s="261">
        <v>1116127</v>
      </c>
      <c r="B1547" s="265" t="s">
        <v>12843</v>
      </c>
      <c r="C1547" s="261" t="s">
        <v>5</v>
      </c>
      <c r="D1547" s="266">
        <v>443.81</v>
      </c>
    </row>
    <row r="1548" spans="1:4" ht="31.5">
      <c r="A1548" s="261">
        <v>1116126</v>
      </c>
      <c r="B1548" s="265" t="s">
        <v>12844</v>
      </c>
      <c r="C1548" s="261" t="s">
        <v>5</v>
      </c>
      <c r="D1548" s="266">
        <v>345.82</v>
      </c>
    </row>
    <row r="1549" spans="1:4">
      <c r="A1549" s="261">
        <v>1107900</v>
      </c>
      <c r="B1549" s="265" t="s">
        <v>12845</v>
      </c>
      <c r="C1549" s="261" t="s">
        <v>5</v>
      </c>
      <c r="D1549" s="266">
        <v>447.84</v>
      </c>
    </row>
    <row r="1550" spans="1:4">
      <c r="A1550" s="261">
        <v>1107899</v>
      </c>
      <c r="B1550" s="265" t="s">
        <v>12846</v>
      </c>
      <c r="C1550" s="261" t="s">
        <v>5</v>
      </c>
      <c r="D1550" s="266">
        <v>346.75</v>
      </c>
    </row>
    <row r="1551" spans="1:4">
      <c r="A1551" s="261">
        <v>1107890</v>
      </c>
      <c r="B1551" s="265" t="s">
        <v>12847</v>
      </c>
      <c r="C1551" s="261" t="s">
        <v>5</v>
      </c>
      <c r="D1551" s="266">
        <v>366.68</v>
      </c>
    </row>
    <row r="1552" spans="1:4">
      <c r="A1552" s="261">
        <v>1106138</v>
      </c>
      <c r="B1552" s="265" t="s">
        <v>12848</v>
      </c>
      <c r="C1552" s="261" t="s">
        <v>5</v>
      </c>
      <c r="D1552" s="266">
        <v>264</v>
      </c>
    </row>
    <row r="1553" spans="1:4">
      <c r="A1553" s="261">
        <v>1106139</v>
      </c>
      <c r="B1553" s="265" t="s">
        <v>12849</v>
      </c>
      <c r="C1553" s="261" t="s">
        <v>5</v>
      </c>
      <c r="D1553" s="266">
        <v>351.78</v>
      </c>
    </row>
    <row r="1554" spans="1:4">
      <c r="A1554" s="261">
        <v>1106140</v>
      </c>
      <c r="B1554" s="265" t="s">
        <v>12850</v>
      </c>
      <c r="C1554" s="261" t="s">
        <v>5</v>
      </c>
      <c r="D1554" s="266">
        <v>249.09</v>
      </c>
    </row>
    <row r="1555" spans="1:4">
      <c r="A1555" s="261">
        <v>1107904</v>
      </c>
      <c r="B1555" s="265" t="s">
        <v>12851</v>
      </c>
      <c r="C1555" s="261" t="s">
        <v>5</v>
      </c>
      <c r="D1555" s="266">
        <v>470.56</v>
      </c>
    </row>
    <row r="1556" spans="1:4">
      <c r="A1556" s="261">
        <v>1107903</v>
      </c>
      <c r="B1556" s="265" t="s">
        <v>12852</v>
      </c>
      <c r="C1556" s="261" t="s">
        <v>5</v>
      </c>
      <c r="D1556" s="266">
        <v>372.13</v>
      </c>
    </row>
    <row r="1557" spans="1:4">
      <c r="A1557" s="261">
        <v>1107908</v>
      </c>
      <c r="B1557" s="265" t="s">
        <v>12853</v>
      </c>
      <c r="C1557" s="261" t="s">
        <v>5</v>
      </c>
      <c r="D1557" s="266">
        <v>495.86</v>
      </c>
    </row>
    <row r="1558" spans="1:4">
      <c r="A1558" s="261">
        <v>1107907</v>
      </c>
      <c r="B1558" s="265" t="s">
        <v>12854</v>
      </c>
      <c r="C1558" s="261" t="s">
        <v>5</v>
      </c>
      <c r="D1558" s="266">
        <v>400.4</v>
      </c>
    </row>
    <row r="1559" spans="1:4">
      <c r="A1559" s="261">
        <v>1107871</v>
      </c>
      <c r="B1559" s="265" t="s">
        <v>12855</v>
      </c>
      <c r="C1559" s="261" t="s">
        <v>5</v>
      </c>
      <c r="D1559" s="266">
        <v>395.71</v>
      </c>
    </row>
    <row r="1560" spans="1:4">
      <c r="A1560" s="261">
        <v>1107870</v>
      </c>
      <c r="B1560" s="265" t="s">
        <v>12856</v>
      </c>
      <c r="C1560" s="261" t="s">
        <v>5</v>
      </c>
      <c r="D1560" s="266">
        <v>294.64</v>
      </c>
    </row>
    <row r="1561" spans="1:4">
      <c r="A1561" s="261">
        <v>1106057</v>
      </c>
      <c r="B1561" s="265" t="s">
        <v>12857</v>
      </c>
      <c r="C1561" s="261" t="s">
        <v>5</v>
      </c>
      <c r="D1561" s="266">
        <v>397.84</v>
      </c>
    </row>
    <row r="1562" spans="1:4">
      <c r="A1562" s="261">
        <v>1106058</v>
      </c>
      <c r="B1562" s="265" t="s">
        <v>12858</v>
      </c>
      <c r="C1562" s="261" t="s">
        <v>5</v>
      </c>
      <c r="D1562" s="266">
        <v>296.60000000000002</v>
      </c>
    </row>
    <row r="1563" spans="1:4">
      <c r="A1563" s="261">
        <v>1106380</v>
      </c>
      <c r="B1563" s="265" t="s">
        <v>12859</v>
      </c>
      <c r="C1563" s="261" t="s">
        <v>5</v>
      </c>
      <c r="D1563" s="266">
        <v>373.7</v>
      </c>
    </row>
    <row r="1564" spans="1:4">
      <c r="A1564" s="261">
        <v>1106378</v>
      </c>
      <c r="B1564" s="265" t="s">
        <v>12860</v>
      </c>
      <c r="C1564" s="261" t="s">
        <v>5</v>
      </c>
      <c r="D1564" s="266">
        <v>274.39999999999998</v>
      </c>
    </row>
    <row r="1565" spans="1:4">
      <c r="A1565" s="261">
        <v>1116263</v>
      </c>
      <c r="B1565" s="265" t="s">
        <v>12861</v>
      </c>
      <c r="C1565" s="261" t="s">
        <v>5</v>
      </c>
      <c r="D1565" s="266">
        <v>358.15</v>
      </c>
    </row>
    <row r="1566" spans="1:4">
      <c r="A1566" s="261">
        <v>1116267</v>
      </c>
      <c r="B1566" s="265" t="s">
        <v>12862</v>
      </c>
      <c r="C1566" s="261" t="s">
        <v>5</v>
      </c>
      <c r="D1566" s="266">
        <v>258.83999999999997</v>
      </c>
    </row>
    <row r="1567" spans="1:4">
      <c r="A1567" s="261">
        <v>1106280</v>
      </c>
      <c r="B1567" s="265" t="s">
        <v>12863</v>
      </c>
      <c r="C1567" s="261" t="s">
        <v>5</v>
      </c>
      <c r="D1567" s="266">
        <v>392.21</v>
      </c>
    </row>
    <row r="1568" spans="1:4">
      <c r="A1568" s="261">
        <v>1106289</v>
      </c>
      <c r="B1568" s="265" t="s">
        <v>12864</v>
      </c>
      <c r="C1568" s="261" t="s">
        <v>5</v>
      </c>
      <c r="D1568" s="266">
        <v>295.13</v>
      </c>
    </row>
    <row r="1569" spans="1:4">
      <c r="A1569" s="261">
        <v>1116264</v>
      </c>
      <c r="B1569" s="265" t="s">
        <v>12865</v>
      </c>
      <c r="C1569" s="261" t="s">
        <v>5</v>
      </c>
      <c r="D1569" s="266">
        <v>375.58</v>
      </c>
    </row>
    <row r="1570" spans="1:4">
      <c r="A1570" s="261">
        <v>1116268</v>
      </c>
      <c r="B1570" s="265" t="s">
        <v>12866</v>
      </c>
      <c r="C1570" s="261" t="s">
        <v>5</v>
      </c>
      <c r="D1570" s="266">
        <v>278.5</v>
      </c>
    </row>
    <row r="1571" spans="1:4">
      <c r="A1571" s="261">
        <v>1106281</v>
      </c>
      <c r="B1571" s="265" t="s">
        <v>12867</v>
      </c>
      <c r="C1571" s="261" t="s">
        <v>5</v>
      </c>
      <c r="D1571" s="266">
        <v>416.05</v>
      </c>
    </row>
    <row r="1572" spans="1:4">
      <c r="A1572" s="261">
        <v>1106382</v>
      </c>
      <c r="B1572" s="265" t="s">
        <v>12868</v>
      </c>
      <c r="C1572" s="261" t="s">
        <v>5</v>
      </c>
      <c r="D1572" s="266">
        <v>321.85000000000002</v>
      </c>
    </row>
    <row r="1573" spans="1:4">
      <c r="A1573" s="261">
        <v>1116265</v>
      </c>
      <c r="B1573" s="265" t="s">
        <v>12869</v>
      </c>
      <c r="C1573" s="261" t="s">
        <v>5</v>
      </c>
      <c r="D1573" s="266">
        <v>397.96</v>
      </c>
    </row>
    <row r="1574" spans="1:4">
      <c r="A1574" s="261">
        <v>1116269</v>
      </c>
      <c r="B1574" s="265" t="s">
        <v>12870</v>
      </c>
      <c r="C1574" s="261" t="s">
        <v>5</v>
      </c>
      <c r="D1574" s="266">
        <v>303.76</v>
      </c>
    </row>
    <row r="1575" spans="1:4">
      <c r="A1575" s="261">
        <v>1106282</v>
      </c>
      <c r="B1575" s="265" t="s">
        <v>12871</v>
      </c>
      <c r="C1575" s="261" t="s">
        <v>5</v>
      </c>
      <c r="D1575" s="266">
        <v>442.65</v>
      </c>
    </row>
    <row r="1576" spans="1:4">
      <c r="A1576" s="261">
        <v>1106384</v>
      </c>
      <c r="B1576" s="265" t="s">
        <v>12872</v>
      </c>
      <c r="C1576" s="261" t="s">
        <v>5</v>
      </c>
      <c r="D1576" s="266">
        <v>351.66</v>
      </c>
    </row>
    <row r="1577" spans="1:4">
      <c r="A1577" s="261">
        <v>1116266</v>
      </c>
      <c r="B1577" s="265" t="s">
        <v>12873</v>
      </c>
      <c r="C1577" s="261" t="s">
        <v>5</v>
      </c>
      <c r="D1577" s="266">
        <v>422.98</v>
      </c>
    </row>
    <row r="1578" spans="1:4">
      <c r="A1578" s="261">
        <v>1116270</v>
      </c>
      <c r="B1578" s="265" t="s">
        <v>12874</v>
      </c>
      <c r="C1578" s="261" t="s">
        <v>5</v>
      </c>
      <c r="D1578" s="266">
        <v>331.99</v>
      </c>
    </row>
    <row r="1579" spans="1:4" ht="31.5">
      <c r="A1579" s="261">
        <v>1107868</v>
      </c>
      <c r="B1579" s="265" t="s">
        <v>12875</v>
      </c>
      <c r="C1579" s="261" t="s">
        <v>5</v>
      </c>
      <c r="D1579" s="266">
        <v>298.99</v>
      </c>
    </row>
    <row r="1580" spans="1:4" ht="31.5">
      <c r="A1580" s="261">
        <v>1107869</v>
      </c>
      <c r="B1580" s="265" t="s">
        <v>12876</v>
      </c>
      <c r="C1580" s="261" t="s">
        <v>5</v>
      </c>
      <c r="D1580" s="266">
        <v>188.03</v>
      </c>
    </row>
    <row r="1581" spans="1:4">
      <c r="A1581" s="261">
        <v>1103853</v>
      </c>
      <c r="B1581" s="265" t="s">
        <v>12877</v>
      </c>
      <c r="C1581" s="261" t="s">
        <v>5</v>
      </c>
      <c r="D1581" s="266">
        <v>379.69</v>
      </c>
    </row>
    <row r="1582" spans="1:4" ht="31.5">
      <c r="A1582" s="261">
        <v>1103852</v>
      </c>
      <c r="B1582" s="265" t="s">
        <v>12878</v>
      </c>
      <c r="C1582" s="261" t="s">
        <v>5</v>
      </c>
      <c r="D1582" s="266">
        <v>327.18</v>
      </c>
    </row>
    <row r="1583" spans="1:4">
      <c r="A1583" s="261">
        <v>1106284</v>
      </c>
      <c r="B1583" s="265" t="s">
        <v>12879</v>
      </c>
      <c r="C1583" s="261" t="s">
        <v>5</v>
      </c>
      <c r="D1583" s="266">
        <v>390.67</v>
      </c>
    </row>
    <row r="1584" spans="1:4">
      <c r="A1584" s="261">
        <v>1108116</v>
      </c>
      <c r="B1584" s="265" t="s">
        <v>12880</v>
      </c>
      <c r="C1584" s="261" t="s">
        <v>5</v>
      </c>
      <c r="D1584" s="266">
        <v>395.44</v>
      </c>
    </row>
    <row r="1585" spans="1:4">
      <c r="A1585" s="261">
        <v>1108118</v>
      </c>
      <c r="B1585" s="265" t="s">
        <v>12881</v>
      </c>
      <c r="C1585" s="261" t="s">
        <v>5</v>
      </c>
      <c r="D1585" s="266">
        <v>416.67</v>
      </c>
    </row>
    <row r="1586" spans="1:4">
      <c r="A1586" s="261">
        <v>1106158</v>
      </c>
      <c r="B1586" s="265" t="s">
        <v>12882</v>
      </c>
      <c r="C1586" s="261" t="s">
        <v>5</v>
      </c>
      <c r="D1586" s="266">
        <v>443.07</v>
      </c>
    </row>
    <row r="1587" spans="1:4">
      <c r="A1587" s="261">
        <v>1108120</v>
      </c>
      <c r="B1587" s="265" t="s">
        <v>12883</v>
      </c>
      <c r="C1587" s="261" t="s">
        <v>5</v>
      </c>
      <c r="D1587" s="266">
        <v>472.58</v>
      </c>
    </row>
    <row r="1588" spans="1:4">
      <c r="A1588" s="261">
        <v>1106050</v>
      </c>
      <c r="B1588" s="265" t="s">
        <v>12884</v>
      </c>
      <c r="C1588" s="261" t="s">
        <v>5</v>
      </c>
      <c r="D1588" s="266">
        <v>46.19</v>
      </c>
    </row>
    <row r="1589" spans="1:4">
      <c r="A1589" s="261">
        <v>1106051</v>
      </c>
      <c r="B1589" s="265" t="s">
        <v>12885</v>
      </c>
      <c r="C1589" s="261" t="s">
        <v>5</v>
      </c>
      <c r="D1589" s="266">
        <v>38.590000000000003</v>
      </c>
    </row>
    <row r="1590" spans="1:4">
      <c r="A1590" s="261">
        <v>1106061</v>
      </c>
      <c r="B1590" s="265" t="s">
        <v>12886</v>
      </c>
      <c r="C1590" s="261" t="s">
        <v>5</v>
      </c>
      <c r="D1590" s="266">
        <v>54.88</v>
      </c>
    </row>
    <row r="1591" spans="1:4">
      <c r="A1591" s="261">
        <v>1106087</v>
      </c>
      <c r="B1591" s="265" t="s">
        <v>12887</v>
      </c>
      <c r="C1591" s="261" t="s">
        <v>5</v>
      </c>
      <c r="D1591" s="266">
        <v>47.56</v>
      </c>
    </row>
    <row r="1592" spans="1:4" ht="31.5">
      <c r="A1592" s="261">
        <v>1107860</v>
      </c>
      <c r="B1592" s="265" t="s">
        <v>12888</v>
      </c>
      <c r="C1592" s="261" t="s">
        <v>5</v>
      </c>
      <c r="D1592" s="266">
        <v>55.18</v>
      </c>
    </row>
    <row r="1593" spans="1:4">
      <c r="A1593" s="261">
        <v>1106088</v>
      </c>
      <c r="B1593" s="265" t="s">
        <v>12889</v>
      </c>
      <c r="C1593" s="261" t="s">
        <v>5</v>
      </c>
      <c r="D1593" s="266">
        <v>57.79</v>
      </c>
    </row>
    <row r="1594" spans="1:4">
      <c r="A1594" s="261">
        <v>1106128</v>
      </c>
      <c r="B1594" s="265" t="s">
        <v>12890</v>
      </c>
      <c r="C1594" s="261" t="s">
        <v>5</v>
      </c>
      <c r="D1594" s="266">
        <v>47.49</v>
      </c>
    </row>
    <row r="1595" spans="1:4">
      <c r="A1595" s="261">
        <v>1108056</v>
      </c>
      <c r="B1595" s="265" t="s">
        <v>12891</v>
      </c>
      <c r="C1595" s="261" t="s">
        <v>5</v>
      </c>
      <c r="D1595" s="266">
        <v>2283.69</v>
      </c>
    </row>
    <row r="1596" spans="1:4">
      <c r="A1596" s="261">
        <v>1108059</v>
      </c>
      <c r="B1596" s="265" t="s">
        <v>12892</v>
      </c>
      <c r="C1596" s="261" t="s">
        <v>5</v>
      </c>
      <c r="D1596" s="266">
        <v>2648.91</v>
      </c>
    </row>
    <row r="1597" spans="1:4">
      <c r="A1597" s="261">
        <v>1207700</v>
      </c>
      <c r="B1597" s="265" t="s">
        <v>12893</v>
      </c>
      <c r="C1597" s="261" t="s">
        <v>5</v>
      </c>
      <c r="D1597" s="266">
        <v>499.84</v>
      </c>
    </row>
    <row r="1598" spans="1:4">
      <c r="A1598" s="261">
        <v>1207701</v>
      </c>
      <c r="B1598" s="265" t="s">
        <v>12894</v>
      </c>
      <c r="C1598" s="261" t="s">
        <v>5</v>
      </c>
      <c r="D1598" s="266">
        <v>531.29</v>
      </c>
    </row>
    <row r="1599" spans="1:4">
      <c r="A1599" s="261">
        <v>1207702</v>
      </c>
      <c r="B1599" s="265" t="s">
        <v>12895</v>
      </c>
      <c r="C1599" s="261" t="s">
        <v>5</v>
      </c>
      <c r="D1599" s="266">
        <v>566.48</v>
      </c>
    </row>
    <row r="1600" spans="1:4">
      <c r="A1600" s="261">
        <v>1207708</v>
      </c>
      <c r="B1600" s="265" t="s">
        <v>12896</v>
      </c>
      <c r="C1600" s="261" t="s">
        <v>5</v>
      </c>
      <c r="D1600" s="266">
        <v>504.18</v>
      </c>
    </row>
    <row r="1601" spans="1:4">
      <c r="A1601" s="261">
        <v>1207703</v>
      </c>
      <c r="B1601" s="265" t="s">
        <v>12897</v>
      </c>
      <c r="C1601" s="261" t="s">
        <v>5</v>
      </c>
      <c r="D1601" s="266">
        <v>649.88</v>
      </c>
    </row>
    <row r="1602" spans="1:4">
      <c r="A1602" s="261">
        <v>1207709</v>
      </c>
      <c r="B1602" s="265" t="s">
        <v>12898</v>
      </c>
      <c r="C1602" s="261" t="s">
        <v>5</v>
      </c>
      <c r="D1602" s="266">
        <v>580.41</v>
      </c>
    </row>
    <row r="1603" spans="1:4">
      <c r="A1603" s="261">
        <v>1207710</v>
      </c>
      <c r="B1603" s="265" t="s">
        <v>12899</v>
      </c>
      <c r="C1603" s="261" t="s">
        <v>5</v>
      </c>
      <c r="D1603" s="266">
        <v>783.11</v>
      </c>
    </row>
    <row r="1604" spans="1:4">
      <c r="A1604" s="261">
        <v>1207711</v>
      </c>
      <c r="B1604" s="265" t="s">
        <v>12900</v>
      </c>
      <c r="C1604" s="261" t="s">
        <v>5</v>
      </c>
      <c r="D1604" s="266">
        <v>980.16</v>
      </c>
    </row>
    <row r="1605" spans="1:4">
      <c r="A1605" s="261">
        <v>1207713</v>
      </c>
      <c r="B1605" s="265" t="s">
        <v>12901</v>
      </c>
      <c r="C1605" s="261" t="s">
        <v>5</v>
      </c>
      <c r="D1605" s="266">
        <v>1498.06</v>
      </c>
    </row>
    <row r="1606" spans="1:4">
      <c r="A1606" s="261">
        <v>1207714</v>
      </c>
      <c r="B1606" s="265" t="s">
        <v>12902</v>
      </c>
      <c r="C1606" s="261" t="s">
        <v>5</v>
      </c>
      <c r="D1606" s="266">
        <v>820.11</v>
      </c>
    </row>
    <row r="1607" spans="1:4">
      <c r="A1607" s="261">
        <v>1207715</v>
      </c>
      <c r="B1607" s="265" t="s">
        <v>12903</v>
      </c>
      <c r="C1607" s="261" t="s">
        <v>5</v>
      </c>
      <c r="D1607" s="266">
        <v>1025.0899999999999</v>
      </c>
    </row>
    <row r="1608" spans="1:4">
      <c r="A1608" s="261">
        <v>1207717</v>
      </c>
      <c r="B1608" s="265" t="s">
        <v>12904</v>
      </c>
      <c r="C1608" s="261" t="s">
        <v>5</v>
      </c>
      <c r="D1608" s="266">
        <v>1560.96</v>
      </c>
    </row>
    <row r="1609" spans="1:4">
      <c r="A1609" s="261">
        <v>1207718</v>
      </c>
      <c r="B1609" s="265" t="s">
        <v>12905</v>
      </c>
      <c r="C1609" s="261" t="s">
        <v>5</v>
      </c>
      <c r="D1609" s="266">
        <v>861.51</v>
      </c>
    </row>
    <row r="1610" spans="1:4">
      <c r="A1610" s="261">
        <v>1207719</v>
      </c>
      <c r="B1610" s="265" t="s">
        <v>12906</v>
      </c>
      <c r="C1610" s="261" t="s">
        <v>5</v>
      </c>
      <c r="D1610" s="266">
        <v>1075.3599999999999</v>
      </c>
    </row>
    <row r="1611" spans="1:4">
      <c r="A1611" s="261">
        <v>1207721</v>
      </c>
      <c r="B1611" s="265" t="s">
        <v>12907</v>
      </c>
      <c r="C1611" s="261" t="s">
        <v>5</v>
      </c>
      <c r="D1611" s="266">
        <v>1631.34</v>
      </c>
    </row>
    <row r="1612" spans="1:4">
      <c r="A1612" s="261">
        <v>1207722</v>
      </c>
      <c r="B1612" s="265" t="s">
        <v>12908</v>
      </c>
      <c r="C1612" s="261" t="s">
        <v>5</v>
      </c>
      <c r="D1612" s="266">
        <v>959.63</v>
      </c>
    </row>
    <row r="1613" spans="1:4">
      <c r="A1613" s="261">
        <v>1207723</v>
      </c>
      <c r="B1613" s="265" t="s">
        <v>12909</v>
      </c>
      <c r="C1613" s="261" t="s">
        <v>5</v>
      </c>
      <c r="D1613" s="266">
        <v>1194.51</v>
      </c>
    </row>
    <row r="1614" spans="1:4">
      <c r="A1614" s="261">
        <v>1207725</v>
      </c>
      <c r="B1614" s="265" t="s">
        <v>12910</v>
      </c>
      <c r="C1614" s="261" t="s">
        <v>5</v>
      </c>
      <c r="D1614" s="266">
        <v>1798.14</v>
      </c>
    </row>
    <row r="1615" spans="1:4">
      <c r="A1615" s="261">
        <v>1207728</v>
      </c>
      <c r="B1615" s="265" t="s">
        <v>12911</v>
      </c>
      <c r="C1615" s="261" t="s">
        <v>5</v>
      </c>
      <c r="D1615" s="266">
        <v>785.51</v>
      </c>
    </row>
    <row r="1616" spans="1:4">
      <c r="A1616" s="261">
        <v>1207727</v>
      </c>
      <c r="B1616" s="265" t="s">
        <v>12912</v>
      </c>
      <c r="C1616" s="261" t="s">
        <v>5</v>
      </c>
      <c r="D1616" s="266">
        <v>762.96</v>
      </c>
    </row>
    <row r="1617" spans="1:4">
      <c r="A1617" s="261">
        <v>1207726</v>
      </c>
      <c r="B1617" s="265" t="s">
        <v>12913</v>
      </c>
      <c r="C1617" s="261" t="s">
        <v>5</v>
      </c>
      <c r="D1617" s="266">
        <v>744.93</v>
      </c>
    </row>
    <row r="1618" spans="1:4">
      <c r="A1618" s="261">
        <v>1208329</v>
      </c>
      <c r="B1618" s="265" t="s">
        <v>12914</v>
      </c>
      <c r="C1618" s="261" t="s">
        <v>5</v>
      </c>
      <c r="D1618" s="266">
        <v>724.16</v>
      </c>
    </row>
    <row r="1619" spans="1:4">
      <c r="A1619" s="261">
        <v>1207685</v>
      </c>
      <c r="B1619" s="265" t="s">
        <v>12915</v>
      </c>
      <c r="C1619" s="261" t="s">
        <v>5</v>
      </c>
      <c r="D1619" s="266">
        <v>830.4</v>
      </c>
    </row>
    <row r="1620" spans="1:4">
      <c r="A1620" s="261">
        <v>1207684</v>
      </c>
      <c r="B1620" s="265" t="s">
        <v>12916</v>
      </c>
      <c r="C1620" s="261" t="s">
        <v>5</v>
      </c>
      <c r="D1620" s="266">
        <v>800.61</v>
      </c>
    </row>
    <row r="1621" spans="1:4">
      <c r="A1621" s="261">
        <v>1207683</v>
      </c>
      <c r="B1621" s="265" t="s">
        <v>12917</v>
      </c>
      <c r="C1621" s="261" t="s">
        <v>5</v>
      </c>
      <c r="D1621" s="266">
        <v>777.9</v>
      </c>
    </row>
    <row r="1622" spans="1:4">
      <c r="A1622" s="261">
        <v>1208337</v>
      </c>
      <c r="B1622" s="265" t="s">
        <v>12918</v>
      </c>
      <c r="C1622" s="261" t="s">
        <v>5</v>
      </c>
      <c r="D1622" s="266">
        <v>753.76</v>
      </c>
    </row>
    <row r="1623" spans="1:4">
      <c r="A1623" s="261">
        <v>1207691</v>
      </c>
      <c r="B1623" s="265" t="s">
        <v>12919</v>
      </c>
      <c r="C1623" s="261" t="s">
        <v>5</v>
      </c>
      <c r="D1623" s="266">
        <v>885.32</v>
      </c>
    </row>
    <row r="1624" spans="1:4">
      <c r="A1624" s="261">
        <v>1207690</v>
      </c>
      <c r="B1624" s="265" t="s">
        <v>12920</v>
      </c>
      <c r="C1624" s="261" t="s">
        <v>5</v>
      </c>
      <c r="D1624" s="266">
        <v>844.76</v>
      </c>
    </row>
    <row r="1625" spans="1:4">
      <c r="A1625" s="261">
        <v>1207689</v>
      </c>
      <c r="B1625" s="265" t="s">
        <v>12921</v>
      </c>
      <c r="C1625" s="261" t="s">
        <v>5</v>
      </c>
      <c r="D1625" s="266">
        <v>810.65</v>
      </c>
    </row>
    <row r="1626" spans="1:4">
      <c r="A1626" s="261">
        <v>1208345</v>
      </c>
      <c r="B1626" s="265" t="s">
        <v>12922</v>
      </c>
      <c r="C1626" s="261" t="s">
        <v>5</v>
      </c>
      <c r="D1626" s="266">
        <v>782.54</v>
      </c>
    </row>
    <row r="1627" spans="1:4">
      <c r="A1627" s="261">
        <v>1207697</v>
      </c>
      <c r="B1627" s="265" t="s">
        <v>12923</v>
      </c>
      <c r="C1627" s="261" t="s">
        <v>5</v>
      </c>
      <c r="D1627" s="266">
        <v>955.75</v>
      </c>
    </row>
    <row r="1628" spans="1:4">
      <c r="A1628" s="261">
        <v>1207696</v>
      </c>
      <c r="B1628" s="265" t="s">
        <v>12924</v>
      </c>
      <c r="C1628" s="261" t="s">
        <v>5</v>
      </c>
      <c r="D1628" s="266">
        <v>897.77</v>
      </c>
    </row>
    <row r="1629" spans="1:4">
      <c r="A1629" s="261">
        <v>1207695</v>
      </c>
      <c r="B1629" s="265" t="s">
        <v>12925</v>
      </c>
      <c r="C1629" s="261" t="s">
        <v>5</v>
      </c>
      <c r="D1629" s="266">
        <v>858.34</v>
      </c>
    </row>
    <row r="1630" spans="1:4">
      <c r="A1630" s="261">
        <v>1208353</v>
      </c>
      <c r="B1630" s="265" t="s">
        <v>12926</v>
      </c>
      <c r="C1630" s="261" t="s">
        <v>5</v>
      </c>
      <c r="D1630" s="266">
        <v>818.69</v>
      </c>
    </row>
    <row r="1631" spans="1:4">
      <c r="A1631" s="261">
        <v>1207663</v>
      </c>
      <c r="B1631" s="265" t="s">
        <v>12927</v>
      </c>
      <c r="C1631" s="261" t="s">
        <v>5</v>
      </c>
      <c r="D1631" s="266">
        <v>1024.3599999999999</v>
      </c>
    </row>
    <row r="1632" spans="1:4">
      <c r="A1632" s="261">
        <v>1207662</v>
      </c>
      <c r="B1632" s="265" t="s">
        <v>12928</v>
      </c>
      <c r="C1632" s="261" t="s">
        <v>5</v>
      </c>
      <c r="D1632" s="266">
        <v>996.98</v>
      </c>
    </row>
    <row r="1633" spans="1:4">
      <c r="A1633" s="261">
        <v>1207661</v>
      </c>
      <c r="B1633" s="265" t="s">
        <v>12929</v>
      </c>
      <c r="C1633" s="261" t="s">
        <v>5</v>
      </c>
      <c r="D1633" s="266">
        <v>975.08</v>
      </c>
    </row>
    <row r="1634" spans="1:4">
      <c r="A1634" s="261">
        <v>1208361</v>
      </c>
      <c r="B1634" s="265" t="s">
        <v>12930</v>
      </c>
      <c r="C1634" s="261" t="s">
        <v>5</v>
      </c>
      <c r="D1634" s="266">
        <v>942.23</v>
      </c>
    </row>
    <row r="1635" spans="1:4">
      <c r="A1635" s="261">
        <v>1207669</v>
      </c>
      <c r="B1635" s="265" t="s">
        <v>12931</v>
      </c>
      <c r="C1635" s="261" t="s">
        <v>5</v>
      </c>
      <c r="D1635" s="266">
        <v>1144.6500000000001</v>
      </c>
    </row>
    <row r="1636" spans="1:4">
      <c r="A1636" s="261">
        <v>1207668</v>
      </c>
      <c r="B1636" s="265" t="s">
        <v>12932</v>
      </c>
      <c r="C1636" s="261" t="s">
        <v>5</v>
      </c>
      <c r="D1636" s="266">
        <v>1110.6600000000001</v>
      </c>
    </row>
    <row r="1637" spans="1:4">
      <c r="A1637" s="261">
        <v>1207667</v>
      </c>
      <c r="B1637" s="265" t="s">
        <v>12933</v>
      </c>
      <c r="C1637" s="261" t="s">
        <v>5</v>
      </c>
      <c r="D1637" s="266">
        <v>1059.68</v>
      </c>
    </row>
    <row r="1638" spans="1:4">
      <c r="A1638" s="261">
        <v>1208369</v>
      </c>
      <c r="B1638" s="265" t="s">
        <v>12934</v>
      </c>
      <c r="C1638" s="261" t="s">
        <v>5</v>
      </c>
      <c r="D1638" s="266">
        <v>1008.71</v>
      </c>
    </row>
    <row r="1639" spans="1:4">
      <c r="A1639" s="261">
        <v>1207682</v>
      </c>
      <c r="B1639" s="265" t="s">
        <v>12935</v>
      </c>
      <c r="C1639" s="261" t="s">
        <v>5</v>
      </c>
      <c r="D1639" s="266">
        <v>875.19</v>
      </c>
    </row>
    <row r="1640" spans="1:4">
      <c r="A1640" s="261">
        <v>1207681</v>
      </c>
      <c r="B1640" s="265" t="s">
        <v>12936</v>
      </c>
      <c r="C1640" s="261" t="s">
        <v>5</v>
      </c>
      <c r="D1640" s="266">
        <v>852.64</v>
      </c>
    </row>
    <row r="1641" spans="1:4">
      <c r="A1641" s="261">
        <v>1207729</v>
      </c>
      <c r="B1641" s="265" t="s">
        <v>12937</v>
      </c>
      <c r="C1641" s="261" t="s">
        <v>5</v>
      </c>
      <c r="D1641" s="266">
        <v>834.61</v>
      </c>
    </row>
    <row r="1642" spans="1:4">
      <c r="A1642" s="261">
        <v>1208333</v>
      </c>
      <c r="B1642" s="265" t="s">
        <v>12938</v>
      </c>
      <c r="C1642" s="261" t="s">
        <v>5</v>
      </c>
      <c r="D1642" s="266">
        <v>813.85</v>
      </c>
    </row>
    <row r="1643" spans="1:4">
      <c r="A1643" s="261">
        <v>1207688</v>
      </c>
      <c r="B1643" s="265" t="s">
        <v>12939</v>
      </c>
      <c r="C1643" s="261" t="s">
        <v>5</v>
      </c>
      <c r="D1643" s="266">
        <v>922.8</v>
      </c>
    </row>
    <row r="1644" spans="1:4">
      <c r="A1644" s="261">
        <v>1207687</v>
      </c>
      <c r="B1644" s="265" t="s">
        <v>12940</v>
      </c>
      <c r="C1644" s="261" t="s">
        <v>5</v>
      </c>
      <c r="D1644" s="266">
        <v>893.01</v>
      </c>
    </row>
    <row r="1645" spans="1:4">
      <c r="A1645" s="261">
        <v>1207686</v>
      </c>
      <c r="B1645" s="265" t="s">
        <v>12941</v>
      </c>
      <c r="C1645" s="261" t="s">
        <v>5</v>
      </c>
      <c r="D1645" s="266">
        <v>870.3</v>
      </c>
    </row>
    <row r="1646" spans="1:4">
      <c r="A1646" s="261">
        <v>1208341</v>
      </c>
      <c r="B1646" s="265" t="s">
        <v>12942</v>
      </c>
      <c r="C1646" s="261" t="s">
        <v>5</v>
      </c>
      <c r="D1646" s="266">
        <v>846.16</v>
      </c>
    </row>
    <row r="1647" spans="1:4">
      <c r="A1647" s="261">
        <v>1207694</v>
      </c>
      <c r="B1647" s="265" t="s">
        <v>12943</v>
      </c>
      <c r="C1647" s="261" t="s">
        <v>5</v>
      </c>
      <c r="D1647" s="266">
        <v>980.61</v>
      </c>
    </row>
    <row r="1648" spans="1:4">
      <c r="A1648" s="261">
        <v>1207693</v>
      </c>
      <c r="B1648" s="265" t="s">
        <v>12944</v>
      </c>
      <c r="C1648" s="261" t="s">
        <v>5</v>
      </c>
      <c r="D1648" s="266">
        <v>940.05</v>
      </c>
    </row>
    <row r="1649" spans="1:4">
      <c r="A1649" s="261">
        <v>1207692</v>
      </c>
      <c r="B1649" s="265" t="s">
        <v>12945</v>
      </c>
      <c r="C1649" s="261" t="s">
        <v>5</v>
      </c>
      <c r="D1649" s="266">
        <v>905.94</v>
      </c>
    </row>
    <row r="1650" spans="1:4">
      <c r="A1650" s="261">
        <v>1208349</v>
      </c>
      <c r="B1650" s="265" t="s">
        <v>12946</v>
      </c>
      <c r="C1650" s="261" t="s">
        <v>5</v>
      </c>
      <c r="D1650" s="266">
        <v>877.83</v>
      </c>
    </row>
    <row r="1651" spans="1:4">
      <c r="A1651" s="261">
        <v>1207660</v>
      </c>
      <c r="B1651" s="265" t="s">
        <v>12947</v>
      </c>
      <c r="C1651" s="261" t="s">
        <v>5</v>
      </c>
      <c r="D1651" s="266">
        <v>1054.1099999999999</v>
      </c>
    </row>
    <row r="1652" spans="1:4">
      <c r="A1652" s="261">
        <v>1207699</v>
      </c>
      <c r="B1652" s="265" t="s">
        <v>12948</v>
      </c>
      <c r="C1652" s="261" t="s">
        <v>5</v>
      </c>
      <c r="D1652" s="266">
        <v>996.13</v>
      </c>
    </row>
    <row r="1653" spans="1:4">
      <c r="A1653" s="261">
        <v>1207698</v>
      </c>
      <c r="B1653" s="265" t="s">
        <v>12949</v>
      </c>
      <c r="C1653" s="261" t="s">
        <v>5</v>
      </c>
      <c r="D1653" s="266">
        <v>956.7</v>
      </c>
    </row>
    <row r="1654" spans="1:4">
      <c r="A1654" s="261">
        <v>1208357</v>
      </c>
      <c r="B1654" s="265" t="s">
        <v>12950</v>
      </c>
      <c r="C1654" s="261" t="s">
        <v>5</v>
      </c>
      <c r="D1654" s="266">
        <v>917.05</v>
      </c>
    </row>
    <row r="1655" spans="1:4">
      <c r="A1655" s="261">
        <v>1207666</v>
      </c>
      <c r="B1655" s="265" t="s">
        <v>12951</v>
      </c>
      <c r="C1655" s="261" t="s">
        <v>5</v>
      </c>
      <c r="D1655" s="266">
        <v>1126</v>
      </c>
    </row>
    <row r="1656" spans="1:4">
      <c r="A1656" s="261">
        <v>1207665</v>
      </c>
      <c r="B1656" s="265" t="s">
        <v>12952</v>
      </c>
      <c r="C1656" s="261" t="s">
        <v>5</v>
      </c>
      <c r="D1656" s="266">
        <v>1098.6199999999999</v>
      </c>
    </row>
    <row r="1657" spans="1:4">
      <c r="A1657" s="261">
        <v>1207664</v>
      </c>
      <c r="B1657" s="265" t="s">
        <v>12953</v>
      </c>
      <c r="C1657" s="261" t="s">
        <v>5</v>
      </c>
      <c r="D1657" s="266">
        <v>1076.72</v>
      </c>
    </row>
    <row r="1658" spans="1:4">
      <c r="A1658" s="261">
        <v>1208365</v>
      </c>
      <c r="B1658" s="265" t="s">
        <v>12954</v>
      </c>
      <c r="C1658" s="261" t="s">
        <v>5</v>
      </c>
      <c r="D1658" s="266">
        <v>1043.8699999999999</v>
      </c>
    </row>
    <row r="1659" spans="1:4">
      <c r="A1659" s="261">
        <v>1207672</v>
      </c>
      <c r="B1659" s="265" t="s">
        <v>12955</v>
      </c>
      <c r="C1659" s="261" t="s">
        <v>5</v>
      </c>
      <c r="D1659" s="266">
        <v>1249.79</v>
      </c>
    </row>
    <row r="1660" spans="1:4">
      <c r="A1660" s="261">
        <v>1207671</v>
      </c>
      <c r="B1660" s="265" t="s">
        <v>12956</v>
      </c>
      <c r="C1660" s="261" t="s">
        <v>5</v>
      </c>
      <c r="D1660" s="266">
        <v>1215.81</v>
      </c>
    </row>
    <row r="1661" spans="1:4">
      <c r="A1661" s="261">
        <v>1207670</v>
      </c>
      <c r="B1661" s="265" t="s">
        <v>12957</v>
      </c>
      <c r="C1661" s="261" t="s">
        <v>5</v>
      </c>
      <c r="D1661" s="266">
        <v>1164.83</v>
      </c>
    </row>
    <row r="1662" spans="1:4">
      <c r="A1662" s="261">
        <v>1208373</v>
      </c>
      <c r="B1662" s="265" t="s">
        <v>12958</v>
      </c>
      <c r="C1662" s="261" t="s">
        <v>5</v>
      </c>
      <c r="D1662" s="266">
        <v>1113.8499999999999</v>
      </c>
    </row>
    <row r="1663" spans="1:4">
      <c r="A1663" s="261">
        <v>1400976</v>
      </c>
      <c r="B1663" s="265" t="s">
        <v>12959</v>
      </c>
      <c r="C1663" s="261" t="s">
        <v>6</v>
      </c>
      <c r="D1663" s="266">
        <v>4.63</v>
      </c>
    </row>
    <row r="1664" spans="1:4">
      <c r="A1664" s="261">
        <v>1400970</v>
      </c>
      <c r="B1664" s="265" t="s">
        <v>12960</v>
      </c>
      <c r="C1664" s="261" t="s">
        <v>6</v>
      </c>
      <c r="D1664" s="266">
        <v>2.25</v>
      </c>
    </row>
    <row r="1665" spans="1:4">
      <c r="A1665" s="261">
        <v>1400971</v>
      </c>
      <c r="B1665" s="265" t="s">
        <v>12961</v>
      </c>
      <c r="C1665" s="261" t="s">
        <v>6</v>
      </c>
      <c r="D1665" s="266">
        <v>9.82</v>
      </c>
    </row>
    <row r="1666" spans="1:4">
      <c r="A1666" s="261">
        <v>1400972</v>
      </c>
      <c r="B1666" s="265" t="s">
        <v>12962</v>
      </c>
      <c r="C1666" s="261" t="s">
        <v>6</v>
      </c>
      <c r="D1666" s="266">
        <v>2.2200000000000002</v>
      </c>
    </row>
    <row r="1667" spans="1:4">
      <c r="A1667" s="261">
        <v>1416201</v>
      </c>
      <c r="B1667" s="265" t="s">
        <v>12963</v>
      </c>
      <c r="C1667" s="261" t="s">
        <v>12964</v>
      </c>
      <c r="D1667" s="266">
        <v>0.19</v>
      </c>
    </row>
    <row r="1668" spans="1:4">
      <c r="A1668" s="261">
        <v>1400969</v>
      </c>
      <c r="B1668" s="265" t="s">
        <v>12965</v>
      </c>
      <c r="C1668" s="261" t="s">
        <v>97</v>
      </c>
      <c r="D1668" s="266">
        <v>0.13</v>
      </c>
    </row>
    <row r="1669" spans="1:4">
      <c r="A1669" s="261">
        <v>1400975</v>
      </c>
      <c r="B1669" s="265" t="s">
        <v>12966</v>
      </c>
      <c r="C1669" s="261" t="s">
        <v>6</v>
      </c>
      <c r="D1669" s="266">
        <v>4.26</v>
      </c>
    </row>
    <row r="1670" spans="1:4">
      <c r="A1670" s="261">
        <v>1416141</v>
      </c>
      <c r="B1670" s="265" t="s">
        <v>12967</v>
      </c>
      <c r="C1670" s="261" t="s">
        <v>6</v>
      </c>
      <c r="D1670" s="266">
        <v>3.09</v>
      </c>
    </row>
    <row r="1671" spans="1:4">
      <c r="A1671" s="261">
        <v>1416142</v>
      </c>
      <c r="B1671" s="265" t="s">
        <v>12968</v>
      </c>
      <c r="C1671" s="261" t="s">
        <v>6</v>
      </c>
      <c r="D1671" s="266">
        <v>4.7300000000000004</v>
      </c>
    </row>
    <row r="1672" spans="1:4">
      <c r="A1672" s="261">
        <v>1400973</v>
      </c>
      <c r="B1672" s="265" t="s">
        <v>12969</v>
      </c>
      <c r="C1672" s="261" t="s">
        <v>6</v>
      </c>
      <c r="D1672" s="266">
        <v>1.35</v>
      </c>
    </row>
    <row r="1673" spans="1:4">
      <c r="A1673" s="261">
        <v>1400974</v>
      </c>
      <c r="B1673" s="265" t="s">
        <v>12970</v>
      </c>
      <c r="C1673" s="261" t="s">
        <v>6</v>
      </c>
      <c r="D1673" s="266">
        <v>1.58</v>
      </c>
    </row>
    <row r="1674" spans="1:4">
      <c r="A1674" s="261">
        <v>1416139</v>
      </c>
      <c r="B1674" s="265" t="s">
        <v>12971</v>
      </c>
      <c r="C1674" s="261" t="s">
        <v>6</v>
      </c>
      <c r="D1674" s="266">
        <v>1.75</v>
      </c>
    </row>
    <row r="1675" spans="1:4">
      <c r="A1675" s="261">
        <v>1416202</v>
      </c>
      <c r="B1675" s="265" t="s">
        <v>12972</v>
      </c>
      <c r="C1675" s="261" t="s">
        <v>6</v>
      </c>
      <c r="D1675" s="266">
        <v>2.0099999999999998</v>
      </c>
    </row>
    <row r="1676" spans="1:4">
      <c r="A1676" s="261">
        <v>1416140</v>
      </c>
      <c r="B1676" s="265" t="s">
        <v>12973</v>
      </c>
      <c r="C1676" s="261" t="s">
        <v>6</v>
      </c>
      <c r="D1676" s="266">
        <v>2.2999999999999998</v>
      </c>
    </row>
    <row r="1677" spans="1:4">
      <c r="A1677" s="261">
        <v>1419543</v>
      </c>
      <c r="B1677" s="265" t="s">
        <v>12974</v>
      </c>
      <c r="C1677" s="261" t="s">
        <v>97</v>
      </c>
      <c r="D1677" s="266">
        <v>0.17</v>
      </c>
    </row>
    <row r="1678" spans="1:4">
      <c r="A1678" s="261">
        <v>1408173</v>
      </c>
      <c r="B1678" s="265" t="s">
        <v>12975</v>
      </c>
      <c r="C1678" s="261" t="s">
        <v>12964</v>
      </c>
      <c r="D1678" s="266">
        <v>0.05</v>
      </c>
    </row>
    <row r="1679" spans="1:4">
      <c r="A1679" s="261">
        <v>1407063</v>
      </c>
      <c r="B1679" s="265" t="s">
        <v>12976</v>
      </c>
      <c r="C1679" s="261" t="s">
        <v>97</v>
      </c>
      <c r="D1679" s="266">
        <v>7.75</v>
      </c>
    </row>
    <row r="1680" spans="1:4">
      <c r="A1680" s="261">
        <v>1407064</v>
      </c>
      <c r="B1680" s="265" t="s">
        <v>12977</v>
      </c>
      <c r="C1680" s="261" t="s">
        <v>97</v>
      </c>
      <c r="D1680" s="266">
        <v>7.99</v>
      </c>
    </row>
    <row r="1681" spans="1:4">
      <c r="A1681" s="261">
        <v>1407065</v>
      </c>
      <c r="B1681" s="265" t="s">
        <v>12978</v>
      </c>
      <c r="C1681" s="261" t="s">
        <v>97</v>
      </c>
      <c r="D1681" s="266">
        <v>8.18</v>
      </c>
    </row>
    <row r="1682" spans="1:4">
      <c r="A1682" s="261">
        <v>1407066</v>
      </c>
      <c r="B1682" s="265" t="s">
        <v>12979</v>
      </c>
      <c r="C1682" s="261" t="s">
        <v>97</v>
      </c>
      <c r="D1682" s="266">
        <v>8.0500000000000007</v>
      </c>
    </row>
    <row r="1683" spans="1:4">
      <c r="A1683" s="261">
        <v>1400977</v>
      </c>
      <c r="B1683" s="265" t="s">
        <v>12980</v>
      </c>
      <c r="C1683" s="261" t="s">
        <v>6</v>
      </c>
      <c r="D1683" s="266">
        <v>3.53</v>
      </c>
    </row>
    <row r="1684" spans="1:4">
      <c r="A1684" s="261">
        <v>1407067</v>
      </c>
      <c r="B1684" s="265" t="s">
        <v>12981</v>
      </c>
      <c r="C1684" s="261" t="s">
        <v>97</v>
      </c>
      <c r="D1684" s="266">
        <v>2.44</v>
      </c>
    </row>
    <row r="1685" spans="1:4">
      <c r="A1685" s="261">
        <v>1407068</v>
      </c>
      <c r="B1685" s="265" t="s">
        <v>12982</v>
      </c>
      <c r="C1685" s="261" t="s">
        <v>97</v>
      </c>
      <c r="D1685" s="266">
        <v>2.75</v>
      </c>
    </row>
    <row r="1686" spans="1:4">
      <c r="A1686" s="261">
        <v>1407069</v>
      </c>
      <c r="B1686" s="265" t="s">
        <v>12983</v>
      </c>
      <c r="C1686" s="261" t="s">
        <v>97</v>
      </c>
      <c r="D1686" s="266">
        <v>2.98</v>
      </c>
    </row>
    <row r="1687" spans="1:4">
      <c r="A1687" s="261">
        <v>1407070</v>
      </c>
      <c r="B1687" s="265" t="s">
        <v>12984</v>
      </c>
      <c r="C1687" s="261" t="s">
        <v>97</v>
      </c>
      <c r="D1687" s="266">
        <v>2.84</v>
      </c>
    </row>
    <row r="1688" spans="1:4">
      <c r="A1688" s="261">
        <v>1416257</v>
      </c>
      <c r="B1688" s="265" t="s">
        <v>12985</v>
      </c>
      <c r="C1688" s="261" t="s">
        <v>6</v>
      </c>
      <c r="D1688" s="266">
        <v>218</v>
      </c>
    </row>
    <row r="1689" spans="1:4">
      <c r="A1689" s="261">
        <v>1416253</v>
      </c>
      <c r="B1689" s="265" t="s">
        <v>12986</v>
      </c>
      <c r="C1689" s="261" t="s">
        <v>6</v>
      </c>
      <c r="D1689" s="266">
        <v>485.53</v>
      </c>
    </row>
    <row r="1690" spans="1:4">
      <c r="A1690" s="261">
        <v>1416254</v>
      </c>
      <c r="B1690" s="265" t="s">
        <v>12987</v>
      </c>
      <c r="C1690" s="261" t="s">
        <v>6</v>
      </c>
      <c r="D1690" s="266">
        <v>43.23</v>
      </c>
    </row>
    <row r="1691" spans="1:4">
      <c r="A1691" s="261">
        <v>1416255</v>
      </c>
      <c r="B1691" s="265" t="s">
        <v>12988</v>
      </c>
      <c r="C1691" s="261" t="s">
        <v>6</v>
      </c>
      <c r="D1691" s="266">
        <v>75.150000000000006</v>
      </c>
    </row>
    <row r="1692" spans="1:4">
      <c r="A1692" s="261">
        <v>1416256</v>
      </c>
      <c r="B1692" s="265" t="s">
        <v>12989</v>
      </c>
      <c r="C1692" s="261" t="s">
        <v>6</v>
      </c>
      <c r="D1692" s="266">
        <v>114.82</v>
      </c>
    </row>
    <row r="1693" spans="1:4">
      <c r="A1693" s="261">
        <v>1408028</v>
      </c>
      <c r="B1693" s="265" t="s">
        <v>12990</v>
      </c>
      <c r="C1693" s="261" t="s">
        <v>10</v>
      </c>
      <c r="D1693" s="266">
        <v>219.65</v>
      </c>
    </row>
    <row r="1694" spans="1:4">
      <c r="A1694" s="261">
        <v>1408027</v>
      </c>
      <c r="B1694" s="265" t="s">
        <v>12991</v>
      </c>
      <c r="C1694" s="261" t="s">
        <v>10</v>
      </c>
      <c r="D1694" s="266">
        <v>123.41</v>
      </c>
    </row>
    <row r="1695" spans="1:4">
      <c r="A1695" s="261">
        <v>1400978</v>
      </c>
      <c r="B1695" s="265" t="s">
        <v>12992</v>
      </c>
      <c r="C1695" s="261" t="s">
        <v>10</v>
      </c>
      <c r="D1695" s="266">
        <v>196.84</v>
      </c>
    </row>
    <row r="1696" spans="1:4">
      <c r="A1696" s="261">
        <v>1513941</v>
      </c>
      <c r="B1696" s="265" t="s">
        <v>12993</v>
      </c>
      <c r="C1696" s="261" t="s">
        <v>5</v>
      </c>
      <c r="D1696" s="266">
        <v>496.18</v>
      </c>
    </row>
    <row r="1697" spans="1:4">
      <c r="A1697" s="261">
        <v>1513940</v>
      </c>
      <c r="B1697" s="265" t="s">
        <v>12994</v>
      </c>
      <c r="C1697" s="261" t="s">
        <v>5</v>
      </c>
      <c r="D1697" s="266">
        <v>362.18</v>
      </c>
    </row>
    <row r="1698" spans="1:4">
      <c r="A1698" s="261">
        <v>1505879</v>
      </c>
      <c r="B1698" s="265" t="s">
        <v>12995</v>
      </c>
      <c r="C1698" s="261" t="s">
        <v>5</v>
      </c>
      <c r="D1698" s="266">
        <v>261.75</v>
      </c>
    </row>
    <row r="1699" spans="1:4">
      <c r="A1699" s="261">
        <v>1505878</v>
      </c>
      <c r="B1699" s="265" t="s">
        <v>12996</v>
      </c>
      <c r="C1699" s="261" t="s">
        <v>5</v>
      </c>
      <c r="D1699" s="266">
        <v>196.46</v>
      </c>
    </row>
    <row r="1700" spans="1:4">
      <c r="A1700" s="261">
        <v>1505877</v>
      </c>
      <c r="B1700" s="265" t="s">
        <v>12997</v>
      </c>
      <c r="C1700" s="261" t="s">
        <v>5</v>
      </c>
      <c r="D1700" s="266">
        <v>136.63</v>
      </c>
    </row>
    <row r="1701" spans="1:4">
      <c r="A1701" s="261">
        <v>1505860</v>
      </c>
      <c r="B1701" s="265" t="s">
        <v>12998</v>
      </c>
      <c r="C1701" s="261" t="s">
        <v>5</v>
      </c>
      <c r="D1701" s="266">
        <v>157.58000000000001</v>
      </c>
    </row>
    <row r="1702" spans="1:4">
      <c r="A1702" s="261">
        <v>1505859</v>
      </c>
      <c r="B1702" s="265" t="s">
        <v>12999</v>
      </c>
      <c r="C1702" s="261" t="s">
        <v>5</v>
      </c>
      <c r="D1702" s="266">
        <v>103.18</v>
      </c>
    </row>
    <row r="1703" spans="1:4">
      <c r="A1703" s="261">
        <v>1516204</v>
      </c>
      <c r="B1703" s="265" t="s">
        <v>13000</v>
      </c>
      <c r="C1703" s="261" t="s">
        <v>97</v>
      </c>
      <c r="D1703" s="266">
        <v>5.21</v>
      </c>
    </row>
    <row r="1704" spans="1:4">
      <c r="A1704" s="261">
        <v>1516312</v>
      </c>
      <c r="B1704" s="265" t="s">
        <v>13001</v>
      </c>
      <c r="C1704" s="261" t="s">
        <v>3</v>
      </c>
      <c r="D1704" s="266">
        <v>41.12</v>
      </c>
    </row>
    <row r="1705" spans="1:4">
      <c r="A1705" s="261">
        <v>1516304</v>
      </c>
      <c r="B1705" s="265" t="s">
        <v>13002</v>
      </c>
      <c r="C1705" s="261" t="s">
        <v>3</v>
      </c>
      <c r="D1705" s="266">
        <v>52.3</v>
      </c>
    </row>
    <row r="1706" spans="1:4">
      <c r="A1706" s="261">
        <v>1516308</v>
      </c>
      <c r="B1706" s="265" t="s">
        <v>13003</v>
      </c>
      <c r="C1706" s="261" t="s">
        <v>3</v>
      </c>
      <c r="D1706" s="266">
        <v>43.33</v>
      </c>
    </row>
    <row r="1707" spans="1:4">
      <c r="A1707" s="261">
        <v>1516313</v>
      </c>
      <c r="B1707" s="265" t="s">
        <v>13004</v>
      </c>
      <c r="C1707" s="261" t="s">
        <v>3</v>
      </c>
      <c r="D1707" s="266">
        <v>48.98</v>
      </c>
    </row>
    <row r="1708" spans="1:4">
      <c r="A1708" s="261">
        <v>1516305</v>
      </c>
      <c r="B1708" s="265" t="s">
        <v>13005</v>
      </c>
      <c r="C1708" s="261" t="s">
        <v>3</v>
      </c>
      <c r="D1708" s="266">
        <v>62.86</v>
      </c>
    </row>
    <row r="1709" spans="1:4">
      <c r="A1709" s="261">
        <v>1516309</v>
      </c>
      <c r="B1709" s="265" t="s">
        <v>13006</v>
      </c>
      <c r="C1709" s="261" t="s">
        <v>3</v>
      </c>
      <c r="D1709" s="266">
        <v>51.56</v>
      </c>
    </row>
    <row r="1710" spans="1:4">
      <c r="A1710" s="261">
        <v>1516314</v>
      </c>
      <c r="B1710" s="265" t="s">
        <v>13007</v>
      </c>
      <c r="C1710" s="261" t="s">
        <v>3</v>
      </c>
      <c r="D1710" s="266">
        <v>56.89</v>
      </c>
    </row>
    <row r="1711" spans="1:4">
      <c r="A1711" s="261">
        <v>1516306</v>
      </c>
      <c r="B1711" s="265" t="s">
        <v>13008</v>
      </c>
      <c r="C1711" s="261" t="s">
        <v>3</v>
      </c>
      <c r="D1711" s="266">
        <v>73.63</v>
      </c>
    </row>
    <row r="1712" spans="1:4">
      <c r="A1712" s="261">
        <v>1516310</v>
      </c>
      <c r="B1712" s="265" t="s">
        <v>13009</v>
      </c>
      <c r="C1712" s="261" t="s">
        <v>3</v>
      </c>
      <c r="D1712" s="266">
        <v>60.12</v>
      </c>
    </row>
    <row r="1713" spans="1:4">
      <c r="A1713" s="261">
        <v>1516311</v>
      </c>
      <c r="B1713" s="265" t="s">
        <v>13010</v>
      </c>
      <c r="C1713" s="261" t="s">
        <v>3</v>
      </c>
      <c r="D1713" s="266">
        <v>31.59</v>
      </c>
    </row>
    <row r="1714" spans="1:4">
      <c r="A1714" s="261">
        <v>1516303</v>
      </c>
      <c r="B1714" s="265" t="s">
        <v>13011</v>
      </c>
      <c r="C1714" s="261" t="s">
        <v>3</v>
      </c>
      <c r="D1714" s="266">
        <v>41.82</v>
      </c>
    </row>
    <row r="1715" spans="1:4">
      <c r="A1715" s="261">
        <v>1516307</v>
      </c>
      <c r="B1715" s="265" t="s">
        <v>13012</v>
      </c>
      <c r="C1715" s="261" t="s">
        <v>3</v>
      </c>
      <c r="D1715" s="266">
        <v>34.72</v>
      </c>
    </row>
    <row r="1716" spans="1:4">
      <c r="A1716" s="261">
        <v>1516298</v>
      </c>
      <c r="B1716" s="265" t="s">
        <v>13013</v>
      </c>
      <c r="C1716" s="261" t="s">
        <v>3</v>
      </c>
      <c r="D1716" s="266">
        <v>28.06</v>
      </c>
    </row>
    <row r="1717" spans="1:4">
      <c r="A1717" s="261">
        <v>1516299</v>
      </c>
      <c r="B1717" s="265" t="s">
        <v>13014</v>
      </c>
      <c r="C1717" s="261" t="s">
        <v>3</v>
      </c>
      <c r="D1717" s="266">
        <v>31.5</v>
      </c>
    </row>
    <row r="1718" spans="1:4">
      <c r="A1718" s="261">
        <v>1516300</v>
      </c>
      <c r="B1718" s="265" t="s">
        <v>13015</v>
      </c>
      <c r="C1718" s="261" t="s">
        <v>3</v>
      </c>
      <c r="D1718" s="266">
        <v>41.49</v>
      </c>
    </row>
    <row r="1719" spans="1:4">
      <c r="A1719" s="261">
        <v>1516301</v>
      </c>
      <c r="B1719" s="265" t="s">
        <v>13016</v>
      </c>
      <c r="C1719" s="261" t="s">
        <v>3</v>
      </c>
      <c r="D1719" s="266">
        <v>61.56</v>
      </c>
    </row>
    <row r="1720" spans="1:4">
      <c r="A1720" s="261">
        <v>1516302</v>
      </c>
      <c r="B1720" s="265" t="s">
        <v>13017</v>
      </c>
      <c r="C1720" s="261" t="s">
        <v>3</v>
      </c>
      <c r="D1720" s="266">
        <v>81.5</v>
      </c>
    </row>
    <row r="1721" spans="1:4">
      <c r="A1721" s="261">
        <v>1516296</v>
      </c>
      <c r="B1721" s="265" t="s">
        <v>13018</v>
      </c>
      <c r="C1721" s="261" t="s">
        <v>3</v>
      </c>
      <c r="D1721" s="266">
        <v>20.65</v>
      </c>
    </row>
    <row r="1722" spans="1:4">
      <c r="A1722" s="261">
        <v>1516297</v>
      </c>
      <c r="B1722" s="265" t="s">
        <v>13019</v>
      </c>
      <c r="C1722" s="261" t="s">
        <v>3</v>
      </c>
      <c r="D1722" s="266">
        <v>27.07</v>
      </c>
    </row>
    <row r="1723" spans="1:4">
      <c r="A1723" s="261">
        <v>1516318</v>
      </c>
      <c r="B1723" s="265" t="s">
        <v>13020</v>
      </c>
      <c r="C1723" s="261" t="s">
        <v>3</v>
      </c>
      <c r="D1723" s="266">
        <v>381.79</v>
      </c>
    </row>
    <row r="1724" spans="1:4">
      <c r="A1724" s="261">
        <v>1516317</v>
      </c>
      <c r="B1724" s="265" t="s">
        <v>13021</v>
      </c>
      <c r="C1724" s="261" t="s">
        <v>3</v>
      </c>
      <c r="D1724" s="266">
        <v>596.91999999999996</v>
      </c>
    </row>
    <row r="1725" spans="1:4" ht="31.5">
      <c r="A1725" s="261">
        <v>1505847</v>
      </c>
      <c r="B1725" s="265" t="s">
        <v>13022</v>
      </c>
      <c r="C1725" s="261" t="s">
        <v>3</v>
      </c>
      <c r="D1725" s="266">
        <v>167.32</v>
      </c>
    </row>
    <row r="1726" spans="1:4" ht="31.5">
      <c r="A1726" s="261">
        <v>1505848</v>
      </c>
      <c r="B1726" s="265" t="s">
        <v>13023</v>
      </c>
      <c r="C1726" s="261" t="s">
        <v>3</v>
      </c>
      <c r="D1726" s="266">
        <v>163.04</v>
      </c>
    </row>
    <row r="1727" spans="1:4" ht="31.5">
      <c r="A1727" s="261">
        <v>1505849</v>
      </c>
      <c r="B1727" s="265" t="s">
        <v>13024</v>
      </c>
      <c r="C1727" s="261" t="s">
        <v>3</v>
      </c>
      <c r="D1727" s="266">
        <v>160.66</v>
      </c>
    </row>
    <row r="1728" spans="1:4" ht="31.5">
      <c r="A1728" s="261">
        <v>1505930</v>
      </c>
      <c r="B1728" s="265" t="s">
        <v>13025</v>
      </c>
      <c r="C1728" s="261" t="s">
        <v>3</v>
      </c>
      <c r="D1728" s="266">
        <v>189.79</v>
      </c>
    </row>
    <row r="1729" spans="1:4">
      <c r="A1729" s="261">
        <v>1506055</v>
      </c>
      <c r="B1729" s="265" t="s">
        <v>13026</v>
      </c>
      <c r="C1729" s="261" t="s">
        <v>5</v>
      </c>
      <c r="D1729" s="266">
        <v>399.01</v>
      </c>
    </row>
    <row r="1730" spans="1:4">
      <c r="A1730" s="261">
        <v>1506056</v>
      </c>
      <c r="B1730" s="265" t="s">
        <v>13027</v>
      </c>
      <c r="C1730" s="261" t="s">
        <v>5</v>
      </c>
      <c r="D1730" s="266">
        <v>297.76</v>
      </c>
    </row>
    <row r="1731" spans="1:4">
      <c r="A1731" s="261">
        <v>1607751</v>
      </c>
      <c r="B1731" s="265" t="s">
        <v>13028</v>
      </c>
      <c r="C1731" s="261" t="s">
        <v>6</v>
      </c>
      <c r="D1731" s="266">
        <v>7.64</v>
      </c>
    </row>
    <row r="1732" spans="1:4">
      <c r="A1732" s="261">
        <v>1607752</v>
      </c>
      <c r="B1732" s="265" t="s">
        <v>13029</v>
      </c>
      <c r="C1732" s="261" t="s">
        <v>6</v>
      </c>
      <c r="D1732" s="266">
        <v>9.9600000000000009</v>
      </c>
    </row>
    <row r="1733" spans="1:4">
      <c r="A1733" s="261">
        <v>1607753</v>
      </c>
      <c r="B1733" s="265" t="s">
        <v>13030</v>
      </c>
      <c r="C1733" s="261" t="s">
        <v>6</v>
      </c>
      <c r="D1733" s="266">
        <v>14.36</v>
      </c>
    </row>
    <row r="1734" spans="1:4">
      <c r="A1734" s="261">
        <v>1607750</v>
      </c>
      <c r="B1734" s="265" t="s">
        <v>13031</v>
      </c>
      <c r="C1734" s="261" t="s">
        <v>6</v>
      </c>
      <c r="D1734" s="266">
        <v>5.83</v>
      </c>
    </row>
    <row r="1735" spans="1:4">
      <c r="A1735" s="261">
        <v>1600965</v>
      </c>
      <c r="B1735" s="265" t="s">
        <v>13032</v>
      </c>
      <c r="C1735" s="261" t="s">
        <v>5</v>
      </c>
      <c r="D1735" s="266">
        <v>103.1</v>
      </c>
    </row>
    <row r="1736" spans="1:4">
      <c r="A1736" s="261">
        <v>1600408</v>
      </c>
      <c r="B1736" s="265" t="s">
        <v>13033</v>
      </c>
      <c r="C1736" s="261" t="s">
        <v>3</v>
      </c>
      <c r="D1736" s="266">
        <v>21.82</v>
      </c>
    </row>
    <row r="1737" spans="1:4">
      <c r="A1737" s="261">
        <v>1600438</v>
      </c>
      <c r="B1737" s="265" t="s">
        <v>13034</v>
      </c>
      <c r="C1737" s="261" t="s">
        <v>5</v>
      </c>
      <c r="D1737" s="266">
        <v>681.55</v>
      </c>
    </row>
    <row r="1738" spans="1:4">
      <c r="A1738" s="261">
        <v>1600990</v>
      </c>
      <c r="B1738" s="265" t="s">
        <v>13035</v>
      </c>
      <c r="C1738" s="261" t="s">
        <v>5</v>
      </c>
      <c r="D1738" s="266">
        <v>759.54</v>
      </c>
    </row>
    <row r="1739" spans="1:4">
      <c r="A1739" s="261">
        <v>1600436</v>
      </c>
      <c r="B1739" s="265" t="s">
        <v>13036</v>
      </c>
      <c r="C1739" s="261" t="s">
        <v>5</v>
      </c>
      <c r="D1739" s="266">
        <v>463.31</v>
      </c>
    </row>
    <row r="1740" spans="1:4">
      <c r="A1740" s="261">
        <v>1600989</v>
      </c>
      <c r="B1740" s="265" t="s">
        <v>13037</v>
      </c>
      <c r="C1740" s="261" t="s">
        <v>5</v>
      </c>
      <c r="D1740" s="266">
        <v>409.49</v>
      </c>
    </row>
    <row r="1741" spans="1:4">
      <c r="A1741" s="261">
        <v>1600895</v>
      </c>
      <c r="B1741" s="265" t="s">
        <v>13038</v>
      </c>
      <c r="C1741" s="261" t="s">
        <v>3</v>
      </c>
      <c r="D1741" s="266">
        <v>16.600000000000001</v>
      </c>
    </row>
    <row r="1742" spans="1:4">
      <c r="A1742" s="261">
        <v>1600897</v>
      </c>
      <c r="B1742" s="265" t="s">
        <v>13039</v>
      </c>
      <c r="C1742" s="261" t="s">
        <v>3</v>
      </c>
      <c r="D1742" s="266">
        <v>4.47</v>
      </c>
    </row>
    <row r="1743" spans="1:4">
      <c r="A1743" s="261">
        <v>1619004</v>
      </c>
      <c r="B1743" s="265" t="s">
        <v>13040</v>
      </c>
      <c r="C1743" s="261" t="s">
        <v>5</v>
      </c>
      <c r="D1743" s="266">
        <v>7.48</v>
      </c>
    </row>
    <row r="1744" spans="1:4">
      <c r="A1744" s="261">
        <v>1619003</v>
      </c>
      <c r="B1744" s="265" t="s">
        <v>13041</v>
      </c>
      <c r="C1744" s="261" t="s">
        <v>5</v>
      </c>
      <c r="D1744" s="266">
        <v>79.48</v>
      </c>
    </row>
    <row r="1745" spans="1:4">
      <c r="A1745" s="261">
        <v>1600896</v>
      </c>
      <c r="B1745" s="265" t="s">
        <v>13042</v>
      </c>
      <c r="C1745" s="261" t="s">
        <v>3</v>
      </c>
      <c r="D1745" s="266">
        <v>18.350000000000001</v>
      </c>
    </row>
    <row r="1746" spans="1:4">
      <c r="A1746" s="261">
        <v>1600414</v>
      </c>
      <c r="B1746" s="265" t="s">
        <v>13043</v>
      </c>
      <c r="C1746" s="261" t="s">
        <v>3</v>
      </c>
      <c r="D1746" s="266">
        <v>1.19</v>
      </c>
    </row>
    <row r="1747" spans="1:4">
      <c r="A1747" s="261">
        <v>1608148</v>
      </c>
      <c r="B1747" s="265" t="s">
        <v>13044</v>
      </c>
      <c r="C1747" s="261" t="s">
        <v>6</v>
      </c>
      <c r="D1747" s="266">
        <v>477.83</v>
      </c>
    </row>
    <row r="1748" spans="1:4">
      <c r="A1748" s="261">
        <v>1608021</v>
      </c>
      <c r="B1748" s="265" t="s">
        <v>13045</v>
      </c>
      <c r="C1748" s="261" t="s">
        <v>6</v>
      </c>
      <c r="D1748" s="266">
        <v>122.56</v>
      </c>
    </row>
    <row r="1749" spans="1:4">
      <c r="A1749" s="261">
        <v>1608024</v>
      </c>
      <c r="B1749" s="265" t="s">
        <v>13046</v>
      </c>
      <c r="C1749" s="261" t="s">
        <v>6</v>
      </c>
      <c r="D1749" s="266">
        <v>126.79</v>
      </c>
    </row>
    <row r="1750" spans="1:4">
      <c r="A1750" s="261">
        <v>1608026</v>
      </c>
      <c r="B1750" s="265" t="s">
        <v>13047</v>
      </c>
      <c r="C1750" s="261" t="s">
        <v>6</v>
      </c>
      <c r="D1750" s="266">
        <v>156.66</v>
      </c>
    </row>
    <row r="1751" spans="1:4">
      <c r="A1751" s="261">
        <v>1608142</v>
      </c>
      <c r="B1751" s="265" t="s">
        <v>13048</v>
      </c>
      <c r="C1751" s="261" t="s">
        <v>6</v>
      </c>
      <c r="D1751" s="266">
        <v>187.97</v>
      </c>
    </row>
    <row r="1752" spans="1:4">
      <c r="A1752" s="261">
        <v>1608143</v>
      </c>
      <c r="B1752" s="265" t="s">
        <v>13049</v>
      </c>
      <c r="C1752" s="261" t="s">
        <v>6</v>
      </c>
      <c r="D1752" s="266">
        <v>190.58</v>
      </c>
    </row>
    <row r="1753" spans="1:4">
      <c r="A1753" s="261">
        <v>1608144</v>
      </c>
      <c r="B1753" s="265" t="s">
        <v>13050</v>
      </c>
      <c r="C1753" s="261" t="s">
        <v>6</v>
      </c>
      <c r="D1753" s="266">
        <v>207.09</v>
      </c>
    </row>
    <row r="1754" spans="1:4">
      <c r="A1754" s="261">
        <v>1608145</v>
      </c>
      <c r="B1754" s="265" t="s">
        <v>13051</v>
      </c>
      <c r="C1754" s="261" t="s">
        <v>6</v>
      </c>
      <c r="D1754" s="266">
        <v>233.94</v>
      </c>
    </row>
    <row r="1755" spans="1:4">
      <c r="A1755" s="261">
        <v>1608146</v>
      </c>
      <c r="B1755" s="265" t="s">
        <v>13052</v>
      </c>
      <c r="C1755" s="261" t="s">
        <v>6</v>
      </c>
      <c r="D1755" s="266">
        <v>246.7</v>
      </c>
    </row>
    <row r="1756" spans="1:4">
      <c r="A1756" s="261">
        <v>1608147</v>
      </c>
      <c r="B1756" s="265" t="s">
        <v>13053</v>
      </c>
      <c r="C1756" s="261" t="s">
        <v>6</v>
      </c>
      <c r="D1756" s="266">
        <v>350.29</v>
      </c>
    </row>
    <row r="1757" spans="1:4">
      <c r="A1757" s="261">
        <v>1608019</v>
      </c>
      <c r="B1757" s="265" t="s">
        <v>13054</v>
      </c>
      <c r="C1757" s="261" t="s">
        <v>6</v>
      </c>
      <c r="D1757" s="266">
        <v>21.22</v>
      </c>
    </row>
    <row r="1758" spans="1:4">
      <c r="A1758" s="261">
        <v>1608020</v>
      </c>
      <c r="B1758" s="265" t="s">
        <v>13055</v>
      </c>
      <c r="C1758" s="261" t="s">
        <v>6</v>
      </c>
      <c r="D1758" s="266">
        <v>31.97</v>
      </c>
    </row>
    <row r="1759" spans="1:4">
      <c r="A1759" s="261">
        <v>1608025</v>
      </c>
      <c r="B1759" s="265" t="s">
        <v>13056</v>
      </c>
      <c r="C1759" s="261" t="s">
        <v>6</v>
      </c>
      <c r="D1759" s="266">
        <v>38.78</v>
      </c>
    </row>
    <row r="1760" spans="1:4">
      <c r="A1760" s="261">
        <v>1600400</v>
      </c>
      <c r="B1760" s="265" t="s">
        <v>13057</v>
      </c>
      <c r="C1760" s="261" t="s">
        <v>3</v>
      </c>
      <c r="D1760" s="266">
        <v>6.11</v>
      </c>
    </row>
    <row r="1761" spans="1:4">
      <c r="A1761" s="261">
        <v>1600412</v>
      </c>
      <c r="B1761" s="265" t="s">
        <v>13058</v>
      </c>
      <c r="C1761" s="261" t="s">
        <v>3</v>
      </c>
      <c r="D1761" s="266">
        <v>5.26</v>
      </c>
    </row>
    <row r="1762" spans="1:4">
      <c r="A1762" s="261">
        <v>1600966</v>
      </c>
      <c r="B1762" s="265" t="s">
        <v>13059</v>
      </c>
      <c r="C1762" s="261" t="s">
        <v>6</v>
      </c>
      <c r="D1762" s="266">
        <v>0.89</v>
      </c>
    </row>
    <row r="1763" spans="1:4">
      <c r="A1763" s="261">
        <v>1600898</v>
      </c>
      <c r="B1763" s="265" t="s">
        <v>13060</v>
      </c>
      <c r="C1763" s="261" t="s">
        <v>3</v>
      </c>
      <c r="D1763" s="266">
        <v>13.12</v>
      </c>
    </row>
    <row r="1764" spans="1:4">
      <c r="A1764" s="261">
        <v>1600441</v>
      </c>
      <c r="B1764" s="265" t="s">
        <v>13061</v>
      </c>
      <c r="C1764" s="261" t="s">
        <v>3</v>
      </c>
      <c r="D1764" s="266">
        <v>4.72</v>
      </c>
    </row>
    <row r="1765" spans="1:4">
      <c r="A1765" s="261">
        <v>1600404</v>
      </c>
      <c r="B1765" s="265" t="s">
        <v>13062</v>
      </c>
      <c r="C1765" s="261" t="s">
        <v>6</v>
      </c>
      <c r="D1765" s="266">
        <v>10.61</v>
      </c>
    </row>
    <row r="1766" spans="1:4">
      <c r="A1766" s="261">
        <v>1600405</v>
      </c>
      <c r="B1766" s="265" t="s">
        <v>13063</v>
      </c>
      <c r="C1766" s="261" t="s">
        <v>6</v>
      </c>
      <c r="D1766" s="266">
        <v>11.93</v>
      </c>
    </row>
    <row r="1767" spans="1:4" ht="31.5">
      <c r="A1767" s="261">
        <v>1716605</v>
      </c>
      <c r="B1767" s="265" t="s">
        <v>13064</v>
      </c>
      <c r="C1767" s="261" t="s">
        <v>5</v>
      </c>
      <c r="D1767" s="266">
        <v>111.13</v>
      </c>
    </row>
    <row r="1768" spans="1:4" ht="31.5">
      <c r="A1768" s="261">
        <v>1716610</v>
      </c>
      <c r="B1768" s="265" t="s">
        <v>13065</v>
      </c>
      <c r="C1768" s="261" t="s">
        <v>5</v>
      </c>
      <c r="D1768" s="266">
        <v>115.61</v>
      </c>
    </row>
    <row r="1769" spans="1:4" ht="31.5">
      <c r="A1769" s="261">
        <v>1716611</v>
      </c>
      <c r="B1769" s="265" t="s">
        <v>13066</v>
      </c>
      <c r="C1769" s="261" t="s">
        <v>5</v>
      </c>
      <c r="D1769" s="266">
        <v>116.17</v>
      </c>
    </row>
    <row r="1770" spans="1:4" ht="31.5">
      <c r="A1770" s="261">
        <v>1716612</v>
      </c>
      <c r="B1770" s="265" t="s">
        <v>13067</v>
      </c>
      <c r="C1770" s="261" t="s">
        <v>5</v>
      </c>
      <c r="D1770" s="266">
        <v>116.73</v>
      </c>
    </row>
    <row r="1771" spans="1:4" ht="31.5">
      <c r="A1771" s="261">
        <v>1716613</v>
      </c>
      <c r="B1771" s="265" t="s">
        <v>13068</v>
      </c>
      <c r="C1771" s="261" t="s">
        <v>5</v>
      </c>
      <c r="D1771" s="266">
        <v>117.29</v>
      </c>
    </row>
    <row r="1772" spans="1:4" ht="31.5">
      <c r="A1772" s="261">
        <v>1716614</v>
      </c>
      <c r="B1772" s="265" t="s">
        <v>13069</v>
      </c>
      <c r="C1772" s="261" t="s">
        <v>5</v>
      </c>
      <c r="D1772" s="266">
        <v>118.41</v>
      </c>
    </row>
    <row r="1773" spans="1:4" ht="31.5">
      <c r="A1773" s="261">
        <v>1716615</v>
      </c>
      <c r="B1773" s="265" t="s">
        <v>13070</v>
      </c>
      <c r="C1773" s="261" t="s">
        <v>5</v>
      </c>
      <c r="D1773" s="266">
        <v>119.53</v>
      </c>
    </row>
    <row r="1774" spans="1:4" ht="31.5">
      <c r="A1774" s="261">
        <v>1716616</v>
      </c>
      <c r="B1774" s="265" t="s">
        <v>13071</v>
      </c>
      <c r="C1774" s="261" t="s">
        <v>5</v>
      </c>
      <c r="D1774" s="266">
        <v>121.21</v>
      </c>
    </row>
    <row r="1775" spans="1:4" ht="31.5">
      <c r="A1775" s="261">
        <v>1716606</v>
      </c>
      <c r="B1775" s="265" t="s">
        <v>13072</v>
      </c>
      <c r="C1775" s="261" t="s">
        <v>5</v>
      </c>
      <c r="D1775" s="266">
        <v>112.81</v>
      </c>
    </row>
    <row r="1776" spans="1:4" ht="31.5">
      <c r="A1776" s="261">
        <v>1716617</v>
      </c>
      <c r="B1776" s="265" t="s">
        <v>13073</v>
      </c>
      <c r="C1776" s="261" t="s">
        <v>5</v>
      </c>
      <c r="D1776" s="266">
        <v>122.33</v>
      </c>
    </row>
    <row r="1777" spans="1:4" ht="31.5">
      <c r="A1777" s="261">
        <v>1716607</v>
      </c>
      <c r="B1777" s="265" t="s">
        <v>13074</v>
      </c>
      <c r="C1777" s="261" t="s">
        <v>5</v>
      </c>
      <c r="D1777" s="266">
        <v>113.37</v>
      </c>
    </row>
    <row r="1778" spans="1:4" ht="31.5">
      <c r="A1778" s="261">
        <v>1716608</v>
      </c>
      <c r="B1778" s="265" t="s">
        <v>13075</v>
      </c>
      <c r="C1778" s="261" t="s">
        <v>5</v>
      </c>
      <c r="D1778" s="266">
        <v>114.49</v>
      </c>
    </row>
    <row r="1779" spans="1:4" ht="31.5">
      <c r="A1779" s="261">
        <v>1716609</v>
      </c>
      <c r="B1779" s="265" t="s">
        <v>13076</v>
      </c>
      <c r="C1779" s="261" t="s">
        <v>5</v>
      </c>
      <c r="D1779" s="266">
        <v>115.05</v>
      </c>
    </row>
    <row r="1780" spans="1:4" ht="31.5">
      <c r="A1780" s="261">
        <v>1716604</v>
      </c>
      <c r="B1780" s="265" t="s">
        <v>13077</v>
      </c>
      <c r="C1780" s="261" t="s">
        <v>5</v>
      </c>
      <c r="D1780" s="266">
        <v>62.3</v>
      </c>
    </row>
    <row r="1781" spans="1:4">
      <c r="A1781" s="261">
        <v>1716623</v>
      </c>
      <c r="B1781" s="265" t="s">
        <v>13078</v>
      </c>
      <c r="C1781" s="261" t="s">
        <v>5</v>
      </c>
      <c r="D1781" s="266">
        <v>61.18</v>
      </c>
    </row>
    <row r="1782" spans="1:4" ht="31.5">
      <c r="A1782" s="261">
        <v>1716624</v>
      </c>
      <c r="B1782" s="265" t="s">
        <v>13079</v>
      </c>
      <c r="C1782" s="261" t="s">
        <v>5</v>
      </c>
      <c r="D1782" s="266">
        <v>110.01</v>
      </c>
    </row>
    <row r="1783" spans="1:4" ht="31.5">
      <c r="A1783" s="261">
        <v>1716629</v>
      </c>
      <c r="B1783" s="265" t="s">
        <v>13080</v>
      </c>
      <c r="C1783" s="261" t="s">
        <v>5</v>
      </c>
      <c r="D1783" s="266">
        <v>114.49</v>
      </c>
    </row>
    <row r="1784" spans="1:4" ht="31.5">
      <c r="A1784" s="261">
        <v>1716630</v>
      </c>
      <c r="B1784" s="265" t="s">
        <v>13081</v>
      </c>
      <c r="C1784" s="261" t="s">
        <v>5</v>
      </c>
      <c r="D1784" s="266">
        <v>115.05</v>
      </c>
    </row>
    <row r="1785" spans="1:4" ht="31.5">
      <c r="A1785" s="261">
        <v>1716631</v>
      </c>
      <c r="B1785" s="265" t="s">
        <v>13082</v>
      </c>
      <c r="C1785" s="261" t="s">
        <v>5</v>
      </c>
      <c r="D1785" s="266">
        <v>115.61</v>
      </c>
    </row>
    <row r="1786" spans="1:4" ht="31.5">
      <c r="A1786" s="261">
        <v>1716632</v>
      </c>
      <c r="B1786" s="265" t="s">
        <v>13083</v>
      </c>
      <c r="C1786" s="261" t="s">
        <v>5</v>
      </c>
      <c r="D1786" s="266">
        <v>116.17</v>
      </c>
    </row>
    <row r="1787" spans="1:4" ht="31.5">
      <c r="A1787" s="261">
        <v>1716633</v>
      </c>
      <c r="B1787" s="265" t="s">
        <v>13084</v>
      </c>
      <c r="C1787" s="261" t="s">
        <v>5</v>
      </c>
      <c r="D1787" s="266">
        <v>117.29</v>
      </c>
    </row>
    <row r="1788" spans="1:4" ht="31.5">
      <c r="A1788" s="261">
        <v>1716634</v>
      </c>
      <c r="B1788" s="265" t="s">
        <v>13085</v>
      </c>
      <c r="C1788" s="261" t="s">
        <v>5</v>
      </c>
      <c r="D1788" s="266">
        <v>118.41</v>
      </c>
    </row>
    <row r="1789" spans="1:4" ht="31.5">
      <c r="A1789" s="261">
        <v>1716635</v>
      </c>
      <c r="B1789" s="265" t="s">
        <v>13086</v>
      </c>
      <c r="C1789" s="261" t="s">
        <v>5</v>
      </c>
      <c r="D1789" s="266">
        <v>120.09</v>
      </c>
    </row>
    <row r="1790" spans="1:4" ht="31.5">
      <c r="A1790" s="261">
        <v>1716625</v>
      </c>
      <c r="B1790" s="265" t="s">
        <v>13087</v>
      </c>
      <c r="C1790" s="261" t="s">
        <v>5</v>
      </c>
      <c r="D1790" s="266">
        <v>111.69</v>
      </c>
    </row>
    <row r="1791" spans="1:4" ht="31.5">
      <c r="A1791" s="261">
        <v>1716636</v>
      </c>
      <c r="B1791" s="265" t="s">
        <v>13088</v>
      </c>
      <c r="C1791" s="261" t="s">
        <v>5</v>
      </c>
      <c r="D1791" s="266">
        <v>121.21</v>
      </c>
    </row>
    <row r="1792" spans="1:4" ht="31.5">
      <c r="A1792" s="261">
        <v>1716626</v>
      </c>
      <c r="B1792" s="265" t="s">
        <v>13089</v>
      </c>
      <c r="C1792" s="261" t="s">
        <v>5</v>
      </c>
      <c r="D1792" s="266">
        <v>112.25</v>
      </c>
    </row>
    <row r="1793" spans="1:4" ht="31.5">
      <c r="A1793" s="261">
        <v>1716627</v>
      </c>
      <c r="B1793" s="265" t="s">
        <v>13090</v>
      </c>
      <c r="C1793" s="261" t="s">
        <v>5</v>
      </c>
      <c r="D1793" s="266">
        <v>113.37</v>
      </c>
    </row>
    <row r="1794" spans="1:4" ht="31.5">
      <c r="A1794" s="261">
        <v>1716628</v>
      </c>
      <c r="B1794" s="265" t="s">
        <v>13091</v>
      </c>
      <c r="C1794" s="261" t="s">
        <v>5</v>
      </c>
      <c r="D1794" s="266">
        <v>113.93</v>
      </c>
    </row>
    <row r="1795" spans="1:4">
      <c r="A1795" s="261">
        <v>1716640</v>
      </c>
      <c r="B1795" s="265" t="s">
        <v>13092</v>
      </c>
      <c r="C1795" s="261" t="s">
        <v>5</v>
      </c>
      <c r="D1795" s="266">
        <v>32.159999999999997</v>
      </c>
    </row>
    <row r="1796" spans="1:4" ht="31.5">
      <c r="A1796" s="261">
        <v>1716641</v>
      </c>
      <c r="B1796" s="265" t="s">
        <v>13093</v>
      </c>
      <c r="C1796" s="261" t="s">
        <v>5</v>
      </c>
      <c r="D1796" s="266">
        <v>41.55</v>
      </c>
    </row>
    <row r="1797" spans="1:4" ht="31.5">
      <c r="A1797" s="261">
        <v>1716646</v>
      </c>
      <c r="B1797" s="265" t="s">
        <v>13094</v>
      </c>
      <c r="C1797" s="261" t="s">
        <v>5</v>
      </c>
      <c r="D1797" s="266">
        <v>42.14</v>
      </c>
    </row>
    <row r="1798" spans="1:4" ht="31.5">
      <c r="A1798" s="261">
        <v>1716647</v>
      </c>
      <c r="B1798" s="265" t="s">
        <v>13095</v>
      </c>
      <c r="C1798" s="261" t="s">
        <v>5</v>
      </c>
      <c r="D1798" s="266">
        <v>42.2</v>
      </c>
    </row>
    <row r="1799" spans="1:4" ht="31.5">
      <c r="A1799" s="261">
        <v>1716648</v>
      </c>
      <c r="B1799" s="265" t="s">
        <v>13096</v>
      </c>
      <c r="C1799" s="261" t="s">
        <v>5</v>
      </c>
      <c r="D1799" s="266">
        <v>42.32</v>
      </c>
    </row>
    <row r="1800" spans="1:4" ht="31.5">
      <c r="A1800" s="261">
        <v>1716649</v>
      </c>
      <c r="B1800" s="265" t="s">
        <v>13097</v>
      </c>
      <c r="C1800" s="261" t="s">
        <v>5</v>
      </c>
      <c r="D1800" s="266">
        <v>42.38</v>
      </c>
    </row>
    <row r="1801" spans="1:4" ht="31.5">
      <c r="A1801" s="261">
        <v>1716650</v>
      </c>
      <c r="B1801" s="265" t="s">
        <v>13098</v>
      </c>
      <c r="C1801" s="261" t="s">
        <v>5</v>
      </c>
      <c r="D1801" s="266">
        <v>42.5</v>
      </c>
    </row>
    <row r="1802" spans="1:4" ht="31.5">
      <c r="A1802" s="261">
        <v>1716651</v>
      </c>
      <c r="B1802" s="265" t="s">
        <v>13099</v>
      </c>
      <c r="C1802" s="261" t="s">
        <v>5</v>
      </c>
      <c r="D1802" s="266">
        <v>42.62</v>
      </c>
    </row>
    <row r="1803" spans="1:4" ht="31.5">
      <c r="A1803" s="261">
        <v>1716652</v>
      </c>
      <c r="B1803" s="265" t="s">
        <v>13100</v>
      </c>
      <c r="C1803" s="261" t="s">
        <v>5</v>
      </c>
      <c r="D1803" s="266">
        <v>42.86</v>
      </c>
    </row>
    <row r="1804" spans="1:4" ht="31.5">
      <c r="A1804" s="261">
        <v>1716642</v>
      </c>
      <c r="B1804" s="265" t="s">
        <v>13101</v>
      </c>
      <c r="C1804" s="261" t="s">
        <v>5</v>
      </c>
      <c r="D1804" s="266">
        <v>41.73</v>
      </c>
    </row>
    <row r="1805" spans="1:4" ht="31.5">
      <c r="A1805" s="261">
        <v>1716653</v>
      </c>
      <c r="B1805" s="265" t="s">
        <v>13102</v>
      </c>
      <c r="C1805" s="261" t="s">
        <v>5</v>
      </c>
      <c r="D1805" s="266">
        <v>43.04</v>
      </c>
    </row>
    <row r="1806" spans="1:4" ht="31.5">
      <c r="A1806" s="261">
        <v>1716643</v>
      </c>
      <c r="B1806" s="265" t="s">
        <v>13103</v>
      </c>
      <c r="C1806" s="261" t="s">
        <v>5</v>
      </c>
      <c r="D1806" s="266">
        <v>41.85</v>
      </c>
    </row>
    <row r="1807" spans="1:4" ht="31.5">
      <c r="A1807" s="261">
        <v>1716644</v>
      </c>
      <c r="B1807" s="265" t="s">
        <v>13104</v>
      </c>
      <c r="C1807" s="261" t="s">
        <v>5</v>
      </c>
      <c r="D1807" s="266">
        <v>41.97</v>
      </c>
    </row>
    <row r="1808" spans="1:4" ht="31.5">
      <c r="A1808" s="261">
        <v>1716645</v>
      </c>
      <c r="B1808" s="265" t="s">
        <v>13105</v>
      </c>
      <c r="C1808" s="261" t="s">
        <v>5</v>
      </c>
      <c r="D1808" s="266">
        <v>42.03</v>
      </c>
    </row>
    <row r="1809" spans="1:4" ht="31.5">
      <c r="A1809" s="261">
        <v>1716622</v>
      </c>
      <c r="B1809" s="265" t="s">
        <v>13106</v>
      </c>
      <c r="C1809" s="261" t="s">
        <v>5</v>
      </c>
      <c r="D1809" s="266">
        <v>89.29</v>
      </c>
    </row>
    <row r="1810" spans="1:4" ht="31.5">
      <c r="A1810" s="261">
        <v>1716603</v>
      </c>
      <c r="B1810" s="265" t="s">
        <v>13107</v>
      </c>
      <c r="C1810" s="261" t="s">
        <v>5</v>
      </c>
      <c r="D1810" s="266">
        <v>89.29</v>
      </c>
    </row>
    <row r="1811" spans="1:4" ht="31.5">
      <c r="A1811" s="261">
        <v>1716620</v>
      </c>
      <c r="B1811" s="265" t="s">
        <v>13108</v>
      </c>
      <c r="C1811" s="261" t="s">
        <v>5</v>
      </c>
      <c r="D1811" s="266">
        <v>120.23</v>
      </c>
    </row>
    <row r="1812" spans="1:4" ht="31.5">
      <c r="A1812" s="261">
        <v>1716621</v>
      </c>
      <c r="B1812" s="265" t="s">
        <v>13109</v>
      </c>
      <c r="C1812" s="261" t="s">
        <v>5</v>
      </c>
      <c r="D1812" s="266">
        <v>95.89</v>
      </c>
    </row>
    <row r="1813" spans="1:4" ht="31.5">
      <c r="A1813" s="261">
        <v>1716619</v>
      </c>
      <c r="B1813" s="265" t="s">
        <v>13110</v>
      </c>
      <c r="C1813" s="261" t="s">
        <v>5</v>
      </c>
      <c r="D1813" s="266">
        <v>193.3</v>
      </c>
    </row>
    <row r="1814" spans="1:4" ht="31.5">
      <c r="A1814" s="261">
        <v>1716601</v>
      </c>
      <c r="B1814" s="265" t="s">
        <v>13111</v>
      </c>
      <c r="C1814" s="261" t="s">
        <v>5</v>
      </c>
      <c r="D1814" s="266">
        <v>121.73</v>
      </c>
    </row>
    <row r="1815" spans="1:4" ht="31.5">
      <c r="A1815" s="261">
        <v>1716602</v>
      </c>
      <c r="B1815" s="265" t="s">
        <v>13112</v>
      </c>
      <c r="C1815" s="261" t="s">
        <v>5</v>
      </c>
      <c r="D1815" s="266">
        <v>96.89</v>
      </c>
    </row>
    <row r="1816" spans="1:4" ht="31.5">
      <c r="A1816" s="261">
        <v>1716600</v>
      </c>
      <c r="B1816" s="265" t="s">
        <v>13113</v>
      </c>
      <c r="C1816" s="261" t="s">
        <v>5</v>
      </c>
      <c r="D1816" s="266">
        <v>196.3</v>
      </c>
    </row>
    <row r="1817" spans="1:4" ht="31.5">
      <c r="A1817" s="261">
        <v>1716655</v>
      </c>
      <c r="B1817" s="265" t="s">
        <v>13114</v>
      </c>
      <c r="C1817" s="261" t="s">
        <v>5</v>
      </c>
      <c r="D1817" s="266">
        <v>71.459999999999994</v>
      </c>
    </row>
    <row r="1818" spans="1:4" ht="31.5">
      <c r="A1818" s="261">
        <v>1716639</v>
      </c>
      <c r="B1818" s="265" t="s">
        <v>13115</v>
      </c>
      <c r="C1818" s="261" t="s">
        <v>5</v>
      </c>
      <c r="D1818" s="266">
        <v>50.96</v>
      </c>
    </row>
    <row r="1819" spans="1:4">
      <c r="A1819" s="261">
        <v>1801636</v>
      </c>
      <c r="B1819" s="265" t="s">
        <v>13116</v>
      </c>
      <c r="C1819" s="261" t="s">
        <v>13117</v>
      </c>
      <c r="D1819" s="266">
        <v>16.63</v>
      </c>
    </row>
    <row r="1820" spans="1:4">
      <c r="A1820" s="261">
        <v>1801637</v>
      </c>
      <c r="B1820" s="265" t="s">
        <v>13118</v>
      </c>
      <c r="C1820" s="261" t="s">
        <v>13117</v>
      </c>
      <c r="D1820" s="266">
        <v>22.18</v>
      </c>
    </row>
    <row r="1821" spans="1:4">
      <c r="A1821" s="261">
        <v>1817720</v>
      </c>
      <c r="B1821" s="265" t="s">
        <v>13119</v>
      </c>
      <c r="C1821" s="261" t="s">
        <v>13117</v>
      </c>
      <c r="D1821" s="266">
        <v>85.2</v>
      </c>
    </row>
    <row r="1822" spans="1:4">
      <c r="A1822" s="261">
        <v>1817723</v>
      </c>
      <c r="B1822" s="265" t="s">
        <v>13120</v>
      </c>
      <c r="C1822" s="261" t="s">
        <v>13117</v>
      </c>
      <c r="D1822" s="266">
        <v>40.6</v>
      </c>
    </row>
    <row r="1823" spans="1:4">
      <c r="A1823" s="261">
        <v>1817721</v>
      </c>
      <c r="B1823" s="265" t="s">
        <v>13121</v>
      </c>
      <c r="C1823" s="261" t="s">
        <v>13117</v>
      </c>
      <c r="D1823" s="266">
        <v>121.81</v>
      </c>
    </row>
    <row r="1824" spans="1:4">
      <c r="A1824" s="261">
        <v>1817722</v>
      </c>
      <c r="B1824" s="265" t="s">
        <v>13122</v>
      </c>
      <c r="C1824" s="261" t="s">
        <v>13117</v>
      </c>
      <c r="D1824" s="266">
        <v>60.91</v>
      </c>
    </row>
    <row r="1825" spans="1:4" ht="31.5">
      <c r="A1825" s="261">
        <v>1917483</v>
      </c>
      <c r="B1825" s="265" t="s">
        <v>13123</v>
      </c>
      <c r="C1825" s="261" t="s">
        <v>5</v>
      </c>
      <c r="D1825" s="266">
        <v>4.53</v>
      </c>
    </row>
    <row r="1826" spans="1:4" ht="31.5">
      <c r="A1826" s="261">
        <v>1917484</v>
      </c>
      <c r="B1826" s="265" t="s">
        <v>13124</v>
      </c>
      <c r="C1826" s="261" t="s">
        <v>5</v>
      </c>
      <c r="D1826" s="266">
        <v>4.71</v>
      </c>
    </row>
    <row r="1827" spans="1:4" ht="31.5">
      <c r="A1827" s="261">
        <v>1917485</v>
      </c>
      <c r="B1827" s="265" t="s">
        <v>13125</v>
      </c>
      <c r="C1827" s="261" t="s">
        <v>5</v>
      </c>
      <c r="D1827" s="266">
        <v>5.16</v>
      </c>
    </row>
    <row r="1828" spans="1:4" ht="31.5">
      <c r="A1828" s="261">
        <v>1917486</v>
      </c>
      <c r="B1828" s="265" t="s">
        <v>13126</v>
      </c>
      <c r="C1828" s="261" t="s">
        <v>5</v>
      </c>
      <c r="D1828" s="266">
        <v>5.38</v>
      </c>
    </row>
    <row r="1829" spans="1:4" ht="31.5">
      <c r="A1829" s="261">
        <v>1917487</v>
      </c>
      <c r="B1829" s="265" t="s">
        <v>13127</v>
      </c>
      <c r="C1829" s="261" t="s">
        <v>5</v>
      </c>
      <c r="D1829" s="266">
        <v>5.66</v>
      </c>
    </row>
    <row r="1830" spans="1:4" ht="31.5">
      <c r="A1830" s="261">
        <v>1917528</v>
      </c>
      <c r="B1830" s="265" t="s">
        <v>13128</v>
      </c>
      <c r="C1830" s="261" t="s">
        <v>5</v>
      </c>
      <c r="D1830" s="266">
        <v>28.38</v>
      </c>
    </row>
    <row r="1831" spans="1:4" ht="31.5">
      <c r="A1831" s="261">
        <v>1917529</v>
      </c>
      <c r="B1831" s="265" t="s">
        <v>13129</v>
      </c>
      <c r="C1831" s="261" t="s">
        <v>5</v>
      </c>
      <c r="D1831" s="266">
        <v>29.3</v>
      </c>
    </row>
    <row r="1832" spans="1:4" ht="31.5">
      <c r="A1832" s="261">
        <v>1917530</v>
      </c>
      <c r="B1832" s="265" t="s">
        <v>13130</v>
      </c>
      <c r="C1832" s="261" t="s">
        <v>5</v>
      </c>
      <c r="D1832" s="266">
        <v>30.75</v>
      </c>
    </row>
    <row r="1833" spans="1:4" ht="31.5">
      <c r="A1833" s="261">
        <v>1917531</v>
      </c>
      <c r="B1833" s="265" t="s">
        <v>13131</v>
      </c>
      <c r="C1833" s="261" t="s">
        <v>5</v>
      </c>
      <c r="D1833" s="266">
        <v>32.32</v>
      </c>
    </row>
    <row r="1834" spans="1:4" ht="31.5">
      <c r="A1834" s="261">
        <v>1917532</v>
      </c>
      <c r="B1834" s="265" t="s">
        <v>13132</v>
      </c>
      <c r="C1834" s="261" t="s">
        <v>5</v>
      </c>
      <c r="D1834" s="266">
        <v>34.090000000000003</v>
      </c>
    </row>
    <row r="1835" spans="1:4" ht="31.5">
      <c r="A1835" s="261">
        <v>1917533</v>
      </c>
      <c r="B1835" s="265" t="s">
        <v>13133</v>
      </c>
      <c r="C1835" s="261" t="s">
        <v>5</v>
      </c>
      <c r="D1835" s="266">
        <v>35.03</v>
      </c>
    </row>
    <row r="1836" spans="1:4" ht="31.5">
      <c r="A1836" s="261">
        <v>1917534</v>
      </c>
      <c r="B1836" s="265" t="s">
        <v>13134</v>
      </c>
      <c r="C1836" s="261" t="s">
        <v>5</v>
      </c>
      <c r="D1836" s="266">
        <v>36.01</v>
      </c>
    </row>
    <row r="1837" spans="1:4" ht="31.5">
      <c r="A1837" s="261">
        <v>1917535</v>
      </c>
      <c r="B1837" s="265" t="s">
        <v>13135</v>
      </c>
      <c r="C1837" s="261" t="s">
        <v>5</v>
      </c>
      <c r="D1837" s="266">
        <v>37.270000000000003</v>
      </c>
    </row>
    <row r="1838" spans="1:4" ht="31.5">
      <c r="A1838" s="261">
        <v>1917536</v>
      </c>
      <c r="B1838" s="265" t="s">
        <v>13136</v>
      </c>
      <c r="C1838" s="261" t="s">
        <v>5</v>
      </c>
      <c r="D1838" s="266">
        <v>38.369999999999997</v>
      </c>
    </row>
    <row r="1839" spans="1:4" ht="31.5">
      <c r="A1839" s="261">
        <v>1917537</v>
      </c>
      <c r="B1839" s="265" t="s">
        <v>13137</v>
      </c>
      <c r="C1839" s="261" t="s">
        <v>5</v>
      </c>
      <c r="D1839" s="266">
        <v>39.520000000000003</v>
      </c>
    </row>
    <row r="1840" spans="1:4" ht="31.5">
      <c r="A1840" s="261">
        <v>1917488</v>
      </c>
      <c r="B1840" s="265" t="s">
        <v>13138</v>
      </c>
      <c r="C1840" s="261" t="s">
        <v>5</v>
      </c>
      <c r="D1840" s="266">
        <v>5.89</v>
      </c>
    </row>
    <row r="1841" spans="1:4" ht="31.5">
      <c r="A1841" s="261">
        <v>1917489</v>
      </c>
      <c r="B1841" s="265" t="s">
        <v>13139</v>
      </c>
      <c r="C1841" s="261" t="s">
        <v>5</v>
      </c>
      <c r="D1841" s="266">
        <v>6.16</v>
      </c>
    </row>
    <row r="1842" spans="1:4" ht="31.5">
      <c r="A1842" s="261">
        <v>1917490</v>
      </c>
      <c r="B1842" s="265" t="s">
        <v>13140</v>
      </c>
      <c r="C1842" s="261" t="s">
        <v>5</v>
      </c>
      <c r="D1842" s="266">
        <v>6.58</v>
      </c>
    </row>
    <row r="1843" spans="1:4" ht="31.5">
      <c r="A1843" s="261">
        <v>1917491</v>
      </c>
      <c r="B1843" s="265" t="s">
        <v>13141</v>
      </c>
      <c r="C1843" s="261" t="s">
        <v>5</v>
      </c>
      <c r="D1843" s="266">
        <v>6.88</v>
      </c>
    </row>
    <row r="1844" spans="1:4" ht="31.5">
      <c r="A1844" s="261">
        <v>1917492</v>
      </c>
      <c r="B1844" s="265" t="s">
        <v>13142</v>
      </c>
      <c r="C1844" s="261" t="s">
        <v>5</v>
      </c>
      <c r="D1844" s="266">
        <v>7.13</v>
      </c>
    </row>
    <row r="1845" spans="1:4" ht="31.5">
      <c r="A1845" s="261">
        <v>1917493</v>
      </c>
      <c r="B1845" s="265" t="s">
        <v>13143</v>
      </c>
      <c r="C1845" s="261" t="s">
        <v>5</v>
      </c>
      <c r="D1845" s="266">
        <v>7.44</v>
      </c>
    </row>
    <row r="1846" spans="1:4" ht="31.5">
      <c r="A1846" s="261">
        <v>1917494</v>
      </c>
      <c r="B1846" s="265" t="s">
        <v>13144</v>
      </c>
      <c r="C1846" s="261" t="s">
        <v>5</v>
      </c>
      <c r="D1846" s="266">
        <v>7.76</v>
      </c>
    </row>
    <row r="1847" spans="1:4" ht="31.5">
      <c r="A1847" s="261">
        <v>1917495</v>
      </c>
      <c r="B1847" s="265" t="s">
        <v>13145</v>
      </c>
      <c r="C1847" s="261" t="s">
        <v>5</v>
      </c>
      <c r="D1847" s="266">
        <v>8.24</v>
      </c>
    </row>
    <row r="1848" spans="1:4" ht="31.5">
      <c r="A1848" s="261">
        <v>1917496</v>
      </c>
      <c r="B1848" s="265" t="s">
        <v>13146</v>
      </c>
      <c r="C1848" s="261" t="s">
        <v>5</v>
      </c>
      <c r="D1848" s="266">
        <v>8.5399999999999991</v>
      </c>
    </row>
    <row r="1849" spans="1:4" ht="31.5">
      <c r="A1849" s="261">
        <v>1917497</v>
      </c>
      <c r="B1849" s="265" t="s">
        <v>13147</v>
      </c>
      <c r="C1849" s="261" t="s">
        <v>5</v>
      </c>
      <c r="D1849" s="266">
        <v>8.85</v>
      </c>
    </row>
    <row r="1850" spans="1:4" ht="31.5">
      <c r="A1850" s="261">
        <v>1917498</v>
      </c>
      <c r="B1850" s="265" t="s">
        <v>13148</v>
      </c>
      <c r="C1850" s="261" t="s">
        <v>5</v>
      </c>
      <c r="D1850" s="266">
        <v>9.17</v>
      </c>
    </row>
    <row r="1851" spans="1:4" ht="31.5">
      <c r="A1851" s="261">
        <v>1917499</v>
      </c>
      <c r="B1851" s="265" t="s">
        <v>13149</v>
      </c>
      <c r="C1851" s="261" t="s">
        <v>5</v>
      </c>
      <c r="D1851" s="266">
        <v>9.44</v>
      </c>
    </row>
    <row r="1852" spans="1:4" ht="31.5">
      <c r="A1852" s="261">
        <v>1917500</v>
      </c>
      <c r="B1852" s="265" t="s">
        <v>13150</v>
      </c>
      <c r="C1852" s="261" t="s">
        <v>5</v>
      </c>
      <c r="D1852" s="266">
        <v>9.9499999999999993</v>
      </c>
    </row>
    <row r="1853" spans="1:4" ht="31.5">
      <c r="A1853" s="261">
        <v>1917501</v>
      </c>
      <c r="B1853" s="265" t="s">
        <v>13151</v>
      </c>
      <c r="C1853" s="261" t="s">
        <v>5</v>
      </c>
      <c r="D1853" s="266">
        <v>10.27</v>
      </c>
    </row>
    <row r="1854" spans="1:4" ht="31.5">
      <c r="A1854" s="261">
        <v>1917502</v>
      </c>
      <c r="B1854" s="265" t="s">
        <v>13152</v>
      </c>
      <c r="C1854" s="261" t="s">
        <v>5</v>
      </c>
      <c r="D1854" s="266">
        <v>10.59</v>
      </c>
    </row>
    <row r="1855" spans="1:4" ht="31.5">
      <c r="A1855" s="261">
        <v>1917503</v>
      </c>
      <c r="B1855" s="265" t="s">
        <v>13153</v>
      </c>
      <c r="C1855" s="261" t="s">
        <v>5</v>
      </c>
      <c r="D1855" s="266">
        <v>10.92</v>
      </c>
    </row>
    <row r="1856" spans="1:4" ht="31.5">
      <c r="A1856" s="261">
        <v>1917504</v>
      </c>
      <c r="B1856" s="265" t="s">
        <v>13154</v>
      </c>
      <c r="C1856" s="261" t="s">
        <v>5</v>
      </c>
      <c r="D1856" s="266">
        <v>11.26</v>
      </c>
    </row>
    <row r="1857" spans="1:4" ht="31.5">
      <c r="A1857" s="261">
        <v>1917505</v>
      </c>
      <c r="B1857" s="265" t="s">
        <v>13155</v>
      </c>
      <c r="C1857" s="261" t="s">
        <v>5</v>
      </c>
      <c r="D1857" s="266">
        <v>11.8</v>
      </c>
    </row>
    <row r="1858" spans="1:4" ht="31.5">
      <c r="A1858" s="261">
        <v>1917506</v>
      </c>
      <c r="B1858" s="265" t="s">
        <v>13156</v>
      </c>
      <c r="C1858" s="261" t="s">
        <v>5</v>
      </c>
      <c r="D1858" s="266">
        <v>12.13</v>
      </c>
    </row>
    <row r="1859" spans="1:4" ht="31.5">
      <c r="A1859" s="261">
        <v>1917507</v>
      </c>
      <c r="B1859" s="265" t="s">
        <v>13157</v>
      </c>
      <c r="C1859" s="261" t="s">
        <v>5</v>
      </c>
      <c r="D1859" s="266">
        <v>12.47</v>
      </c>
    </row>
    <row r="1860" spans="1:4" ht="31.5">
      <c r="A1860" s="261">
        <v>1917480</v>
      </c>
      <c r="B1860" s="265" t="s">
        <v>13158</v>
      </c>
      <c r="C1860" s="261" t="s">
        <v>5</v>
      </c>
      <c r="D1860" s="266">
        <v>3.92</v>
      </c>
    </row>
    <row r="1861" spans="1:4" ht="31.5">
      <c r="A1861" s="261">
        <v>1917508</v>
      </c>
      <c r="B1861" s="265" t="s">
        <v>13159</v>
      </c>
      <c r="C1861" s="261" t="s">
        <v>5</v>
      </c>
      <c r="D1861" s="266">
        <v>12.83</v>
      </c>
    </row>
    <row r="1862" spans="1:4" ht="31.5">
      <c r="A1862" s="261">
        <v>1917509</v>
      </c>
      <c r="B1862" s="265" t="s">
        <v>13160</v>
      </c>
      <c r="C1862" s="261" t="s">
        <v>5</v>
      </c>
      <c r="D1862" s="266">
        <v>13.24</v>
      </c>
    </row>
    <row r="1863" spans="1:4" ht="31.5">
      <c r="A1863" s="261">
        <v>1917510</v>
      </c>
      <c r="B1863" s="265" t="s">
        <v>13161</v>
      </c>
      <c r="C1863" s="261" t="s">
        <v>5</v>
      </c>
      <c r="D1863" s="266">
        <v>13.81</v>
      </c>
    </row>
    <row r="1864" spans="1:4" ht="31.5">
      <c r="A1864" s="261">
        <v>1917511</v>
      </c>
      <c r="B1864" s="265" t="s">
        <v>13162</v>
      </c>
      <c r="C1864" s="261" t="s">
        <v>5</v>
      </c>
      <c r="D1864" s="266">
        <v>14.19</v>
      </c>
    </row>
    <row r="1865" spans="1:4" ht="31.5">
      <c r="A1865" s="261">
        <v>1917512</v>
      </c>
      <c r="B1865" s="265" t="s">
        <v>13163</v>
      </c>
      <c r="C1865" s="261" t="s">
        <v>5</v>
      </c>
      <c r="D1865" s="266">
        <v>14.64</v>
      </c>
    </row>
    <row r="1866" spans="1:4" ht="31.5">
      <c r="A1866" s="261">
        <v>1917513</v>
      </c>
      <c r="B1866" s="265" t="s">
        <v>13164</v>
      </c>
      <c r="C1866" s="261" t="s">
        <v>5</v>
      </c>
      <c r="D1866" s="266">
        <v>15.07</v>
      </c>
    </row>
    <row r="1867" spans="1:4" ht="31.5">
      <c r="A1867" s="261">
        <v>1917514</v>
      </c>
      <c r="B1867" s="265" t="s">
        <v>13165</v>
      </c>
      <c r="C1867" s="261" t="s">
        <v>5</v>
      </c>
      <c r="D1867" s="266">
        <v>15.57</v>
      </c>
    </row>
    <row r="1868" spans="1:4" ht="31.5">
      <c r="A1868" s="261">
        <v>1917515</v>
      </c>
      <c r="B1868" s="265" t="s">
        <v>13166</v>
      </c>
      <c r="C1868" s="261" t="s">
        <v>5</v>
      </c>
      <c r="D1868" s="266">
        <v>16.28</v>
      </c>
    </row>
    <row r="1869" spans="1:4" ht="31.5">
      <c r="A1869" s="261">
        <v>1917516</v>
      </c>
      <c r="B1869" s="265" t="s">
        <v>13167</v>
      </c>
      <c r="C1869" s="261" t="s">
        <v>5</v>
      </c>
      <c r="D1869" s="266">
        <v>16.82</v>
      </c>
    </row>
    <row r="1870" spans="1:4" ht="31.5">
      <c r="A1870" s="261">
        <v>1917517</v>
      </c>
      <c r="B1870" s="265" t="s">
        <v>13168</v>
      </c>
      <c r="C1870" s="261" t="s">
        <v>5</v>
      </c>
      <c r="D1870" s="266">
        <v>17.55</v>
      </c>
    </row>
    <row r="1871" spans="1:4" ht="31.5">
      <c r="A1871" s="261">
        <v>1917481</v>
      </c>
      <c r="B1871" s="265" t="s">
        <v>13169</v>
      </c>
      <c r="C1871" s="261" t="s">
        <v>5</v>
      </c>
      <c r="D1871" s="266">
        <v>4.0999999999999996</v>
      </c>
    </row>
    <row r="1872" spans="1:4" ht="31.5">
      <c r="A1872" s="261">
        <v>1917518</v>
      </c>
      <c r="B1872" s="265" t="s">
        <v>13170</v>
      </c>
      <c r="C1872" s="261" t="s">
        <v>5</v>
      </c>
      <c r="D1872" s="266">
        <v>18.28</v>
      </c>
    </row>
    <row r="1873" spans="1:4" ht="31.5">
      <c r="A1873" s="261">
        <v>1917519</v>
      </c>
      <c r="B1873" s="265" t="s">
        <v>13171</v>
      </c>
      <c r="C1873" s="261" t="s">
        <v>5</v>
      </c>
      <c r="D1873" s="266">
        <v>19.170000000000002</v>
      </c>
    </row>
    <row r="1874" spans="1:4" ht="31.5">
      <c r="A1874" s="261">
        <v>1917520</v>
      </c>
      <c r="B1874" s="265" t="s">
        <v>13172</v>
      </c>
      <c r="C1874" s="261" t="s">
        <v>5</v>
      </c>
      <c r="D1874" s="266">
        <v>20.18</v>
      </c>
    </row>
    <row r="1875" spans="1:4" ht="31.5">
      <c r="A1875" s="261">
        <v>1917521</v>
      </c>
      <c r="B1875" s="265" t="s">
        <v>13173</v>
      </c>
      <c r="C1875" s="261" t="s">
        <v>5</v>
      </c>
      <c r="D1875" s="266">
        <v>21.04</v>
      </c>
    </row>
    <row r="1876" spans="1:4" ht="31.5">
      <c r="A1876" s="261">
        <v>1917522</v>
      </c>
      <c r="B1876" s="265" t="s">
        <v>13174</v>
      </c>
      <c r="C1876" s="261" t="s">
        <v>5</v>
      </c>
      <c r="D1876" s="266">
        <v>21.99</v>
      </c>
    </row>
    <row r="1877" spans="1:4" ht="31.5">
      <c r="A1877" s="261">
        <v>1917523</v>
      </c>
      <c r="B1877" s="265" t="s">
        <v>13175</v>
      </c>
      <c r="C1877" s="261" t="s">
        <v>5</v>
      </c>
      <c r="D1877" s="266">
        <v>22.96</v>
      </c>
    </row>
    <row r="1878" spans="1:4" ht="31.5">
      <c r="A1878" s="261">
        <v>1917524</v>
      </c>
      <c r="B1878" s="265" t="s">
        <v>13176</v>
      </c>
      <c r="C1878" s="261" t="s">
        <v>5</v>
      </c>
      <c r="D1878" s="266">
        <v>24</v>
      </c>
    </row>
    <row r="1879" spans="1:4" ht="31.5">
      <c r="A1879" s="261">
        <v>1917525</v>
      </c>
      <c r="B1879" s="265" t="s">
        <v>13177</v>
      </c>
      <c r="C1879" s="261" t="s">
        <v>5</v>
      </c>
      <c r="D1879" s="266">
        <v>25.21</v>
      </c>
    </row>
    <row r="1880" spans="1:4" ht="31.5">
      <c r="A1880" s="261">
        <v>1917526</v>
      </c>
      <c r="B1880" s="265" t="s">
        <v>13178</v>
      </c>
      <c r="C1880" s="261" t="s">
        <v>5</v>
      </c>
      <c r="D1880" s="266">
        <v>26.17</v>
      </c>
    </row>
    <row r="1881" spans="1:4" ht="31.5">
      <c r="A1881" s="261">
        <v>1917527</v>
      </c>
      <c r="B1881" s="265" t="s">
        <v>13179</v>
      </c>
      <c r="C1881" s="261" t="s">
        <v>5</v>
      </c>
      <c r="D1881" s="266">
        <v>27.12</v>
      </c>
    </row>
    <row r="1882" spans="1:4" ht="31.5">
      <c r="A1882" s="261">
        <v>1917482</v>
      </c>
      <c r="B1882" s="265" t="s">
        <v>13180</v>
      </c>
      <c r="C1882" s="261" t="s">
        <v>5</v>
      </c>
      <c r="D1882" s="266">
        <v>4.29</v>
      </c>
    </row>
    <row r="1883" spans="1:4" ht="31.5">
      <c r="A1883" s="261">
        <v>1917737</v>
      </c>
      <c r="B1883" s="265" t="s">
        <v>13181</v>
      </c>
      <c r="C1883" s="261" t="s">
        <v>5</v>
      </c>
      <c r="D1883" s="266">
        <v>3.89</v>
      </c>
    </row>
    <row r="1884" spans="1:4" ht="31.5">
      <c r="A1884" s="261">
        <v>1917220</v>
      </c>
      <c r="B1884" s="265" t="s">
        <v>13182</v>
      </c>
      <c r="C1884" s="261" t="s">
        <v>5</v>
      </c>
      <c r="D1884" s="266">
        <v>6.51</v>
      </c>
    </row>
    <row r="1885" spans="1:4" ht="31.5">
      <c r="A1885" s="261">
        <v>1917221</v>
      </c>
      <c r="B1885" s="265" t="s">
        <v>13183</v>
      </c>
      <c r="C1885" s="261" t="s">
        <v>5</v>
      </c>
      <c r="D1885" s="266">
        <v>6.95</v>
      </c>
    </row>
    <row r="1886" spans="1:4" ht="31.5">
      <c r="A1886" s="261">
        <v>1917222</v>
      </c>
      <c r="B1886" s="265" t="s">
        <v>13184</v>
      </c>
      <c r="C1886" s="261" t="s">
        <v>5</v>
      </c>
      <c r="D1886" s="266">
        <v>7.5</v>
      </c>
    </row>
    <row r="1887" spans="1:4" ht="31.5">
      <c r="A1887" s="261">
        <v>1917223</v>
      </c>
      <c r="B1887" s="265" t="s">
        <v>13185</v>
      </c>
      <c r="C1887" s="261" t="s">
        <v>5</v>
      </c>
      <c r="D1887" s="266">
        <v>7.83</v>
      </c>
    </row>
    <row r="1888" spans="1:4" ht="31.5">
      <c r="A1888" s="261">
        <v>1917224</v>
      </c>
      <c r="B1888" s="265" t="s">
        <v>13186</v>
      </c>
      <c r="C1888" s="261" t="s">
        <v>5</v>
      </c>
      <c r="D1888" s="266">
        <v>8.18</v>
      </c>
    </row>
    <row r="1889" spans="1:4" ht="31.5">
      <c r="A1889" s="261">
        <v>1917225</v>
      </c>
      <c r="B1889" s="265" t="s">
        <v>13187</v>
      </c>
      <c r="C1889" s="261" t="s">
        <v>5</v>
      </c>
      <c r="D1889" s="266">
        <v>8.58</v>
      </c>
    </row>
    <row r="1890" spans="1:4" ht="31.5">
      <c r="A1890" s="261">
        <v>1917226</v>
      </c>
      <c r="B1890" s="265" t="s">
        <v>13188</v>
      </c>
      <c r="C1890" s="261" t="s">
        <v>5</v>
      </c>
      <c r="D1890" s="266">
        <v>8.9700000000000006</v>
      </c>
    </row>
    <row r="1891" spans="1:4" ht="31.5">
      <c r="A1891" s="261">
        <v>1917227</v>
      </c>
      <c r="B1891" s="265" t="s">
        <v>13189</v>
      </c>
      <c r="C1891" s="261" t="s">
        <v>5</v>
      </c>
      <c r="D1891" s="266">
        <v>9.5399999999999991</v>
      </c>
    </row>
    <row r="1892" spans="1:4" ht="31.5">
      <c r="A1892" s="261">
        <v>1917228</v>
      </c>
      <c r="B1892" s="265" t="s">
        <v>13190</v>
      </c>
      <c r="C1892" s="261" t="s">
        <v>5</v>
      </c>
      <c r="D1892" s="266">
        <v>10</v>
      </c>
    </row>
    <row r="1893" spans="1:4" ht="31.5">
      <c r="A1893" s="261">
        <v>1917229</v>
      </c>
      <c r="B1893" s="265" t="s">
        <v>13191</v>
      </c>
      <c r="C1893" s="261" t="s">
        <v>5</v>
      </c>
      <c r="D1893" s="266">
        <v>10.4</v>
      </c>
    </row>
    <row r="1894" spans="1:4" ht="31.5">
      <c r="A1894" s="261">
        <v>1917230</v>
      </c>
      <c r="B1894" s="265" t="s">
        <v>13192</v>
      </c>
      <c r="C1894" s="261" t="s">
        <v>5</v>
      </c>
      <c r="D1894" s="266">
        <v>10.85</v>
      </c>
    </row>
    <row r="1895" spans="1:4" ht="31.5">
      <c r="A1895" s="261">
        <v>1917231</v>
      </c>
      <c r="B1895" s="265" t="s">
        <v>13193</v>
      </c>
      <c r="C1895" s="261" t="s">
        <v>5</v>
      </c>
      <c r="D1895" s="266">
        <v>11.32</v>
      </c>
    </row>
    <row r="1896" spans="1:4" ht="31.5">
      <c r="A1896" s="261">
        <v>1917232</v>
      </c>
      <c r="B1896" s="265" t="s">
        <v>13194</v>
      </c>
      <c r="C1896" s="261" t="s">
        <v>5</v>
      </c>
      <c r="D1896" s="266">
        <v>11.99</v>
      </c>
    </row>
    <row r="1897" spans="1:4" ht="31.5">
      <c r="A1897" s="261">
        <v>1917233</v>
      </c>
      <c r="B1897" s="265" t="s">
        <v>13195</v>
      </c>
      <c r="C1897" s="261" t="s">
        <v>5</v>
      </c>
      <c r="D1897" s="266">
        <v>12.46</v>
      </c>
    </row>
    <row r="1898" spans="1:4" ht="31.5">
      <c r="A1898" s="261">
        <v>1917234</v>
      </c>
      <c r="B1898" s="265" t="s">
        <v>13196</v>
      </c>
      <c r="C1898" s="261" t="s">
        <v>5</v>
      </c>
      <c r="D1898" s="266">
        <v>13.05</v>
      </c>
    </row>
    <row r="1899" spans="1:4" ht="31.5">
      <c r="A1899" s="261">
        <v>1917217</v>
      </c>
      <c r="B1899" s="265" t="s">
        <v>13197</v>
      </c>
      <c r="C1899" s="261" t="s">
        <v>5</v>
      </c>
      <c r="D1899" s="266">
        <v>5.35</v>
      </c>
    </row>
    <row r="1900" spans="1:4" ht="31.5">
      <c r="A1900" s="261">
        <v>1917218</v>
      </c>
      <c r="B1900" s="265" t="s">
        <v>13198</v>
      </c>
      <c r="C1900" s="261" t="s">
        <v>5</v>
      </c>
      <c r="D1900" s="266">
        <v>5.56</v>
      </c>
    </row>
    <row r="1901" spans="1:4" ht="31.5">
      <c r="A1901" s="261">
        <v>1917219</v>
      </c>
      <c r="B1901" s="265" t="s">
        <v>13199</v>
      </c>
      <c r="C1901" s="261" t="s">
        <v>5</v>
      </c>
      <c r="D1901" s="266">
        <v>5.98</v>
      </c>
    </row>
    <row r="1902" spans="1:4" ht="31.5">
      <c r="A1902" s="261">
        <v>1917724</v>
      </c>
      <c r="B1902" s="265" t="s">
        <v>13200</v>
      </c>
      <c r="C1902" s="261" t="s">
        <v>5</v>
      </c>
      <c r="D1902" s="266">
        <v>5.24</v>
      </c>
    </row>
    <row r="1903" spans="1:4" ht="31.5">
      <c r="A1903" s="261">
        <v>1917274</v>
      </c>
      <c r="B1903" s="265" t="s">
        <v>13201</v>
      </c>
      <c r="C1903" s="261" t="s">
        <v>5</v>
      </c>
      <c r="D1903" s="266">
        <v>4.8</v>
      </c>
    </row>
    <row r="1904" spans="1:4" ht="31.5">
      <c r="A1904" s="261">
        <v>1917275</v>
      </c>
      <c r="B1904" s="265" t="s">
        <v>13202</v>
      </c>
      <c r="C1904" s="261" t="s">
        <v>5</v>
      </c>
      <c r="D1904" s="266">
        <v>5.0999999999999996</v>
      </c>
    </row>
    <row r="1905" spans="1:4" ht="31.5">
      <c r="A1905" s="261">
        <v>1917276</v>
      </c>
      <c r="B1905" s="265" t="s">
        <v>13203</v>
      </c>
      <c r="C1905" s="261" t="s">
        <v>5</v>
      </c>
      <c r="D1905" s="266">
        <v>5.58</v>
      </c>
    </row>
    <row r="1906" spans="1:4" ht="31.5">
      <c r="A1906" s="261">
        <v>1917277</v>
      </c>
      <c r="B1906" s="265" t="s">
        <v>13204</v>
      </c>
      <c r="C1906" s="261" t="s">
        <v>5</v>
      </c>
      <c r="D1906" s="266">
        <v>5.98</v>
      </c>
    </row>
    <row r="1907" spans="1:4" ht="31.5">
      <c r="A1907" s="261">
        <v>1917278</v>
      </c>
      <c r="B1907" s="265" t="s">
        <v>13205</v>
      </c>
      <c r="C1907" s="261" t="s">
        <v>5</v>
      </c>
      <c r="D1907" s="266">
        <v>6.16</v>
      </c>
    </row>
    <row r="1908" spans="1:4" ht="31.5">
      <c r="A1908" s="261">
        <v>1917279</v>
      </c>
      <c r="B1908" s="265" t="s">
        <v>13206</v>
      </c>
      <c r="C1908" s="261" t="s">
        <v>5</v>
      </c>
      <c r="D1908" s="266">
        <v>6.56</v>
      </c>
    </row>
    <row r="1909" spans="1:4" ht="31.5">
      <c r="A1909" s="261">
        <v>1917280</v>
      </c>
      <c r="B1909" s="265" t="s">
        <v>13207</v>
      </c>
      <c r="C1909" s="261" t="s">
        <v>5</v>
      </c>
      <c r="D1909" s="266">
        <v>6.92</v>
      </c>
    </row>
    <row r="1910" spans="1:4" ht="31.5">
      <c r="A1910" s="261">
        <v>1917281</v>
      </c>
      <c r="B1910" s="265" t="s">
        <v>13208</v>
      </c>
      <c r="C1910" s="261" t="s">
        <v>5</v>
      </c>
      <c r="D1910" s="266">
        <v>7.43</v>
      </c>
    </row>
    <row r="1911" spans="1:4" ht="31.5">
      <c r="A1911" s="261">
        <v>1917282</v>
      </c>
      <c r="B1911" s="265" t="s">
        <v>13209</v>
      </c>
      <c r="C1911" s="261" t="s">
        <v>5</v>
      </c>
      <c r="D1911" s="266">
        <v>7.78</v>
      </c>
    </row>
    <row r="1912" spans="1:4" ht="31.5">
      <c r="A1912" s="261">
        <v>1917283</v>
      </c>
      <c r="B1912" s="265" t="s">
        <v>13210</v>
      </c>
      <c r="C1912" s="261" t="s">
        <v>5</v>
      </c>
      <c r="D1912" s="266">
        <v>8.16</v>
      </c>
    </row>
    <row r="1913" spans="1:4" ht="31.5">
      <c r="A1913" s="261">
        <v>1917284</v>
      </c>
      <c r="B1913" s="265" t="s">
        <v>13211</v>
      </c>
      <c r="C1913" s="261" t="s">
        <v>5</v>
      </c>
      <c r="D1913" s="266">
        <v>8.5</v>
      </c>
    </row>
    <row r="1914" spans="1:4" ht="31.5">
      <c r="A1914" s="261">
        <v>1917285</v>
      </c>
      <c r="B1914" s="265" t="s">
        <v>13212</v>
      </c>
      <c r="C1914" s="261" t="s">
        <v>5</v>
      </c>
      <c r="D1914" s="266">
        <v>8.8800000000000008</v>
      </c>
    </row>
    <row r="1915" spans="1:4" ht="31.5">
      <c r="A1915" s="261">
        <v>1917286</v>
      </c>
      <c r="B1915" s="265" t="s">
        <v>13213</v>
      </c>
      <c r="C1915" s="261" t="s">
        <v>5</v>
      </c>
      <c r="D1915" s="266">
        <v>9.5</v>
      </c>
    </row>
    <row r="1916" spans="1:4" ht="31.5">
      <c r="A1916" s="261">
        <v>1917287</v>
      </c>
      <c r="B1916" s="265" t="s">
        <v>13214</v>
      </c>
      <c r="C1916" s="261" t="s">
        <v>5</v>
      </c>
      <c r="D1916" s="266">
        <v>9.92</v>
      </c>
    </row>
    <row r="1917" spans="1:4" ht="31.5">
      <c r="A1917" s="261">
        <v>1917288</v>
      </c>
      <c r="B1917" s="265" t="s">
        <v>13215</v>
      </c>
      <c r="C1917" s="261" t="s">
        <v>5</v>
      </c>
      <c r="D1917" s="266">
        <v>10.35</v>
      </c>
    </row>
    <row r="1918" spans="1:4" ht="31.5">
      <c r="A1918" s="261">
        <v>1917289</v>
      </c>
      <c r="B1918" s="265" t="s">
        <v>13216</v>
      </c>
      <c r="C1918" s="261" t="s">
        <v>5</v>
      </c>
      <c r="D1918" s="266">
        <v>10.83</v>
      </c>
    </row>
    <row r="1919" spans="1:4" ht="31.5">
      <c r="A1919" s="261">
        <v>1917290</v>
      </c>
      <c r="B1919" s="265" t="s">
        <v>13217</v>
      </c>
      <c r="C1919" s="261" t="s">
        <v>5</v>
      </c>
      <c r="D1919" s="266">
        <v>11.32</v>
      </c>
    </row>
    <row r="1920" spans="1:4" ht="31.5">
      <c r="A1920" s="261">
        <v>1917291</v>
      </c>
      <c r="B1920" s="265" t="s">
        <v>13218</v>
      </c>
      <c r="C1920" s="261" t="s">
        <v>5</v>
      </c>
      <c r="D1920" s="266">
        <v>12.01</v>
      </c>
    </row>
    <row r="1921" spans="1:4" ht="31.5">
      <c r="A1921" s="261">
        <v>1917292</v>
      </c>
      <c r="B1921" s="265" t="s">
        <v>13219</v>
      </c>
      <c r="C1921" s="261" t="s">
        <v>5</v>
      </c>
      <c r="D1921" s="266">
        <v>12.55</v>
      </c>
    </row>
    <row r="1922" spans="1:4" ht="31.5">
      <c r="A1922" s="261">
        <v>1917293</v>
      </c>
      <c r="B1922" s="265" t="s">
        <v>13220</v>
      </c>
      <c r="C1922" s="261" t="s">
        <v>5</v>
      </c>
      <c r="D1922" s="266">
        <v>13.13</v>
      </c>
    </row>
    <row r="1923" spans="1:4" ht="31.5">
      <c r="A1923" s="261">
        <v>1917294</v>
      </c>
      <c r="B1923" s="265" t="s">
        <v>13221</v>
      </c>
      <c r="C1923" s="261" t="s">
        <v>5</v>
      </c>
      <c r="D1923" s="266">
        <v>13.86</v>
      </c>
    </row>
    <row r="1924" spans="1:4" ht="31.5">
      <c r="A1924" s="261">
        <v>1917295</v>
      </c>
      <c r="B1924" s="265" t="s">
        <v>13222</v>
      </c>
      <c r="C1924" s="261" t="s">
        <v>5</v>
      </c>
      <c r="D1924" s="266">
        <v>14.61</v>
      </c>
    </row>
    <row r="1925" spans="1:4" ht="31.5">
      <c r="A1925" s="261">
        <v>1917296</v>
      </c>
      <c r="B1925" s="265" t="s">
        <v>13223</v>
      </c>
      <c r="C1925" s="261" t="s">
        <v>5</v>
      </c>
      <c r="D1925" s="266">
        <v>15.62</v>
      </c>
    </row>
    <row r="1926" spans="1:4" ht="31.5">
      <c r="A1926" s="261">
        <v>1917297</v>
      </c>
      <c r="B1926" s="265" t="s">
        <v>13224</v>
      </c>
      <c r="C1926" s="261" t="s">
        <v>5</v>
      </c>
      <c r="D1926" s="266">
        <v>16.579999999999998</v>
      </c>
    </row>
    <row r="1927" spans="1:4" ht="31.5">
      <c r="A1927" s="261">
        <v>1917298</v>
      </c>
      <c r="B1927" s="265" t="s">
        <v>13225</v>
      </c>
      <c r="C1927" s="261" t="s">
        <v>5</v>
      </c>
      <c r="D1927" s="266">
        <v>17.61</v>
      </c>
    </row>
    <row r="1928" spans="1:4" ht="31.5">
      <c r="A1928" s="261">
        <v>1917271</v>
      </c>
      <c r="B1928" s="265" t="s">
        <v>13226</v>
      </c>
      <c r="C1928" s="261" t="s">
        <v>5</v>
      </c>
      <c r="D1928" s="266">
        <v>4.05</v>
      </c>
    </row>
    <row r="1929" spans="1:4" ht="31.5">
      <c r="A1929" s="261">
        <v>1917299</v>
      </c>
      <c r="B1929" s="265" t="s">
        <v>13227</v>
      </c>
      <c r="C1929" s="261" t="s">
        <v>5</v>
      </c>
      <c r="D1929" s="266">
        <v>18.829999999999998</v>
      </c>
    </row>
    <row r="1930" spans="1:4" ht="31.5">
      <c r="A1930" s="261">
        <v>1917300</v>
      </c>
      <c r="B1930" s="265" t="s">
        <v>13228</v>
      </c>
      <c r="C1930" s="261" t="s">
        <v>5</v>
      </c>
      <c r="D1930" s="266">
        <v>20.170000000000002</v>
      </c>
    </row>
    <row r="1931" spans="1:4" ht="31.5">
      <c r="A1931" s="261">
        <v>1917301</v>
      </c>
      <c r="B1931" s="265" t="s">
        <v>13229</v>
      </c>
      <c r="C1931" s="261" t="s">
        <v>5</v>
      </c>
      <c r="D1931" s="266">
        <v>21.93</v>
      </c>
    </row>
    <row r="1932" spans="1:4" ht="31.5">
      <c r="A1932" s="261">
        <v>1917302</v>
      </c>
      <c r="B1932" s="265" t="s">
        <v>13230</v>
      </c>
      <c r="C1932" s="261" t="s">
        <v>5</v>
      </c>
      <c r="D1932" s="266">
        <v>23.61</v>
      </c>
    </row>
    <row r="1933" spans="1:4" ht="31.5">
      <c r="A1933" s="261">
        <v>1917303</v>
      </c>
      <c r="B1933" s="265" t="s">
        <v>13231</v>
      </c>
      <c r="C1933" s="261" t="s">
        <v>5</v>
      </c>
      <c r="D1933" s="266">
        <v>25.18</v>
      </c>
    </row>
    <row r="1934" spans="1:4" ht="31.5">
      <c r="A1934" s="261">
        <v>1917304</v>
      </c>
      <c r="B1934" s="265" t="s">
        <v>13232</v>
      </c>
      <c r="C1934" s="261" t="s">
        <v>5</v>
      </c>
      <c r="D1934" s="266">
        <v>26.71</v>
      </c>
    </row>
    <row r="1935" spans="1:4" ht="31.5">
      <c r="A1935" s="261">
        <v>1917305</v>
      </c>
      <c r="B1935" s="265" t="s">
        <v>13233</v>
      </c>
      <c r="C1935" s="261" t="s">
        <v>5</v>
      </c>
      <c r="D1935" s="266">
        <v>28.42</v>
      </c>
    </row>
    <row r="1936" spans="1:4" ht="31.5">
      <c r="A1936" s="261">
        <v>1917306</v>
      </c>
      <c r="B1936" s="265" t="s">
        <v>13234</v>
      </c>
      <c r="C1936" s="261" t="s">
        <v>5</v>
      </c>
      <c r="D1936" s="266">
        <v>30.5</v>
      </c>
    </row>
    <row r="1937" spans="1:4" ht="31.5">
      <c r="A1937" s="261">
        <v>1917307</v>
      </c>
      <c r="B1937" s="265" t="s">
        <v>13235</v>
      </c>
      <c r="C1937" s="261" t="s">
        <v>5</v>
      </c>
      <c r="D1937" s="266">
        <v>32.049999999999997</v>
      </c>
    </row>
    <row r="1938" spans="1:4" ht="31.5">
      <c r="A1938" s="261">
        <v>1917272</v>
      </c>
      <c r="B1938" s="265" t="s">
        <v>13236</v>
      </c>
      <c r="C1938" s="261" t="s">
        <v>5</v>
      </c>
      <c r="D1938" s="266">
        <v>4.24</v>
      </c>
    </row>
    <row r="1939" spans="1:4" ht="31.5">
      <c r="A1939" s="261">
        <v>1917273</v>
      </c>
      <c r="B1939" s="265" t="s">
        <v>13237</v>
      </c>
      <c r="C1939" s="261" t="s">
        <v>5</v>
      </c>
      <c r="D1939" s="266">
        <v>4.46</v>
      </c>
    </row>
    <row r="1940" spans="1:4" ht="31.5">
      <c r="A1940" s="261">
        <v>1917729</v>
      </c>
      <c r="B1940" s="265" t="s">
        <v>13238</v>
      </c>
      <c r="C1940" s="261" t="s">
        <v>5</v>
      </c>
      <c r="D1940" s="266">
        <v>3.99</v>
      </c>
    </row>
    <row r="1941" spans="1:4" ht="31.5">
      <c r="A1941" s="261">
        <v>1917367</v>
      </c>
      <c r="B1941" s="265" t="s">
        <v>13239</v>
      </c>
      <c r="C1941" s="261" t="s">
        <v>5</v>
      </c>
      <c r="D1941" s="266">
        <v>4.55</v>
      </c>
    </row>
    <row r="1942" spans="1:4" ht="31.5">
      <c r="A1942" s="261">
        <v>1917368</v>
      </c>
      <c r="B1942" s="265" t="s">
        <v>13240</v>
      </c>
      <c r="C1942" s="261" t="s">
        <v>5</v>
      </c>
      <c r="D1942" s="266">
        <v>4.8600000000000003</v>
      </c>
    </row>
    <row r="1943" spans="1:4" ht="31.5">
      <c r="A1943" s="261">
        <v>1917369</v>
      </c>
      <c r="B1943" s="265" t="s">
        <v>13241</v>
      </c>
      <c r="C1943" s="261" t="s">
        <v>5</v>
      </c>
      <c r="D1943" s="266">
        <v>5.32</v>
      </c>
    </row>
    <row r="1944" spans="1:4" ht="31.5">
      <c r="A1944" s="261">
        <v>1917370</v>
      </c>
      <c r="B1944" s="265" t="s">
        <v>13242</v>
      </c>
      <c r="C1944" s="261" t="s">
        <v>5</v>
      </c>
      <c r="D1944" s="266">
        <v>5.6</v>
      </c>
    </row>
    <row r="1945" spans="1:4" ht="31.5">
      <c r="A1945" s="261">
        <v>1917371</v>
      </c>
      <c r="B1945" s="265" t="s">
        <v>13243</v>
      </c>
      <c r="C1945" s="261" t="s">
        <v>5</v>
      </c>
      <c r="D1945" s="266">
        <v>5.87</v>
      </c>
    </row>
    <row r="1946" spans="1:4" ht="31.5">
      <c r="A1946" s="261">
        <v>1917372</v>
      </c>
      <c r="B1946" s="265" t="s">
        <v>13244</v>
      </c>
      <c r="C1946" s="261" t="s">
        <v>5</v>
      </c>
      <c r="D1946" s="266">
        <v>6.14</v>
      </c>
    </row>
    <row r="1947" spans="1:4" ht="31.5">
      <c r="A1947" s="261">
        <v>1917373</v>
      </c>
      <c r="B1947" s="265" t="s">
        <v>13245</v>
      </c>
      <c r="C1947" s="261" t="s">
        <v>5</v>
      </c>
      <c r="D1947" s="266">
        <v>6.36</v>
      </c>
    </row>
    <row r="1948" spans="1:4" ht="31.5">
      <c r="A1948" s="261">
        <v>1917374</v>
      </c>
      <c r="B1948" s="265" t="s">
        <v>13246</v>
      </c>
      <c r="C1948" s="261" t="s">
        <v>5</v>
      </c>
      <c r="D1948" s="266">
        <v>6.87</v>
      </c>
    </row>
    <row r="1949" spans="1:4" ht="31.5">
      <c r="A1949" s="261">
        <v>1917375</v>
      </c>
      <c r="B1949" s="265" t="s">
        <v>13247</v>
      </c>
      <c r="C1949" s="261" t="s">
        <v>5</v>
      </c>
      <c r="D1949" s="266">
        <v>7.12</v>
      </c>
    </row>
    <row r="1950" spans="1:4" ht="31.5">
      <c r="A1950" s="261">
        <v>1917376</v>
      </c>
      <c r="B1950" s="265" t="s">
        <v>13248</v>
      </c>
      <c r="C1950" s="261" t="s">
        <v>5</v>
      </c>
      <c r="D1950" s="266">
        <v>7.37</v>
      </c>
    </row>
    <row r="1951" spans="1:4" ht="31.5">
      <c r="A1951" s="261">
        <v>1917377</v>
      </c>
      <c r="B1951" s="265" t="s">
        <v>13249</v>
      </c>
      <c r="C1951" s="261" t="s">
        <v>5</v>
      </c>
      <c r="D1951" s="266">
        <v>7.63</v>
      </c>
    </row>
    <row r="1952" spans="1:4" ht="31.5">
      <c r="A1952" s="261">
        <v>1917378</v>
      </c>
      <c r="B1952" s="265" t="s">
        <v>13250</v>
      </c>
      <c r="C1952" s="261" t="s">
        <v>5</v>
      </c>
      <c r="D1952" s="266">
        <v>7.89</v>
      </c>
    </row>
    <row r="1953" spans="1:4" ht="31.5">
      <c r="A1953" s="261">
        <v>1917379</v>
      </c>
      <c r="B1953" s="265" t="s">
        <v>13251</v>
      </c>
      <c r="C1953" s="261" t="s">
        <v>5</v>
      </c>
      <c r="D1953" s="266">
        <v>8.42</v>
      </c>
    </row>
    <row r="1954" spans="1:4" ht="31.5">
      <c r="A1954" s="261">
        <v>1917380</v>
      </c>
      <c r="B1954" s="265" t="s">
        <v>13252</v>
      </c>
      <c r="C1954" s="261" t="s">
        <v>5</v>
      </c>
      <c r="D1954" s="266">
        <v>8.74</v>
      </c>
    </row>
    <row r="1955" spans="1:4" ht="31.5">
      <c r="A1955" s="261">
        <v>1917381</v>
      </c>
      <c r="B1955" s="265" t="s">
        <v>13253</v>
      </c>
      <c r="C1955" s="261" t="s">
        <v>5</v>
      </c>
      <c r="D1955" s="266">
        <v>9.06</v>
      </c>
    </row>
    <row r="1956" spans="1:4" ht="31.5">
      <c r="A1956" s="261">
        <v>1917382</v>
      </c>
      <c r="B1956" s="265" t="s">
        <v>13254</v>
      </c>
      <c r="C1956" s="261" t="s">
        <v>5</v>
      </c>
      <c r="D1956" s="266">
        <v>9.4499999999999993</v>
      </c>
    </row>
    <row r="1957" spans="1:4" ht="31.5">
      <c r="A1957" s="261">
        <v>1917383</v>
      </c>
      <c r="B1957" s="265" t="s">
        <v>13255</v>
      </c>
      <c r="C1957" s="261" t="s">
        <v>5</v>
      </c>
      <c r="D1957" s="266">
        <v>9.8000000000000007</v>
      </c>
    </row>
    <row r="1958" spans="1:4" ht="31.5">
      <c r="A1958" s="261">
        <v>1917384</v>
      </c>
      <c r="B1958" s="265" t="s">
        <v>13256</v>
      </c>
      <c r="C1958" s="261" t="s">
        <v>5</v>
      </c>
      <c r="D1958" s="266">
        <v>10.39</v>
      </c>
    </row>
    <row r="1959" spans="1:4" ht="31.5">
      <c r="A1959" s="261">
        <v>1917385</v>
      </c>
      <c r="B1959" s="265" t="s">
        <v>13257</v>
      </c>
      <c r="C1959" s="261" t="s">
        <v>5</v>
      </c>
      <c r="D1959" s="266">
        <v>10.82</v>
      </c>
    </row>
    <row r="1960" spans="1:4" ht="31.5">
      <c r="A1960" s="261">
        <v>1917386</v>
      </c>
      <c r="B1960" s="265" t="s">
        <v>13258</v>
      </c>
      <c r="C1960" s="261" t="s">
        <v>5</v>
      </c>
      <c r="D1960" s="266">
        <v>11.26</v>
      </c>
    </row>
    <row r="1961" spans="1:4" ht="31.5">
      <c r="A1961" s="261">
        <v>1917387</v>
      </c>
      <c r="B1961" s="265" t="s">
        <v>13259</v>
      </c>
      <c r="C1961" s="261" t="s">
        <v>5</v>
      </c>
      <c r="D1961" s="266">
        <v>11.73</v>
      </c>
    </row>
    <row r="1962" spans="1:4" ht="31.5">
      <c r="A1962" s="261">
        <v>1917388</v>
      </c>
      <c r="B1962" s="265" t="s">
        <v>13260</v>
      </c>
      <c r="C1962" s="261" t="s">
        <v>5</v>
      </c>
      <c r="D1962" s="266">
        <v>12.22</v>
      </c>
    </row>
    <row r="1963" spans="1:4" ht="31.5">
      <c r="A1963" s="261">
        <v>1917389</v>
      </c>
      <c r="B1963" s="265" t="s">
        <v>13261</v>
      </c>
      <c r="C1963" s="261" t="s">
        <v>5</v>
      </c>
      <c r="D1963" s="266">
        <v>12.96</v>
      </c>
    </row>
    <row r="1964" spans="1:4" ht="31.5">
      <c r="A1964" s="261">
        <v>1917390</v>
      </c>
      <c r="B1964" s="265" t="s">
        <v>13262</v>
      </c>
      <c r="C1964" s="261" t="s">
        <v>5</v>
      </c>
      <c r="D1964" s="266">
        <v>13.62</v>
      </c>
    </row>
    <row r="1965" spans="1:4" ht="31.5">
      <c r="A1965" s="261">
        <v>1917391</v>
      </c>
      <c r="B1965" s="265" t="s">
        <v>13263</v>
      </c>
      <c r="C1965" s="261" t="s">
        <v>5</v>
      </c>
      <c r="D1965" s="266">
        <v>14.34</v>
      </c>
    </row>
    <row r="1966" spans="1:4" ht="31.5">
      <c r="A1966" s="261">
        <v>1917364</v>
      </c>
      <c r="B1966" s="265" t="s">
        <v>13264</v>
      </c>
      <c r="C1966" s="261" t="s">
        <v>5</v>
      </c>
      <c r="D1966" s="266">
        <v>3.64</v>
      </c>
    </row>
    <row r="1967" spans="1:4" ht="31.5">
      <c r="A1967" s="261">
        <v>1917392</v>
      </c>
      <c r="B1967" s="265" t="s">
        <v>13265</v>
      </c>
      <c r="C1967" s="261" t="s">
        <v>5</v>
      </c>
      <c r="D1967" s="266">
        <v>15.22</v>
      </c>
    </row>
    <row r="1968" spans="1:4" ht="31.5">
      <c r="A1968" s="261">
        <v>1917393</v>
      </c>
      <c r="B1968" s="265" t="s">
        <v>13266</v>
      </c>
      <c r="C1968" s="261" t="s">
        <v>5</v>
      </c>
      <c r="D1968" s="266">
        <v>16.149999999999999</v>
      </c>
    </row>
    <row r="1969" spans="1:4" ht="31.5">
      <c r="A1969" s="261">
        <v>1917394</v>
      </c>
      <c r="B1969" s="265" t="s">
        <v>13267</v>
      </c>
      <c r="C1969" s="261" t="s">
        <v>5</v>
      </c>
      <c r="D1969" s="266">
        <v>17.46</v>
      </c>
    </row>
    <row r="1970" spans="1:4" ht="31.5">
      <c r="A1970" s="261">
        <v>1917395</v>
      </c>
      <c r="B1970" s="265" t="s">
        <v>13268</v>
      </c>
      <c r="C1970" s="261" t="s">
        <v>5</v>
      </c>
      <c r="D1970" s="266">
        <v>18.38</v>
      </c>
    </row>
    <row r="1971" spans="1:4" ht="31.5">
      <c r="A1971" s="261">
        <v>1917396</v>
      </c>
      <c r="B1971" s="265" t="s">
        <v>13269</v>
      </c>
      <c r="C1971" s="261" t="s">
        <v>5</v>
      </c>
      <c r="D1971" s="266">
        <v>19.440000000000001</v>
      </c>
    </row>
    <row r="1972" spans="1:4" ht="31.5">
      <c r="A1972" s="261">
        <v>1917397</v>
      </c>
      <c r="B1972" s="265" t="s">
        <v>13270</v>
      </c>
      <c r="C1972" s="261" t="s">
        <v>5</v>
      </c>
      <c r="D1972" s="266">
        <v>20.63</v>
      </c>
    </row>
    <row r="1973" spans="1:4" ht="31.5">
      <c r="A1973" s="261">
        <v>1917398</v>
      </c>
      <c r="B1973" s="265" t="s">
        <v>13271</v>
      </c>
      <c r="C1973" s="261" t="s">
        <v>5</v>
      </c>
      <c r="D1973" s="266">
        <v>21.7</v>
      </c>
    </row>
    <row r="1974" spans="1:4" ht="31.5">
      <c r="A1974" s="261">
        <v>1917399</v>
      </c>
      <c r="B1974" s="265" t="s">
        <v>13272</v>
      </c>
      <c r="C1974" s="261" t="s">
        <v>5</v>
      </c>
      <c r="D1974" s="266">
        <v>23.17</v>
      </c>
    </row>
    <row r="1975" spans="1:4" ht="31.5">
      <c r="A1975" s="261">
        <v>1917400</v>
      </c>
      <c r="B1975" s="265" t="s">
        <v>13273</v>
      </c>
      <c r="C1975" s="261" t="s">
        <v>5</v>
      </c>
      <c r="D1975" s="266">
        <v>24.53</v>
      </c>
    </row>
    <row r="1976" spans="1:4" ht="31.5">
      <c r="A1976" s="261">
        <v>1917401</v>
      </c>
      <c r="B1976" s="265" t="s">
        <v>13274</v>
      </c>
      <c r="C1976" s="261" t="s">
        <v>5</v>
      </c>
      <c r="D1976" s="266">
        <v>25.76</v>
      </c>
    </row>
    <row r="1977" spans="1:4" ht="31.5">
      <c r="A1977" s="261">
        <v>1917365</v>
      </c>
      <c r="B1977" s="265" t="s">
        <v>13275</v>
      </c>
      <c r="C1977" s="261" t="s">
        <v>5</v>
      </c>
      <c r="D1977" s="266">
        <v>3.99</v>
      </c>
    </row>
    <row r="1978" spans="1:4" ht="31.5">
      <c r="A1978" s="261">
        <v>1917402</v>
      </c>
      <c r="B1978" s="265" t="s">
        <v>13276</v>
      </c>
      <c r="C1978" s="261" t="s">
        <v>5</v>
      </c>
      <c r="D1978" s="266">
        <v>27.2</v>
      </c>
    </row>
    <row r="1979" spans="1:4" ht="31.5">
      <c r="A1979" s="261">
        <v>1917403</v>
      </c>
      <c r="B1979" s="265" t="s">
        <v>13277</v>
      </c>
      <c r="C1979" s="261" t="s">
        <v>5</v>
      </c>
      <c r="D1979" s="266">
        <v>28.8</v>
      </c>
    </row>
    <row r="1980" spans="1:4" ht="31.5">
      <c r="A1980" s="261">
        <v>1917404</v>
      </c>
      <c r="B1980" s="265" t="s">
        <v>13278</v>
      </c>
      <c r="C1980" s="261" t="s">
        <v>5</v>
      </c>
      <c r="D1980" s="266">
        <v>30.46</v>
      </c>
    </row>
    <row r="1981" spans="1:4" ht="31.5">
      <c r="A1981" s="261">
        <v>1917405</v>
      </c>
      <c r="B1981" s="265" t="s">
        <v>13279</v>
      </c>
      <c r="C1981" s="261" t="s">
        <v>5</v>
      </c>
      <c r="D1981" s="266">
        <v>32.03</v>
      </c>
    </row>
    <row r="1982" spans="1:4" ht="31.5">
      <c r="A1982" s="261">
        <v>1917406</v>
      </c>
      <c r="B1982" s="265" t="s">
        <v>13280</v>
      </c>
      <c r="C1982" s="261" t="s">
        <v>5</v>
      </c>
      <c r="D1982" s="266">
        <v>33.78</v>
      </c>
    </row>
    <row r="1983" spans="1:4" ht="31.5">
      <c r="A1983" s="261">
        <v>1917407</v>
      </c>
      <c r="B1983" s="265" t="s">
        <v>13281</v>
      </c>
      <c r="C1983" s="261" t="s">
        <v>5</v>
      </c>
      <c r="D1983" s="266">
        <v>35.76</v>
      </c>
    </row>
    <row r="1984" spans="1:4" ht="31.5">
      <c r="A1984" s="261">
        <v>1917408</v>
      </c>
      <c r="B1984" s="265" t="s">
        <v>13282</v>
      </c>
      <c r="C1984" s="261" t="s">
        <v>5</v>
      </c>
      <c r="D1984" s="266">
        <v>37.979999999999997</v>
      </c>
    </row>
    <row r="1985" spans="1:4" ht="31.5">
      <c r="A1985" s="261">
        <v>1917409</v>
      </c>
      <c r="B1985" s="265" t="s">
        <v>13283</v>
      </c>
      <c r="C1985" s="261" t="s">
        <v>5</v>
      </c>
      <c r="D1985" s="266">
        <v>39.74</v>
      </c>
    </row>
    <row r="1986" spans="1:4" ht="31.5">
      <c r="A1986" s="261">
        <v>1917410</v>
      </c>
      <c r="B1986" s="265" t="s">
        <v>13284</v>
      </c>
      <c r="C1986" s="261" t="s">
        <v>5</v>
      </c>
      <c r="D1986" s="266">
        <v>41.34</v>
      </c>
    </row>
    <row r="1987" spans="1:4" ht="31.5">
      <c r="A1987" s="261">
        <v>1917411</v>
      </c>
      <c r="B1987" s="265" t="s">
        <v>13285</v>
      </c>
      <c r="C1987" s="261" t="s">
        <v>5</v>
      </c>
      <c r="D1987" s="266">
        <v>43.14</v>
      </c>
    </row>
    <row r="1988" spans="1:4" ht="31.5">
      <c r="A1988" s="261">
        <v>1917366</v>
      </c>
      <c r="B1988" s="265" t="s">
        <v>13286</v>
      </c>
      <c r="C1988" s="261" t="s">
        <v>5</v>
      </c>
      <c r="D1988" s="266">
        <v>4.24</v>
      </c>
    </row>
    <row r="1989" spans="1:4" ht="31.5">
      <c r="A1989" s="261">
        <v>1917732</v>
      </c>
      <c r="B1989" s="265" t="s">
        <v>13287</v>
      </c>
      <c r="C1989" s="261" t="s">
        <v>5</v>
      </c>
      <c r="D1989" s="266">
        <v>3.4</v>
      </c>
    </row>
    <row r="1990" spans="1:4">
      <c r="A1990" s="261">
        <v>1917043</v>
      </c>
      <c r="B1990" s="265" t="s">
        <v>13288</v>
      </c>
      <c r="C1990" s="261" t="s">
        <v>5</v>
      </c>
      <c r="D1990" s="266">
        <v>12.81</v>
      </c>
    </row>
    <row r="1991" spans="1:4">
      <c r="A1991" s="261">
        <v>1917044</v>
      </c>
      <c r="B1991" s="265" t="s">
        <v>13289</v>
      </c>
      <c r="C1991" s="261" t="s">
        <v>5</v>
      </c>
      <c r="D1991" s="266">
        <v>13.03</v>
      </c>
    </row>
    <row r="1992" spans="1:4">
      <c r="A1992" s="261">
        <v>1917045</v>
      </c>
      <c r="B1992" s="265" t="s">
        <v>13290</v>
      </c>
      <c r="C1992" s="261" t="s">
        <v>5</v>
      </c>
      <c r="D1992" s="266">
        <v>13.26</v>
      </c>
    </row>
    <row r="1993" spans="1:4">
      <c r="A1993" s="261">
        <v>1917046</v>
      </c>
      <c r="B1993" s="265" t="s">
        <v>13291</v>
      </c>
      <c r="C1993" s="261" t="s">
        <v>5</v>
      </c>
      <c r="D1993" s="266">
        <v>13.5</v>
      </c>
    </row>
    <row r="1994" spans="1:4">
      <c r="A1994" s="261">
        <v>1917047</v>
      </c>
      <c r="B1994" s="265" t="s">
        <v>13292</v>
      </c>
      <c r="C1994" s="261" t="s">
        <v>5</v>
      </c>
      <c r="D1994" s="266">
        <v>13.75</v>
      </c>
    </row>
    <row r="1995" spans="1:4">
      <c r="A1995" s="261">
        <v>1917048</v>
      </c>
      <c r="B1995" s="265" t="s">
        <v>13293</v>
      </c>
      <c r="C1995" s="261" t="s">
        <v>5</v>
      </c>
      <c r="D1995" s="266">
        <v>13.89</v>
      </c>
    </row>
    <row r="1996" spans="1:4">
      <c r="A1996" s="261">
        <v>1901518</v>
      </c>
      <c r="B1996" s="265" t="s">
        <v>13294</v>
      </c>
      <c r="C1996" s="261" t="s">
        <v>5</v>
      </c>
      <c r="D1996" s="266">
        <v>8.69</v>
      </c>
    </row>
    <row r="1997" spans="1:4">
      <c r="A1997" s="261">
        <v>1901519</v>
      </c>
      <c r="B1997" s="265" t="s">
        <v>13295</v>
      </c>
      <c r="C1997" s="261" t="s">
        <v>5</v>
      </c>
      <c r="D1997" s="266">
        <v>8.75</v>
      </c>
    </row>
    <row r="1998" spans="1:4">
      <c r="A1998" s="261">
        <v>1901520</v>
      </c>
      <c r="B1998" s="265" t="s">
        <v>13296</v>
      </c>
      <c r="C1998" s="261" t="s">
        <v>5</v>
      </c>
      <c r="D1998" s="266">
        <v>8.82</v>
      </c>
    </row>
    <row r="1999" spans="1:4">
      <c r="A1999" s="261">
        <v>1901521</v>
      </c>
      <c r="B1999" s="265" t="s">
        <v>13297</v>
      </c>
      <c r="C1999" s="261" t="s">
        <v>5</v>
      </c>
      <c r="D1999" s="266">
        <v>8.89</v>
      </c>
    </row>
    <row r="2000" spans="1:4">
      <c r="A2000" s="261">
        <v>1901522</v>
      </c>
      <c r="B2000" s="265" t="s">
        <v>13298</v>
      </c>
      <c r="C2000" s="261" t="s">
        <v>5</v>
      </c>
      <c r="D2000" s="266">
        <v>8.9700000000000006</v>
      </c>
    </row>
    <row r="2001" spans="1:4">
      <c r="A2001" s="261">
        <v>1901517</v>
      </c>
      <c r="B2001" s="265" t="s">
        <v>13299</v>
      </c>
      <c r="C2001" s="261" t="s">
        <v>5</v>
      </c>
      <c r="D2001" s="266">
        <v>9.01</v>
      </c>
    </row>
    <row r="2002" spans="1:4">
      <c r="A2002" s="261">
        <v>1901523</v>
      </c>
      <c r="B2002" s="265" t="s">
        <v>13300</v>
      </c>
      <c r="C2002" s="261" t="s">
        <v>5</v>
      </c>
      <c r="D2002" s="266">
        <v>11.55</v>
      </c>
    </row>
    <row r="2003" spans="1:4">
      <c r="A2003" s="261">
        <v>1901524</v>
      </c>
      <c r="B2003" s="265" t="s">
        <v>13301</v>
      </c>
      <c r="C2003" s="261" t="s">
        <v>5</v>
      </c>
      <c r="D2003" s="266">
        <v>11.61</v>
      </c>
    </row>
    <row r="2004" spans="1:4">
      <c r="A2004" s="261">
        <v>1901525</v>
      </c>
      <c r="B2004" s="265" t="s">
        <v>13302</v>
      </c>
      <c r="C2004" s="261" t="s">
        <v>5</v>
      </c>
      <c r="D2004" s="266">
        <v>11.67</v>
      </c>
    </row>
    <row r="2005" spans="1:4">
      <c r="A2005" s="261">
        <v>1901526</v>
      </c>
      <c r="B2005" s="265" t="s">
        <v>13303</v>
      </c>
      <c r="C2005" s="261" t="s">
        <v>5</v>
      </c>
      <c r="D2005" s="266">
        <v>11.74</v>
      </c>
    </row>
    <row r="2006" spans="1:4">
      <c r="A2006" s="261">
        <v>1901527</v>
      </c>
      <c r="B2006" s="265" t="s">
        <v>13304</v>
      </c>
      <c r="C2006" s="261" t="s">
        <v>5</v>
      </c>
      <c r="D2006" s="266">
        <v>11.81</v>
      </c>
    </row>
    <row r="2007" spans="1:4">
      <c r="A2007" s="261">
        <v>1901528</v>
      </c>
      <c r="B2007" s="265" t="s">
        <v>13305</v>
      </c>
      <c r="C2007" s="261" t="s">
        <v>5</v>
      </c>
      <c r="D2007" s="266">
        <v>11.85</v>
      </c>
    </row>
    <row r="2008" spans="1:4">
      <c r="A2008" s="261">
        <v>1917079</v>
      </c>
      <c r="B2008" s="265" t="s">
        <v>13306</v>
      </c>
      <c r="C2008" s="261" t="s">
        <v>5</v>
      </c>
      <c r="D2008" s="266">
        <v>11.31</v>
      </c>
    </row>
    <row r="2009" spans="1:4">
      <c r="A2009" s="261">
        <v>1917080</v>
      </c>
      <c r="B2009" s="265" t="s">
        <v>13307</v>
      </c>
      <c r="C2009" s="261" t="s">
        <v>5</v>
      </c>
      <c r="D2009" s="266">
        <v>11.45</v>
      </c>
    </row>
    <row r="2010" spans="1:4">
      <c r="A2010" s="261">
        <v>1917081</v>
      </c>
      <c r="B2010" s="265" t="s">
        <v>13308</v>
      </c>
      <c r="C2010" s="261" t="s">
        <v>5</v>
      </c>
      <c r="D2010" s="266">
        <v>11.6</v>
      </c>
    </row>
    <row r="2011" spans="1:4">
      <c r="A2011" s="261">
        <v>1917082</v>
      </c>
      <c r="B2011" s="265" t="s">
        <v>13309</v>
      </c>
      <c r="C2011" s="261" t="s">
        <v>5</v>
      </c>
      <c r="D2011" s="266">
        <v>11.74</v>
      </c>
    </row>
    <row r="2012" spans="1:4">
      <c r="A2012" s="261">
        <v>1917083</v>
      </c>
      <c r="B2012" s="265" t="s">
        <v>13310</v>
      </c>
      <c r="C2012" s="261" t="s">
        <v>5</v>
      </c>
      <c r="D2012" s="266">
        <v>11.9</v>
      </c>
    </row>
    <row r="2013" spans="1:4">
      <c r="A2013" s="261">
        <v>1917084</v>
      </c>
      <c r="B2013" s="265" t="s">
        <v>13311</v>
      </c>
      <c r="C2013" s="261" t="s">
        <v>5</v>
      </c>
      <c r="D2013" s="266">
        <v>11.99</v>
      </c>
    </row>
    <row r="2014" spans="1:4">
      <c r="A2014" s="261">
        <v>1901529</v>
      </c>
      <c r="B2014" s="265" t="s">
        <v>13312</v>
      </c>
      <c r="C2014" s="261" t="s">
        <v>5</v>
      </c>
      <c r="D2014" s="266">
        <v>14.47</v>
      </c>
    </row>
    <row r="2015" spans="1:4">
      <c r="A2015" s="261">
        <v>1901530</v>
      </c>
      <c r="B2015" s="265" t="s">
        <v>13313</v>
      </c>
      <c r="C2015" s="261" t="s">
        <v>5</v>
      </c>
      <c r="D2015" s="266">
        <v>14.53</v>
      </c>
    </row>
    <row r="2016" spans="1:4">
      <c r="A2016" s="261">
        <v>1901531</v>
      </c>
      <c r="B2016" s="265" t="s">
        <v>13314</v>
      </c>
      <c r="C2016" s="261" t="s">
        <v>5</v>
      </c>
      <c r="D2016" s="266">
        <v>14.6</v>
      </c>
    </row>
    <row r="2017" spans="1:4">
      <c r="A2017" s="261">
        <v>1901532</v>
      </c>
      <c r="B2017" s="265" t="s">
        <v>13315</v>
      </c>
      <c r="C2017" s="261" t="s">
        <v>5</v>
      </c>
      <c r="D2017" s="266">
        <v>14.66</v>
      </c>
    </row>
    <row r="2018" spans="1:4">
      <c r="A2018" s="261">
        <v>1901533</v>
      </c>
      <c r="B2018" s="265" t="s">
        <v>13316</v>
      </c>
      <c r="C2018" s="261" t="s">
        <v>5</v>
      </c>
      <c r="D2018" s="266">
        <v>14.73</v>
      </c>
    </row>
    <row r="2019" spans="1:4">
      <c r="A2019" s="261">
        <v>1901534</v>
      </c>
      <c r="B2019" s="265" t="s">
        <v>13317</v>
      </c>
      <c r="C2019" s="261" t="s">
        <v>5</v>
      </c>
      <c r="D2019" s="266">
        <v>14.77</v>
      </c>
    </row>
    <row r="2020" spans="1:4">
      <c r="A2020" s="261">
        <v>1917115</v>
      </c>
      <c r="B2020" s="265" t="s">
        <v>13318</v>
      </c>
      <c r="C2020" s="261" t="s">
        <v>5</v>
      </c>
      <c r="D2020" s="266">
        <v>10.63</v>
      </c>
    </row>
    <row r="2021" spans="1:4">
      <c r="A2021" s="261">
        <v>1917116</v>
      </c>
      <c r="B2021" s="265" t="s">
        <v>13319</v>
      </c>
      <c r="C2021" s="261" t="s">
        <v>5</v>
      </c>
      <c r="D2021" s="266">
        <v>10.74</v>
      </c>
    </row>
    <row r="2022" spans="1:4">
      <c r="A2022" s="261">
        <v>1917117</v>
      </c>
      <c r="B2022" s="265" t="s">
        <v>13320</v>
      </c>
      <c r="C2022" s="261" t="s">
        <v>5</v>
      </c>
      <c r="D2022" s="266">
        <v>10.86</v>
      </c>
    </row>
    <row r="2023" spans="1:4">
      <c r="A2023" s="261">
        <v>1917118</v>
      </c>
      <c r="B2023" s="265" t="s">
        <v>13321</v>
      </c>
      <c r="C2023" s="261" t="s">
        <v>5</v>
      </c>
      <c r="D2023" s="266">
        <v>10.98</v>
      </c>
    </row>
    <row r="2024" spans="1:4">
      <c r="A2024" s="261">
        <v>1917119</v>
      </c>
      <c r="B2024" s="265" t="s">
        <v>13322</v>
      </c>
      <c r="C2024" s="261" t="s">
        <v>5</v>
      </c>
      <c r="D2024" s="266">
        <v>11.11</v>
      </c>
    </row>
    <row r="2025" spans="1:4">
      <c r="A2025" s="261">
        <v>1917120</v>
      </c>
      <c r="B2025" s="265" t="s">
        <v>13323</v>
      </c>
      <c r="C2025" s="261" t="s">
        <v>5</v>
      </c>
      <c r="D2025" s="266">
        <v>11.18</v>
      </c>
    </row>
    <row r="2026" spans="1:4">
      <c r="A2026" s="261">
        <v>1917151</v>
      </c>
      <c r="B2026" s="265" t="s">
        <v>13324</v>
      </c>
      <c r="C2026" s="261" t="s">
        <v>5</v>
      </c>
      <c r="D2026" s="266">
        <v>9.92</v>
      </c>
    </row>
    <row r="2027" spans="1:4">
      <c r="A2027" s="261">
        <v>1917152</v>
      </c>
      <c r="B2027" s="265" t="s">
        <v>13325</v>
      </c>
      <c r="C2027" s="261" t="s">
        <v>5</v>
      </c>
      <c r="D2027" s="266">
        <v>10.02</v>
      </c>
    </row>
    <row r="2028" spans="1:4">
      <c r="A2028" s="261">
        <v>1917153</v>
      </c>
      <c r="B2028" s="265" t="s">
        <v>13326</v>
      </c>
      <c r="C2028" s="261" t="s">
        <v>5</v>
      </c>
      <c r="D2028" s="266">
        <v>10.119999999999999</v>
      </c>
    </row>
    <row r="2029" spans="1:4">
      <c r="A2029" s="261">
        <v>1917154</v>
      </c>
      <c r="B2029" s="265" t="s">
        <v>13327</v>
      </c>
      <c r="C2029" s="261" t="s">
        <v>5</v>
      </c>
      <c r="D2029" s="266">
        <v>10.23</v>
      </c>
    </row>
    <row r="2030" spans="1:4">
      <c r="A2030" s="261">
        <v>1917155</v>
      </c>
      <c r="B2030" s="265" t="s">
        <v>13328</v>
      </c>
      <c r="C2030" s="261" t="s">
        <v>5</v>
      </c>
      <c r="D2030" s="266">
        <v>10.34</v>
      </c>
    </row>
    <row r="2031" spans="1:4">
      <c r="A2031" s="261">
        <v>1917156</v>
      </c>
      <c r="B2031" s="265" t="s">
        <v>13329</v>
      </c>
      <c r="C2031" s="261" t="s">
        <v>5</v>
      </c>
      <c r="D2031" s="266">
        <v>10.41</v>
      </c>
    </row>
    <row r="2032" spans="1:4">
      <c r="A2032" s="261">
        <v>1917187</v>
      </c>
      <c r="B2032" s="265" t="s">
        <v>13330</v>
      </c>
      <c r="C2032" s="261" t="s">
        <v>5</v>
      </c>
      <c r="D2032" s="266">
        <v>9.25</v>
      </c>
    </row>
    <row r="2033" spans="1:4">
      <c r="A2033" s="261">
        <v>1917188</v>
      </c>
      <c r="B2033" s="265" t="s">
        <v>13331</v>
      </c>
      <c r="C2033" s="261" t="s">
        <v>5</v>
      </c>
      <c r="D2033" s="266">
        <v>9.34</v>
      </c>
    </row>
    <row r="2034" spans="1:4">
      <c r="A2034" s="261">
        <v>1917189</v>
      </c>
      <c r="B2034" s="265" t="s">
        <v>13332</v>
      </c>
      <c r="C2034" s="261" t="s">
        <v>5</v>
      </c>
      <c r="D2034" s="266">
        <v>9.43</v>
      </c>
    </row>
    <row r="2035" spans="1:4">
      <c r="A2035" s="261">
        <v>1917190</v>
      </c>
      <c r="B2035" s="265" t="s">
        <v>13333</v>
      </c>
      <c r="C2035" s="261" t="s">
        <v>5</v>
      </c>
      <c r="D2035" s="266">
        <v>9.5299999999999994</v>
      </c>
    </row>
    <row r="2036" spans="1:4">
      <c r="A2036" s="261">
        <v>1917191</v>
      </c>
      <c r="B2036" s="265" t="s">
        <v>13334</v>
      </c>
      <c r="C2036" s="261" t="s">
        <v>5</v>
      </c>
      <c r="D2036" s="266">
        <v>9.6300000000000008</v>
      </c>
    </row>
    <row r="2037" spans="1:4">
      <c r="A2037" s="261">
        <v>1917192</v>
      </c>
      <c r="B2037" s="265" t="s">
        <v>13335</v>
      </c>
      <c r="C2037" s="261" t="s">
        <v>5</v>
      </c>
      <c r="D2037" s="266">
        <v>9.68</v>
      </c>
    </row>
    <row r="2038" spans="1:4">
      <c r="A2038" s="261">
        <v>1917007</v>
      </c>
      <c r="B2038" s="265" t="s">
        <v>13336</v>
      </c>
      <c r="C2038" s="261" t="s">
        <v>5</v>
      </c>
      <c r="D2038" s="266">
        <v>17.399999999999999</v>
      </c>
    </row>
    <row r="2039" spans="1:4">
      <c r="A2039" s="261">
        <v>1917008</v>
      </c>
      <c r="B2039" s="265" t="s">
        <v>13337</v>
      </c>
      <c r="C2039" s="261" t="s">
        <v>5</v>
      </c>
      <c r="D2039" s="266">
        <v>17.72</v>
      </c>
    </row>
    <row r="2040" spans="1:4">
      <c r="A2040" s="261">
        <v>1917009</v>
      </c>
      <c r="B2040" s="265" t="s">
        <v>13338</v>
      </c>
      <c r="C2040" s="261" t="s">
        <v>5</v>
      </c>
      <c r="D2040" s="266">
        <v>18.05</v>
      </c>
    </row>
    <row r="2041" spans="1:4">
      <c r="A2041" s="261">
        <v>1917010</v>
      </c>
      <c r="B2041" s="265" t="s">
        <v>13339</v>
      </c>
      <c r="C2041" s="261" t="s">
        <v>5</v>
      </c>
      <c r="D2041" s="266">
        <v>18.39</v>
      </c>
    </row>
    <row r="2042" spans="1:4">
      <c r="A2042" s="261">
        <v>1917011</v>
      </c>
      <c r="B2042" s="265" t="s">
        <v>13340</v>
      </c>
      <c r="C2042" s="261" t="s">
        <v>5</v>
      </c>
      <c r="D2042" s="266">
        <v>18.760000000000002</v>
      </c>
    </row>
    <row r="2043" spans="1:4">
      <c r="A2043" s="261">
        <v>1917012</v>
      </c>
      <c r="B2043" s="265" t="s">
        <v>13341</v>
      </c>
      <c r="C2043" s="261" t="s">
        <v>5</v>
      </c>
      <c r="D2043" s="266">
        <v>18.95</v>
      </c>
    </row>
    <row r="2044" spans="1:4" ht="31.5">
      <c r="A2044" s="261">
        <v>1917578</v>
      </c>
      <c r="B2044" s="265" t="s">
        <v>13342</v>
      </c>
      <c r="C2044" s="261" t="s">
        <v>5</v>
      </c>
      <c r="D2044" s="266">
        <v>6.38</v>
      </c>
    </row>
    <row r="2045" spans="1:4" ht="31.5">
      <c r="A2045" s="261">
        <v>1917579</v>
      </c>
      <c r="B2045" s="265" t="s">
        <v>13343</v>
      </c>
      <c r="C2045" s="261" t="s">
        <v>5</v>
      </c>
      <c r="D2045" s="266">
        <v>6.84</v>
      </c>
    </row>
    <row r="2046" spans="1:4" ht="31.5">
      <c r="A2046" s="261">
        <v>1917580</v>
      </c>
      <c r="B2046" s="265" t="s">
        <v>13344</v>
      </c>
      <c r="C2046" s="261" t="s">
        <v>5</v>
      </c>
      <c r="D2046" s="266">
        <v>7.24</v>
      </c>
    </row>
    <row r="2047" spans="1:4" ht="31.5">
      <c r="A2047" s="261">
        <v>1917581</v>
      </c>
      <c r="B2047" s="265" t="s">
        <v>13345</v>
      </c>
      <c r="C2047" s="261" t="s">
        <v>5</v>
      </c>
      <c r="D2047" s="266">
        <v>7.68</v>
      </c>
    </row>
    <row r="2048" spans="1:4" ht="31.5">
      <c r="A2048" s="261">
        <v>1917582</v>
      </c>
      <c r="B2048" s="265" t="s">
        <v>13346</v>
      </c>
      <c r="C2048" s="261" t="s">
        <v>5</v>
      </c>
      <c r="D2048" s="266">
        <v>8.27</v>
      </c>
    </row>
    <row r="2049" spans="1:4" ht="31.5">
      <c r="A2049" s="261">
        <v>1917583</v>
      </c>
      <c r="B2049" s="265" t="s">
        <v>13347</v>
      </c>
      <c r="C2049" s="261" t="s">
        <v>5</v>
      </c>
      <c r="D2049" s="266">
        <v>8.76</v>
      </c>
    </row>
    <row r="2050" spans="1:4" ht="31.5">
      <c r="A2050" s="261">
        <v>1917584</v>
      </c>
      <c r="B2050" s="265" t="s">
        <v>13348</v>
      </c>
      <c r="C2050" s="261" t="s">
        <v>5</v>
      </c>
      <c r="D2050" s="266">
        <v>9.1999999999999993</v>
      </c>
    </row>
    <row r="2051" spans="1:4" ht="31.5">
      <c r="A2051" s="261">
        <v>1917585</v>
      </c>
      <c r="B2051" s="265" t="s">
        <v>13349</v>
      </c>
      <c r="C2051" s="261" t="s">
        <v>5</v>
      </c>
      <c r="D2051" s="266">
        <v>9.83</v>
      </c>
    </row>
    <row r="2052" spans="1:4" ht="31.5">
      <c r="A2052" s="261">
        <v>1917586</v>
      </c>
      <c r="B2052" s="265" t="s">
        <v>13350</v>
      </c>
      <c r="C2052" s="261" t="s">
        <v>5</v>
      </c>
      <c r="D2052" s="266">
        <v>10.7</v>
      </c>
    </row>
    <row r="2053" spans="1:4" ht="31.5">
      <c r="A2053" s="261">
        <v>1917587</v>
      </c>
      <c r="B2053" s="265" t="s">
        <v>13351</v>
      </c>
      <c r="C2053" s="261" t="s">
        <v>5</v>
      </c>
      <c r="D2053" s="266">
        <v>11.41</v>
      </c>
    </row>
    <row r="2054" spans="1:4" ht="31.5">
      <c r="A2054" s="261">
        <v>1917588</v>
      </c>
      <c r="B2054" s="265" t="s">
        <v>13352</v>
      </c>
      <c r="C2054" s="261" t="s">
        <v>5</v>
      </c>
      <c r="D2054" s="266">
        <v>12.2</v>
      </c>
    </row>
    <row r="2055" spans="1:4" ht="31.5">
      <c r="A2055" s="261">
        <v>1917589</v>
      </c>
      <c r="B2055" s="265" t="s">
        <v>13353</v>
      </c>
      <c r="C2055" s="261" t="s">
        <v>5</v>
      </c>
      <c r="D2055" s="266">
        <v>13.73</v>
      </c>
    </row>
    <row r="2056" spans="1:4" ht="31.5">
      <c r="A2056" s="261">
        <v>1917590</v>
      </c>
      <c r="B2056" s="265" t="s">
        <v>13354</v>
      </c>
      <c r="C2056" s="261" t="s">
        <v>5</v>
      </c>
      <c r="D2056" s="266">
        <v>15.82</v>
      </c>
    </row>
    <row r="2057" spans="1:4" ht="31.5">
      <c r="A2057" s="261">
        <v>1917591</v>
      </c>
      <c r="B2057" s="265" t="s">
        <v>13355</v>
      </c>
      <c r="C2057" s="261" t="s">
        <v>5</v>
      </c>
      <c r="D2057" s="266">
        <v>17.739999999999998</v>
      </c>
    </row>
    <row r="2058" spans="1:4" ht="31.5">
      <c r="A2058" s="261">
        <v>1917592</v>
      </c>
      <c r="B2058" s="265" t="s">
        <v>13356</v>
      </c>
      <c r="C2058" s="261" t="s">
        <v>5</v>
      </c>
      <c r="D2058" s="266">
        <v>20.149999999999999</v>
      </c>
    </row>
    <row r="2059" spans="1:4" ht="31.5">
      <c r="A2059" s="261">
        <v>1917593</v>
      </c>
      <c r="B2059" s="265" t="s">
        <v>13357</v>
      </c>
      <c r="C2059" s="261" t="s">
        <v>5</v>
      </c>
      <c r="D2059" s="266">
        <v>22.65</v>
      </c>
    </row>
    <row r="2060" spans="1:4" ht="31.5">
      <c r="A2060" s="261">
        <v>1917594</v>
      </c>
      <c r="B2060" s="265" t="s">
        <v>13358</v>
      </c>
      <c r="C2060" s="261" t="s">
        <v>5</v>
      </c>
      <c r="D2060" s="266">
        <v>25.63</v>
      </c>
    </row>
    <row r="2061" spans="1:4" ht="31.5">
      <c r="A2061" s="261">
        <v>1917595</v>
      </c>
      <c r="B2061" s="265" t="s">
        <v>13359</v>
      </c>
      <c r="C2061" s="261" t="s">
        <v>5</v>
      </c>
      <c r="D2061" s="266">
        <v>28.87</v>
      </c>
    </row>
    <row r="2062" spans="1:4" ht="31.5">
      <c r="A2062" s="261">
        <v>1917596</v>
      </c>
      <c r="B2062" s="265" t="s">
        <v>13360</v>
      </c>
      <c r="C2062" s="261" t="s">
        <v>5</v>
      </c>
      <c r="D2062" s="266">
        <v>31.8</v>
      </c>
    </row>
    <row r="2063" spans="1:4" ht="31.5">
      <c r="A2063" s="261">
        <v>1917597</v>
      </c>
      <c r="B2063" s="265" t="s">
        <v>13361</v>
      </c>
      <c r="C2063" s="261" t="s">
        <v>5</v>
      </c>
      <c r="D2063" s="266">
        <v>35.840000000000003</v>
      </c>
    </row>
    <row r="2064" spans="1:4" ht="31.5">
      <c r="A2064" s="261">
        <v>1917598</v>
      </c>
      <c r="B2064" s="265" t="s">
        <v>13362</v>
      </c>
      <c r="C2064" s="261" t="s">
        <v>5</v>
      </c>
      <c r="D2064" s="266">
        <v>39.5</v>
      </c>
    </row>
    <row r="2065" spans="1:4" ht="31.5">
      <c r="A2065" s="261">
        <v>1917599</v>
      </c>
      <c r="B2065" s="265" t="s">
        <v>13363</v>
      </c>
      <c r="C2065" s="261" t="s">
        <v>5</v>
      </c>
      <c r="D2065" s="266">
        <v>43.74</v>
      </c>
    </row>
    <row r="2066" spans="1:4" ht="31.5">
      <c r="A2066" s="261">
        <v>1917600</v>
      </c>
      <c r="B2066" s="265" t="s">
        <v>13364</v>
      </c>
      <c r="C2066" s="261" t="s">
        <v>5</v>
      </c>
      <c r="D2066" s="266">
        <v>49.14</v>
      </c>
    </row>
    <row r="2067" spans="1:4" ht="31.5">
      <c r="A2067" s="261">
        <v>1917601</v>
      </c>
      <c r="B2067" s="265" t="s">
        <v>13365</v>
      </c>
      <c r="C2067" s="261" t="s">
        <v>5</v>
      </c>
      <c r="D2067" s="266">
        <v>51.6</v>
      </c>
    </row>
    <row r="2068" spans="1:4" ht="31.5">
      <c r="A2068" s="261">
        <v>1917575</v>
      </c>
      <c r="B2068" s="265" t="s">
        <v>13366</v>
      </c>
      <c r="C2068" s="261" t="s">
        <v>5</v>
      </c>
      <c r="D2068" s="266">
        <v>4.97</v>
      </c>
    </row>
    <row r="2069" spans="1:4" ht="31.5">
      <c r="A2069" s="261">
        <v>1917576</v>
      </c>
      <c r="B2069" s="265" t="s">
        <v>13367</v>
      </c>
      <c r="C2069" s="261" t="s">
        <v>5</v>
      </c>
      <c r="D2069" s="266">
        <v>5.35</v>
      </c>
    </row>
    <row r="2070" spans="1:4" ht="31.5">
      <c r="A2070" s="261">
        <v>1917577</v>
      </c>
      <c r="B2070" s="265" t="s">
        <v>13368</v>
      </c>
      <c r="C2070" s="261" t="s">
        <v>5</v>
      </c>
      <c r="D2070" s="266">
        <v>5.79</v>
      </c>
    </row>
    <row r="2071" spans="1:4" ht="31.5">
      <c r="A2071" s="261">
        <v>1917739</v>
      </c>
      <c r="B2071" s="265" t="s">
        <v>13369</v>
      </c>
      <c r="C2071" s="261" t="s">
        <v>5</v>
      </c>
      <c r="D2071" s="266">
        <v>4.8899999999999997</v>
      </c>
    </row>
    <row r="2072" spans="1:4" ht="31.5">
      <c r="A2072" s="261">
        <v>1917253</v>
      </c>
      <c r="B2072" s="265" t="s">
        <v>13370</v>
      </c>
      <c r="C2072" s="261" t="s">
        <v>5</v>
      </c>
      <c r="D2072" s="266">
        <v>7.79</v>
      </c>
    </row>
    <row r="2073" spans="1:4" ht="31.5">
      <c r="A2073" s="261">
        <v>1917254</v>
      </c>
      <c r="B2073" s="265" t="s">
        <v>13371</v>
      </c>
      <c r="C2073" s="261" t="s">
        <v>5</v>
      </c>
      <c r="D2073" s="266">
        <v>8.33</v>
      </c>
    </row>
    <row r="2074" spans="1:4" ht="31.5">
      <c r="A2074" s="261">
        <v>1917255</v>
      </c>
      <c r="B2074" s="265" t="s">
        <v>13372</v>
      </c>
      <c r="C2074" s="261" t="s">
        <v>5</v>
      </c>
      <c r="D2074" s="266">
        <v>9.01</v>
      </c>
    </row>
    <row r="2075" spans="1:4" ht="31.5">
      <c r="A2075" s="261">
        <v>1917256</v>
      </c>
      <c r="B2075" s="265" t="s">
        <v>13373</v>
      </c>
      <c r="C2075" s="261" t="s">
        <v>5</v>
      </c>
      <c r="D2075" s="266">
        <v>9.73</v>
      </c>
    </row>
    <row r="2076" spans="1:4" ht="31.5">
      <c r="A2076" s="261">
        <v>1917257</v>
      </c>
      <c r="B2076" s="265" t="s">
        <v>13374</v>
      </c>
      <c r="C2076" s="261" t="s">
        <v>5</v>
      </c>
      <c r="D2076" s="266">
        <v>10.71</v>
      </c>
    </row>
    <row r="2077" spans="1:4" ht="31.5">
      <c r="A2077" s="261">
        <v>1917258</v>
      </c>
      <c r="B2077" s="265" t="s">
        <v>13375</v>
      </c>
      <c r="C2077" s="261" t="s">
        <v>5</v>
      </c>
      <c r="D2077" s="266">
        <v>11.7</v>
      </c>
    </row>
    <row r="2078" spans="1:4" ht="31.5">
      <c r="A2078" s="261">
        <v>1917259</v>
      </c>
      <c r="B2078" s="265" t="s">
        <v>13376</v>
      </c>
      <c r="C2078" s="261" t="s">
        <v>5</v>
      </c>
      <c r="D2078" s="266">
        <v>14.55</v>
      </c>
    </row>
    <row r="2079" spans="1:4" ht="31.5">
      <c r="A2079" s="261">
        <v>1917250</v>
      </c>
      <c r="B2079" s="265" t="s">
        <v>13377</v>
      </c>
      <c r="C2079" s="261" t="s">
        <v>5</v>
      </c>
      <c r="D2079" s="266">
        <v>5.87</v>
      </c>
    </row>
    <row r="2080" spans="1:4" ht="31.5">
      <c r="A2080" s="261">
        <v>1917251</v>
      </c>
      <c r="B2080" s="265" t="s">
        <v>13378</v>
      </c>
      <c r="C2080" s="261" t="s">
        <v>5</v>
      </c>
      <c r="D2080" s="266">
        <v>6.21</v>
      </c>
    </row>
    <row r="2081" spans="1:4" ht="31.5">
      <c r="A2081" s="261">
        <v>1917252</v>
      </c>
      <c r="B2081" s="265" t="s">
        <v>13379</v>
      </c>
      <c r="C2081" s="261" t="s">
        <v>5</v>
      </c>
      <c r="D2081" s="266">
        <v>6.93</v>
      </c>
    </row>
    <row r="2082" spans="1:4" ht="31.5">
      <c r="A2082" s="261">
        <v>1917726</v>
      </c>
      <c r="B2082" s="265" t="s">
        <v>13380</v>
      </c>
      <c r="C2082" s="261" t="s">
        <v>5</v>
      </c>
      <c r="D2082" s="266">
        <v>5.74</v>
      </c>
    </row>
    <row r="2083" spans="1:4" ht="31.5">
      <c r="A2083" s="261">
        <v>1917335</v>
      </c>
      <c r="B2083" s="265" t="s">
        <v>13381</v>
      </c>
      <c r="C2083" s="261" t="s">
        <v>5</v>
      </c>
      <c r="D2083" s="266">
        <v>5.75</v>
      </c>
    </row>
    <row r="2084" spans="1:4" ht="31.5">
      <c r="A2084" s="261">
        <v>1917336</v>
      </c>
      <c r="B2084" s="265" t="s">
        <v>13382</v>
      </c>
      <c r="C2084" s="261" t="s">
        <v>5</v>
      </c>
      <c r="D2084" s="266">
        <v>6.49</v>
      </c>
    </row>
    <row r="2085" spans="1:4" ht="31.5">
      <c r="A2085" s="261">
        <v>1917337</v>
      </c>
      <c r="B2085" s="265" t="s">
        <v>13383</v>
      </c>
      <c r="C2085" s="261" t="s">
        <v>5</v>
      </c>
      <c r="D2085" s="266">
        <v>7.08</v>
      </c>
    </row>
    <row r="2086" spans="1:4" ht="31.5">
      <c r="A2086" s="261">
        <v>1917338</v>
      </c>
      <c r="B2086" s="265" t="s">
        <v>13384</v>
      </c>
      <c r="C2086" s="261" t="s">
        <v>5</v>
      </c>
      <c r="D2086" s="266">
        <v>7.83</v>
      </c>
    </row>
    <row r="2087" spans="1:4" ht="31.5">
      <c r="A2087" s="261">
        <v>1917339</v>
      </c>
      <c r="B2087" s="265" t="s">
        <v>13385</v>
      </c>
      <c r="C2087" s="261" t="s">
        <v>5</v>
      </c>
      <c r="D2087" s="266">
        <v>8.7200000000000006</v>
      </c>
    </row>
    <row r="2088" spans="1:4" ht="31.5">
      <c r="A2088" s="261">
        <v>1917340</v>
      </c>
      <c r="B2088" s="265" t="s">
        <v>13386</v>
      </c>
      <c r="C2088" s="261" t="s">
        <v>5</v>
      </c>
      <c r="D2088" s="266">
        <v>10.130000000000001</v>
      </c>
    </row>
    <row r="2089" spans="1:4" ht="31.5">
      <c r="A2089" s="261">
        <v>1917341</v>
      </c>
      <c r="B2089" s="265" t="s">
        <v>13387</v>
      </c>
      <c r="C2089" s="261" t="s">
        <v>5</v>
      </c>
      <c r="D2089" s="266">
        <v>12.83</v>
      </c>
    </row>
    <row r="2090" spans="1:4" ht="31.5">
      <c r="A2090" s="261">
        <v>1917342</v>
      </c>
      <c r="B2090" s="265" t="s">
        <v>13388</v>
      </c>
      <c r="C2090" s="261" t="s">
        <v>5</v>
      </c>
      <c r="D2090" s="266">
        <v>15.91</v>
      </c>
    </row>
    <row r="2091" spans="1:4" ht="31.5">
      <c r="A2091" s="261">
        <v>1917343</v>
      </c>
      <c r="B2091" s="265" t="s">
        <v>13389</v>
      </c>
      <c r="C2091" s="261" t="s">
        <v>5</v>
      </c>
      <c r="D2091" s="266">
        <v>19.809999999999999</v>
      </c>
    </row>
    <row r="2092" spans="1:4" ht="31.5">
      <c r="A2092" s="261">
        <v>1917344</v>
      </c>
      <c r="B2092" s="265" t="s">
        <v>13390</v>
      </c>
      <c r="C2092" s="261" t="s">
        <v>5</v>
      </c>
      <c r="D2092" s="266">
        <v>23.92</v>
      </c>
    </row>
    <row r="2093" spans="1:4" ht="31.5">
      <c r="A2093" s="261">
        <v>1917345</v>
      </c>
      <c r="B2093" s="265" t="s">
        <v>13391</v>
      </c>
      <c r="C2093" s="261" t="s">
        <v>5</v>
      </c>
      <c r="D2093" s="266">
        <v>29.68</v>
      </c>
    </row>
    <row r="2094" spans="1:4" ht="31.5">
      <c r="A2094" s="261">
        <v>1917346</v>
      </c>
      <c r="B2094" s="265" t="s">
        <v>13392</v>
      </c>
      <c r="C2094" s="261" t="s">
        <v>5</v>
      </c>
      <c r="D2094" s="266">
        <v>35.35</v>
      </c>
    </row>
    <row r="2095" spans="1:4" ht="31.5">
      <c r="A2095" s="261">
        <v>1917347</v>
      </c>
      <c r="B2095" s="265" t="s">
        <v>13393</v>
      </c>
      <c r="C2095" s="261" t="s">
        <v>5</v>
      </c>
      <c r="D2095" s="266">
        <v>45.05</v>
      </c>
    </row>
    <row r="2096" spans="1:4" ht="31.5">
      <c r="A2096" s="261">
        <v>1917332</v>
      </c>
      <c r="B2096" s="265" t="s">
        <v>13394</v>
      </c>
      <c r="C2096" s="261" t="s">
        <v>5</v>
      </c>
      <c r="D2096" s="266">
        <v>4.7</v>
      </c>
    </row>
    <row r="2097" spans="1:4" ht="31.5">
      <c r="A2097" s="261">
        <v>1917333</v>
      </c>
      <c r="B2097" s="265" t="s">
        <v>13395</v>
      </c>
      <c r="C2097" s="261" t="s">
        <v>5</v>
      </c>
      <c r="D2097" s="266">
        <v>5</v>
      </c>
    </row>
    <row r="2098" spans="1:4" ht="31.5">
      <c r="A2098" s="261">
        <v>1917334</v>
      </c>
      <c r="B2098" s="265" t="s">
        <v>13396</v>
      </c>
      <c r="C2098" s="261" t="s">
        <v>5</v>
      </c>
      <c r="D2098" s="266">
        <v>5.32</v>
      </c>
    </row>
    <row r="2099" spans="1:4" ht="31.5">
      <c r="A2099" s="261">
        <v>1917331</v>
      </c>
      <c r="B2099" s="265" t="s">
        <v>13397</v>
      </c>
      <c r="C2099" s="261" t="s">
        <v>5</v>
      </c>
      <c r="D2099" s="266">
        <v>4.26</v>
      </c>
    </row>
    <row r="2100" spans="1:4" ht="31.5">
      <c r="A2100" s="261">
        <v>1917443</v>
      </c>
      <c r="B2100" s="265" t="s">
        <v>13398</v>
      </c>
      <c r="C2100" s="261" t="s">
        <v>5</v>
      </c>
      <c r="D2100" s="266">
        <v>6.4</v>
      </c>
    </row>
    <row r="2101" spans="1:4" ht="31.5">
      <c r="A2101" s="261">
        <v>1917444</v>
      </c>
      <c r="B2101" s="265" t="s">
        <v>13399</v>
      </c>
      <c r="C2101" s="261" t="s">
        <v>5</v>
      </c>
      <c r="D2101" s="266">
        <v>6.94</v>
      </c>
    </row>
    <row r="2102" spans="1:4" ht="31.5">
      <c r="A2102" s="261">
        <v>1917445</v>
      </c>
      <c r="B2102" s="265" t="s">
        <v>13400</v>
      </c>
      <c r="C2102" s="261" t="s">
        <v>5</v>
      </c>
      <c r="D2102" s="266">
        <v>7.51</v>
      </c>
    </row>
    <row r="2103" spans="1:4" ht="31.5">
      <c r="A2103" s="261">
        <v>1917446</v>
      </c>
      <c r="B2103" s="265" t="s">
        <v>13401</v>
      </c>
      <c r="C2103" s="261" t="s">
        <v>5</v>
      </c>
      <c r="D2103" s="266">
        <v>8.1</v>
      </c>
    </row>
    <row r="2104" spans="1:4" ht="31.5">
      <c r="A2104" s="261">
        <v>1917447</v>
      </c>
      <c r="B2104" s="265" t="s">
        <v>13402</v>
      </c>
      <c r="C2104" s="261" t="s">
        <v>5</v>
      </c>
      <c r="D2104" s="266">
        <v>8.98</v>
      </c>
    </row>
    <row r="2105" spans="1:4" ht="31.5">
      <c r="A2105" s="261">
        <v>1917448</v>
      </c>
      <c r="B2105" s="265" t="s">
        <v>13403</v>
      </c>
      <c r="C2105" s="261" t="s">
        <v>5</v>
      </c>
      <c r="D2105" s="266">
        <v>9.74</v>
      </c>
    </row>
    <row r="2106" spans="1:4" ht="31.5">
      <c r="A2106" s="261">
        <v>1917449</v>
      </c>
      <c r="B2106" s="265" t="s">
        <v>13404</v>
      </c>
      <c r="C2106" s="261" t="s">
        <v>5</v>
      </c>
      <c r="D2106" s="266">
        <v>10.72</v>
      </c>
    </row>
    <row r="2107" spans="1:4" ht="31.5">
      <c r="A2107" s="261">
        <v>1917450</v>
      </c>
      <c r="B2107" s="265" t="s">
        <v>13405</v>
      </c>
      <c r="C2107" s="261" t="s">
        <v>5</v>
      </c>
      <c r="D2107" s="266">
        <v>11.9</v>
      </c>
    </row>
    <row r="2108" spans="1:4" ht="31.5">
      <c r="A2108" s="261">
        <v>1917451</v>
      </c>
      <c r="B2108" s="265" t="s">
        <v>13406</v>
      </c>
      <c r="C2108" s="261" t="s">
        <v>5</v>
      </c>
      <c r="D2108" s="266">
        <v>14.48</v>
      </c>
    </row>
    <row r="2109" spans="1:4" ht="31.5">
      <c r="A2109" s="261">
        <v>1917452</v>
      </c>
      <c r="B2109" s="265" t="s">
        <v>13407</v>
      </c>
      <c r="C2109" s="261" t="s">
        <v>5</v>
      </c>
      <c r="D2109" s="266">
        <v>16.989999999999998</v>
      </c>
    </row>
    <row r="2110" spans="1:4" ht="31.5">
      <c r="A2110" s="261">
        <v>1917453</v>
      </c>
      <c r="B2110" s="265" t="s">
        <v>13408</v>
      </c>
      <c r="C2110" s="261" t="s">
        <v>5</v>
      </c>
      <c r="D2110" s="266">
        <v>20.03</v>
      </c>
    </row>
    <row r="2111" spans="1:4" ht="31.5">
      <c r="A2111" s="261">
        <v>1917454</v>
      </c>
      <c r="B2111" s="265" t="s">
        <v>13409</v>
      </c>
      <c r="C2111" s="261" t="s">
        <v>5</v>
      </c>
      <c r="D2111" s="266">
        <v>23.35</v>
      </c>
    </row>
    <row r="2112" spans="1:4" ht="31.5">
      <c r="A2112" s="261">
        <v>1917455</v>
      </c>
      <c r="B2112" s="265" t="s">
        <v>13410</v>
      </c>
      <c r="C2112" s="261" t="s">
        <v>5</v>
      </c>
      <c r="D2112" s="266">
        <v>27.59</v>
      </c>
    </row>
    <row r="2113" spans="1:4" ht="31.5">
      <c r="A2113" s="261">
        <v>1917456</v>
      </c>
      <c r="B2113" s="265" t="s">
        <v>13411</v>
      </c>
      <c r="C2113" s="261" t="s">
        <v>5</v>
      </c>
      <c r="D2113" s="266">
        <v>32.15</v>
      </c>
    </row>
    <row r="2114" spans="1:4" ht="31.5">
      <c r="A2114" s="261">
        <v>1917457</v>
      </c>
      <c r="B2114" s="265" t="s">
        <v>13412</v>
      </c>
      <c r="C2114" s="261" t="s">
        <v>5</v>
      </c>
      <c r="D2114" s="266">
        <v>36.24</v>
      </c>
    </row>
    <row r="2115" spans="1:4" ht="31.5">
      <c r="A2115" s="261">
        <v>1917458</v>
      </c>
      <c r="B2115" s="265" t="s">
        <v>13413</v>
      </c>
      <c r="C2115" s="261" t="s">
        <v>5</v>
      </c>
      <c r="D2115" s="266">
        <v>41.64</v>
      </c>
    </row>
    <row r="2116" spans="1:4" ht="31.5">
      <c r="A2116" s="261">
        <v>1917459</v>
      </c>
      <c r="B2116" s="265" t="s">
        <v>13414</v>
      </c>
      <c r="C2116" s="261" t="s">
        <v>5</v>
      </c>
      <c r="D2116" s="266">
        <v>43.78</v>
      </c>
    </row>
    <row r="2117" spans="1:4" ht="31.5">
      <c r="A2117" s="261">
        <v>1917440</v>
      </c>
      <c r="B2117" s="265" t="s">
        <v>13415</v>
      </c>
      <c r="C2117" s="261" t="s">
        <v>5</v>
      </c>
      <c r="D2117" s="266">
        <v>4.47</v>
      </c>
    </row>
    <row r="2118" spans="1:4" ht="31.5">
      <c r="A2118" s="261">
        <v>1917441</v>
      </c>
      <c r="B2118" s="265" t="s">
        <v>13416</v>
      </c>
      <c r="C2118" s="261" t="s">
        <v>5</v>
      </c>
      <c r="D2118" s="266">
        <v>5.05</v>
      </c>
    </row>
    <row r="2119" spans="1:4" ht="31.5">
      <c r="A2119" s="261">
        <v>1917442</v>
      </c>
      <c r="B2119" s="265" t="s">
        <v>13417</v>
      </c>
      <c r="C2119" s="261" t="s">
        <v>5</v>
      </c>
      <c r="D2119" s="266">
        <v>5.62</v>
      </c>
    </row>
    <row r="2120" spans="1:4" ht="31.5">
      <c r="A2120" s="261">
        <v>1917734</v>
      </c>
      <c r="B2120" s="265" t="s">
        <v>13418</v>
      </c>
      <c r="C2120" s="261" t="s">
        <v>5</v>
      </c>
      <c r="D2120" s="266">
        <v>4.1399999999999997</v>
      </c>
    </row>
    <row r="2121" spans="1:4">
      <c r="A2121" s="261">
        <v>1917055</v>
      </c>
      <c r="B2121" s="265" t="s">
        <v>13419</v>
      </c>
      <c r="C2121" s="261" t="s">
        <v>5</v>
      </c>
      <c r="D2121" s="266">
        <v>11.67</v>
      </c>
    </row>
    <row r="2122" spans="1:4">
      <c r="A2122" s="261">
        <v>1917056</v>
      </c>
      <c r="B2122" s="265" t="s">
        <v>13420</v>
      </c>
      <c r="C2122" s="261" t="s">
        <v>5</v>
      </c>
      <c r="D2122" s="266">
        <v>11.88</v>
      </c>
    </row>
    <row r="2123" spans="1:4">
      <c r="A2123" s="261">
        <v>1917057</v>
      </c>
      <c r="B2123" s="265" t="s">
        <v>13421</v>
      </c>
      <c r="C2123" s="261" t="s">
        <v>5</v>
      </c>
      <c r="D2123" s="266">
        <v>12.11</v>
      </c>
    </row>
    <row r="2124" spans="1:4">
      <c r="A2124" s="261">
        <v>1917058</v>
      </c>
      <c r="B2124" s="265" t="s">
        <v>13422</v>
      </c>
      <c r="C2124" s="261" t="s">
        <v>5</v>
      </c>
      <c r="D2124" s="266">
        <v>12.34</v>
      </c>
    </row>
    <row r="2125" spans="1:4">
      <c r="A2125" s="261">
        <v>1917059</v>
      </c>
      <c r="B2125" s="265" t="s">
        <v>13423</v>
      </c>
      <c r="C2125" s="261" t="s">
        <v>5</v>
      </c>
      <c r="D2125" s="266">
        <v>12.59</v>
      </c>
    </row>
    <row r="2126" spans="1:4">
      <c r="A2126" s="261">
        <v>1917060</v>
      </c>
      <c r="B2126" s="265" t="s">
        <v>13424</v>
      </c>
      <c r="C2126" s="261" t="s">
        <v>5</v>
      </c>
      <c r="D2126" s="266">
        <v>12.72</v>
      </c>
    </row>
    <row r="2127" spans="1:4">
      <c r="A2127" s="261">
        <v>1901536</v>
      </c>
      <c r="B2127" s="265" t="s">
        <v>13425</v>
      </c>
      <c r="C2127" s="261" t="s">
        <v>5</v>
      </c>
      <c r="D2127" s="266">
        <v>7.8</v>
      </c>
    </row>
    <row r="2128" spans="1:4">
      <c r="A2128" s="261">
        <v>1901537</v>
      </c>
      <c r="B2128" s="265" t="s">
        <v>13426</v>
      </c>
      <c r="C2128" s="261" t="s">
        <v>5</v>
      </c>
      <c r="D2128" s="266">
        <v>7.87</v>
      </c>
    </row>
    <row r="2129" spans="1:4">
      <c r="A2129" s="261">
        <v>1901538</v>
      </c>
      <c r="B2129" s="265" t="s">
        <v>13427</v>
      </c>
      <c r="C2129" s="261" t="s">
        <v>5</v>
      </c>
      <c r="D2129" s="266">
        <v>7.93</v>
      </c>
    </row>
    <row r="2130" spans="1:4">
      <c r="A2130" s="261">
        <v>1901539</v>
      </c>
      <c r="B2130" s="265" t="s">
        <v>13428</v>
      </c>
      <c r="C2130" s="261" t="s">
        <v>5</v>
      </c>
      <c r="D2130" s="266">
        <v>8</v>
      </c>
    </row>
    <row r="2131" spans="1:4">
      <c r="A2131" s="261">
        <v>1901540</v>
      </c>
      <c r="B2131" s="265" t="s">
        <v>13429</v>
      </c>
      <c r="C2131" s="261" t="s">
        <v>5</v>
      </c>
      <c r="D2131" s="266">
        <v>8.08</v>
      </c>
    </row>
    <row r="2132" spans="1:4">
      <c r="A2132" s="261">
        <v>1901535</v>
      </c>
      <c r="B2132" s="265" t="s">
        <v>13430</v>
      </c>
      <c r="C2132" s="261" t="s">
        <v>5</v>
      </c>
      <c r="D2132" s="266">
        <v>8.11</v>
      </c>
    </row>
    <row r="2133" spans="1:4">
      <c r="A2133" s="261">
        <v>1901542</v>
      </c>
      <c r="B2133" s="265" t="s">
        <v>13431</v>
      </c>
      <c r="C2133" s="261" t="s">
        <v>5</v>
      </c>
      <c r="D2133" s="266">
        <v>10.31</v>
      </c>
    </row>
    <row r="2134" spans="1:4">
      <c r="A2134" s="261">
        <v>1901543</v>
      </c>
      <c r="B2134" s="265" t="s">
        <v>13432</v>
      </c>
      <c r="C2134" s="261" t="s">
        <v>5</v>
      </c>
      <c r="D2134" s="266">
        <v>10.37</v>
      </c>
    </row>
    <row r="2135" spans="1:4">
      <c r="A2135" s="261">
        <v>1901544</v>
      </c>
      <c r="B2135" s="265" t="s">
        <v>13433</v>
      </c>
      <c r="C2135" s="261" t="s">
        <v>5</v>
      </c>
      <c r="D2135" s="266">
        <v>10.44</v>
      </c>
    </row>
    <row r="2136" spans="1:4">
      <c r="A2136" s="261">
        <v>1901545</v>
      </c>
      <c r="B2136" s="265" t="s">
        <v>13434</v>
      </c>
      <c r="C2136" s="261" t="s">
        <v>5</v>
      </c>
      <c r="D2136" s="266">
        <v>10.5</v>
      </c>
    </row>
    <row r="2137" spans="1:4">
      <c r="A2137" s="261">
        <v>1901546</v>
      </c>
      <c r="B2137" s="265" t="s">
        <v>13435</v>
      </c>
      <c r="C2137" s="261" t="s">
        <v>5</v>
      </c>
      <c r="D2137" s="266">
        <v>10.57</v>
      </c>
    </row>
    <row r="2138" spans="1:4">
      <c r="A2138" s="261">
        <v>1901541</v>
      </c>
      <c r="B2138" s="265" t="s">
        <v>13436</v>
      </c>
      <c r="C2138" s="261" t="s">
        <v>5</v>
      </c>
      <c r="D2138" s="266">
        <v>10.61</v>
      </c>
    </row>
    <row r="2139" spans="1:4">
      <c r="A2139" s="261">
        <v>1917091</v>
      </c>
      <c r="B2139" s="265" t="s">
        <v>13437</v>
      </c>
      <c r="C2139" s="261" t="s">
        <v>5</v>
      </c>
      <c r="D2139" s="266">
        <v>10.220000000000001</v>
      </c>
    </row>
    <row r="2140" spans="1:4">
      <c r="A2140" s="261">
        <v>1917092</v>
      </c>
      <c r="B2140" s="265" t="s">
        <v>13438</v>
      </c>
      <c r="C2140" s="261" t="s">
        <v>5</v>
      </c>
      <c r="D2140" s="266">
        <v>10.36</v>
      </c>
    </row>
    <row r="2141" spans="1:4">
      <c r="A2141" s="261">
        <v>1917093</v>
      </c>
      <c r="B2141" s="265" t="s">
        <v>13439</v>
      </c>
      <c r="C2141" s="261" t="s">
        <v>5</v>
      </c>
      <c r="D2141" s="266">
        <v>10.5</v>
      </c>
    </row>
    <row r="2142" spans="1:4">
      <c r="A2142" s="261">
        <v>1917094</v>
      </c>
      <c r="B2142" s="265" t="s">
        <v>13440</v>
      </c>
      <c r="C2142" s="261" t="s">
        <v>5</v>
      </c>
      <c r="D2142" s="266">
        <v>10.64</v>
      </c>
    </row>
    <row r="2143" spans="1:4">
      <c r="A2143" s="261">
        <v>1917095</v>
      </c>
      <c r="B2143" s="265" t="s">
        <v>13441</v>
      </c>
      <c r="C2143" s="261" t="s">
        <v>5</v>
      </c>
      <c r="D2143" s="266">
        <v>10.8</v>
      </c>
    </row>
    <row r="2144" spans="1:4">
      <c r="A2144" s="261">
        <v>1917096</v>
      </c>
      <c r="B2144" s="265" t="s">
        <v>13442</v>
      </c>
      <c r="C2144" s="261" t="s">
        <v>5</v>
      </c>
      <c r="D2144" s="266">
        <v>10.88</v>
      </c>
    </row>
    <row r="2145" spans="1:4">
      <c r="A2145" s="261">
        <v>1901548</v>
      </c>
      <c r="B2145" s="265" t="s">
        <v>13443</v>
      </c>
      <c r="C2145" s="261" t="s">
        <v>5</v>
      </c>
      <c r="D2145" s="266">
        <v>12.89</v>
      </c>
    </row>
    <row r="2146" spans="1:4">
      <c r="A2146" s="261">
        <v>1901549</v>
      </c>
      <c r="B2146" s="265" t="s">
        <v>13444</v>
      </c>
      <c r="C2146" s="261" t="s">
        <v>5</v>
      </c>
      <c r="D2146" s="266">
        <v>12.94</v>
      </c>
    </row>
    <row r="2147" spans="1:4">
      <c r="A2147" s="261">
        <v>1901550</v>
      </c>
      <c r="B2147" s="265" t="s">
        <v>13445</v>
      </c>
      <c r="C2147" s="261" t="s">
        <v>5</v>
      </c>
      <c r="D2147" s="266">
        <v>13.01</v>
      </c>
    </row>
    <row r="2148" spans="1:4">
      <c r="A2148" s="261">
        <v>1901551</v>
      </c>
      <c r="B2148" s="265" t="s">
        <v>13446</v>
      </c>
      <c r="C2148" s="261" t="s">
        <v>5</v>
      </c>
      <c r="D2148" s="266">
        <v>13.07</v>
      </c>
    </row>
    <row r="2149" spans="1:4">
      <c r="A2149" s="261">
        <v>1901552</v>
      </c>
      <c r="B2149" s="265" t="s">
        <v>13447</v>
      </c>
      <c r="C2149" s="261" t="s">
        <v>5</v>
      </c>
      <c r="D2149" s="266">
        <v>13.14</v>
      </c>
    </row>
    <row r="2150" spans="1:4">
      <c r="A2150" s="261">
        <v>1901547</v>
      </c>
      <c r="B2150" s="265" t="s">
        <v>13448</v>
      </c>
      <c r="C2150" s="261" t="s">
        <v>5</v>
      </c>
      <c r="D2150" s="266">
        <v>13.17</v>
      </c>
    </row>
    <row r="2151" spans="1:4">
      <c r="A2151" s="261">
        <v>1917127</v>
      </c>
      <c r="B2151" s="265" t="s">
        <v>13449</v>
      </c>
      <c r="C2151" s="261" t="s">
        <v>5</v>
      </c>
      <c r="D2151" s="266">
        <v>9.58</v>
      </c>
    </row>
    <row r="2152" spans="1:4">
      <c r="A2152" s="261">
        <v>1917128</v>
      </c>
      <c r="B2152" s="265" t="s">
        <v>13450</v>
      </c>
      <c r="C2152" s="261" t="s">
        <v>5</v>
      </c>
      <c r="D2152" s="266">
        <v>9.69</v>
      </c>
    </row>
    <row r="2153" spans="1:4">
      <c r="A2153" s="261">
        <v>1917129</v>
      </c>
      <c r="B2153" s="265" t="s">
        <v>13451</v>
      </c>
      <c r="C2153" s="261" t="s">
        <v>5</v>
      </c>
      <c r="D2153" s="266">
        <v>9.81</v>
      </c>
    </row>
    <row r="2154" spans="1:4">
      <c r="A2154" s="261">
        <v>1917130</v>
      </c>
      <c r="B2154" s="265" t="s">
        <v>13452</v>
      </c>
      <c r="C2154" s="261" t="s">
        <v>5</v>
      </c>
      <c r="D2154" s="266">
        <v>9.92</v>
      </c>
    </row>
    <row r="2155" spans="1:4">
      <c r="A2155" s="261">
        <v>1917131</v>
      </c>
      <c r="B2155" s="265" t="s">
        <v>13453</v>
      </c>
      <c r="C2155" s="261" t="s">
        <v>5</v>
      </c>
      <c r="D2155" s="266">
        <v>10.050000000000001</v>
      </c>
    </row>
    <row r="2156" spans="1:4">
      <c r="A2156" s="261">
        <v>1917132</v>
      </c>
      <c r="B2156" s="265" t="s">
        <v>13454</v>
      </c>
      <c r="C2156" s="261" t="s">
        <v>5</v>
      </c>
      <c r="D2156" s="266">
        <v>10.119999999999999</v>
      </c>
    </row>
    <row r="2157" spans="1:4">
      <c r="A2157" s="261">
        <v>1917163</v>
      </c>
      <c r="B2157" s="265" t="s">
        <v>13455</v>
      </c>
      <c r="C2157" s="261" t="s">
        <v>5</v>
      </c>
      <c r="D2157" s="266">
        <v>8.94</v>
      </c>
    </row>
    <row r="2158" spans="1:4">
      <c r="A2158" s="261">
        <v>1917164</v>
      </c>
      <c r="B2158" s="265" t="s">
        <v>13456</v>
      </c>
      <c r="C2158" s="261" t="s">
        <v>5</v>
      </c>
      <c r="D2158" s="266">
        <v>9.0399999999999991</v>
      </c>
    </row>
    <row r="2159" spans="1:4">
      <c r="A2159" s="261">
        <v>1917165</v>
      </c>
      <c r="B2159" s="265" t="s">
        <v>13457</v>
      </c>
      <c r="C2159" s="261" t="s">
        <v>5</v>
      </c>
      <c r="D2159" s="266">
        <v>9.14</v>
      </c>
    </row>
    <row r="2160" spans="1:4">
      <c r="A2160" s="261">
        <v>1917166</v>
      </c>
      <c r="B2160" s="265" t="s">
        <v>13458</v>
      </c>
      <c r="C2160" s="261" t="s">
        <v>5</v>
      </c>
      <c r="D2160" s="266">
        <v>9.24</v>
      </c>
    </row>
    <row r="2161" spans="1:4">
      <c r="A2161" s="261">
        <v>1917167</v>
      </c>
      <c r="B2161" s="265" t="s">
        <v>13459</v>
      </c>
      <c r="C2161" s="261" t="s">
        <v>5</v>
      </c>
      <c r="D2161" s="266">
        <v>9.35</v>
      </c>
    </row>
    <row r="2162" spans="1:4">
      <c r="A2162" s="261">
        <v>1917168</v>
      </c>
      <c r="B2162" s="265" t="s">
        <v>13460</v>
      </c>
      <c r="C2162" s="261" t="s">
        <v>5</v>
      </c>
      <c r="D2162" s="266">
        <v>9.41</v>
      </c>
    </row>
    <row r="2163" spans="1:4">
      <c r="A2163" s="261">
        <v>1917199</v>
      </c>
      <c r="B2163" s="265" t="s">
        <v>13461</v>
      </c>
      <c r="C2163" s="261" t="s">
        <v>5</v>
      </c>
      <c r="D2163" s="266">
        <v>8.33</v>
      </c>
    </row>
    <row r="2164" spans="1:4">
      <c r="A2164" s="261">
        <v>1917200</v>
      </c>
      <c r="B2164" s="265" t="s">
        <v>13462</v>
      </c>
      <c r="C2164" s="261" t="s">
        <v>5</v>
      </c>
      <c r="D2164" s="266">
        <v>8.42</v>
      </c>
    </row>
    <row r="2165" spans="1:4">
      <c r="A2165" s="261">
        <v>1917201</v>
      </c>
      <c r="B2165" s="265" t="s">
        <v>13463</v>
      </c>
      <c r="C2165" s="261" t="s">
        <v>5</v>
      </c>
      <c r="D2165" s="266">
        <v>8.51</v>
      </c>
    </row>
    <row r="2166" spans="1:4">
      <c r="A2166" s="261">
        <v>1917202</v>
      </c>
      <c r="B2166" s="265" t="s">
        <v>13464</v>
      </c>
      <c r="C2166" s="261" t="s">
        <v>5</v>
      </c>
      <c r="D2166" s="266">
        <v>8.6</v>
      </c>
    </row>
    <row r="2167" spans="1:4">
      <c r="A2167" s="261">
        <v>1917203</v>
      </c>
      <c r="B2167" s="265" t="s">
        <v>13465</v>
      </c>
      <c r="C2167" s="261" t="s">
        <v>5</v>
      </c>
      <c r="D2167" s="266">
        <v>8.6999999999999993</v>
      </c>
    </row>
    <row r="2168" spans="1:4">
      <c r="A2168" s="261">
        <v>1917204</v>
      </c>
      <c r="B2168" s="265" t="s">
        <v>13466</v>
      </c>
      <c r="C2168" s="261" t="s">
        <v>5</v>
      </c>
      <c r="D2168" s="266">
        <v>8.76</v>
      </c>
    </row>
    <row r="2169" spans="1:4">
      <c r="A2169" s="261">
        <v>1917019</v>
      </c>
      <c r="B2169" s="265" t="s">
        <v>13467</v>
      </c>
      <c r="C2169" s="261" t="s">
        <v>5</v>
      </c>
      <c r="D2169" s="266">
        <v>15.83</v>
      </c>
    </row>
    <row r="2170" spans="1:4">
      <c r="A2170" s="261">
        <v>1917020</v>
      </c>
      <c r="B2170" s="265" t="s">
        <v>13468</v>
      </c>
      <c r="C2170" s="261" t="s">
        <v>5</v>
      </c>
      <c r="D2170" s="266">
        <v>16.14</v>
      </c>
    </row>
    <row r="2171" spans="1:4">
      <c r="A2171" s="261">
        <v>1917021</v>
      </c>
      <c r="B2171" s="265" t="s">
        <v>13469</v>
      </c>
      <c r="C2171" s="261" t="s">
        <v>5</v>
      </c>
      <c r="D2171" s="266">
        <v>16.46</v>
      </c>
    </row>
    <row r="2172" spans="1:4">
      <c r="A2172" s="261">
        <v>1917022</v>
      </c>
      <c r="B2172" s="265" t="s">
        <v>13470</v>
      </c>
      <c r="C2172" s="261" t="s">
        <v>5</v>
      </c>
      <c r="D2172" s="266">
        <v>16.79</v>
      </c>
    </row>
    <row r="2173" spans="1:4">
      <c r="A2173" s="261">
        <v>1917023</v>
      </c>
      <c r="B2173" s="265" t="s">
        <v>13471</v>
      </c>
      <c r="C2173" s="261" t="s">
        <v>5</v>
      </c>
      <c r="D2173" s="266">
        <v>17.14</v>
      </c>
    </row>
    <row r="2174" spans="1:4">
      <c r="A2174" s="261">
        <v>1917024</v>
      </c>
      <c r="B2174" s="265" t="s">
        <v>13472</v>
      </c>
      <c r="C2174" s="261" t="s">
        <v>5</v>
      </c>
      <c r="D2174" s="266">
        <v>17.329999999999998</v>
      </c>
    </row>
    <row r="2175" spans="1:4" ht="31.5">
      <c r="A2175" s="261">
        <v>1917541</v>
      </c>
      <c r="B2175" s="265" t="s">
        <v>13473</v>
      </c>
      <c r="C2175" s="261" t="s">
        <v>5</v>
      </c>
      <c r="D2175" s="266">
        <v>5.47</v>
      </c>
    </row>
    <row r="2176" spans="1:4" ht="31.5">
      <c r="A2176" s="261">
        <v>1917542</v>
      </c>
      <c r="B2176" s="265" t="s">
        <v>13474</v>
      </c>
      <c r="C2176" s="261" t="s">
        <v>5</v>
      </c>
      <c r="D2176" s="266">
        <v>6.03</v>
      </c>
    </row>
    <row r="2177" spans="1:4" ht="31.5">
      <c r="A2177" s="261">
        <v>1917543</v>
      </c>
      <c r="B2177" s="265" t="s">
        <v>13475</v>
      </c>
      <c r="C2177" s="261" t="s">
        <v>5</v>
      </c>
      <c r="D2177" s="266">
        <v>6.35</v>
      </c>
    </row>
    <row r="2178" spans="1:4" ht="31.5">
      <c r="A2178" s="261">
        <v>1917544</v>
      </c>
      <c r="B2178" s="265" t="s">
        <v>13476</v>
      </c>
      <c r="C2178" s="261" t="s">
        <v>5</v>
      </c>
      <c r="D2178" s="266">
        <v>6.68</v>
      </c>
    </row>
    <row r="2179" spans="1:4" ht="31.5">
      <c r="A2179" s="261">
        <v>1917545</v>
      </c>
      <c r="B2179" s="265" t="s">
        <v>13477</v>
      </c>
      <c r="C2179" s="261" t="s">
        <v>5</v>
      </c>
      <c r="D2179" s="266">
        <v>7.07</v>
      </c>
    </row>
    <row r="2180" spans="1:4" ht="31.5">
      <c r="A2180" s="261">
        <v>1917546</v>
      </c>
      <c r="B2180" s="265" t="s">
        <v>13478</v>
      </c>
      <c r="C2180" s="261" t="s">
        <v>5</v>
      </c>
      <c r="D2180" s="266">
        <v>7.42</v>
      </c>
    </row>
    <row r="2181" spans="1:4" ht="31.5">
      <c r="A2181" s="261">
        <v>1917547</v>
      </c>
      <c r="B2181" s="265" t="s">
        <v>13479</v>
      </c>
      <c r="C2181" s="261" t="s">
        <v>5</v>
      </c>
      <c r="D2181" s="266">
        <v>8.0299999999999994</v>
      </c>
    </row>
    <row r="2182" spans="1:4" ht="31.5">
      <c r="A2182" s="261">
        <v>1917548</v>
      </c>
      <c r="B2182" s="265" t="s">
        <v>13480</v>
      </c>
      <c r="C2182" s="261" t="s">
        <v>5</v>
      </c>
      <c r="D2182" s="266">
        <v>8.4499999999999993</v>
      </c>
    </row>
    <row r="2183" spans="1:4" ht="31.5">
      <c r="A2183" s="261">
        <v>1917549</v>
      </c>
      <c r="B2183" s="265" t="s">
        <v>13481</v>
      </c>
      <c r="C2183" s="261" t="s">
        <v>5</v>
      </c>
      <c r="D2183" s="266">
        <v>8.9</v>
      </c>
    </row>
    <row r="2184" spans="1:4" ht="31.5">
      <c r="A2184" s="261">
        <v>1917550</v>
      </c>
      <c r="B2184" s="265" t="s">
        <v>13482</v>
      </c>
      <c r="C2184" s="261" t="s">
        <v>5</v>
      </c>
      <c r="D2184" s="266">
        <v>9.3699999999999992</v>
      </c>
    </row>
    <row r="2185" spans="1:4" ht="31.5">
      <c r="A2185" s="261">
        <v>1917551</v>
      </c>
      <c r="B2185" s="265" t="s">
        <v>13483</v>
      </c>
      <c r="C2185" s="261" t="s">
        <v>5</v>
      </c>
      <c r="D2185" s="266">
        <v>10.050000000000001</v>
      </c>
    </row>
    <row r="2186" spans="1:4" ht="31.5">
      <c r="A2186" s="261">
        <v>1917552</v>
      </c>
      <c r="B2186" s="265" t="s">
        <v>13484</v>
      </c>
      <c r="C2186" s="261" t="s">
        <v>5</v>
      </c>
      <c r="D2186" s="266">
        <v>10.56</v>
      </c>
    </row>
    <row r="2187" spans="1:4" ht="31.5">
      <c r="A2187" s="261">
        <v>1917553</v>
      </c>
      <c r="B2187" s="265" t="s">
        <v>13485</v>
      </c>
      <c r="C2187" s="261" t="s">
        <v>5</v>
      </c>
      <c r="D2187" s="266">
        <v>10.58</v>
      </c>
    </row>
    <row r="2188" spans="1:4" ht="31.5">
      <c r="A2188" s="261">
        <v>1917554</v>
      </c>
      <c r="B2188" s="265" t="s">
        <v>13486</v>
      </c>
      <c r="C2188" s="261" t="s">
        <v>5</v>
      </c>
      <c r="D2188" s="266">
        <v>11.54</v>
      </c>
    </row>
    <row r="2189" spans="1:4" ht="31.5">
      <c r="A2189" s="261">
        <v>1917555</v>
      </c>
      <c r="B2189" s="265" t="s">
        <v>13487</v>
      </c>
      <c r="C2189" s="261" t="s">
        <v>5</v>
      </c>
      <c r="D2189" s="266">
        <v>12.08</v>
      </c>
    </row>
    <row r="2190" spans="1:4" ht="31.5">
      <c r="A2190" s="261">
        <v>1917556</v>
      </c>
      <c r="B2190" s="265" t="s">
        <v>13488</v>
      </c>
      <c r="C2190" s="261" t="s">
        <v>5</v>
      </c>
      <c r="D2190" s="266">
        <v>12.9</v>
      </c>
    </row>
    <row r="2191" spans="1:4" ht="31.5">
      <c r="A2191" s="261">
        <v>1917557</v>
      </c>
      <c r="B2191" s="265" t="s">
        <v>13489</v>
      </c>
      <c r="C2191" s="261" t="s">
        <v>5</v>
      </c>
      <c r="D2191" s="266">
        <v>13.5</v>
      </c>
    </row>
    <row r="2192" spans="1:4" ht="31.5">
      <c r="A2192" s="261">
        <v>1917558</v>
      </c>
      <c r="B2192" s="265" t="s">
        <v>13490</v>
      </c>
      <c r="C2192" s="261" t="s">
        <v>5</v>
      </c>
      <c r="D2192" s="266">
        <v>14.35</v>
      </c>
    </row>
    <row r="2193" spans="1:4" ht="31.5">
      <c r="A2193" s="261">
        <v>1917559</v>
      </c>
      <c r="B2193" s="265" t="s">
        <v>13491</v>
      </c>
      <c r="C2193" s="261" t="s">
        <v>5</v>
      </c>
      <c r="D2193" s="266">
        <v>15.76</v>
      </c>
    </row>
    <row r="2194" spans="1:4" ht="31.5">
      <c r="A2194" s="261">
        <v>1917560</v>
      </c>
      <c r="B2194" s="265" t="s">
        <v>13492</v>
      </c>
      <c r="C2194" s="261" t="s">
        <v>5</v>
      </c>
      <c r="D2194" s="266">
        <v>17.5</v>
      </c>
    </row>
    <row r="2195" spans="1:4" ht="31.5">
      <c r="A2195" s="261">
        <v>1917561</v>
      </c>
      <c r="B2195" s="265" t="s">
        <v>13493</v>
      </c>
      <c r="C2195" s="261" t="s">
        <v>5</v>
      </c>
      <c r="D2195" s="266">
        <v>19.260000000000002</v>
      </c>
    </row>
    <row r="2196" spans="1:4" ht="31.5">
      <c r="A2196" s="261">
        <v>1917562</v>
      </c>
      <c r="B2196" s="265" t="s">
        <v>13494</v>
      </c>
      <c r="C2196" s="261" t="s">
        <v>5</v>
      </c>
      <c r="D2196" s="266">
        <v>21.26</v>
      </c>
    </row>
    <row r="2197" spans="1:4" ht="31.5">
      <c r="A2197" s="261">
        <v>1917563</v>
      </c>
      <c r="B2197" s="265" t="s">
        <v>13495</v>
      </c>
      <c r="C2197" s="261" t="s">
        <v>5</v>
      </c>
      <c r="D2197" s="266">
        <v>23.08</v>
      </c>
    </row>
    <row r="2198" spans="1:4" ht="31.5">
      <c r="A2198" s="261">
        <v>1917564</v>
      </c>
      <c r="B2198" s="265" t="s">
        <v>13496</v>
      </c>
      <c r="C2198" s="261" t="s">
        <v>5</v>
      </c>
      <c r="D2198" s="266">
        <v>25.05</v>
      </c>
    </row>
    <row r="2199" spans="1:4" ht="31.5">
      <c r="A2199" s="261">
        <v>1917565</v>
      </c>
      <c r="B2199" s="265" t="s">
        <v>13497</v>
      </c>
      <c r="C2199" s="261" t="s">
        <v>5</v>
      </c>
      <c r="D2199" s="266">
        <v>27.62</v>
      </c>
    </row>
    <row r="2200" spans="1:4" ht="31.5">
      <c r="A2200" s="261">
        <v>1917538</v>
      </c>
      <c r="B2200" s="265" t="s">
        <v>13498</v>
      </c>
      <c r="C2200" s="261" t="s">
        <v>5</v>
      </c>
      <c r="D2200" s="266">
        <v>4.49</v>
      </c>
    </row>
    <row r="2201" spans="1:4" ht="31.5">
      <c r="A2201" s="261">
        <v>1917566</v>
      </c>
      <c r="B2201" s="265" t="s">
        <v>13499</v>
      </c>
      <c r="C2201" s="261" t="s">
        <v>5</v>
      </c>
      <c r="D2201" s="266">
        <v>30.27</v>
      </c>
    </row>
    <row r="2202" spans="1:4" ht="31.5">
      <c r="A2202" s="261">
        <v>1917567</v>
      </c>
      <c r="B2202" s="265" t="s">
        <v>13500</v>
      </c>
      <c r="C2202" s="261" t="s">
        <v>5</v>
      </c>
      <c r="D2202" s="266">
        <v>33.049999999999997</v>
      </c>
    </row>
    <row r="2203" spans="1:4" ht="31.5">
      <c r="A2203" s="261">
        <v>1917568</v>
      </c>
      <c r="B2203" s="265" t="s">
        <v>13501</v>
      </c>
      <c r="C2203" s="261" t="s">
        <v>5</v>
      </c>
      <c r="D2203" s="266">
        <v>35.71</v>
      </c>
    </row>
    <row r="2204" spans="1:4" ht="31.5">
      <c r="A2204" s="261">
        <v>1917569</v>
      </c>
      <c r="B2204" s="265" t="s">
        <v>13502</v>
      </c>
      <c r="C2204" s="261" t="s">
        <v>5</v>
      </c>
      <c r="D2204" s="266">
        <v>38.97</v>
      </c>
    </row>
    <row r="2205" spans="1:4" ht="31.5">
      <c r="A2205" s="261">
        <v>1917570</v>
      </c>
      <c r="B2205" s="265" t="s">
        <v>13503</v>
      </c>
      <c r="C2205" s="261" t="s">
        <v>5</v>
      </c>
      <c r="D2205" s="266">
        <v>42</v>
      </c>
    </row>
    <row r="2206" spans="1:4" ht="31.5">
      <c r="A2206" s="261">
        <v>1917571</v>
      </c>
      <c r="B2206" s="265" t="s">
        <v>13504</v>
      </c>
      <c r="C2206" s="261" t="s">
        <v>5</v>
      </c>
      <c r="D2206" s="266">
        <v>45.58</v>
      </c>
    </row>
    <row r="2207" spans="1:4" ht="31.5">
      <c r="A2207" s="261">
        <v>1917572</v>
      </c>
      <c r="B2207" s="265" t="s">
        <v>13505</v>
      </c>
      <c r="C2207" s="261" t="s">
        <v>5</v>
      </c>
      <c r="D2207" s="266">
        <v>49.56</v>
      </c>
    </row>
    <row r="2208" spans="1:4" ht="31.5">
      <c r="A2208" s="261">
        <v>1917573</v>
      </c>
      <c r="B2208" s="265" t="s">
        <v>13506</v>
      </c>
      <c r="C2208" s="261" t="s">
        <v>5</v>
      </c>
      <c r="D2208" s="266">
        <v>53.89</v>
      </c>
    </row>
    <row r="2209" spans="1:4" ht="31.5">
      <c r="A2209" s="261">
        <v>1917574</v>
      </c>
      <c r="B2209" s="265" t="s">
        <v>13507</v>
      </c>
      <c r="C2209" s="261" t="s">
        <v>5</v>
      </c>
      <c r="D2209" s="266">
        <v>57.8</v>
      </c>
    </row>
    <row r="2210" spans="1:4" ht="31.5">
      <c r="A2210" s="261">
        <v>1917539</v>
      </c>
      <c r="B2210" s="265" t="s">
        <v>13508</v>
      </c>
      <c r="C2210" s="261" t="s">
        <v>5</v>
      </c>
      <c r="D2210" s="266">
        <v>4.79</v>
      </c>
    </row>
    <row r="2211" spans="1:4" ht="31.5">
      <c r="A2211" s="261">
        <v>1917540</v>
      </c>
      <c r="B2211" s="265" t="s">
        <v>13509</v>
      </c>
      <c r="C2211" s="261" t="s">
        <v>5</v>
      </c>
      <c r="D2211" s="266">
        <v>5.16</v>
      </c>
    </row>
    <row r="2212" spans="1:4" ht="31.5">
      <c r="A2212" s="261">
        <v>1917738</v>
      </c>
      <c r="B2212" s="265" t="s">
        <v>13510</v>
      </c>
      <c r="C2212" s="261" t="s">
        <v>5</v>
      </c>
      <c r="D2212" s="266">
        <v>4.42</v>
      </c>
    </row>
    <row r="2213" spans="1:4" ht="31.5">
      <c r="A2213" s="261">
        <v>1917238</v>
      </c>
      <c r="B2213" s="265" t="s">
        <v>13511</v>
      </c>
      <c r="C2213" s="261" t="s">
        <v>5</v>
      </c>
      <c r="D2213" s="266">
        <v>6.92</v>
      </c>
    </row>
    <row r="2214" spans="1:4" ht="31.5">
      <c r="A2214" s="261">
        <v>1917239</v>
      </c>
      <c r="B2214" s="265" t="s">
        <v>13512</v>
      </c>
      <c r="C2214" s="261" t="s">
        <v>5</v>
      </c>
      <c r="D2214" s="266">
        <v>7.58</v>
      </c>
    </row>
    <row r="2215" spans="1:4" ht="31.5">
      <c r="A2215" s="261">
        <v>1917240</v>
      </c>
      <c r="B2215" s="265" t="s">
        <v>13513</v>
      </c>
      <c r="C2215" s="261" t="s">
        <v>5</v>
      </c>
      <c r="D2215" s="266">
        <v>8.09</v>
      </c>
    </row>
    <row r="2216" spans="1:4" ht="31.5">
      <c r="A2216" s="261">
        <v>1917241</v>
      </c>
      <c r="B2216" s="265" t="s">
        <v>13514</v>
      </c>
      <c r="C2216" s="261" t="s">
        <v>5</v>
      </c>
      <c r="D2216" s="266">
        <v>8.5500000000000007</v>
      </c>
    </row>
    <row r="2217" spans="1:4" ht="31.5">
      <c r="A2217" s="261">
        <v>1917242</v>
      </c>
      <c r="B2217" s="265" t="s">
        <v>13515</v>
      </c>
      <c r="C2217" s="261" t="s">
        <v>5</v>
      </c>
      <c r="D2217" s="266">
        <v>8.99</v>
      </c>
    </row>
    <row r="2218" spans="1:4" ht="31.5">
      <c r="A2218" s="261">
        <v>1917243</v>
      </c>
      <c r="B2218" s="265" t="s">
        <v>13516</v>
      </c>
      <c r="C2218" s="261" t="s">
        <v>5</v>
      </c>
      <c r="D2218" s="266">
        <v>9.41</v>
      </c>
    </row>
    <row r="2219" spans="1:4" ht="31.5">
      <c r="A2219" s="261">
        <v>1917244</v>
      </c>
      <c r="B2219" s="265" t="s">
        <v>13517</v>
      </c>
      <c r="C2219" s="261" t="s">
        <v>5</v>
      </c>
      <c r="D2219" s="266">
        <v>10.029999999999999</v>
      </c>
    </row>
    <row r="2220" spans="1:4" ht="31.5">
      <c r="A2220" s="261">
        <v>1917245</v>
      </c>
      <c r="B2220" s="265" t="s">
        <v>13518</v>
      </c>
      <c r="C2220" s="261" t="s">
        <v>5</v>
      </c>
      <c r="D2220" s="266">
        <v>10.53</v>
      </c>
    </row>
    <row r="2221" spans="1:4" ht="31.5">
      <c r="A2221" s="261">
        <v>1917246</v>
      </c>
      <c r="B2221" s="265" t="s">
        <v>13519</v>
      </c>
      <c r="C2221" s="261" t="s">
        <v>5</v>
      </c>
      <c r="D2221" s="266">
        <v>11.07</v>
      </c>
    </row>
    <row r="2222" spans="1:4" ht="31.5">
      <c r="A2222" s="261">
        <v>1917247</v>
      </c>
      <c r="B2222" s="265" t="s">
        <v>13520</v>
      </c>
      <c r="C2222" s="261" t="s">
        <v>5</v>
      </c>
      <c r="D2222" s="266">
        <v>11.98</v>
      </c>
    </row>
    <row r="2223" spans="1:4" ht="31.5">
      <c r="A2223" s="261">
        <v>1917248</v>
      </c>
      <c r="B2223" s="265" t="s">
        <v>13521</v>
      </c>
      <c r="C2223" s="261" t="s">
        <v>5</v>
      </c>
      <c r="D2223" s="266">
        <v>13.68</v>
      </c>
    </row>
    <row r="2224" spans="1:4" ht="31.5">
      <c r="A2224" s="261">
        <v>1917249</v>
      </c>
      <c r="B2224" s="265" t="s">
        <v>13522</v>
      </c>
      <c r="C2224" s="261" t="s">
        <v>5</v>
      </c>
      <c r="D2224" s="266">
        <v>16.37</v>
      </c>
    </row>
    <row r="2225" spans="1:4" ht="31.5">
      <c r="A2225" s="261">
        <v>1917235</v>
      </c>
      <c r="B2225" s="265" t="s">
        <v>13523</v>
      </c>
      <c r="C2225" s="261" t="s">
        <v>5</v>
      </c>
      <c r="D2225" s="266">
        <v>5.54</v>
      </c>
    </row>
    <row r="2226" spans="1:4" ht="31.5">
      <c r="A2226" s="261">
        <v>1917236</v>
      </c>
      <c r="B2226" s="265" t="s">
        <v>13524</v>
      </c>
      <c r="C2226" s="261" t="s">
        <v>5</v>
      </c>
      <c r="D2226" s="266">
        <v>5.91</v>
      </c>
    </row>
    <row r="2227" spans="1:4" ht="31.5">
      <c r="A2227" s="261">
        <v>1917237</v>
      </c>
      <c r="B2227" s="265" t="s">
        <v>13525</v>
      </c>
      <c r="C2227" s="261" t="s">
        <v>5</v>
      </c>
      <c r="D2227" s="266">
        <v>6.36</v>
      </c>
    </row>
    <row r="2228" spans="1:4" ht="31.5">
      <c r="A2228" s="261">
        <v>1917725</v>
      </c>
      <c r="B2228" s="265" t="s">
        <v>13526</v>
      </c>
      <c r="C2228" s="261" t="s">
        <v>5</v>
      </c>
      <c r="D2228" s="266">
        <v>5.39</v>
      </c>
    </row>
    <row r="2229" spans="1:4" ht="31.5">
      <c r="A2229" s="261">
        <v>1917311</v>
      </c>
      <c r="B2229" s="265" t="s">
        <v>13527</v>
      </c>
      <c r="C2229" s="261" t="s">
        <v>5</v>
      </c>
      <c r="D2229" s="266">
        <v>5.46</v>
      </c>
    </row>
    <row r="2230" spans="1:4" ht="31.5">
      <c r="A2230" s="261">
        <v>1917312</v>
      </c>
      <c r="B2230" s="265" t="s">
        <v>13528</v>
      </c>
      <c r="C2230" s="261" t="s">
        <v>5</v>
      </c>
      <c r="D2230" s="266">
        <v>6.14</v>
      </c>
    </row>
    <row r="2231" spans="1:4" ht="31.5">
      <c r="A2231" s="261">
        <v>1917313</v>
      </c>
      <c r="B2231" s="265" t="s">
        <v>13529</v>
      </c>
      <c r="C2231" s="261" t="s">
        <v>5</v>
      </c>
      <c r="D2231" s="266">
        <v>6.59</v>
      </c>
    </row>
    <row r="2232" spans="1:4" ht="31.5">
      <c r="A2232" s="261">
        <v>1917314</v>
      </c>
      <c r="B2232" s="265" t="s">
        <v>13530</v>
      </c>
      <c r="C2232" s="261" t="s">
        <v>5</v>
      </c>
      <c r="D2232" s="266">
        <v>7.02</v>
      </c>
    </row>
    <row r="2233" spans="1:4" ht="31.5">
      <c r="A2233" s="261">
        <v>1917315</v>
      </c>
      <c r="B2233" s="265" t="s">
        <v>13531</v>
      </c>
      <c r="C2233" s="261" t="s">
        <v>5</v>
      </c>
      <c r="D2233" s="266">
        <v>7.54</v>
      </c>
    </row>
    <row r="2234" spans="1:4" ht="31.5">
      <c r="A2234" s="261">
        <v>1917316</v>
      </c>
      <c r="B2234" s="265" t="s">
        <v>13532</v>
      </c>
      <c r="C2234" s="261" t="s">
        <v>5</v>
      </c>
      <c r="D2234" s="266">
        <v>8.06</v>
      </c>
    </row>
    <row r="2235" spans="1:4" ht="31.5">
      <c r="A2235" s="261">
        <v>1917317</v>
      </c>
      <c r="B2235" s="265" t="s">
        <v>13533</v>
      </c>
      <c r="C2235" s="261" t="s">
        <v>5</v>
      </c>
      <c r="D2235" s="266">
        <v>8.84</v>
      </c>
    </row>
    <row r="2236" spans="1:4" ht="31.5">
      <c r="A2236" s="261">
        <v>1917318</v>
      </c>
      <c r="B2236" s="265" t="s">
        <v>13534</v>
      </c>
      <c r="C2236" s="261" t="s">
        <v>5</v>
      </c>
      <c r="D2236" s="266">
        <v>9.5399999999999991</v>
      </c>
    </row>
    <row r="2237" spans="1:4" ht="31.5">
      <c r="A2237" s="261">
        <v>1917319</v>
      </c>
      <c r="B2237" s="265" t="s">
        <v>13535</v>
      </c>
      <c r="C2237" s="261" t="s">
        <v>5</v>
      </c>
      <c r="D2237" s="266">
        <v>10.199999999999999</v>
      </c>
    </row>
    <row r="2238" spans="1:4" ht="31.5">
      <c r="A2238" s="261">
        <v>1917320</v>
      </c>
      <c r="B2238" s="265" t="s">
        <v>13536</v>
      </c>
      <c r="C2238" s="261" t="s">
        <v>5</v>
      </c>
      <c r="D2238" s="266">
        <v>10.9</v>
      </c>
    </row>
    <row r="2239" spans="1:4" ht="31.5">
      <c r="A2239" s="261">
        <v>1917321</v>
      </c>
      <c r="B2239" s="265" t="s">
        <v>13537</v>
      </c>
      <c r="C2239" s="261" t="s">
        <v>5</v>
      </c>
      <c r="D2239" s="266">
        <v>13.27</v>
      </c>
    </row>
    <row r="2240" spans="1:4" ht="31.5">
      <c r="A2240" s="261">
        <v>1917322</v>
      </c>
      <c r="B2240" s="265" t="s">
        <v>13538</v>
      </c>
      <c r="C2240" s="261" t="s">
        <v>5</v>
      </c>
      <c r="D2240" s="266">
        <v>15.34</v>
      </c>
    </row>
    <row r="2241" spans="1:4" ht="31.5">
      <c r="A2241" s="261">
        <v>1917323</v>
      </c>
      <c r="B2241" s="265" t="s">
        <v>13539</v>
      </c>
      <c r="C2241" s="261" t="s">
        <v>5</v>
      </c>
      <c r="D2241" s="266">
        <v>17.98</v>
      </c>
    </row>
    <row r="2242" spans="1:4" ht="31.5">
      <c r="A2242" s="261">
        <v>1917324</v>
      </c>
      <c r="B2242" s="265" t="s">
        <v>13540</v>
      </c>
      <c r="C2242" s="261" t="s">
        <v>5</v>
      </c>
      <c r="D2242" s="266">
        <v>20.76</v>
      </c>
    </row>
    <row r="2243" spans="1:4" ht="31.5">
      <c r="A2243" s="261">
        <v>1917325</v>
      </c>
      <c r="B2243" s="265" t="s">
        <v>13541</v>
      </c>
      <c r="C2243" s="261" t="s">
        <v>5</v>
      </c>
      <c r="D2243" s="266">
        <v>24.02</v>
      </c>
    </row>
    <row r="2244" spans="1:4" ht="31.5">
      <c r="A2244" s="261">
        <v>1917326</v>
      </c>
      <c r="B2244" s="265" t="s">
        <v>13542</v>
      </c>
      <c r="C2244" s="261" t="s">
        <v>5</v>
      </c>
      <c r="D2244" s="266">
        <v>28.44</v>
      </c>
    </row>
    <row r="2245" spans="1:4" ht="31.5">
      <c r="A2245" s="261">
        <v>1917327</v>
      </c>
      <c r="B2245" s="265" t="s">
        <v>13543</v>
      </c>
      <c r="C2245" s="261" t="s">
        <v>5</v>
      </c>
      <c r="D2245" s="266">
        <v>32.93</v>
      </c>
    </row>
    <row r="2246" spans="1:4" ht="31.5">
      <c r="A2246" s="261">
        <v>1917328</v>
      </c>
      <c r="B2246" s="265" t="s">
        <v>13544</v>
      </c>
      <c r="C2246" s="261" t="s">
        <v>5</v>
      </c>
      <c r="D2246" s="266">
        <v>38.08</v>
      </c>
    </row>
    <row r="2247" spans="1:4" ht="31.5">
      <c r="A2247" s="261">
        <v>1917329</v>
      </c>
      <c r="B2247" s="265" t="s">
        <v>13545</v>
      </c>
      <c r="C2247" s="261" t="s">
        <v>5</v>
      </c>
      <c r="D2247" s="266">
        <v>41.57</v>
      </c>
    </row>
    <row r="2248" spans="1:4" ht="31.5">
      <c r="A2248" s="261">
        <v>1917330</v>
      </c>
      <c r="B2248" s="265" t="s">
        <v>13546</v>
      </c>
      <c r="C2248" s="261" t="s">
        <v>5</v>
      </c>
      <c r="D2248" s="266">
        <v>45.88</v>
      </c>
    </row>
    <row r="2249" spans="1:4" ht="31.5">
      <c r="A2249" s="261">
        <v>1917308</v>
      </c>
      <c r="B2249" s="265" t="s">
        <v>13547</v>
      </c>
      <c r="C2249" s="261" t="s">
        <v>5</v>
      </c>
      <c r="D2249" s="266">
        <v>4.4800000000000004</v>
      </c>
    </row>
    <row r="2250" spans="1:4" ht="31.5">
      <c r="A2250" s="261">
        <v>1917309</v>
      </c>
      <c r="B2250" s="265" t="s">
        <v>13548</v>
      </c>
      <c r="C2250" s="261" t="s">
        <v>5</v>
      </c>
      <c r="D2250" s="266">
        <v>4.76</v>
      </c>
    </row>
    <row r="2251" spans="1:4" ht="31.5">
      <c r="A2251" s="261">
        <v>1917310</v>
      </c>
      <c r="B2251" s="265" t="s">
        <v>13549</v>
      </c>
      <c r="C2251" s="261" t="s">
        <v>5</v>
      </c>
      <c r="D2251" s="266">
        <v>5.0599999999999996</v>
      </c>
    </row>
    <row r="2252" spans="1:4" ht="31.5">
      <c r="A2252" s="261">
        <v>1917730</v>
      </c>
      <c r="B2252" s="265" t="s">
        <v>13550</v>
      </c>
      <c r="C2252" s="261" t="s">
        <v>5</v>
      </c>
      <c r="D2252" s="266">
        <v>4.42</v>
      </c>
    </row>
    <row r="2253" spans="1:4" ht="31.5">
      <c r="A2253" s="261">
        <v>1917415</v>
      </c>
      <c r="B2253" s="265" t="s">
        <v>13551</v>
      </c>
      <c r="C2253" s="261" t="s">
        <v>5</v>
      </c>
      <c r="D2253" s="266">
        <v>5.45</v>
      </c>
    </row>
    <row r="2254" spans="1:4" ht="31.5">
      <c r="A2254" s="261">
        <v>1917416</v>
      </c>
      <c r="B2254" s="265" t="s">
        <v>13552</v>
      </c>
      <c r="C2254" s="261" t="s">
        <v>5</v>
      </c>
      <c r="D2254" s="266">
        <v>6.1</v>
      </c>
    </row>
    <row r="2255" spans="1:4" ht="31.5">
      <c r="A2255" s="261">
        <v>1917417</v>
      </c>
      <c r="B2255" s="265" t="s">
        <v>13553</v>
      </c>
      <c r="C2255" s="261" t="s">
        <v>5</v>
      </c>
      <c r="D2255" s="266">
        <v>6.54</v>
      </c>
    </row>
    <row r="2256" spans="1:4" ht="31.5">
      <c r="A2256" s="261">
        <v>1917418</v>
      </c>
      <c r="B2256" s="265" t="s">
        <v>13554</v>
      </c>
      <c r="C2256" s="261" t="s">
        <v>5</v>
      </c>
      <c r="D2256" s="266">
        <v>6.95</v>
      </c>
    </row>
    <row r="2257" spans="1:4" ht="31.5">
      <c r="A2257" s="261">
        <v>1917419</v>
      </c>
      <c r="B2257" s="265" t="s">
        <v>13555</v>
      </c>
      <c r="C2257" s="261" t="s">
        <v>5</v>
      </c>
      <c r="D2257" s="266">
        <v>7.32</v>
      </c>
    </row>
    <row r="2258" spans="1:4" ht="31.5">
      <c r="A2258" s="261">
        <v>1917420</v>
      </c>
      <c r="B2258" s="265" t="s">
        <v>13556</v>
      </c>
      <c r="C2258" s="261" t="s">
        <v>5</v>
      </c>
      <c r="D2258" s="266">
        <v>7.75</v>
      </c>
    </row>
    <row r="2259" spans="1:4" ht="31.5">
      <c r="A2259" s="261">
        <v>1917421</v>
      </c>
      <c r="B2259" s="265" t="s">
        <v>13557</v>
      </c>
      <c r="C2259" s="261" t="s">
        <v>5</v>
      </c>
      <c r="D2259" s="266">
        <v>8.43</v>
      </c>
    </row>
    <row r="2260" spans="1:4" ht="31.5">
      <c r="A2260" s="261">
        <v>1917422</v>
      </c>
      <c r="B2260" s="265" t="s">
        <v>13558</v>
      </c>
      <c r="C2260" s="261" t="s">
        <v>5</v>
      </c>
      <c r="D2260" s="266">
        <v>8.84</v>
      </c>
    </row>
    <row r="2261" spans="1:4" ht="31.5">
      <c r="A2261" s="261">
        <v>1917423</v>
      </c>
      <c r="B2261" s="265" t="s">
        <v>13559</v>
      </c>
      <c r="C2261" s="261" t="s">
        <v>5</v>
      </c>
      <c r="D2261" s="266">
        <v>9.26</v>
      </c>
    </row>
    <row r="2262" spans="1:4" ht="31.5">
      <c r="A2262" s="261">
        <v>1917424</v>
      </c>
      <c r="B2262" s="265" t="s">
        <v>13560</v>
      </c>
      <c r="C2262" s="261" t="s">
        <v>5</v>
      </c>
      <c r="D2262" s="266">
        <v>9.6999999999999993</v>
      </c>
    </row>
    <row r="2263" spans="1:4" ht="31.5">
      <c r="A2263" s="261">
        <v>1917425</v>
      </c>
      <c r="B2263" s="265" t="s">
        <v>13561</v>
      </c>
      <c r="C2263" s="261" t="s">
        <v>5</v>
      </c>
      <c r="D2263" s="266">
        <v>10.52</v>
      </c>
    </row>
    <row r="2264" spans="1:4" ht="31.5">
      <c r="A2264" s="261">
        <v>1917426</v>
      </c>
      <c r="B2264" s="265" t="s">
        <v>13562</v>
      </c>
      <c r="C2264" s="261" t="s">
        <v>5</v>
      </c>
      <c r="D2264" s="266">
        <v>11.4</v>
      </c>
    </row>
    <row r="2265" spans="1:4" ht="31.5">
      <c r="A2265" s="261">
        <v>1917427</v>
      </c>
      <c r="B2265" s="265" t="s">
        <v>13563</v>
      </c>
      <c r="C2265" s="261" t="s">
        <v>5</v>
      </c>
      <c r="D2265" s="266">
        <v>12.96</v>
      </c>
    </row>
    <row r="2266" spans="1:4" ht="31.5">
      <c r="A2266" s="261">
        <v>1917428</v>
      </c>
      <c r="B2266" s="265" t="s">
        <v>13564</v>
      </c>
      <c r="C2266" s="261" t="s">
        <v>5</v>
      </c>
      <c r="D2266" s="266">
        <v>14.78</v>
      </c>
    </row>
    <row r="2267" spans="1:4" ht="31.5">
      <c r="A2267" s="261">
        <v>1917429</v>
      </c>
      <c r="B2267" s="265" t="s">
        <v>13565</v>
      </c>
      <c r="C2267" s="261" t="s">
        <v>5</v>
      </c>
      <c r="D2267" s="266">
        <v>16.690000000000001</v>
      </c>
    </row>
    <row r="2268" spans="1:4" ht="31.5">
      <c r="A2268" s="261">
        <v>1917430</v>
      </c>
      <c r="B2268" s="265" t="s">
        <v>13566</v>
      </c>
      <c r="C2268" s="261" t="s">
        <v>5</v>
      </c>
      <c r="D2268" s="266">
        <v>19.22</v>
      </c>
    </row>
    <row r="2269" spans="1:4" ht="31.5">
      <c r="A2269" s="261">
        <v>1917431</v>
      </c>
      <c r="B2269" s="265" t="s">
        <v>13567</v>
      </c>
      <c r="C2269" s="261" t="s">
        <v>5</v>
      </c>
      <c r="D2269" s="266">
        <v>21.44</v>
      </c>
    </row>
    <row r="2270" spans="1:4" ht="31.5">
      <c r="A2270" s="261">
        <v>1917432</v>
      </c>
      <c r="B2270" s="265" t="s">
        <v>13568</v>
      </c>
      <c r="C2270" s="261" t="s">
        <v>5</v>
      </c>
      <c r="D2270" s="266">
        <v>24.3</v>
      </c>
    </row>
    <row r="2271" spans="1:4" ht="31.5">
      <c r="A2271" s="261">
        <v>1917433</v>
      </c>
      <c r="B2271" s="265" t="s">
        <v>13569</v>
      </c>
      <c r="C2271" s="261" t="s">
        <v>5</v>
      </c>
      <c r="D2271" s="266">
        <v>27.23</v>
      </c>
    </row>
    <row r="2272" spans="1:4" ht="31.5">
      <c r="A2272" s="261">
        <v>1917434</v>
      </c>
      <c r="B2272" s="265" t="s">
        <v>13570</v>
      </c>
      <c r="C2272" s="261" t="s">
        <v>5</v>
      </c>
      <c r="D2272" s="266">
        <v>30.7</v>
      </c>
    </row>
    <row r="2273" spans="1:4" ht="31.5">
      <c r="A2273" s="261">
        <v>1917435</v>
      </c>
      <c r="B2273" s="265" t="s">
        <v>13571</v>
      </c>
      <c r="C2273" s="261" t="s">
        <v>5</v>
      </c>
      <c r="D2273" s="266">
        <v>34.840000000000003</v>
      </c>
    </row>
    <row r="2274" spans="1:4" ht="31.5">
      <c r="A2274" s="261">
        <v>1917436</v>
      </c>
      <c r="B2274" s="265" t="s">
        <v>13572</v>
      </c>
      <c r="C2274" s="261" t="s">
        <v>5</v>
      </c>
      <c r="D2274" s="266">
        <v>38.590000000000003</v>
      </c>
    </row>
    <row r="2275" spans="1:4" ht="31.5">
      <c r="A2275" s="261">
        <v>1917437</v>
      </c>
      <c r="B2275" s="265" t="s">
        <v>13573</v>
      </c>
      <c r="C2275" s="261" t="s">
        <v>5</v>
      </c>
      <c r="D2275" s="266">
        <v>43.38</v>
      </c>
    </row>
    <row r="2276" spans="1:4" ht="31.5">
      <c r="A2276" s="261">
        <v>1917438</v>
      </c>
      <c r="B2276" s="265" t="s">
        <v>13574</v>
      </c>
      <c r="C2276" s="261" t="s">
        <v>5</v>
      </c>
      <c r="D2276" s="266">
        <v>46.72</v>
      </c>
    </row>
    <row r="2277" spans="1:4" ht="31.5">
      <c r="A2277" s="261">
        <v>1917439</v>
      </c>
      <c r="B2277" s="265" t="s">
        <v>13575</v>
      </c>
      <c r="C2277" s="261" t="s">
        <v>5</v>
      </c>
      <c r="D2277" s="266">
        <v>49.66</v>
      </c>
    </row>
    <row r="2278" spans="1:4" ht="31.5">
      <c r="A2278" s="261">
        <v>1917412</v>
      </c>
      <c r="B2278" s="265" t="s">
        <v>13576</v>
      </c>
      <c r="C2278" s="261" t="s">
        <v>5</v>
      </c>
      <c r="D2278" s="266">
        <v>4.1100000000000003</v>
      </c>
    </row>
    <row r="2279" spans="1:4" ht="31.5">
      <c r="A2279" s="261">
        <v>1917413</v>
      </c>
      <c r="B2279" s="265" t="s">
        <v>13577</v>
      </c>
      <c r="C2279" s="261" t="s">
        <v>5</v>
      </c>
      <c r="D2279" s="266">
        <v>4.59</v>
      </c>
    </row>
    <row r="2280" spans="1:4" ht="31.5">
      <c r="A2280" s="261">
        <v>1917414</v>
      </c>
      <c r="B2280" s="265" t="s">
        <v>13578</v>
      </c>
      <c r="C2280" s="261" t="s">
        <v>5</v>
      </c>
      <c r="D2280" s="266">
        <v>5.07</v>
      </c>
    </row>
    <row r="2281" spans="1:4" ht="31.5">
      <c r="A2281" s="261">
        <v>1917733</v>
      </c>
      <c r="B2281" s="265" t="s">
        <v>13579</v>
      </c>
      <c r="C2281" s="261" t="s">
        <v>5</v>
      </c>
      <c r="D2281" s="266">
        <v>3.84</v>
      </c>
    </row>
    <row r="2282" spans="1:4">
      <c r="A2282" s="261">
        <v>1917049</v>
      </c>
      <c r="B2282" s="265" t="s">
        <v>13580</v>
      </c>
      <c r="C2282" s="261" t="s">
        <v>5</v>
      </c>
      <c r="D2282" s="266">
        <v>12.06</v>
      </c>
    </row>
    <row r="2283" spans="1:4">
      <c r="A2283" s="261">
        <v>1917050</v>
      </c>
      <c r="B2283" s="265" t="s">
        <v>13581</v>
      </c>
      <c r="C2283" s="261" t="s">
        <v>5</v>
      </c>
      <c r="D2283" s="266">
        <v>12.27</v>
      </c>
    </row>
    <row r="2284" spans="1:4">
      <c r="A2284" s="261">
        <v>1917051</v>
      </c>
      <c r="B2284" s="265" t="s">
        <v>13582</v>
      </c>
      <c r="C2284" s="261" t="s">
        <v>5</v>
      </c>
      <c r="D2284" s="266">
        <v>12.5</v>
      </c>
    </row>
    <row r="2285" spans="1:4">
      <c r="A2285" s="261">
        <v>1917052</v>
      </c>
      <c r="B2285" s="265" t="s">
        <v>13583</v>
      </c>
      <c r="C2285" s="261" t="s">
        <v>5</v>
      </c>
      <c r="D2285" s="266">
        <v>12.74</v>
      </c>
    </row>
    <row r="2286" spans="1:4">
      <c r="A2286" s="261">
        <v>1917053</v>
      </c>
      <c r="B2286" s="265" t="s">
        <v>13584</v>
      </c>
      <c r="C2286" s="261" t="s">
        <v>5</v>
      </c>
      <c r="D2286" s="266">
        <v>12.99</v>
      </c>
    </row>
    <row r="2287" spans="1:4">
      <c r="A2287" s="261">
        <v>1917054</v>
      </c>
      <c r="B2287" s="265" t="s">
        <v>13585</v>
      </c>
      <c r="C2287" s="261" t="s">
        <v>5</v>
      </c>
      <c r="D2287" s="266">
        <v>13.12</v>
      </c>
    </row>
    <row r="2288" spans="1:4">
      <c r="A2288" s="261">
        <v>1901553</v>
      </c>
      <c r="B2288" s="265" t="s">
        <v>13586</v>
      </c>
      <c r="C2288" s="261" t="s">
        <v>5</v>
      </c>
      <c r="D2288" s="266">
        <v>8.1</v>
      </c>
    </row>
    <row r="2289" spans="1:4">
      <c r="A2289" s="261">
        <v>1901554</v>
      </c>
      <c r="B2289" s="265" t="s">
        <v>13587</v>
      </c>
      <c r="C2289" s="261" t="s">
        <v>5</v>
      </c>
      <c r="D2289" s="266">
        <v>8.16</v>
      </c>
    </row>
    <row r="2290" spans="1:4">
      <c r="A2290" s="261">
        <v>1901555</v>
      </c>
      <c r="B2290" s="265" t="s">
        <v>13588</v>
      </c>
      <c r="C2290" s="261" t="s">
        <v>5</v>
      </c>
      <c r="D2290" s="266">
        <v>8.23</v>
      </c>
    </row>
    <row r="2291" spans="1:4">
      <c r="A2291" s="261">
        <v>1901556</v>
      </c>
      <c r="B2291" s="265" t="s">
        <v>13589</v>
      </c>
      <c r="C2291" s="261" t="s">
        <v>5</v>
      </c>
      <c r="D2291" s="266">
        <v>8.3000000000000007</v>
      </c>
    </row>
    <row r="2292" spans="1:4">
      <c r="A2292" s="261">
        <v>1901557</v>
      </c>
      <c r="B2292" s="265" t="s">
        <v>13590</v>
      </c>
      <c r="C2292" s="261" t="s">
        <v>5</v>
      </c>
      <c r="D2292" s="266">
        <v>8.3800000000000008</v>
      </c>
    </row>
    <row r="2293" spans="1:4">
      <c r="A2293" s="261">
        <v>1901558</v>
      </c>
      <c r="B2293" s="265" t="s">
        <v>13591</v>
      </c>
      <c r="C2293" s="261" t="s">
        <v>5</v>
      </c>
      <c r="D2293" s="266">
        <v>8.42</v>
      </c>
    </row>
    <row r="2294" spans="1:4">
      <c r="A2294" s="261">
        <v>1901560</v>
      </c>
      <c r="B2294" s="265" t="s">
        <v>13592</v>
      </c>
      <c r="C2294" s="261" t="s">
        <v>5</v>
      </c>
      <c r="D2294" s="266">
        <v>10.73</v>
      </c>
    </row>
    <row r="2295" spans="1:4">
      <c r="A2295" s="261">
        <v>1901561</v>
      </c>
      <c r="B2295" s="265" t="s">
        <v>13593</v>
      </c>
      <c r="C2295" s="261" t="s">
        <v>5</v>
      </c>
      <c r="D2295" s="266">
        <v>10.79</v>
      </c>
    </row>
    <row r="2296" spans="1:4">
      <c r="A2296" s="261">
        <v>1901562</v>
      </c>
      <c r="B2296" s="265" t="s">
        <v>13594</v>
      </c>
      <c r="C2296" s="261" t="s">
        <v>5</v>
      </c>
      <c r="D2296" s="266">
        <v>10.85</v>
      </c>
    </row>
    <row r="2297" spans="1:4">
      <c r="A2297" s="261">
        <v>1901563</v>
      </c>
      <c r="B2297" s="265" t="s">
        <v>13595</v>
      </c>
      <c r="C2297" s="261" t="s">
        <v>5</v>
      </c>
      <c r="D2297" s="266">
        <v>10.92</v>
      </c>
    </row>
    <row r="2298" spans="1:4">
      <c r="A2298" s="261">
        <v>1901564</v>
      </c>
      <c r="B2298" s="265" t="s">
        <v>13596</v>
      </c>
      <c r="C2298" s="261" t="s">
        <v>5</v>
      </c>
      <c r="D2298" s="266">
        <v>10.99</v>
      </c>
    </row>
    <row r="2299" spans="1:4">
      <c r="A2299" s="261">
        <v>1901559</v>
      </c>
      <c r="B2299" s="265" t="s">
        <v>13597</v>
      </c>
      <c r="C2299" s="261" t="s">
        <v>5</v>
      </c>
      <c r="D2299" s="266">
        <v>11.03</v>
      </c>
    </row>
    <row r="2300" spans="1:4">
      <c r="A2300" s="261">
        <v>1917085</v>
      </c>
      <c r="B2300" s="265" t="s">
        <v>13598</v>
      </c>
      <c r="C2300" s="261" t="s">
        <v>5</v>
      </c>
      <c r="D2300" s="266">
        <v>10.59</v>
      </c>
    </row>
    <row r="2301" spans="1:4">
      <c r="A2301" s="261">
        <v>1917086</v>
      </c>
      <c r="B2301" s="265" t="s">
        <v>13599</v>
      </c>
      <c r="C2301" s="261" t="s">
        <v>5</v>
      </c>
      <c r="D2301" s="266">
        <v>10.73</v>
      </c>
    </row>
    <row r="2302" spans="1:4">
      <c r="A2302" s="261">
        <v>1917087</v>
      </c>
      <c r="B2302" s="265" t="s">
        <v>13600</v>
      </c>
      <c r="C2302" s="261" t="s">
        <v>5</v>
      </c>
      <c r="D2302" s="266">
        <v>10.87</v>
      </c>
    </row>
    <row r="2303" spans="1:4">
      <c r="A2303" s="261">
        <v>1917088</v>
      </c>
      <c r="B2303" s="265" t="s">
        <v>13601</v>
      </c>
      <c r="C2303" s="261" t="s">
        <v>5</v>
      </c>
      <c r="D2303" s="266">
        <v>11.02</v>
      </c>
    </row>
    <row r="2304" spans="1:4">
      <c r="A2304" s="261">
        <v>1917089</v>
      </c>
      <c r="B2304" s="265" t="s">
        <v>13602</v>
      </c>
      <c r="C2304" s="261" t="s">
        <v>5</v>
      </c>
      <c r="D2304" s="266">
        <v>11.17</v>
      </c>
    </row>
    <row r="2305" spans="1:4">
      <c r="A2305" s="261">
        <v>1917090</v>
      </c>
      <c r="B2305" s="265" t="s">
        <v>13603</v>
      </c>
      <c r="C2305" s="261" t="s">
        <v>5</v>
      </c>
      <c r="D2305" s="266">
        <v>11.26</v>
      </c>
    </row>
    <row r="2306" spans="1:4">
      <c r="A2306" s="261">
        <v>1901566</v>
      </c>
      <c r="B2306" s="265" t="s">
        <v>13604</v>
      </c>
      <c r="C2306" s="261" t="s">
        <v>5</v>
      </c>
      <c r="D2306" s="266">
        <v>13.42</v>
      </c>
    </row>
    <row r="2307" spans="1:4">
      <c r="A2307" s="261">
        <v>1901567</v>
      </c>
      <c r="B2307" s="265" t="s">
        <v>13605</v>
      </c>
      <c r="C2307" s="261" t="s">
        <v>5</v>
      </c>
      <c r="D2307" s="266">
        <v>13.48</v>
      </c>
    </row>
    <row r="2308" spans="1:4">
      <c r="A2308" s="261">
        <v>1901568</v>
      </c>
      <c r="B2308" s="265" t="s">
        <v>13606</v>
      </c>
      <c r="C2308" s="261" t="s">
        <v>5</v>
      </c>
      <c r="D2308" s="266">
        <v>13.54</v>
      </c>
    </row>
    <row r="2309" spans="1:4">
      <c r="A2309" s="261">
        <v>1901569</v>
      </c>
      <c r="B2309" s="265" t="s">
        <v>13607</v>
      </c>
      <c r="C2309" s="261" t="s">
        <v>5</v>
      </c>
      <c r="D2309" s="266">
        <v>13.6</v>
      </c>
    </row>
    <row r="2310" spans="1:4">
      <c r="A2310" s="261">
        <v>1901570</v>
      </c>
      <c r="B2310" s="265" t="s">
        <v>13608</v>
      </c>
      <c r="C2310" s="261" t="s">
        <v>5</v>
      </c>
      <c r="D2310" s="266">
        <v>13.67</v>
      </c>
    </row>
    <row r="2311" spans="1:4">
      <c r="A2311" s="261">
        <v>1901565</v>
      </c>
      <c r="B2311" s="265" t="s">
        <v>13609</v>
      </c>
      <c r="C2311" s="261" t="s">
        <v>5</v>
      </c>
      <c r="D2311" s="266">
        <v>13.71</v>
      </c>
    </row>
    <row r="2312" spans="1:4">
      <c r="A2312" s="261">
        <v>1917121</v>
      </c>
      <c r="B2312" s="265" t="s">
        <v>13610</v>
      </c>
      <c r="C2312" s="261" t="s">
        <v>5</v>
      </c>
      <c r="D2312" s="266">
        <v>9.93</v>
      </c>
    </row>
    <row r="2313" spans="1:4">
      <c r="A2313" s="261">
        <v>1917122</v>
      </c>
      <c r="B2313" s="265" t="s">
        <v>13611</v>
      </c>
      <c r="C2313" s="261" t="s">
        <v>5</v>
      </c>
      <c r="D2313" s="266">
        <v>10.050000000000001</v>
      </c>
    </row>
    <row r="2314" spans="1:4">
      <c r="A2314" s="261">
        <v>1917123</v>
      </c>
      <c r="B2314" s="265" t="s">
        <v>13612</v>
      </c>
      <c r="C2314" s="261" t="s">
        <v>5</v>
      </c>
      <c r="D2314" s="266">
        <v>10.16</v>
      </c>
    </row>
    <row r="2315" spans="1:4">
      <c r="A2315" s="261">
        <v>1917124</v>
      </c>
      <c r="B2315" s="265" t="s">
        <v>13613</v>
      </c>
      <c r="C2315" s="261" t="s">
        <v>5</v>
      </c>
      <c r="D2315" s="266">
        <v>10.28</v>
      </c>
    </row>
    <row r="2316" spans="1:4">
      <c r="A2316" s="261">
        <v>1917125</v>
      </c>
      <c r="B2316" s="265" t="s">
        <v>13614</v>
      </c>
      <c r="C2316" s="261" t="s">
        <v>5</v>
      </c>
      <c r="D2316" s="266">
        <v>10.41</v>
      </c>
    </row>
    <row r="2317" spans="1:4">
      <c r="A2317" s="261">
        <v>1917126</v>
      </c>
      <c r="B2317" s="265" t="s">
        <v>13615</v>
      </c>
      <c r="C2317" s="261" t="s">
        <v>5</v>
      </c>
      <c r="D2317" s="266">
        <v>10.48</v>
      </c>
    </row>
    <row r="2318" spans="1:4">
      <c r="A2318" s="261">
        <v>1917157</v>
      </c>
      <c r="B2318" s="265" t="s">
        <v>13616</v>
      </c>
      <c r="C2318" s="261" t="s">
        <v>5</v>
      </c>
      <c r="D2318" s="266">
        <v>9.27</v>
      </c>
    </row>
    <row r="2319" spans="1:4">
      <c r="A2319" s="261">
        <v>1917158</v>
      </c>
      <c r="B2319" s="265" t="s">
        <v>13617</v>
      </c>
      <c r="C2319" s="261" t="s">
        <v>5</v>
      </c>
      <c r="D2319" s="266">
        <v>9.3699999999999992</v>
      </c>
    </row>
    <row r="2320" spans="1:4">
      <c r="A2320" s="261">
        <v>1917159</v>
      </c>
      <c r="B2320" s="265" t="s">
        <v>13618</v>
      </c>
      <c r="C2320" s="261" t="s">
        <v>5</v>
      </c>
      <c r="D2320" s="266">
        <v>9.4700000000000006</v>
      </c>
    </row>
    <row r="2321" spans="1:4">
      <c r="A2321" s="261">
        <v>1917160</v>
      </c>
      <c r="B2321" s="265" t="s">
        <v>13619</v>
      </c>
      <c r="C2321" s="261" t="s">
        <v>5</v>
      </c>
      <c r="D2321" s="266">
        <v>9.58</v>
      </c>
    </row>
    <row r="2322" spans="1:4">
      <c r="A2322" s="261">
        <v>1917161</v>
      </c>
      <c r="B2322" s="265" t="s">
        <v>13620</v>
      </c>
      <c r="C2322" s="261" t="s">
        <v>5</v>
      </c>
      <c r="D2322" s="266">
        <v>9.69</v>
      </c>
    </row>
    <row r="2323" spans="1:4">
      <c r="A2323" s="261">
        <v>1917162</v>
      </c>
      <c r="B2323" s="265" t="s">
        <v>13621</v>
      </c>
      <c r="C2323" s="261" t="s">
        <v>5</v>
      </c>
      <c r="D2323" s="266">
        <v>9.75</v>
      </c>
    </row>
    <row r="2324" spans="1:4">
      <c r="A2324" s="261">
        <v>1917193</v>
      </c>
      <c r="B2324" s="265" t="s">
        <v>13622</v>
      </c>
      <c r="C2324" s="261" t="s">
        <v>5</v>
      </c>
      <c r="D2324" s="266">
        <v>8.64</v>
      </c>
    </row>
    <row r="2325" spans="1:4">
      <c r="A2325" s="261">
        <v>1917194</v>
      </c>
      <c r="B2325" s="265" t="s">
        <v>13623</v>
      </c>
      <c r="C2325" s="261" t="s">
        <v>5</v>
      </c>
      <c r="D2325" s="266">
        <v>8.73</v>
      </c>
    </row>
    <row r="2326" spans="1:4">
      <c r="A2326" s="261">
        <v>1917195</v>
      </c>
      <c r="B2326" s="265" t="s">
        <v>13624</v>
      </c>
      <c r="C2326" s="261" t="s">
        <v>5</v>
      </c>
      <c r="D2326" s="266">
        <v>8.82</v>
      </c>
    </row>
    <row r="2327" spans="1:4">
      <c r="A2327" s="261">
        <v>1917196</v>
      </c>
      <c r="B2327" s="265" t="s">
        <v>13625</v>
      </c>
      <c r="C2327" s="261" t="s">
        <v>5</v>
      </c>
      <c r="D2327" s="266">
        <v>8.92</v>
      </c>
    </row>
    <row r="2328" spans="1:4">
      <c r="A2328" s="261">
        <v>1917197</v>
      </c>
      <c r="B2328" s="265" t="s">
        <v>13626</v>
      </c>
      <c r="C2328" s="261" t="s">
        <v>5</v>
      </c>
      <c r="D2328" s="266">
        <v>9.02</v>
      </c>
    </row>
    <row r="2329" spans="1:4">
      <c r="A2329" s="261">
        <v>1917198</v>
      </c>
      <c r="B2329" s="265" t="s">
        <v>13627</v>
      </c>
      <c r="C2329" s="261" t="s">
        <v>5</v>
      </c>
      <c r="D2329" s="266">
        <v>9.07</v>
      </c>
    </row>
    <row r="2330" spans="1:4">
      <c r="A2330" s="261">
        <v>1917013</v>
      </c>
      <c r="B2330" s="265" t="s">
        <v>13628</v>
      </c>
      <c r="C2330" s="261" t="s">
        <v>5</v>
      </c>
      <c r="D2330" s="266">
        <v>16.36</v>
      </c>
    </row>
    <row r="2331" spans="1:4">
      <c r="A2331" s="261">
        <v>1917014</v>
      </c>
      <c r="B2331" s="265" t="s">
        <v>13629</v>
      </c>
      <c r="C2331" s="261" t="s">
        <v>5</v>
      </c>
      <c r="D2331" s="266">
        <v>16.68</v>
      </c>
    </row>
    <row r="2332" spans="1:4">
      <c r="A2332" s="261">
        <v>1917015</v>
      </c>
      <c r="B2332" s="265" t="s">
        <v>13630</v>
      </c>
      <c r="C2332" s="261" t="s">
        <v>5</v>
      </c>
      <c r="D2332" s="266">
        <v>17</v>
      </c>
    </row>
    <row r="2333" spans="1:4">
      <c r="A2333" s="261">
        <v>1917016</v>
      </c>
      <c r="B2333" s="265" t="s">
        <v>13631</v>
      </c>
      <c r="C2333" s="261" t="s">
        <v>5</v>
      </c>
      <c r="D2333" s="266">
        <v>17.34</v>
      </c>
    </row>
    <row r="2334" spans="1:4">
      <c r="A2334" s="261">
        <v>1917017</v>
      </c>
      <c r="B2334" s="265" t="s">
        <v>13632</v>
      </c>
      <c r="C2334" s="261" t="s">
        <v>5</v>
      </c>
      <c r="D2334" s="266">
        <v>17.7</v>
      </c>
    </row>
    <row r="2335" spans="1:4">
      <c r="A2335" s="261">
        <v>1917018</v>
      </c>
      <c r="B2335" s="265" t="s">
        <v>13633</v>
      </c>
      <c r="C2335" s="261" t="s">
        <v>5</v>
      </c>
      <c r="D2335" s="266">
        <v>17.88</v>
      </c>
    </row>
    <row r="2336" spans="1:4" ht="31.5">
      <c r="A2336" s="261">
        <v>1917623</v>
      </c>
      <c r="B2336" s="265" t="s">
        <v>13634</v>
      </c>
      <c r="C2336" s="261" t="s">
        <v>5</v>
      </c>
      <c r="D2336" s="266">
        <v>18.84</v>
      </c>
    </row>
    <row r="2337" spans="1:4" ht="31.5">
      <c r="A2337" s="261">
        <v>1917624</v>
      </c>
      <c r="B2337" s="265" t="s">
        <v>13635</v>
      </c>
      <c r="C2337" s="261" t="s">
        <v>5</v>
      </c>
      <c r="D2337" s="266">
        <v>23.73</v>
      </c>
    </row>
    <row r="2338" spans="1:4" ht="31.5">
      <c r="A2338" s="261">
        <v>1917625</v>
      </c>
      <c r="B2338" s="265" t="s">
        <v>13636</v>
      </c>
      <c r="C2338" s="261" t="s">
        <v>5</v>
      </c>
      <c r="D2338" s="266">
        <v>29.63</v>
      </c>
    </row>
    <row r="2339" spans="1:4" ht="31.5">
      <c r="A2339" s="261">
        <v>1917626</v>
      </c>
      <c r="B2339" s="265" t="s">
        <v>13637</v>
      </c>
      <c r="C2339" s="261" t="s">
        <v>5</v>
      </c>
      <c r="D2339" s="266">
        <v>36.19</v>
      </c>
    </row>
    <row r="2340" spans="1:4" ht="31.5">
      <c r="A2340" s="261">
        <v>1917627</v>
      </c>
      <c r="B2340" s="265" t="s">
        <v>13638</v>
      </c>
      <c r="C2340" s="261" t="s">
        <v>5</v>
      </c>
      <c r="D2340" s="266">
        <v>43.44</v>
      </c>
    </row>
    <row r="2341" spans="1:4" ht="31.5">
      <c r="A2341" s="261">
        <v>1917628</v>
      </c>
      <c r="B2341" s="265" t="s">
        <v>13639</v>
      </c>
      <c r="C2341" s="261" t="s">
        <v>5</v>
      </c>
      <c r="D2341" s="266">
        <v>50.7</v>
      </c>
    </row>
    <row r="2342" spans="1:4" ht="31.5">
      <c r="A2342" s="261">
        <v>1917620</v>
      </c>
      <c r="B2342" s="265" t="s">
        <v>13640</v>
      </c>
      <c r="C2342" s="261" t="s">
        <v>5</v>
      </c>
      <c r="D2342" s="266">
        <v>8.8699999999999992</v>
      </c>
    </row>
    <row r="2343" spans="1:4" ht="31.5">
      <c r="A2343" s="261">
        <v>1917621</v>
      </c>
      <c r="B2343" s="265" t="s">
        <v>13641</v>
      </c>
      <c r="C2343" s="261" t="s">
        <v>5</v>
      </c>
      <c r="D2343" s="266">
        <v>10.34</v>
      </c>
    </row>
    <row r="2344" spans="1:4" ht="31.5">
      <c r="A2344" s="261">
        <v>1917622</v>
      </c>
      <c r="B2344" s="265" t="s">
        <v>13642</v>
      </c>
      <c r="C2344" s="261" t="s">
        <v>5</v>
      </c>
      <c r="D2344" s="266">
        <v>12.85</v>
      </c>
    </row>
    <row r="2345" spans="1:4" ht="31.5">
      <c r="A2345" s="261">
        <v>1917741</v>
      </c>
      <c r="B2345" s="265" t="s">
        <v>13643</v>
      </c>
      <c r="C2345" s="261" t="s">
        <v>5</v>
      </c>
      <c r="D2345" s="266">
        <v>8.2100000000000009</v>
      </c>
    </row>
    <row r="2346" spans="1:4" ht="31.5">
      <c r="A2346" s="261">
        <v>1917269</v>
      </c>
      <c r="B2346" s="265" t="s">
        <v>13644</v>
      </c>
      <c r="C2346" s="261" t="s">
        <v>5</v>
      </c>
      <c r="D2346" s="266">
        <v>22.7</v>
      </c>
    </row>
    <row r="2347" spans="1:4" ht="31.5">
      <c r="A2347" s="261">
        <v>1917270</v>
      </c>
      <c r="B2347" s="265" t="s">
        <v>13645</v>
      </c>
      <c r="C2347" s="261" t="s">
        <v>5</v>
      </c>
      <c r="D2347" s="266">
        <v>30.51</v>
      </c>
    </row>
    <row r="2348" spans="1:4" ht="31.5">
      <c r="A2348" s="261">
        <v>1917266</v>
      </c>
      <c r="B2348" s="265" t="s">
        <v>13646</v>
      </c>
      <c r="C2348" s="261" t="s">
        <v>5</v>
      </c>
      <c r="D2348" s="266">
        <v>7.5</v>
      </c>
    </row>
    <row r="2349" spans="1:4" ht="31.5">
      <c r="A2349" s="261">
        <v>1917267</v>
      </c>
      <c r="B2349" s="265" t="s">
        <v>13647</v>
      </c>
      <c r="C2349" s="261" t="s">
        <v>5</v>
      </c>
      <c r="D2349" s="266">
        <v>10.86</v>
      </c>
    </row>
    <row r="2350" spans="1:4" ht="31.5">
      <c r="A2350" s="261">
        <v>1917268</v>
      </c>
      <c r="B2350" s="265" t="s">
        <v>13648</v>
      </c>
      <c r="C2350" s="261" t="s">
        <v>5</v>
      </c>
      <c r="D2350" s="266">
        <v>16.52</v>
      </c>
    </row>
    <row r="2351" spans="1:4" ht="31.5">
      <c r="A2351" s="261">
        <v>1917728</v>
      </c>
      <c r="B2351" s="265" t="s">
        <v>13649</v>
      </c>
      <c r="C2351" s="261" t="s">
        <v>5</v>
      </c>
      <c r="D2351" s="266">
        <v>6.93</v>
      </c>
    </row>
    <row r="2352" spans="1:4">
      <c r="A2352" s="261">
        <v>1917358</v>
      </c>
      <c r="B2352" s="265" t="s">
        <v>13650</v>
      </c>
      <c r="C2352" s="261" t="s">
        <v>5</v>
      </c>
      <c r="D2352" s="266">
        <v>7.04</v>
      </c>
    </row>
    <row r="2353" spans="1:4" ht="31.5">
      <c r="A2353" s="261">
        <v>1917362</v>
      </c>
      <c r="B2353" s="265" t="s">
        <v>13651</v>
      </c>
      <c r="C2353" s="261" t="s">
        <v>5</v>
      </c>
      <c r="D2353" s="266">
        <v>33.42</v>
      </c>
    </row>
    <row r="2354" spans="1:4" ht="31.5">
      <c r="A2354" s="261">
        <v>1917363</v>
      </c>
      <c r="B2354" s="265" t="s">
        <v>13652</v>
      </c>
      <c r="C2354" s="261" t="s">
        <v>5</v>
      </c>
      <c r="D2354" s="266">
        <v>40.659999999999997</v>
      </c>
    </row>
    <row r="2355" spans="1:4" ht="31.5">
      <c r="A2355" s="261">
        <v>1917359</v>
      </c>
      <c r="B2355" s="265" t="s">
        <v>13653</v>
      </c>
      <c r="C2355" s="261" t="s">
        <v>5</v>
      </c>
      <c r="D2355" s="266">
        <v>9.91</v>
      </c>
    </row>
    <row r="2356" spans="1:4" ht="31.5">
      <c r="A2356" s="261">
        <v>1917360</v>
      </c>
      <c r="B2356" s="265" t="s">
        <v>13654</v>
      </c>
      <c r="C2356" s="261" t="s">
        <v>5</v>
      </c>
      <c r="D2356" s="266">
        <v>16.13</v>
      </c>
    </row>
    <row r="2357" spans="1:4" ht="31.5">
      <c r="A2357" s="261">
        <v>1917361</v>
      </c>
      <c r="B2357" s="265" t="s">
        <v>13655</v>
      </c>
      <c r="C2357" s="261" t="s">
        <v>5</v>
      </c>
      <c r="D2357" s="266">
        <v>24.03</v>
      </c>
    </row>
    <row r="2358" spans="1:4" ht="31.5">
      <c r="A2358" s="261">
        <v>1917476</v>
      </c>
      <c r="B2358" s="265" t="s">
        <v>13656</v>
      </c>
      <c r="C2358" s="261" t="s">
        <v>5</v>
      </c>
      <c r="D2358" s="266">
        <v>25</v>
      </c>
    </row>
    <row r="2359" spans="1:4" ht="31.5">
      <c r="A2359" s="261">
        <v>1917477</v>
      </c>
      <c r="B2359" s="265" t="s">
        <v>13657</v>
      </c>
      <c r="C2359" s="261" t="s">
        <v>5</v>
      </c>
      <c r="D2359" s="266">
        <v>32.11</v>
      </c>
    </row>
    <row r="2360" spans="1:4" ht="31.5">
      <c r="A2360" s="261">
        <v>1917478</v>
      </c>
      <c r="B2360" s="265" t="s">
        <v>13658</v>
      </c>
      <c r="C2360" s="261" t="s">
        <v>5</v>
      </c>
      <c r="D2360" s="266">
        <v>41.12</v>
      </c>
    </row>
    <row r="2361" spans="1:4" ht="31.5">
      <c r="A2361" s="261">
        <v>1917479</v>
      </c>
      <c r="B2361" s="265" t="s">
        <v>13659</v>
      </c>
      <c r="C2361" s="261" t="s">
        <v>5</v>
      </c>
      <c r="D2361" s="266">
        <v>44.68</v>
      </c>
    </row>
    <row r="2362" spans="1:4" ht="31.5">
      <c r="A2362" s="261">
        <v>1917473</v>
      </c>
      <c r="B2362" s="265" t="s">
        <v>13660</v>
      </c>
      <c r="C2362" s="261" t="s">
        <v>5</v>
      </c>
      <c r="D2362" s="266">
        <v>11.52</v>
      </c>
    </row>
    <row r="2363" spans="1:4" ht="31.5">
      <c r="A2363" s="261">
        <v>1917474</v>
      </c>
      <c r="B2363" s="265" t="s">
        <v>13661</v>
      </c>
      <c r="C2363" s="261" t="s">
        <v>5</v>
      </c>
      <c r="D2363" s="266">
        <v>14.79</v>
      </c>
    </row>
    <row r="2364" spans="1:4" ht="31.5">
      <c r="A2364" s="261">
        <v>1917475</v>
      </c>
      <c r="B2364" s="265" t="s">
        <v>13662</v>
      </c>
      <c r="C2364" s="261" t="s">
        <v>5</v>
      </c>
      <c r="D2364" s="266">
        <v>18.899999999999999</v>
      </c>
    </row>
    <row r="2365" spans="1:4" ht="31.5">
      <c r="A2365" s="261">
        <v>1917736</v>
      </c>
      <c r="B2365" s="265" t="s">
        <v>13663</v>
      </c>
      <c r="C2365" s="261" t="s">
        <v>5</v>
      </c>
      <c r="D2365" s="266">
        <v>8.32</v>
      </c>
    </row>
    <row r="2366" spans="1:4">
      <c r="A2366" s="261">
        <v>1917067</v>
      </c>
      <c r="B2366" s="265" t="s">
        <v>13664</v>
      </c>
      <c r="C2366" s="261" t="s">
        <v>5</v>
      </c>
      <c r="D2366" s="266">
        <v>11.26</v>
      </c>
    </row>
    <row r="2367" spans="1:4">
      <c r="A2367" s="261">
        <v>1917068</v>
      </c>
      <c r="B2367" s="265" t="s">
        <v>13665</v>
      </c>
      <c r="C2367" s="261" t="s">
        <v>5</v>
      </c>
      <c r="D2367" s="266">
        <v>11.49</v>
      </c>
    </row>
    <row r="2368" spans="1:4">
      <c r="A2368" s="261">
        <v>1917069</v>
      </c>
      <c r="B2368" s="265" t="s">
        <v>13666</v>
      </c>
      <c r="C2368" s="261" t="s">
        <v>5</v>
      </c>
      <c r="D2368" s="266">
        <v>11.72</v>
      </c>
    </row>
    <row r="2369" spans="1:4">
      <c r="A2369" s="261">
        <v>1917070</v>
      </c>
      <c r="B2369" s="265" t="s">
        <v>13667</v>
      </c>
      <c r="C2369" s="261" t="s">
        <v>5</v>
      </c>
      <c r="D2369" s="266">
        <v>11.96</v>
      </c>
    </row>
    <row r="2370" spans="1:4">
      <c r="A2370" s="261">
        <v>1917071</v>
      </c>
      <c r="B2370" s="265" t="s">
        <v>13668</v>
      </c>
      <c r="C2370" s="261" t="s">
        <v>5</v>
      </c>
      <c r="D2370" s="266">
        <v>12.22</v>
      </c>
    </row>
    <row r="2371" spans="1:4">
      <c r="A2371" s="261">
        <v>1917072</v>
      </c>
      <c r="B2371" s="265" t="s">
        <v>13669</v>
      </c>
      <c r="C2371" s="261" t="s">
        <v>5</v>
      </c>
      <c r="D2371" s="266">
        <v>12.35</v>
      </c>
    </row>
    <row r="2372" spans="1:4">
      <c r="A2372" s="261">
        <v>1901572</v>
      </c>
      <c r="B2372" s="265" t="s">
        <v>13670</v>
      </c>
      <c r="C2372" s="261" t="s">
        <v>5</v>
      </c>
      <c r="D2372" s="266">
        <v>7.41</v>
      </c>
    </row>
    <row r="2373" spans="1:4">
      <c r="A2373" s="261">
        <v>1901573</v>
      </c>
      <c r="B2373" s="265" t="s">
        <v>13671</v>
      </c>
      <c r="C2373" s="261" t="s">
        <v>5</v>
      </c>
      <c r="D2373" s="266">
        <v>7.48</v>
      </c>
    </row>
    <row r="2374" spans="1:4">
      <c r="A2374" s="261">
        <v>1901574</v>
      </c>
      <c r="B2374" s="265" t="s">
        <v>13672</v>
      </c>
      <c r="C2374" s="261" t="s">
        <v>5</v>
      </c>
      <c r="D2374" s="266">
        <v>7.55</v>
      </c>
    </row>
    <row r="2375" spans="1:4">
      <c r="A2375" s="261">
        <v>1901575</v>
      </c>
      <c r="B2375" s="265" t="s">
        <v>13673</v>
      </c>
      <c r="C2375" s="261" t="s">
        <v>5</v>
      </c>
      <c r="D2375" s="266">
        <v>7.62</v>
      </c>
    </row>
    <row r="2376" spans="1:4">
      <c r="A2376" s="261">
        <v>1901576</v>
      </c>
      <c r="B2376" s="265" t="s">
        <v>13674</v>
      </c>
      <c r="C2376" s="261" t="s">
        <v>5</v>
      </c>
      <c r="D2376" s="266">
        <v>7.7</v>
      </c>
    </row>
    <row r="2377" spans="1:4">
      <c r="A2377" s="261">
        <v>1901571</v>
      </c>
      <c r="B2377" s="265" t="s">
        <v>13675</v>
      </c>
      <c r="C2377" s="261" t="s">
        <v>5</v>
      </c>
      <c r="D2377" s="266">
        <v>7.74</v>
      </c>
    </row>
    <row r="2378" spans="1:4">
      <c r="A2378" s="261">
        <v>1901578</v>
      </c>
      <c r="B2378" s="265" t="s">
        <v>13676</v>
      </c>
      <c r="C2378" s="261" t="s">
        <v>5</v>
      </c>
      <c r="D2378" s="266">
        <v>9.73</v>
      </c>
    </row>
    <row r="2379" spans="1:4">
      <c r="A2379" s="261">
        <v>1901579</v>
      </c>
      <c r="B2379" s="265" t="s">
        <v>13677</v>
      </c>
      <c r="C2379" s="261" t="s">
        <v>5</v>
      </c>
      <c r="D2379" s="266">
        <v>9.7899999999999991</v>
      </c>
    </row>
    <row r="2380" spans="1:4">
      <c r="A2380" s="261">
        <v>1901580</v>
      </c>
      <c r="B2380" s="265" t="s">
        <v>13678</v>
      </c>
      <c r="C2380" s="261" t="s">
        <v>5</v>
      </c>
      <c r="D2380" s="266">
        <v>9.86</v>
      </c>
    </row>
    <row r="2381" spans="1:4">
      <c r="A2381" s="261">
        <v>1901581</v>
      </c>
      <c r="B2381" s="265" t="s">
        <v>13679</v>
      </c>
      <c r="C2381" s="261" t="s">
        <v>5</v>
      </c>
      <c r="D2381" s="266">
        <v>9.93</v>
      </c>
    </row>
    <row r="2382" spans="1:4">
      <c r="A2382" s="261">
        <v>1901582</v>
      </c>
      <c r="B2382" s="265" t="s">
        <v>13680</v>
      </c>
      <c r="C2382" s="261" t="s">
        <v>5</v>
      </c>
      <c r="D2382" s="266">
        <v>10</v>
      </c>
    </row>
    <row r="2383" spans="1:4">
      <c r="A2383" s="261">
        <v>1901577</v>
      </c>
      <c r="B2383" s="265" t="s">
        <v>13681</v>
      </c>
      <c r="C2383" s="261" t="s">
        <v>5</v>
      </c>
      <c r="D2383" s="266">
        <v>10.039999999999999</v>
      </c>
    </row>
    <row r="2384" spans="1:4">
      <c r="A2384" s="261">
        <v>1917103</v>
      </c>
      <c r="B2384" s="265" t="s">
        <v>13682</v>
      </c>
      <c r="C2384" s="261" t="s">
        <v>5</v>
      </c>
      <c r="D2384" s="266">
        <v>9.7799999999999994</v>
      </c>
    </row>
    <row r="2385" spans="1:4">
      <c r="A2385" s="261">
        <v>1917104</v>
      </c>
      <c r="B2385" s="265" t="s">
        <v>13683</v>
      </c>
      <c r="C2385" s="261" t="s">
        <v>5</v>
      </c>
      <c r="D2385" s="266">
        <v>9.92</v>
      </c>
    </row>
    <row r="2386" spans="1:4">
      <c r="A2386" s="261">
        <v>1917105</v>
      </c>
      <c r="B2386" s="265" t="s">
        <v>13684</v>
      </c>
      <c r="C2386" s="261" t="s">
        <v>5</v>
      </c>
      <c r="D2386" s="266">
        <v>10.07</v>
      </c>
    </row>
    <row r="2387" spans="1:4">
      <c r="A2387" s="261">
        <v>1917106</v>
      </c>
      <c r="B2387" s="265" t="s">
        <v>13685</v>
      </c>
      <c r="C2387" s="261" t="s">
        <v>5</v>
      </c>
      <c r="D2387" s="266">
        <v>10.210000000000001</v>
      </c>
    </row>
    <row r="2388" spans="1:4">
      <c r="A2388" s="261">
        <v>1917107</v>
      </c>
      <c r="B2388" s="265" t="s">
        <v>13686</v>
      </c>
      <c r="C2388" s="261" t="s">
        <v>5</v>
      </c>
      <c r="D2388" s="266">
        <v>10.38</v>
      </c>
    </row>
    <row r="2389" spans="1:4">
      <c r="A2389" s="261">
        <v>1917108</v>
      </c>
      <c r="B2389" s="265" t="s">
        <v>13687</v>
      </c>
      <c r="C2389" s="261" t="s">
        <v>5</v>
      </c>
      <c r="D2389" s="266">
        <v>10.46</v>
      </c>
    </row>
    <row r="2390" spans="1:4">
      <c r="A2390" s="261">
        <v>1901583</v>
      </c>
      <c r="B2390" s="265" t="s">
        <v>13688</v>
      </c>
      <c r="C2390" s="261" t="s">
        <v>5</v>
      </c>
      <c r="D2390" s="266">
        <v>12.11</v>
      </c>
    </row>
    <row r="2391" spans="1:4">
      <c r="A2391" s="261">
        <v>1901584</v>
      </c>
      <c r="B2391" s="265" t="s">
        <v>13689</v>
      </c>
      <c r="C2391" s="261" t="s">
        <v>5</v>
      </c>
      <c r="D2391" s="266">
        <v>12.17</v>
      </c>
    </row>
    <row r="2392" spans="1:4">
      <c r="A2392" s="261">
        <v>1901585</v>
      </c>
      <c r="B2392" s="265" t="s">
        <v>13690</v>
      </c>
      <c r="C2392" s="261" t="s">
        <v>5</v>
      </c>
      <c r="D2392" s="266">
        <v>12.24</v>
      </c>
    </row>
    <row r="2393" spans="1:4">
      <c r="A2393" s="261">
        <v>1901586</v>
      </c>
      <c r="B2393" s="265" t="s">
        <v>13691</v>
      </c>
      <c r="C2393" s="261" t="s">
        <v>5</v>
      </c>
      <c r="D2393" s="266">
        <v>12.3</v>
      </c>
    </row>
    <row r="2394" spans="1:4">
      <c r="A2394" s="261">
        <v>1901587</v>
      </c>
      <c r="B2394" s="265" t="s">
        <v>13692</v>
      </c>
      <c r="C2394" s="261" t="s">
        <v>5</v>
      </c>
      <c r="D2394" s="266">
        <v>12.37</v>
      </c>
    </row>
    <row r="2395" spans="1:4">
      <c r="A2395" s="261">
        <v>1901588</v>
      </c>
      <c r="B2395" s="265" t="s">
        <v>13693</v>
      </c>
      <c r="C2395" s="261" t="s">
        <v>5</v>
      </c>
      <c r="D2395" s="266">
        <v>12.41</v>
      </c>
    </row>
    <row r="2396" spans="1:4">
      <c r="A2396" s="261">
        <v>1917139</v>
      </c>
      <c r="B2396" s="265" t="s">
        <v>13694</v>
      </c>
      <c r="C2396" s="261" t="s">
        <v>5</v>
      </c>
      <c r="D2396" s="266">
        <v>9.14</v>
      </c>
    </row>
    <row r="2397" spans="1:4">
      <c r="A2397" s="261">
        <v>1917140</v>
      </c>
      <c r="B2397" s="265" t="s">
        <v>13695</v>
      </c>
      <c r="C2397" s="261" t="s">
        <v>5</v>
      </c>
      <c r="D2397" s="266">
        <v>9.26</v>
      </c>
    </row>
    <row r="2398" spans="1:4">
      <c r="A2398" s="261">
        <v>1917141</v>
      </c>
      <c r="B2398" s="265" t="s">
        <v>13696</v>
      </c>
      <c r="C2398" s="261" t="s">
        <v>5</v>
      </c>
      <c r="D2398" s="266">
        <v>9.3699999999999992</v>
      </c>
    </row>
    <row r="2399" spans="1:4">
      <c r="A2399" s="261">
        <v>1917142</v>
      </c>
      <c r="B2399" s="265" t="s">
        <v>13697</v>
      </c>
      <c r="C2399" s="261" t="s">
        <v>5</v>
      </c>
      <c r="D2399" s="266">
        <v>9.5</v>
      </c>
    </row>
    <row r="2400" spans="1:4">
      <c r="A2400" s="261">
        <v>1917143</v>
      </c>
      <c r="B2400" s="265" t="s">
        <v>13698</v>
      </c>
      <c r="C2400" s="261" t="s">
        <v>5</v>
      </c>
      <c r="D2400" s="266">
        <v>9.6300000000000008</v>
      </c>
    </row>
    <row r="2401" spans="1:4">
      <c r="A2401" s="261">
        <v>1917144</v>
      </c>
      <c r="B2401" s="265" t="s">
        <v>13699</v>
      </c>
      <c r="C2401" s="261" t="s">
        <v>5</v>
      </c>
      <c r="D2401" s="266">
        <v>9.6999999999999993</v>
      </c>
    </row>
    <row r="2402" spans="1:4">
      <c r="A2402" s="261">
        <v>1917175</v>
      </c>
      <c r="B2402" s="265" t="s">
        <v>13700</v>
      </c>
      <c r="C2402" s="261" t="s">
        <v>5</v>
      </c>
      <c r="D2402" s="266">
        <v>8.52</v>
      </c>
    </row>
    <row r="2403" spans="1:4">
      <c r="A2403" s="261">
        <v>1917176</v>
      </c>
      <c r="B2403" s="265" t="s">
        <v>13701</v>
      </c>
      <c r="C2403" s="261" t="s">
        <v>5</v>
      </c>
      <c r="D2403" s="266">
        <v>8.6199999999999992</v>
      </c>
    </row>
    <row r="2404" spans="1:4">
      <c r="A2404" s="261">
        <v>1917177</v>
      </c>
      <c r="B2404" s="265" t="s">
        <v>13702</v>
      </c>
      <c r="C2404" s="261" t="s">
        <v>5</v>
      </c>
      <c r="D2404" s="266">
        <v>8.73</v>
      </c>
    </row>
    <row r="2405" spans="1:4">
      <c r="A2405" s="261">
        <v>1917178</v>
      </c>
      <c r="B2405" s="265" t="s">
        <v>13703</v>
      </c>
      <c r="C2405" s="261" t="s">
        <v>5</v>
      </c>
      <c r="D2405" s="266">
        <v>8.83</v>
      </c>
    </row>
    <row r="2406" spans="1:4">
      <c r="A2406" s="261">
        <v>1917179</v>
      </c>
      <c r="B2406" s="265" t="s">
        <v>13704</v>
      </c>
      <c r="C2406" s="261" t="s">
        <v>5</v>
      </c>
      <c r="D2406" s="266">
        <v>8.9499999999999993</v>
      </c>
    </row>
    <row r="2407" spans="1:4">
      <c r="A2407" s="261">
        <v>1917180</v>
      </c>
      <c r="B2407" s="265" t="s">
        <v>13705</v>
      </c>
      <c r="C2407" s="261" t="s">
        <v>5</v>
      </c>
      <c r="D2407" s="266">
        <v>9.01</v>
      </c>
    </row>
    <row r="2408" spans="1:4">
      <c r="A2408" s="261">
        <v>1917211</v>
      </c>
      <c r="B2408" s="265" t="s">
        <v>13706</v>
      </c>
      <c r="C2408" s="261" t="s">
        <v>5</v>
      </c>
      <c r="D2408" s="266">
        <v>7.94</v>
      </c>
    </row>
    <row r="2409" spans="1:4">
      <c r="A2409" s="261">
        <v>1917212</v>
      </c>
      <c r="B2409" s="265" t="s">
        <v>13707</v>
      </c>
      <c r="C2409" s="261" t="s">
        <v>5</v>
      </c>
      <c r="D2409" s="266">
        <v>8.0299999999999994</v>
      </c>
    </row>
    <row r="2410" spans="1:4">
      <c r="A2410" s="261">
        <v>1917213</v>
      </c>
      <c r="B2410" s="265" t="s">
        <v>13708</v>
      </c>
      <c r="C2410" s="261" t="s">
        <v>5</v>
      </c>
      <c r="D2410" s="266">
        <v>8.1300000000000008</v>
      </c>
    </row>
    <row r="2411" spans="1:4">
      <c r="A2411" s="261">
        <v>1917214</v>
      </c>
      <c r="B2411" s="265" t="s">
        <v>13709</v>
      </c>
      <c r="C2411" s="261" t="s">
        <v>5</v>
      </c>
      <c r="D2411" s="266">
        <v>8.2200000000000006</v>
      </c>
    </row>
    <row r="2412" spans="1:4">
      <c r="A2412" s="261">
        <v>1917215</v>
      </c>
      <c r="B2412" s="265" t="s">
        <v>13710</v>
      </c>
      <c r="C2412" s="261" t="s">
        <v>5</v>
      </c>
      <c r="D2412" s="266">
        <v>8.33</v>
      </c>
    </row>
    <row r="2413" spans="1:4">
      <c r="A2413" s="261">
        <v>1917216</v>
      </c>
      <c r="B2413" s="265" t="s">
        <v>13711</v>
      </c>
      <c r="C2413" s="261" t="s">
        <v>5</v>
      </c>
      <c r="D2413" s="266">
        <v>8.3800000000000008</v>
      </c>
    </row>
    <row r="2414" spans="1:4">
      <c r="A2414" s="261">
        <v>1917031</v>
      </c>
      <c r="B2414" s="265" t="s">
        <v>13712</v>
      </c>
      <c r="C2414" s="261" t="s">
        <v>5</v>
      </c>
      <c r="D2414" s="266">
        <v>15.24</v>
      </c>
    </row>
    <row r="2415" spans="1:4">
      <c r="A2415" s="261">
        <v>1917032</v>
      </c>
      <c r="B2415" s="265" t="s">
        <v>13713</v>
      </c>
      <c r="C2415" s="261" t="s">
        <v>5</v>
      </c>
      <c r="D2415" s="266">
        <v>15.57</v>
      </c>
    </row>
    <row r="2416" spans="1:4">
      <c r="A2416" s="261">
        <v>1917033</v>
      </c>
      <c r="B2416" s="265" t="s">
        <v>13714</v>
      </c>
      <c r="C2416" s="261" t="s">
        <v>5</v>
      </c>
      <c r="D2416" s="266">
        <v>15.89</v>
      </c>
    </row>
    <row r="2417" spans="1:4">
      <c r="A2417" s="261">
        <v>1917034</v>
      </c>
      <c r="B2417" s="265" t="s">
        <v>13715</v>
      </c>
      <c r="C2417" s="261" t="s">
        <v>5</v>
      </c>
      <c r="D2417" s="266">
        <v>16.239999999999998</v>
      </c>
    </row>
    <row r="2418" spans="1:4">
      <c r="A2418" s="261">
        <v>1917035</v>
      </c>
      <c r="B2418" s="265" t="s">
        <v>13716</v>
      </c>
      <c r="C2418" s="261" t="s">
        <v>5</v>
      </c>
      <c r="D2418" s="266">
        <v>16.61</v>
      </c>
    </row>
    <row r="2419" spans="1:4">
      <c r="A2419" s="261">
        <v>1917036</v>
      </c>
      <c r="B2419" s="265" t="s">
        <v>13717</v>
      </c>
      <c r="C2419" s="261" t="s">
        <v>5</v>
      </c>
      <c r="D2419" s="266">
        <v>16.8</v>
      </c>
    </row>
    <row r="2420" spans="1:4" ht="31.5">
      <c r="A2420" s="261">
        <v>1917605</v>
      </c>
      <c r="B2420" s="265" t="s">
        <v>13718</v>
      </c>
      <c r="C2420" s="261" t="s">
        <v>5</v>
      </c>
      <c r="D2420" s="266">
        <v>8.2899999999999991</v>
      </c>
    </row>
    <row r="2421" spans="1:4" ht="31.5">
      <c r="A2421" s="261">
        <v>1917606</v>
      </c>
      <c r="B2421" s="265" t="s">
        <v>13719</v>
      </c>
      <c r="C2421" s="261" t="s">
        <v>5</v>
      </c>
      <c r="D2421" s="266">
        <v>8.9499999999999993</v>
      </c>
    </row>
    <row r="2422" spans="1:4" ht="31.5">
      <c r="A2422" s="261">
        <v>1917607</v>
      </c>
      <c r="B2422" s="265" t="s">
        <v>13720</v>
      </c>
      <c r="C2422" s="261" t="s">
        <v>5</v>
      </c>
      <c r="D2422" s="266">
        <v>9.6300000000000008</v>
      </c>
    </row>
    <row r="2423" spans="1:4" ht="31.5">
      <c r="A2423" s="261">
        <v>1917608</v>
      </c>
      <c r="B2423" s="265" t="s">
        <v>13721</v>
      </c>
      <c r="C2423" s="261" t="s">
        <v>5</v>
      </c>
      <c r="D2423" s="266">
        <v>10.67</v>
      </c>
    </row>
    <row r="2424" spans="1:4" ht="31.5">
      <c r="A2424" s="261">
        <v>1917609</v>
      </c>
      <c r="B2424" s="265" t="s">
        <v>13722</v>
      </c>
      <c r="C2424" s="261" t="s">
        <v>5</v>
      </c>
      <c r="D2424" s="266">
        <v>12.17</v>
      </c>
    </row>
    <row r="2425" spans="1:4" ht="31.5">
      <c r="A2425" s="261">
        <v>1917610</v>
      </c>
      <c r="B2425" s="265" t="s">
        <v>13723</v>
      </c>
      <c r="C2425" s="261" t="s">
        <v>5</v>
      </c>
      <c r="D2425" s="266">
        <v>14.42</v>
      </c>
    </row>
    <row r="2426" spans="1:4" ht="31.5">
      <c r="A2426" s="261">
        <v>1917611</v>
      </c>
      <c r="B2426" s="265" t="s">
        <v>13724</v>
      </c>
      <c r="C2426" s="261" t="s">
        <v>5</v>
      </c>
      <c r="D2426" s="266">
        <v>16.91</v>
      </c>
    </row>
    <row r="2427" spans="1:4" ht="31.5">
      <c r="A2427" s="261">
        <v>1917612</v>
      </c>
      <c r="B2427" s="265" t="s">
        <v>13725</v>
      </c>
      <c r="C2427" s="261" t="s">
        <v>5</v>
      </c>
      <c r="D2427" s="266">
        <v>19.8</v>
      </c>
    </row>
    <row r="2428" spans="1:4" ht="31.5">
      <c r="A2428" s="261">
        <v>1917613</v>
      </c>
      <c r="B2428" s="265" t="s">
        <v>13726</v>
      </c>
      <c r="C2428" s="261" t="s">
        <v>5</v>
      </c>
      <c r="D2428" s="266">
        <v>23.06</v>
      </c>
    </row>
    <row r="2429" spans="1:4" ht="31.5">
      <c r="A2429" s="261">
        <v>1917614</v>
      </c>
      <c r="B2429" s="265" t="s">
        <v>13727</v>
      </c>
      <c r="C2429" s="261" t="s">
        <v>5</v>
      </c>
      <c r="D2429" s="266">
        <v>26.63</v>
      </c>
    </row>
    <row r="2430" spans="1:4" ht="31.5">
      <c r="A2430" s="261">
        <v>1917615</v>
      </c>
      <c r="B2430" s="265" t="s">
        <v>13728</v>
      </c>
      <c r="C2430" s="261" t="s">
        <v>5</v>
      </c>
      <c r="D2430" s="266">
        <v>30.61</v>
      </c>
    </row>
    <row r="2431" spans="1:4" ht="31.5">
      <c r="A2431" s="261">
        <v>1917616</v>
      </c>
      <c r="B2431" s="265" t="s">
        <v>13729</v>
      </c>
      <c r="C2431" s="261" t="s">
        <v>5</v>
      </c>
      <c r="D2431" s="266">
        <v>35.450000000000003</v>
      </c>
    </row>
    <row r="2432" spans="1:4" ht="31.5">
      <c r="A2432" s="261">
        <v>1917617</v>
      </c>
      <c r="B2432" s="265" t="s">
        <v>13730</v>
      </c>
      <c r="C2432" s="261" t="s">
        <v>5</v>
      </c>
      <c r="D2432" s="266">
        <v>39.729999999999997</v>
      </c>
    </row>
    <row r="2433" spans="1:4" ht="31.5">
      <c r="A2433" s="261">
        <v>1917618</v>
      </c>
      <c r="B2433" s="265" t="s">
        <v>13731</v>
      </c>
      <c r="C2433" s="261" t="s">
        <v>5</v>
      </c>
      <c r="D2433" s="266">
        <v>45.26</v>
      </c>
    </row>
    <row r="2434" spans="1:4" ht="31.5">
      <c r="A2434" s="261">
        <v>1917619</v>
      </c>
      <c r="B2434" s="265" t="s">
        <v>13732</v>
      </c>
      <c r="C2434" s="261" t="s">
        <v>5</v>
      </c>
      <c r="D2434" s="266">
        <v>48.98</v>
      </c>
    </row>
    <row r="2435" spans="1:4" ht="31.5">
      <c r="A2435" s="261">
        <v>1917602</v>
      </c>
      <c r="B2435" s="265" t="s">
        <v>13733</v>
      </c>
      <c r="C2435" s="261" t="s">
        <v>5</v>
      </c>
      <c r="D2435" s="266">
        <v>6.1</v>
      </c>
    </row>
    <row r="2436" spans="1:4" ht="31.5">
      <c r="A2436" s="261">
        <v>1917603</v>
      </c>
      <c r="B2436" s="265" t="s">
        <v>13734</v>
      </c>
      <c r="C2436" s="261" t="s">
        <v>5</v>
      </c>
      <c r="D2436" s="266">
        <v>6.8</v>
      </c>
    </row>
    <row r="2437" spans="1:4" ht="31.5">
      <c r="A2437" s="261">
        <v>1917604</v>
      </c>
      <c r="B2437" s="265" t="s">
        <v>13735</v>
      </c>
      <c r="C2437" s="261" t="s">
        <v>5</v>
      </c>
      <c r="D2437" s="266">
        <v>7.42</v>
      </c>
    </row>
    <row r="2438" spans="1:4" ht="31.5">
      <c r="A2438" s="261">
        <v>1917740</v>
      </c>
      <c r="B2438" s="265" t="s">
        <v>13736</v>
      </c>
      <c r="C2438" s="261" t="s">
        <v>5</v>
      </c>
      <c r="D2438" s="266">
        <v>5.87</v>
      </c>
    </row>
    <row r="2439" spans="1:4" ht="31.5">
      <c r="A2439" s="261">
        <v>1917263</v>
      </c>
      <c r="B2439" s="265" t="s">
        <v>13737</v>
      </c>
      <c r="C2439" s="261" t="s">
        <v>5</v>
      </c>
      <c r="D2439" s="266">
        <v>10.5</v>
      </c>
    </row>
    <row r="2440" spans="1:4" ht="31.5">
      <c r="A2440" s="261">
        <v>1917264</v>
      </c>
      <c r="B2440" s="265" t="s">
        <v>13738</v>
      </c>
      <c r="C2440" s="261" t="s">
        <v>5</v>
      </c>
      <c r="D2440" s="266">
        <v>12.98</v>
      </c>
    </row>
    <row r="2441" spans="1:4" ht="31.5">
      <c r="A2441" s="261">
        <v>1917265</v>
      </c>
      <c r="B2441" s="265" t="s">
        <v>13739</v>
      </c>
      <c r="C2441" s="261" t="s">
        <v>5</v>
      </c>
      <c r="D2441" s="266">
        <v>16.78</v>
      </c>
    </row>
    <row r="2442" spans="1:4" ht="31.5">
      <c r="A2442" s="261">
        <v>1917260</v>
      </c>
      <c r="B2442" s="265" t="s">
        <v>13740</v>
      </c>
      <c r="C2442" s="261" t="s">
        <v>5</v>
      </c>
      <c r="D2442" s="266">
        <v>6.43</v>
      </c>
    </row>
    <row r="2443" spans="1:4" ht="31.5">
      <c r="A2443" s="261">
        <v>1917261</v>
      </c>
      <c r="B2443" s="265" t="s">
        <v>13741</v>
      </c>
      <c r="C2443" s="261" t="s">
        <v>5</v>
      </c>
      <c r="D2443" s="266">
        <v>7.14</v>
      </c>
    </row>
    <row r="2444" spans="1:4" ht="31.5">
      <c r="A2444" s="261">
        <v>1917262</v>
      </c>
      <c r="B2444" s="265" t="s">
        <v>13742</v>
      </c>
      <c r="C2444" s="261" t="s">
        <v>5</v>
      </c>
      <c r="D2444" s="266">
        <v>8.43</v>
      </c>
    </row>
    <row r="2445" spans="1:4" ht="31.5">
      <c r="A2445" s="261">
        <v>1917727</v>
      </c>
      <c r="B2445" s="265" t="s">
        <v>13743</v>
      </c>
      <c r="C2445" s="261" t="s">
        <v>5</v>
      </c>
      <c r="D2445" s="266">
        <v>6.23</v>
      </c>
    </row>
    <row r="2446" spans="1:4" ht="31.5">
      <c r="A2446" s="261">
        <v>1917351</v>
      </c>
      <c r="B2446" s="265" t="s">
        <v>13744</v>
      </c>
      <c r="C2446" s="261" t="s">
        <v>5</v>
      </c>
      <c r="D2446" s="266">
        <v>9.17</v>
      </c>
    </row>
    <row r="2447" spans="1:4" ht="31.5">
      <c r="A2447" s="261">
        <v>1917352</v>
      </c>
      <c r="B2447" s="265" t="s">
        <v>13745</v>
      </c>
      <c r="C2447" s="261" t="s">
        <v>5</v>
      </c>
      <c r="D2447" s="266">
        <v>12.09</v>
      </c>
    </row>
    <row r="2448" spans="1:4" ht="31.5">
      <c r="A2448" s="261">
        <v>1917353</v>
      </c>
      <c r="B2448" s="265" t="s">
        <v>13746</v>
      </c>
      <c r="C2448" s="261" t="s">
        <v>5</v>
      </c>
      <c r="D2448" s="266">
        <v>15.53</v>
      </c>
    </row>
    <row r="2449" spans="1:4" ht="31.5">
      <c r="A2449" s="261">
        <v>1917354</v>
      </c>
      <c r="B2449" s="265" t="s">
        <v>13747</v>
      </c>
      <c r="C2449" s="261" t="s">
        <v>5</v>
      </c>
      <c r="D2449" s="266">
        <v>20.079999999999998</v>
      </c>
    </row>
    <row r="2450" spans="1:4" ht="31.5">
      <c r="A2450" s="261">
        <v>1917355</v>
      </c>
      <c r="B2450" s="265" t="s">
        <v>13748</v>
      </c>
      <c r="C2450" s="261" t="s">
        <v>5</v>
      </c>
      <c r="D2450" s="266">
        <v>25.83</v>
      </c>
    </row>
    <row r="2451" spans="1:4" ht="31.5">
      <c r="A2451" s="261">
        <v>1917356</v>
      </c>
      <c r="B2451" s="265" t="s">
        <v>13749</v>
      </c>
      <c r="C2451" s="261" t="s">
        <v>5</v>
      </c>
      <c r="D2451" s="266">
        <v>31.58</v>
      </c>
    </row>
    <row r="2452" spans="1:4" ht="31.5">
      <c r="A2452" s="261">
        <v>1917357</v>
      </c>
      <c r="B2452" s="265" t="s">
        <v>13750</v>
      </c>
      <c r="C2452" s="261" t="s">
        <v>5</v>
      </c>
      <c r="D2452" s="266">
        <v>36.03</v>
      </c>
    </row>
    <row r="2453" spans="1:4" ht="31.5">
      <c r="A2453" s="261">
        <v>1917348</v>
      </c>
      <c r="B2453" s="265" t="s">
        <v>13751</v>
      </c>
      <c r="C2453" s="261" t="s">
        <v>5</v>
      </c>
      <c r="D2453" s="266">
        <v>5.59</v>
      </c>
    </row>
    <row r="2454" spans="1:4" ht="31.5">
      <c r="A2454" s="261">
        <v>1917349</v>
      </c>
      <c r="B2454" s="265" t="s">
        <v>13752</v>
      </c>
      <c r="C2454" s="261" t="s">
        <v>5</v>
      </c>
      <c r="D2454" s="266">
        <v>6.05</v>
      </c>
    </row>
    <row r="2455" spans="1:4" ht="31.5">
      <c r="A2455" s="261">
        <v>1917350</v>
      </c>
      <c r="B2455" s="265" t="s">
        <v>13753</v>
      </c>
      <c r="C2455" s="261" t="s">
        <v>5</v>
      </c>
      <c r="D2455" s="266">
        <v>6.89</v>
      </c>
    </row>
    <row r="2456" spans="1:4" ht="31.5">
      <c r="A2456" s="261">
        <v>1917731</v>
      </c>
      <c r="B2456" s="265" t="s">
        <v>13754</v>
      </c>
      <c r="C2456" s="261" t="s">
        <v>5</v>
      </c>
      <c r="D2456" s="266">
        <v>5.47</v>
      </c>
    </row>
    <row r="2457" spans="1:4" ht="31.5">
      <c r="A2457" s="261">
        <v>1917463</v>
      </c>
      <c r="B2457" s="265" t="s">
        <v>13755</v>
      </c>
      <c r="C2457" s="261" t="s">
        <v>5</v>
      </c>
      <c r="D2457" s="266">
        <v>9.39</v>
      </c>
    </row>
    <row r="2458" spans="1:4" ht="31.5">
      <c r="A2458" s="261">
        <v>1917464</v>
      </c>
      <c r="B2458" s="265" t="s">
        <v>13756</v>
      </c>
      <c r="C2458" s="261" t="s">
        <v>5</v>
      </c>
      <c r="D2458" s="266">
        <v>10.86</v>
      </c>
    </row>
    <row r="2459" spans="1:4" ht="31.5">
      <c r="A2459" s="261">
        <v>1917465</v>
      </c>
      <c r="B2459" s="265" t="s">
        <v>13757</v>
      </c>
      <c r="C2459" s="261" t="s">
        <v>5</v>
      </c>
      <c r="D2459" s="266">
        <v>12.51</v>
      </c>
    </row>
    <row r="2460" spans="1:4" ht="31.5">
      <c r="A2460" s="261">
        <v>1917466</v>
      </c>
      <c r="B2460" s="265" t="s">
        <v>13758</v>
      </c>
      <c r="C2460" s="261" t="s">
        <v>5</v>
      </c>
      <c r="D2460" s="266">
        <v>14.85</v>
      </c>
    </row>
    <row r="2461" spans="1:4" ht="31.5">
      <c r="A2461" s="261">
        <v>1917467</v>
      </c>
      <c r="B2461" s="265" t="s">
        <v>13759</v>
      </c>
      <c r="C2461" s="261" t="s">
        <v>5</v>
      </c>
      <c r="D2461" s="266">
        <v>18.329999999999998</v>
      </c>
    </row>
    <row r="2462" spans="1:4" ht="31.5">
      <c r="A2462" s="261">
        <v>1917468</v>
      </c>
      <c r="B2462" s="265" t="s">
        <v>13760</v>
      </c>
      <c r="C2462" s="261" t="s">
        <v>5</v>
      </c>
      <c r="D2462" s="266">
        <v>22.29</v>
      </c>
    </row>
    <row r="2463" spans="1:4" ht="31.5">
      <c r="A2463" s="261">
        <v>1917469</v>
      </c>
      <c r="B2463" s="265" t="s">
        <v>13761</v>
      </c>
      <c r="C2463" s="261" t="s">
        <v>5</v>
      </c>
      <c r="D2463" s="266">
        <v>26.64</v>
      </c>
    </row>
    <row r="2464" spans="1:4" ht="31.5">
      <c r="A2464" s="261">
        <v>1917470</v>
      </c>
      <c r="B2464" s="265" t="s">
        <v>13762</v>
      </c>
      <c r="C2464" s="261" t="s">
        <v>5</v>
      </c>
      <c r="D2464" s="266">
        <v>31.7</v>
      </c>
    </row>
    <row r="2465" spans="1:4" ht="31.5">
      <c r="A2465" s="261">
        <v>1917471</v>
      </c>
      <c r="B2465" s="265" t="s">
        <v>13763</v>
      </c>
      <c r="C2465" s="261" t="s">
        <v>5</v>
      </c>
      <c r="D2465" s="266">
        <v>37.68</v>
      </c>
    </row>
    <row r="2466" spans="1:4" ht="31.5">
      <c r="A2466" s="261">
        <v>1917472</v>
      </c>
      <c r="B2466" s="265" t="s">
        <v>13764</v>
      </c>
      <c r="C2466" s="261" t="s">
        <v>5</v>
      </c>
      <c r="D2466" s="266">
        <v>40.270000000000003</v>
      </c>
    </row>
    <row r="2467" spans="1:4" ht="31.5">
      <c r="A2467" s="261">
        <v>1917460</v>
      </c>
      <c r="B2467" s="265" t="s">
        <v>13765</v>
      </c>
      <c r="C2467" s="261" t="s">
        <v>5</v>
      </c>
      <c r="D2467" s="266">
        <v>5.46</v>
      </c>
    </row>
    <row r="2468" spans="1:4" ht="31.5">
      <c r="A2468" s="261">
        <v>1917461</v>
      </c>
      <c r="B2468" s="265" t="s">
        <v>13766</v>
      </c>
      <c r="C2468" s="261" t="s">
        <v>5</v>
      </c>
      <c r="D2468" s="266">
        <v>6.48</v>
      </c>
    </row>
    <row r="2469" spans="1:4" ht="31.5">
      <c r="A2469" s="261">
        <v>1917462</v>
      </c>
      <c r="B2469" s="265" t="s">
        <v>13767</v>
      </c>
      <c r="C2469" s="261" t="s">
        <v>5</v>
      </c>
      <c r="D2469" s="266">
        <v>7.71</v>
      </c>
    </row>
    <row r="2470" spans="1:4" ht="31.5">
      <c r="A2470" s="261">
        <v>1917735</v>
      </c>
      <c r="B2470" s="265" t="s">
        <v>13768</v>
      </c>
      <c r="C2470" s="261" t="s">
        <v>5</v>
      </c>
      <c r="D2470" s="266">
        <v>4.88</v>
      </c>
    </row>
    <row r="2471" spans="1:4">
      <c r="A2471" s="261">
        <v>1917061</v>
      </c>
      <c r="B2471" s="265" t="s">
        <v>13769</v>
      </c>
      <c r="C2471" s="261" t="s">
        <v>5</v>
      </c>
      <c r="D2471" s="266">
        <v>11.39</v>
      </c>
    </row>
    <row r="2472" spans="1:4">
      <c r="A2472" s="261">
        <v>1917062</v>
      </c>
      <c r="B2472" s="265" t="s">
        <v>13770</v>
      </c>
      <c r="C2472" s="261" t="s">
        <v>5</v>
      </c>
      <c r="D2472" s="266">
        <v>11.61</v>
      </c>
    </row>
    <row r="2473" spans="1:4">
      <c r="A2473" s="261">
        <v>1917063</v>
      </c>
      <c r="B2473" s="265" t="s">
        <v>13771</v>
      </c>
      <c r="C2473" s="261" t="s">
        <v>5</v>
      </c>
      <c r="D2473" s="266">
        <v>11.84</v>
      </c>
    </row>
    <row r="2474" spans="1:4">
      <c r="A2474" s="261">
        <v>1917064</v>
      </c>
      <c r="B2474" s="265" t="s">
        <v>13772</v>
      </c>
      <c r="C2474" s="261" t="s">
        <v>5</v>
      </c>
      <c r="D2474" s="266">
        <v>12.07</v>
      </c>
    </row>
    <row r="2475" spans="1:4">
      <c r="A2475" s="261">
        <v>1917065</v>
      </c>
      <c r="B2475" s="265" t="s">
        <v>13773</v>
      </c>
      <c r="C2475" s="261" t="s">
        <v>5</v>
      </c>
      <c r="D2475" s="266">
        <v>12.32</v>
      </c>
    </row>
    <row r="2476" spans="1:4">
      <c r="A2476" s="261">
        <v>1917066</v>
      </c>
      <c r="B2476" s="265" t="s">
        <v>13774</v>
      </c>
      <c r="C2476" s="261" t="s">
        <v>5</v>
      </c>
      <c r="D2476" s="266">
        <v>12.46</v>
      </c>
    </row>
    <row r="2477" spans="1:4">
      <c r="A2477" s="261">
        <v>1901590</v>
      </c>
      <c r="B2477" s="265" t="s">
        <v>13775</v>
      </c>
      <c r="C2477" s="261" t="s">
        <v>5</v>
      </c>
      <c r="D2477" s="266">
        <v>7.55</v>
      </c>
    </row>
    <row r="2478" spans="1:4">
      <c r="A2478" s="261">
        <v>1901591</v>
      </c>
      <c r="B2478" s="265" t="s">
        <v>13776</v>
      </c>
      <c r="C2478" s="261" t="s">
        <v>5</v>
      </c>
      <c r="D2478" s="266">
        <v>7.61</v>
      </c>
    </row>
    <row r="2479" spans="1:4">
      <c r="A2479" s="261">
        <v>1901592</v>
      </c>
      <c r="B2479" s="265" t="s">
        <v>13777</v>
      </c>
      <c r="C2479" s="261" t="s">
        <v>5</v>
      </c>
      <c r="D2479" s="266">
        <v>7.68</v>
      </c>
    </row>
    <row r="2480" spans="1:4">
      <c r="A2480" s="261">
        <v>1901593</v>
      </c>
      <c r="B2480" s="265" t="s">
        <v>13778</v>
      </c>
      <c r="C2480" s="261" t="s">
        <v>5</v>
      </c>
      <c r="D2480" s="266">
        <v>7.75</v>
      </c>
    </row>
    <row r="2481" spans="1:4">
      <c r="A2481" s="261">
        <v>1901594</v>
      </c>
      <c r="B2481" s="265" t="s">
        <v>13779</v>
      </c>
      <c r="C2481" s="261" t="s">
        <v>5</v>
      </c>
      <c r="D2481" s="266">
        <v>7.83</v>
      </c>
    </row>
    <row r="2482" spans="1:4">
      <c r="A2482" s="261">
        <v>1901589</v>
      </c>
      <c r="B2482" s="265" t="s">
        <v>13780</v>
      </c>
      <c r="C2482" s="261" t="s">
        <v>5</v>
      </c>
      <c r="D2482" s="266">
        <v>7.87</v>
      </c>
    </row>
    <row r="2483" spans="1:4">
      <c r="A2483" s="261">
        <v>1901596</v>
      </c>
      <c r="B2483" s="265" t="s">
        <v>13781</v>
      </c>
      <c r="C2483" s="261" t="s">
        <v>5</v>
      </c>
      <c r="D2483" s="266">
        <v>9.94</v>
      </c>
    </row>
    <row r="2484" spans="1:4">
      <c r="A2484" s="261">
        <v>1901597</v>
      </c>
      <c r="B2484" s="265" t="s">
        <v>13782</v>
      </c>
      <c r="C2484" s="261" t="s">
        <v>5</v>
      </c>
      <c r="D2484" s="266">
        <v>10</v>
      </c>
    </row>
    <row r="2485" spans="1:4">
      <c r="A2485" s="261">
        <v>1901598</v>
      </c>
      <c r="B2485" s="265" t="s">
        <v>13783</v>
      </c>
      <c r="C2485" s="261" t="s">
        <v>5</v>
      </c>
      <c r="D2485" s="266">
        <v>10.07</v>
      </c>
    </row>
    <row r="2486" spans="1:4">
      <c r="A2486" s="261">
        <v>1901599</v>
      </c>
      <c r="B2486" s="265" t="s">
        <v>13784</v>
      </c>
      <c r="C2486" s="261" t="s">
        <v>5</v>
      </c>
      <c r="D2486" s="266">
        <v>10.130000000000001</v>
      </c>
    </row>
    <row r="2487" spans="1:4">
      <c r="A2487" s="261">
        <v>1901600</v>
      </c>
      <c r="B2487" s="265" t="s">
        <v>13785</v>
      </c>
      <c r="C2487" s="261" t="s">
        <v>5</v>
      </c>
      <c r="D2487" s="266">
        <v>10.199999999999999</v>
      </c>
    </row>
    <row r="2488" spans="1:4">
      <c r="A2488" s="261">
        <v>1901595</v>
      </c>
      <c r="B2488" s="265" t="s">
        <v>13786</v>
      </c>
      <c r="C2488" s="261" t="s">
        <v>5</v>
      </c>
      <c r="D2488" s="266">
        <v>10.24</v>
      </c>
    </row>
    <row r="2489" spans="1:4">
      <c r="A2489" s="261">
        <v>1917097</v>
      </c>
      <c r="B2489" s="265" t="s">
        <v>13787</v>
      </c>
      <c r="C2489" s="261" t="s">
        <v>5</v>
      </c>
      <c r="D2489" s="266">
        <v>9.93</v>
      </c>
    </row>
    <row r="2490" spans="1:4">
      <c r="A2490" s="261">
        <v>1917098</v>
      </c>
      <c r="B2490" s="265" t="s">
        <v>13788</v>
      </c>
      <c r="C2490" s="261" t="s">
        <v>5</v>
      </c>
      <c r="D2490" s="266">
        <v>10.07</v>
      </c>
    </row>
    <row r="2491" spans="1:4">
      <c r="A2491" s="261">
        <v>1917099</v>
      </c>
      <c r="B2491" s="265" t="s">
        <v>13789</v>
      </c>
      <c r="C2491" s="261" t="s">
        <v>5</v>
      </c>
      <c r="D2491" s="266">
        <v>10.210000000000001</v>
      </c>
    </row>
    <row r="2492" spans="1:4">
      <c r="A2492" s="261">
        <v>1917100</v>
      </c>
      <c r="B2492" s="265" t="s">
        <v>13790</v>
      </c>
      <c r="C2492" s="261" t="s">
        <v>5</v>
      </c>
      <c r="D2492" s="266">
        <v>10.36</v>
      </c>
    </row>
    <row r="2493" spans="1:4">
      <c r="A2493" s="261">
        <v>1917101</v>
      </c>
      <c r="B2493" s="265" t="s">
        <v>13791</v>
      </c>
      <c r="C2493" s="261" t="s">
        <v>5</v>
      </c>
      <c r="D2493" s="266">
        <v>10.51</v>
      </c>
    </row>
    <row r="2494" spans="1:4">
      <c r="A2494" s="261">
        <v>1917102</v>
      </c>
      <c r="B2494" s="265" t="s">
        <v>13792</v>
      </c>
      <c r="C2494" s="261" t="s">
        <v>5</v>
      </c>
      <c r="D2494" s="266">
        <v>10.6</v>
      </c>
    </row>
    <row r="2495" spans="1:4">
      <c r="A2495" s="261">
        <v>1901601</v>
      </c>
      <c r="B2495" s="265" t="s">
        <v>13793</v>
      </c>
      <c r="C2495" s="261" t="s">
        <v>5</v>
      </c>
      <c r="D2495" s="266">
        <v>12.39</v>
      </c>
    </row>
    <row r="2496" spans="1:4">
      <c r="A2496" s="261">
        <v>1901602</v>
      </c>
      <c r="B2496" s="265" t="s">
        <v>13794</v>
      </c>
      <c r="C2496" s="261" t="s">
        <v>5</v>
      </c>
      <c r="D2496" s="266">
        <v>12.45</v>
      </c>
    </row>
    <row r="2497" spans="1:4">
      <c r="A2497" s="261">
        <v>1901603</v>
      </c>
      <c r="B2497" s="265" t="s">
        <v>13795</v>
      </c>
      <c r="C2497" s="261" t="s">
        <v>5</v>
      </c>
      <c r="D2497" s="266">
        <v>12.52</v>
      </c>
    </row>
    <row r="2498" spans="1:4">
      <c r="A2498" s="261">
        <v>1901604</v>
      </c>
      <c r="B2498" s="265" t="s">
        <v>13796</v>
      </c>
      <c r="C2498" s="261" t="s">
        <v>5</v>
      </c>
      <c r="D2498" s="266">
        <v>12.58</v>
      </c>
    </row>
    <row r="2499" spans="1:4">
      <c r="A2499" s="261">
        <v>1901605</v>
      </c>
      <c r="B2499" s="265" t="s">
        <v>13797</v>
      </c>
      <c r="C2499" s="261" t="s">
        <v>5</v>
      </c>
      <c r="D2499" s="266">
        <v>12.65</v>
      </c>
    </row>
    <row r="2500" spans="1:4">
      <c r="A2500" s="261">
        <v>1901606</v>
      </c>
      <c r="B2500" s="265" t="s">
        <v>13798</v>
      </c>
      <c r="C2500" s="261" t="s">
        <v>5</v>
      </c>
      <c r="D2500" s="266">
        <v>12.69</v>
      </c>
    </row>
    <row r="2501" spans="1:4">
      <c r="A2501" s="261">
        <v>1917133</v>
      </c>
      <c r="B2501" s="265" t="s">
        <v>13799</v>
      </c>
      <c r="C2501" s="261" t="s">
        <v>5</v>
      </c>
      <c r="D2501" s="266">
        <v>9.2899999999999991</v>
      </c>
    </row>
    <row r="2502" spans="1:4">
      <c r="A2502" s="261">
        <v>1917134</v>
      </c>
      <c r="B2502" s="265" t="s">
        <v>13800</v>
      </c>
      <c r="C2502" s="261" t="s">
        <v>5</v>
      </c>
      <c r="D2502" s="266">
        <v>9.4</v>
      </c>
    </row>
    <row r="2503" spans="1:4">
      <c r="A2503" s="261">
        <v>1917135</v>
      </c>
      <c r="B2503" s="265" t="s">
        <v>13801</v>
      </c>
      <c r="C2503" s="261" t="s">
        <v>5</v>
      </c>
      <c r="D2503" s="266">
        <v>9.52</v>
      </c>
    </row>
    <row r="2504" spans="1:4">
      <c r="A2504" s="261">
        <v>1917136</v>
      </c>
      <c r="B2504" s="265" t="s">
        <v>13802</v>
      </c>
      <c r="C2504" s="261" t="s">
        <v>5</v>
      </c>
      <c r="D2504" s="266">
        <v>9.64</v>
      </c>
    </row>
    <row r="2505" spans="1:4">
      <c r="A2505" s="261">
        <v>1917137</v>
      </c>
      <c r="B2505" s="265" t="s">
        <v>13803</v>
      </c>
      <c r="C2505" s="261" t="s">
        <v>5</v>
      </c>
      <c r="D2505" s="266">
        <v>9.77</v>
      </c>
    </row>
    <row r="2506" spans="1:4">
      <c r="A2506" s="261">
        <v>1917138</v>
      </c>
      <c r="B2506" s="265" t="s">
        <v>13804</v>
      </c>
      <c r="C2506" s="261" t="s">
        <v>5</v>
      </c>
      <c r="D2506" s="266">
        <v>9.84</v>
      </c>
    </row>
    <row r="2507" spans="1:4">
      <c r="A2507" s="261">
        <v>1917169</v>
      </c>
      <c r="B2507" s="265" t="s">
        <v>13805</v>
      </c>
      <c r="C2507" s="261" t="s">
        <v>5</v>
      </c>
      <c r="D2507" s="266">
        <v>8.67</v>
      </c>
    </row>
    <row r="2508" spans="1:4">
      <c r="A2508" s="261">
        <v>1917170</v>
      </c>
      <c r="B2508" s="265" t="s">
        <v>13806</v>
      </c>
      <c r="C2508" s="261" t="s">
        <v>5</v>
      </c>
      <c r="D2508" s="266">
        <v>8.76</v>
      </c>
    </row>
    <row r="2509" spans="1:4">
      <c r="A2509" s="261">
        <v>1917171</v>
      </c>
      <c r="B2509" s="265" t="s">
        <v>13807</v>
      </c>
      <c r="C2509" s="261" t="s">
        <v>5</v>
      </c>
      <c r="D2509" s="266">
        <v>8.8699999999999992</v>
      </c>
    </row>
    <row r="2510" spans="1:4">
      <c r="A2510" s="261">
        <v>1917172</v>
      </c>
      <c r="B2510" s="265" t="s">
        <v>13808</v>
      </c>
      <c r="C2510" s="261" t="s">
        <v>5</v>
      </c>
      <c r="D2510" s="266">
        <v>8.9700000000000006</v>
      </c>
    </row>
    <row r="2511" spans="1:4">
      <c r="A2511" s="261">
        <v>1917173</v>
      </c>
      <c r="B2511" s="265" t="s">
        <v>13809</v>
      </c>
      <c r="C2511" s="261" t="s">
        <v>5</v>
      </c>
      <c r="D2511" s="266">
        <v>9.09</v>
      </c>
    </row>
    <row r="2512" spans="1:4">
      <c r="A2512" s="261">
        <v>1917174</v>
      </c>
      <c r="B2512" s="265" t="s">
        <v>13810</v>
      </c>
      <c r="C2512" s="261" t="s">
        <v>5</v>
      </c>
      <c r="D2512" s="266">
        <v>9.15</v>
      </c>
    </row>
    <row r="2513" spans="1:4">
      <c r="A2513" s="261">
        <v>1917205</v>
      </c>
      <c r="B2513" s="265" t="s">
        <v>13811</v>
      </c>
      <c r="C2513" s="261" t="s">
        <v>5</v>
      </c>
      <c r="D2513" s="266">
        <v>8.08</v>
      </c>
    </row>
    <row r="2514" spans="1:4">
      <c r="A2514" s="261">
        <v>1917206</v>
      </c>
      <c r="B2514" s="265" t="s">
        <v>13812</v>
      </c>
      <c r="C2514" s="261" t="s">
        <v>5</v>
      </c>
      <c r="D2514" s="266">
        <v>8.17</v>
      </c>
    </row>
    <row r="2515" spans="1:4">
      <c r="A2515" s="261">
        <v>1917207</v>
      </c>
      <c r="B2515" s="265" t="s">
        <v>13813</v>
      </c>
      <c r="C2515" s="261" t="s">
        <v>5</v>
      </c>
      <c r="D2515" s="266">
        <v>8.26</v>
      </c>
    </row>
    <row r="2516" spans="1:4">
      <c r="A2516" s="261">
        <v>1917208</v>
      </c>
      <c r="B2516" s="265" t="s">
        <v>13814</v>
      </c>
      <c r="C2516" s="261" t="s">
        <v>5</v>
      </c>
      <c r="D2516" s="266">
        <v>8.35</v>
      </c>
    </row>
    <row r="2517" spans="1:4">
      <c r="A2517" s="261">
        <v>1917209</v>
      </c>
      <c r="B2517" s="265" t="s">
        <v>13815</v>
      </c>
      <c r="C2517" s="261" t="s">
        <v>5</v>
      </c>
      <c r="D2517" s="266">
        <v>8.4499999999999993</v>
      </c>
    </row>
    <row r="2518" spans="1:4">
      <c r="A2518" s="261">
        <v>1917210</v>
      </c>
      <c r="B2518" s="265" t="s">
        <v>13816</v>
      </c>
      <c r="C2518" s="261" t="s">
        <v>5</v>
      </c>
      <c r="D2518" s="266">
        <v>8.51</v>
      </c>
    </row>
    <row r="2519" spans="1:4">
      <c r="A2519" s="261">
        <v>1917025</v>
      </c>
      <c r="B2519" s="265" t="s">
        <v>13817</v>
      </c>
      <c r="C2519" s="261" t="s">
        <v>5</v>
      </c>
      <c r="D2519" s="266">
        <v>15.43</v>
      </c>
    </row>
    <row r="2520" spans="1:4">
      <c r="A2520" s="261">
        <v>1917026</v>
      </c>
      <c r="B2520" s="265" t="s">
        <v>13818</v>
      </c>
      <c r="C2520" s="261" t="s">
        <v>5</v>
      </c>
      <c r="D2520" s="266">
        <v>15.75</v>
      </c>
    </row>
    <row r="2521" spans="1:4">
      <c r="A2521" s="261">
        <v>1917027</v>
      </c>
      <c r="B2521" s="265" t="s">
        <v>13819</v>
      </c>
      <c r="C2521" s="261" t="s">
        <v>5</v>
      </c>
      <c r="D2521" s="266">
        <v>16.07</v>
      </c>
    </row>
    <row r="2522" spans="1:4">
      <c r="A2522" s="261">
        <v>1917028</v>
      </c>
      <c r="B2522" s="265" t="s">
        <v>13820</v>
      </c>
      <c r="C2522" s="261" t="s">
        <v>5</v>
      </c>
      <c r="D2522" s="266">
        <v>16.41</v>
      </c>
    </row>
    <row r="2523" spans="1:4">
      <c r="A2523" s="261">
        <v>1917029</v>
      </c>
      <c r="B2523" s="265" t="s">
        <v>13821</v>
      </c>
      <c r="C2523" s="261" t="s">
        <v>5</v>
      </c>
      <c r="D2523" s="266">
        <v>16.77</v>
      </c>
    </row>
    <row r="2524" spans="1:4">
      <c r="A2524" s="261">
        <v>1917030</v>
      </c>
      <c r="B2524" s="265" t="s">
        <v>13822</v>
      </c>
      <c r="C2524" s="261" t="s">
        <v>5</v>
      </c>
      <c r="D2524" s="266">
        <v>16.96</v>
      </c>
    </row>
    <row r="2525" spans="1:4" ht="31.5">
      <c r="A2525" s="261">
        <v>1917629</v>
      </c>
      <c r="B2525" s="265" t="s">
        <v>13823</v>
      </c>
      <c r="C2525" s="261" t="s">
        <v>5</v>
      </c>
      <c r="D2525" s="266">
        <v>13.66</v>
      </c>
    </row>
    <row r="2526" spans="1:4" ht="31.5">
      <c r="A2526" s="261">
        <v>1917633</v>
      </c>
      <c r="B2526" s="265" t="s">
        <v>13824</v>
      </c>
      <c r="C2526" s="261" t="s">
        <v>5</v>
      </c>
      <c r="D2526" s="266">
        <v>15.38</v>
      </c>
    </row>
    <row r="2527" spans="1:4" ht="31.5">
      <c r="A2527" s="261">
        <v>1917634</v>
      </c>
      <c r="B2527" s="265" t="s">
        <v>13825</v>
      </c>
      <c r="C2527" s="261" t="s">
        <v>5</v>
      </c>
      <c r="D2527" s="266">
        <v>15.69</v>
      </c>
    </row>
    <row r="2528" spans="1:4" ht="31.5">
      <c r="A2528" s="261">
        <v>1917635</v>
      </c>
      <c r="B2528" s="265" t="s">
        <v>13826</v>
      </c>
      <c r="C2528" s="261" t="s">
        <v>5</v>
      </c>
      <c r="D2528" s="266">
        <v>16.010000000000002</v>
      </c>
    </row>
    <row r="2529" spans="1:4" ht="31.5">
      <c r="A2529" s="261">
        <v>1917636</v>
      </c>
      <c r="B2529" s="265" t="s">
        <v>13827</v>
      </c>
      <c r="C2529" s="261" t="s">
        <v>5</v>
      </c>
      <c r="D2529" s="266">
        <v>17.86</v>
      </c>
    </row>
    <row r="2530" spans="1:4" ht="31.5">
      <c r="A2530" s="261">
        <v>1917637</v>
      </c>
      <c r="B2530" s="265" t="s">
        <v>13828</v>
      </c>
      <c r="C2530" s="261" t="s">
        <v>5</v>
      </c>
      <c r="D2530" s="266">
        <v>18.28</v>
      </c>
    </row>
    <row r="2531" spans="1:4" ht="31.5">
      <c r="A2531" s="261">
        <v>1917638</v>
      </c>
      <c r="B2531" s="265" t="s">
        <v>13829</v>
      </c>
      <c r="C2531" s="261" t="s">
        <v>5</v>
      </c>
      <c r="D2531" s="266">
        <v>18.7</v>
      </c>
    </row>
    <row r="2532" spans="1:4" ht="31.5">
      <c r="A2532" s="261">
        <v>1917630</v>
      </c>
      <c r="B2532" s="265" t="s">
        <v>13830</v>
      </c>
      <c r="C2532" s="261" t="s">
        <v>5</v>
      </c>
      <c r="D2532" s="266">
        <v>14.2</v>
      </c>
    </row>
    <row r="2533" spans="1:4" ht="31.5">
      <c r="A2533" s="261">
        <v>1917631</v>
      </c>
      <c r="B2533" s="265" t="s">
        <v>13831</v>
      </c>
      <c r="C2533" s="261" t="s">
        <v>5</v>
      </c>
      <c r="D2533" s="266">
        <v>14.67</v>
      </c>
    </row>
    <row r="2534" spans="1:4" ht="31.5">
      <c r="A2534" s="261">
        <v>1917632</v>
      </c>
      <c r="B2534" s="265" t="s">
        <v>13832</v>
      </c>
      <c r="C2534" s="261" t="s">
        <v>5</v>
      </c>
      <c r="D2534" s="266">
        <v>14.99</v>
      </c>
    </row>
    <row r="2535" spans="1:4" ht="31.5">
      <c r="A2535" s="261">
        <v>1917639</v>
      </c>
      <c r="B2535" s="265" t="s">
        <v>13833</v>
      </c>
      <c r="C2535" s="261" t="s">
        <v>5</v>
      </c>
      <c r="D2535" s="266">
        <v>18.91</v>
      </c>
    </row>
    <row r="2536" spans="1:4" ht="31.5">
      <c r="A2536" s="261">
        <v>1917646</v>
      </c>
      <c r="B2536" s="265" t="s">
        <v>13834</v>
      </c>
      <c r="C2536" s="261" t="s">
        <v>5</v>
      </c>
      <c r="D2536" s="266">
        <v>18.809999999999999</v>
      </c>
    </row>
    <row r="2537" spans="1:4" ht="31.5">
      <c r="A2537" s="261">
        <v>1917647</v>
      </c>
      <c r="B2537" s="265" t="s">
        <v>13835</v>
      </c>
      <c r="C2537" s="261" t="s">
        <v>5</v>
      </c>
      <c r="D2537" s="266">
        <v>19.09</v>
      </c>
    </row>
    <row r="2538" spans="1:4" ht="31.5">
      <c r="A2538" s="261">
        <v>1917648</v>
      </c>
      <c r="B2538" s="265" t="s">
        <v>13836</v>
      </c>
      <c r="C2538" s="261" t="s">
        <v>5</v>
      </c>
      <c r="D2538" s="266">
        <v>19.29</v>
      </c>
    </row>
    <row r="2539" spans="1:4" ht="31.5">
      <c r="A2539" s="261">
        <v>1917649</v>
      </c>
      <c r="B2539" s="265" t="s">
        <v>13837</v>
      </c>
      <c r="C2539" s="261" t="s">
        <v>5</v>
      </c>
      <c r="D2539" s="266">
        <v>19.559999999999999</v>
      </c>
    </row>
    <row r="2540" spans="1:4" ht="31.5">
      <c r="A2540" s="261">
        <v>1917650</v>
      </c>
      <c r="B2540" s="265" t="s">
        <v>13838</v>
      </c>
      <c r="C2540" s="261" t="s">
        <v>5</v>
      </c>
      <c r="D2540" s="266">
        <v>19.829999999999998</v>
      </c>
    </row>
    <row r="2541" spans="1:4" ht="31.5">
      <c r="A2541" s="261">
        <v>1917651</v>
      </c>
      <c r="B2541" s="265" t="s">
        <v>13839</v>
      </c>
      <c r="C2541" s="261" t="s">
        <v>5</v>
      </c>
      <c r="D2541" s="266">
        <v>20.239999999999998</v>
      </c>
    </row>
    <row r="2542" spans="1:4" ht="31.5">
      <c r="A2542" s="261">
        <v>1917652</v>
      </c>
      <c r="B2542" s="265" t="s">
        <v>13840</v>
      </c>
      <c r="C2542" s="261" t="s">
        <v>5</v>
      </c>
      <c r="D2542" s="266">
        <v>22.48</v>
      </c>
    </row>
    <row r="2543" spans="1:4" ht="31.5">
      <c r="A2543" s="261">
        <v>1917642</v>
      </c>
      <c r="B2543" s="265" t="s">
        <v>13841</v>
      </c>
      <c r="C2543" s="261" t="s">
        <v>5</v>
      </c>
      <c r="D2543" s="266">
        <v>17.66</v>
      </c>
    </row>
    <row r="2544" spans="1:4" ht="31.5">
      <c r="A2544" s="261">
        <v>1917643</v>
      </c>
      <c r="B2544" s="265" t="s">
        <v>13842</v>
      </c>
      <c r="C2544" s="261" t="s">
        <v>5</v>
      </c>
      <c r="D2544" s="266">
        <v>18</v>
      </c>
    </row>
    <row r="2545" spans="1:4" ht="31.5">
      <c r="A2545" s="261">
        <v>1917641</v>
      </c>
      <c r="B2545" s="265" t="s">
        <v>13843</v>
      </c>
      <c r="C2545" s="261" t="s">
        <v>5</v>
      </c>
      <c r="D2545" s="266">
        <v>15.76</v>
      </c>
    </row>
    <row r="2546" spans="1:4" ht="31.5">
      <c r="A2546" s="261">
        <v>1917644</v>
      </c>
      <c r="B2546" s="265" t="s">
        <v>13844</v>
      </c>
      <c r="C2546" s="261" t="s">
        <v>5</v>
      </c>
      <c r="D2546" s="266">
        <v>18.34</v>
      </c>
    </row>
    <row r="2547" spans="1:4" ht="31.5">
      <c r="A2547" s="261">
        <v>1917645</v>
      </c>
      <c r="B2547" s="265" t="s">
        <v>13845</v>
      </c>
      <c r="C2547" s="261" t="s">
        <v>5</v>
      </c>
      <c r="D2547" s="266">
        <v>18.54</v>
      </c>
    </row>
    <row r="2548" spans="1:4" ht="31.5">
      <c r="A2548" s="261">
        <v>1917653</v>
      </c>
      <c r="B2548" s="265" t="s">
        <v>13846</v>
      </c>
      <c r="C2548" s="261" t="s">
        <v>5</v>
      </c>
      <c r="D2548" s="266">
        <v>22.78</v>
      </c>
    </row>
    <row r="2549" spans="1:4" ht="31.5">
      <c r="A2549" s="261">
        <v>1917659</v>
      </c>
      <c r="B2549" s="265" t="s">
        <v>13847</v>
      </c>
      <c r="C2549" s="261" t="s">
        <v>5</v>
      </c>
      <c r="D2549" s="266">
        <v>18.07</v>
      </c>
    </row>
    <row r="2550" spans="1:4" ht="31.5">
      <c r="A2550" s="261">
        <v>1917660</v>
      </c>
      <c r="B2550" s="265" t="s">
        <v>13848</v>
      </c>
      <c r="C2550" s="261" t="s">
        <v>5</v>
      </c>
      <c r="D2550" s="266">
        <v>18.2</v>
      </c>
    </row>
    <row r="2551" spans="1:4" ht="31.5">
      <c r="A2551" s="261">
        <v>1917661</v>
      </c>
      <c r="B2551" s="265" t="s">
        <v>13849</v>
      </c>
      <c r="C2551" s="261" t="s">
        <v>5</v>
      </c>
      <c r="D2551" s="266">
        <v>18.34</v>
      </c>
    </row>
    <row r="2552" spans="1:4" ht="31.5">
      <c r="A2552" s="261">
        <v>1917662</v>
      </c>
      <c r="B2552" s="265" t="s">
        <v>13850</v>
      </c>
      <c r="C2552" s="261" t="s">
        <v>5</v>
      </c>
      <c r="D2552" s="266">
        <v>18.47</v>
      </c>
    </row>
    <row r="2553" spans="1:4" ht="31.5">
      <c r="A2553" s="261">
        <v>1917663</v>
      </c>
      <c r="B2553" s="265" t="s">
        <v>13851</v>
      </c>
      <c r="C2553" s="261" t="s">
        <v>5</v>
      </c>
      <c r="D2553" s="266">
        <v>18.68</v>
      </c>
    </row>
    <row r="2554" spans="1:4" ht="31.5">
      <c r="A2554" s="261">
        <v>1917664</v>
      </c>
      <c r="B2554" s="265" t="s">
        <v>13852</v>
      </c>
      <c r="C2554" s="261" t="s">
        <v>5</v>
      </c>
      <c r="D2554" s="266">
        <v>18.95</v>
      </c>
    </row>
    <row r="2555" spans="1:4" ht="31.5">
      <c r="A2555" s="261">
        <v>1917665</v>
      </c>
      <c r="B2555" s="265" t="s">
        <v>13853</v>
      </c>
      <c r="C2555" s="261" t="s">
        <v>5</v>
      </c>
      <c r="D2555" s="266">
        <v>19.36</v>
      </c>
    </row>
    <row r="2556" spans="1:4" ht="31.5">
      <c r="A2556" s="261">
        <v>1917655</v>
      </c>
      <c r="B2556" s="265" t="s">
        <v>13854</v>
      </c>
      <c r="C2556" s="261" t="s">
        <v>5</v>
      </c>
      <c r="D2556" s="266">
        <v>15.76</v>
      </c>
    </row>
    <row r="2557" spans="1:4" ht="31.5">
      <c r="A2557" s="261">
        <v>1917656</v>
      </c>
      <c r="B2557" s="265" t="s">
        <v>13855</v>
      </c>
      <c r="C2557" s="261" t="s">
        <v>5</v>
      </c>
      <c r="D2557" s="266">
        <v>17.52</v>
      </c>
    </row>
    <row r="2558" spans="1:4" ht="31.5">
      <c r="A2558" s="261">
        <v>1917654</v>
      </c>
      <c r="B2558" s="265" t="s">
        <v>13856</v>
      </c>
      <c r="C2558" s="261" t="s">
        <v>5</v>
      </c>
      <c r="D2558" s="266">
        <v>15.53</v>
      </c>
    </row>
    <row r="2559" spans="1:4" ht="31.5">
      <c r="A2559" s="261">
        <v>1917657</v>
      </c>
      <c r="B2559" s="265" t="s">
        <v>13857</v>
      </c>
      <c r="C2559" s="261" t="s">
        <v>5</v>
      </c>
      <c r="D2559" s="266">
        <v>17.73</v>
      </c>
    </row>
    <row r="2560" spans="1:4" ht="31.5">
      <c r="A2560" s="261">
        <v>1917658</v>
      </c>
      <c r="B2560" s="265" t="s">
        <v>13858</v>
      </c>
      <c r="C2560" s="261" t="s">
        <v>5</v>
      </c>
      <c r="D2560" s="266">
        <v>17.86</v>
      </c>
    </row>
    <row r="2561" spans="1:4" ht="31.5">
      <c r="A2561" s="261">
        <v>1917666</v>
      </c>
      <c r="B2561" s="265" t="s">
        <v>13859</v>
      </c>
      <c r="C2561" s="261" t="s">
        <v>5</v>
      </c>
      <c r="D2561" s="266">
        <v>19.63</v>
      </c>
    </row>
    <row r="2562" spans="1:4" ht="31.5">
      <c r="A2562" s="261">
        <v>1917672</v>
      </c>
      <c r="B2562" s="265" t="s">
        <v>13860</v>
      </c>
      <c r="C2562" s="261" t="s">
        <v>5</v>
      </c>
      <c r="D2562" s="266">
        <v>17.8</v>
      </c>
    </row>
    <row r="2563" spans="1:4" ht="31.5">
      <c r="A2563" s="261">
        <v>1917673</v>
      </c>
      <c r="B2563" s="265" t="s">
        <v>13861</v>
      </c>
      <c r="C2563" s="261" t="s">
        <v>5</v>
      </c>
      <c r="D2563" s="266">
        <v>17.93</v>
      </c>
    </row>
    <row r="2564" spans="1:4" ht="31.5">
      <c r="A2564" s="261">
        <v>1917674</v>
      </c>
      <c r="B2564" s="265" t="s">
        <v>13862</v>
      </c>
      <c r="C2564" s="261" t="s">
        <v>5</v>
      </c>
      <c r="D2564" s="266">
        <v>18.07</v>
      </c>
    </row>
    <row r="2565" spans="1:4" ht="31.5">
      <c r="A2565" s="261">
        <v>1917675</v>
      </c>
      <c r="B2565" s="265" t="s">
        <v>13863</v>
      </c>
      <c r="C2565" s="261" t="s">
        <v>5</v>
      </c>
      <c r="D2565" s="266">
        <v>18.2</v>
      </c>
    </row>
    <row r="2566" spans="1:4" ht="31.5">
      <c r="A2566" s="261">
        <v>1917676</v>
      </c>
      <c r="B2566" s="265" t="s">
        <v>13864</v>
      </c>
      <c r="C2566" s="261" t="s">
        <v>5</v>
      </c>
      <c r="D2566" s="266">
        <v>18.27</v>
      </c>
    </row>
    <row r="2567" spans="1:4" ht="31.5">
      <c r="A2567" s="261">
        <v>1917677</v>
      </c>
      <c r="B2567" s="265" t="s">
        <v>13865</v>
      </c>
      <c r="C2567" s="261" t="s">
        <v>5</v>
      </c>
      <c r="D2567" s="266">
        <v>18.54</v>
      </c>
    </row>
    <row r="2568" spans="1:4" ht="31.5">
      <c r="A2568" s="261">
        <v>1917678</v>
      </c>
      <c r="B2568" s="265" t="s">
        <v>13866</v>
      </c>
      <c r="C2568" s="261" t="s">
        <v>5</v>
      </c>
      <c r="D2568" s="266">
        <v>18.88</v>
      </c>
    </row>
    <row r="2569" spans="1:4" ht="31.5">
      <c r="A2569" s="261">
        <v>1917668</v>
      </c>
      <c r="B2569" s="265" t="s">
        <v>13867</v>
      </c>
      <c r="C2569" s="261" t="s">
        <v>5</v>
      </c>
      <c r="D2569" s="266">
        <v>15.66</v>
      </c>
    </row>
    <row r="2570" spans="1:4" ht="31.5">
      <c r="A2570" s="261">
        <v>1917669</v>
      </c>
      <c r="B2570" s="265" t="s">
        <v>13868</v>
      </c>
      <c r="C2570" s="261" t="s">
        <v>5</v>
      </c>
      <c r="D2570" s="266">
        <v>17.32</v>
      </c>
    </row>
    <row r="2571" spans="1:4" ht="31.5">
      <c r="A2571" s="261">
        <v>1917667</v>
      </c>
      <c r="B2571" s="265" t="s">
        <v>13869</v>
      </c>
      <c r="C2571" s="261" t="s">
        <v>5</v>
      </c>
      <c r="D2571" s="266">
        <v>15.42</v>
      </c>
    </row>
    <row r="2572" spans="1:4" ht="31.5">
      <c r="A2572" s="261">
        <v>1917670</v>
      </c>
      <c r="B2572" s="265" t="s">
        <v>13870</v>
      </c>
      <c r="C2572" s="261" t="s">
        <v>5</v>
      </c>
      <c r="D2572" s="266">
        <v>17.52</v>
      </c>
    </row>
    <row r="2573" spans="1:4" ht="31.5">
      <c r="A2573" s="261">
        <v>1917671</v>
      </c>
      <c r="B2573" s="265" t="s">
        <v>13871</v>
      </c>
      <c r="C2573" s="261" t="s">
        <v>5</v>
      </c>
      <c r="D2573" s="266">
        <v>17.66</v>
      </c>
    </row>
    <row r="2574" spans="1:4" ht="31.5">
      <c r="A2574" s="261">
        <v>1917679</v>
      </c>
      <c r="B2574" s="265" t="s">
        <v>13872</v>
      </c>
      <c r="C2574" s="261" t="s">
        <v>5</v>
      </c>
      <c r="D2574" s="266">
        <v>19.09</v>
      </c>
    </row>
    <row r="2575" spans="1:4">
      <c r="A2575" s="261">
        <v>1917640</v>
      </c>
      <c r="B2575" s="265" t="s">
        <v>13873</v>
      </c>
      <c r="C2575" s="261" t="s">
        <v>5</v>
      </c>
      <c r="D2575" s="266">
        <v>8.39</v>
      </c>
    </row>
    <row r="2576" spans="1:4" ht="31.5">
      <c r="A2576" s="261">
        <v>1917686</v>
      </c>
      <c r="B2576" s="265" t="s">
        <v>13874</v>
      </c>
      <c r="C2576" s="261" t="s">
        <v>5</v>
      </c>
      <c r="D2576" s="266">
        <v>10.4</v>
      </c>
    </row>
    <row r="2577" spans="1:4" ht="31.5">
      <c r="A2577" s="261">
        <v>1917687</v>
      </c>
      <c r="B2577" s="265" t="s">
        <v>13875</v>
      </c>
      <c r="C2577" s="261" t="s">
        <v>5</v>
      </c>
      <c r="D2577" s="266">
        <v>10.67</v>
      </c>
    </row>
    <row r="2578" spans="1:4" ht="31.5">
      <c r="A2578" s="261">
        <v>1917688</v>
      </c>
      <c r="B2578" s="265" t="s">
        <v>13876</v>
      </c>
      <c r="C2578" s="261" t="s">
        <v>5</v>
      </c>
      <c r="D2578" s="266">
        <v>11.68</v>
      </c>
    </row>
    <row r="2579" spans="1:4" ht="31.5">
      <c r="A2579" s="261">
        <v>1917689</v>
      </c>
      <c r="B2579" s="265" t="s">
        <v>13877</v>
      </c>
      <c r="C2579" s="261" t="s">
        <v>5</v>
      </c>
      <c r="D2579" s="266">
        <v>11.96</v>
      </c>
    </row>
    <row r="2580" spans="1:4" ht="31.5">
      <c r="A2580" s="261">
        <v>1917690</v>
      </c>
      <c r="B2580" s="265" t="s">
        <v>13878</v>
      </c>
      <c r="C2580" s="261" t="s">
        <v>5</v>
      </c>
      <c r="D2580" s="266">
        <v>12.18</v>
      </c>
    </row>
    <row r="2581" spans="1:4" ht="31.5">
      <c r="A2581" s="261">
        <v>1917691</v>
      </c>
      <c r="B2581" s="265" t="s">
        <v>13879</v>
      </c>
      <c r="C2581" s="261" t="s">
        <v>5</v>
      </c>
      <c r="D2581" s="266">
        <v>12.6</v>
      </c>
    </row>
    <row r="2582" spans="1:4" ht="31.5">
      <c r="A2582" s="261">
        <v>1917692</v>
      </c>
      <c r="B2582" s="265" t="s">
        <v>13880</v>
      </c>
      <c r="C2582" s="261" t="s">
        <v>5</v>
      </c>
      <c r="D2582" s="266">
        <v>14.13</v>
      </c>
    </row>
    <row r="2583" spans="1:4" ht="31.5">
      <c r="A2583" s="261">
        <v>1917682</v>
      </c>
      <c r="B2583" s="265" t="s">
        <v>13881</v>
      </c>
      <c r="C2583" s="261" t="s">
        <v>5</v>
      </c>
      <c r="D2583" s="266">
        <v>9.2799999999999994</v>
      </c>
    </row>
    <row r="2584" spans="1:4" ht="31.5">
      <c r="A2584" s="261">
        <v>1917693</v>
      </c>
      <c r="B2584" s="265" t="s">
        <v>13882</v>
      </c>
      <c r="C2584" s="261" t="s">
        <v>5</v>
      </c>
      <c r="D2584" s="266">
        <v>14.49</v>
      </c>
    </row>
    <row r="2585" spans="1:4" ht="31.5">
      <c r="A2585" s="261">
        <v>1917683</v>
      </c>
      <c r="B2585" s="265" t="s">
        <v>13883</v>
      </c>
      <c r="C2585" s="261" t="s">
        <v>5</v>
      </c>
      <c r="D2585" s="266">
        <v>9.6</v>
      </c>
    </row>
    <row r="2586" spans="1:4" ht="31.5">
      <c r="A2586" s="261">
        <v>1917681</v>
      </c>
      <c r="B2586" s="265" t="s">
        <v>13884</v>
      </c>
      <c r="C2586" s="261" t="s">
        <v>5</v>
      </c>
      <c r="D2586" s="266">
        <v>8.06</v>
      </c>
    </row>
    <row r="2587" spans="1:4" ht="31.5">
      <c r="A2587" s="261">
        <v>1917684</v>
      </c>
      <c r="B2587" s="265" t="s">
        <v>13885</v>
      </c>
      <c r="C2587" s="261" t="s">
        <v>5</v>
      </c>
      <c r="D2587" s="266">
        <v>9.8699999999999992</v>
      </c>
    </row>
    <row r="2588" spans="1:4" ht="31.5">
      <c r="A2588" s="261">
        <v>1917685</v>
      </c>
      <c r="B2588" s="265" t="s">
        <v>13886</v>
      </c>
      <c r="C2588" s="261" t="s">
        <v>5</v>
      </c>
      <c r="D2588" s="266">
        <v>10.14</v>
      </c>
    </row>
    <row r="2589" spans="1:4" ht="31.5">
      <c r="A2589" s="261">
        <v>1917699</v>
      </c>
      <c r="B2589" s="265" t="s">
        <v>13887</v>
      </c>
      <c r="C2589" s="261" t="s">
        <v>5</v>
      </c>
      <c r="D2589" s="266">
        <v>9.6</v>
      </c>
    </row>
    <row r="2590" spans="1:4" ht="31.5">
      <c r="A2590" s="261">
        <v>1917700</v>
      </c>
      <c r="B2590" s="265" t="s">
        <v>13888</v>
      </c>
      <c r="C2590" s="261" t="s">
        <v>5</v>
      </c>
      <c r="D2590" s="266">
        <v>9.76</v>
      </c>
    </row>
    <row r="2591" spans="1:4" ht="31.5">
      <c r="A2591" s="261">
        <v>1917701</v>
      </c>
      <c r="B2591" s="265" t="s">
        <v>13889</v>
      </c>
      <c r="C2591" s="261" t="s">
        <v>5</v>
      </c>
      <c r="D2591" s="266">
        <v>9.92</v>
      </c>
    </row>
    <row r="2592" spans="1:4" ht="31.5">
      <c r="A2592" s="261">
        <v>1917702</v>
      </c>
      <c r="B2592" s="265" t="s">
        <v>13890</v>
      </c>
      <c r="C2592" s="261" t="s">
        <v>5</v>
      </c>
      <c r="D2592" s="266">
        <v>10.08</v>
      </c>
    </row>
    <row r="2593" spans="1:4" ht="31.5">
      <c r="A2593" s="261">
        <v>1917703</v>
      </c>
      <c r="B2593" s="265" t="s">
        <v>13891</v>
      </c>
      <c r="C2593" s="261" t="s">
        <v>5</v>
      </c>
      <c r="D2593" s="266">
        <v>10.24</v>
      </c>
    </row>
    <row r="2594" spans="1:4" ht="31.5">
      <c r="A2594" s="261">
        <v>1917704</v>
      </c>
      <c r="B2594" s="265" t="s">
        <v>13892</v>
      </c>
      <c r="C2594" s="261" t="s">
        <v>5</v>
      </c>
      <c r="D2594" s="266">
        <v>10.51</v>
      </c>
    </row>
    <row r="2595" spans="1:4" ht="31.5">
      <c r="A2595" s="261">
        <v>1917705</v>
      </c>
      <c r="B2595" s="265" t="s">
        <v>13893</v>
      </c>
      <c r="C2595" s="261" t="s">
        <v>5</v>
      </c>
      <c r="D2595" s="266">
        <v>11.75</v>
      </c>
    </row>
    <row r="2596" spans="1:4" ht="31.5">
      <c r="A2596" s="261">
        <v>1917695</v>
      </c>
      <c r="B2596" s="265" t="s">
        <v>13894</v>
      </c>
      <c r="C2596" s="261" t="s">
        <v>5</v>
      </c>
      <c r="D2596" s="266">
        <v>8.06</v>
      </c>
    </row>
    <row r="2597" spans="1:4" ht="31.5">
      <c r="A2597" s="261">
        <v>1917706</v>
      </c>
      <c r="B2597" s="265" t="s">
        <v>13895</v>
      </c>
      <c r="C2597" s="261" t="s">
        <v>5</v>
      </c>
      <c r="D2597" s="266">
        <v>12.04</v>
      </c>
    </row>
    <row r="2598" spans="1:4" ht="31.5">
      <c r="A2598" s="261">
        <v>1917696</v>
      </c>
      <c r="B2598" s="265" t="s">
        <v>13896</v>
      </c>
      <c r="C2598" s="261" t="s">
        <v>5</v>
      </c>
      <c r="D2598" s="266">
        <v>9.07</v>
      </c>
    </row>
    <row r="2599" spans="1:4" ht="31.5">
      <c r="A2599" s="261">
        <v>1917694</v>
      </c>
      <c r="B2599" s="265" t="s">
        <v>13897</v>
      </c>
      <c r="C2599" s="261" t="s">
        <v>5</v>
      </c>
      <c r="D2599" s="266">
        <v>7.81</v>
      </c>
    </row>
    <row r="2600" spans="1:4" ht="31.5">
      <c r="A2600" s="261">
        <v>1917697</v>
      </c>
      <c r="B2600" s="265" t="s">
        <v>13898</v>
      </c>
      <c r="C2600" s="261" t="s">
        <v>5</v>
      </c>
      <c r="D2600" s="266">
        <v>9.2799999999999994</v>
      </c>
    </row>
    <row r="2601" spans="1:4" ht="31.5">
      <c r="A2601" s="261">
        <v>1917698</v>
      </c>
      <c r="B2601" s="265" t="s">
        <v>13899</v>
      </c>
      <c r="C2601" s="261" t="s">
        <v>5</v>
      </c>
      <c r="D2601" s="266">
        <v>9.44</v>
      </c>
    </row>
    <row r="2602" spans="1:4" ht="31.5">
      <c r="A2602" s="261">
        <v>1917712</v>
      </c>
      <c r="B2602" s="265" t="s">
        <v>13900</v>
      </c>
      <c r="C2602" s="261" t="s">
        <v>5</v>
      </c>
      <c r="D2602" s="266">
        <v>9.34</v>
      </c>
    </row>
    <row r="2603" spans="1:4" ht="31.5">
      <c r="A2603" s="261">
        <v>1917713</v>
      </c>
      <c r="B2603" s="265" t="s">
        <v>13901</v>
      </c>
      <c r="C2603" s="261" t="s">
        <v>5</v>
      </c>
      <c r="D2603" s="266">
        <v>9.5</v>
      </c>
    </row>
    <row r="2604" spans="1:4" ht="31.5">
      <c r="A2604" s="261">
        <v>1917714</v>
      </c>
      <c r="B2604" s="265" t="s">
        <v>13902</v>
      </c>
      <c r="C2604" s="261" t="s">
        <v>5</v>
      </c>
      <c r="D2604" s="266">
        <v>9.6</v>
      </c>
    </row>
    <row r="2605" spans="1:4" ht="31.5">
      <c r="A2605" s="261">
        <v>1917715</v>
      </c>
      <c r="B2605" s="265" t="s">
        <v>13903</v>
      </c>
      <c r="C2605" s="261" t="s">
        <v>5</v>
      </c>
      <c r="D2605" s="266">
        <v>9.76</v>
      </c>
    </row>
    <row r="2606" spans="1:4" ht="31.5">
      <c r="A2606" s="261">
        <v>1917716</v>
      </c>
      <c r="B2606" s="265" t="s">
        <v>13904</v>
      </c>
      <c r="C2606" s="261" t="s">
        <v>5</v>
      </c>
      <c r="D2606" s="266">
        <v>9.8699999999999992</v>
      </c>
    </row>
    <row r="2607" spans="1:4" ht="31.5">
      <c r="A2607" s="261">
        <v>1917717</v>
      </c>
      <c r="B2607" s="265" t="s">
        <v>13905</v>
      </c>
      <c r="C2607" s="261" t="s">
        <v>5</v>
      </c>
      <c r="D2607" s="266">
        <v>10.14</v>
      </c>
    </row>
    <row r="2608" spans="1:4" ht="31.5">
      <c r="A2608" s="261">
        <v>1917718</v>
      </c>
      <c r="B2608" s="265" t="s">
        <v>13906</v>
      </c>
      <c r="C2608" s="261" t="s">
        <v>5</v>
      </c>
      <c r="D2608" s="266">
        <v>10.46</v>
      </c>
    </row>
    <row r="2609" spans="1:4" ht="31.5">
      <c r="A2609" s="261">
        <v>1917708</v>
      </c>
      <c r="B2609" s="265" t="s">
        <v>13907</v>
      </c>
      <c r="C2609" s="261" t="s">
        <v>5</v>
      </c>
      <c r="D2609" s="266">
        <v>7.95</v>
      </c>
    </row>
    <row r="2610" spans="1:4" ht="31.5">
      <c r="A2610" s="261">
        <v>1917719</v>
      </c>
      <c r="B2610" s="265" t="s">
        <v>13908</v>
      </c>
      <c r="C2610" s="261" t="s">
        <v>5</v>
      </c>
      <c r="D2610" s="266">
        <v>10.67</v>
      </c>
    </row>
    <row r="2611" spans="1:4" ht="31.5">
      <c r="A2611" s="261">
        <v>1917709</v>
      </c>
      <c r="B2611" s="265" t="s">
        <v>13909</v>
      </c>
      <c r="C2611" s="261" t="s">
        <v>5</v>
      </c>
      <c r="D2611" s="266">
        <v>8.91</v>
      </c>
    </row>
    <row r="2612" spans="1:4" ht="31.5">
      <c r="A2612" s="261">
        <v>1917707</v>
      </c>
      <c r="B2612" s="265" t="s">
        <v>13910</v>
      </c>
      <c r="C2612" s="261" t="s">
        <v>5</v>
      </c>
      <c r="D2612" s="266">
        <v>7.74</v>
      </c>
    </row>
    <row r="2613" spans="1:4" ht="31.5">
      <c r="A2613" s="261">
        <v>1917710</v>
      </c>
      <c r="B2613" s="265" t="s">
        <v>13911</v>
      </c>
      <c r="C2613" s="261" t="s">
        <v>5</v>
      </c>
      <c r="D2613" s="266">
        <v>9.07</v>
      </c>
    </row>
    <row r="2614" spans="1:4" ht="31.5">
      <c r="A2614" s="261">
        <v>1917711</v>
      </c>
      <c r="B2614" s="265" t="s">
        <v>13912</v>
      </c>
      <c r="C2614" s="261" t="s">
        <v>5</v>
      </c>
      <c r="D2614" s="266">
        <v>9.23</v>
      </c>
    </row>
    <row r="2615" spans="1:4">
      <c r="A2615" s="261">
        <v>1917680</v>
      </c>
      <c r="B2615" s="265" t="s">
        <v>13913</v>
      </c>
      <c r="C2615" s="261" t="s">
        <v>5</v>
      </c>
      <c r="D2615" s="266">
        <v>2.95</v>
      </c>
    </row>
    <row r="2616" spans="1:4" ht="31.5">
      <c r="A2616" s="261">
        <v>1901607</v>
      </c>
      <c r="B2616" s="265" t="s">
        <v>13914</v>
      </c>
      <c r="C2616" s="261" t="s">
        <v>5</v>
      </c>
      <c r="D2616" s="266">
        <v>14.77</v>
      </c>
    </row>
    <row r="2617" spans="1:4" ht="31.5">
      <c r="A2617" s="261">
        <v>1901611</v>
      </c>
      <c r="B2617" s="265" t="s">
        <v>13915</v>
      </c>
      <c r="C2617" s="261" t="s">
        <v>5</v>
      </c>
      <c r="D2617" s="266">
        <v>18.440000000000001</v>
      </c>
    </row>
    <row r="2618" spans="1:4" ht="31.5">
      <c r="A2618" s="261">
        <v>1901612</v>
      </c>
      <c r="B2618" s="265" t="s">
        <v>13916</v>
      </c>
      <c r="C2618" s="261" t="s">
        <v>5</v>
      </c>
      <c r="D2618" s="266">
        <v>18.87</v>
      </c>
    </row>
    <row r="2619" spans="1:4" ht="31.5">
      <c r="A2619" s="261">
        <v>1901613</v>
      </c>
      <c r="B2619" s="265" t="s">
        <v>13917</v>
      </c>
      <c r="C2619" s="261" t="s">
        <v>5</v>
      </c>
      <c r="D2619" s="266">
        <v>19.2</v>
      </c>
    </row>
    <row r="2620" spans="1:4" ht="31.5">
      <c r="A2620" s="261">
        <v>1901614</v>
      </c>
      <c r="B2620" s="265" t="s">
        <v>13918</v>
      </c>
      <c r="C2620" s="261" t="s">
        <v>5</v>
      </c>
      <c r="D2620" s="266">
        <v>19.52</v>
      </c>
    </row>
    <row r="2621" spans="1:4" ht="31.5">
      <c r="A2621" s="261">
        <v>1901615</v>
      </c>
      <c r="B2621" s="265" t="s">
        <v>13919</v>
      </c>
      <c r="C2621" s="261" t="s">
        <v>5</v>
      </c>
      <c r="D2621" s="266">
        <v>19.95</v>
      </c>
    </row>
    <row r="2622" spans="1:4" ht="31.5">
      <c r="A2622" s="261">
        <v>1901616</v>
      </c>
      <c r="B2622" s="265" t="s">
        <v>13920</v>
      </c>
      <c r="C2622" s="261" t="s">
        <v>5</v>
      </c>
      <c r="D2622" s="266">
        <v>20.28</v>
      </c>
    </row>
    <row r="2623" spans="1:4" ht="31.5">
      <c r="A2623" s="261">
        <v>1901608</v>
      </c>
      <c r="B2623" s="265" t="s">
        <v>13921</v>
      </c>
      <c r="C2623" s="261" t="s">
        <v>5</v>
      </c>
      <c r="D2623" s="266">
        <v>15.28</v>
      </c>
    </row>
    <row r="2624" spans="1:4" ht="31.5">
      <c r="A2624" s="261">
        <v>1901609</v>
      </c>
      <c r="B2624" s="265" t="s">
        <v>13922</v>
      </c>
      <c r="C2624" s="261" t="s">
        <v>5</v>
      </c>
      <c r="D2624" s="266">
        <v>15.71</v>
      </c>
    </row>
    <row r="2625" spans="1:4" ht="31.5">
      <c r="A2625" s="261">
        <v>1901610</v>
      </c>
      <c r="B2625" s="265" t="s">
        <v>13923</v>
      </c>
      <c r="C2625" s="261" t="s">
        <v>5</v>
      </c>
      <c r="D2625" s="266">
        <v>18.12</v>
      </c>
    </row>
    <row r="2626" spans="1:4" ht="31.5">
      <c r="A2626" s="261">
        <v>1901617</v>
      </c>
      <c r="B2626" s="265" t="s">
        <v>13924</v>
      </c>
      <c r="C2626" s="261" t="s">
        <v>5</v>
      </c>
      <c r="D2626" s="266">
        <v>20.49</v>
      </c>
    </row>
    <row r="2627" spans="1:4">
      <c r="A2627" s="261">
        <v>1917037</v>
      </c>
      <c r="B2627" s="265" t="s">
        <v>13925</v>
      </c>
      <c r="C2627" s="261" t="s">
        <v>5</v>
      </c>
      <c r="D2627" s="266">
        <v>18.95</v>
      </c>
    </row>
    <row r="2628" spans="1:4">
      <c r="A2628" s="261">
        <v>1917038</v>
      </c>
      <c r="B2628" s="265" t="s">
        <v>13926</v>
      </c>
      <c r="C2628" s="261" t="s">
        <v>5</v>
      </c>
      <c r="D2628" s="266">
        <v>19.59</v>
      </c>
    </row>
    <row r="2629" spans="1:4">
      <c r="A2629" s="261">
        <v>1917039</v>
      </c>
      <c r="B2629" s="265" t="s">
        <v>13927</v>
      </c>
      <c r="C2629" s="261" t="s">
        <v>5</v>
      </c>
      <c r="D2629" s="266">
        <v>20.25</v>
      </c>
    </row>
    <row r="2630" spans="1:4">
      <c r="A2630" s="261">
        <v>1917040</v>
      </c>
      <c r="B2630" s="265" t="s">
        <v>13928</v>
      </c>
      <c r="C2630" s="261" t="s">
        <v>5</v>
      </c>
      <c r="D2630" s="266">
        <v>20.93</v>
      </c>
    </row>
    <row r="2631" spans="1:4">
      <c r="A2631" s="261">
        <v>1917041</v>
      </c>
      <c r="B2631" s="265" t="s">
        <v>13929</v>
      </c>
      <c r="C2631" s="261" t="s">
        <v>5</v>
      </c>
      <c r="D2631" s="266">
        <v>21.66</v>
      </c>
    </row>
    <row r="2632" spans="1:4">
      <c r="A2632" s="261">
        <v>1917042</v>
      </c>
      <c r="B2632" s="265" t="s">
        <v>13930</v>
      </c>
      <c r="C2632" s="261" t="s">
        <v>5</v>
      </c>
      <c r="D2632" s="266">
        <v>22.05</v>
      </c>
    </row>
    <row r="2633" spans="1:4">
      <c r="A2633" s="261">
        <v>1901619</v>
      </c>
      <c r="B2633" s="265" t="s">
        <v>13931</v>
      </c>
      <c r="C2633" s="261" t="s">
        <v>5</v>
      </c>
      <c r="D2633" s="266">
        <v>10.45</v>
      </c>
    </row>
    <row r="2634" spans="1:4">
      <c r="A2634" s="261">
        <v>1901620</v>
      </c>
      <c r="B2634" s="265" t="s">
        <v>13932</v>
      </c>
      <c r="C2634" s="261" t="s">
        <v>5</v>
      </c>
      <c r="D2634" s="266">
        <v>10.64</v>
      </c>
    </row>
    <row r="2635" spans="1:4">
      <c r="A2635" s="261">
        <v>1901621</v>
      </c>
      <c r="B2635" s="265" t="s">
        <v>13933</v>
      </c>
      <c r="C2635" s="261" t="s">
        <v>5</v>
      </c>
      <c r="D2635" s="266">
        <v>10.83</v>
      </c>
    </row>
    <row r="2636" spans="1:4">
      <c r="A2636" s="261">
        <v>1901622</v>
      </c>
      <c r="B2636" s="265" t="s">
        <v>13934</v>
      </c>
      <c r="C2636" s="261" t="s">
        <v>5</v>
      </c>
      <c r="D2636" s="266">
        <v>11.03</v>
      </c>
    </row>
    <row r="2637" spans="1:4">
      <c r="A2637" s="261">
        <v>1901623</v>
      </c>
      <c r="B2637" s="265" t="s">
        <v>13935</v>
      </c>
      <c r="C2637" s="261" t="s">
        <v>5</v>
      </c>
      <c r="D2637" s="266">
        <v>11.25</v>
      </c>
    </row>
    <row r="2638" spans="1:4">
      <c r="A2638" s="261">
        <v>1901618</v>
      </c>
      <c r="B2638" s="265" t="s">
        <v>13936</v>
      </c>
      <c r="C2638" s="261" t="s">
        <v>5</v>
      </c>
      <c r="D2638" s="266">
        <v>11.37</v>
      </c>
    </row>
    <row r="2639" spans="1:4">
      <c r="A2639" s="261">
        <v>1901625</v>
      </c>
      <c r="B2639" s="265" t="s">
        <v>13937</v>
      </c>
      <c r="C2639" s="261" t="s">
        <v>5</v>
      </c>
      <c r="D2639" s="266">
        <v>12.56</v>
      </c>
    </row>
    <row r="2640" spans="1:4">
      <c r="A2640" s="261">
        <v>1901626</v>
      </c>
      <c r="B2640" s="265" t="s">
        <v>13938</v>
      </c>
      <c r="C2640" s="261" t="s">
        <v>5</v>
      </c>
      <c r="D2640" s="266">
        <v>12.73</v>
      </c>
    </row>
    <row r="2641" spans="1:4">
      <c r="A2641" s="261">
        <v>1901627</v>
      </c>
      <c r="B2641" s="265" t="s">
        <v>13939</v>
      </c>
      <c r="C2641" s="261" t="s">
        <v>5</v>
      </c>
      <c r="D2641" s="266">
        <v>12.92</v>
      </c>
    </row>
    <row r="2642" spans="1:4">
      <c r="A2642" s="261">
        <v>1901628</v>
      </c>
      <c r="B2642" s="265" t="s">
        <v>13940</v>
      </c>
      <c r="C2642" s="261" t="s">
        <v>5</v>
      </c>
      <c r="D2642" s="266">
        <v>13.11</v>
      </c>
    </row>
    <row r="2643" spans="1:4">
      <c r="A2643" s="261">
        <v>1901629</v>
      </c>
      <c r="B2643" s="265" t="s">
        <v>13941</v>
      </c>
      <c r="C2643" s="261" t="s">
        <v>5</v>
      </c>
      <c r="D2643" s="266">
        <v>13.32</v>
      </c>
    </row>
    <row r="2644" spans="1:4">
      <c r="A2644" s="261">
        <v>1901624</v>
      </c>
      <c r="B2644" s="265" t="s">
        <v>13942</v>
      </c>
      <c r="C2644" s="261" t="s">
        <v>5</v>
      </c>
      <c r="D2644" s="266">
        <v>13.43</v>
      </c>
    </row>
    <row r="2645" spans="1:4">
      <c r="A2645" s="261">
        <v>1917073</v>
      </c>
      <c r="B2645" s="265" t="s">
        <v>13943</v>
      </c>
      <c r="C2645" s="261" t="s">
        <v>5</v>
      </c>
      <c r="D2645" s="266">
        <v>14.94</v>
      </c>
    </row>
    <row r="2646" spans="1:4">
      <c r="A2646" s="261">
        <v>1917074</v>
      </c>
      <c r="B2646" s="265" t="s">
        <v>13944</v>
      </c>
      <c r="C2646" s="261" t="s">
        <v>5</v>
      </c>
      <c r="D2646" s="266">
        <v>15.34</v>
      </c>
    </row>
    <row r="2647" spans="1:4">
      <c r="A2647" s="261">
        <v>1917075</v>
      </c>
      <c r="B2647" s="265" t="s">
        <v>13945</v>
      </c>
      <c r="C2647" s="261" t="s">
        <v>5</v>
      </c>
      <c r="D2647" s="266">
        <v>15.75</v>
      </c>
    </row>
    <row r="2648" spans="1:4">
      <c r="A2648" s="261">
        <v>1917076</v>
      </c>
      <c r="B2648" s="265" t="s">
        <v>13946</v>
      </c>
      <c r="C2648" s="261" t="s">
        <v>5</v>
      </c>
      <c r="D2648" s="266">
        <v>16.170000000000002</v>
      </c>
    </row>
    <row r="2649" spans="1:4">
      <c r="A2649" s="261">
        <v>1917077</v>
      </c>
      <c r="B2649" s="265" t="s">
        <v>13947</v>
      </c>
      <c r="C2649" s="261" t="s">
        <v>5</v>
      </c>
      <c r="D2649" s="266">
        <v>16.63</v>
      </c>
    </row>
    <row r="2650" spans="1:4">
      <c r="A2650" s="261">
        <v>1917078</v>
      </c>
      <c r="B2650" s="265" t="s">
        <v>13948</v>
      </c>
      <c r="C2650" s="261" t="s">
        <v>5</v>
      </c>
      <c r="D2650" s="266">
        <v>16.87</v>
      </c>
    </row>
    <row r="2651" spans="1:4">
      <c r="A2651" s="261">
        <v>1901631</v>
      </c>
      <c r="B2651" s="265" t="s">
        <v>13949</v>
      </c>
      <c r="C2651" s="261" t="s">
        <v>5</v>
      </c>
      <c r="D2651" s="266">
        <v>14.81</v>
      </c>
    </row>
    <row r="2652" spans="1:4">
      <c r="A2652" s="261">
        <v>1901632</v>
      </c>
      <c r="B2652" s="265" t="s">
        <v>13950</v>
      </c>
      <c r="C2652" s="261" t="s">
        <v>5</v>
      </c>
      <c r="D2652" s="266">
        <v>14.99</v>
      </c>
    </row>
    <row r="2653" spans="1:4">
      <c r="A2653" s="261">
        <v>1901633</v>
      </c>
      <c r="B2653" s="265" t="s">
        <v>13951</v>
      </c>
      <c r="C2653" s="261" t="s">
        <v>5</v>
      </c>
      <c r="D2653" s="266">
        <v>15.17</v>
      </c>
    </row>
    <row r="2654" spans="1:4">
      <c r="A2654" s="261">
        <v>1901634</v>
      </c>
      <c r="B2654" s="265" t="s">
        <v>13952</v>
      </c>
      <c r="C2654" s="261" t="s">
        <v>5</v>
      </c>
      <c r="D2654" s="266">
        <v>15.35</v>
      </c>
    </row>
    <row r="2655" spans="1:4">
      <c r="A2655" s="261">
        <v>1901635</v>
      </c>
      <c r="B2655" s="265" t="s">
        <v>13953</v>
      </c>
      <c r="C2655" s="261" t="s">
        <v>5</v>
      </c>
      <c r="D2655" s="266">
        <v>15.55</v>
      </c>
    </row>
    <row r="2656" spans="1:4">
      <c r="A2656" s="261">
        <v>1901630</v>
      </c>
      <c r="B2656" s="265" t="s">
        <v>13954</v>
      </c>
      <c r="C2656" s="261" t="s">
        <v>5</v>
      </c>
      <c r="D2656" s="266">
        <v>15.66</v>
      </c>
    </row>
    <row r="2657" spans="1:4">
      <c r="A2657" s="261">
        <v>1917109</v>
      </c>
      <c r="B2657" s="265" t="s">
        <v>13955</v>
      </c>
      <c r="C2657" s="261" t="s">
        <v>5</v>
      </c>
      <c r="D2657" s="266">
        <v>13.54</v>
      </c>
    </row>
    <row r="2658" spans="1:4">
      <c r="A2658" s="261">
        <v>1917110</v>
      </c>
      <c r="B2658" s="265" t="s">
        <v>13956</v>
      </c>
      <c r="C2658" s="261" t="s">
        <v>5</v>
      </c>
      <c r="D2658" s="266">
        <v>13.87</v>
      </c>
    </row>
    <row r="2659" spans="1:4">
      <c r="A2659" s="261">
        <v>1917111</v>
      </c>
      <c r="B2659" s="265" t="s">
        <v>13957</v>
      </c>
      <c r="C2659" s="261" t="s">
        <v>5</v>
      </c>
      <c r="D2659" s="266">
        <v>14.2</v>
      </c>
    </row>
    <row r="2660" spans="1:4">
      <c r="A2660" s="261">
        <v>1917112</v>
      </c>
      <c r="B2660" s="265" t="s">
        <v>13958</v>
      </c>
      <c r="C2660" s="261" t="s">
        <v>5</v>
      </c>
      <c r="D2660" s="266">
        <v>14.55</v>
      </c>
    </row>
    <row r="2661" spans="1:4">
      <c r="A2661" s="261">
        <v>1917113</v>
      </c>
      <c r="B2661" s="265" t="s">
        <v>13959</v>
      </c>
      <c r="C2661" s="261" t="s">
        <v>5</v>
      </c>
      <c r="D2661" s="266">
        <v>14.92</v>
      </c>
    </row>
    <row r="2662" spans="1:4">
      <c r="A2662" s="261">
        <v>1917114</v>
      </c>
      <c r="B2662" s="265" t="s">
        <v>13960</v>
      </c>
      <c r="C2662" s="261" t="s">
        <v>5</v>
      </c>
      <c r="D2662" s="266">
        <v>15.12</v>
      </c>
    </row>
    <row r="2663" spans="1:4">
      <c r="A2663" s="261">
        <v>1917145</v>
      </c>
      <c r="B2663" s="265" t="s">
        <v>13961</v>
      </c>
      <c r="C2663" s="261" t="s">
        <v>5</v>
      </c>
      <c r="D2663" s="266">
        <v>12.52</v>
      </c>
    </row>
    <row r="2664" spans="1:4">
      <c r="A2664" s="261">
        <v>1917146</v>
      </c>
      <c r="B2664" s="265" t="s">
        <v>13962</v>
      </c>
      <c r="C2664" s="261" t="s">
        <v>5</v>
      </c>
      <c r="D2664" s="266">
        <v>12.8</v>
      </c>
    </row>
    <row r="2665" spans="1:4">
      <c r="A2665" s="261">
        <v>1917147</v>
      </c>
      <c r="B2665" s="265" t="s">
        <v>13963</v>
      </c>
      <c r="C2665" s="261" t="s">
        <v>5</v>
      </c>
      <c r="D2665" s="266">
        <v>13.1</v>
      </c>
    </row>
    <row r="2666" spans="1:4">
      <c r="A2666" s="261">
        <v>1917148</v>
      </c>
      <c r="B2666" s="265" t="s">
        <v>13964</v>
      </c>
      <c r="C2666" s="261" t="s">
        <v>5</v>
      </c>
      <c r="D2666" s="266">
        <v>13.4</v>
      </c>
    </row>
    <row r="2667" spans="1:4">
      <c r="A2667" s="261">
        <v>1917149</v>
      </c>
      <c r="B2667" s="265" t="s">
        <v>13965</v>
      </c>
      <c r="C2667" s="261" t="s">
        <v>5</v>
      </c>
      <c r="D2667" s="266">
        <v>13.73</v>
      </c>
    </row>
    <row r="2668" spans="1:4">
      <c r="A2668" s="261">
        <v>1917150</v>
      </c>
      <c r="B2668" s="265" t="s">
        <v>13966</v>
      </c>
      <c r="C2668" s="261" t="s">
        <v>5</v>
      </c>
      <c r="D2668" s="266">
        <v>13.91</v>
      </c>
    </row>
    <row r="2669" spans="1:4">
      <c r="A2669" s="261">
        <v>1917181</v>
      </c>
      <c r="B2669" s="265" t="s">
        <v>13967</v>
      </c>
      <c r="C2669" s="261" t="s">
        <v>5</v>
      </c>
      <c r="D2669" s="266">
        <v>11.64</v>
      </c>
    </row>
    <row r="2670" spans="1:4">
      <c r="A2670" s="261">
        <v>1917182</v>
      </c>
      <c r="B2670" s="265" t="s">
        <v>13968</v>
      </c>
      <c r="C2670" s="261" t="s">
        <v>5</v>
      </c>
      <c r="D2670" s="266">
        <v>11.9</v>
      </c>
    </row>
    <row r="2671" spans="1:4">
      <c r="A2671" s="261">
        <v>1917183</v>
      </c>
      <c r="B2671" s="265" t="s">
        <v>13969</v>
      </c>
      <c r="C2671" s="261" t="s">
        <v>5</v>
      </c>
      <c r="D2671" s="266">
        <v>12.16</v>
      </c>
    </row>
    <row r="2672" spans="1:4">
      <c r="A2672" s="261">
        <v>1917184</v>
      </c>
      <c r="B2672" s="265" t="s">
        <v>13970</v>
      </c>
      <c r="C2672" s="261" t="s">
        <v>5</v>
      </c>
      <c r="D2672" s="266">
        <v>12.44</v>
      </c>
    </row>
    <row r="2673" spans="1:4">
      <c r="A2673" s="261">
        <v>1917185</v>
      </c>
      <c r="B2673" s="265" t="s">
        <v>13971</v>
      </c>
      <c r="C2673" s="261" t="s">
        <v>5</v>
      </c>
      <c r="D2673" s="266">
        <v>12.73</v>
      </c>
    </row>
    <row r="2674" spans="1:4">
      <c r="A2674" s="261">
        <v>1917186</v>
      </c>
      <c r="B2674" s="265" t="s">
        <v>13972</v>
      </c>
      <c r="C2674" s="261" t="s">
        <v>5</v>
      </c>
      <c r="D2674" s="266">
        <v>12.88</v>
      </c>
    </row>
    <row r="2675" spans="1:4">
      <c r="A2675" s="261">
        <v>1917001</v>
      </c>
      <c r="B2675" s="265" t="s">
        <v>13973</v>
      </c>
      <c r="C2675" s="261" t="s">
        <v>5</v>
      </c>
      <c r="D2675" s="266">
        <v>25.08</v>
      </c>
    </row>
    <row r="2676" spans="1:4">
      <c r="A2676" s="261">
        <v>1917002</v>
      </c>
      <c r="B2676" s="265" t="s">
        <v>13974</v>
      </c>
      <c r="C2676" s="261" t="s">
        <v>5</v>
      </c>
      <c r="D2676" s="266">
        <v>26</v>
      </c>
    </row>
    <row r="2677" spans="1:4">
      <c r="A2677" s="261">
        <v>1917003</v>
      </c>
      <c r="B2677" s="265" t="s">
        <v>13975</v>
      </c>
      <c r="C2677" s="261" t="s">
        <v>5</v>
      </c>
      <c r="D2677" s="266">
        <v>26.93</v>
      </c>
    </row>
    <row r="2678" spans="1:4">
      <c r="A2678" s="261">
        <v>1917004</v>
      </c>
      <c r="B2678" s="265" t="s">
        <v>13976</v>
      </c>
      <c r="C2678" s="261" t="s">
        <v>5</v>
      </c>
      <c r="D2678" s="266">
        <v>27.92</v>
      </c>
    </row>
    <row r="2679" spans="1:4">
      <c r="A2679" s="261">
        <v>1917005</v>
      </c>
      <c r="B2679" s="265" t="s">
        <v>13977</v>
      </c>
      <c r="C2679" s="261" t="s">
        <v>5</v>
      </c>
      <c r="D2679" s="266">
        <v>28.95</v>
      </c>
    </row>
    <row r="2680" spans="1:4">
      <c r="A2680" s="261">
        <v>1917006</v>
      </c>
      <c r="B2680" s="265" t="s">
        <v>13978</v>
      </c>
      <c r="C2680" s="261" t="s">
        <v>5</v>
      </c>
      <c r="D2680" s="266">
        <v>29.51</v>
      </c>
    </row>
    <row r="2681" spans="1:4">
      <c r="A2681" s="261">
        <v>2009619</v>
      </c>
      <c r="B2681" s="265" t="s">
        <v>13979</v>
      </c>
      <c r="C2681" s="261" t="s">
        <v>3</v>
      </c>
      <c r="D2681" s="266">
        <v>121.23</v>
      </c>
    </row>
    <row r="2682" spans="1:4">
      <c r="A2682" s="261">
        <v>2009618</v>
      </c>
      <c r="B2682" s="265" t="s">
        <v>13980</v>
      </c>
      <c r="C2682" s="261" t="s">
        <v>3</v>
      </c>
      <c r="D2682" s="266">
        <v>119.47</v>
      </c>
    </row>
    <row r="2683" spans="1:4">
      <c r="A2683" s="261">
        <v>2003866</v>
      </c>
      <c r="B2683" s="265" t="s">
        <v>13981</v>
      </c>
      <c r="C2683" s="261" t="s">
        <v>3</v>
      </c>
      <c r="D2683" s="266">
        <v>8.17</v>
      </c>
    </row>
    <row r="2684" spans="1:4">
      <c r="A2684" s="261">
        <v>2003867</v>
      </c>
      <c r="B2684" s="265" t="s">
        <v>13982</v>
      </c>
      <c r="C2684" s="261" t="s">
        <v>3</v>
      </c>
      <c r="D2684" s="266">
        <v>17.09</v>
      </c>
    </row>
    <row r="2685" spans="1:4">
      <c r="A2685" s="261">
        <v>2003622</v>
      </c>
      <c r="B2685" s="265" t="s">
        <v>13983</v>
      </c>
      <c r="C2685" s="261" t="s">
        <v>97</v>
      </c>
      <c r="D2685" s="266">
        <v>2440.9</v>
      </c>
    </row>
    <row r="2686" spans="1:4">
      <c r="A2686" s="261">
        <v>2003621</v>
      </c>
      <c r="B2686" s="265" t="s">
        <v>13984</v>
      </c>
      <c r="C2686" s="261" t="s">
        <v>97</v>
      </c>
      <c r="D2686" s="266">
        <v>2357.1999999999998</v>
      </c>
    </row>
    <row r="2687" spans="1:4">
      <c r="A2687" s="261">
        <v>2003624</v>
      </c>
      <c r="B2687" s="265" t="s">
        <v>13985</v>
      </c>
      <c r="C2687" s="261" t="s">
        <v>97</v>
      </c>
      <c r="D2687" s="266">
        <v>2835.11</v>
      </c>
    </row>
    <row r="2688" spans="1:4">
      <c r="A2688" s="261">
        <v>2003623</v>
      </c>
      <c r="B2688" s="265" t="s">
        <v>13986</v>
      </c>
      <c r="C2688" s="261" t="s">
        <v>97</v>
      </c>
      <c r="D2688" s="266">
        <v>2740.33</v>
      </c>
    </row>
    <row r="2689" spans="1:4">
      <c r="A2689" s="261">
        <v>2003634</v>
      </c>
      <c r="B2689" s="265" t="s">
        <v>13987</v>
      </c>
      <c r="C2689" s="261" t="s">
        <v>97</v>
      </c>
      <c r="D2689" s="266">
        <v>1777.1</v>
      </c>
    </row>
    <row r="2690" spans="1:4">
      <c r="A2690" s="261">
        <v>2003633</v>
      </c>
      <c r="B2690" s="265" t="s">
        <v>13988</v>
      </c>
      <c r="C2690" s="261" t="s">
        <v>97</v>
      </c>
      <c r="D2690" s="266">
        <v>1693.4</v>
      </c>
    </row>
    <row r="2691" spans="1:4">
      <c r="A2691" s="261">
        <v>2003636</v>
      </c>
      <c r="B2691" s="265" t="s">
        <v>13989</v>
      </c>
      <c r="C2691" s="261" t="s">
        <v>97</v>
      </c>
      <c r="D2691" s="266">
        <v>2171.31</v>
      </c>
    </row>
    <row r="2692" spans="1:4">
      <c r="A2692" s="261">
        <v>2003635</v>
      </c>
      <c r="B2692" s="265" t="s">
        <v>13990</v>
      </c>
      <c r="C2692" s="261" t="s">
        <v>97</v>
      </c>
      <c r="D2692" s="266">
        <v>2076.5300000000002</v>
      </c>
    </row>
    <row r="2693" spans="1:4">
      <c r="A2693" s="261">
        <v>2003638</v>
      </c>
      <c r="B2693" s="265" t="s">
        <v>13991</v>
      </c>
      <c r="C2693" s="261" t="s">
        <v>97</v>
      </c>
      <c r="D2693" s="266">
        <v>2570.17</v>
      </c>
    </row>
    <row r="2694" spans="1:4">
      <c r="A2694" s="261">
        <v>2003637</v>
      </c>
      <c r="B2694" s="265" t="s">
        <v>13992</v>
      </c>
      <c r="C2694" s="261" t="s">
        <v>97</v>
      </c>
      <c r="D2694" s="266">
        <v>2463.17</v>
      </c>
    </row>
    <row r="2695" spans="1:4">
      <c r="A2695" s="261">
        <v>2003640</v>
      </c>
      <c r="B2695" s="265" t="s">
        <v>13993</v>
      </c>
      <c r="C2695" s="261" t="s">
        <v>97</v>
      </c>
      <c r="D2695" s="266">
        <v>2964.38</v>
      </c>
    </row>
    <row r="2696" spans="1:4">
      <c r="A2696" s="261">
        <v>2003639</v>
      </c>
      <c r="B2696" s="265" t="s">
        <v>13994</v>
      </c>
      <c r="C2696" s="261" t="s">
        <v>97</v>
      </c>
      <c r="D2696" s="266">
        <v>2846.3</v>
      </c>
    </row>
    <row r="2697" spans="1:4">
      <c r="A2697" s="261">
        <v>2003618</v>
      </c>
      <c r="B2697" s="265" t="s">
        <v>13995</v>
      </c>
      <c r="C2697" s="261" t="s">
        <v>97</v>
      </c>
      <c r="D2697" s="266">
        <v>1010.07</v>
      </c>
    </row>
    <row r="2698" spans="1:4">
      <c r="A2698" s="261">
        <v>2003617</v>
      </c>
      <c r="B2698" s="265" t="s">
        <v>13996</v>
      </c>
      <c r="C2698" s="261" t="s">
        <v>97</v>
      </c>
      <c r="D2698" s="266">
        <v>963.92</v>
      </c>
    </row>
    <row r="2699" spans="1:4">
      <c r="A2699" s="261">
        <v>2003620</v>
      </c>
      <c r="B2699" s="265" t="s">
        <v>13997</v>
      </c>
      <c r="C2699" s="261" t="s">
        <v>97</v>
      </c>
      <c r="D2699" s="266">
        <v>1250.71</v>
      </c>
    </row>
    <row r="2700" spans="1:4">
      <c r="A2700" s="261">
        <v>2003619</v>
      </c>
      <c r="B2700" s="265" t="s">
        <v>13998</v>
      </c>
      <c r="C2700" s="261" t="s">
        <v>97</v>
      </c>
      <c r="D2700" s="266">
        <v>1197.8599999999999</v>
      </c>
    </row>
    <row r="2701" spans="1:4">
      <c r="A2701" s="261">
        <v>2003626</v>
      </c>
      <c r="B2701" s="265" t="s">
        <v>13999</v>
      </c>
      <c r="C2701" s="261" t="s">
        <v>97</v>
      </c>
      <c r="D2701" s="266">
        <v>917.23</v>
      </c>
    </row>
    <row r="2702" spans="1:4">
      <c r="A2702" s="261">
        <v>2003625</v>
      </c>
      <c r="B2702" s="265" t="s">
        <v>14000</v>
      </c>
      <c r="C2702" s="261" t="s">
        <v>97</v>
      </c>
      <c r="D2702" s="266">
        <v>871.08</v>
      </c>
    </row>
    <row r="2703" spans="1:4">
      <c r="A2703" s="261">
        <v>2003628</v>
      </c>
      <c r="B2703" s="265" t="s">
        <v>14001</v>
      </c>
      <c r="C2703" s="261" t="s">
        <v>97</v>
      </c>
      <c r="D2703" s="266">
        <v>1157.8800000000001</v>
      </c>
    </row>
    <row r="2704" spans="1:4">
      <c r="A2704" s="261">
        <v>2003627</v>
      </c>
      <c r="B2704" s="265" t="s">
        <v>14002</v>
      </c>
      <c r="C2704" s="261" t="s">
        <v>97</v>
      </c>
      <c r="D2704" s="266">
        <v>1105.02</v>
      </c>
    </row>
    <row r="2705" spans="1:4">
      <c r="A2705" s="261">
        <v>2003630</v>
      </c>
      <c r="B2705" s="265" t="s">
        <v>14003</v>
      </c>
      <c r="C2705" s="261" t="s">
        <v>97</v>
      </c>
      <c r="D2705" s="266">
        <v>1398.52</v>
      </c>
    </row>
    <row r="2706" spans="1:4">
      <c r="A2706" s="261">
        <v>2003629</v>
      </c>
      <c r="B2706" s="265" t="s">
        <v>14004</v>
      </c>
      <c r="C2706" s="261" t="s">
        <v>97</v>
      </c>
      <c r="D2706" s="266">
        <v>1338.96</v>
      </c>
    </row>
    <row r="2707" spans="1:4">
      <c r="A2707" s="261">
        <v>2003632</v>
      </c>
      <c r="B2707" s="265" t="s">
        <v>14005</v>
      </c>
      <c r="C2707" s="261" t="s">
        <v>97</v>
      </c>
      <c r="D2707" s="266">
        <v>1639.17</v>
      </c>
    </row>
    <row r="2708" spans="1:4">
      <c r="A2708" s="261">
        <v>2003631</v>
      </c>
      <c r="B2708" s="265" t="s">
        <v>14006</v>
      </c>
      <c r="C2708" s="261" t="s">
        <v>97</v>
      </c>
      <c r="D2708" s="266">
        <v>1572.9</v>
      </c>
    </row>
    <row r="2709" spans="1:4">
      <c r="A2709" s="261">
        <v>2003599</v>
      </c>
      <c r="B2709" s="265" t="s">
        <v>14007</v>
      </c>
      <c r="C2709" s="261" t="s">
        <v>97</v>
      </c>
      <c r="D2709" s="266">
        <v>202.77</v>
      </c>
    </row>
    <row r="2710" spans="1:4">
      <c r="A2710" s="261">
        <v>2003598</v>
      </c>
      <c r="B2710" s="265" t="s">
        <v>14008</v>
      </c>
      <c r="C2710" s="261" t="s">
        <v>97</v>
      </c>
      <c r="D2710" s="266">
        <v>186.3</v>
      </c>
    </row>
    <row r="2711" spans="1:4">
      <c r="A2711" s="261">
        <v>2003919</v>
      </c>
      <c r="B2711" s="265" t="s">
        <v>14009</v>
      </c>
      <c r="C2711" s="261" t="s">
        <v>97</v>
      </c>
      <c r="D2711" s="266">
        <v>202.77</v>
      </c>
    </row>
    <row r="2712" spans="1:4">
      <c r="A2712" s="261">
        <v>2003918</v>
      </c>
      <c r="B2712" s="265" t="s">
        <v>14010</v>
      </c>
      <c r="C2712" s="261" t="s">
        <v>97</v>
      </c>
      <c r="D2712" s="266">
        <v>186.3</v>
      </c>
    </row>
    <row r="2713" spans="1:4">
      <c r="A2713" s="261">
        <v>2003601</v>
      </c>
      <c r="B2713" s="265" t="s">
        <v>14011</v>
      </c>
      <c r="C2713" s="261" t="s">
        <v>97</v>
      </c>
      <c r="D2713" s="266">
        <v>253.99</v>
      </c>
    </row>
    <row r="2714" spans="1:4">
      <c r="A2714" s="261">
        <v>2003600</v>
      </c>
      <c r="B2714" s="265" t="s">
        <v>14012</v>
      </c>
      <c r="C2714" s="261" t="s">
        <v>97</v>
      </c>
      <c r="D2714" s="266">
        <v>232.45</v>
      </c>
    </row>
    <row r="2715" spans="1:4">
      <c r="A2715" s="261">
        <v>2003921</v>
      </c>
      <c r="B2715" s="265" t="s">
        <v>14013</v>
      </c>
      <c r="C2715" s="261" t="s">
        <v>97</v>
      </c>
      <c r="D2715" s="266">
        <v>253.99</v>
      </c>
    </row>
    <row r="2716" spans="1:4">
      <c r="A2716" s="261">
        <v>2003920</v>
      </c>
      <c r="B2716" s="265" t="s">
        <v>14014</v>
      </c>
      <c r="C2716" s="261" t="s">
        <v>97</v>
      </c>
      <c r="D2716" s="266">
        <v>232.45</v>
      </c>
    </row>
    <row r="2717" spans="1:4">
      <c r="A2717" s="261">
        <v>2003616</v>
      </c>
      <c r="B2717" s="265" t="s">
        <v>14015</v>
      </c>
      <c r="C2717" s="261" t="s">
        <v>97</v>
      </c>
      <c r="D2717" s="266">
        <v>21.89</v>
      </c>
    </row>
    <row r="2718" spans="1:4">
      <c r="A2718" s="261">
        <v>2003615</v>
      </c>
      <c r="B2718" s="265" t="s">
        <v>14016</v>
      </c>
      <c r="C2718" s="261" t="s">
        <v>97</v>
      </c>
      <c r="D2718" s="266">
        <v>19.57</v>
      </c>
    </row>
    <row r="2719" spans="1:4">
      <c r="A2719" s="261">
        <v>2003927</v>
      </c>
      <c r="B2719" s="265" t="s">
        <v>14017</v>
      </c>
      <c r="C2719" s="261" t="s">
        <v>97</v>
      </c>
      <c r="D2719" s="266">
        <v>22.91</v>
      </c>
    </row>
    <row r="2720" spans="1:4">
      <c r="A2720" s="261">
        <v>2003926</v>
      </c>
      <c r="B2720" s="265" t="s">
        <v>14018</v>
      </c>
      <c r="C2720" s="261" t="s">
        <v>97</v>
      </c>
      <c r="D2720" s="266">
        <v>20.59</v>
      </c>
    </row>
    <row r="2721" spans="1:4">
      <c r="A2721" s="261">
        <v>2003613</v>
      </c>
      <c r="B2721" s="265" t="s">
        <v>14019</v>
      </c>
      <c r="C2721" s="261" t="s">
        <v>97</v>
      </c>
      <c r="D2721" s="266">
        <v>145.85</v>
      </c>
    </row>
    <row r="2722" spans="1:4">
      <c r="A2722" s="261">
        <v>2003612</v>
      </c>
      <c r="B2722" s="265" t="s">
        <v>14020</v>
      </c>
      <c r="C2722" s="261" t="s">
        <v>97</v>
      </c>
      <c r="D2722" s="266">
        <v>135.71</v>
      </c>
    </row>
    <row r="2723" spans="1:4">
      <c r="A2723" s="261">
        <v>2003477</v>
      </c>
      <c r="B2723" s="265" t="s">
        <v>14021</v>
      </c>
      <c r="C2723" s="261" t="s">
        <v>97</v>
      </c>
      <c r="D2723" s="266">
        <v>3981.34</v>
      </c>
    </row>
    <row r="2724" spans="1:4">
      <c r="A2724" s="261">
        <v>2003476</v>
      </c>
      <c r="B2724" s="265" t="s">
        <v>14022</v>
      </c>
      <c r="C2724" s="261" t="s">
        <v>97</v>
      </c>
      <c r="D2724" s="266">
        <v>3739.52</v>
      </c>
    </row>
    <row r="2725" spans="1:4">
      <c r="A2725" s="261">
        <v>2003517</v>
      </c>
      <c r="B2725" s="265" t="s">
        <v>14023</v>
      </c>
      <c r="C2725" s="261" t="s">
        <v>97</v>
      </c>
      <c r="D2725" s="266">
        <v>4337.8</v>
      </c>
    </row>
    <row r="2726" spans="1:4">
      <c r="A2726" s="261">
        <v>2003516</v>
      </c>
      <c r="B2726" s="265" t="s">
        <v>14024</v>
      </c>
      <c r="C2726" s="261" t="s">
        <v>97</v>
      </c>
      <c r="D2726" s="266">
        <v>4105.5</v>
      </c>
    </row>
    <row r="2727" spans="1:4">
      <c r="A2727" s="261">
        <v>2003479</v>
      </c>
      <c r="B2727" s="265" t="s">
        <v>14025</v>
      </c>
      <c r="C2727" s="261" t="s">
        <v>97</v>
      </c>
      <c r="D2727" s="266">
        <v>3940.41</v>
      </c>
    </row>
    <row r="2728" spans="1:4">
      <c r="A2728" s="261">
        <v>2003478</v>
      </c>
      <c r="B2728" s="265" t="s">
        <v>14026</v>
      </c>
      <c r="C2728" s="261" t="s">
        <v>97</v>
      </c>
      <c r="D2728" s="266">
        <v>3709.15</v>
      </c>
    </row>
    <row r="2729" spans="1:4">
      <c r="A2729" s="261">
        <v>2003519</v>
      </c>
      <c r="B2729" s="265" t="s">
        <v>14027</v>
      </c>
      <c r="C2729" s="261" t="s">
        <v>97</v>
      </c>
      <c r="D2729" s="266">
        <v>4296.87</v>
      </c>
    </row>
    <row r="2730" spans="1:4">
      <c r="A2730" s="261">
        <v>2003518</v>
      </c>
      <c r="B2730" s="265" t="s">
        <v>14028</v>
      </c>
      <c r="C2730" s="261" t="s">
        <v>97</v>
      </c>
      <c r="D2730" s="266">
        <v>4075.13</v>
      </c>
    </row>
    <row r="2731" spans="1:4">
      <c r="A2731" s="261">
        <v>2003481</v>
      </c>
      <c r="B2731" s="265" t="s">
        <v>14029</v>
      </c>
      <c r="C2731" s="261" t="s">
        <v>97</v>
      </c>
      <c r="D2731" s="266">
        <v>3899.48</v>
      </c>
    </row>
    <row r="2732" spans="1:4">
      <c r="A2732" s="261">
        <v>2003480</v>
      </c>
      <c r="B2732" s="265" t="s">
        <v>14030</v>
      </c>
      <c r="C2732" s="261" t="s">
        <v>97</v>
      </c>
      <c r="D2732" s="266">
        <v>3678.78</v>
      </c>
    </row>
    <row r="2733" spans="1:4">
      <c r="A2733" s="261">
        <v>2003521</v>
      </c>
      <c r="B2733" s="265" t="s">
        <v>14031</v>
      </c>
      <c r="C2733" s="261" t="s">
        <v>97</v>
      </c>
      <c r="D2733" s="266">
        <v>4255.9399999999996</v>
      </c>
    </row>
    <row r="2734" spans="1:4">
      <c r="A2734" s="261">
        <v>2003520</v>
      </c>
      <c r="B2734" s="265" t="s">
        <v>14032</v>
      </c>
      <c r="C2734" s="261" t="s">
        <v>97</v>
      </c>
      <c r="D2734" s="266">
        <v>4044.76</v>
      </c>
    </row>
    <row r="2735" spans="1:4">
      <c r="A2735" s="261">
        <v>2003483</v>
      </c>
      <c r="B2735" s="265" t="s">
        <v>14033</v>
      </c>
      <c r="C2735" s="261" t="s">
        <v>97</v>
      </c>
      <c r="D2735" s="266">
        <v>3858.54</v>
      </c>
    </row>
    <row r="2736" spans="1:4">
      <c r="A2736" s="261">
        <v>2003482</v>
      </c>
      <c r="B2736" s="265" t="s">
        <v>14034</v>
      </c>
      <c r="C2736" s="261" t="s">
        <v>97</v>
      </c>
      <c r="D2736" s="266">
        <v>3648.4</v>
      </c>
    </row>
    <row r="2737" spans="1:4">
      <c r="A2737" s="261">
        <v>2003523</v>
      </c>
      <c r="B2737" s="265" t="s">
        <v>14035</v>
      </c>
      <c r="C2737" s="261" t="s">
        <v>97</v>
      </c>
      <c r="D2737" s="266">
        <v>4215</v>
      </c>
    </row>
    <row r="2738" spans="1:4">
      <c r="A2738" s="261">
        <v>2003522</v>
      </c>
      <c r="B2738" s="265" t="s">
        <v>14036</v>
      </c>
      <c r="C2738" s="261" t="s">
        <v>97</v>
      </c>
      <c r="D2738" s="266">
        <v>4014.38</v>
      </c>
    </row>
    <row r="2739" spans="1:4">
      <c r="A2739" s="261">
        <v>2003485</v>
      </c>
      <c r="B2739" s="265" t="s">
        <v>14037</v>
      </c>
      <c r="C2739" s="261" t="s">
        <v>97</v>
      </c>
      <c r="D2739" s="266">
        <v>5175.43</v>
      </c>
    </row>
    <row r="2740" spans="1:4">
      <c r="A2740" s="261">
        <v>2003484</v>
      </c>
      <c r="B2740" s="265" t="s">
        <v>14038</v>
      </c>
      <c r="C2740" s="261" t="s">
        <v>97</v>
      </c>
      <c r="D2740" s="266">
        <v>4875.53</v>
      </c>
    </row>
    <row r="2741" spans="1:4">
      <c r="A2741" s="261">
        <v>2003525</v>
      </c>
      <c r="B2741" s="265" t="s">
        <v>14039</v>
      </c>
      <c r="C2741" s="261" t="s">
        <v>97</v>
      </c>
      <c r="D2741" s="266">
        <v>5531.89</v>
      </c>
    </row>
    <row r="2742" spans="1:4">
      <c r="A2742" s="261">
        <v>2003524</v>
      </c>
      <c r="B2742" s="265" t="s">
        <v>14040</v>
      </c>
      <c r="C2742" s="261" t="s">
        <v>97</v>
      </c>
      <c r="D2742" s="266">
        <v>5241.51</v>
      </c>
    </row>
    <row r="2743" spans="1:4">
      <c r="A2743" s="261">
        <v>2003487</v>
      </c>
      <c r="B2743" s="265" t="s">
        <v>14041</v>
      </c>
      <c r="C2743" s="261" t="s">
        <v>97</v>
      </c>
      <c r="D2743" s="266">
        <v>5134.49</v>
      </c>
    </row>
    <row r="2744" spans="1:4">
      <c r="A2744" s="261">
        <v>2003486</v>
      </c>
      <c r="B2744" s="265" t="s">
        <v>14042</v>
      </c>
      <c r="C2744" s="261" t="s">
        <v>97</v>
      </c>
      <c r="D2744" s="266">
        <v>4845.16</v>
      </c>
    </row>
    <row r="2745" spans="1:4">
      <c r="A2745" s="261">
        <v>2003527</v>
      </c>
      <c r="B2745" s="265" t="s">
        <v>14043</v>
      </c>
      <c r="C2745" s="261" t="s">
        <v>97</v>
      </c>
      <c r="D2745" s="266">
        <v>5490.95</v>
      </c>
    </row>
    <row r="2746" spans="1:4">
      <c r="A2746" s="261">
        <v>2003526</v>
      </c>
      <c r="B2746" s="265" t="s">
        <v>14044</v>
      </c>
      <c r="C2746" s="261" t="s">
        <v>97</v>
      </c>
      <c r="D2746" s="266">
        <v>5211.1400000000003</v>
      </c>
    </row>
    <row r="2747" spans="1:4">
      <c r="A2747" s="261">
        <v>2003489</v>
      </c>
      <c r="B2747" s="265" t="s">
        <v>14045</v>
      </c>
      <c r="C2747" s="261" t="s">
        <v>97</v>
      </c>
      <c r="D2747" s="266">
        <v>5093.5600000000004</v>
      </c>
    </row>
    <row r="2748" spans="1:4">
      <c r="A2748" s="261">
        <v>2003488</v>
      </c>
      <c r="B2748" s="265" t="s">
        <v>14046</v>
      </c>
      <c r="C2748" s="261" t="s">
        <v>97</v>
      </c>
      <c r="D2748" s="266">
        <v>4814.79</v>
      </c>
    </row>
    <row r="2749" spans="1:4">
      <c r="A2749" s="261">
        <v>2003529</v>
      </c>
      <c r="B2749" s="265" t="s">
        <v>14047</v>
      </c>
      <c r="C2749" s="261" t="s">
        <v>97</v>
      </c>
      <c r="D2749" s="266">
        <v>5450.02</v>
      </c>
    </row>
    <row r="2750" spans="1:4">
      <c r="A2750" s="261">
        <v>2003528</v>
      </c>
      <c r="B2750" s="265" t="s">
        <v>14048</v>
      </c>
      <c r="C2750" s="261" t="s">
        <v>97</v>
      </c>
      <c r="D2750" s="266">
        <v>5180.7700000000004</v>
      </c>
    </row>
    <row r="2751" spans="1:4">
      <c r="A2751" s="261">
        <v>2003491</v>
      </c>
      <c r="B2751" s="265" t="s">
        <v>14049</v>
      </c>
      <c r="C2751" s="261" t="s">
        <v>97</v>
      </c>
      <c r="D2751" s="266">
        <v>5052.63</v>
      </c>
    </row>
    <row r="2752" spans="1:4">
      <c r="A2752" s="261">
        <v>2003490</v>
      </c>
      <c r="B2752" s="265" t="s">
        <v>14050</v>
      </c>
      <c r="C2752" s="261" t="s">
        <v>97</v>
      </c>
      <c r="D2752" s="266">
        <v>4784.41</v>
      </c>
    </row>
    <row r="2753" spans="1:4">
      <c r="A2753" s="261">
        <v>2003531</v>
      </c>
      <c r="B2753" s="265" t="s">
        <v>14051</v>
      </c>
      <c r="C2753" s="261" t="s">
        <v>97</v>
      </c>
      <c r="D2753" s="266">
        <v>5409.09</v>
      </c>
    </row>
    <row r="2754" spans="1:4">
      <c r="A2754" s="261">
        <v>2003530</v>
      </c>
      <c r="B2754" s="265" t="s">
        <v>14052</v>
      </c>
      <c r="C2754" s="261" t="s">
        <v>97</v>
      </c>
      <c r="D2754" s="266">
        <v>5150.3900000000003</v>
      </c>
    </row>
    <row r="2755" spans="1:4">
      <c r="A2755" s="261">
        <v>2003493</v>
      </c>
      <c r="B2755" s="265" t="s">
        <v>14053</v>
      </c>
      <c r="C2755" s="261" t="s">
        <v>97</v>
      </c>
      <c r="D2755" s="266">
        <v>6172.41</v>
      </c>
    </row>
    <row r="2756" spans="1:4">
      <c r="A2756" s="261">
        <v>2003492</v>
      </c>
      <c r="B2756" s="265" t="s">
        <v>14054</v>
      </c>
      <c r="C2756" s="261" t="s">
        <v>97</v>
      </c>
      <c r="D2756" s="266">
        <v>5814.44</v>
      </c>
    </row>
    <row r="2757" spans="1:4">
      <c r="A2757" s="261">
        <v>2003533</v>
      </c>
      <c r="B2757" s="265" t="s">
        <v>14055</v>
      </c>
      <c r="C2757" s="261" t="s">
        <v>97</v>
      </c>
      <c r="D2757" s="266">
        <v>6528.87</v>
      </c>
    </row>
    <row r="2758" spans="1:4">
      <c r="A2758" s="261">
        <v>2003532</v>
      </c>
      <c r="B2758" s="265" t="s">
        <v>14056</v>
      </c>
      <c r="C2758" s="261" t="s">
        <v>97</v>
      </c>
      <c r="D2758" s="266">
        <v>6180.42</v>
      </c>
    </row>
    <row r="2759" spans="1:4">
      <c r="A2759" s="261">
        <v>2003495</v>
      </c>
      <c r="B2759" s="265" t="s">
        <v>14057</v>
      </c>
      <c r="C2759" s="261" t="s">
        <v>97</v>
      </c>
      <c r="D2759" s="266">
        <v>6131.48</v>
      </c>
    </row>
    <row r="2760" spans="1:4">
      <c r="A2760" s="261">
        <v>2003494</v>
      </c>
      <c r="B2760" s="265" t="s">
        <v>14058</v>
      </c>
      <c r="C2760" s="261" t="s">
        <v>97</v>
      </c>
      <c r="D2760" s="266">
        <v>5784.07</v>
      </c>
    </row>
    <row r="2761" spans="1:4">
      <c r="A2761" s="261">
        <v>2003535</v>
      </c>
      <c r="B2761" s="265" t="s">
        <v>14059</v>
      </c>
      <c r="C2761" s="261" t="s">
        <v>97</v>
      </c>
      <c r="D2761" s="266">
        <v>6487.94</v>
      </c>
    </row>
    <row r="2762" spans="1:4">
      <c r="A2762" s="261">
        <v>2003534</v>
      </c>
      <c r="B2762" s="265" t="s">
        <v>14060</v>
      </c>
      <c r="C2762" s="261" t="s">
        <v>97</v>
      </c>
      <c r="D2762" s="266">
        <v>6150.05</v>
      </c>
    </row>
    <row r="2763" spans="1:4">
      <c r="A2763" s="261">
        <v>2003497</v>
      </c>
      <c r="B2763" s="265" t="s">
        <v>14061</v>
      </c>
      <c r="C2763" s="261" t="s">
        <v>97</v>
      </c>
      <c r="D2763" s="266">
        <v>6090.55</v>
      </c>
    </row>
    <row r="2764" spans="1:4">
      <c r="A2764" s="261">
        <v>2003496</v>
      </c>
      <c r="B2764" s="265" t="s">
        <v>14062</v>
      </c>
      <c r="C2764" s="261" t="s">
        <v>97</v>
      </c>
      <c r="D2764" s="266">
        <v>5753.7</v>
      </c>
    </row>
    <row r="2765" spans="1:4">
      <c r="A2765" s="261">
        <v>2003537</v>
      </c>
      <c r="B2765" s="265" t="s">
        <v>14063</v>
      </c>
      <c r="C2765" s="261" t="s">
        <v>97</v>
      </c>
      <c r="D2765" s="266">
        <v>6447.01</v>
      </c>
    </row>
    <row r="2766" spans="1:4">
      <c r="A2766" s="261">
        <v>2003536</v>
      </c>
      <c r="B2766" s="265" t="s">
        <v>14064</v>
      </c>
      <c r="C2766" s="261" t="s">
        <v>97</v>
      </c>
      <c r="D2766" s="266">
        <v>6119.68</v>
      </c>
    </row>
    <row r="2767" spans="1:4">
      <c r="A2767" s="261">
        <v>2003499</v>
      </c>
      <c r="B2767" s="265" t="s">
        <v>14065</v>
      </c>
      <c r="C2767" s="261" t="s">
        <v>97</v>
      </c>
      <c r="D2767" s="266">
        <v>6049.61</v>
      </c>
    </row>
    <row r="2768" spans="1:4">
      <c r="A2768" s="261">
        <v>2003498</v>
      </c>
      <c r="B2768" s="265" t="s">
        <v>14066</v>
      </c>
      <c r="C2768" s="261" t="s">
        <v>97</v>
      </c>
      <c r="D2768" s="266">
        <v>5723.33</v>
      </c>
    </row>
    <row r="2769" spans="1:4">
      <c r="A2769" s="261">
        <v>2003539</v>
      </c>
      <c r="B2769" s="265" t="s">
        <v>14067</v>
      </c>
      <c r="C2769" s="261" t="s">
        <v>97</v>
      </c>
      <c r="D2769" s="266">
        <v>6365.14</v>
      </c>
    </row>
    <row r="2770" spans="1:4">
      <c r="A2770" s="261">
        <v>2003538</v>
      </c>
      <c r="B2770" s="265" t="s">
        <v>14068</v>
      </c>
      <c r="C2770" s="261" t="s">
        <v>97</v>
      </c>
      <c r="D2770" s="266">
        <v>6058.93</v>
      </c>
    </row>
    <row r="2771" spans="1:4">
      <c r="A2771" s="261">
        <v>2003501</v>
      </c>
      <c r="B2771" s="265" t="s">
        <v>14069</v>
      </c>
      <c r="C2771" s="261" t="s">
        <v>97</v>
      </c>
      <c r="D2771" s="266">
        <v>7432.21</v>
      </c>
    </row>
    <row r="2772" spans="1:4">
      <c r="A2772" s="261">
        <v>2003500</v>
      </c>
      <c r="B2772" s="265" t="s">
        <v>14070</v>
      </c>
      <c r="C2772" s="261" t="s">
        <v>97</v>
      </c>
      <c r="D2772" s="266">
        <v>7016.16</v>
      </c>
    </row>
    <row r="2773" spans="1:4">
      <c r="A2773" s="261">
        <v>2003541</v>
      </c>
      <c r="B2773" s="265" t="s">
        <v>14071</v>
      </c>
      <c r="C2773" s="261" t="s">
        <v>97</v>
      </c>
      <c r="D2773" s="266">
        <v>7788.67</v>
      </c>
    </row>
    <row r="2774" spans="1:4">
      <c r="A2774" s="261">
        <v>2003540</v>
      </c>
      <c r="B2774" s="265" t="s">
        <v>14072</v>
      </c>
      <c r="C2774" s="261" t="s">
        <v>97</v>
      </c>
      <c r="D2774" s="266">
        <v>7382.14</v>
      </c>
    </row>
    <row r="2775" spans="1:4">
      <c r="A2775" s="261">
        <v>2003503</v>
      </c>
      <c r="B2775" s="265" t="s">
        <v>14073</v>
      </c>
      <c r="C2775" s="261" t="s">
        <v>97</v>
      </c>
      <c r="D2775" s="266">
        <v>7391.27</v>
      </c>
    </row>
    <row r="2776" spans="1:4">
      <c r="A2776" s="261">
        <v>2003502</v>
      </c>
      <c r="B2776" s="265" t="s">
        <v>14074</v>
      </c>
      <c r="C2776" s="261" t="s">
        <v>97</v>
      </c>
      <c r="D2776" s="266">
        <v>6985.79</v>
      </c>
    </row>
    <row r="2777" spans="1:4">
      <c r="A2777" s="261">
        <v>2003543</v>
      </c>
      <c r="B2777" s="265" t="s">
        <v>14075</v>
      </c>
      <c r="C2777" s="261" t="s">
        <v>97</v>
      </c>
      <c r="D2777" s="266">
        <v>7747.73</v>
      </c>
    </row>
    <row r="2778" spans="1:4">
      <c r="A2778" s="261">
        <v>2003542</v>
      </c>
      <c r="B2778" s="265" t="s">
        <v>14076</v>
      </c>
      <c r="C2778" s="261" t="s">
        <v>97</v>
      </c>
      <c r="D2778" s="266">
        <v>7351.77</v>
      </c>
    </row>
    <row r="2779" spans="1:4">
      <c r="A2779" s="261">
        <v>2003505</v>
      </c>
      <c r="B2779" s="265" t="s">
        <v>14077</v>
      </c>
      <c r="C2779" s="261" t="s">
        <v>97</v>
      </c>
      <c r="D2779" s="266">
        <v>7350.34</v>
      </c>
    </row>
    <row r="2780" spans="1:4">
      <c r="A2780" s="261">
        <v>2003504</v>
      </c>
      <c r="B2780" s="265" t="s">
        <v>14078</v>
      </c>
      <c r="C2780" s="261" t="s">
        <v>97</v>
      </c>
      <c r="D2780" s="266">
        <v>6955.42</v>
      </c>
    </row>
    <row r="2781" spans="1:4">
      <c r="A2781" s="261">
        <v>2003545</v>
      </c>
      <c r="B2781" s="265" t="s">
        <v>14079</v>
      </c>
      <c r="C2781" s="261" t="s">
        <v>97</v>
      </c>
      <c r="D2781" s="266">
        <v>7706.8</v>
      </c>
    </row>
    <row r="2782" spans="1:4">
      <c r="A2782" s="261">
        <v>2003544</v>
      </c>
      <c r="B2782" s="265" t="s">
        <v>14080</v>
      </c>
      <c r="C2782" s="261" t="s">
        <v>97</v>
      </c>
      <c r="D2782" s="266">
        <v>7321.4</v>
      </c>
    </row>
    <row r="2783" spans="1:4">
      <c r="A2783" s="261">
        <v>2003507</v>
      </c>
      <c r="B2783" s="265" t="s">
        <v>14081</v>
      </c>
      <c r="C2783" s="261" t="s">
        <v>97</v>
      </c>
      <c r="D2783" s="266">
        <v>7309.41</v>
      </c>
    </row>
    <row r="2784" spans="1:4">
      <c r="A2784" s="261">
        <v>2003506</v>
      </c>
      <c r="B2784" s="265" t="s">
        <v>14082</v>
      </c>
      <c r="C2784" s="261" t="s">
        <v>97</v>
      </c>
      <c r="D2784" s="266">
        <v>6925.05</v>
      </c>
    </row>
    <row r="2785" spans="1:4">
      <c r="A2785" s="261">
        <v>2003547</v>
      </c>
      <c r="B2785" s="265" t="s">
        <v>14083</v>
      </c>
      <c r="C2785" s="261" t="s">
        <v>97</v>
      </c>
      <c r="D2785" s="266">
        <v>7665.87</v>
      </c>
    </row>
    <row r="2786" spans="1:4">
      <c r="A2786" s="261">
        <v>2003546</v>
      </c>
      <c r="B2786" s="265" t="s">
        <v>14084</v>
      </c>
      <c r="C2786" s="261" t="s">
        <v>97</v>
      </c>
      <c r="D2786" s="266">
        <v>7291.03</v>
      </c>
    </row>
    <row r="2787" spans="1:4">
      <c r="A2787" s="261">
        <v>2003509</v>
      </c>
      <c r="B2787" s="265" t="s">
        <v>14085</v>
      </c>
      <c r="C2787" s="261" t="s">
        <v>97</v>
      </c>
      <c r="D2787" s="266">
        <v>8481.75</v>
      </c>
    </row>
    <row r="2788" spans="1:4">
      <c r="A2788" s="261">
        <v>2003508</v>
      </c>
      <c r="B2788" s="265" t="s">
        <v>14086</v>
      </c>
      <c r="C2788" s="261" t="s">
        <v>97</v>
      </c>
      <c r="D2788" s="266">
        <v>8007.64</v>
      </c>
    </row>
    <row r="2789" spans="1:4">
      <c r="A2789" s="261">
        <v>2003549</v>
      </c>
      <c r="B2789" s="265" t="s">
        <v>14087</v>
      </c>
      <c r="C2789" s="261" t="s">
        <v>97</v>
      </c>
      <c r="D2789" s="266">
        <v>8838.2099999999991</v>
      </c>
    </row>
    <row r="2790" spans="1:4">
      <c r="A2790" s="261">
        <v>2003548</v>
      </c>
      <c r="B2790" s="265" t="s">
        <v>14088</v>
      </c>
      <c r="C2790" s="261" t="s">
        <v>97</v>
      </c>
      <c r="D2790" s="266">
        <v>8373.61</v>
      </c>
    </row>
    <row r="2791" spans="1:4">
      <c r="A2791" s="261">
        <v>2003511</v>
      </c>
      <c r="B2791" s="265" t="s">
        <v>14089</v>
      </c>
      <c r="C2791" s="261" t="s">
        <v>97</v>
      </c>
      <c r="D2791" s="266">
        <v>8440.82</v>
      </c>
    </row>
    <row r="2792" spans="1:4">
      <c r="A2792" s="261">
        <v>2003510</v>
      </c>
      <c r="B2792" s="265" t="s">
        <v>14090</v>
      </c>
      <c r="C2792" s="261" t="s">
        <v>97</v>
      </c>
      <c r="D2792" s="266">
        <v>7977.26</v>
      </c>
    </row>
    <row r="2793" spans="1:4">
      <c r="A2793" s="261">
        <v>2003551</v>
      </c>
      <c r="B2793" s="265" t="s">
        <v>14091</v>
      </c>
      <c r="C2793" s="261" t="s">
        <v>97</v>
      </c>
      <c r="D2793" s="266">
        <v>8797.2800000000007</v>
      </c>
    </row>
    <row r="2794" spans="1:4">
      <c r="A2794" s="261">
        <v>2003550</v>
      </c>
      <c r="B2794" s="265" t="s">
        <v>14092</v>
      </c>
      <c r="C2794" s="261" t="s">
        <v>97</v>
      </c>
      <c r="D2794" s="266">
        <v>8343.24</v>
      </c>
    </row>
    <row r="2795" spans="1:4">
      <c r="A2795" s="261">
        <v>2003513</v>
      </c>
      <c r="B2795" s="265" t="s">
        <v>14093</v>
      </c>
      <c r="C2795" s="261" t="s">
        <v>97</v>
      </c>
      <c r="D2795" s="266">
        <v>8399.89</v>
      </c>
    </row>
    <row r="2796" spans="1:4">
      <c r="A2796" s="261">
        <v>2003512</v>
      </c>
      <c r="B2796" s="265" t="s">
        <v>14094</v>
      </c>
      <c r="C2796" s="261" t="s">
        <v>97</v>
      </c>
      <c r="D2796" s="266">
        <v>7946.89</v>
      </c>
    </row>
    <row r="2797" spans="1:4">
      <c r="A2797" s="261">
        <v>2003553</v>
      </c>
      <c r="B2797" s="265" t="s">
        <v>14095</v>
      </c>
      <c r="C2797" s="261" t="s">
        <v>97</v>
      </c>
      <c r="D2797" s="266">
        <v>8756.35</v>
      </c>
    </row>
    <row r="2798" spans="1:4">
      <c r="A2798" s="261">
        <v>2003552</v>
      </c>
      <c r="B2798" s="265" t="s">
        <v>14096</v>
      </c>
      <c r="C2798" s="261" t="s">
        <v>97</v>
      </c>
      <c r="D2798" s="266">
        <v>8312.8700000000008</v>
      </c>
    </row>
    <row r="2799" spans="1:4">
      <c r="A2799" s="261">
        <v>2003515</v>
      </c>
      <c r="B2799" s="265" t="s">
        <v>14097</v>
      </c>
      <c r="C2799" s="261" t="s">
        <v>97</v>
      </c>
      <c r="D2799" s="266">
        <v>8358.9500000000007</v>
      </c>
    </row>
    <row r="2800" spans="1:4">
      <c r="A2800" s="261">
        <v>2003514</v>
      </c>
      <c r="B2800" s="265" t="s">
        <v>14098</v>
      </c>
      <c r="C2800" s="261" t="s">
        <v>97</v>
      </c>
      <c r="D2800" s="266">
        <v>7916.52</v>
      </c>
    </row>
    <row r="2801" spans="1:4">
      <c r="A2801" s="261">
        <v>2003555</v>
      </c>
      <c r="B2801" s="265" t="s">
        <v>14099</v>
      </c>
      <c r="C2801" s="261" t="s">
        <v>97</v>
      </c>
      <c r="D2801" s="266">
        <v>8715.41</v>
      </c>
    </row>
    <row r="2802" spans="1:4">
      <c r="A2802" s="261">
        <v>2003554</v>
      </c>
      <c r="B2802" s="265" t="s">
        <v>14100</v>
      </c>
      <c r="C2802" s="261" t="s">
        <v>97</v>
      </c>
      <c r="D2802" s="266">
        <v>8282.5</v>
      </c>
    </row>
    <row r="2803" spans="1:4">
      <c r="A2803" s="261">
        <v>2003728</v>
      </c>
      <c r="B2803" s="265" t="s">
        <v>14101</v>
      </c>
      <c r="C2803" s="261" t="s">
        <v>97</v>
      </c>
      <c r="D2803" s="266">
        <v>3703.74</v>
      </c>
    </row>
    <row r="2804" spans="1:4">
      <c r="A2804" s="261">
        <v>2003727</v>
      </c>
      <c r="B2804" s="265" t="s">
        <v>14102</v>
      </c>
      <c r="C2804" s="261" t="s">
        <v>97</v>
      </c>
      <c r="D2804" s="266">
        <v>3465.11</v>
      </c>
    </row>
    <row r="2805" spans="1:4">
      <c r="A2805" s="261">
        <v>2003730</v>
      </c>
      <c r="B2805" s="265" t="s">
        <v>14103</v>
      </c>
      <c r="C2805" s="261" t="s">
        <v>97</v>
      </c>
      <c r="D2805" s="266">
        <v>3662.81</v>
      </c>
    </row>
    <row r="2806" spans="1:4">
      <c r="A2806" s="261">
        <v>2003729</v>
      </c>
      <c r="B2806" s="265" t="s">
        <v>14104</v>
      </c>
      <c r="C2806" s="261" t="s">
        <v>97</v>
      </c>
      <c r="D2806" s="266">
        <v>3434.74</v>
      </c>
    </row>
    <row r="2807" spans="1:4">
      <c r="A2807" s="261">
        <v>2003732</v>
      </c>
      <c r="B2807" s="265" t="s">
        <v>14105</v>
      </c>
      <c r="C2807" s="261" t="s">
        <v>97</v>
      </c>
      <c r="D2807" s="266">
        <v>3625.97</v>
      </c>
    </row>
    <row r="2808" spans="1:4">
      <c r="A2808" s="261">
        <v>2003731</v>
      </c>
      <c r="B2808" s="265" t="s">
        <v>14106</v>
      </c>
      <c r="C2808" s="261" t="s">
        <v>97</v>
      </c>
      <c r="D2808" s="266">
        <v>3407.4</v>
      </c>
    </row>
    <row r="2809" spans="1:4">
      <c r="A2809" s="261">
        <v>2003734</v>
      </c>
      <c r="B2809" s="265" t="s">
        <v>14107</v>
      </c>
      <c r="C2809" s="261" t="s">
        <v>97</v>
      </c>
      <c r="D2809" s="266">
        <v>3580.95</v>
      </c>
    </row>
    <row r="2810" spans="1:4">
      <c r="A2810" s="261">
        <v>2003733</v>
      </c>
      <c r="B2810" s="265" t="s">
        <v>14108</v>
      </c>
      <c r="C2810" s="261" t="s">
        <v>97</v>
      </c>
      <c r="D2810" s="266">
        <v>3373.99</v>
      </c>
    </row>
    <row r="2811" spans="1:4">
      <c r="A2811" s="261">
        <v>2003736</v>
      </c>
      <c r="B2811" s="265" t="s">
        <v>14109</v>
      </c>
      <c r="C2811" s="261" t="s">
        <v>97</v>
      </c>
      <c r="D2811" s="266">
        <v>4897.83</v>
      </c>
    </row>
    <row r="2812" spans="1:4">
      <c r="A2812" s="261">
        <v>2003735</v>
      </c>
      <c r="B2812" s="265" t="s">
        <v>14110</v>
      </c>
      <c r="C2812" s="261" t="s">
        <v>97</v>
      </c>
      <c r="D2812" s="266">
        <v>4601.12</v>
      </c>
    </row>
    <row r="2813" spans="1:4">
      <c r="A2813" s="261">
        <v>2003738</v>
      </c>
      <c r="B2813" s="265" t="s">
        <v>14111</v>
      </c>
      <c r="C2813" s="261" t="s">
        <v>97</v>
      </c>
      <c r="D2813" s="266">
        <v>4856.8999999999996</v>
      </c>
    </row>
    <row r="2814" spans="1:4">
      <c r="A2814" s="261">
        <v>2003737</v>
      </c>
      <c r="B2814" s="265" t="s">
        <v>14112</v>
      </c>
      <c r="C2814" s="261" t="s">
        <v>97</v>
      </c>
      <c r="D2814" s="266">
        <v>4570.75</v>
      </c>
    </row>
    <row r="2815" spans="1:4">
      <c r="A2815" s="261">
        <v>2003740</v>
      </c>
      <c r="B2815" s="265" t="s">
        <v>14113</v>
      </c>
      <c r="C2815" s="261" t="s">
        <v>97</v>
      </c>
      <c r="D2815" s="266">
        <v>4820.0600000000004</v>
      </c>
    </row>
    <row r="2816" spans="1:4">
      <c r="A2816" s="261">
        <v>2003739</v>
      </c>
      <c r="B2816" s="265" t="s">
        <v>14114</v>
      </c>
      <c r="C2816" s="261" t="s">
        <v>97</v>
      </c>
      <c r="D2816" s="266">
        <v>4543.41</v>
      </c>
    </row>
    <row r="2817" spans="1:4">
      <c r="A2817" s="261">
        <v>2003742</v>
      </c>
      <c r="B2817" s="265" t="s">
        <v>14115</v>
      </c>
      <c r="C2817" s="261" t="s">
        <v>97</v>
      </c>
      <c r="D2817" s="266">
        <v>4938.76</v>
      </c>
    </row>
    <row r="2818" spans="1:4">
      <c r="A2818" s="261">
        <v>2003741</v>
      </c>
      <c r="B2818" s="265" t="s">
        <v>14116</v>
      </c>
      <c r="C2818" s="261" t="s">
        <v>97</v>
      </c>
      <c r="D2818" s="266">
        <v>4631.49</v>
      </c>
    </row>
    <row r="2819" spans="1:4">
      <c r="A2819" s="261">
        <v>2003744</v>
      </c>
      <c r="B2819" s="265" t="s">
        <v>14117</v>
      </c>
      <c r="C2819" s="261" t="s">
        <v>97</v>
      </c>
      <c r="D2819" s="266">
        <v>5894.81</v>
      </c>
    </row>
    <row r="2820" spans="1:4">
      <c r="A2820" s="261">
        <v>2003743</v>
      </c>
      <c r="B2820" s="265" t="s">
        <v>14118</v>
      </c>
      <c r="C2820" s="261" t="s">
        <v>97</v>
      </c>
      <c r="D2820" s="266">
        <v>5540.03</v>
      </c>
    </row>
    <row r="2821" spans="1:4">
      <c r="A2821" s="261">
        <v>2003746</v>
      </c>
      <c r="B2821" s="265" t="s">
        <v>14119</v>
      </c>
      <c r="C2821" s="261" t="s">
        <v>97</v>
      </c>
      <c r="D2821" s="266">
        <v>5853.88</v>
      </c>
    </row>
    <row r="2822" spans="1:4">
      <c r="A2822" s="261">
        <v>2003745</v>
      </c>
      <c r="B2822" s="265" t="s">
        <v>14120</v>
      </c>
      <c r="C2822" s="261" t="s">
        <v>97</v>
      </c>
      <c r="D2822" s="266">
        <v>5509.66</v>
      </c>
    </row>
    <row r="2823" spans="1:4">
      <c r="A2823" s="261">
        <v>2003748</v>
      </c>
      <c r="B2823" s="265" t="s">
        <v>14121</v>
      </c>
      <c r="C2823" s="261" t="s">
        <v>97</v>
      </c>
      <c r="D2823" s="266">
        <v>5817.04</v>
      </c>
    </row>
    <row r="2824" spans="1:4">
      <c r="A2824" s="261">
        <v>2003747</v>
      </c>
      <c r="B2824" s="265" t="s">
        <v>14122</v>
      </c>
      <c r="C2824" s="261" t="s">
        <v>97</v>
      </c>
      <c r="D2824" s="266">
        <v>5482.32</v>
      </c>
    </row>
    <row r="2825" spans="1:4">
      <c r="A2825" s="261">
        <v>2003750</v>
      </c>
      <c r="B2825" s="265" t="s">
        <v>14123</v>
      </c>
      <c r="C2825" s="261" t="s">
        <v>97</v>
      </c>
      <c r="D2825" s="266">
        <v>5772.02</v>
      </c>
    </row>
    <row r="2826" spans="1:4">
      <c r="A2826" s="261">
        <v>2003749</v>
      </c>
      <c r="B2826" s="265" t="s">
        <v>14124</v>
      </c>
      <c r="C2826" s="261" t="s">
        <v>97</v>
      </c>
      <c r="D2826" s="266">
        <v>5448.91</v>
      </c>
    </row>
    <row r="2827" spans="1:4">
      <c r="A2827" s="261">
        <v>2003752</v>
      </c>
      <c r="B2827" s="265" t="s">
        <v>14125</v>
      </c>
      <c r="C2827" s="261" t="s">
        <v>97</v>
      </c>
      <c r="D2827" s="266">
        <v>7154.61</v>
      </c>
    </row>
    <row r="2828" spans="1:4">
      <c r="A2828" s="261">
        <v>2003751</v>
      </c>
      <c r="B2828" s="265" t="s">
        <v>14126</v>
      </c>
      <c r="C2828" s="261" t="s">
        <v>97</v>
      </c>
      <c r="D2828" s="266">
        <v>6741.75</v>
      </c>
    </row>
    <row r="2829" spans="1:4">
      <c r="A2829" s="261">
        <v>2003754</v>
      </c>
      <c r="B2829" s="265" t="s">
        <v>14127</v>
      </c>
      <c r="C2829" s="261" t="s">
        <v>97</v>
      </c>
      <c r="D2829" s="266">
        <v>7113.68</v>
      </c>
    </row>
    <row r="2830" spans="1:4">
      <c r="A2830" s="261">
        <v>2003753</v>
      </c>
      <c r="B2830" s="265" t="s">
        <v>14128</v>
      </c>
      <c r="C2830" s="261" t="s">
        <v>97</v>
      </c>
      <c r="D2830" s="266">
        <v>6711.38</v>
      </c>
    </row>
    <row r="2831" spans="1:4">
      <c r="A2831" s="261">
        <v>2003756</v>
      </c>
      <c r="B2831" s="265" t="s">
        <v>14129</v>
      </c>
      <c r="C2831" s="261" t="s">
        <v>97</v>
      </c>
      <c r="D2831" s="266">
        <v>7076.84</v>
      </c>
    </row>
    <row r="2832" spans="1:4">
      <c r="A2832" s="261">
        <v>2003755</v>
      </c>
      <c r="B2832" s="265" t="s">
        <v>14130</v>
      </c>
      <c r="C2832" s="261" t="s">
        <v>97</v>
      </c>
      <c r="D2832" s="266">
        <v>6684.04</v>
      </c>
    </row>
    <row r="2833" spans="1:4">
      <c r="A2833" s="261">
        <v>2003758</v>
      </c>
      <c r="B2833" s="265" t="s">
        <v>14131</v>
      </c>
      <c r="C2833" s="261" t="s">
        <v>97</v>
      </c>
      <c r="D2833" s="266">
        <v>7031.81</v>
      </c>
    </row>
    <row r="2834" spans="1:4">
      <c r="A2834" s="261">
        <v>2003757</v>
      </c>
      <c r="B2834" s="265" t="s">
        <v>14132</v>
      </c>
      <c r="C2834" s="261" t="s">
        <v>97</v>
      </c>
      <c r="D2834" s="266">
        <v>6650.63</v>
      </c>
    </row>
    <row r="2835" spans="1:4">
      <c r="A2835" s="261">
        <v>2003760</v>
      </c>
      <c r="B2835" s="265" t="s">
        <v>14133</v>
      </c>
      <c r="C2835" s="261" t="s">
        <v>97</v>
      </c>
      <c r="D2835" s="266">
        <v>7303.65</v>
      </c>
    </row>
    <row r="2836" spans="1:4">
      <c r="A2836" s="261">
        <v>2003759</v>
      </c>
      <c r="B2836" s="265" t="s">
        <v>14134</v>
      </c>
      <c r="C2836" s="261" t="s">
        <v>97</v>
      </c>
      <c r="D2836" s="266">
        <v>7065.01</v>
      </c>
    </row>
    <row r="2837" spans="1:4">
      <c r="A2837" s="261">
        <v>2003762</v>
      </c>
      <c r="B2837" s="265" t="s">
        <v>14135</v>
      </c>
      <c r="C2837" s="261" t="s">
        <v>97</v>
      </c>
      <c r="D2837" s="266">
        <v>8163.22</v>
      </c>
    </row>
    <row r="2838" spans="1:4">
      <c r="A2838" s="261">
        <v>2003761</v>
      </c>
      <c r="B2838" s="265" t="s">
        <v>14136</v>
      </c>
      <c r="C2838" s="261" t="s">
        <v>97</v>
      </c>
      <c r="D2838" s="266">
        <v>7702.85</v>
      </c>
    </row>
    <row r="2839" spans="1:4">
      <c r="A2839" s="261">
        <v>2003764</v>
      </c>
      <c r="B2839" s="265" t="s">
        <v>14137</v>
      </c>
      <c r="C2839" s="261" t="s">
        <v>97</v>
      </c>
      <c r="D2839" s="266">
        <v>8126.38</v>
      </c>
    </row>
    <row r="2840" spans="1:4">
      <c r="A2840" s="261">
        <v>2003763</v>
      </c>
      <c r="B2840" s="265" t="s">
        <v>14138</v>
      </c>
      <c r="C2840" s="261" t="s">
        <v>97</v>
      </c>
      <c r="D2840" s="266">
        <v>7675.51</v>
      </c>
    </row>
    <row r="2841" spans="1:4">
      <c r="A2841" s="261">
        <v>2003766</v>
      </c>
      <c r="B2841" s="265" t="s">
        <v>14139</v>
      </c>
      <c r="C2841" s="261" t="s">
        <v>97</v>
      </c>
      <c r="D2841" s="266">
        <v>8081.36</v>
      </c>
    </row>
    <row r="2842" spans="1:4">
      <c r="A2842" s="261">
        <v>2003765</v>
      </c>
      <c r="B2842" s="265" t="s">
        <v>14140</v>
      </c>
      <c r="C2842" s="261" t="s">
        <v>97</v>
      </c>
      <c r="D2842" s="266">
        <v>7642.1</v>
      </c>
    </row>
    <row r="2843" spans="1:4">
      <c r="A2843" s="261">
        <v>2003642</v>
      </c>
      <c r="B2843" s="265" t="s">
        <v>14141</v>
      </c>
      <c r="C2843" s="261" t="s">
        <v>97</v>
      </c>
      <c r="D2843" s="266">
        <v>1575.23</v>
      </c>
    </row>
    <row r="2844" spans="1:4">
      <c r="A2844" s="261">
        <v>2003641</v>
      </c>
      <c r="B2844" s="265" t="s">
        <v>14142</v>
      </c>
      <c r="C2844" s="261" t="s">
        <v>97</v>
      </c>
      <c r="D2844" s="266">
        <v>1426.35</v>
      </c>
    </row>
    <row r="2845" spans="1:4">
      <c r="A2845" s="261">
        <v>2003644</v>
      </c>
      <c r="B2845" s="265" t="s">
        <v>14143</v>
      </c>
      <c r="C2845" s="261" t="s">
        <v>97</v>
      </c>
      <c r="D2845" s="266">
        <v>1550.67</v>
      </c>
    </row>
    <row r="2846" spans="1:4">
      <c r="A2846" s="261">
        <v>2003643</v>
      </c>
      <c r="B2846" s="265" t="s">
        <v>14144</v>
      </c>
      <c r="C2846" s="261" t="s">
        <v>97</v>
      </c>
      <c r="D2846" s="266">
        <v>1408.13</v>
      </c>
    </row>
    <row r="2847" spans="1:4">
      <c r="A2847" s="261">
        <v>2003646</v>
      </c>
      <c r="B2847" s="265" t="s">
        <v>14145</v>
      </c>
      <c r="C2847" s="261" t="s">
        <v>97</v>
      </c>
      <c r="D2847" s="266">
        <v>2116.69</v>
      </c>
    </row>
    <row r="2848" spans="1:4">
      <c r="A2848" s="261">
        <v>2003645</v>
      </c>
      <c r="B2848" s="265" t="s">
        <v>14146</v>
      </c>
      <c r="C2848" s="261" t="s">
        <v>97</v>
      </c>
      <c r="D2848" s="266">
        <v>1911.85</v>
      </c>
    </row>
    <row r="2849" spans="1:4">
      <c r="A2849" s="261">
        <v>2003648</v>
      </c>
      <c r="B2849" s="265" t="s">
        <v>14147</v>
      </c>
      <c r="C2849" s="261" t="s">
        <v>97</v>
      </c>
      <c r="D2849" s="266">
        <v>2732.49</v>
      </c>
    </row>
    <row r="2850" spans="1:4">
      <c r="A2850" s="261">
        <v>2003647</v>
      </c>
      <c r="B2850" s="265" t="s">
        <v>14148</v>
      </c>
      <c r="C2850" s="261" t="s">
        <v>97</v>
      </c>
      <c r="D2850" s="266">
        <v>2474.85</v>
      </c>
    </row>
    <row r="2851" spans="1:4">
      <c r="A2851" s="261">
        <v>2003650</v>
      </c>
      <c r="B2851" s="265" t="s">
        <v>14149</v>
      </c>
      <c r="C2851" s="261" t="s">
        <v>97</v>
      </c>
      <c r="D2851" s="266">
        <v>3259.64</v>
      </c>
    </row>
    <row r="2852" spans="1:4">
      <c r="A2852" s="261">
        <v>2003649</v>
      </c>
      <c r="B2852" s="265" t="s">
        <v>14150</v>
      </c>
      <c r="C2852" s="261" t="s">
        <v>97</v>
      </c>
      <c r="D2852" s="266">
        <v>2961.88</v>
      </c>
    </row>
    <row r="2853" spans="1:4">
      <c r="A2853" s="261">
        <v>2003652</v>
      </c>
      <c r="B2853" s="265" t="s">
        <v>14151</v>
      </c>
      <c r="C2853" s="261" t="s">
        <v>97</v>
      </c>
      <c r="D2853" s="266">
        <v>4199.87</v>
      </c>
    </row>
    <row r="2854" spans="1:4">
      <c r="A2854" s="261">
        <v>2003651</v>
      </c>
      <c r="B2854" s="265" t="s">
        <v>14152</v>
      </c>
      <c r="C2854" s="261" t="s">
        <v>97</v>
      </c>
      <c r="D2854" s="266">
        <v>3839.8</v>
      </c>
    </row>
    <row r="2855" spans="1:4">
      <c r="A2855" s="261">
        <v>2003654</v>
      </c>
      <c r="B2855" s="265" t="s">
        <v>14153</v>
      </c>
      <c r="C2855" s="261" t="s">
        <v>97</v>
      </c>
      <c r="D2855" s="266">
        <v>1883.07</v>
      </c>
    </row>
    <row r="2856" spans="1:4">
      <c r="A2856" s="261">
        <v>2003653</v>
      </c>
      <c r="B2856" s="265" t="s">
        <v>14154</v>
      </c>
      <c r="C2856" s="261" t="s">
        <v>97</v>
      </c>
      <c r="D2856" s="266">
        <v>1705.68</v>
      </c>
    </row>
    <row r="2857" spans="1:4">
      <c r="A2857" s="261">
        <v>2003656</v>
      </c>
      <c r="B2857" s="265" t="s">
        <v>14155</v>
      </c>
      <c r="C2857" s="261" t="s">
        <v>97</v>
      </c>
      <c r="D2857" s="266">
        <v>1854.42</v>
      </c>
    </row>
    <row r="2858" spans="1:4">
      <c r="A2858" s="261">
        <v>2003655</v>
      </c>
      <c r="B2858" s="265" t="s">
        <v>14156</v>
      </c>
      <c r="C2858" s="261" t="s">
        <v>97</v>
      </c>
      <c r="D2858" s="266">
        <v>1684.42</v>
      </c>
    </row>
    <row r="2859" spans="1:4">
      <c r="A2859" s="261">
        <v>2003658</v>
      </c>
      <c r="B2859" s="265" t="s">
        <v>14157</v>
      </c>
      <c r="C2859" s="261" t="s">
        <v>97</v>
      </c>
      <c r="D2859" s="266">
        <v>2468.8200000000002</v>
      </c>
    </row>
    <row r="2860" spans="1:4">
      <c r="A2860" s="261">
        <v>2003657</v>
      </c>
      <c r="B2860" s="265" t="s">
        <v>14158</v>
      </c>
      <c r="C2860" s="261" t="s">
        <v>97</v>
      </c>
      <c r="D2860" s="266">
        <v>2229.13</v>
      </c>
    </row>
    <row r="2861" spans="1:4">
      <c r="A2861" s="261">
        <v>2003660</v>
      </c>
      <c r="B2861" s="265" t="s">
        <v>14159</v>
      </c>
      <c r="C2861" s="261" t="s">
        <v>97</v>
      </c>
      <c r="D2861" s="266">
        <v>3108.6</v>
      </c>
    </row>
    <row r="2862" spans="1:4">
      <c r="A2862" s="261">
        <v>2003659</v>
      </c>
      <c r="B2862" s="265" t="s">
        <v>14160</v>
      </c>
      <c r="C2862" s="261" t="s">
        <v>97</v>
      </c>
      <c r="D2862" s="266">
        <v>2814</v>
      </c>
    </row>
    <row r="2863" spans="1:4">
      <c r="A2863" s="261">
        <v>2003662</v>
      </c>
      <c r="B2863" s="265" t="s">
        <v>14161</v>
      </c>
      <c r="C2863" s="261" t="s">
        <v>97</v>
      </c>
      <c r="D2863" s="266">
        <v>3663.81</v>
      </c>
    </row>
    <row r="2864" spans="1:4">
      <c r="A2864" s="261">
        <v>2003661</v>
      </c>
      <c r="B2864" s="265" t="s">
        <v>14162</v>
      </c>
      <c r="C2864" s="261" t="s">
        <v>97</v>
      </c>
      <c r="D2864" s="266">
        <v>3325.92</v>
      </c>
    </row>
    <row r="2865" spans="1:4">
      <c r="A2865" s="261">
        <v>2003664</v>
      </c>
      <c r="B2865" s="265" t="s">
        <v>14163</v>
      </c>
      <c r="C2865" s="261" t="s">
        <v>97</v>
      </c>
      <c r="D2865" s="266">
        <v>4535.0200000000004</v>
      </c>
    </row>
    <row r="2866" spans="1:4">
      <c r="A2866" s="261">
        <v>2003663</v>
      </c>
      <c r="B2866" s="265" t="s">
        <v>14164</v>
      </c>
      <c r="C2866" s="261" t="s">
        <v>97</v>
      </c>
      <c r="D2866" s="266">
        <v>4131.67</v>
      </c>
    </row>
    <row r="2867" spans="1:4">
      <c r="A2867" s="261">
        <v>2003666</v>
      </c>
      <c r="B2867" s="265" t="s">
        <v>14165</v>
      </c>
      <c r="C2867" s="261" t="s">
        <v>97</v>
      </c>
      <c r="D2867" s="266">
        <v>2195.0100000000002</v>
      </c>
    </row>
    <row r="2868" spans="1:4">
      <c r="A2868" s="261">
        <v>2003665</v>
      </c>
      <c r="B2868" s="265" t="s">
        <v>14166</v>
      </c>
      <c r="C2868" s="261" t="s">
        <v>97</v>
      </c>
      <c r="D2868" s="266">
        <v>1988.05</v>
      </c>
    </row>
    <row r="2869" spans="1:4">
      <c r="A2869" s="261">
        <v>2003668</v>
      </c>
      <c r="B2869" s="265" t="s">
        <v>14167</v>
      </c>
      <c r="C2869" s="261" t="s">
        <v>97</v>
      </c>
      <c r="D2869" s="266">
        <v>2170.4499999999998</v>
      </c>
    </row>
    <row r="2870" spans="1:4">
      <c r="A2870" s="261">
        <v>2003667</v>
      </c>
      <c r="B2870" s="265" t="s">
        <v>14168</v>
      </c>
      <c r="C2870" s="261" t="s">
        <v>97</v>
      </c>
      <c r="D2870" s="266">
        <v>1969.83</v>
      </c>
    </row>
    <row r="2871" spans="1:4">
      <c r="A2871" s="261">
        <v>2003670</v>
      </c>
      <c r="B2871" s="265" t="s">
        <v>14169</v>
      </c>
      <c r="C2871" s="261" t="s">
        <v>97</v>
      </c>
      <c r="D2871" s="266">
        <v>2833.24</v>
      </c>
    </row>
    <row r="2872" spans="1:4">
      <c r="A2872" s="261">
        <v>2003669</v>
      </c>
      <c r="B2872" s="265" t="s">
        <v>14170</v>
      </c>
      <c r="C2872" s="261" t="s">
        <v>97</v>
      </c>
      <c r="D2872" s="266">
        <v>2555.54</v>
      </c>
    </row>
    <row r="2873" spans="1:4">
      <c r="A2873" s="261">
        <v>2003672</v>
      </c>
      <c r="B2873" s="265" t="s">
        <v>14171</v>
      </c>
      <c r="C2873" s="261" t="s">
        <v>97</v>
      </c>
      <c r="D2873" s="266">
        <v>3505.17</v>
      </c>
    </row>
    <row r="2874" spans="1:4">
      <c r="A2874" s="261">
        <v>2003671</v>
      </c>
      <c r="B2874" s="265" t="s">
        <v>14172</v>
      </c>
      <c r="C2874" s="261" t="s">
        <v>97</v>
      </c>
      <c r="D2874" s="266">
        <v>3168.34</v>
      </c>
    </row>
    <row r="2875" spans="1:4">
      <c r="A2875" s="261">
        <v>2003674</v>
      </c>
      <c r="B2875" s="265" t="s">
        <v>14173</v>
      </c>
      <c r="C2875" s="261" t="s">
        <v>97</v>
      </c>
      <c r="D2875" s="266">
        <v>4084.35</v>
      </c>
    </row>
    <row r="2876" spans="1:4">
      <c r="A2876" s="261">
        <v>2003673</v>
      </c>
      <c r="B2876" s="265" t="s">
        <v>14174</v>
      </c>
      <c r="C2876" s="261" t="s">
        <v>97</v>
      </c>
      <c r="D2876" s="266">
        <v>3702.12</v>
      </c>
    </row>
    <row r="2877" spans="1:4">
      <c r="A2877" s="261">
        <v>2003676</v>
      </c>
      <c r="B2877" s="265" t="s">
        <v>14175</v>
      </c>
      <c r="C2877" s="261" t="s">
        <v>97</v>
      </c>
      <c r="D2877" s="266">
        <v>4999.71</v>
      </c>
    </row>
    <row r="2878" spans="1:4">
      <c r="A2878" s="261">
        <v>2003675</v>
      </c>
      <c r="B2878" s="265" t="s">
        <v>14176</v>
      </c>
      <c r="C2878" s="261" t="s">
        <v>97</v>
      </c>
      <c r="D2878" s="266">
        <v>4546.7299999999996</v>
      </c>
    </row>
    <row r="2879" spans="1:4">
      <c r="A2879" s="261">
        <v>2003854</v>
      </c>
      <c r="B2879" s="265" t="s">
        <v>14177</v>
      </c>
      <c r="C2879" s="261" t="s">
        <v>5</v>
      </c>
      <c r="D2879" s="266">
        <v>125.89</v>
      </c>
    </row>
    <row r="2880" spans="1:4">
      <c r="A2880" s="261">
        <v>2003855</v>
      </c>
      <c r="B2880" s="265" t="s">
        <v>14178</v>
      </c>
      <c r="C2880" s="261" t="s">
        <v>5</v>
      </c>
      <c r="D2880" s="266">
        <v>18.23</v>
      </c>
    </row>
    <row r="2881" spans="1:4">
      <c r="A2881" s="261">
        <v>2003856</v>
      </c>
      <c r="B2881" s="265" t="s">
        <v>14179</v>
      </c>
      <c r="C2881" s="261" t="s">
        <v>5</v>
      </c>
      <c r="D2881" s="266">
        <v>121.43</v>
      </c>
    </row>
    <row r="2882" spans="1:4">
      <c r="A2882" s="261">
        <v>2003857</v>
      </c>
      <c r="B2882" s="265" t="s">
        <v>14180</v>
      </c>
      <c r="C2882" s="261" t="s">
        <v>5</v>
      </c>
      <c r="D2882" s="266">
        <v>70.17</v>
      </c>
    </row>
    <row r="2883" spans="1:4" ht="31.5">
      <c r="A2883" s="261">
        <v>2019782</v>
      </c>
      <c r="B2883" s="265" t="s">
        <v>14181</v>
      </c>
      <c r="C2883" s="261" t="s">
        <v>6</v>
      </c>
      <c r="D2883" s="266">
        <v>854.33</v>
      </c>
    </row>
    <row r="2884" spans="1:4" ht="31.5">
      <c r="A2884" s="261">
        <v>2019783</v>
      </c>
      <c r="B2884" s="265" t="s">
        <v>14182</v>
      </c>
      <c r="C2884" s="261" t="s">
        <v>6</v>
      </c>
      <c r="D2884" s="266">
        <v>1322.46</v>
      </c>
    </row>
    <row r="2885" spans="1:4" ht="31.5">
      <c r="A2885" s="261">
        <v>2019784</v>
      </c>
      <c r="B2885" s="265" t="s">
        <v>14183</v>
      </c>
      <c r="C2885" s="261" t="s">
        <v>6</v>
      </c>
      <c r="D2885" s="266">
        <v>1715.06</v>
      </c>
    </row>
    <row r="2886" spans="1:4" ht="31.5">
      <c r="A2886" s="261">
        <v>2019785</v>
      </c>
      <c r="B2886" s="265" t="s">
        <v>14184</v>
      </c>
      <c r="C2886" s="261" t="s">
        <v>6</v>
      </c>
      <c r="D2886" s="266">
        <v>2285.61</v>
      </c>
    </row>
    <row r="2887" spans="1:4" ht="31.5">
      <c r="A2887" s="261">
        <v>2019776</v>
      </c>
      <c r="B2887" s="265" t="s">
        <v>14185</v>
      </c>
      <c r="C2887" s="261" t="s">
        <v>6</v>
      </c>
      <c r="D2887" s="266">
        <v>453.41</v>
      </c>
    </row>
    <row r="2888" spans="1:4" ht="31.5">
      <c r="A2888" s="261">
        <v>2019777</v>
      </c>
      <c r="B2888" s="265" t="s">
        <v>14186</v>
      </c>
      <c r="C2888" s="261" t="s">
        <v>6</v>
      </c>
      <c r="D2888" s="266">
        <v>980.44</v>
      </c>
    </row>
    <row r="2889" spans="1:4" ht="31.5">
      <c r="A2889" s="261">
        <v>2019778</v>
      </c>
      <c r="B2889" s="265" t="s">
        <v>14187</v>
      </c>
      <c r="C2889" s="261" t="s">
        <v>6</v>
      </c>
      <c r="D2889" s="266">
        <v>1931.18</v>
      </c>
    </row>
    <row r="2890" spans="1:4" ht="31.5">
      <c r="A2890" s="261">
        <v>2019779</v>
      </c>
      <c r="B2890" s="265" t="s">
        <v>14188</v>
      </c>
      <c r="C2890" s="261" t="s">
        <v>6</v>
      </c>
      <c r="D2890" s="266">
        <v>587.66</v>
      </c>
    </row>
    <row r="2891" spans="1:4" ht="31.5">
      <c r="A2891" s="261">
        <v>2019780</v>
      </c>
      <c r="B2891" s="265" t="s">
        <v>14189</v>
      </c>
      <c r="C2891" s="261" t="s">
        <v>6</v>
      </c>
      <c r="D2891" s="266">
        <v>719.03</v>
      </c>
    </row>
    <row r="2892" spans="1:4" ht="31.5">
      <c r="A2892" s="261">
        <v>2019781</v>
      </c>
      <c r="B2892" s="265" t="s">
        <v>14190</v>
      </c>
      <c r="C2892" s="261" t="s">
        <v>6</v>
      </c>
      <c r="D2892" s="266">
        <v>901.15</v>
      </c>
    </row>
    <row r="2893" spans="1:4" ht="31.5">
      <c r="A2893" s="261">
        <v>2019773</v>
      </c>
      <c r="B2893" s="265" t="s">
        <v>14191</v>
      </c>
      <c r="C2893" s="261" t="s">
        <v>6</v>
      </c>
      <c r="D2893" s="266">
        <v>302.36</v>
      </c>
    </row>
    <row r="2894" spans="1:4" ht="31.5">
      <c r="A2894" s="261">
        <v>2019774</v>
      </c>
      <c r="B2894" s="265" t="s">
        <v>14192</v>
      </c>
      <c r="C2894" s="261" t="s">
        <v>6</v>
      </c>
      <c r="D2894" s="266">
        <v>324.82</v>
      </c>
    </row>
    <row r="2895" spans="1:4" ht="31.5">
      <c r="A2895" s="261">
        <v>2019775</v>
      </c>
      <c r="B2895" s="265" t="s">
        <v>14193</v>
      </c>
      <c r="C2895" s="261" t="s">
        <v>6</v>
      </c>
      <c r="D2895" s="266">
        <v>278.89999999999998</v>
      </c>
    </row>
    <row r="2896" spans="1:4" ht="31.5">
      <c r="A2896" s="261">
        <v>2019755</v>
      </c>
      <c r="B2896" s="265" t="s">
        <v>14194</v>
      </c>
      <c r="C2896" s="261" t="s">
        <v>6</v>
      </c>
      <c r="D2896" s="266">
        <v>413.65</v>
      </c>
    </row>
    <row r="2897" spans="1:4" ht="31.5">
      <c r="A2897" s="261">
        <v>2019764</v>
      </c>
      <c r="B2897" s="265" t="s">
        <v>14195</v>
      </c>
      <c r="C2897" s="261" t="s">
        <v>6</v>
      </c>
      <c r="D2897" s="266">
        <v>440.62</v>
      </c>
    </row>
    <row r="2898" spans="1:4" ht="31.5">
      <c r="A2898" s="261">
        <v>2019756</v>
      </c>
      <c r="B2898" s="265" t="s">
        <v>14196</v>
      </c>
      <c r="C2898" s="261" t="s">
        <v>6</v>
      </c>
      <c r="D2898" s="266">
        <v>708.42</v>
      </c>
    </row>
    <row r="2899" spans="1:4" ht="31.5">
      <c r="A2899" s="261">
        <v>2019765</v>
      </c>
      <c r="B2899" s="265" t="s">
        <v>14197</v>
      </c>
      <c r="C2899" s="261" t="s">
        <v>6</v>
      </c>
      <c r="D2899" s="266">
        <v>735.39</v>
      </c>
    </row>
    <row r="2900" spans="1:4" ht="31.5">
      <c r="A2900" s="261">
        <v>2019757</v>
      </c>
      <c r="B2900" s="265" t="s">
        <v>14198</v>
      </c>
      <c r="C2900" s="261" t="s">
        <v>6</v>
      </c>
      <c r="D2900" s="266">
        <v>736.95</v>
      </c>
    </row>
    <row r="2901" spans="1:4" ht="31.5">
      <c r="A2901" s="261">
        <v>2019766</v>
      </c>
      <c r="B2901" s="265" t="s">
        <v>14199</v>
      </c>
      <c r="C2901" s="261" t="s">
        <v>6</v>
      </c>
      <c r="D2901" s="266">
        <v>795.35</v>
      </c>
    </row>
    <row r="2902" spans="1:4" ht="31.5">
      <c r="A2902" s="261">
        <v>2019758</v>
      </c>
      <c r="B2902" s="265" t="s">
        <v>14200</v>
      </c>
      <c r="C2902" s="261" t="s">
        <v>6</v>
      </c>
      <c r="D2902" s="266">
        <v>750.1</v>
      </c>
    </row>
    <row r="2903" spans="1:4" ht="31.5">
      <c r="A2903" s="261">
        <v>2019767</v>
      </c>
      <c r="B2903" s="265" t="s">
        <v>14201</v>
      </c>
      <c r="C2903" s="261" t="s">
        <v>6</v>
      </c>
      <c r="D2903" s="266">
        <v>808.92</v>
      </c>
    </row>
    <row r="2904" spans="1:4" ht="31.5">
      <c r="A2904" s="261">
        <v>2019759</v>
      </c>
      <c r="B2904" s="265" t="s">
        <v>14202</v>
      </c>
      <c r="C2904" s="261" t="s">
        <v>6</v>
      </c>
      <c r="D2904" s="266">
        <v>821.03</v>
      </c>
    </row>
    <row r="2905" spans="1:4" ht="31.5">
      <c r="A2905" s="261">
        <v>2019768</v>
      </c>
      <c r="B2905" s="265" t="s">
        <v>14203</v>
      </c>
      <c r="C2905" s="261" t="s">
        <v>6</v>
      </c>
      <c r="D2905" s="266">
        <v>888.41</v>
      </c>
    </row>
    <row r="2906" spans="1:4" ht="31.5">
      <c r="A2906" s="261">
        <v>2019760</v>
      </c>
      <c r="B2906" s="265" t="s">
        <v>14204</v>
      </c>
      <c r="C2906" s="261" t="s">
        <v>6</v>
      </c>
      <c r="D2906" s="266">
        <v>1047.78</v>
      </c>
    </row>
    <row r="2907" spans="1:4" ht="31.5">
      <c r="A2907" s="261">
        <v>2019769</v>
      </c>
      <c r="B2907" s="265" t="s">
        <v>14205</v>
      </c>
      <c r="C2907" s="261" t="s">
        <v>6</v>
      </c>
      <c r="D2907" s="266">
        <v>1123.71</v>
      </c>
    </row>
    <row r="2908" spans="1:4" ht="31.5">
      <c r="A2908" s="261">
        <v>2019761</v>
      </c>
      <c r="B2908" s="265" t="s">
        <v>14206</v>
      </c>
      <c r="C2908" s="261" t="s">
        <v>6</v>
      </c>
      <c r="D2908" s="266">
        <v>995.62</v>
      </c>
    </row>
    <row r="2909" spans="1:4" ht="31.5">
      <c r="A2909" s="261">
        <v>2019770</v>
      </c>
      <c r="B2909" s="265" t="s">
        <v>14207</v>
      </c>
      <c r="C2909" s="261" t="s">
        <v>6</v>
      </c>
      <c r="D2909" s="266">
        <v>1058.72</v>
      </c>
    </row>
    <row r="2910" spans="1:4" ht="31.5">
      <c r="A2910" s="261">
        <v>2019762</v>
      </c>
      <c r="B2910" s="265" t="s">
        <v>14208</v>
      </c>
      <c r="C2910" s="261" t="s">
        <v>6</v>
      </c>
      <c r="D2910" s="266">
        <v>1169.57</v>
      </c>
    </row>
    <row r="2911" spans="1:4" ht="31.5">
      <c r="A2911" s="261">
        <v>2019771</v>
      </c>
      <c r="B2911" s="265" t="s">
        <v>14209</v>
      </c>
      <c r="C2911" s="261" t="s">
        <v>6</v>
      </c>
      <c r="D2911" s="266">
        <v>1249.77</v>
      </c>
    </row>
    <row r="2912" spans="1:4" ht="31.5">
      <c r="A2912" s="261">
        <v>2019763</v>
      </c>
      <c r="B2912" s="265" t="s">
        <v>14210</v>
      </c>
      <c r="C2912" s="261" t="s">
        <v>6</v>
      </c>
      <c r="D2912" s="266">
        <v>4495.43</v>
      </c>
    </row>
    <row r="2913" spans="1:4" ht="31.5">
      <c r="A2913" s="261">
        <v>2019772</v>
      </c>
      <c r="B2913" s="265" t="s">
        <v>14211</v>
      </c>
      <c r="C2913" s="261" t="s">
        <v>6</v>
      </c>
      <c r="D2913" s="266">
        <v>4574.3500000000004</v>
      </c>
    </row>
    <row r="2914" spans="1:4">
      <c r="A2914" s="261">
        <v>2003811</v>
      </c>
      <c r="B2914" s="265" t="s">
        <v>14212</v>
      </c>
      <c r="C2914" s="261" t="s">
        <v>6</v>
      </c>
      <c r="D2914" s="266">
        <v>140.91</v>
      </c>
    </row>
    <row r="2915" spans="1:4">
      <c r="A2915" s="261">
        <v>2003812</v>
      </c>
      <c r="B2915" s="265" t="s">
        <v>14213</v>
      </c>
      <c r="C2915" s="261" t="s">
        <v>6</v>
      </c>
      <c r="D2915" s="266">
        <v>166.85</v>
      </c>
    </row>
    <row r="2916" spans="1:4">
      <c r="A2916" s="261">
        <v>2003813</v>
      </c>
      <c r="B2916" s="265" t="s">
        <v>14214</v>
      </c>
      <c r="C2916" s="261" t="s">
        <v>6</v>
      </c>
      <c r="D2916" s="266">
        <v>199.17</v>
      </c>
    </row>
    <row r="2917" spans="1:4">
      <c r="A2917" s="261">
        <v>2003814</v>
      </c>
      <c r="B2917" s="265" t="s">
        <v>14215</v>
      </c>
      <c r="C2917" s="261" t="s">
        <v>6</v>
      </c>
      <c r="D2917" s="266">
        <v>227.23</v>
      </c>
    </row>
    <row r="2918" spans="1:4">
      <c r="A2918" s="261">
        <v>2003815</v>
      </c>
      <c r="B2918" s="265" t="s">
        <v>14216</v>
      </c>
      <c r="C2918" s="261" t="s">
        <v>6</v>
      </c>
      <c r="D2918" s="266">
        <v>255.3</v>
      </c>
    </row>
    <row r="2919" spans="1:4">
      <c r="A2919" s="261">
        <v>2003816</v>
      </c>
      <c r="B2919" s="265" t="s">
        <v>14217</v>
      </c>
      <c r="C2919" s="261" t="s">
        <v>6</v>
      </c>
      <c r="D2919" s="266">
        <v>315.68</v>
      </c>
    </row>
    <row r="2920" spans="1:4">
      <c r="A2920" s="261">
        <v>2003817</v>
      </c>
      <c r="B2920" s="265" t="s">
        <v>14218</v>
      </c>
      <c r="C2920" s="261" t="s">
        <v>6</v>
      </c>
      <c r="D2920" s="266">
        <v>369.7</v>
      </c>
    </row>
    <row r="2921" spans="1:4">
      <c r="A2921" s="261">
        <v>2003799</v>
      </c>
      <c r="B2921" s="265" t="s">
        <v>14219</v>
      </c>
      <c r="C2921" s="261" t="s">
        <v>6</v>
      </c>
      <c r="D2921" s="266">
        <v>64.03</v>
      </c>
    </row>
    <row r="2922" spans="1:4">
      <c r="A2922" s="261">
        <v>2003798</v>
      </c>
      <c r="B2922" s="265" t="s">
        <v>14220</v>
      </c>
      <c r="C2922" s="261" t="s">
        <v>6</v>
      </c>
      <c r="D2922" s="266">
        <v>56.13</v>
      </c>
    </row>
    <row r="2923" spans="1:4">
      <c r="A2923" s="261">
        <v>2003801</v>
      </c>
      <c r="B2923" s="265" t="s">
        <v>14221</v>
      </c>
      <c r="C2923" s="261" t="s">
        <v>6</v>
      </c>
      <c r="D2923" s="266">
        <v>80.41</v>
      </c>
    </row>
    <row r="2924" spans="1:4">
      <c r="A2924" s="261">
        <v>2003800</v>
      </c>
      <c r="B2924" s="265" t="s">
        <v>14222</v>
      </c>
      <c r="C2924" s="261" t="s">
        <v>6</v>
      </c>
      <c r="D2924" s="266">
        <v>69.45</v>
      </c>
    </row>
    <row r="2925" spans="1:4">
      <c r="A2925" s="261">
        <v>2003714</v>
      </c>
      <c r="B2925" s="265" t="s">
        <v>14223</v>
      </c>
      <c r="C2925" s="261" t="s">
        <v>97</v>
      </c>
      <c r="D2925" s="266">
        <v>1500.14</v>
      </c>
    </row>
    <row r="2926" spans="1:4">
      <c r="A2926" s="261">
        <v>2003713</v>
      </c>
      <c r="B2926" s="265" t="s">
        <v>14224</v>
      </c>
      <c r="C2926" s="261" t="s">
        <v>97</v>
      </c>
      <c r="D2926" s="266">
        <v>1466.32</v>
      </c>
    </row>
    <row r="2927" spans="1:4">
      <c r="A2927" s="261">
        <v>2003716</v>
      </c>
      <c r="B2927" s="265" t="s">
        <v>14225</v>
      </c>
      <c r="C2927" s="261" t="s">
        <v>97</v>
      </c>
      <c r="D2927" s="266">
        <v>1749.42</v>
      </c>
    </row>
    <row r="2928" spans="1:4">
      <c r="A2928" s="261">
        <v>2003715</v>
      </c>
      <c r="B2928" s="265" t="s">
        <v>14226</v>
      </c>
      <c r="C2928" s="261" t="s">
        <v>97</v>
      </c>
      <c r="D2928" s="266">
        <v>1709.3</v>
      </c>
    </row>
    <row r="2929" spans="1:4">
      <c r="A2929" s="261">
        <v>2003718</v>
      </c>
      <c r="B2929" s="265" t="s">
        <v>14227</v>
      </c>
      <c r="C2929" s="261" t="s">
        <v>97</v>
      </c>
      <c r="D2929" s="266">
        <v>1992.83</v>
      </c>
    </row>
    <row r="2930" spans="1:4">
      <c r="A2930" s="261">
        <v>2003717</v>
      </c>
      <c r="B2930" s="265" t="s">
        <v>14228</v>
      </c>
      <c r="C2930" s="261" t="s">
        <v>97</v>
      </c>
      <c r="D2930" s="266">
        <v>1947.57</v>
      </c>
    </row>
    <row r="2931" spans="1:4">
      <c r="A2931" s="261">
        <v>2003720</v>
      </c>
      <c r="B2931" s="265" t="s">
        <v>14229</v>
      </c>
      <c r="C2931" s="261" t="s">
        <v>97</v>
      </c>
      <c r="D2931" s="266">
        <v>2242.09</v>
      </c>
    </row>
    <row r="2932" spans="1:4">
      <c r="A2932" s="261">
        <v>2003719</v>
      </c>
      <c r="B2932" s="265" t="s">
        <v>14230</v>
      </c>
      <c r="C2932" s="261" t="s">
        <v>97</v>
      </c>
      <c r="D2932" s="266">
        <v>2190.5100000000002</v>
      </c>
    </row>
    <row r="2933" spans="1:4">
      <c r="A2933" s="261">
        <v>2003722</v>
      </c>
      <c r="B2933" s="265" t="s">
        <v>14231</v>
      </c>
      <c r="C2933" s="261" t="s">
        <v>97</v>
      </c>
      <c r="D2933" s="266">
        <v>2485.5</v>
      </c>
    </row>
    <row r="2934" spans="1:4">
      <c r="A2934" s="261">
        <v>2003721</v>
      </c>
      <c r="B2934" s="265" t="s">
        <v>14232</v>
      </c>
      <c r="C2934" s="261" t="s">
        <v>97</v>
      </c>
      <c r="D2934" s="266">
        <v>2428.79</v>
      </c>
    </row>
    <row r="2935" spans="1:4">
      <c r="A2935" s="261">
        <v>2003724</v>
      </c>
      <c r="B2935" s="265" t="s">
        <v>14233</v>
      </c>
      <c r="C2935" s="261" t="s">
        <v>97</v>
      </c>
      <c r="D2935" s="266">
        <v>2734.78</v>
      </c>
    </row>
    <row r="2936" spans="1:4">
      <c r="A2936" s="261">
        <v>2003723</v>
      </c>
      <c r="B2936" s="265" t="s">
        <v>14234</v>
      </c>
      <c r="C2936" s="261" t="s">
        <v>97</v>
      </c>
      <c r="D2936" s="266">
        <v>2671.76</v>
      </c>
    </row>
    <row r="2937" spans="1:4">
      <c r="A2937" s="261">
        <v>2003726</v>
      </c>
      <c r="B2937" s="265" t="s">
        <v>14235</v>
      </c>
      <c r="C2937" s="261" t="s">
        <v>97</v>
      </c>
      <c r="D2937" s="266">
        <v>2978.2</v>
      </c>
    </row>
    <row r="2938" spans="1:4">
      <c r="A2938" s="261">
        <v>2003725</v>
      </c>
      <c r="B2938" s="265" t="s">
        <v>14236</v>
      </c>
      <c r="C2938" s="261" t="s">
        <v>97</v>
      </c>
      <c r="D2938" s="266">
        <v>2910.03</v>
      </c>
    </row>
    <row r="2939" spans="1:4">
      <c r="A2939" s="261">
        <v>2003859</v>
      </c>
      <c r="B2939" s="265" t="s">
        <v>14237</v>
      </c>
      <c r="C2939" s="261" t="s">
        <v>5</v>
      </c>
      <c r="D2939" s="266">
        <v>66.09</v>
      </c>
    </row>
    <row r="2940" spans="1:4">
      <c r="A2940" s="261">
        <v>2003861</v>
      </c>
      <c r="B2940" s="265" t="s">
        <v>14238</v>
      </c>
      <c r="C2940" s="261" t="s">
        <v>6</v>
      </c>
      <c r="D2940" s="266">
        <v>28.92</v>
      </c>
    </row>
    <row r="2941" spans="1:4">
      <c r="A2941" s="261">
        <v>2003862</v>
      </c>
      <c r="B2941" s="265" t="s">
        <v>14239</v>
      </c>
      <c r="C2941" s="261" t="s">
        <v>6</v>
      </c>
      <c r="D2941" s="266">
        <v>25.85</v>
      </c>
    </row>
    <row r="2942" spans="1:4">
      <c r="A2942" s="261">
        <v>2003405</v>
      </c>
      <c r="B2942" s="265" t="s">
        <v>14240</v>
      </c>
      <c r="C2942" s="261" t="s">
        <v>6</v>
      </c>
      <c r="D2942" s="266">
        <v>210.28</v>
      </c>
    </row>
    <row r="2943" spans="1:4">
      <c r="A2943" s="261">
        <v>2003404</v>
      </c>
      <c r="B2943" s="265" t="s">
        <v>14241</v>
      </c>
      <c r="C2943" s="261" t="s">
        <v>6</v>
      </c>
      <c r="D2943" s="266">
        <v>182.83</v>
      </c>
    </row>
    <row r="2944" spans="1:4">
      <c r="A2944" s="261">
        <v>2003407</v>
      </c>
      <c r="B2944" s="265" t="s">
        <v>14242</v>
      </c>
      <c r="C2944" s="261" t="s">
        <v>6</v>
      </c>
      <c r="D2944" s="266">
        <v>269.77</v>
      </c>
    </row>
    <row r="2945" spans="1:4">
      <c r="A2945" s="261">
        <v>2003406</v>
      </c>
      <c r="B2945" s="265" t="s">
        <v>14243</v>
      </c>
      <c r="C2945" s="261" t="s">
        <v>6</v>
      </c>
      <c r="D2945" s="266">
        <v>242.32</v>
      </c>
    </row>
    <row r="2946" spans="1:4">
      <c r="A2946" s="261">
        <v>2003409</v>
      </c>
      <c r="B2946" s="265" t="s">
        <v>14244</v>
      </c>
      <c r="C2946" s="261" t="s">
        <v>6</v>
      </c>
      <c r="D2946" s="266">
        <v>444.38</v>
      </c>
    </row>
    <row r="2947" spans="1:4">
      <c r="A2947" s="261">
        <v>2003408</v>
      </c>
      <c r="B2947" s="265" t="s">
        <v>14245</v>
      </c>
      <c r="C2947" s="261" t="s">
        <v>6</v>
      </c>
      <c r="D2947" s="266">
        <v>382.09</v>
      </c>
    </row>
    <row r="2948" spans="1:4">
      <c r="A2948" s="261">
        <v>2003411</v>
      </c>
      <c r="B2948" s="265" t="s">
        <v>14246</v>
      </c>
      <c r="C2948" s="261" t="s">
        <v>6</v>
      </c>
      <c r="D2948" s="266">
        <v>609.07000000000005</v>
      </c>
    </row>
    <row r="2949" spans="1:4">
      <c r="A2949" s="261">
        <v>2003410</v>
      </c>
      <c r="B2949" s="265" t="s">
        <v>14247</v>
      </c>
      <c r="C2949" s="261" t="s">
        <v>6</v>
      </c>
      <c r="D2949" s="266">
        <v>546.78</v>
      </c>
    </row>
    <row r="2950" spans="1:4">
      <c r="A2950" s="261">
        <v>2003413</v>
      </c>
      <c r="B2950" s="265" t="s">
        <v>14248</v>
      </c>
      <c r="C2950" s="261" t="s">
        <v>6</v>
      </c>
      <c r="D2950" s="266">
        <v>624.82000000000005</v>
      </c>
    </row>
    <row r="2951" spans="1:4">
      <c r="A2951" s="261">
        <v>2003412</v>
      </c>
      <c r="B2951" s="265" t="s">
        <v>14249</v>
      </c>
      <c r="C2951" s="261" t="s">
        <v>6</v>
      </c>
      <c r="D2951" s="266">
        <v>538.24</v>
      </c>
    </row>
    <row r="2952" spans="1:4">
      <c r="A2952" s="261">
        <v>2003415</v>
      </c>
      <c r="B2952" s="265" t="s">
        <v>14250</v>
      </c>
      <c r="C2952" s="261" t="s">
        <v>6</v>
      </c>
      <c r="D2952" s="266">
        <v>822.15</v>
      </c>
    </row>
    <row r="2953" spans="1:4">
      <c r="A2953" s="261">
        <v>2003414</v>
      </c>
      <c r="B2953" s="265" t="s">
        <v>14251</v>
      </c>
      <c r="C2953" s="261" t="s">
        <v>6</v>
      </c>
      <c r="D2953" s="266">
        <v>735.56</v>
      </c>
    </row>
    <row r="2954" spans="1:4">
      <c r="A2954" s="261">
        <v>2003417</v>
      </c>
      <c r="B2954" s="265" t="s">
        <v>14252</v>
      </c>
      <c r="C2954" s="261" t="s">
        <v>6</v>
      </c>
      <c r="D2954" s="266">
        <v>815.07</v>
      </c>
    </row>
    <row r="2955" spans="1:4">
      <c r="A2955" s="261">
        <v>2003416</v>
      </c>
      <c r="B2955" s="265" t="s">
        <v>14253</v>
      </c>
      <c r="C2955" s="261" t="s">
        <v>6</v>
      </c>
      <c r="D2955" s="266">
        <v>702.09</v>
      </c>
    </row>
    <row r="2956" spans="1:4">
      <c r="A2956" s="261">
        <v>2003419</v>
      </c>
      <c r="B2956" s="265" t="s">
        <v>14254</v>
      </c>
      <c r="C2956" s="261" t="s">
        <v>6</v>
      </c>
      <c r="D2956" s="266">
        <v>1046.27</v>
      </c>
    </row>
    <row r="2957" spans="1:4">
      <c r="A2957" s="261">
        <v>2003418</v>
      </c>
      <c r="B2957" s="265" t="s">
        <v>14255</v>
      </c>
      <c r="C2957" s="261" t="s">
        <v>6</v>
      </c>
      <c r="D2957" s="266">
        <v>933.29</v>
      </c>
    </row>
    <row r="2958" spans="1:4">
      <c r="A2958" s="261">
        <v>2003421</v>
      </c>
      <c r="B2958" s="265" t="s">
        <v>14256</v>
      </c>
      <c r="C2958" s="261" t="s">
        <v>6</v>
      </c>
      <c r="D2958" s="266">
        <v>1030.97</v>
      </c>
    </row>
    <row r="2959" spans="1:4">
      <c r="A2959" s="261">
        <v>2003420</v>
      </c>
      <c r="B2959" s="265" t="s">
        <v>14257</v>
      </c>
      <c r="C2959" s="261" t="s">
        <v>6</v>
      </c>
      <c r="D2959" s="266">
        <v>889.48</v>
      </c>
    </row>
    <row r="2960" spans="1:4">
      <c r="A2960" s="261">
        <v>2003423</v>
      </c>
      <c r="B2960" s="265" t="s">
        <v>14258</v>
      </c>
      <c r="C2960" s="261" t="s">
        <v>6</v>
      </c>
      <c r="D2960" s="266">
        <v>1288.8800000000001</v>
      </c>
    </row>
    <row r="2961" spans="1:4">
      <c r="A2961" s="261">
        <v>2003422</v>
      </c>
      <c r="B2961" s="265" t="s">
        <v>14259</v>
      </c>
      <c r="C2961" s="261" t="s">
        <v>6</v>
      </c>
      <c r="D2961" s="266">
        <v>1147.3900000000001</v>
      </c>
    </row>
    <row r="2962" spans="1:4">
      <c r="A2962" s="261">
        <v>2003425</v>
      </c>
      <c r="B2962" s="265" t="s">
        <v>14260</v>
      </c>
      <c r="C2962" s="261" t="s">
        <v>6</v>
      </c>
      <c r="D2962" s="266">
        <v>1345.91</v>
      </c>
    </row>
    <row r="2963" spans="1:4">
      <c r="A2963" s="261">
        <v>2003424</v>
      </c>
      <c r="B2963" s="265" t="s">
        <v>14261</v>
      </c>
      <c r="C2963" s="261" t="s">
        <v>6</v>
      </c>
      <c r="D2963" s="266">
        <v>1162.19</v>
      </c>
    </row>
    <row r="2964" spans="1:4">
      <c r="A2964" s="261">
        <v>2003427</v>
      </c>
      <c r="B2964" s="265" t="s">
        <v>14262</v>
      </c>
      <c r="C2964" s="261" t="s">
        <v>6</v>
      </c>
      <c r="D2964" s="266">
        <v>1687.13</v>
      </c>
    </row>
    <row r="2965" spans="1:4">
      <c r="A2965" s="261">
        <v>2003426</v>
      </c>
      <c r="B2965" s="265" t="s">
        <v>14263</v>
      </c>
      <c r="C2965" s="261" t="s">
        <v>6</v>
      </c>
      <c r="D2965" s="266">
        <v>1503.41</v>
      </c>
    </row>
    <row r="2966" spans="1:4">
      <c r="A2966" s="261">
        <v>2003429</v>
      </c>
      <c r="B2966" s="265" t="s">
        <v>14264</v>
      </c>
      <c r="C2966" s="261" t="s">
        <v>6</v>
      </c>
      <c r="D2966" s="266">
        <v>1688.79</v>
      </c>
    </row>
    <row r="2967" spans="1:4">
      <c r="A2967" s="261">
        <v>2003428</v>
      </c>
      <c r="B2967" s="265" t="s">
        <v>14265</v>
      </c>
      <c r="C2967" s="261" t="s">
        <v>6</v>
      </c>
      <c r="D2967" s="266">
        <v>1448.05</v>
      </c>
    </row>
    <row r="2968" spans="1:4">
      <c r="A2968" s="261">
        <v>2003431</v>
      </c>
      <c r="B2968" s="265" t="s">
        <v>14266</v>
      </c>
      <c r="C2968" s="261" t="s">
        <v>6</v>
      </c>
      <c r="D2968" s="266">
        <v>2004.95</v>
      </c>
    </row>
    <row r="2969" spans="1:4">
      <c r="A2969" s="261">
        <v>2003430</v>
      </c>
      <c r="B2969" s="265" t="s">
        <v>14267</v>
      </c>
      <c r="C2969" s="261" t="s">
        <v>6</v>
      </c>
      <c r="D2969" s="266">
        <v>1764.21</v>
      </c>
    </row>
    <row r="2970" spans="1:4">
      <c r="A2970" s="261">
        <v>2003433</v>
      </c>
      <c r="B2970" s="265" t="s">
        <v>14268</v>
      </c>
      <c r="C2970" s="261" t="s">
        <v>6</v>
      </c>
      <c r="D2970" s="266">
        <v>2185.9</v>
      </c>
    </row>
    <row r="2971" spans="1:4">
      <c r="A2971" s="261">
        <v>2003432</v>
      </c>
      <c r="B2971" s="265" t="s">
        <v>14269</v>
      </c>
      <c r="C2971" s="261" t="s">
        <v>6</v>
      </c>
      <c r="D2971" s="266">
        <v>1877.58</v>
      </c>
    </row>
    <row r="2972" spans="1:4">
      <c r="A2972" s="261">
        <v>2003435</v>
      </c>
      <c r="B2972" s="265" t="s">
        <v>14270</v>
      </c>
      <c r="C2972" s="261" t="s">
        <v>6</v>
      </c>
      <c r="D2972" s="266">
        <v>2555.62</v>
      </c>
    </row>
    <row r="2973" spans="1:4">
      <c r="A2973" s="261">
        <v>2003434</v>
      </c>
      <c r="B2973" s="265" t="s">
        <v>14271</v>
      </c>
      <c r="C2973" s="261" t="s">
        <v>6</v>
      </c>
      <c r="D2973" s="266">
        <v>2247.3000000000002</v>
      </c>
    </row>
    <row r="2974" spans="1:4">
      <c r="A2974" s="261">
        <v>2003437</v>
      </c>
      <c r="B2974" s="265" t="s">
        <v>14272</v>
      </c>
      <c r="C2974" s="261" t="s">
        <v>6</v>
      </c>
      <c r="D2974" s="266">
        <v>2973.43</v>
      </c>
    </row>
    <row r="2975" spans="1:4">
      <c r="A2975" s="261">
        <v>2003436</v>
      </c>
      <c r="B2975" s="265" t="s">
        <v>14273</v>
      </c>
      <c r="C2975" s="261" t="s">
        <v>6</v>
      </c>
      <c r="D2975" s="266">
        <v>2558.46</v>
      </c>
    </row>
    <row r="2976" spans="1:4">
      <c r="A2976" s="261">
        <v>2003439</v>
      </c>
      <c r="B2976" s="265" t="s">
        <v>14274</v>
      </c>
      <c r="C2976" s="261" t="s">
        <v>6</v>
      </c>
      <c r="D2976" s="266">
        <v>3436.38</v>
      </c>
    </row>
    <row r="2977" spans="1:4">
      <c r="A2977" s="261">
        <v>2003438</v>
      </c>
      <c r="B2977" s="265" t="s">
        <v>14275</v>
      </c>
      <c r="C2977" s="261" t="s">
        <v>6</v>
      </c>
      <c r="D2977" s="266">
        <v>3021.41</v>
      </c>
    </row>
    <row r="2978" spans="1:4">
      <c r="A2978" s="261">
        <v>2003389</v>
      </c>
      <c r="B2978" s="265" t="s">
        <v>14276</v>
      </c>
      <c r="C2978" s="261" t="s">
        <v>6</v>
      </c>
      <c r="D2978" s="266">
        <v>260.62</v>
      </c>
    </row>
    <row r="2979" spans="1:4">
      <c r="A2979" s="261">
        <v>2003388</v>
      </c>
      <c r="B2979" s="265" t="s">
        <v>14277</v>
      </c>
      <c r="C2979" s="261" t="s">
        <v>6</v>
      </c>
      <c r="D2979" s="266">
        <v>242.14</v>
      </c>
    </row>
    <row r="2980" spans="1:4">
      <c r="A2980" s="261">
        <v>2003391</v>
      </c>
      <c r="B2980" s="265" t="s">
        <v>14278</v>
      </c>
      <c r="C2980" s="261" t="s">
        <v>6</v>
      </c>
      <c r="D2980" s="266">
        <v>159.75</v>
      </c>
    </row>
    <row r="2981" spans="1:4">
      <c r="A2981" s="261">
        <v>2003390</v>
      </c>
      <c r="B2981" s="265" t="s">
        <v>14279</v>
      </c>
      <c r="C2981" s="261" t="s">
        <v>6</v>
      </c>
      <c r="D2981" s="266">
        <v>145.29</v>
      </c>
    </row>
    <row r="2982" spans="1:4">
      <c r="A2982" s="261">
        <v>2003393</v>
      </c>
      <c r="B2982" s="265" t="s">
        <v>14280</v>
      </c>
      <c r="C2982" s="261" t="s">
        <v>6</v>
      </c>
      <c r="D2982" s="266">
        <v>232.18</v>
      </c>
    </row>
    <row r="2983" spans="1:4">
      <c r="A2983" s="261">
        <v>2003392</v>
      </c>
      <c r="B2983" s="265" t="s">
        <v>14281</v>
      </c>
      <c r="C2983" s="261" t="s">
        <v>6</v>
      </c>
      <c r="D2983" s="266">
        <v>217.71</v>
      </c>
    </row>
    <row r="2984" spans="1:4">
      <c r="A2984" s="261">
        <v>2003395</v>
      </c>
      <c r="B2984" s="265" t="s">
        <v>14282</v>
      </c>
      <c r="C2984" s="261" t="s">
        <v>6</v>
      </c>
      <c r="D2984" s="266">
        <v>689.9</v>
      </c>
    </row>
    <row r="2985" spans="1:4">
      <c r="A2985" s="261">
        <v>2003394</v>
      </c>
      <c r="B2985" s="265" t="s">
        <v>14283</v>
      </c>
      <c r="C2985" s="261" t="s">
        <v>6</v>
      </c>
      <c r="D2985" s="266">
        <v>687.79</v>
      </c>
    </row>
    <row r="2986" spans="1:4">
      <c r="A2986" s="261">
        <v>2003397</v>
      </c>
      <c r="B2986" s="265" t="s">
        <v>14284</v>
      </c>
      <c r="C2986" s="261" t="s">
        <v>6</v>
      </c>
      <c r="D2986" s="266">
        <v>528.69000000000005</v>
      </c>
    </row>
    <row r="2987" spans="1:4">
      <c r="A2987" s="261">
        <v>2003396</v>
      </c>
      <c r="B2987" s="265" t="s">
        <v>14285</v>
      </c>
      <c r="C2987" s="261" t="s">
        <v>6</v>
      </c>
      <c r="D2987" s="266">
        <v>491.74</v>
      </c>
    </row>
    <row r="2988" spans="1:4">
      <c r="A2988" s="261">
        <v>2003399</v>
      </c>
      <c r="B2988" s="265" t="s">
        <v>14286</v>
      </c>
      <c r="C2988" s="261" t="s">
        <v>6</v>
      </c>
      <c r="D2988" s="266">
        <v>674.24</v>
      </c>
    </row>
    <row r="2989" spans="1:4">
      <c r="A2989" s="261">
        <v>2003398</v>
      </c>
      <c r="B2989" s="265" t="s">
        <v>14287</v>
      </c>
      <c r="C2989" s="261" t="s">
        <v>6</v>
      </c>
      <c r="D2989" s="266">
        <v>637.29</v>
      </c>
    </row>
    <row r="2990" spans="1:4">
      <c r="A2990" s="261">
        <v>2003401</v>
      </c>
      <c r="B2990" s="265" t="s">
        <v>14288</v>
      </c>
      <c r="C2990" s="261" t="s">
        <v>6</v>
      </c>
      <c r="D2990" s="266">
        <v>595.98</v>
      </c>
    </row>
    <row r="2991" spans="1:4">
      <c r="A2991" s="261">
        <v>2003400</v>
      </c>
      <c r="B2991" s="265" t="s">
        <v>14289</v>
      </c>
      <c r="C2991" s="261" t="s">
        <v>6</v>
      </c>
      <c r="D2991" s="266">
        <v>551.63</v>
      </c>
    </row>
    <row r="2992" spans="1:4">
      <c r="A2992" s="261">
        <v>2003403</v>
      </c>
      <c r="B2992" s="265" t="s">
        <v>14290</v>
      </c>
      <c r="C2992" s="261" t="s">
        <v>6</v>
      </c>
      <c r="D2992" s="266">
        <v>749.38</v>
      </c>
    </row>
    <row r="2993" spans="1:4">
      <c r="A2993" s="261">
        <v>2003402</v>
      </c>
      <c r="B2993" s="265" t="s">
        <v>14291</v>
      </c>
      <c r="C2993" s="261" t="s">
        <v>6</v>
      </c>
      <c r="D2993" s="266">
        <v>705.03</v>
      </c>
    </row>
    <row r="2994" spans="1:4">
      <c r="A2994" s="261">
        <v>2003448</v>
      </c>
      <c r="B2994" s="265" t="s">
        <v>14292</v>
      </c>
      <c r="C2994" s="261" t="s">
        <v>97</v>
      </c>
      <c r="D2994" s="266">
        <v>393.09</v>
      </c>
    </row>
    <row r="2995" spans="1:4">
      <c r="A2995" s="261">
        <v>2003449</v>
      </c>
      <c r="B2995" s="265" t="s">
        <v>14293</v>
      </c>
      <c r="C2995" s="261" t="s">
        <v>97</v>
      </c>
      <c r="D2995" s="266">
        <v>448.87</v>
      </c>
    </row>
    <row r="2996" spans="1:4">
      <c r="A2996" s="261">
        <v>2003450</v>
      </c>
      <c r="B2996" s="265" t="s">
        <v>14294</v>
      </c>
      <c r="C2996" s="261" t="s">
        <v>97</v>
      </c>
      <c r="D2996" s="266">
        <v>403.17</v>
      </c>
    </row>
    <row r="2997" spans="1:4">
      <c r="A2997" s="261">
        <v>2003451</v>
      </c>
      <c r="B2997" s="265" t="s">
        <v>14295</v>
      </c>
      <c r="C2997" s="261" t="s">
        <v>97</v>
      </c>
      <c r="D2997" s="266">
        <v>461.6</v>
      </c>
    </row>
    <row r="2998" spans="1:4">
      <c r="A2998" s="261">
        <v>2003452</v>
      </c>
      <c r="B2998" s="265" t="s">
        <v>14296</v>
      </c>
      <c r="C2998" s="261" t="s">
        <v>97</v>
      </c>
      <c r="D2998" s="266">
        <v>1249.69</v>
      </c>
    </row>
    <row r="2999" spans="1:4">
      <c r="A2999" s="261">
        <v>2003453</v>
      </c>
      <c r="B2999" s="265" t="s">
        <v>14297</v>
      </c>
      <c r="C2999" s="261" t="s">
        <v>97</v>
      </c>
      <c r="D2999" s="266">
        <v>1423.73</v>
      </c>
    </row>
    <row r="3000" spans="1:4">
      <c r="A3000" s="261">
        <v>2003454</v>
      </c>
      <c r="B3000" s="265" t="s">
        <v>14298</v>
      </c>
      <c r="C3000" s="261" t="s">
        <v>97</v>
      </c>
      <c r="D3000" s="266">
        <v>1752.38</v>
      </c>
    </row>
    <row r="3001" spans="1:4">
      <c r="A3001" s="261">
        <v>2003455</v>
      </c>
      <c r="B3001" s="265" t="s">
        <v>14299</v>
      </c>
      <c r="C3001" s="261" t="s">
        <v>97</v>
      </c>
      <c r="D3001" s="266">
        <v>2022.32</v>
      </c>
    </row>
    <row r="3002" spans="1:4">
      <c r="A3002" s="261">
        <v>2003456</v>
      </c>
      <c r="B3002" s="265" t="s">
        <v>14300</v>
      </c>
      <c r="C3002" s="261" t="s">
        <v>97</v>
      </c>
      <c r="D3002" s="266">
        <v>2329.42</v>
      </c>
    </row>
    <row r="3003" spans="1:4">
      <c r="A3003" s="261">
        <v>2003457</v>
      </c>
      <c r="B3003" s="265" t="s">
        <v>14301</v>
      </c>
      <c r="C3003" s="261" t="s">
        <v>97</v>
      </c>
      <c r="D3003" s="266">
        <v>2715.53</v>
      </c>
    </row>
    <row r="3004" spans="1:4">
      <c r="A3004" s="261">
        <v>2003458</v>
      </c>
      <c r="B3004" s="265" t="s">
        <v>14302</v>
      </c>
      <c r="C3004" s="261" t="s">
        <v>97</v>
      </c>
      <c r="D3004" s="266">
        <v>2945.25</v>
      </c>
    </row>
    <row r="3005" spans="1:4">
      <c r="A3005" s="261">
        <v>2003459</v>
      </c>
      <c r="B3005" s="265" t="s">
        <v>14303</v>
      </c>
      <c r="C3005" s="261" t="s">
        <v>97</v>
      </c>
      <c r="D3005" s="266">
        <v>3459.8</v>
      </c>
    </row>
    <row r="3006" spans="1:4">
      <c r="A3006" s="261">
        <v>2003460</v>
      </c>
      <c r="B3006" s="265" t="s">
        <v>14304</v>
      </c>
      <c r="C3006" s="261" t="s">
        <v>97</v>
      </c>
      <c r="D3006" s="266">
        <v>4128.8599999999997</v>
      </c>
    </row>
    <row r="3007" spans="1:4">
      <c r="A3007" s="261">
        <v>2003461</v>
      </c>
      <c r="B3007" s="265" t="s">
        <v>14305</v>
      </c>
      <c r="C3007" s="261" t="s">
        <v>97</v>
      </c>
      <c r="D3007" s="266">
        <v>4907.79</v>
      </c>
    </row>
    <row r="3008" spans="1:4">
      <c r="A3008" s="261">
        <v>2003462</v>
      </c>
      <c r="B3008" s="265" t="s">
        <v>14306</v>
      </c>
      <c r="C3008" s="261" t="s">
        <v>97</v>
      </c>
      <c r="D3008" s="266">
        <v>2980.91</v>
      </c>
    </row>
    <row r="3009" spans="1:4">
      <c r="A3009" s="261">
        <v>2003463</v>
      </c>
      <c r="B3009" s="265" t="s">
        <v>14307</v>
      </c>
      <c r="C3009" s="261" t="s">
        <v>97</v>
      </c>
      <c r="D3009" s="266">
        <v>3510.95</v>
      </c>
    </row>
    <row r="3010" spans="1:4">
      <c r="A3010" s="261">
        <v>2003464</v>
      </c>
      <c r="B3010" s="265" t="s">
        <v>14308</v>
      </c>
      <c r="C3010" s="261" t="s">
        <v>97</v>
      </c>
      <c r="D3010" s="266">
        <v>3813.78</v>
      </c>
    </row>
    <row r="3011" spans="1:4">
      <c r="A3011" s="261">
        <v>2003465</v>
      </c>
      <c r="B3011" s="265" t="s">
        <v>14309</v>
      </c>
      <c r="C3011" s="261" t="s">
        <v>97</v>
      </c>
      <c r="D3011" s="266">
        <v>4527.17</v>
      </c>
    </row>
    <row r="3012" spans="1:4">
      <c r="A3012" s="261">
        <v>2003466</v>
      </c>
      <c r="B3012" s="265" t="s">
        <v>14310</v>
      </c>
      <c r="C3012" s="261" t="s">
        <v>97</v>
      </c>
      <c r="D3012" s="266">
        <v>5304.24</v>
      </c>
    </row>
    <row r="3013" spans="1:4">
      <c r="A3013" s="261">
        <v>2003467</v>
      </c>
      <c r="B3013" s="265" t="s">
        <v>14311</v>
      </c>
      <c r="C3013" s="261" t="s">
        <v>97</v>
      </c>
      <c r="D3013" s="266">
        <v>6359.87</v>
      </c>
    </row>
    <row r="3014" spans="1:4">
      <c r="A3014" s="261">
        <v>2003468</v>
      </c>
      <c r="B3014" s="265" t="s">
        <v>14312</v>
      </c>
      <c r="C3014" s="261" t="s">
        <v>97</v>
      </c>
      <c r="D3014" s="266">
        <v>3636.15</v>
      </c>
    </row>
    <row r="3015" spans="1:4">
      <c r="A3015" s="261">
        <v>2003469</v>
      </c>
      <c r="B3015" s="265" t="s">
        <v>14313</v>
      </c>
      <c r="C3015" s="261" t="s">
        <v>97</v>
      </c>
      <c r="D3015" s="266">
        <v>4311.72</v>
      </c>
    </row>
    <row r="3016" spans="1:4">
      <c r="A3016" s="261">
        <v>2003470</v>
      </c>
      <c r="B3016" s="265" t="s">
        <v>14314</v>
      </c>
      <c r="C3016" s="261" t="s">
        <v>97</v>
      </c>
      <c r="D3016" s="266">
        <v>4682.22</v>
      </c>
    </row>
    <row r="3017" spans="1:4">
      <c r="A3017" s="261">
        <v>2003471</v>
      </c>
      <c r="B3017" s="265" t="s">
        <v>14315</v>
      </c>
      <c r="C3017" s="261" t="s">
        <v>97</v>
      </c>
      <c r="D3017" s="266">
        <v>5595.01</v>
      </c>
    </row>
    <row r="3018" spans="1:4">
      <c r="A3018" s="261">
        <v>2003472</v>
      </c>
      <c r="B3018" s="265" t="s">
        <v>14316</v>
      </c>
      <c r="C3018" s="261" t="s">
        <v>97</v>
      </c>
      <c r="D3018" s="266">
        <v>6862.92</v>
      </c>
    </row>
    <row r="3019" spans="1:4">
      <c r="A3019" s="261">
        <v>2003473</v>
      </c>
      <c r="B3019" s="265" t="s">
        <v>14317</v>
      </c>
      <c r="C3019" s="261" t="s">
        <v>97</v>
      </c>
      <c r="D3019" s="266">
        <v>8285.8799999999992</v>
      </c>
    </row>
    <row r="3020" spans="1:4">
      <c r="A3020" s="261">
        <v>2003475</v>
      </c>
      <c r="B3020" s="265" t="s">
        <v>14318</v>
      </c>
      <c r="C3020" s="261" t="s">
        <v>97</v>
      </c>
      <c r="D3020" s="266">
        <v>544.95000000000005</v>
      </c>
    </row>
    <row r="3021" spans="1:4">
      <c r="A3021" s="261">
        <v>2003474</v>
      </c>
      <c r="B3021" s="265" t="s">
        <v>14319</v>
      </c>
      <c r="C3021" s="261" t="s">
        <v>97</v>
      </c>
      <c r="D3021" s="266">
        <v>505.88</v>
      </c>
    </row>
    <row r="3022" spans="1:4">
      <c r="A3022" s="261">
        <v>2003441</v>
      </c>
      <c r="B3022" s="265" t="s">
        <v>14320</v>
      </c>
      <c r="C3022" s="261" t="s">
        <v>97</v>
      </c>
      <c r="D3022" s="266">
        <v>208.87</v>
      </c>
    </row>
    <row r="3023" spans="1:4">
      <c r="A3023" s="261">
        <v>2003440</v>
      </c>
      <c r="B3023" s="265" t="s">
        <v>14321</v>
      </c>
      <c r="C3023" s="261" t="s">
        <v>97</v>
      </c>
      <c r="D3023" s="266">
        <v>160.27000000000001</v>
      </c>
    </row>
    <row r="3024" spans="1:4">
      <c r="A3024" s="261">
        <v>2003443</v>
      </c>
      <c r="B3024" s="265" t="s">
        <v>14322</v>
      </c>
      <c r="C3024" s="261" t="s">
        <v>97</v>
      </c>
      <c r="D3024" s="266">
        <v>247.93</v>
      </c>
    </row>
    <row r="3025" spans="1:4">
      <c r="A3025" s="261">
        <v>2003442</v>
      </c>
      <c r="B3025" s="265" t="s">
        <v>14323</v>
      </c>
      <c r="C3025" s="261" t="s">
        <v>97</v>
      </c>
      <c r="D3025" s="266">
        <v>190.22</v>
      </c>
    </row>
    <row r="3026" spans="1:4">
      <c r="A3026" s="261">
        <v>2003445</v>
      </c>
      <c r="B3026" s="265" t="s">
        <v>14324</v>
      </c>
      <c r="C3026" s="261" t="s">
        <v>97</v>
      </c>
      <c r="D3026" s="266">
        <v>296.02999999999997</v>
      </c>
    </row>
    <row r="3027" spans="1:4">
      <c r="A3027" s="261">
        <v>2003444</v>
      </c>
      <c r="B3027" s="265" t="s">
        <v>14325</v>
      </c>
      <c r="C3027" s="261" t="s">
        <v>97</v>
      </c>
      <c r="D3027" s="266">
        <v>227.18</v>
      </c>
    </row>
    <row r="3028" spans="1:4">
      <c r="A3028" s="261">
        <v>2003447</v>
      </c>
      <c r="B3028" s="265" t="s">
        <v>14326</v>
      </c>
      <c r="C3028" s="261" t="s">
        <v>97</v>
      </c>
      <c r="D3028" s="266">
        <v>365.12</v>
      </c>
    </row>
    <row r="3029" spans="1:4">
      <c r="A3029" s="261">
        <v>2003446</v>
      </c>
      <c r="B3029" s="265" t="s">
        <v>14327</v>
      </c>
      <c r="C3029" s="261" t="s">
        <v>97</v>
      </c>
      <c r="D3029" s="266">
        <v>280.07</v>
      </c>
    </row>
    <row r="3030" spans="1:4">
      <c r="A3030" s="261">
        <v>2004516</v>
      </c>
      <c r="B3030" s="265" t="s">
        <v>14328</v>
      </c>
      <c r="C3030" s="261" t="s">
        <v>6</v>
      </c>
      <c r="D3030" s="266">
        <v>30.18</v>
      </c>
    </row>
    <row r="3031" spans="1:4">
      <c r="A3031" s="261">
        <v>2004517</v>
      </c>
      <c r="B3031" s="265" t="s">
        <v>14329</v>
      </c>
      <c r="C3031" s="261" t="s">
        <v>6</v>
      </c>
      <c r="D3031" s="266">
        <v>60.57</v>
      </c>
    </row>
    <row r="3032" spans="1:4">
      <c r="A3032" s="261">
        <v>2007971</v>
      </c>
      <c r="B3032" s="265" t="s">
        <v>14330</v>
      </c>
      <c r="C3032" s="261" t="s">
        <v>6</v>
      </c>
      <c r="D3032" s="266">
        <v>103.42</v>
      </c>
    </row>
    <row r="3033" spans="1:4">
      <c r="A3033" s="261">
        <v>2008091</v>
      </c>
      <c r="B3033" s="265" t="s">
        <v>14331</v>
      </c>
      <c r="C3033" s="261" t="s">
        <v>6</v>
      </c>
      <c r="D3033" s="266">
        <v>117.51</v>
      </c>
    </row>
    <row r="3034" spans="1:4">
      <c r="A3034" s="261">
        <v>2006408</v>
      </c>
      <c r="B3034" s="265" t="s">
        <v>14332</v>
      </c>
      <c r="C3034" s="261" t="s">
        <v>6</v>
      </c>
      <c r="D3034" s="266">
        <v>97.7</v>
      </c>
    </row>
    <row r="3035" spans="1:4">
      <c r="A3035" s="261">
        <v>2015642</v>
      </c>
      <c r="B3035" s="265" t="s">
        <v>14333</v>
      </c>
      <c r="C3035" s="261" t="s">
        <v>6</v>
      </c>
      <c r="D3035" s="266">
        <v>154.61000000000001</v>
      </c>
    </row>
    <row r="3036" spans="1:4">
      <c r="A3036" s="261">
        <v>2015641</v>
      </c>
      <c r="B3036" s="265" t="s">
        <v>14334</v>
      </c>
      <c r="C3036" s="261" t="s">
        <v>6</v>
      </c>
      <c r="D3036" s="266">
        <v>124.18</v>
      </c>
    </row>
    <row r="3037" spans="1:4">
      <c r="A3037" s="261">
        <v>2004509</v>
      </c>
      <c r="B3037" s="265" t="s">
        <v>14335</v>
      </c>
      <c r="C3037" s="261" t="s">
        <v>6</v>
      </c>
      <c r="D3037" s="266">
        <v>31.2</v>
      </c>
    </row>
    <row r="3038" spans="1:4">
      <c r="A3038" s="261">
        <v>2004510</v>
      </c>
      <c r="B3038" s="265" t="s">
        <v>14336</v>
      </c>
      <c r="C3038" s="261" t="s">
        <v>6</v>
      </c>
      <c r="D3038" s="266">
        <v>36.89</v>
      </c>
    </row>
    <row r="3039" spans="1:4">
      <c r="A3039" s="261">
        <v>2004511</v>
      </c>
      <c r="B3039" s="265" t="s">
        <v>14337</v>
      </c>
      <c r="C3039" s="261" t="s">
        <v>6</v>
      </c>
      <c r="D3039" s="266">
        <v>48.26</v>
      </c>
    </row>
    <row r="3040" spans="1:4">
      <c r="A3040" s="261">
        <v>2004512</v>
      </c>
      <c r="B3040" s="265" t="s">
        <v>14338</v>
      </c>
      <c r="C3040" s="261" t="s">
        <v>6</v>
      </c>
      <c r="D3040" s="266">
        <v>62.47</v>
      </c>
    </row>
    <row r="3041" spans="1:4">
      <c r="A3041" s="261">
        <v>2003843</v>
      </c>
      <c r="B3041" s="265" t="s">
        <v>14339</v>
      </c>
      <c r="C3041" s="261" t="s">
        <v>6</v>
      </c>
      <c r="D3041" s="266">
        <v>313.63</v>
      </c>
    </row>
    <row r="3042" spans="1:4">
      <c r="A3042" s="261">
        <v>2003915</v>
      </c>
      <c r="B3042" s="265" t="s">
        <v>14340</v>
      </c>
      <c r="C3042" s="261" t="s">
        <v>6</v>
      </c>
      <c r="D3042" s="266">
        <v>111.72</v>
      </c>
    </row>
    <row r="3043" spans="1:4">
      <c r="A3043" s="261">
        <v>2003914</v>
      </c>
      <c r="B3043" s="265" t="s">
        <v>14341</v>
      </c>
      <c r="C3043" s="261" t="s">
        <v>6</v>
      </c>
      <c r="D3043" s="266">
        <v>102.89</v>
      </c>
    </row>
    <row r="3044" spans="1:4">
      <c r="A3044" s="261">
        <v>2003589</v>
      </c>
      <c r="B3044" s="265" t="s">
        <v>14342</v>
      </c>
      <c r="C3044" s="261" t="s">
        <v>6</v>
      </c>
      <c r="D3044" s="266">
        <v>117.57</v>
      </c>
    </row>
    <row r="3045" spans="1:4">
      <c r="A3045" s="261">
        <v>2003588</v>
      </c>
      <c r="B3045" s="265" t="s">
        <v>14343</v>
      </c>
      <c r="C3045" s="261" t="s">
        <v>6</v>
      </c>
      <c r="D3045" s="266">
        <v>111.14</v>
      </c>
    </row>
    <row r="3046" spans="1:4">
      <c r="A3046" s="261">
        <v>2003917</v>
      </c>
      <c r="B3046" s="265" t="s">
        <v>14344</v>
      </c>
      <c r="C3046" s="261" t="s">
        <v>6</v>
      </c>
      <c r="D3046" s="266">
        <v>126.48</v>
      </c>
    </row>
    <row r="3047" spans="1:4">
      <c r="A3047" s="261">
        <v>2003916</v>
      </c>
      <c r="B3047" s="265" t="s">
        <v>14345</v>
      </c>
      <c r="C3047" s="261" t="s">
        <v>6</v>
      </c>
      <c r="D3047" s="266">
        <v>117.64</v>
      </c>
    </row>
    <row r="3048" spans="1:4">
      <c r="A3048" s="261">
        <v>2003591</v>
      </c>
      <c r="B3048" s="265" t="s">
        <v>14346</v>
      </c>
      <c r="C3048" s="261" t="s">
        <v>6</v>
      </c>
      <c r="D3048" s="266">
        <v>132.32</v>
      </c>
    </row>
    <row r="3049" spans="1:4">
      <c r="A3049" s="261">
        <v>2003590</v>
      </c>
      <c r="B3049" s="265" t="s">
        <v>14347</v>
      </c>
      <c r="C3049" s="261" t="s">
        <v>6</v>
      </c>
      <c r="D3049" s="266">
        <v>125.9</v>
      </c>
    </row>
    <row r="3050" spans="1:4">
      <c r="A3050" s="261">
        <v>2003593</v>
      </c>
      <c r="B3050" s="265" t="s">
        <v>14348</v>
      </c>
      <c r="C3050" s="261" t="s">
        <v>6</v>
      </c>
      <c r="D3050" s="266">
        <v>79.47</v>
      </c>
    </row>
    <row r="3051" spans="1:4">
      <c r="A3051" s="261">
        <v>2003592</v>
      </c>
      <c r="B3051" s="265" t="s">
        <v>14349</v>
      </c>
      <c r="C3051" s="261" t="s">
        <v>6</v>
      </c>
      <c r="D3051" s="266">
        <v>70.290000000000006</v>
      </c>
    </row>
    <row r="3052" spans="1:4">
      <c r="A3052" s="261">
        <v>2003595</v>
      </c>
      <c r="B3052" s="265" t="s">
        <v>14350</v>
      </c>
      <c r="C3052" s="261" t="s">
        <v>6</v>
      </c>
      <c r="D3052" s="266">
        <v>64.709999999999994</v>
      </c>
    </row>
    <row r="3053" spans="1:4">
      <c r="A3053" s="261">
        <v>2003594</v>
      </c>
      <c r="B3053" s="265" t="s">
        <v>14351</v>
      </c>
      <c r="C3053" s="261" t="s">
        <v>6</v>
      </c>
      <c r="D3053" s="266">
        <v>55.53</v>
      </c>
    </row>
    <row r="3054" spans="1:4">
      <c r="A3054" s="261">
        <v>2003597</v>
      </c>
      <c r="B3054" s="265" t="s">
        <v>14352</v>
      </c>
      <c r="C3054" s="261" t="s">
        <v>6</v>
      </c>
      <c r="D3054" s="266">
        <v>113.88</v>
      </c>
    </row>
    <row r="3055" spans="1:4">
      <c r="A3055" s="261">
        <v>2003596</v>
      </c>
      <c r="B3055" s="265" t="s">
        <v>14353</v>
      </c>
      <c r="C3055" s="261" t="s">
        <v>6</v>
      </c>
      <c r="D3055" s="266">
        <v>96.31</v>
      </c>
    </row>
    <row r="3056" spans="1:4">
      <c r="A3056" s="261">
        <v>2003572</v>
      </c>
      <c r="B3056" s="265" t="s">
        <v>14354</v>
      </c>
      <c r="C3056" s="261" t="s">
        <v>6</v>
      </c>
      <c r="D3056" s="266">
        <v>126.6</v>
      </c>
    </row>
    <row r="3057" spans="1:4">
      <c r="A3057" s="261">
        <v>2003580</v>
      </c>
      <c r="B3057" s="265" t="s">
        <v>14355</v>
      </c>
      <c r="C3057" s="261" t="s">
        <v>6</v>
      </c>
      <c r="D3057" s="266">
        <v>66.709999999999994</v>
      </c>
    </row>
    <row r="3058" spans="1:4">
      <c r="A3058" s="261">
        <v>2003573</v>
      </c>
      <c r="B3058" s="265" t="s">
        <v>14356</v>
      </c>
      <c r="C3058" s="261" t="s">
        <v>6</v>
      </c>
      <c r="D3058" s="266">
        <v>133.57</v>
      </c>
    </row>
    <row r="3059" spans="1:4">
      <c r="A3059" s="261">
        <v>2003581</v>
      </c>
      <c r="B3059" s="265" t="s">
        <v>14357</v>
      </c>
      <c r="C3059" s="261" t="s">
        <v>6</v>
      </c>
      <c r="D3059" s="266">
        <v>64.319999999999993</v>
      </c>
    </row>
    <row r="3060" spans="1:4" ht="31.5">
      <c r="A3060" s="261">
        <v>2003561</v>
      </c>
      <c r="B3060" s="265" t="s">
        <v>14358</v>
      </c>
      <c r="C3060" s="261" t="s">
        <v>6</v>
      </c>
      <c r="D3060" s="266">
        <v>202.96</v>
      </c>
    </row>
    <row r="3061" spans="1:4" ht="31.5">
      <c r="A3061" s="261">
        <v>2003560</v>
      </c>
      <c r="B3061" s="265" t="s">
        <v>14359</v>
      </c>
      <c r="C3061" s="261" t="s">
        <v>6</v>
      </c>
      <c r="D3061" s="266">
        <v>125.5</v>
      </c>
    </row>
    <row r="3062" spans="1:4">
      <c r="A3062" s="261">
        <v>2003574</v>
      </c>
      <c r="B3062" s="265" t="s">
        <v>14360</v>
      </c>
      <c r="C3062" s="261" t="s">
        <v>6</v>
      </c>
      <c r="D3062" s="266">
        <v>183.52</v>
      </c>
    </row>
    <row r="3063" spans="1:4" ht="31.5">
      <c r="A3063" s="261">
        <v>2003582</v>
      </c>
      <c r="B3063" s="265" t="s">
        <v>14361</v>
      </c>
      <c r="C3063" s="261" t="s">
        <v>6</v>
      </c>
      <c r="D3063" s="266">
        <v>124.79</v>
      </c>
    </row>
    <row r="3064" spans="1:4" ht="31.5">
      <c r="A3064" s="261">
        <v>2003563</v>
      </c>
      <c r="B3064" s="265" t="s">
        <v>14362</v>
      </c>
      <c r="C3064" s="261" t="s">
        <v>6</v>
      </c>
      <c r="D3064" s="266">
        <v>213.22</v>
      </c>
    </row>
    <row r="3065" spans="1:4" ht="31.5">
      <c r="A3065" s="261">
        <v>2003562</v>
      </c>
      <c r="B3065" s="265" t="s">
        <v>14363</v>
      </c>
      <c r="C3065" s="261" t="s">
        <v>6</v>
      </c>
      <c r="D3065" s="266">
        <v>121.73</v>
      </c>
    </row>
    <row r="3066" spans="1:4">
      <c r="A3066" s="261">
        <v>2003575</v>
      </c>
      <c r="B3066" s="265" t="s">
        <v>14364</v>
      </c>
      <c r="C3066" s="261" t="s">
        <v>6</v>
      </c>
      <c r="D3066" s="266">
        <v>190.7</v>
      </c>
    </row>
    <row r="3067" spans="1:4" ht="31.5">
      <c r="A3067" s="261">
        <v>2003583</v>
      </c>
      <c r="B3067" s="265" t="s">
        <v>14365</v>
      </c>
      <c r="C3067" s="261" t="s">
        <v>6</v>
      </c>
      <c r="D3067" s="266">
        <v>122.15</v>
      </c>
    </row>
    <row r="3068" spans="1:4">
      <c r="A3068" s="261">
        <v>2003565</v>
      </c>
      <c r="B3068" s="265" t="s">
        <v>14366</v>
      </c>
      <c r="C3068" s="261" t="s">
        <v>6</v>
      </c>
      <c r="D3068" s="266">
        <v>116.64</v>
      </c>
    </row>
    <row r="3069" spans="1:4">
      <c r="A3069" s="261">
        <v>2003564</v>
      </c>
      <c r="B3069" s="265" t="s">
        <v>14367</v>
      </c>
      <c r="C3069" s="261" t="s">
        <v>6</v>
      </c>
      <c r="D3069" s="266">
        <v>88.17</v>
      </c>
    </row>
    <row r="3070" spans="1:4">
      <c r="A3070" s="261">
        <v>2003567</v>
      </c>
      <c r="B3070" s="265" t="s">
        <v>14368</v>
      </c>
      <c r="C3070" s="261" t="s">
        <v>6</v>
      </c>
      <c r="D3070" s="266">
        <v>129.21</v>
      </c>
    </row>
    <row r="3071" spans="1:4">
      <c r="A3071" s="261">
        <v>2003566</v>
      </c>
      <c r="B3071" s="265" t="s">
        <v>14369</v>
      </c>
      <c r="C3071" s="261" t="s">
        <v>6</v>
      </c>
      <c r="D3071" s="266">
        <v>94.78</v>
      </c>
    </row>
    <row r="3072" spans="1:4">
      <c r="A3072" s="261">
        <v>2003569</v>
      </c>
      <c r="B3072" s="265" t="s">
        <v>14370</v>
      </c>
      <c r="C3072" s="261" t="s">
        <v>6</v>
      </c>
      <c r="D3072" s="266">
        <v>163.4</v>
      </c>
    </row>
    <row r="3073" spans="1:4">
      <c r="A3073" s="261">
        <v>2003568</v>
      </c>
      <c r="B3073" s="265" t="s">
        <v>14371</v>
      </c>
      <c r="C3073" s="261" t="s">
        <v>6</v>
      </c>
      <c r="D3073" s="266">
        <v>135.28</v>
      </c>
    </row>
    <row r="3074" spans="1:4">
      <c r="A3074" s="261">
        <v>2003578</v>
      </c>
      <c r="B3074" s="265" t="s">
        <v>14372</v>
      </c>
      <c r="C3074" s="261" t="s">
        <v>6</v>
      </c>
      <c r="D3074" s="266">
        <v>158.27000000000001</v>
      </c>
    </row>
    <row r="3075" spans="1:4">
      <c r="A3075" s="261">
        <v>2003586</v>
      </c>
      <c r="B3075" s="265" t="s">
        <v>14373</v>
      </c>
      <c r="C3075" s="261" t="s">
        <v>6</v>
      </c>
      <c r="D3075" s="266">
        <v>135.66999999999999</v>
      </c>
    </row>
    <row r="3076" spans="1:4">
      <c r="A3076" s="261">
        <v>2003571</v>
      </c>
      <c r="B3076" s="265" t="s">
        <v>14374</v>
      </c>
      <c r="C3076" s="261" t="s">
        <v>6</v>
      </c>
      <c r="D3076" s="266">
        <v>175.97</v>
      </c>
    </row>
    <row r="3077" spans="1:4">
      <c r="A3077" s="261">
        <v>2003570</v>
      </c>
      <c r="B3077" s="265" t="s">
        <v>14375</v>
      </c>
      <c r="C3077" s="261" t="s">
        <v>6</v>
      </c>
      <c r="D3077" s="266">
        <v>141.88</v>
      </c>
    </row>
    <row r="3078" spans="1:4">
      <c r="A3078" s="261">
        <v>2003579</v>
      </c>
      <c r="B3078" s="265" t="s">
        <v>14376</v>
      </c>
      <c r="C3078" s="261" t="s">
        <v>6</v>
      </c>
      <c r="D3078" s="266">
        <v>168.99</v>
      </c>
    </row>
    <row r="3079" spans="1:4">
      <c r="A3079" s="261">
        <v>2003587</v>
      </c>
      <c r="B3079" s="265" t="s">
        <v>14377</v>
      </c>
      <c r="C3079" s="261" t="s">
        <v>6</v>
      </c>
      <c r="D3079" s="266">
        <v>141.80000000000001</v>
      </c>
    </row>
    <row r="3080" spans="1:4">
      <c r="A3080" s="261">
        <v>2004506</v>
      </c>
      <c r="B3080" s="265" t="s">
        <v>14378</v>
      </c>
      <c r="C3080" s="261" t="s">
        <v>6</v>
      </c>
      <c r="D3080" s="266">
        <v>55.37</v>
      </c>
    </row>
    <row r="3081" spans="1:4">
      <c r="A3081" s="261">
        <v>2004507</v>
      </c>
      <c r="B3081" s="265" t="s">
        <v>14379</v>
      </c>
      <c r="C3081" s="261" t="s">
        <v>6</v>
      </c>
      <c r="D3081" s="266">
        <v>73.209999999999994</v>
      </c>
    </row>
    <row r="3082" spans="1:4">
      <c r="A3082" s="261">
        <v>2003614</v>
      </c>
      <c r="B3082" s="265" t="s">
        <v>14380</v>
      </c>
      <c r="C3082" s="261" t="s">
        <v>6</v>
      </c>
      <c r="D3082" s="266">
        <v>141.81</v>
      </c>
    </row>
    <row r="3083" spans="1:4">
      <c r="A3083" s="261">
        <v>2003865</v>
      </c>
      <c r="B3083" s="265" t="s">
        <v>14381</v>
      </c>
      <c r="C3083" s="261" t="s">
        <v>6</v>
      </c>
      <c r="D3083" s="266">
        <v>156.62</v>
      </c>
    </row>
    <row r="3084" spans="1:4">
      <c r="A3084" s="261">
        <v>2003923</v>
      </c>
      <c r="B3084" s="265" t="s">
        <v>14382</v>
      </c>
      <c r="C3084" s="261" t="s">
        <v>6</v>
      </c>
      <c r="D3084" s="266">
        <v>58.36</v>
      </c>
    </row>
    <row r="3085" spans="1:4">
      <c r="A3085" s="261">
        <v>2003922</v>
      </c>
      <c r="B3085" s="265" t="s">
        <v>14383</v>
      </c>
      <c r="C3085" s="261" t="s">
        <v>6</v>
      </c>
      <c r="D3085" s="266">
        <v>37.24</v>
      </c>
    </row>
    <row r="3086" spans="1:4">
      <c r="A3086" s="261">
        <v>2003605</v>
      </c>
      <c r="B3086" s="265" t="s">
        <v>14384</v>
      </c>
      <c r="C3086" s="261" t="s">
        <v>6</v>
      </c>
      <c r="D3086" s="266">
        <v>43.99</v>
      </c>
    </row>
    <row r="3087" spans="1:4">
      <c r="A3087" s="261">
        <v>2003604</v>
      </c>
      <c r="B3087" s="265" t="s">
        <v>14385</v>
      </c>
      <c r="C3087" s="261" t="s">
        <v>6</v>
      </c>
      <c r="D3087" s="266">
        <v>25.28</v>
      </c>
    </row>
    <row r="3088" spans="1:4">
      <c r="A3088" s="261">
        <v>2003607</v>
      </c>
      <c r="B3088" s="265" t="s">
        <v>14386</v>
      </c>
      <c r="C3088" s="261" t="s">
        <v>6</v>
      </c>
      <c r="D3088" s="266">
        <v>36.61</v>
      </c>
    </row>
    <row r="3089" spans="1:4">
      <c r="A3089" s="261">
        <v>2003606</v>
      </c>
      <c r="B3089" s="265" t="s">
        <v>14387</v>
      </c>
      <c r="C3089" s="261" t="s">
        <v>6</v>
      </c>
      <c r="D3089" s="266">
        <v>29.26</v>
      </c>
    </row>
    <row r="3090" spans="1:4">
      <c r="A3090" s="261">
        <v>2003609</v>
      </c>
      <c r="B3090" s="265" t="s">
        <v>14388</v>
      </c>
      <c r="C3090" s="261" t="s">
        <v>6</v>
      </c>
      <c r="D3090" s="266">
        <v>20.74</v>
      </c>
    </row>
    <row r="3091" spans="1:4">
      <c r="A3091" s="261">
        <v>2003608</v>
      </c>
      <c r="B3091" s="265" t="s">
        <v>14389</v>
      </c>
      <c r="C3091" s="261" t="s">
        <v>6</v>
      </c>
      <c r="D3091" s="266">
        <v>13.4</v>
      </c>
    </row>
    <row r="3092" spans="1:4">
      <c r="A3092" s="261">
        <v>2003925</v>
      </c>
      <c r="B3092" s="265" t="s">
        <v>14390</v>
      </c>
      <c r="C3092" s="261" t="s">
        <v>6</v>
      </c>
      <c r="D3092" s="266">
        <v>72.959999999999994</v>
      </c>
    </row>
    <row r="3093" spans="1:4">
      <c r="A3093" s="261">
        <v>2003924</v>
      </c>
      <c r="B3093" s="265" t="s">
        <v>14391</v>
      </c>
      <c r="C3093" s="261" t="s">
        <v>6</v>
      </c>
      <c r="D3093" s="266">
        <v>63.21</v>
      </c>
    </row>
    <row r="3094" spans="1:4">
      <c r="A3094" s="261">
        <v>2003611</v>
      </c>
      <c r="B3094" s="265" t="s">
        <v>14392</v>
      </c>
      <c r="C3094" s="261" t="s">
        <v>6</v>
      </c>
      <c r="D3094" s="266">
        <v>58.59</v>
      </c>
    </row>
    <row r="3095" spans="1:4">
      <c r="A3095" s="261">
        <v>2003610</v>
      </c>
      <c r="B3095" s="265" t="s">
        <v>14393</v>
      </c>
      <c r="C3095" s="261" t="s">
        <v>6</v>
      </c>
      <c r="D3095" s="266">
        <v>51.25</v>
      </c>
    </row>
    <row r="3096" spans="1:4">
      <c r="A3096" s="261">
        <v>2003820</v>
      </c>
      <c r="B3096" s="265" t="s">
        <v>14394</v>
      </c>
      <c r="C3096" s="261" t="s">
        <v>97</v>
      </c>
      <c r="D3096" s="266">
        <v>19.670000000000002</v>
      </c>
    </row>
    <row r="3097" spans="1:4">
      <c r="A3097" s="261">
        <v>2003821</v>
      </c>
      <c r="B3097" s="265" t="s">
        <v>14395</v>
      </c>
      <c r="C3097" s="261" t="s">
        <v>97</v>
      </c>
      <c r="D3097" s="266">
        <v>16.739999999999998</v>
      </c>
    </row>
    <row r="3098" spans="1:4">
      <c r="A3098" s="261">
        <v>2003842</v>
      </c>
      <c r="B3098" s="265" t="s">
        <v>14396</v>
      </c>
      <c r="C3098" s="261" t="s">
        <v>10</v>
      </c>
      <c r="D3098" s="266">
        <v>73.459999999999994</v>
      </c>
    </row>
    <row r="3099" spans="1:4">
      <c r="A3099" s="261">
        <v>2003385</v>
      </c>
      <c r="B3099" s="265" t="s">
        <v>14397</v>
      </c>
      <c r="C3099" s="261" t="s">
        <v>97</v>
      </c>
      <c r="D3099" s="266">
        <v>52.92</v>
      </c>
    </row>
    <row r="3100" spans="1:4">
      <c r="A3100" s="261">
        <v>2003384</v>
      </c>
      <c r="B3100" s="265" t="s">
        <v>14398</v>
      </c>
      <c r="C3100" s="261" t="s">
        <v>97</v>
      </c>
      <c r="D3100" s="266">
        <v>41.3</v>
      </c>
    </row>
    <row r="3101" spans="1:4">
      <c r="A3101" s="261">
        <v>2003387</v>
      </c>
      <c r="B3101" s="265" t="s">
        <v>14399</v>
      </c>
      <c r="C3101" s="261" t="s">
        <v>97</v>
      </c>
      <c r="D3101" s="266">
        <v>65.2</v>
      </c>
    </row>
    <row r="3102" spans="1:4">
      <c r="A3102" s="261">
        <v>2003386</v>
      </c>
      <c r="B3102" s="265" t="s">
        <v>14400</v>
      </c>
      <c r="C3102" s="261" t="s">
        <v>97</v>
      </c>
      <c r="D3102" s="266">
        <v>50.42</v>
      </c>
    </row>
    <row r="3103" spans="1:4">
      <c r="A3103" s="261">
        <v>2003335</v>
      </c>
      <c r="B3103" s="265" t="s">
        <v>14401</v>
      </c>
      <c r="C3103" s="261" t="s">
        <v>97</v>
      </c>
      <c r="D3103" s="266">
        <v>1878.37</v>
      </c>
    </row>
    <row r="3104" spans="1:4">
      <c r="A3104" s="261">
        <v>2003334</v>
      </c>
      <c r="B3104" s="265" t="s">
        <v>14402</v>
      </c>
      <c r="C3104" s="261" t="s">
        <v>97</v>
      </c>
      <c r="D3104" s="266">
        <v>1666.03</v>
      </c>
    </row>
    <row r="3105" spans="1:4">
      <c r="A3105" s="261">
        <v>2003336</v>
      </c>
      <c r="B3105" s="265" t="s">
        <v>14403</v>
      </c>
      <c r="C3105" s="261" t="s">
        <v>97</v>
      </c>
      <c r="D3105" s="266">
        <v>1545.67</v>
      </c>
    </row>
    <row r="3106" spans="1:4">
      <c r="A3106" s="261">
        <v>2003337</v>
      </c>
      <c r="B3106" s="265" t="s">
        <v>14404</v>
      </c>
      <c r="C3106" s="261" t="s">
        <v>97</v>
      </c>
      <c r="D3106" s="266">
        <v>1334.49</v>
      </c>
    </row>
    <row r="3107" spans="1:4">
      <c r="A3107" s="261">
        <v>2003819</v>
      </c>
      <c r="B3107" s="265" t="s">
        <v>14405</v>
      </c>
      <c r="C3107" s="261" t="s">
        <v>6</v>
      </c>
      <c r="D3107" s="266">
        <v>6.86</v>
      </c>
    </row>
    <row r="3108" spans="1:4">
      <c r="A3108" s="261">
        <v>2004504</v>
      </c>
      <c r="B3108" s="265" t="s">
        <v>107</v>
      </c>
      <c r="C3108" s="261" t="s">
        <v>5</v>
      </c>
      <c r="D3108" s="266">
        <v>15.64</v>
      </c>
    </row>
    <row r="3109" spans="1:4" ht="31.5">
      <c r="A3109" s="261">
        <v>2004519</v>
      </c>
      <c r="B3109" s="265" t="s">
        <v>14406</v>
      </c>
      <c r="C3109" s="261" t="s">
        <v>5</v>
      </c>
      <c r="D3109" s="266">
        <v>28.27</v>
      </c>
    </row>
    <row r="3110" spans="1:4" ht="31.5">
      <c r="A3110" s="261">
        <v>2004520</v>
      </c>
      <c r="B3110" s="265" t="s">
        <v>14407</v>
      </c>
      <c r="C3110" s="261" t="s">
        <v>5</v>
      </c>
      <c r="D3110" s="266">
        <v>23.33</v>
      </c>
    </row>
    <row r="3111" spans="1:4" ht="31.5">
      <c r="A3111" s="261">
        <v>2004521</v>
      </c>
      <c r="B3111" s="265" t="s">
        <v>14408</v>
      </c>
      <c r="C3111" s="261" t="s">
        <v>5</v>
      </c>
      <c r="D3111" s="266">
        <v>15.95</v>
      </c>
    </row>
    <row r="3112" spans="1:4" ht="31.5">
      <c r="A3112" s="261">
        <v>2004522</v>
      </c>
      <c r="B3112" s="265" t="s">
        <v>14409</v>
      </c>
      <c r="C3112" s="261" t="s">
        <v>5</v>
      </c>
      <c r="D3112" s="266">
        <v>11.66</v>
      </c>
    </row>
    <row r="3113" spans="1:4" ht="31.5">
      <c r="A3113" s="261">
        <v>2004518</v>
      </c>
      <c r="B3113" s="265" t="s">
        <v>14410</v>
      </c>
      <c r="C3113" s="261" t="s">
        <v>5</v>
      </c>
      <c r="D3113" s="266">
        <v>49.11</v>
      </c>
    </row>
    <row r="3114" spans="1:4">
      <c r="A3114" s="261">
        <v>2003864</v>
      </c>
      <c r="B3114" s="265" t="s">
        <v>14411</v>
      </c>
      <c r="C3114" s="261" t="s">
        <v>28</v>
      </c>
      <c r="D3114" s="266">
        <v>11.6</v>
      </c>
    </row>
    <row r="3115" spans="1:4">
      <c r="A3115" s="261">
        <v>2003863</v>
      </c>
      <c r="B3115" s="265" t="s">
        <v>14412</v>
      </c>
      <c r="C3115" s="261" t="s">
        <v>28</v>
      </c>
      <c r="D3115" s="266">
        <v>22.8</v>
      </c>
    </row>
    <row r="3116" spans="1:4">
      <c r="A3116" s="261">
        <v>2004508</v>
      </c>
      <c r="B3116" s="265" t="s">
        <v>14413</v>
      </c>
      <c r="C3116" s="261" t="s">
        <v>6</v>
      </c>
      <c r="D3116" s="266">
        <v>13.47</v>
      </c>
    </row>
    <row r="3117" spans="1:4">
      <c r="A3117" s="261">
        <v>2003316</v>
      </c>
      <c r="B3117" s="265" t="s">
        <v>14414</v>
      </c>
      <c r="C3117" s="261" t="s">
        <v>97</v>
      </c>
      <c r="D3117" s="266">
        <v>105.81</v>
      </c>
    </row>
    <row r="3118" spans="1:4">
      <c r="A3118" s="261">
        <v>2003317</v>
      </c>
      <c r="B3118" s="265" t="s">
        <v>14415</v>
      </c>
      <c r="C3118" s="261" t="s">
        <v>97</v>
      </c>
      <c r="D3118" s="266">
        <v>101.96</v>
      </c>
    </row>
    <row r="3119" spans="1:4">
      <c r="A3119" s="261">
        <v>2003767</v>
      </c>
      <c r="B3119" s="265" t="s">
        <v>14416</v>
      </c>
      <c r="C3119" s="261" t="s">
        <v>5</v>
      </c>
      <c r="D3119" s="266">
        <v>113.85</v>
      </c>
    </row>
    <row r="3120" spans="1:4">
      <c r="A3120" s="261">
        <v>2003844</v>
      </c>
      <c r="B3120" s="265" t="s">
        <v>14417</v>
      </c>
      <c r="C3120" s="261" t="s">
        <v>5</v>
      </c>
      <c r="D3120" s="266">
        <v>110.29</v>
      </c>
    </row>
    <row r="3121" spans="1:4">
      <c r="A3121" s="261">
        <v>2003576</v>
      </c>
      <c r="B3121" s="265" t="s">
        <v>14418</v>
      </c>
      <c r="C3121" s="261" t="s">
        <v>5</v>
      </c>
      <c r="D3121" s="266">
        <v>15.98</v>
      </c>
    </row>
    <row r="3122" spans="1:4">
      <c r="A3122" s="261">
        <v>2003858</v>
      </c>
      <c r="B3122" s="265" t="s">
        <v>14419</v>
      </c>
      <c r="C3122" s="261" t="s">
        <v>5</v>
      </c>
      <c r="D3122" s="266">
        <v>12.42</v>
      </c>
    </row>
    <row r="3123" spans="1:4">
      <c r="A3123" s="261">
        <v>2003850</v>
      </c>
      <c r="B3123" s="265" t="s">
        <v>14420</v>
      </c>
      <c r="C3123" s="261" t="s">
        <v>5</v>
      </c>
      <c r="D3123" s="266">
        <v>122.66</v>
      </c>
    </row>
    <row r="3124" spans="1:4">
      <c r="A3124" s="261">
        <v>2003849</v>
      </c>
      <c r="B3124" s="265" t="s">
        <v>14421</v>
      </c>
      <c r="C3124" s="261" t="s">
        <v>5</v>
      </c>
      <c r="D3124" s="266">
        <v>75.17</v>
      </c>
    </row>
    <row r="3125" spans="1:4">
      <c r="A3125" s="261">
        <v>2003868</v>
      </c>
      <c r="B3125" s="265" t="s">
        <v>14422</v>
      </c>
      <c r="C3125" s="261" t="s">
        <v>5</v>
      </c>
      <c r="D3125" s="266">
        <v>114.07</v>
      </c>
    </row>
    <row r="3126" spans="1:4">
      <c r="A3126" s="261">
        <v>2003369</v>
      </c>
      <c r="B3126" s="265" t="s">
        <v>14423</v>
      </c>
      <c r="C3126" s="261" t="s">
        <v>6</v>
      </c>
      <c r="D3126" s="266">
        <v>113.12</v>
      </c>
    </row>
    <row r="3127" spans="1:4">
      <c r="A3127" s="261">
        <v>2003368</v>
      </c>
      <c r="B3127" s="265" t="s">
        <v>14424</v>
      </c>
      <c r="C3127" s="261" t="s">
        <v>6</v>
      </c>
      <c r="D3127" s="266">
        <v>102.3</v>
      </c>
    </row>
    <row r="3128" spans="1:4">
      <c r="A3128" s="261">
        <v>2003939</v>
      </c>
      <c r="B3128" s="265" t="s">
        <v>14425</v>
      </c>
      <c r="C3128" s="261" t="s">
        <v>6</v>
      </c>
      <c r="D3128" s="266">
        <v>70.27</v>
      </c>
    </row>
    <row r="3129" spans="1:4">
      <c r="A3129" s="261">
        <v>2003940</v>
      </c>
      <c r="B3129" s="265" t="s">
        <v>14426</v>
      </c>
      <c r="C3129" s="261" t="s">
        <v>6</v>
      </c>
      <c r="D3129" s="266">
        <v>59.39</v>
      </c>
    </row>
    <row r="3130" spans="1:4">
      <c r="A3130" s="261">
        <v>2003371</v>
      </c>
      <c r="B3130" s="265" t="s">
        <v>14427</v>
      </c>
      <c r="C3130" s="261" t="s">
        <v>6</v>
      </c>
      <c r="D3130" s="266">
        <v>82.93</v>
      </c>
    </row>
    <row r="3131" spans="1:4">
      <c r="A3131" s="261">
        <v>2003370</v>
      </c>
      <c r="B3131" s="265" t="s">
        <v>14428</v>
      </c>
      <c r="C3131" s="261" t="s">
        <v>6</v>
      </c>
      <c r="D3131" s="266">
        <v>73.790000000000006</v>
      </c>
    </row>
    <row r="3132" spans="1:4">
      <c r="A3132" s="261">
        <v>2003941</v>
      </c>
      <c r="B3132" s="265" t="s">
        <v>14429</v>
      </c>
      <c r="C3132" s="261" t="s">
        <v>6</v>
      </c>
      <c r="D3132" s="266">
        <v>60.16</v>
      </c>
    </row>
    <row r="3133" spans="1:4">
      <c r="A3133" s="261">
        <v>2003942</v>
      </c>
      <c r="B3133" s="265" t="s">
        <v>14430</v>
      </c>
      <c r="C3133" s="261" t="s">
        <v>6</v>
      </c>
      <c r="D3133" s="266">
        <v>50.98</v>
      </c>
    </row>
    <row r="3134" spans="1:4">
      <c r="A3134" s="261">
        <v>2003373</v>
      </c>
      <c r="B3134" s="265" t="s">
        <v>14431</v>
      </c>
      <c r="C3134" s="261" t="s">
        <v>6</v>
      </c>
      <c r="D3134" s="266">
        <v>66.349999999999994</v>
      </c>
    </row>
    <row r="3135" spans="1:4">
      <c r="A3135" s="261">
        <v>2003372</v>
      </c>
      <c r="B3135" s="265" t="s">
        <v>14432</v>
      </c>
      <c r="C3135" s="261" t="s">
        <v>6</v>
      </c>
      <c r="D3135" s="266">
        <v>61.92</v>
      </c>
    </row>
    <row r="3136" spans="1:4">
      <c r="A3136" s="261">
        <v>2003943</v>
      </c>
      <c r="B3136" s="265" t="s">
        <v>14433</v>
      </c>
      <c r="C3136" s="261" t="s">
        <v>6</v>
      </c>
      <c r="D3136" s="266">
        <v>28.27</v>
      </c>
    </row>
    <row r="3137" spans="1:4">
      <c r="A3137" s="261">
        <v>2003944</v>
      </c>
      <c r="B3137" s="265" t="s">
        <v>14434</v>
      </c>
      <c r="C3137" s="261" t="s">
        <v>6</v>
      </c>
      <c r="D3137" s="266">
        <v>23.81</v>
      </c>
    </row>
    <row r="3138" spans="1:4">
      <c r="A3138" s="261">
        <v>2003375</v>
      </c>
      <c r="B3138" s="265" t="s">
        <v>14435</v>
      </c>
      <c r="C3138" s="261" t="s">
        <v>6</v>
      </c>
      <c r="D3138" s="266">
        <v>42.61</v>
      </c>
    </row>
    <row r="3139" spans="1:4">
      <c r="A3139" s="261">
        <v>2003374</v>
      </c>
      <c r="B3139" s="265" t="s">
        <v>14436</v>
      </c>
      <c r="C3139" s="261" t="s">
        <v>6</v>
      </c>
      <c r="D3139" s="266">
        <v>39.35</v>
      </c>
    </row>
    <row r="3140" spans="1:4">
      <c r="A3140" s="261">
        <v>2003945</v>
      </c>
      <c r="B3140" s="265" t="s">
        <v>14437</v>
      </c>
      <c r="C3140" s="261" t="s">
        <v>6</v>
      </c>
      <c r="D3140" s="266">
        <v>21.22</v>
      </c>
    </row>
    <row r="3141" spans="1:4">
      <c r="A3141" s="261">
        <v>2003946</v>
      </c>
      <c r="B3141" s="265" t="s">
        <v>14438</v>
      </c>
      <c r="C3141" s="261" t="s">
        <v>6</v>
      </c>
      <c r="D3141" s="266">
        <v>17.940000000000001</v>
      </c>
    </row>
    <row r="3142" spans="1:4">
      <c r="A3142" s="261">
        <v>2003377</v>
      </c>
      <c r="B3142" s="265" t="s">
        <v>14439</v>
      </c>
      <c r="C3142" s="261" t="s">
        <v>6</v>
      </c>
      <c r="D3142" s="266">
        <v>57.79</v>
      </c>
    </row>
    <row r="3143" spans="1:4">
      <c r="A3143" s="261">
        <v>2003376</v>
      </c>
      <c r="B3143" s="265" t="s">
        <v>14440</v>
      </c>
      <c r="C3143" s="261" t="s">
        <v>6</v>
      </c>
      <c r="D3143" s="266">
        <v>54.26</v>
      </c>
    </row>
    <row r="3144" spans="1:4">
      <c r="A3144" s="261">
        <v>2003947</v>
      </c>
      <c r="B3144" s="265" t="s">
        <v>14441</v>
      </c>
      <c r="C3144" s="261" t="s">
        <v>6</v>
      </c>
      <c r="D3144" s="266">
        <v>22.17</v>
      </c>
    </row>
    <row r="3145" spans="1:4">
      <c r="A3145" s="261">
        <v>2003948</v>
      </c>
      <c r="B3145" s="265" t="s">
        <v>14442</v>
      </c>
      <c r="C3145" s="261" t="s">
        <v>6</v>
      </c>
      <c r="D3145" s="266">
        <v>18.63</v>
      </c>
    </row>
    <row r="3146" spans="1:4">
      <c r="A3146" s="261">
        <v>2003379</v>
      </c>
      <c r="B3146" s="265" t="s">
        <v>14443</v>
      </c>
      <c r="C3146" s="261" t="s">
        <v>6</v>
      </c>
      <c r="D3146" s="266">
        <v>33.229999999999997</v>
      </c>
    </row>
    <row r="3147" spans="1:4">
      <c r="A3147" s="261">
        <v>2003378</v>
      </c>
      <c r="B3147" s="265" t="s">
        <v>14444</v>
      </c>
      <c r="C3147" s="261" t="s">
        <v>6</v>
      </c>
      <c r="D3147" s="266">
        <v>30.85</v>
      </c>
    </row>
    <row r="3148" spans="1:4">
      <c r="A3148" s="261">
        <v>2003949</v>
      </c>
      <c r="B3148" s="265" t="s">
        <v>14445</v>
      </c>
      <c r="C3148" s="261" t="s">
        <v>6</v>
      </c>
      <c r="D3148" s="266">
        <v>15.25</v>
      </c>
    </row>
    <row r="3149" spans="1:4">
      <c r="A3149" s="261">
        <v>2003950</v>
      </c>
      <c r="B3149" s="265" t="s">
        <v>14446</v>
      </c>
      <c r="C3149" s="261" t="s">
        <v>6</v>
      </c>
      <c r="D3149" s="266">
        <v>12.86</v>
      </c>
    </row>
    <row r="3150" spans="1:4">
      <c r="A3150" s="261">
        <v>2003381</v>
      </c>
      <c r="B3150" s="265" t="s">
        <v>14447</v>
      </c>
      <c r="C3150" s="261" t="s">
        <v>6</v>
      </c>
      <c r="D3150" s="266">
        <v>55.7</v>
      </c>
    </row>
    <row r="3151" spans="1:4">
      <c r="A3151" s="261">
        <v>2003380</v>
      </c>
      <c r="B3151" s="265" t="s">
        <v>14448</v>
      </c>
      <c r="C3151" s="261" t="s">
        <v>6</v>
      </c>
      <c r="D3151" s="266">
        <v>51.62</v>
      </c>
    </row>
    <row r="3152" spans="1:4">
      <c r="A3152" s="261">
        <v>2003951</v>
      </c>
      <c r="B3152" s="265" t="s">
        <v>14449</v>
      </c>
      <c r="C3152" s="261" t="s">
        <v>6</v>
      </c>
      <c r="D3152" s="266">
        <v>25.92</v>
      </c>
    </row>
    <row r="3153" spans="1:4">
      <c r="A3153" s="261">
        <v>2003952</v>
      </c>
      <c r="B3153" s="265" t="s">
        <v>14450</v>
      </c>
      <c r="C3153" s="261" t="s">
        <v>6</v>
      </c>
      <c r="D3153" s="266">
        <v>21.82</v>
      </c>
    </row>
    <row r="3154" spans="1:4">
      <c r="A3154" s="261">
        <v>2003383</v>
      </c>
      <c r="B3154" s="265" t="s">
        <v>14451</v>
      </c>
      <c r="C3154" s="261" t="s">
        <v>6</v>
      </c>
      <c r="D3154" s="266">
        <v>93.44</v>
      </c>
    </row>
    <row r="3155" spans="1:4">
      <c r="A3155" s="261">
        <v>2003382</v>
      </c>
      <c r="B3155" s="265" t="s">
        <v>14452</v>
      </c>
      <c r="C3155" s="261" t="s">
        <v>6</v>
      </c>
      <c r="D3155" s="266">
        <v>85.82</v>
      </c>
    </row>
    <row r="3156" spans="1:4">
      <c r="A3156" s="261">
        <v>2003953</v>
      </c>
      <c r="B3156" s="265" t="s">
        <v>14453</v>
      </c>
      <c r="C3156" s="261" t="s">
        <v>6</v>
      </c>
      <c r="D3156" s="266">
        <v>46.92</v>
      </c>
    </row>
    <row r="3157" spans="1:4">
      <c r="A3157" s="261">
        <v>2003954</v>
      </c>
      <c r="B3157" s="265" t="s">
        <v>14454</v>
      </c>
      <c r="C3157" s="261" t="s">
        <v>6</v>
      </c>
      <c r="D3157" s="266">
        <v>39.28</v>
      </c>
    </row>
    <row r="3158" spans="1:4">
      <c r="A3158" s="261">
        <v>2004514</v>
      </c>
      <c r="B3158" s="265" t="s">
        <v>14455</v>
      </c>
      <c r="C3158" s="261" t="s">
        <v>6</v>
      </c>
      <c r="D3158" s="266">
        <v>14.58</v>
      </c>
    </row>
    <row r="3159" spans="1:4">
      <c r="A3159" s="261">
        <v>2004515</v>
      </c>
      <c r="B3159" s="265" t="s">
        <v>14456</v>
      </c>
      <c r="C3159" s="261" t="s">
        <v>6</v>
      </c>
      <c r="D3159" s="266">
        <v>36.85</v>
      </c>
    </row>
    <row r="3160" spans="1:4">
      <c r="A3160" s="261">
        <v>2005759</v>
      </c>
      <c r="B3160" s="265" t="s">
        <v>14457</v>
      </c>
      <c r="C3160" s="261" t="s">
        <v>6</v>
      </c>
      <c r="D3160" s="266">
        <v>49.56</v>
      </c>
    </row>
    <row r="3161" spans="1:4">
      <c r="A3161" s="261">
        <v>2005764</v>
      </c>
      <c r="B3161" s="265" t="s">
        <v>14458</v>
      </c>
      <c r="C3161" s="261" t="s">
        <v>6</v>
      </c>
      <c r="D3161" s="266">
        <v>64.37</v>
      </c>
    </row>
    <row r="3162" spans="1:4">
      <c r="A3162" s="261">
        <v>2003678</v>
      </c>
      <c r="B3162" s="265" t="s">
        <v>14459</v>
      </c>
      <c r="C3162" s="261" t="s">
        <v>97</v>
      </c>
      <c r="D3162" s="266">
        <v>2134.1999999999998</v>
      </c>
    </row>
    <row r="3163" spans="1:4">
      <c r="A3163" s="261">
        <v>2003677</v>
      </c>
      <c r="B3163" s="265" t="s">
        <v>14460</v>
      </c>
      <c r="C3163" s="261" t="s">
        <v>97</v>
      </c>
      <c r="D3163" s="266">
        <v>1950.48</v>
      </c>
    </row>
    <row r="3164" spans="1:4">
      <c r="A3164" s="261">
        <v>2003680</v>
      </c>
      <c r="B3164" s="265" t="s">
        <v>14461</v>
      </c>
      <c r="C3164" s="261" t="s">
        <v>97</v>
      </c>
      <c r="D3164" s="266">
        <v>2105.5500000000002</v>
      </c>
    </row>
    <row r="3165" spans="1:4">
      <c r="A3165" s="261">
        <v>2003679</v>
      </c>
      <c r="B3165" s="265" t="s">
        <v>14462</v>
      </c>
      <c r="C3165" s="261" t="s">
        <v>97</v>
      </c>
      <c r="D3165" s="266">
        <v>1929.22</v>
      </c>
    </row>
    <row r="3166" spans="1:4">
      <c r="A3166" s="261">
        <v>2003682</v>
      </c>
      <c r="B3166" s="265" t="s">
        <v>14463</v>
      </c>
      <c r="C3166" s="261" t="s">
        <v>97</v>
      </c>
      <c r="D3166" s="266">
        <v>2404.9699999999998</v>
      </c>
    </row>
    <row r="3167" spans="1:4">
      <c r="A3167" s="261">
        <v>2003681</v>
      </c>
      <c r="B3167" s="265" t="s">
        <v>14464</v>
      </c>
      <c r="C3167" s="261" t="s">
        <v>97</v>
      </c>
      <c r="D3167" s="266">
        <v>2185.34</v>
      </c>
    </row>
    <row r="3168" spans="1:4">
      <c r="A3168" s="261">
        <v>2003684</v>
      </c>
      <c r="B3168" s="265" t="s">
        <v>14465</v>
      </c>
      <c r="C3168" s="261" t="s">
        <v>97</v>
      </c>
      <c r="D3168" s="266">
        <v>2880.63</v>
      </c>
    </row>
    <row r="3169" spans="1:4">
      <c r="A3169" s="261">
        <v>2003683</v>
      </c>
      <c r="B3169" s="265" t="s">
        <v>14466</v>
      </c>
      <c r="C3169" s="261" t="s">
        <v>97</v>
      </c>
      <c r="D3169" s="266">
        <v>2618.77</v>
      </c>
    </row>
    <row r="3170" spans="1:4">
      <c r="A3170" s="261">
        <v>2003686</v>
      </c>
      <c r="B3170" s="265" t="s">
        <v>14467</v>
      </c>
      <c r="C3170" s="261" t="s">
        <v>97</v>
      </c>
      <c r="D3170" s="266">
        <v>3401.15</v>
      </c>
    </row>
    <row r="3171" spans="1:4">
      <c r="A3171" s="261">
        <v>2003685</v>
      </c>
      <c r="B3171" s="265" t="s">
        <v>14468</v>
      </c>
      <c r="C3171" s="261" t="s">
        <v>97</v>
      </c>
      <c r="D3171" s="266">
        <v>3096</v>
      </c>
    </row>
    <row r="3172" spans="1:4">
      <c r="A3172" s="261">
        <v>2003688</v>
      </c>
      <c r="B3172" s="265" t="s">
        <v>14469</v>
      </c>
      <c r="C3172" s="261" t="s">
        <v>97</v>
      </c>
      <c r="D3172" s="266">
        <v>4250.6499999999996</v>
      </c>
    </row>
    <row r="3173" spans="1:4">
      <c r="A3173" s="261">
        <v>2003687</v>
      </c>
      <c r="B3173" s="265" t="s">
        <v>14470</v>
      </c>
      <c r="C3173" s="261" t="s">
        <v>97</v>
      </c>
      <c r="D3173" s="266">
        <v>3881.08</v>
      </c>
    </row>
    <row r="3174" spans="1:4">
      <c r="A3174" s="261">
        <v>2003690</v>
      </c>
      <c r="B3174" s="265" t="s">
        <v>14471</v>
      </c>
      <c r="C3174" s="261" t="s">
        <v>97</v>
      </c>
      <c r="D3174" s="266">
        <v>2473.91</v>
      </c>
    </row>
    <row r="3175" spans="1:4">
      <c r="A3175" s="261">
        <v>2003689</v>
      </c>
      <c r="B3175" s="265" t="s">
        <v>14472</v>
      </c>
      <c r="C3175" s="261" t="s">
        <v>97</v>
      </c>
      <c r="D3175" s="266">
        <v>2259.56</v>
      </c>
    </row>
    <row r="3176" spans="1:4">
      <c r="A3176" s="261">
        <v>2003692</v>
      </c>
      <c r="B3176" s="265" t="s">
        <v>14473</v>
      </c>
      <c r="C3176" s="261" t="s">
        <v>97</v>
      </c>
      <c r="D3176" s="266">
        <v>2449.35</v>
      </c>
    </row>
    <row r="3177" spans="1:4">
      <c r="A3177" s="261">
        <v>2003691</v>
      </c>
      <c r="B3177" s="265" t="s">
        <v>14474</v>
      </c>
      <c r="C3177" s="261" t="s">
        <v>97</v>
      </c>
      <c r="D3177" s="266">
        <v>2241.34</v>
      </c>
    </row>
    <row r="3178" spans="1:4">
      <c r="A3178" s="261">
        <v>2003694</v>
      </c>
      <c r="B3178" s="265" t="s">
        <v>14475</v>
      </c>
      <c r="C3178" s="261" t="s">
        <v>97</v>
      </c>
      <c r="D3178" s="266">
        <v>2769.09</v>
      </c>
    </row>
    <row r="3179" spans="1:4">
      <c r="A3179" s="261">
        <v>2003693</v>
      </c>
      <c r="B3179" s="265" t="s">
        <v>14476</v>
      </c>
      <c r="C3179" s="261" t="s">
        <v>97</v>
      </c>
      <c r="D3179" s="266">
        <v>2513.56</v>
      </c>
    </row>
    <row r="3180" spans="1:4">
      <c r="A3180" s="261">
        <v>2003696</v>
      </c>
      <c r="B3180" s="265" t="s">
        <v>14477</v>
      </c>
      <c r="C3180" s="261" t="s">
        <v>97</v>
      </c>
      <c r="D3180" s="266">
        <v>3101.39</v>
      </c>
    </row>
    <row r="3181" spans="1:4">
      <c r="A3181" s="261">
        <v>2003695</v>
      </c>
      <c r="B3181" s="265" t="s">
        <v>14478</v>
      </c>
      <c r="C3181" s="261" t="s">
        <v>97</v>
      </c>
      <c r="D3181" s="266">
        <v>2801.52</v>
      </c>
    </row>
    <row r="3182" spans="1:4">
      <c r="A3182" s="261">
        <v>2003698</v>
      </c>
      <c r="B3182" s="265" t="s">
        <v>14479</v>
      </c>
      <c r="C3182" s="261" t="s">
        <v>97</v>
      </c>
      <c r="D3182" s="266">
        <v>3805.32</v>
      </c>
    </row>
    <row r="3183" spans="1:4">
      <c r="A3183" s="261">
        <v>2003697</v>
      </c>
      <c r="B3183" s="265" t="s">
        <v>14480</v>
      </c>
      <c r="C3183" s="261" t="s">
        <v>97</v>
      </c>
      <c r="D3183" s="266">
        <v>3460.04</v>
      </c>
    </row>
    <row r="3184" spans="1:4">
      <c r="A3184" s="261">
        <v>2003700</v>
      </c>
      <c r="B3184" s="265" t="s">
        <v>14481</v>
      </c>
      <c r="C3184" s="261" t="s">
        <v>97</v>
      </c>
      <c r="D3184" s="266">
        <v>4694.87</v>
      </c>
    </row>
    <row r="3185" spans="1:4">
      <c r="A3185" s="261">
        <v>2003699</v>
      </c>
      <c r="B3185" s="265" t="s">
        <v>14482</v>
      </c>
      <c r="C3185" s="261" t="s">
        <v>97</v>
      </c>
      <c r="D3185" s="266">
        <v>4280.96</v>
      </c>
    </row>
    <row r="3186" spans="1:4">
      <c r="A3186" s="261">
        <v>2003702</v>
      </c>
      <c r="B3186" s="265" t="s">
        <v>14483</v>
      </c>
      <c r="C3186" s="261" t="s">
        <v>97</v>
      </c>
      <c r="D3186" s="266">
        <v>2829.99</v>
      </c>
    </row>
    <row r="3187" spans="1:4">
      <c r="A3187" s="261">
        <v>2003701</v>
      </c>
      <c r="B3187" s="265" t="s">
        <v>14484</v>
      </c>
      <c r="C3187" s="261" t="s">
        <v>97</v>
      </c>
      <c r="D3187" s="266">
        <v>2580.8000000000002</v>
      </c>
    </row>
    <row r="3188" spans="1:4">
      <c r="A3188" s="261">
        <v>2003704</v>
      </c>
      <c r="B3188" s="265" t="s">
        <v>14485</v>
      </c>
      <c r="C3188" s="261" t="s">
        <v>97</v>
      </c>
      <c r="D3188" s="266">
        <v>2805.43</v>
      </c>
    </row>
    <row r="3189" spans="1:4">
      <c r="A3189" s="261">
        <v>2003703</v>
      </c>
      <c r="B3189" s="265" t="s">
        <v>14486</v>
      </c>
      <c r="C3189" s="261" t="s">
        <v>97</v>
      </c>
      <c r="D3189" s="266">
        <v>2562.5700000000002</v>
      </c>
    </row>
    <row r="3190" spans="1:4">
      <c r="A3190" s="261">
        <v>2003706</v>
      </c>
      <c r="B3190" s="265" t="s">
        <v>14487</v>
      </c>
      <c r="C3190" s="261" t="s">
        <v>97</v>
      </c>
      <c r="D3190" s="266">
        <v>3149.58</v>
      </c>
    </row>
    <row r="3191" spans="1:4">
      <c r="A3191" s="261">
        <v>2003705</v>
      </c>
      <c r="B3191" s="265" t="s">
        <v>14488</v>
      </c>
      <c r="C3191" s="261" t="s">
        <v>97</v>
      </c>
      <c r="D3191" s="266">
        <v>2853.93</v>
      </c>
    </row>
    <row r="3192" spans="1:4">
      <c r="A3192" s="261">
        <v>2003708</v>
      </c>
      <c r="B3192" s="265" t="s">
        <v>14489</v>
      </c>
      <c r="C3192" s="261" t="s">
        <v>97</v>
      </c>
      <c r="D3192" s="266">
        <v>3657.4</v>
      </c>
    </row>
    <row r="3193" spans="1:4">
      <c r="A3193" s="261">
        <v>2003707</v>
      </c>
      <c r="B3193" s="265" t="s">
        <v>14490</v>
      </c>
      <c r="C3193" s="261" t="s">
        <v>97</v>
      </c>
      <c r="D3193" s="266">
        <v>3315.29</v>
      </c>
    </row>
    <row r="3194" spans="1:4">
      <c r="A3194" s="261">
        <v>2003710</v>
      </c>
      <c r="B3194" s="265" t="s">
        <v>14491</v>
      </c>
      <c r="C3194" s="261" t="s">
        <v>97</v>
      </c>
      <c r="D3194" s="266">
        <v>4225.87</v>
      </c>
    </row>
    <row r="3195" spans="1:4">
      <c r="A3195" s="261">
        <v>2003709</v>
      </c>
      <c r="B3195" s="265" t="s">
        <v>14492</v>
      </c>
      <c r="C3195" s="261" t="s">
        <v>97</v>
      </c>
      <c r="D3195" s="266">
        <v>3836.24</v>
      </c>
    </row>
    <row r="3196" spans="1:4">
      <c r="A3196" s="261">
        <v>2003712</v>
      </c>
      <c r="B3196" s="265" t="s">
        <v>14493</v>
      </c>
      <c r="C3196" s="261" t="s">
        <v>97</v>
      </c>
      <c r="D3196" s="266">
        <v>5155.47</v>
      </c>
    </row>
    <row r="3197" spans="1:4">
      <c r="A3197" s="261">
        <v>2003711</v>
      </c>
      <c r="B3197" s="265" t="s">
        <v>14494</v>
      </c>
      <c r="C3197" s="261" t="s">
        <v>97</v>
      </c>
      <c r="D3197" s="266">
        <v>4692.9799999999996</v>
      </c>
    </row>
    <row r="3198" spans="1:4">
      <c r="A3198" s="261">
        <v>2004505</v>
      </c>
      <c r="B3198" s="265" t="s">
        <v>14495</v>
      </c>
      <c r="C3198" s="261" t="s">
        <v>5</v>
      </c>
      <c r="D3198" s="266">
        <v>21.94</v>
      </c>
    </row>
    <row r="3199" spans="1:4">
      <c r="A3199" s="261">
        <v>2003353</v>
      </c>
      <c r="B3199" s="265" t="s">
        <v>14496</v>
      </c>
      <c r="C3199" s="261" t="s">
        <v>6</v>
      </c>
      <c r="D3199" s="266">
        <v>74.63</v>
      </c>
    </row>
    <row r="3200" spans="1:4">
      <c r="A3200" s="261">
        <v>2003352</v>
      </c>
      <c r="B3200" s="265" t="s">
        <v>14497</v>
      </c>
      <c r="C3200" s="261" t="s">
        <v>6</v>
      </c>
      <c r="D3200" s="266">
        <v>59.95</v>
      </c>
    </row>
    <row r="3201" spans="1:4" ht="31.5">
      <c r="A3201" s="261">
        <v>2003979</v>
      </c>
      <c r="B3201" s="265" t="s">
        <v>14498</v>
      </c>
      <c r="C3201" s="261" t="s">
        <v>6</v>
      </c>
      <c r="D3201" s="266">
        <v>86.06</v>
      </c>
    </row>
    <row r="3202" spans="1:4" ht="31.5">
      <c r="A3202" s="261">
        <v>2003980</v>
      </c>
      <c r="B3202" s="265" t="s">
        <v>14499</v>
      </c>
      <c r="C3202" s="261" t="s">
        <v>6</v>
      </c>
      <c r="D3202" s="266">
        <v>71.31</v>
      </c>
    </row>
    <row r="3203" spans="1:4">
      <c r="A3203" s="261">
        <v>2003355</v>
      </c>
      <c r="B3203" s="265" t="s">
        <v>14500</v>
      </c>
      <c r="C3203" s="261" t="s">
        <v>6</v>
      </c>
      <c r="D3203" s="266">
        <v>100.43</v>
      </c>
    </row>
    <row r="3204" spans="1:4">
      <c r="A3204" s="261">
        <v>2003354</v>
      </c>
      <c r="B3204" s="265" t="s">
        <v>14501</v>
      </c>
      <c r="C3204" s="261" t="s">
        <v>6</v>
      </c>
      <c r="D3204" s="266">
        <v>80.650000000000006</v>
      </c>
    </row>
    <row r="3205" spans="1:4" ht="31.5">
      <c r="A3205" s="261">
        <v>2003981</v>
      </c>
      <c r="B3205" s="265" t="s">
        <v>14502</v>
      </c>
      <c r="C3205" s="261" t="s">
        <v>6</v>
      </c>
      <c r="D3205" s="266">
        <v>115.96</v>
      </c>
    </row>
    <row r="3206" spans="1:4" ht="31.5">
      <c r="A3206" s="261">
        <v>2003982</v>
      </c>
      <c r="B3206" s="265" t="s">
        <v>14503</v>
      </c>
      <c r="C3206" s="261" t="s">
        <v>6</v>
      </c>
      <c r="D3206" s="266">
        <v>96.09</v>
      </c>
    </row>
    <row r="3207" spans="1:4">
      <c r="A3207" s="261">
        <v>2003345</v>
      </c>
      <c r="B3207" s="265" t="s">
        <v>14504</v>
      </c>
      <c r="C3207" s="261" t="s">
        <v>6</v>
      </c>
      <c r="D3207" s="266">
        <v>61.39</v>
      </c>
    </row>
    <row r="3208" spans="1:4">
      <c r="A3208" s="261">
        <v>2003344</v>
      </c>
      <c r="B3208" s="265" t="s">
        <v>14505</v>
      </c>
      <c r="C3208" s="261" t="s">
        <v>6</v>
      </c>
      <c r="D3208" s="266">
        <v>51.36</v>
      </c>
    </row>
    <row r="3209" spans="1:4" ht="31.5">
      <c r="A3209" s="261">
        <v>2003973</v>
      </c>
      <c r="B3209" s="265" t="s">
        <v>14506</v>
      </c>
      <c r="C3209" s="261" t="s">
        <v>6</v>
      </c>
      <c r="D3209" s="266">
        <v>69.31</v>
      </c>
    </row>
    <row r="3210" spans="1:4" ht="31.5">
      <c r="A3210" s="261">
        <v>2003974</v>
      </c>
      <c r="B3210" s="265" t="s">
        <v>14507</v>
      </c>
      <c r="C3210" s="261" t="s">
        <v>6</v>
      </c>
      <c r="D3210" s="266">
        <v>59.25</v>
      </c>
    </row>
    <row r="3211" spans="1:4">
      <c r="A3211" s="261">
        <v>2003343</v>
      </c>
      <c r="B3211" s="265" t="s">
        <v>14508</v>
      </c>
      <c r="C3211" s="261" t="s">
        <v>6</v>
      </c>
      <c r="D3211" s="266">
        <v>83.48</v>
      </c>
    </row>
    <row r="3212" spans="1:4">
      <c r="A3212" s="261">
        <v>2003342</v>
      </c>
      <c r="B3212" s="265" t="s">
        <v>14509</v>
      </c>
      <c r="C3212" s="261" t="s">
        <v>6</v>
      </c>
      <c r="D3212" s="266">
        <v>69.42</v>
      </c>
    </row>
    <row r="3213" spans="1:4" ht="31.5">
      <c r="A3213" s="261">
        <v>2003971</v>
      </c>
      <c r="B3213" s="265" t="s">
        <v>14510</v>
      </c>
      <c r="C3213" s="261" t="s">
        <v>6</v>
      </c>
      <c r="D3213" s="266">
        <v>94.74</v>
      </c>
    </row>
    <row r="3214" spans="1:4" ht="31.5">
      <c r="A3214" s="261">
        <v>2003972</v>
      </c>
      <c r="B3214" s="265" t="s">
        <v>14511</v>
      </c>
      <c r="C3214" s="261" t="s">
        <v>6</v>
      </c>
      <c r="D3214" s="266">
        <v>80.62</v>
      </c>
    </row>
    <row r="3215" spans="1:4">
      <c r="A3215" s="261">
        <v>2003347</v>
      </c>
      <c r="B3215" s="265" t="s">
        <v>14512</v>
      </c>
      <c r="C3215" s="261" t="s">
        <v>6</v>
      </c>
      <c r="D3215" s="266">
        <v>16.350000000000001</v>
      </c>
    </row>
    <row r="3216" spans="1:4">
      <c r="A3216" s="261">
        <v>2003346</v>
      </c>
      <c r="B3216" s="265" t="s">
        <v>14513</v>
      </c>
      <c r="C3216" s="261" t="s">
        <v>6</v>
      </c>
      <c r="D3216" s="266">
        <v>22.83</v>
      </c>
    </row>
    <row r="3217" spans="1:4">
      <c r="A3217" s="261">
        <v>2003933</v>
      </c>
      <c r="B3217" s="265" t="s">
        <v>14514</v>
      </c>
      <c r="C3217" s="261" t="s">
        <v>6</v>
      </c>
      <c r="D3217" s="266">
        <v>8.32</v>
      </c>
    </row>
    <row r="3218" spans="1:4">
      <c r="A3218" s="261">
        <v>2003932</v>
      </c>
      <c r="B3218" s="265" t="s">
        <v>14515</v>
      </c>
      <c r="C3218" s="261" t="s">
        <v>6</v>
      </c>
      <c r="D3218" s="266">
        <v>10.78</v>
      </c>
    </row>
    <row r="3219" spans="1:4">
      <c r="A3219" s="261">
        <v>2003349</v>
      </c>
      <c r="B3219" s="265" t="s">
        <v>14516</v>
      </c>
      <c r="C3219" s="261" t="s">
        <v>6</v>
      </c>
      <c r="D3219" s="266">
        <v>57.27</v>
      </c>
    </row>
    <row r="3220" spans="1:4">
      <c r="A3220" s="261">
        <v>2003348</v>
      </c>
      <c r="B3220" s="265" t="s">
        <v>14517</v>
      </c>
      <c r="C3220" s="261" t="s">
        <v>6</v>
      </c>
      <c r="D3220" s="266">
        <v>46.14</v>
      </c>
    </row>
    <row r="3221" spans="1:4" ht="31.5">
      <c r="A3221" s="261">
        <v>2003975</v>
      </c>
      <c r="B3221" s="265" t="s">
        <v>14518</v>
      </c>
      <c r="C3221" s="261" t="s">
        <v>6</v>
      </c>
      <c r="D3221" s="266">
        <v>65.25</v>
      </c>
    </row>
    <row r="3222" spans="1:4" ht="31.5">
      <c r="A3222" s="261">
        <v>2003976</v>
      </c>
      <c r="B3222" s="265" t="s">
        <v>14519</v>
      </c>
      <c r="C3222" s="261" t="s">
        <v>6</v>
      </c>
      <c r="D3222" s="266">
        <v>54.08</v>
      </c>
    </row>
    <row r="3223" spans="1:4">
      <c r="A3223" s="261">
        <v>2003351</v>
      </c>
      <c r="B3223" s="265" t="s">
        <v>14520</v>
      </c>
      <c r="C3223" s="261" t="s">
        <v>6</v>
      </c>
      <c r="D3223" s="266">
        <v>76.58</v>
      </c>
    </row>
    <row r="3224" spans="1:4">
      <c r="A3224" s="261">
        <v>2003350</v>
      </c>
      <c r="B3224" s="265" t="s">
        <v>14521</v>
      </c>
      <c r="C3224" s="261" t="s">
        <v>6</v>
      </c>
      <c r="D3224" s="266">
        <v>61.67</v>
      </c>
    </row>
    <row r="3225" spans="1:4" ht="31.5">
      <c r="A3225" s="261">
        <v>2003977</v>
      </c>
      <c r="B3225" s="265" t="s">
        <v>14522</v>
      </c>
      <c r="C3225" s="261" t="s">
        <v>6</v>
      </c>
      <c r="D3225" s="266">
        <v>87.42</v>
      </c>
    </row>
    <row r="3226" spans="1:4" ht="31.5">
      <c r="A3226" s="261">
        <v>2003978</v>
      </c>
      <c r="B3226" s="265" t="s">
        <v>14523</v>
      </c>
      <c r="C3226" s="261" t="s">
        <v>6</v>
      </c>
      <c r="D3226" s="266">
        <v>72.44</v>
      </c>
    </row>
    <row r="3227" spans="1:4">
      <c r="A3227" s="261">
        <v>2003291</v>
      </c>
      <c r="B3227" s="265" t="s">
        <v>14524</v>
      </c>
      <c r="C3227" s="261" t="s">
        <v>6</v>
      </c>
      <c r="D3227" s="266">
        <v>11.73</v>
      </c>
    </row>
    <row r="3228" spans="1:4">
      <c r="A3228" s="261">
        <v>2003292</v>
      </c>
      <c r="B3228" s="265" t="s">
        <v>14525</v>
      </c>
      <c r="C3228" s="261" t="s">
        <v>6</v>
      </c>
      <c r="D3228" s="266">
        <v>16.420000000000002</v>
      </c>
    </row>
    <row r="3229" spans="1:4">
      <c r="A3229" s="261">
        <v>2003293</v>
      </c>
      <c r="B3229" s="265" t="s">
        <v>14526</v>
      </c>
      <c r="C3229" s="261" t="s">
        <v>6</v>
      </c>
      <c r="D3229" s="266">
        <v>21.63</v>
      </c>
    </row>
    <row r="3230" spans="1:4">
      <c r="A3230" s="261">
        <v>2003294</v>
      </c>
      <c r="B3230" s="265" t="s">
        <v>14527</v>
      </c>
      <c r="C3230" s="261" t="s">
        <v>6</v>
      </c>
      <c r="D3230" s="266">
        <v>32.44</v>
      </c>
    </row>
    <row r="3231" spans="1:4">
      <c r="A3231" s="261">
        <v>2003257</v>
      </c>
      <c r="B3231" s="265" t="s">
        <v>14528</v>
      </c>
      <c r="C3231" s="261" t="s">
        <v>6</v>
      </c>
      <c r="D3231" s="266">
        <v>62.93</v>
      </c>
    </row>
    <row r="3232" spans="1:4">
      <c r="A3232" s="261">
        <v>2003258</v>
      </c>
      <c r="B3232" s="265" t="s">
        <v>14529</v>
      </c>
      <c r="C3232" s="261" t="s">
        <v>6</v>
      </c>
      <c r="D3232" s="266">
        <v>52.94</v>
      </c>
    </row>
    <row r="3233" spans="1:4" ht="31.5">
      <c r="A3233" s="261">
        <v>2003259</v>
      </c>
      <c r="B3233" s="265" t="s">
        <v>14530</v>
      </c>
      <c r="C3233" s="261" t="s">
        <v>6</v>
      </c>
      <c r="D3233" s="266">
        <v>70.319999999999993</v>
      </c>
    </row>
    <row r="3234" spans="1:4" ht="31.5">
      <c r="A3234" s="261">
        <v>2003260</v>
      </c>
      <c r="B3234" s="265" t="s">
        <v>14531</v>
      </c>
      <c r="C3234" s="261" t="s">
        <v>6</v>
      </c>
      <c r="D3234" s="266">
        <v>60.28</v>
      </c>
    </row>
    <row r="3235" spans="1:4">
      <c r="A3235" s="261">
        <v>2003281</v>
      </c>
      <c r="B3235" s="265" t="s">
        <v>14532</v>
      </c>
      <c r="C3235" s="261" t="s">
        <v>6</v>
      </c>
      <c r="D3235" s="266">
        <v>62.94</v>
      </c>
    </row>
    <row r="3236" spans="1:4">
      <c r="A3236" s="261">
        <v>2003282</v>
      </c>
      <c r="B3236" s="265" t="s">
        <v>14533</v>
      </c>
      <c r="C3236" s="261" t="s">
        <v>6</v>
      </c>
      <c r="D3236" s="266">
        <v>52.72</v>
      </c>
    </row>
    <row r="3237" spans="1:4" ht="31.5">
      <c r="A3237" s="261">
        <v>2003283</v>
      </c>
      <c r="B3237" s="265" t="s">
        <v>14534</v>
      </c>
      <c r="C3237" s="261" t="s">
        <v>6</v>
      </c>
      <c r="D3237" s="266">
        <v>70.5</v>
      </c>
    </row>
    <row r="3238" spans="1:4" ht="31.5">
      <c r="A3238" s="261">
        <v>2003284</v>
      </c>
      <c r="B3238" s="265" t="s">
        <v>14535</v>
      </c>
      <c r="C3238" s="261" t="s">
        <v>6</v>
      </c>
      <c r="D3238" s="266">
        <v>60.23</v>
      </c>
    </row>
    <row r="3239" spans="1:4">
      <c r="A3239" s="261">
        <v>2003327</v>
      </c>
      <c r="B3239" s="265" t="s">
        <v>14536</v>
      </c>
      <c r="C3239" s="261" t="s">
        <v>6</v>
      </c>
      <c r="D3239" s="266">
        <v>92.26</v>
      </c>
    </row>
    <row r="3240" spans="1:4">
      <c r="A3240" s="261">
        <v>2003326</v>
      </c>
      <c r="B3240" s="265" t="s">
        <v>14537</v>
      </c>
      <c r="C3240" s="261" t="s">
        <v>6</v>
      </c>
      <c r="D3240" s="266">
        <v>80.67</v>
      </c>
    </row>
    <row r="3241" spans="1:4" ht="31.5">
      <c r="A3241" s="261">
        <v>2003963</v>
      </c>
      <c r="B3241" s="265" t="s">
        <v>14538</v>
      </c>
      <c r="C3241" s="261" t="s">
        <v>6</v>
      </c>
      <c r="D3241" s="266">
        <v>80.12</v>
      </c>
    </row>
    <row r="3242" spans="1:4" ht="31.5">
      <c r="A3242" s="261">
        <v>2003964</v>
      </c>
      <c r="B3242" s="265" t="s">
        <v>14539</v>
      </c>
      <c r="C3242" s="261" t="s">
        <v>6</v>
      </c>
      <c r="D3242" s="266">
        <v>68.489999999999995</v>
      </c>
    </row>
    <row r="3243" spans="1:4">
      <c r="A3243" s="261">
        <v>2003319</v>
      </c>
      <c r="B3243" s="265" t="s">
        <v>14540</v>
      </c>
      <c r="C3243" s="261" t="s">
        <v>6</v>
      </c>
      <c r="D3243" s="266">
        <v>76.31</v>
      </c>
    </row>
    <row r="3244" spans="1:4">
      <c r="A3244" s="261">
        <v>2003318</v>
      </c>
      <c r="B3244" s="265" t="s">
        <v>14541</v>
      </c>
      <c r="C3244" s="261" t="s">
        <v>6</v>
      </c>
      <c r="D3244" s="266">
        <v>63.98</v>
      </c>
    </row>
    <row r="3245" spans="1:4" ht="31.5">
      <c r="A3245" s="261">
        <v>2003955</v>
      </c>
      <c r="B3245" s="265" t="s">
        <v>14542</v>
      </c>
      <c r="C3245" s="261" t="s">
        <v>6</v>
      </c>
      <c r="D3245" s="266">
        <v>85.47</v>
      </c>
    </row>
    <row r="3246" spans="1:4" ht="31.5">
      <c r="A3246" s="261">
        <v>2003956</v>
      </c>
      <c r="B3246" s="265" t="s">
        <v>14543</v>
      </c>
      <c r="C3246" s="261" t="s">
        <v>6</v>
      </c>
      <c r="D3246" s="266">
        <v>73.08</v>
      </c>
    </row>
    <row r="3247" spans="1:4">
      <c r="A3247" s="261">
        <v>2003277</v>
      </c>
      <c r="B3247" s="265" t="s">
        <v>14544</v>
      </c>
      <c r="C3247" s="261" t="s">
        <v>6</v>
      </c>
      <c r="D3247" s="266">
        <v>78.56</v>
      </c>
    </row>
    <row r="3248" spans="1:4">
      <c r="A3248" s="261">
        <v>2003278</v>
      </c>
      <c r="B3248" s="265" t="s">
        <v>14545</v>
      </c>
      <c r="C3248" s="261" t="s">
        <v>6</v>
      </c>
      <c r="D3248" s="266">
        <v>65.87</v>
      </c>
    </row>
    <row r="3249" spans="1:4" ht="31.5">
      <c r="A3249" s="261">
        <v>2003279</v>
      </c>
      <c r="B3249" s="265" t="s">
        <v>14546</v>
      </c>
      <c r="C3249" s="261" t="s">
        <v>6</v>
      </c>
      <c r="D3249" s="266">
        <v>87.98</v>
      </c>
    </row>
    <row r="3250" spans="1:4" ht="31.5">
      <c r="A3250" s="261">
        <v>2003280</v>
      </c>
      <c r="B3250" s="265" t="s">
        <v>14547</v>
      </c>
      <c r="C3250" s="261" t="s">
        <v>6</v>
      </c>
      <c r="D3250" s="266">
        <v>75.239999999999995</v>
      </c>
    </row>
    <row r="3251" spans="1:4">
      <c r="A3251" s="261">
        <v>2003253</v>
      </c>
      <c r="B3251" s="265" t="s">
        <v>14548</v>
      </c>
      <c r="C3251" s="261" t="s">
        <v>6</v>
      </c>
      <c r="D3251" s="266">
        <v>89.7</v>
      </c>
    </row>
    <row r="3252" spans="1:4">
      <c r="A3252" s="261">
        <v>2003254</v>
      </c>
      <c r="B3252" s="265" t="s">
        <v>14549</v>
      </c>
      <c r="C3252" s="261" t="s">
        <v>6</v>
      </c>
      <c r="D3252" s="266">
        <v>75.040000000000006</v>
      </c>
    </row>
    <row r="3253" spans="1:4" ht="31.5">
      <c r="A3253" s="261">
        <v>2003255</v>
      </c>
      <c r="B3253" s="265" t="s">
        <v>14550</v>
      </c>
      <c r="C3253" s="261" t="s">
        <v>6</v>
      </c>
      <c r="D3253" s="266">
        <v>100.62</v>
      </c>
    </row>
    <row r="3254" spans="1:4" ht="31.5">
      <c r="A3254" s="261">
        <v>2003256</v>
      </c>
      <c r="B3254" s="265" t="s">
        <v>14551</v>
      </c>
      <c r="C3254" s="261" t="s">
        <v>6</v>
      </c>
      <c r="D3254" s="266">
        <v>85.89</v>
      </c>
    </row>
    <row r="3255" spans="1:4">
      <c r="A3255" s="261">
        <v>2003273</v>
      </c>
      <c r="B3255" s="265" t="s">
        <v>14552</v>
      </c>
      <c r="C3255" s="261" t="s">
        <v>6</v>
      </c>
      <c r="D3255" s="266">
        <v>92.1</v>
      </c>
    </row>
    <row r="3256" spans="1:4">
      <c r="A3256" s="261">
        <v>2003274</v>
      </c>
      <c r="B3256" s="265" t="s">
        <v>14553</v>
      </c>
      <c r="C3256" s="261" t="s">
        <v>6</v>
      </c>
      <c r="D3256" s="266">
        <v>77.05</v>
      </c>
    </row>
    <row r="3257" spans="1:4" ht="31.5">
      <c r="A3257" s="261">
        <v>2003275</v>
      </c>
      <c r="B3257" s="265" t="s">
        <v>14554</v>
      </c>
      <c r="C3257" s="261" t="s">
        <v>6</v>
      </c>
      <c r="D3257" s="266">
        <v>103.31</v>
      </c>
    </row>
    <row r="3258" spans="1:4" ht="31.5">
      <c r="A3258" s="261">
        <v>2003276</v>
      </c>
      <c r="B3258" s="265" t="s">
        <v>14555</v>
      </c>
      <c r="C3258" s="261" t="s">
        <v>6</v>
      </c>
      <c r="D3258" s="266">
        <v>88.19</v>
      </c>
    </row>
    <row r="3259" spans="1:4">
      <c r="A3259" s="261">
        <v>2003269</v>
      </c>
      <c r="B3259" s="265" t="s">
        <v>14556</v>
      </c>
      <c r="C3259" s="261" t="s">
        <v>6</v>
      </c>
      <c r="D3259" s="266">
        <v>62.08</v>
      </c>
    </row>
    <row r="3260" spans="1:4">
      <c r="A3260" s="261">
        <v>2003270</v>
      </c>
      <c r="B3260" s="265" t="s">
        <v>14557</v>
      </c>
      <c r="C3260" s="261" t="s">
        <v>6</v>
      </c>
      <c r="D3260" s="266">
        <v>54.4</v>
      </c>
    </row>
    <row r="3261" spans="1:4" ht="31.5">
      <c r="A3261" s="261">
        <v>2003271</v>
      </c>
      <c r="B3261" s="265" t="s">
        <v>14558</v>
      </c>
      <c r="C3261" s="261" t="s">
        <v>6</v>
      </c>
      <c r="D3261" s="266">
        <v>54.31</v>
      </c>
    </row>
    <row r="3262" spans="1:4" ht="31.5">
      <c r="A3262" s="261">
        <v>2003272</v>
      </c>
      <c r="B3262" s="265" t="s">
        <v>14559</v>
      </c>
      <c r="C3262" s="261" t="s">
        <v>6</v>
      </c>
      <c r="D3262" s="266">
        <v>46.59</v>
      </c>
    </row>
    <row r="3263" spans="1:4">
      <c r="A3263" s="261">
        <v>2003261</v>
      </c>
      <c r="B3263" s="265" t="s">
        <v>14560</v>
      </c>
      <c r="C3263" s="261" t="s">
        <v>6</v>
      </c>
      <c r="D3263" s="266">
        <v>51.07</v>
      </c>
    </row>
    <row r="3264" spans="1:4">
      <c r="A3264" s="261">
        <v>2003262</v>
      </c>
      <c r="B3264" s="265" t="s">
        <v>14561</v>
      </c>
      <c r="C3264" s="261" t="s">
        <v>6</v>
      </c>
      <c r="D3264" s="266">
        <v>43.01</v>
      </c>
    </row>
    <row r="3265" spans="1:4" ht="31.5">
      <c r="A3265" s="261">
        <v>2003263</v>
      </c>
      <c r="B3265" s="265" t="s">
        <v>14562</v>
      </c>
      <c r="C3265" s="261" t="s">
        <v>6</v>
      </c>
      <c r="D3265" s="266">
        <v>56.99</v>
      </c>
    </row>
    <row r="3266" spans="1:4" ht="31.5">
      <c r="A3266" s="261">
        <v>2003264</v>
      </c>
      <c r="B3266" s="265" t="s">
        <v>14563</v>
      </c>
      <c r="C3266" s="261" t="s">
        <v>6</v>
      </c>
      <c r="D3266" s="266">
        <v>48.9</v>
      </c>
    </row>
    <row r="3267" spans="1:4">
      <c r="A3267" s="261">
        <v>2003285</v>
      </c>
      <c r="B3267" s="265" t="s">
        <v>14564</v>
      </c>
      <c r="C3267" s="261" t="s">
        <v>6</v>
      </c>
      <c r="D3267" s="266">
        <v>52.74</v>
      </c>
    </row>
    <row r="3268" spans="1:4">
      <c r="A3268" s="261">
        <v>2003286</v>
      </c>
      <c r="B3268" s="265" t="s">
        <v>14565</v>
      </c>
      <c r="C3268" s="261" t="s">
        <v>6</v>
      </c>
      <c r="D3268" s="266">
        <v>44.44</v>
      </c>
    </row>
    <row r="3269" spans="1:4" ht="31.5">
      <c r="A3269" s="261">
        <v>2003287</v>
      </c>
      <c r="B3269" s="265" t="s">
        <v>14566</v>
      </c>
      <c r="C3269" s="261" t="s">
        <v>6</v>
      </c>
      <c r="D3269" s="266">
        <v>58.86</v>
      </c>
    </row>
    <row r="3270" spans="1:4" ht="31.5">
      <c r="A3270" s="261">
        <v>2003288</v>
      </c>
      <c r="B3270" s="265" t="s">
        <v>14567</v>
      </c>
      <c r="C3270" s="261" t="s">
        <v>6</v>
      </c>
      <c r="D3270" s="266">
        <v>50.52</v>
      </c>
    </row>
    <row r="3271" spans="1:4">
      <c r="A3271" s="261">
        <v>2003265</v>
      </c>
      <c r="B3271" s="265" t="s">
        <v>14568</v>
      </c>
      <c r="C3271" s="261" t="s">
        <v>6</v>
      </c>
      <c r="D3271" s="266">
        <v>76.290000000000006</v>
      </c>
    </row>
    <row r="3272" spans="1:4">
      <c r="A3272" s="261">
        <v>2003266</v>
      </c>
      <c r="B3272" s="265" t="s">
        <v>14569</v>
      </c>
      <c r="C3272" s="261" t="s">
        <v>6</v>
      </c>
      <c r="D3272" s="266">
        <v>66.86</v>
      </c>
    </row>
    <row r="3273" spans="1:4" ht="31.5">
      <c r="A3273" s="261">
        <v>2003267</v>
      </c>
      <c r="B3273" s="265" t="s">
        <v>14570</v>
      </c>
      <c r="C3273" s="261" t="s">
        <v>6</v>
      </c>
      <c r="D3273" s="266">
        <v>66.25</v>
      </c>
    </row>
    <row r="3274" spans="1:4" ht="31.5">
      <c r="A3274" s="261">
        <v>2003268</v>
      </c>
      <c r="B3274" s="265" t="s">
        <v>14571</v>
      </c>
      <c r="C3274" s="261" t="s">
        <v>6</v>
      </c>
      <c r="D3274" s="266">
        <v>56.78</v>
      </c>
    </row>
    <row r="3275" spans="1:4">
      <c r="A3275" s="261">
        <v>2003289</v>
      </c>
      <c r="B3275" s="265" t="s">
        <v>14572</v>
      </c>
      <c r="C3275" s="261" t="s">
        <v>6</v>
      </c>
      <c r="D3275" s="266">
        <v>20.79</v>
      </c>
    </row>
    <row r="3276" spans="1:4">
      <c r="A3276" s="261">
        <v>2003338</v>
      </c>
      <c r="B3276" s="265" t="s">
        <v>14573</v>
      </c>
      <c r="C3276" s="261" t="s">
        <v>6</v>
      </c>
      <c r="D3276" s="266">
        <v>26.1</v>
      </c>
    </row>
    <row r="3277" spans="1:4">
      <c r="A3277" s="261">
        <v>2003290</v>
      </c>
      <c r="B3277" s="265" t="s">
        <v>14574</v>
      </c>
      <c r="C3277" s="261" t="s">
        <v>6</v>
      </c>
      <c r="D3277" s="266">
        <v>17.21</v>
      </c>
    </row>
    <row r="3278" spans="1:4">
      <c r="A3278" s="261">
        <v>2003300</v>
      </c>
      <c r="B3278" s="265" t="s">
        <v>14575</v>
      </c>
      <c r="C3278" s="261" t="s">
        <v>6</v>
      </c>
      <c r="D3278" s="266">
        <v>9.17</v>
      </c>
    </row>
    <row r="3279" spans="1:4">
      <c r="A3279" s="261">
        <v>2003299</v>
      </c>
      <c r="B3279" s="265" t="s">
        <v>14576</v>
      </c>
      <c r="C3279" s="261" t="s">
        <v>6</v>
      </c>
      <c r="D3279" s="266">
        <v>11.58</v>
      </c>
    </row>
    <row r="3280" spans="1:4">
      <c r="A3280" s="261">
        <v>2003301</v>
      </c>
      <c r="B3280" s="265" t="s">
        <v>14577</v>
      </c>
      <c r="C3280" s="261" t="s">
        <v>6</v>
      </c>
      <c r="D3280" s="266">
        <v>7.98</v>
      </c>
    </row>
    <row r="3281" spans="1:4">
      <c r="A3281" s="261">
        <v>2004513</v>
      </c>
      <c r="B3281" s="265" t="s">
        <v>14578</v>
      </c>
      <c r="C3281" s="261" t="s">
        <v>6</v>
      </c>
      <c r="D3281" s="266">
        <v>0.13</v>
      </c>
    </row>
    <row r="3282" spans="1:4">
      <c r="A3282" s="261">
        <v>2003357</v>
      </c>
      <c r="B3282" s="265" t="s">
        <v>14579</v>
      </c>
      <c r="C3282" s="261" t="s">
        <v>6</v>
      </c>
      <c r="D3282" s="266">
        <v>198.14</v>
      </c>
    </row>
    <row r="3283" spans="1:4">
      <c r="A3283" s="261">
        <v>2003356</v>
      </c>
      <c r="B3283" s="265" t="s">
        <v>14580</v>
      </c>
      <c r="C3283" s="261" t="s">
        <v>6</v>
      </c>
      <c r="D3283" s="266">
        <v>162.96</v>
      </c>
    </row>
    <row r="3284" spans="1:4">
      <c r="A3284" s="261">
        <v>2003359</v>
      </c>
      <c r="B3284" s="265" t="s">
        <v>14581</v>
      </c>
      <c r="C3284" s="261" t="s">
        <v>6</v>
      </c>
      <c r="D3284" s="266">
        <v>242.36</v>
      </c>
    </row>
    <row r="3285" spans="1:4">
      <c r="A3285" s="261">
        <v>2003358</v>
      </c>
      <c r="B3285" s="265" t="s">
        <v>14582</v>
      </c>
      <c r="C3285" s="261" t="s">
        <v>6</v>
      </c>
      <c r="D3285" s="266">
        <v>199.08</v>
      </c>
    </row>
    <row r="3286" spans="1:4">
      <c r="A3286" s="261">
        <v>2003361</v>
      </c>
      <c r="B3286" s="265" t="s">
        <v>14583</v>
      </c>
      <c r="C3286" s="261" t="s">
        <v>6</v>
      </c>
      <c r="D3286" s="266">
        <v>525.76</v>
      </c>
    </row>
    <row r="3287" spans="1:4">
      <c r="A3287" s="261">
        <v>2003360</v>
      </c>
      <c r="B3287" s="265" t="s">
        <v>14584</v>
      </c>
      <c r="C3287" s="261" t="s">
        <v>6</v>
      </c>
      <c r="D3287" s="266">
        <v>491.28</v>
      </c>
    </row>
    <row r="3288" spans="1:4">
      <c r="A3288" s="261">
        <v>2003363</v>
      </c>
      <c r="B3288" s="265" t="s">
        <v>14585</v>
      </c>
      <c r="C3288" s="261" t="s">
        <v>6</v>
      </c>
      <c r="D3288" s="266">
        <v>451.14</v>
      </c>
    </row>
    <row r="3289" spans="1:4">
      <c r="A3289" s="261">
        <v>2003362</v>
      </c>
      <c r="B3289" s="265" t="s">
        <v>14586</v>
      </c>
      <c r="C3289" s="261" t="s">
        <v>6</v>
      </c>
      <c r="D3289" s="266">
        <v>419.76</v>
      </c>
    </row>
    <row r="3290" spans="1:4">
      <c r="A3290" s="261">
        <v>2003365</v>
      </c>
      <c r="B3290" s="265" t="s">
        <v>14587</v>
      </c>
      <c r="C3290" s="261" t="s">
        <v>6</v>
      </c>
      <c r="D3290" s="266">
        <v>401.35</v>
      </c>
    </row>
    <row r="3291" spans="1:4">
      <c r="A3291" s="261">
        <v>2003364</v>
      </c>
      <c r="B3291" s="265" t="s">
        <v>14588</v>
      </c>
      <c r="C3291" s="261" t="s">
        <v>6</v>
      </c>
      <c r="D3291" s="266">
        <v>372.04</v>
      </c>
    </row>
    <row r="3292" spans="1:4">
      <c r="A3292" s="261">
        <v>2003367</v>
      </c>
      <c r="B3292" s="265" t="s">
        <v>14589</v>
      </c>
      <c r="C3292" s="261" t="s">
        <v>6</v>
      </c>
      <c r="D3292" s="266">
        <v>376.39</v>
      </c>
    </row>
    <row r="3293" spans="1:4">
      <c r="A3293" s="261">
        <v>2003366</v>
      </c>
      <c r="B3293" s="265" t="s">
        <v>14590</v>
      </c>
      <c r="C3293" s="261" t="s">
        <v>6</v>
      </c>
      <c r="D3293" s="266">
        <v>348.12</v>
      </c>
    </row>
    <row r="3294" spans="1:4">
      <c r="A3294" s="261">
        <v>2003869</v>
      </c>
      <c r="B3294" s="265" t="s">
        <v>14591</v>
      </c>
      <c r="C3294" s="261" t="s">
        <v>6</v>
      </c>
      <c r="D3294" s="266">
        <v>181.77</v>
      </c>
    </row>
    <row r="3295" spans="1:4">
      <c r="A3295" s="261">
        <v>2003822</v>
      </c>
      <c r="B3295" s="265" t="s">
        <v>14592</v>
      </c>
      <c r="C3295" s="261" t="s">
        <v>6</v>
      </c>
      <c r="D3295" s="266">
        <v>240.45</v>
      </c>
    </row>
    <row r="3296" spans="1:4">
      <c r="A3296" s="261">
        <v>2003826</v>
      </c>
      <c r="B3296" s="265" t="s">
        <v>14593</v>
      </c>
      <c r="C3296" s="261" t="s">
        <v>6</v>
      </c>
      <c r="D3296" s="266">
        <v>439.38</v>
      </c>
    </row>
    <row r="3297" spans="1:4">
      <c r="A3297" s="261">
        <v>2003830</v>
      </c>
      <c r="B3297" s="265" t="s">
        <v>14594</v>
      </c>
      <c r="C3297" s="261" t="s">
        <v>6</v>
      </c>
      <c r="D3297" s="266">
        <v>543.96</v>
      </c>
    </row>
    <row r="3298" spans="1:4">
      <c r="A3298" s="261">
        <v>2003834</v>
      </c>
      <c r="B3298" s="265" t="s">
        <v>14595</v>
      </c>
      <c r="C3298" s="261" t="s">
        <v>6</v>
      </c>
      <c r="D3298" s="266">
        <v>741.53</v>
      </c>
    </row>
    <row r="3299" spans="1:4">
      <c r="A3299" s="261">
        <v>2003838</v>
      </c>
      <c r="B3299" s="265" t="s">
        <v>14596</v>
      </c>
      <c r="C3299" s="261" t="s">
        <v>6</v>
      </c>
      <c r="D3299" s="266">
        <v>988.26</v>
      </c>
    </row>
    <row r="3300" spans="1:4">
      <c r="A3300" s="261">
        <v>2003768</v>
      </c>
      <c r="B3300" s="265" t="s">
        <v>14597</v>
      </c>
      <c r="C3300" s="261" t="s">
        <v>6</v>
      </c>
      <c r="D3300" s="266">
        <v>177.16</v>
      </c>
    </row>
    <row r="3301" spans="1:4">
      <c r="A3301" s="261">
        <v>2003873</v>
      </c>
      <c r="B3301" s="265" t="s">
        <v>14598</v>
      </c>
      <c r="C3301" s="261" t="s">
        <v>6</v>
      </c>
      <c r="D3301" s="266">
        <v>162.43</v>
      </c>
    </row>
    <row r="3302" spans="1:4">
      <c r="A3302" s="261">
        <v>2003772</v>
      </c>
      <c r="B3302" s="265" t="s">
        <v>14599</v>
      </c>
      <c r="C3302" s="261" t="s">
        <v>6</v>
      </c>
      <c r="D3302" s="266">
        <v>257.93</v>
      </c>
    </row>
    <row r="3303" spans="1:4">
      <c r="A3303" s="261">
        <v>2003877</v>
      </c>
      <c r="B3303" s="265" t="s">
        <v>14600</v>
      </c>
      <c r="C3303" s="261" t="s">
        <v>6</v>
      </c>
      <c r="D3303" s="266">
        <v>234.62</v>
      </c>
    </row>
    <row r="3304" spans="1:4">
      <c r="A3304" s="261">
        <v>2003776</v>
      </c>
      <c r="B3304" s="265" t="s">
        <v>14601</v>
      </c>
      <c r="C3304" s="261" t="s">
        <v>6</v>
      </c>
      <c r="D3304" s="266">
        <v>423.21</v>
      </c>
    </row>
    <row r="3305" spans="1:4">
      <c r="A3305" s="261">
        <v>2003881</v>
      </c>
      <c r="B3305" s="265" t="s">
        <v>14602</v>
      </c>
      <c r="C3305" s="261" t="s">
        <v>6</v>
      </c>
      <c r="D3305" s="266">
        <v>391.26</v>
      </c>
    </row>
    <row r="3306" spans="1:4">
      <c r="A3306" s="261">
        <v>2003780</v>
      </c>
      <c r="B3306" s="265" t="s">
        <v>14603</v>
      </c>
      <c r="C3306" s="261" t="s">
        <v>6</v>
      </c>
      <c r="D3306" s="266">
        <v>559.97</v>
      </c>
    </row>
    <row r="3307" spans="1:4">
      <c r="A3307" s="261">
        <v>2003885</v>
      </c>
      <c r="B3307" s="265" t="s">
        <v>14604</v>
      </c>
      <c r="C3307" s="261" t="s">
        <v>6</v>
      </c>
      <c r="D3307" s="266">
        <v>513.25</v>
      </c>
    </row>
    <row r="3308" spans="1:4">
      <c r="A3308" s="261">
        <v>2003784</v>
      </c>
      <c r="B3308" s="265" t="s">
        <v>14605</v>
      </c>
      <c r="C3308" s="261" t="s">
        <v>6</v>
      </c>
      <c r="D3308" s="266">
        <v>868.2</v>
      </c>
    </row>
    <row r="3309" spans="1:4">
      <c r="A3309" s="261">
        <v>2003889</v>
      </c>
      <c r="B3309" s="265" t="s">
        <v>14606</v>
      </c>
      <c r="C3309" s="261" t="s">
        <v>6</v>
      </c>
      <c r="D3309" s="266">
        <v>795.05</v>
      </c>
    </row>
    <row r="3310" spans="1:4">
      <c r="A3310" s="261">
        <v>2003870</v>
      </c>
      <c r="B3310" s="265" t="s">
        <v>14607</v>
      </c>
      <c r="C3310" s="261" t="s">
        <v>6</v>
      </c>
      <c r="D3310" s="266">
        <v>207.83</v>
      </c>
    </row>
    <row r="3311" spans="1:4">
      <c r="A3311" s="261">
        <v>2003823</v>
      </c>
      <c r="B3311" s="265" t="s">
        <v>14608</v>
      </c>
      <c r="C3311" s="261" t="s">
        <v>6</v>
      </c>
      <c r="D3311" s="266">
        <v>270.29000000000002</v>
      </c>
    </row>
    <row r="3312" spans="1:4">
      <c r="A3312" s="261">
        <v>2003827</v>
      </c>
      <c r="B3312" s="265" t="s">
        <v>14609</v>
      </c>
      <c r="C3312" s="261" t="s">
        <v>6</v>
      </c>
      <c r="D3312" s="266">
        <v>474.55</v>
      </c>
    </row>
    <row r="3313" spans="1:4">
      <c r="A3313" s="261">
        <v>2003831</v>
      </c>
      <c r="B3313" s="265" t="s">
        <v>14610</v>
      </c>
      <c r="C3313" s="261" t="s">
        <v>6</v>
      </c>
      <c r="D3313" s="266">
        <v>622.08000000000004</v>
      </c>
    </row>
    <row r="3314" spans="1:4">
      <c r="A3314" s="261">
        <v>2003835</v>
      </c>
      <c r="B3314" s="265" t="s">
        <v>14611</v>
      </c>
      <c r="C3314" s="261" t="s">
        <v>6</v>
      </c>
      <c r="D3314" s="266">
        <v>752.43</v>
      </c>
    </row>
    <row r="3315" spans="1:4">
      <c r="A3315" s="261">
        <v>2003839</v>
      </c>
      <c r="B3315" s="265" t="s">
        <v>14612</v>
      </c>
      <c r="C3315" s="261" t="s">
        <v>6</v>
      </c>
      <c r="D3315" s="266">
        <v>1086.82</v>
      </c>
    </row>
    <row r="3316" spans="1:4">
      <c r="A3316" s="261">
        <v>2003769</v>
      </c>
      <c r="B3316" s="265" t="s">
        <v>14613</v>
      </c>
      <c r="C3316" s="261" t="s">
        <v>6</v>
      </c>
      <c r="D3316" s="266">
        <v>190.88</v>
      </c>
    </row>
    <row r="3317" spans="1:4">
      <c r="A3317" s="261">
        <v>2003874</v>
      </c>
      <c r="B3317" s="265" t="s">
        <v>14614</v>
      </c>
      <c r="C3317" s="261" t="s">
        <v>6</v>
      </c>
      <c r="D3317" s="266">
        <v>176.16</v>
      </c>
    </row>
    <row r="3318" spans="1:4">
      <c r="A3318" s="261">
        <v>2003773</v>
      </c>
      <c r="B3318" s="265" t="s">
        <v>14615</v>
      </c>
      <c r="C3318" s="261" t="s">
        <v>6</v>
      </c>
      <c r="D3318" s="266">
        <v>312.8</v>
      </c>
    </row>
    <row r="3319" spans="1:4">
      <c r="A3319" s="261">
        <v>2003878</v>
      </c>
      <c r="B3319" s="265" t="s">
        <v>14616</v>
      </c>
      <c r="C3319" s="261" t="s">
        <v>6</v>
      </c>
      <c r="D3319" s="266">
        <v>289.54000000000002</v>
      </c>
    </row>
    <row r="3320" spans="1:4">
      <c r="A3320" s="261">
        <v>2003777</v>
      </c>
      <c r="B3320" s="265" t="s">
        <v>14617</v>
      </c>
      <c r="C3320" s="261" t="s">
        <v>6</v>
      </c>
      <c r="D3320" s="266">
        <v>478.08</v>
      </c>
    </row>
    <row r="3321" spans="1:4">
      <c r="A3321" s="261">
        <v>2003882</v>
      </c>
      <c r="B3321" s="265" t="s">
        <v>14618</v>
      </c>
      <c r="C3321" s="261" t="s">
        <v>6</v>
      </c>
      <c r="D3321" s="266">
        <v>446.19</v>
      </c>
    </row>
    <row r="3322" spans="1:4">
      <c r="A3322" s="261">
        <v>2003781</v>
      </c>
      <c r="B3322" s="265" t="s">
        <v>14619</v>
      </c>
      <c r="C3322" s="261" t="s">
        <v>6</v>
      </c>
      <c r="D3322" s="266">
        <v>683.43</v>
      </c>
    </row>
    <row r="3323" spans="1:4">
      <c r="A3323" s="261">
        <v>2003886</v>
      </c>
      <c r="B3323" s="265" t="s">
        <v>14620</v>
      </c>
      <c r="C3323" s="261" t="s">
        <v>6</v>
      </c>
      <c r="D3323" s="266">
        <v>636.83000000000004</v>
      </c>
    </row>
    <row r="3324" spans="1:4">
      <c r="A3324" s="261">
        <v>2003785</v>
      </c>
      <c r="B3324" s="265" t="s">
        <v>14621</v>
      </c>
      <c r="C3324" s="261" t="s">
        <v>6</v>
      </c>
      <c r="D3324" s="266">
        <v>1060.26</v>
      </c>
    </row>
    <row r="3325" spans="1:4">
      <c r="A3325" s="261">
        <v>2003890</v>
      </c>
      <c r="B3325" s="265" t="s">
        <v>14622</v>
      </c>
      <c r="C3325" s="261" t="s">
        <v>6</v>
      </c>
      <c r="D3325" s="266">
        <v>987.29</v>
      </c>
    </row>
    <row r="3326" spans="1:4">
      <c r="A3326" s="261">
        <v>2003871</v>
      </c>
      <c r="B3326" s="265" t="s">
        <v>14623</v>
      </c>
      <c r="C3326" s="261" t="s">
        <v>6</v>
      </c>
      <c r="D3326" s="266">
        <v>212.52</v>
      </c>
    </row>
    <row r="3327" spans="1:4">
      <c r="A3327" s="261">
        <v>2003824</v>
      </c>
      <c r="B3327" s="265" t="s">
        <v>14624</v>
      </c>
      <c r="C3327" s="261" t="s">
        <v>6</v>
      </c>
      <c r="D3327" s="266">
        <v>308.05</v>
      </c>
    </row>
    <row r="3328" spans="1:4">
      <c r="A3328" s="261">
        <v>2003828</v>
      </c>
      <c r="B3328" s="265" t="s">
        <v>14625</v>
      </c>
      <c r="C3328" s="261" t="s">
        <v>6</v>
      </c>
      <c r="D3328" s="266">
        <v>509.68</v>
      </c>
    </row>
    <row r="3329" spans="1:4">
      <c r="A3329" s="261">
        <v>2003832</v>
      </c>
      <c r="B3329" s="265" t="s">
        <v>14626</v>
      </c>
      <c r="C3329" s="261" t="s">
        <v>6</v>
      </c>
      <c r="D3329" s="266">
        <v>676.64</v>
      </c>
    </row>
    <row r="3330" spans="1:4">
      <c r="A3330" s="261">
        <v>2003836</v>
      </c>
      <c r="B3330" s="265" t="s">
        <v>14627</v>
      </c>
      <c r="C3330" s="261" t="s">
        <v>6</v>
      </c>
      <c r="D3330" s="266">
        <v>840.11</v>
      </c>
    </row>
    <row r="3331" spans="1:4">
      <c r="A3331" s="261">
        <v>2003840</v>
      </c>
      <c r="B3331" s="265" t="s">
        <v>14628</v>
      </c>
      <c r="C3331" s="261" t="s">
        <v>6</v>
      </c>
      <c r="D3331" s="266">
        <v>1314.82</v>
      </c>
    </row>
    <row r="3332" spans="1:4">
      <c r="A3332" s="261">
        <v>2003770</v>
      </c>
      <c r="B3332" s="265" t="s">
        <v>14629</v>
      </c>
      <c r="C3332" s="261" t="s">
        <v>6</v>
      </c>
      <c r="D3332" s="266">
        <v>259.47000000000003</v>
      </c>
    </row>
    <row r="3333" spans="1:4">
      <c r="A3333" s="261">
        <v>2003875</v>
      </c>
      <c r="B3333" s="265" t="s">
        <v>14630</v>
      </c>
      <c r="C3333" s="261" t="s">
        <v>6</v>
      </c>
      <c r="D3333" s="266">
        <v>244.82</v>
      </c>
    </row>
    <row r="3334" spans="1:4">
      <c r="A3334" s="261">
        <v>2003774</v>
      </c>
      <c r="B3334" s="265" t="s">
        <v>14631</v>
      </c>
      <c r="C3334" s="261" t="s">
        <v>6</v>
      </c>
      <c r="D3334" s="266">
        <v>419.93</v>
      </c>
    </row>
    <row r="3335" spans="1:4">
      <c r="A3335" s="261">
        <v>2003879</v>
      </c>
      <c r="B3335" s="265" t="s">
        <v>14632</v>
      </c>
      <c r="C3335" s="261" t="s">
        <v>6</v>
      </c>
      <c r="D3335" s="266">
        <v>393.9</v>
      </c>
    </row>
    <row r="3336" spans="1:4">
      <c r="A3336" s="261">
        <v>2003778</v>
      </c>
      <c r="B3336" s="265" t="s">
        <v>14633</v>
      </c>
      <c r="C3336" s="261" t="s">
        <v>6</v>
      </c>
      <c r="D3336" s="266">
        <v>581.15</v>
      </c>
    </row>
    <row r="3337" spans="1:4">
      <c r="A3337" s="261">
        <v>2003883</v>
      </c>
      <c r="B3337" s="265" t="s">
        <v>14634</v>
      </c>
      <c r="C3337" s="261" t="s">
        <v>6</v>
      </c>
      <c r="D3337" s="266">
        <v>540.45000000000005</v>
      </c>
    </row>
    <row r="3338" spans="1:4">
      <c r="A3338" s="261">
        <v>2003782</v>
      </c>
      <c r="B3338" s="265" t="s">
        <v>14635</v>
      </c>
      <c r="C3338" s="261" t="s">
        <v>6</v>
      </c>
      <c r="D3338" s="266">
        <v>868.2</v>
      </c>
    </row>
    <row r="3339" spans="1:4">
      <c r="A3339" s="261">
        <v>2003887</v>
      </c>
      <c r="B3339" s="265" t="s">
        <v>14636</v>
      </c>
      <c r="C3339" s="261" t="s">
        <v>6</v>
      </c>
      <c r="D3339" s="266">
        <v>805.94</v>
      </c>
    </row>
    <row r="3340" spans="1:4">
      <c r="A3340" s="261">
        <v>2003786</v>
      </c>
      <c r="B3340" s="265" t="s">
        <v>14637</v>
      </c>
      <c r="C3340" s="261" t="s">
        <v>6</v>
      </c>
      <c r="D3340" s="266">
        <v>1359.15</v>
      </c>
    </row>
    <row r="3341" spans="1:4">
      <c r="A3341" s="261">
        <v>2003891</v>
      </c>
      <c r="B3341" s="265" t="s">
        <v>14638</v>
      </c>
      <c r="C3341" s="261" t="s">
        <v>6</v>
      </c>
      <c r="D3341" s="266">
        <v>1262.4100000000001</v>
      </c>
    </row>
    <row r="3342" spans="1:4">
      <c r="A3342" s="261">
        <v>2003872</v>
      </c>
      <c r="B3342" s="265" t="s">
        <v>14639</v>
      </c>
      <c r="C3342" s="261" t="s">
        <v>6</v>
      </c>
      <c r="D3342" s="266">
        <v>316.56</v>
      </c>
    </row>
    <row r="3343" spans="1:4">
      <c r="A3343" s="261">
        <v>2003825</v>
      </c>
      <c r="B3343" s="265" t="s">
        <v>14640</v>
      </c>
      <c r="C3343" s="261" t="s">
        <v>6</v>
      </c>
      <c r="D3343" s="266">
        <v>379.93</v>
      </c>
    </row>
    <row r="3344" spans="1:4">
      <c r="A3344" s="261">
        <v>2003829</v>
      </c>
      <c r="B3344" s="265" t="s">
        <v>14641</v>
      </c>
      <c r="C3344" s="261" t="s">
        <v>6</v>
      </c>
      <c r="D3344" s="266">
        <v>527.6</v>
      </c>
    </row>
    <row r="3345" spans="1:4">
      <c r="A3345" s="261">
        <v>2003833</v>
      </c>
      <c r="B3345" s="265" t="s">
        <v>14642</v>
      </c>
      <c r="C3345" s="261" t="s">
        <v>6</v>
      </c>
      <c r="D3345" s="266">
        <v>735.46</v>
      </c>
    </row>
    <row r="3346" spans="1:4">
      <c r="A3346" s="261">
        <v>2003837</v>
      </c>
      <c r="B3346" s="265" t="s">
        <v>14643</v>
      </c>
      <c r="C3346" s="261" t="s">
        <v>6</v>
      </c>
      <c r="D3346" s="266">
        <v>932.42</v>
      </c>
    </row>
    <row r="3347" spans="1:4">
      <c r="A3347" s="261">
        <v>2003841</v>
      </c>
      <c r="B3347" s="265" t="s">
        <v>14644</v>
      </c>
      <c r="C3347" s="261" t="s">
        <v>6</v>
      </c>
      <c r="D3347" s="266">
        <v>1319.04</v>
      </c>
    </row>
    <row r="3348" spans="1:4">
      <c r="A3348" s="261">
        <v>2003771</v>
      </c>
      <c r="B3348" s="265" t="s">
        <v>14645</v>
      </c>
      <c r="C3348" s="261" t="s">
        <v>6</v>
      </c>
      <c r="D3348" s="266">
        <v>311.77999999999997</v>
      </c>
    </row>
    <row r="3349" spans="1:4">
      <c r="A3349" s="261">
        <v>2003876</v>
      </c>
      <c r="B3349" s="265" t="s">
        <v>14646</v>
      </c>
      <c r="C3349" s="261" t="s">
        <v>6</v>
      </c>
      <c r="D3349" s="266">
        <v>294.29000000000002</v>
      </c>
    </row>
    <row r="3350" spans="1:4">
      <c r="A3350" s="261">
        <v>2003775</v>
      </c>
      <c r="B3350" s="265" t="s">
        <v>14647</v>
      </c>
      <c r="C3350" s="261" t="s">
        <v>6</v>
      </c>
      <c r="D3350" s="266">
        <v>482.54</v>
      </c>
    </row>
    <row r="3351" spans="1:4">
      <c r="A3351" s="261">
        <v>2003880</v>
      </c>
      <c r="B3351" s="265" t="s">
        <v>14648</v>
      </c>
      <c r="C3351" s="261" t="s">
        <v>6</v>
      </c>
      <c r="D3351" s="266">
        <v>451.03</v>
      </c>
    </row>
    <row r="3352" spans="1:4">
      <c r="A3352" s="261">
        <v>2003779</v>
      </c>
      <c r="B3352" s="265" t="s">
        <v>14649</v>
      </c>
      <c r="C3352" s="261" t="s">
        <v>6</v>
      </c>
      <c r="D3352" s="266">
        <v>717.76</v>
      </c>
    </row>
    <row r="3353" spans="1:4">
      <c r="A3353" s="261">
        <v>2003884</v>
      </c>
      <c r="B3353" s="265" t="s">
        <v>14650</v>
      </c>
      <c r="C3353" s="261" t="s">
        <v>6</v>
      </c>
      <c r="D3353" s="266">
        <v>670.24</v>
      </c>
    </row>
    <row r="3354" spans="1:4">
      <c r="A3354" s="261">
        <v>2003783</v>
      </c>
      <c r="B3354" s="265" t="s">
        <v>14651</v>
      </c>
      <c r="C3354" s="261" t="s">
        <v>6</v>
      </c>
      <c r="D3354" s="266">
        <v>1024.71</v>
      </c>
    </row>
    <row r="3355" spans="1:4">
      <c r="A3355" s="261">
        <v>2003888</v>
      </c>
      <c r="B3355" s="265" t="s">
        <v>14652</v>
      </c>
      <c r="C3355" s="261" t="s">
        <v>6</v>
      </c>
      <c r="D3355" s="266">
        <v>954.06</v>
      </c>
    </row>
    <row r="3356" spans="1:4">
      <c r="A3356" s="261">
        <v>2003787</v>
      </c>
      <c r="B3356" s="265" t="s">
        <v>14653</v>
      </c>
      <c r="C3356" s="261" t="s">
        <v>6</v>
      </c>
      <c r="D3356" s="266">
        <v>1606.08</v>
      </c>
    </row>
    <row r="3357" spans="1:4">
      <c r="A3357" s="261">
        <v>2003892</v>
      </c>
      <c r="B3357" s="265" t="s">
        <v>14654</v>
      </c>
      <c r="C3357" s="261" t="s">
        <v>6</v>
      </c>
      <c r="D3357" s="266">
        <v>1506.03</v>
      </c>
    </row>
    <row r="3358" spans="1:4">
      <c r="A3358" s="261">
        <v>2003851</v>
      </c>
      <c r="B3358" s="265" t="s">
        <v>14655</v>
      </c>
      <c r="C3358" s="261" t="s">
        <v>6</v>
      </c>
      <c r="D3358" s="266">
        <v>90.68</v>
      </c>
    </row>
    <row r="3359" spans="1:4">
      <c r="A3359" s="261">
        <v>2003935</v>
      </c>
      <c r="B3359" s="265" t="s">
        <v>14656</v>
      </c>
      <c r="C3359" s="261" t="s">
        <v>6</v>
      </c>
      <c r="D3359" s="266">
        <v>11.33</v>
      </c>
    </row>
    <row r="3360" spans="1:4">
      <c r="A3360" s="261">
        <v>2003934</v>
      </c>
      <c r="B3360" s="265" t="s">
        <v>14657</v>
      </c>
      <c r="C3360" s="261" t="s">
        <v>6</v>
      </c>
      <c r="D3360" s="266">
        <v>15.88</v>
      </c>
    </row>
    <row r="3361" spans="1:4">
      <c r="A3361" s="261">
        <v>2003990</v>
      </c>
      <c r="B3361" s="265" t="s">
        <v>14658</v>
      </c>
      <c r="C3361" s="261" t="s">
        <v>6</v>
      </c>
      <c r="D3361" s="266">
        <v>1312.48</v>
      </c>
    </row>
    <row r="3362" spans="1:4">
      <c r="A3362" s="261">
        <v>2003991</v>
      </c>
      <c r="B3362" s="265" t="s">
        <v>14659</v>
      </c>
      <c r="C3362" s="261" t="s">
        <v>6</v>
      </c>
      <c r="D3362" s="266">
        <v>1269.42</v>
      </c>
    </row>
    <row r="3363" spans="1:4">
      <c r="A3363" s="261">
        <v>2003992</v>
      </c>
      <c r="B3363" s="265" t="s">
        <v>14660</v>
      </c>
      <c r="C3363" s="261" t="s">
        <v>6</v>
      </c>
      <c r="D3363" s="266">
        <v>1749.05</v>
      </c>
    </row>
    <row r="3364" spans="1:4">
      <c r="A3364" s="261">
        <v>2003993</v>
      </c>
      <c r="B3364" s="265" t="s">
        <v>14661</v>
      </c>
      <c r="C3364" s="261" t="s">
        <v>6</v>
      </c>
      <c r="D3364" s="266">
        <v>2363.46</v>
      </c>
    </row>
    <row r="3365" spans="1:4">
      <c r="A3365" s="261">
        <v>2003994</v>
      </c>
      <c r="B3365" s="265" t="s">
        <v>14662</v>
      </c>
      <c r="C3365" s="261" t="s">
        <v>6</v>
      </c>
      <c r="D3365" s="266">
        <v>7169.41</v>
      </c>
    </row>
    <row r="3366" spans="1:4">
      <c r="A3366" s="261">
        <v>2003995</v>
      </c>
      <c r="B3366" s="265" t="s">
        <v>14663</v>
      </c>
      <c r="C3366" s="261" t="s">
        <v>6</v>
      </c>
      <c r="D3366" s="266">
        <v>8678.7800000000007</v>
      </c>
    </row>
    <row r="3367" spans="1:4">
      <c r="A3367" s="261">
        <v>2003996</v>
      </c>
      <c r="B3367" s="265" t="s">
        <v>14664</v>
      </c>
      <c r="C3367" s="261" t="s">
        <v>6</v>
      </c>
      <c r="D3367" s="266">
        <v>14539.84</v>
      </c>
    </row>
    <row r="3368" spans="1:4">
      <c r="A3368" s="261">
        <v>2003997</v>
      </c>
      <c r="B3368" s="265" t="s">
        <v>14665</v>
      </c>
      <c r="C3368" s="261" t="s">
        <v>6</v>
      </c>
      <c r="D3368" s="266">
        <v>20474.2</v>
      </c>
    </row>
    <row r="3369" spans="1:4">
      <c r="A3369" s="261">
        <v>2003983</v>
      </c>
      <c r="B3369" s="265" t="s">
        <v>14666</v>
      </c>
      <c r="C3369" s="261" t="s">
        <v>6</v>
      </c>
      <c r="D3369" s="266">
        <v>211.81</v>
      </c>
    </row>
    <row r="3370" spans="1:4">
      <c r="A3370" s="261">
        <v>2003984</v>
      </c>
      <c r="B3370" s="265" t="s">
        <v>14667</v>
      </c>
      <c r="C3370" s="261" t="s">
        <v>6</v>
      </c>
      <c r="D3370" s="266">
        <v>234.24</v>
      </c>
    </row>
    <row r="3371" spans="1:4">
      <c r="A3371" s="261">
        <v>2003985</v>
      </c>
      <c r="B3371" s="265" t="s">
        <v>14668</v>
      </c>
      <c r="C3371" s="261" t="s">
        <v>6</v>
      </c>
      <c r="D3371" s="266">
        <v>346.52</v>
      </c>
    </row>
    <row r="3372" spans="1:4">
      <c r="A3372" s="261">
        <v>2003986</v>
      </c>
      <c r="B3372" s="265" t="s">
        <v>14669</v>
      </c>
      <c r="C3372" s="261" t="s">
        <v>6</v>
      </c>
      <c r="D3372" s="266">
        <v>505.06</v>
      </c>
    </row>
    <row r="3373" spans="1:4">
      <c r="A3373" s="261">
        <v>2003987</v>
      </c>
      <c r="B3373" s="265" t="s">
        <v>14670</v>
      </c>
      <c r="C3373" s="261" t="s">
        <v>6</v>
      </c>
      <c r="D3373" s="266">
        <v>667.49</v>
      </c>
    </row>
    <row r="3374" spans="1:4">
      <c r="A3374" s="261">
        <v>2003988</v>
      </c>
      <c r="B3374" s="265" t="s">
        <v>14671</v>
      </c>
      <c r="C3374" s="261" t="s">
        <v>6</v>
      </c>
      <c r="D3374" s="266">
        <v>738.12</v>
      </c>
    </row>
    <row r="3375" spans="1:4">
      <c r="A3375" s="261">
        <v>2003989</v>
      </c>
      <c r="B3375" s="265" t="s">
        <v>14672</v>
      </c>
      <c r="C3375" s="261" t="s">
        <v>6</v>
      </c>
      <c r="D3375" s="266">
        <v>898.22</v>
      </c>
    </row>
    <row r="3376" spans="1:4">
      <c r="A3376" s="261">
        <v>2003298</v>
      </c>
      <c r="B3376" s="265" t="s">
        <v>14673</v>
      </c>
      <c r="C3376" s="261" t="s">
        <v>6</v>
      </c>
      <c r="D3376" s="266">
        <v>14.62</v>
      </c>
    </row>
    <row r="3377" spans="1:4">
      <c r="A3377" s="261">
        <v>2003297</v>
      </c>
      <c r="B3377" s="265" t="s">
        <v>14674</v>
      </c>
      <c r="C3377" s="261" t="s">
        <v>6</v>
      </c>
      <c r="D3377" s="266">
        <v>18.05</v>
      </c>
    </row>
    <row r="3378" spans="1:4">
      <c r="A3378" s="261">
        <v>2003315</v>
      </c>
      <c r="B3378" s="265" t="s">
        <v>14675</v>
      </c>
      <c r="C3378" s="261" t="s">
        <v>6</v>
      </c>
      <c r="D3378" s="266">
        <v>104.97</v>
      </c>
    </row>
    <row r="3379" spans="1:4" ht="31.5">
      <c r="A3379" s="261">
        <v>2003314</v>
      </c>
      <c r="B3379" s="265" t="s">
        <v>14676</v>
      </c>
      <c r="C3379" s="261" t="s">
        <v>6</v>
      </c>
      <c r="D3379" s="266">
        <v>91.49</v>
      </c>
    </row>
    <row r="3380" spans="1:4">
      <c r="A3380" s="261">
        <v>2003313</v>
      </c>
      <c r="B3380" s="265" t="s">
        <v>14677</v>
      </c>
      <c r="C3380" s="261" t="s">
        <v>6</v>
      </c>
      <c r="D3380" s="266">
        <v>130.16</v>
      </c>
    </row>
    <row r="3381" spans="1:4" ht="31.5">
      <c r="A3381" s="261">
        <v>2003312</v>
      </c>
      <c r="B3381" s="265" t="s">
        <v>14678</v>
      </c>
      <c r="C3381" s="261" t="s">
        <v>6</v>
      </c>
      <c r="D3381" s="266">
        <v>113.31</v>
      </c>
    </row>
    <row r="3382" spans="1:4">
      <c r="A3382" s="261">
        <v>2003311</v>
      </c>
      <c r="B3382" s="265" t="s">
        <v>14679</v>
      </c>
      <c r="C3382" s="261" t="s">
        <v>6</v>
      </c>
      <c r="D3382" s="266">
        <v>45.01</v>
      </c>
    </row>
    <row r="3383" spans="1:4">
      <c r="A3383" s="261">
        <v>2003310</v>
      </c>
      <c r="B3383" s="265" t="s">
        <v>14680</v>
      </c>
      <c r="C3383" s="261" t="s">
        <v>6</v>
      </c>
      <c r="D3383" s="266">
        <v>56.83</v>
      </c>
    </row>
    <row r="3384" spans="1:4">
      <c r="A3384" s="261">
        <v>2003296</v>
      </c>
      <c r="B3384" s="265" t="s">
        <v>14681</v>
      </c>
      <c r="C3384" s="261" t="s">
        <v>6</v>
      </c>
      <c r="D3384" s="266">
        <v>14.62</v>
      </c>
    </row>
    <row r="3385" spans="1:4">
      <c r="A3385" s="261">
        <v>2003295</v>
      </c>
      <c r="B3385" s="265" t="s">
        <v>14682</v>
      </c>
      <c r="C3385" s="261" t="s">
        <v>6</v>
      </c>
      <c r="D3385" s="266">
        <v>18.05</v>
      </c>
    </row>
    <row r="3386" spans="1:4">
      <c r="A3386" s="261">
        <v>2003309</v>
      </c>
      <c r="B3386" s="265" t="s">
        <v>14683</v>
      </c>
      <c r="C3386" s="261" t="s">
        <v>6</v>
      </c>
      <c r="D3386" s="266">
        <v>104.97</v>
      </c>
    </row>
    <row r="3387" spans="1:4">
      <c r="A3387" s="261">
        <v>2003308</v>
      </c>
      <c r="B3387" s="265" t="s">
        <v>14684</v>
      </c>
      <c r="C3387" s="261" t="s">
        <v>6</v>
      </c>
      <c r="D3387" s="266">
        <v>91.49</v>
      </c>
    </row>
    <row r="3388" spans="1:4">
      <c r="A3388" s="261">
        <v>2003307</v>
      </c>
      <c r="B3388" s="265" t="s">
        <v>14685</v>
      </c>
      <c r="C3388" s="261" t="s">
        <v>6</v>
      </c>
      <c r="D3388" s="266">
        <v>130.16</v>
      </c>
    </row>
    <row r="3389" spans="1:4">
      <c r="A3389" s="261">
        <v>2003306</v>
      </c>
      <c r="B3389" s="265" t="s">
        <v>14686</v>
      </c>
      <c r="C3389" s="261" t="s">
        <v>6</v>
      </c>
      <c r="D3389" s="266">
        <v>113.31</v>
      </c>
    </row>
    <row r="3390" spans="1:4">
      <c r="A3390" s="261">
        <v>2003305</v>
      </c>
      <c r="B3390" s="265" t="s">
        <v>14687</v>
      </c>
      <c r="C3390" s="261" t="s">
        <v>6</v>
      </c>
      <c r="D3390" s="266">
        <v>45.01</v>
      </c>
    </row>
    <row r="3391" spans="1:4">
      <c r="A3391" s="261">
        <v>2003304</v>
      </c>
      <c r="B3391" s="265" t="s">
        <v>14688</v>
      </c>
      <c r="C3391" s="261" t="s">
        <v>6</v>
      </c>
      <c r="D3391" s="266">
        <v>56.83</v>
      </c>
    </row>
    <row r="3392" spans="1:4" ht="31.5">
      <c r="A3392" s="261">
        <v>2105846</v>
      </c>
      <c r="B3392" s="265" t="s">
        <v>14689</v>
      </c>
      <c r="C3392" s="261" t="s">
        <v>3</v>
      </c>
      <c r="D3392" s="266">
        <v>477.53</v>
      </c>
    </row>
    <row r="3393" spans="1:4" ht="31.5">
      <c r="A3393" s="261">
        <v>2105929</v>
      </c>
      <c r="B3393" s="265" t="s">
        <v>14690</v>
      </c>
      <c r="C3393" s="261" t="s">
        <v>3</v>
      </c>
      <c r="D3393" s="266">
        <v>542.28</v>
      </c>
    </row>
    <row r="3394" spans="1:4" ht="31.5">
      <c r="A3394" s="261">
        <v>2105933</v>
      </c>
      <c r="B3394" s="265" t="s">
        <v>14691</v>
      </c>
      <c r="C3394" s="261" t="s">
        <v>3</v>
      </c>
      <c r="D3394" s="266">
        <v>607.02</v>
      </c>
    </row>
    <row r="3395" spans="1:4" ht="31.5">
      <c r="A3395" s="261">
        <v>2106293</v>
      </c>
      <c r="B3395" s="265" t="s">
        <v>14692</v>
      </c>
      <c r="C3395" s="261" t="s">
        <v>3</v>
      </c>
      <c r="D3395" s="266">
        <v>225.86</v>
      </c>
    </row>
    <row r="3396" spans="1:4">
      <c r="A3396" s="261">
        <v>2108165</v>
      </c>
      <c r="B3396" s="265" t="s">
        <v>14693</v>
      </c>
      <c r="C3396" s="261" t="s">
        <v>5</v>
      </c>
      <c r="D3396" s="266">
        <v>39.18</v>
      </c>
    </row>
    <row r="3397" spans="1:4">
      <c r="A3397" s="261">
        <v>2108166</v>
      </c>
      <c r="B3397" s="265" t="s">
        <v>14694</v>
      </c>
      <c r="C3397" s="261" t="s">
        <v>5</v>
      </c>
      <c r="D3397" s="266">
        <v>27.7</v>
      </c>
    </row>
    <row r="3398" spans="1:4">
      <c r="A3398" s="261">
        <v>2108167</v>
      </c>
      <c r="B3398" s="265" t="s">
        <v>14695</v>
      </c>
      <c r="C3398" s="261" t="s">
        <v>5</v>
      </c>
      <c r="D3398" s="266">
        <v>24.85</v>
      </c>
    </row>
    <row r="3399" spans="1:4">
      <c r="A3399" s="261">
        <v>2108168</v>
      </c>
      <c r="B3399" s="265" t="s">
        <v>14696</v>
      </c>
      <c r="C3399" s="261" t="s">
        <v>5</v>
      </c>
      <c r="D3399" s="266">
        <v>24.35</v>
      </c>
    </row>
    <row r="3400" spans="1:4">
      <c r="A3400" s="261">
        <v>2108169</v>
      </c>
      <c r="B3400" s="265" t="s">
        <v>14697</v>
      </c>
      <c r="C3400" s="261" t="s">
        <v>5</v>
      </c>
      <c r="D3400" s="266">
        <v>58.8</v>
      </c>
    </row>
    <row r="3401" spans="1:4">
      <c r="A3401" s="261">
        <v>2108170</v>
      </c>
      <c r="B3401" s="265" t="s">
        <v>14698</v>
      </c>
      <c r="C3401" s="261" t="s">
        <v>5</v>
      </c>
      <c r="D3401" s="266">
        <v>42.5</v>
      </c>
    </row>
    <row r="3402" spans="1:4">
      <c r="A3402" s="261">
        <v>2108171</v>
      </c>
      <c r="B3402" s="265" t="s">
        <v>14699</v>
      </c>
      <c r="C3402" s="261" t="s">
        <v>5</v>
      </c>
      <c r="D3402" s="266">
        <v>39.090000000000003</v>
      </c>
    </row>
    <row r="3403" spans="1:4">
      <c r="A3403" s="261">
        <v>2108172</v>
      </c>
      <c r="B3403" s="265" t="s">
        <v>14700</v>
      </c>
      <c r="C3403" s="261" t="s">
        <v>5</v>
      </c>
      <c r="D3403" s="266">
        <v>39.799999999999997</v>
      </c>
    </row>
    <row r="3404" spans="1:4" ht="31.5">
      <c r="A3404" s="261">
        <v>2106292</v>
      </c>
      <c r="B3404" s="265" t="s">
        <v>14701</v>
      </c>
      <c r="C3404" s="261" t="s">
        <v>3</v>
      </c>
      <c r="D3404" s="266">
        <v>163.05000000000001</v>
      </c>
    </row>
    <row r="3405" spans="1:4" ht="31.5">
      <c r="A3405" s="261">
        <v>2106291</v>
      </c>
      <c r="B3405" s="265" t="s">
        <v>14702</v>
      </c>
      <c r="C3405" s="261" t="s">
        <v>3</v>
      </c>
      <c r="D3405" s="266">
        <v>226.05</v>
      </c>
    </row>
    <row r="3406" spans="1:4" ht="31.5">
      <c r="A3406" s="261">
        <v>2106235</v>
      </c>
      <c r="B3406" s="265" t="s">
        <v>14703</v>
      </c>
      <c r="C3406" s="261" t="s">
        <v>5</v>
      </c>
      <c r="D3406" s="266">
        <v>3.08</v>
      </c>
    </row>
    <row r="3407" spans="1:4" ht="31.5">
      <c r="A3407" s="261">
        <v>2106232</v>
      </c>
      <c r="B3407" s="265" t="s">
        <v>14704</v>
      </c>
      <c r="C3407" s="261" t="s">
        <v>97</v>
      </c>
      <c r="D3407" s="266">
        <v>14.89</v>
      </c>
    </row>
    <row r="3408" spans="1:4" ht="31.5">
      <c r="A3408" s="261">
        <v>2106233</v>
      </c>
      <c r="B3408" s="265" t="s">
        <v>14705</v>
      </c>
      <c r="C3408" s="261" t="s">
        <v>97</v>
      </c>
      <c r="D3408" s="266">
        <v>11.16</v>
      </c>
    </row>
    <row r="3409" spans="1:4">
      <c r="A3409" s="261">
        <v>2105605</v>
      </c>
      <c r="B3409" s="265" t="s">
        <v>14706</v>
      </c>
      <c r="C3409" s="261" t="s">
        <v>5</v>
      </c>
      <c r="D3409" s="266">
        <v>59.98</v>
      </c>
    </row>
    <row r="3410" spans="1:4">
      <c r="A3410" s="261">
        <v>2106298</v>
      </c>
      <c r="B3410" s="265" t="s">
        <v>14707</v>
      </c>
      <c r="C3410" s="261" t="s">
        <v>6</v>
      </c>
      <c r="D3410" s="266">
        <v>36.97</v>
      </c>
    </row>
    <row r="3411" spans="1:4">
      <c r="A3411" s="261">
        <v>2106295</v>
      </c>
      <c r="B3411" s="265" t="s">
        <v>14708</v>
      </c>
      <c r="C3411" s="261" t="s">
        <v>6</v>
      </c>
      <c r="D3411" s="266">
        <v>22.85</v>
      </c>
    </row>
    <row r="3412" spans="1:4">
      <c r="A3412" s="261">
        <v>2106294</v>
      </c>
      <c r="B3412" s="265" t="s">
        <v>14709</v>
      </c>
      <c r="C3412" s="261" t="s">
        <v>6</v>
      </c>
      <c r="D3412" s="266">
        <v>31.26</v>
      </c>
    </row>
    <row r="3413" spans="1:4">
      <c r="A3413" s="261">
        <v>2106297</v>
      </c>
      <c r="B3413" s="265" t="s">
        <v>14710</v>
      </c>
      <c r="C3413" s="261" t="s">
        <v>6</v>
      </c>
      <c r="D3413" s="266">
        <v>33.46</v>
      </c>
    </row>
    <row r="3414" spans="1:4">
      <c r="A3414" s="261">
        <v>2106296</v>
      </c>
      <c r="B3414" s="265" t="s">
        <v>14711</v>
      </c>
      <c r="C3414" s="261" t="s">
        <v>6</v>
      </c>
      <c r="D3414" s="266">
        <v>52.38</v>
      </c>
    </row>
    <row r="3415" spans="1:4">
      <c r="A3415" s="261">
        <v>2306731</v>
      </c>
      <c r="B3415" s="265" t="s">
        <v>14712</v>
      </c>
      <c r="C3415" s="261" t="s">
        <v>10</v>
      </c>
      <c r="D3415" s="266">
        <v>0.62</v>
      </c>
    </row>
    <row r="3416" spans="1:4" ht="31.5">
      <c r="A3416" s="261">
        <v>2306728</v>
      </c>
      <c r="B3416" s="265" t="s">
        <v>14713</v>
      </c>
      <c r="C3416" s="261" t="s">
        <v>6</v>
      </c>
      <c r="D3416" s="266">
        <v>1542.25</v>
      </c>
    </row>
    <row r="3417" spans="1:4" ht="31.5">
      <c r="A3417" s="261">
        <v>2306729</v>
      </c>
      <c r="B3417" s="265" t="s">
        <v>14714</v>
      </c>
      <c r="C3417" s="261" t="s">
        <v>6</v>
      </c>
      <c r="D3417" s="266">
        <v>1879.14</v>
      </c>
    </row>
    <row r="3418" spans="1:4">
      <c r="A3418" s="261">
        <v>2306727</v>
      </c>
      <c r="B3418" s="265" t="s">
        <v>14715</v>
      </c>
      <c r="C3418" s="261" t="s">
        <v>6</v>
      </c>
      <c r="D3418" s="266">
        <v>360.98</v>
      </c>
    </row>
    <row r="3419" spans="1:4">
      <c r="A3419" s="261">
        <v>2306730</v>
      </c>
      <c r="B3419" s="265" t="s">
        <v>14716</v>
      </c>
      <c r="C3419" s="261" t="s">
        <v>5</v>
      </c>
      <c r="D3419" s="266">
        <v>121.99</v>
      </c>
    </row>
    <row r="3420" spans="1:4">
      <c r="A3420" s="261">
        <v>2306726</v>
      </c>
      <c r="B3420" s="265" t="s">
        <v>14717</v>
      </c>
      <c r="C3420" s="261" t="s">
        <v>6</v>
      </c>
      <c r="D3420" s="266">
        <v>235.86</v>
      </c>
    </row>
    <row r="3421" spans="1:4">
      <c r="A3421" s="261">
        <v>2306076</v>
      </c>
      <c r="B3421" s="265" t="s">
        <v>14718</v>
      </c>
      <c r="C3421" s="261" t="s">
        <v>10</v>
      </c>
      <c r="D3421" s="266">
        <v>12.37</v>
      </c>
    </row>
    <row r="3422" spans="1:4">
      <c r="A3422" s="261">
        <v>2306247</v>
      </c>
      <c r="B3422" s="265" t="s">
        <v>14719</v>
      </c>
      <c r="C3422" s="261" t="s">
        <v>5</v>
      </c>
      <c r="D3422" s="266">
        <v>235.28</v>
      </c>
    </row>
    <row r="3423" spans="1:4">
      <c r="A3423" s="261">
        <v>2306248</v>
      </c>
      <c r="B3423" s="265" t="s">
        <v>14720</v>
      </c>
      <c r="C3423" s="261" t="s">
        <v>5</v>
      </c>
      <c r="D3423" s="266">
        <v>539.29</v>
      </c>
    </row>
    <row r="3424" spans="1:4">
      <c r="A3424" s="261">
        <v>2306279</v>
      </c>
      <c r="B3424" s="265" t="s">
        <v>14721</v>
      </c>
      <c r="C3424" s="261" t="s">
        <v>5</v>
      </c>
      <c r="D3424" s="266">
        <v>84.64</v>
      </c>
    </row>
    <row r="3425" spans="1:4">
      <c r="A3425" s="261">
        <v>2306651</v>
      </c>
      <c r="B3425" s="265" t="s">
        <v>14722</v>
      </c>
      <c r="C3425" s="261" t="s">
        <v>6</v>
      </c>
      <c r="D3425" s="266">
        <v>7897.74</v>
      </c>
    </row>
    <row r="3426" spans="1:4">
      <c r="A3426" s="261">
        <v>2306678</v>
      </c>
      <c r="B3426" s="265" t="s">
        <v>14723</v>
      </c>
      <c r="C3426" s="261" t="s">
        <v>6</v>
      </c>
      <c r="D3426" s="266">
        <v>7684.24</v>
      </c>
    </row>
    <row r="3427" spans="1:4">
      <c r="A3427" s="261">
        <v>2306652</v>
      </c>
      <c r="B3427" s="265" t="s">
        <v>14724</v>
      </c>
      <c r="C3427" s="261" t="s">
        <v>6</v>
      </c>
      <c r="D3427" s="266">
        <v>7949.2</v>
      </c>
    </row>
    <row r="3428" spans="1:4">
      <c r="A3428" s="261">
        <v>2306679</v>
      </c>
      <c r="B3428" s="265" t="s">
        <v>14725</v>
      </c>
      <c r="C3428" s="261" t="s">
        <v>6</v>
      </c>
      <c r="D3428" s="266">
        <v>7727.79</v>
      </c>
    </row>
    <row r="3429" spans="1:4">
      <c r="A3429" s="261">
        <v>2306653</v>
      </c>
      <c r="B3429" s="265" t="s">
        <v>14726</v>
      </c>
      <c r="C3429" s="261" t="s">
        <v>6</v>
      </c>
      <c r="D3429" s="266">
        <v>8001.33</v>
      </c>
    </row>
    <row r="3430" spans="1:4">
      <c r="A3430" s="261">
        <v>2306680</v>
      </c>
      <c r="B3430" s="265" t="s">
        <v>14727</v>
      </c>
      <c r="C3430" s="261" t="s">
        <v>6</v>
      </c>
      <c r="D3430" s="266">
        <v>7771.41</v>
      </c>
    </row>
    <row r="3431" spans="1:4">
      <c r="A3431" s="261">
        <v>2306654</v>
      </c>
      <c r="B3431" s="265" t="s">
        <v>14728</v>
      </c>
      <c r="C3431" s="261" t="s">
        <v>6</v>
      </c>
      <c r="D3431" s="266">
        <v>8054.14</v>
      </c>
    </row>
    <row r="3432" spans="1:4">
      <c r="A3432" s="261">
        <v>2306681</v>
      </c>
      <c r="B3432" s="265" t="s">
        <v>14729</v>
      </c>
      <c r="C3432" s="261" t="s">
        <v>6</v>
      </c>
      <c r="D3432" s="266">
        <v>7815.03</v>
      </c>
    </row>
    <row r="3433" spans="1:4">
      <c r="A3433" s="261">
        <v>2306655</v>
      </c>
      <c r="B3433" s="265" t="s">
        <v>14730</v>
      </c>
      <c r="C3433" s="261" t="s">
        <v>6</v>
      </c>
      <c r="D3433" s="266">
        <v>8107.89</v>
      </c>
    </row>
    <row r="3434" spans="1:4">
      <c r="A3434" s="261">
        <v>2306682</v>
      </c>
      <c r="B3434" s="265" t="s">
        <v>14731</v>
      </c>
      <c r="C3434" s="261" t="s">
        <v>6</v>
      </c>
      <c r="D3434" s="266">
        <v>7858.81</v>
      </c>
    </row>
    <row r="3435" spans="1:4">
      <c r="A3435" s="261">
        <v>2306656</v>
      </c>
      <c r="B3435" s="265" t="s">
        <v>14732</v>
      </c>
      <c r="C3435" s="261" t="s">
        <v>6</v>
      </c>
      <c r="D3435" s="266">
        <v>10848.11</v>
      </c>
    </row>
    <row r="3436" spans="1:4">
      <c r="A3436" s="261">
        <v>2306683</v>
      </c>
      <c r="B3436" s="265" t="s">
        <v>14733</v>
      </c>
      <c r="C3436" s="261" t="s">
        <v>6</v>
      </c>
      <c r="D3436" s="266">
        <v>10626.71</v>
      </c>
    </row>
    <row r="3437" spans="1:4">
      <c r="A3437" s="261">
        <v>2306657</v>
      </c>
      <c r="B3437" s="265" t="s">
        <v>14734</v>
      </c>
      <c r="C3437" s="261" t="s">
        <v>6</v>
      </c>
      <c r="D3437" s="266">
        <v>10947.44</v>
      </c>
    </row>
    <row r="3438" spans="1:4">
      <c r="A3438" s="261">
        <v>2306684</v>
      </c>
      <c r="B3438" s="265" t="s">
        <v>14735</v>
      </c>
      <c r="C3438" s="261" t="s">
        <v>6</v>
      </c>
      <c r="D3438" s="266">
        <v>10717.52</v>
      </c>
    </row>
    <row r="3439" spans="1:4">
      <c r="A3439" s="261">
        <v>2306658</v>
      </c>
      <c r="B3439" s="265" t="s">
        <v>14736</v>
      </c>
      <c r="C3439" s="261" t="s">
        <v>6</v>
      </c>
      <c r="D3439" s="266">
        <v>11047.46</v>
      </c>
    </row>
    <row r="3440" spans="1:4">
      <c r="A3440" s="261">
        <v>2306685</v>
      </c>
      <c r="B3440" s="265" t="s">
        <v>14737</v>
      </c>
      <c r="C3440" s="261" t="s">
        <v>6</v>
      </c>
      <c r="D3440" s="266">
        <v>10808.35</v>
      </c>
    </row>
    <row r="3441" spans="1:4">
      <c r="A3441" s="261">
        <v>2306659</v>
      </c>
      <c r="B3441" s="265" t="s">
        <v>14738</v>
      </c>
      <c r="C3441" s="261" t="s">
        <v>6</v>
      </c>
      <c r="D3441" s="266">
        <v>11148.39</v>
      </c>
    </row>
    <row r="3442" spans="1:4">
      <c r="A3442" s="261">
        <v>2306686</v>
      </c>
      <c r="B3442" s="265" t="s">
        <v>14739</v>
      </c>
      <c r="C3442" s="261" t="s">
        <v>6</v>
      </c>
      <c r="D3442" s="266">
        <v>10899.31</v>
      </c>
    </row>
    <row r="3443" spans="1:4">
      <c r="A3443" s="261">
        <v>2306637</v>
      </c>
      <c r="B3443" s="265" t="s">
        <v>14740</v>
      </c>
      <c r="C3443" s="261" t="s">
        <v>6</v>
      </c>
      <c r="D3443" s="266">
        <v>2684.43</v>
      </c>
    </row>
    <row r="3444" spans="1:4">
      <c r="A3444" s="261">
        <v>2306664</v>
      </c>
      <c r="B3444" s="265" t="s">
        <v>14741</v>
      </c>
      <c r="C3444" s="261" t="s">
        <v>6</v>
      </c>
      <c r="D3444" s="266">
        <v>2497.62</v>
      </c>
    </row>
    <row r="3445" spans="1:4">
      <c r="A3445" s="261">
        <v>2306732</v>
      </c>
      <c r="B3445" s="265" t="s">
        <v>14742</v>
      </c>
      <c r="C3445" s="261" t="s">
        <v>6</v>
      </c>
      <c r="D3445" s="266">
        <v>1059.44</v>
      </c>
    </row>
    <row r="3446" spans="1:4">
      <c r="A3446" s="261">
        <v>2306733</v>
      </c>
      <c r="B3446" s="265" t="s">
        <v>14743</v>
      </c>
      <c r="C3446" s="261" t="s">
        <v>6</v>
      </c>
      <c r="D3446" s="266">
        <v>902.12</v>
      </c>
    </row>
    <row r="3447" spans="1:4">
      <c r="A3447" s="261">
        <v>2306734</v>
      </c>
      <c r="B3447" s="265" t="s">
        <v>14744</v>
      </c>
      <c r="C3447" s="261" t="s">
        <v>6</v>
      </c>
      <c r="D3447" s="266">
        <v>1293.27</v>
      </c>
    </row>
    <row r="3448" spans="1:4">
      <c r="A3448" s="261">
        <v>2306735</v>
      </c>
      <c r="B3448" s="265" t="s">
        <v>14745</v>
      </c>
      <c r="C3448" s="261" t="s">
        <v>6</v>
      </c>
      <c r="D3448" s="266">
        <v>1131.7</v>
      </c>
    </row>
    <row r="3449" spans="1:4">
      <c r="A3449" s="261">
        <v>2306633</v>
      </c>
      <c r="B3449" s="265" t="s">
        <v>14746</v>
      </c>
      <c r="C3449" s="261" t="s">
        <v>6</v>
      </c>
      <c r="D3449" s="266">
        <v>1472.95</v>
      </c>
    </row>
    <row r="3450" spans="1:4">
      <c r="A3450" s="261">
        <v>2306660</v>
      </c>
      <c r="B3450" s="265" t="s">
        <v>14747</v>
      </c>
      <c r="C3450" s="261" t="s">
        <v>6</v>
      </c>
      <c r="D3450" s="266">
        <v>1306.9000000000001</v>
      </c>
    </row>
    <row r="3451" spans="1:4">
      <c r="A3451" s="261">
        <v>2306634</v>
      </c>
      <c r="B3451" s="265" t="s">
        <v>14748</v>
      </c>
      <c r="C3451" s="261" t="s">
        <v>6</v>
      </c>
      <c r="D3451" s="266">
        <v>1718.15</v>
      </c>
    </row>
    <row r="3452" spans="1:4">
      <c r="A3452" s="261">
        <v>2306661</v>
      </c>
      <c r="B3452" s="265" t="s">
        <v>14749</v>
      </c>
      <c r="C3452" s="261" t="s">
        <v>6</v>
      </c>
      <c r="D3452" s="266">
        <v>1547.35</v>
      </c>
    </row>
    <row r="3453" spans="1:4">
      <c r="A3453" s="261">
        <v>2306635</v>
      </c>
      <c r="B3453" s="265" t="s">
        <v>14750</v>
      </c>
      <c r="C3453" s="261" t="s">
        <v>6</v>
      </c>
      <c r="D3453" s="266">
        <v>2077.9899999999998</v>
      </c>
    </row>
    <row r="3454" spans="1:4">
      <c r="A3454" s="261">
        <v>2306662</v>
      </c>
      <c r="B3454" s="265" t="s">
        <v>14751</v>
      </c>
      <c r="C3454" s="261" t="s">
        <v>6</v>
      </c>
      <c r="D3454" s="266">
        <v>1902.17</v>
      </c>
    </row>
    <row r="3455" spans="1:4">
      <c r="A3455" s="261">
        <v>2306636</v>
      </c>
      <c r="B3455" s="265" t="s">
        <v>14752</v>
      </c>
      <c r="C3455" s="261" t="s">
        <v>6</v>
      </c>
      <c r="D3455" s="266">
        <v>2095.37</v>
      </c>
    </row>
    <row r="3456" spans="1:4">
      <c r="A3456" s="261">
        <v>2306663</v>
      </c>
      <c r="B3456" s="265" t="s">
        <v>14753</v>
      </c>
      <c r="C3456" s="261" t="s">
        <v>6</v>
      </c>
      <c r="D3456" s="266">
        <v>1914.22</v>
      </c>
    </row>
    <row r="3457" spans="1:4">
      <c r="A3457" s="261">
        <v>2306641</v>
      </c>
      <c r="B3457" s="265" t="s">
        <v>14754</v>
      </c>
      <c r="C3457" s="261" t="s">
        <v>6</v>
      </c>
      <c r="D3457" s="266">
        <v>3391.65</v>
      </c>
    </row>
    <row r="3458" spans="1:4">
      <c r="A3458" s="261">
        <v>2306668</v>
      </c>
      <c r="B3458" s="265" t="s">
        <v>14755</v>
      </c>
      <c r="C3458" s="261" t="s">
        <v>6</v>
      </c>
      <c r="D3458" s="266">
        <v>3204.84</v>
      </c>
    </row>
    <row r="3459" spans="1:4">
      <c r="A3459" s="261">
        <v>2306642</v>
      </c>
      <c r="B3459" s="265" t="s">
        <v>14756</v>
      </c>
      <c r="C3459" s="261" t="s">
        <v>6</v>
      </c>
      <c r="D3459" s="266">
        <v>3415.55</v>
      </c>
    </row>
    <row r="3460" spans="1:4">
      <c r="A3460" s="261">
        <v>2306669</v>
      </c>
      <c r="B3460" s="265" t="s">
        <v>14757</v>
      </c>
      <c r="C3460" s="261" t="s">
        <v>6</v>
      </c>
      <c r="D3460" s="266">
        <v>3222.71</v>
      </c>
    </row>
    <row r="3461" spans="1:4">
      <c r="A3461" s="261">
        <v>2306643</v>
      </c>
      <c r="B3461" s="265" t="s">
        <v>14758</v>
      </c>
      <c r="C3461" s="261" t="s">
        <v>6</v>
      </c>
      <c r="D3461" s="266">
        <v>3439.9</v>
      </c>
    </row>
    <row r="3462" spans="1:4">
      <c r="A3462" s="261">
        <v>2306670</v>
      </c>
      <c r="B3462" s="265" t="s">
        <v>14759</v>
      </c>
      <c r="C3462" s="261" t="s">
        <v>6</v>
      </c>
      <c r="D3462" s="266">
        <v>3240.63</v>
      </c>
    </row>
    <row r="3463" spans="1:4">
      <c r="A3463" s="261">
        <v>2306638</v>
      </c>
      <c r="B3463" s="265" t="s">
        <v>14760</v>
      </c>
      <c r="C3463" s="261" t="s">
        <v>6</v>
      </c>
      <c r="D3463" s="266">
        <v>2161.6</v>
      </c>
    </row>
    <row r="3464" spans="1:4">
      <c r="A3464" s="261">
        <v>2306665</v>
      </c>
      <c r="B3464" s="265" t="s">
        <v>14761</v>
      </c>
      <c r="C3464" s="261" t="s">
        <v>6</v>
      </c>
      <c r="D3464" s="266">
        <v>1990.81</v>
      </c>
    </row>
    <row r="3465" spans="1:4">
      <c r="A3465" s="261">
        <v>2306639</v>
      </c>
      <c r="B3465" s="265" t="s">
        <v>14762</v>
      </c>
      <c r="C3465" s="261" t="s">
        <v>6</v>
      </c>
      <c r="D3465" s="266">
        <v>2619.63</v>
      </c>
    </row>
    <row r="3466" spans="1:4">
      <c r="A3466" s="261">
        <v>2306666</v>
      </c>
      <c r="B3466" s="265" t="s">
        <v>14763</v>
      </c>
      <c r="C3466" s="261" t="s">
        <v>6</v>
      </c>
      <c r="D3466" s="266">
        <v>2443.81</v>
      </c>
    </row>
    <row r="3467" spans="1:4">
      <c r="A3467" s="261">
        <v>2306640</v>
      </c>
      <c r="B3467" s="265" t="s">
        <v>14764</v>
      </c>
      <c r="C3467" s="261" t="s">
        <v>6</v>
      </c>
      <c r="D3467" s="266">
        <v>2642.75</v>
      </c>
    </row>
    <row r="3468" spans="1:4">
      <c r="A3468" s="261">
        <v>2306667</v>
      </c>
      <c r="B3468" s="265" t="s">
        <v>14765</v>
      </c>
      <c r="C3468" s="261" t="s">
        <v>6</v>
      </c>
      <c r="D3468" s="266">
        <v>2461.6</v>
      </c>
    </row>
    <row r="3469" spans="1:4">
      <c r="A3469" s="261">
        <v>2306645</v>
      </c>
      <c r="B3469" s="265" t="s">
        <v>14766</v>
      </c>
      <c r="C3469" s="261" t="s">
        <v>6</v>
      </c>
      <c r="D3469" s="266">
        <v>4048.61</v>
      </c>
    </row>
    <row r="3470" spans="1:4">
      <c r="A3470" s="261">
        <v>2306672</v>
      </c>
      <c r="B3470" s="265" t="s">
        <v>14767</v>
      </c>
      <c r="C3470" s="261" t="s">
        <v>6</v>
      </c>
      <c r="D3470" s="266">
        <v>3861.79</v>
      </c>
    </row>
    <row r="3471" spans="1:4">
      <c r="A3471" s="261">
        <v>2306646</v>
      </c>
      <c r="B3471" s="265" t="s">
        <v>14768</v>
      </c>
      <c r="C3471" s="261" t="s">
        <v>6</v>
      </c>
      <c r="D3471" s="266">
        <v>4079.6</v>
      </c>
    </row>
    <row r="3472" spans="1:4">
      <c r="A3472" s="261">
        <v>2306673</v>
      </c>
      <c r="B3472" s="265" t="s">
        <v>14769</v>
      </c>
      <c r="C3472" s="261" t="s">
        <v>6</v>
      </c>
      <c r="D3472" s="266">
        <v>3886.77</v>
      </c>
    </row>
    <row r="3473" spans="1:4">
      <c r="A3473" s="261">
        <v>2306647</v>
      </c>
      <c r="B3473" s="265" t="s">
        <v>14770</v>
      </c>
      <c r="C3473" s="261" t="s">
        <v>6</v>
      </c>
      <c r="D3473" s="266">
        <v>4111.04</v>
      </c>
    </row>
    <row r="3474" spans="1:4">
      <c r="A3474" s="261">
        <v>2306674</v>
      </c>
      <c r="B3474" s="265" t="s">
        <v>14771</v>
      </c>
      <c r="C3474" s="261" t="s">
        <v>6</v>
      </c>
      <c r="D3474" s="266">
        <v>3911.77</v>
      </c>
    </row>
    <row r="3475" spans="1:4">
      <c r="A3475" s="261">
        <v>2306648</v>
      </c>
      <c r="B3475" s="265" t="s">
        <v>14772</v>
      </c>
      <c r="C3475" s="261" t="s">
        <v>6</v>
      </c>
      <c r="D3475" s="266">
        <v>5865.84</v>
      </c>
    </row>
    <row r="3476" spans="1:4">
      <c r="A3476" s="261">
        <v>2306675</v>
      </c>
      <c r="B3476" s="265" t="s">
        <v>14773</v>
      </c>
      <c r="C3476" s="261" t="s">
        <v>6</v>
      </c>
      <c r="D3476" s="266">
        <v>5659.71</v>
      </c>
    </row>
    <row r="3477" spans="1:4">
      <c r="A3477" s="261">
        <v>2306649</v>
      </c>
      <c r="B3477" s="265" t="s">
        <v>14774</v>
      </c>
      <c r="C3477" s="261" t="s">
        <v>6</v>
      </c>
      <c r="D3477" s="266">
        <v>5898.32</v>
      </c>
    </row>
    <row r="3478" spans="1:4">
      <c r="A3478" s="261">
        <v>2306676</v>
      </c>
      <c r="B3478" s="265" t="s">
        <v>14775</v>
      </c>
      <c r="C3478" s="261" t="s">
        <v>6</v>
      </c>
      <c r="D3478" s="266">
        <v>5684.82</v>
      </c>
    </row>
    <row r="3479" spans="1:4">
      <c r="A3479" s="261">
        <v>2306650</v>
      </c>
      <c r="B3479" s="265" t="s">
        <v>14776</v>
      </c>
      <c r="C3479" s="261" t="s">
        <v>6</v>
      </c>
      <c r="D3479" s="266">
        <v>5931.39</v>
      </c>
    </row>
    <row r="3480" spans="1:4">
      <c r="A3480" s="261">
        <v>2306677</v>
      </c>
      <c r="B3480" s="265" t="s">
        <v>14777</v>
      </c>
      <c r="C3480" s="261" t="s">
        <v>6</v>
      </c>
      <c r="D3480" s="266">
        <v>5709.99</v>
      </c>
    </row>
    <row r="3481" spans="1:4">
      <c r="A3481" s="261">
        <v>2306644</v>
      </c>
      <c r="B3481" s="265" t="s">
        <v>14778</v>
      </c>
      <c r="C3481" s="261" t="s">
        <v>6</v>
      </c>
      <c r="D3481" s="266">
        <v>3156.55</v>
      </c>
    </row>
    <row r="3482" spans="1:4">
      <c r="A3482" s="261">
        <v>2306671</v>
      </c>
      <c r="B3482" s="265" t="s">
        <v>14779</v>
      </c>
      <c r="C3482" s="261" t="s">
        <v>6</v>
      </c>
      <c r="D3482" s="266">
        <v>2975.4</v>
      </c>
    </row>
    <row r="3483" spans="1:4">
      <c r="A3483" s="261">
        <v>2306141</v>
      </c>
      <c r="B3483" s="265" t="s">
        <v>14780</v>
      </c>
      <c r="C3483" s="261" t="s">
        <v>6</v>
      </c>
      <c r="D3483" s="266">
        <v>59.73</v>
      </c>
    </row>
    <row r="3484" spans="1:4">
      <c r="A3484" s="261">
        <v>2306145</v>
      </c>
      <c r="B3484" s="265" t="s">
        <v>14781</v>
      </c>
      <c r="C3484" s="261" t="s">
        <v>6</v>
      </c>
      <c r="D3484" s="266">
        <v>49.97</v>
      </c>
    </row>
    <row r="3485" spans="1:4">
      <c r="A3485" s="261">
        <v>2306142</v>
      </c>
      <c r="B3485" s="265" t="s">
        <v>14782</v>
      </c>
      <c r="C3485" s="261" t="s">
        <v>6</v>
      </c>
      <c r="D3485" s="266">
        <v>72.900000000000006</v>
      </c>
    </row>
    <row r="3486" spans="1:4">
      <c r="A3486" s="261">
        <v>2306146</v>
      </c>
      <c r="B3486" s="265" t="s">
        <v>14783</v>
      </c>
      <c r="C3486" s="261" t="s">
        <v>6</v>
      </c>
      <c r="D3486" s="266">
        <v>58.84</v>
      </c>
    </row>
    <row r="3487" spans="1:4">
      <c r="A3487" s="261">
        <v>2306143</v>
      </c>
      <c r="B3487" s="265" t="s">
        <v>14784</v>
      </c>
      <c r="C3487" s="261" t="s">
        <v>6</v>
      </c>
      <c r="D3487" s="266">
        <v>88.19</v>
      </c>
    </row>
    <row r="3488" spans="1:4">
      <c r="A3488" s="261">
        <v>2306147</v>
      </c>
      <c r="B3488" s="265" t="s">
        <v>14785</v>
      </c>
      <c r="C3488" s="261" t="s">
        <v>6</v>
      </c>
      <c r="D3488" s="266">
        <v>69.040000000000006</v>
      </c>
    </row>
    <row r="3489" spans="1:4">
      <c r="A3489" s="261">
        <v>2306144</v>
      </c>
      <c r="B3489" s="265" t="s">
        <v>14786</v>
      </c>
      <c r="C3489" s="261" t="s">
        <v>6</v>
      </c>
      <c r="D3489" s="266">
        <v>106.4</v>
      </c>
    </row>
    <row r="3490" spans="1:4">
      <c r="A3490" s="261">
        <v>2306148</v>
      </c>
      <c r="B3490" s="265" t="s">
        <v>14787</v>
      </c>
      <c r="C3490" s="261" t="s">
        <v>6</v>
      </c>
      <c r="D3490" s="266">
        <v>81.39</v>
      </c>
    </row>
    <row r="3491" spans="1:4">
      <c r="A3491" s="261">
        <v>2306624</v>
      </c>
      <c r="B3491" s="265" t="s">
        <v>14788</v>
      </c>
      <c r="C3491" s="261" t="s">
        <v>6</v>
      </c>
      <c r="D3491" s="266">
        <v>7644.65</v>
      </c>
    </row>
    <row r="3492" spans="1:4">
      <c r="A3492" s="261">
        <v>2306625</v>
      </c>
      <c r="B3492" s="265" t="s">
        <v>14789</v>
      </c>
      <c r="C3492" s="261" t="s">
        <v>6</v>
      </c>
      <c r="D3492" s="266">
        <v>7686.19</v>
      </c>
    </row>
    <row r="3493" spans="1:4">
      <c r="A3493" s="261">
        <v>2306626</v>
      </c>
      <c r="B3493" s="265" t="s">
        <v>14790</v>
      </c>
      <c r="C3493" s="261" t="s">
        <v>6</v>
      </c>
      <c r="D3493" s="266">
        <v>7727.73</v>
      </c>
    </row>
    <row r="3494" spans="1:4">
      <c r="A3494" s="261">
        <v>2306627</v>
      </c>
      <c r="B3494" s="265" t="s">
        <v>14791</v>
      </c>
      <c r="C3494" s="261" t="s">
        <v>6</v>
      </c>
      <c r="D3494" s="266">
        <v>7769.2</v>
      </c>
    </row>
    <row r="3495" spans="1:4">
      <c r="A3495" s="261">
        <v>2306628</v>
      </c>
      <c r="B3495" s="265" t="s">
        <v>14792</v>
      </c>
      <c r="C3495" s="261" t="s">
        <v>6</v>
      </c>
      <c r="D3495" s="266">
        <v>7810.75</v>
      </c>
    </row>
    <row r="3496" spans="1:4">
      <c r="A3496" s="261">
        <v>2306629</v>
      </c>
      <c r="B3496" s="265" t="s">
        <v>14793</v>
      </c>
      <c r="C3496" s="261" t="s">
        <v>6</v>
      </c>
      <c r="D3496" s="266">
        <v>10577.31</v>
      </c>
    </row>
    <row r="3497" spans="1:4">
      <c r="A3497" s="261">
        <v>2306630</v>
      </c>
      <c r="B3497" s="265" t="s">
        <v>14794</v>
      </c>
      <c r="C3497" s="261" t="s">
        <v>6</v>
      </c>
      <c r="D3497" s="266">
        <v>10665.55</v>
      </c>
    </row>
    <row r="3498" spans="1:4">
      <c r="A3498" s="261">
        <v>2306631</v>
      </c>
      <c r="B3498" s="265" t="s">
        <v>14795</v>
      </c>
      <c r="C3498" s="261" t="s">
        <v>6</v>
      </c>
      <c r="D3498" s="266">
        <v>10753.72</v>
      </c>
    </row>
    <row r="3499" spans="1:4">
      <c r="A3499" s="261">
        <v>2306632</v>
      </c>
      <c r="B3499" s="265" t="s">
        <v>14796</v>
      </c>
      <c r="C3499" s="261" t="s">
        <v>6</v>
      </c>
      <c r="D3499" s="266">
        <v>10841.95</v>
      </c>
    </row>
    <row r="3500" spans="1:4">
      <c r="A3500" s="261">
        <v>2306610</v>
      </c>
      <c r="B3500" s="265" t="s">
        <v>14797</v>
      </c>
      <c r="C3500" s="261" t="s">
        <v>6</v>
      </c>
      <c r="D3500" s="266">
        <v>2472.85</v>
      </c>
    </row>
    <row r="3501" spans="1:4">
      <c r="A3501" s="261">
        <v>2306604</v>
      </c>
      <c r="B3501" s="265" t="s">
        <v>14798</v>
      </c>
      <c r="C3501" s="261" t="s">
        <v>6</v>
      </c>
      <c r="D3501" s="266">
        <v>883.19</v>
      </c>
    </row>
    <row r="3502" spans="1:4">
      <c r="A3502" s="261">
        <v>2306605</v>
      </c>
      <c r="B3502" s="265" t="s">
        <v>14799</v>
      </c>
      <c r="C3502" s="261" t="s">
        <v>6</v>
      </c>
      <c r="D3502" s="266">
        <v>1111.8699999999999</v>
      </c>
    </row>
    <row r="3503" spans="1:4">
      <c r="A3503" s="261">
        <v>2306606</v>
      </c>
      <c r="B3503" s="265" t="s">
        <v>14800</v>
      </c>
      <c r="C3503" s="261" t="s">
        <v>6</v>
      </c>
      <c r="D3503" s="266">
        <v>1286.1400000000001</v>
      </c>
    </row>
    <row r="3504" spans="1:4">
      <c r="A3504" s="261">
        <v>2306607</v>
      </c>
      <c r="B3504" s="265" t="s">
        <v>14801</v>
      </c>
      <c r="C3504" s="261" t="s">
        <v>6</v>
      </c>
      <c r="D3504" s="266">
        <v>1525.64</v>
      </c>
    </row>
    <row r="3505" spans="1:4">
      <c r="A3505" s="261">
        <v>2306608</v>
      </c>
      <c r="B3505" s="265" t="s">
        <v>14802</v>
      </c>
      <c r="C3505" s="261" t="s">
        <v>6</v>
      </c>
      <c r="D3505" s="266">
        <v>1879.47</v>
      </c>
    </row>
    <row r="3506" spans="1:4">
      <c r="A3506" s="261">
        <v>2306609</v>
      </c>
      <c r="B3506" s="265" t="s">
        <v>14803</v>
      </c>
      <c r="C3506" s="261" t="s">
        <v>6</v>
      </c>
      <c r="D3506" s="266">
        <v>1890.5</v>
      </c>
    </row>
    <row r="3507" spans="1:4">
      <c r="A3507" s="261">
        <v>2306614</v>
      </c>
      <c r="B3507" s="265" t="s">
        <v>14804</v>
      </c>
      <c r="C3507" s="261" t="s">
        <v>6</v>
      </c>
      <c r="D3507" s="266">
        <v>3178.31</v>
      </c>
    </row>
    <row r="3508" spans="1:4">
      <c r="A3508" s="261">
        <v>2306615</v>
      </c>
      <c r="B3508" s="265" t="s">
        <v>14805</v>
      </c>
      <c r="C3508" s="261" t="s">
        <v>6</v>
      </c>
      <c r="D3508" s="266">
        <v>3194.92</v>
      </c>
    </row>
    <row r="3509" spans="1:4">
      <c r="A3509" s="261">
        <v>2306616</v>
      </c>
      <c r="B3509" s="265" t="s">
        <v>14806</v>
      </c>
      <c r="C3509" s="261" t="s">
        <v>6</v>
      </c>
      <c r="D3509" s="266">
        <v>3211.53</v>
      </c>
    </row>
    <row r="3510" spans="1:4">
      <c r="A3510" s="261">
        <v>2306611</v>
      </c>
      <c r="B3510" s="265" t="s">
        <v>14807</v>
      </c>
      <c r="C3510" s="261" t="s">
        <v>6</v>
      </c>
      <c r="D3510" s="266">
        <v>1967.85</v>
      </c>
    </row>
    <row r="3511" spans="1:4">
      <c r="A3511" s="261">
        <v>2306612</v>
      </c>
      <c r="B3511" s="265" t="s">
        <v>14808</v>
      </c>
      <c r="C3511" s="261" t="s">
        <v>6</v>
      </c>
      <c r="D3511" s="266">
        <v>2419.6999999999998</v>
      </c>
    </row>
    <row r="3512" spans="1:4">
      <c r="A3512" s="261">
        <v>2306613</v>
      </c>
      <c r="B3512" s="265" t="s">
        <v>14809</v>
      </c>
      <c r="C3512" s="261" t="s">
        <v>6</v>
      </c>
      <c r="D3512" s="266">
        <v>2436.3000000000002</v>
      </c>
    </row>
    <row r="3513" spans="1:4">
      <c r="A3513" s="261">
        <v>2306618</v>
      </c>
      <c r="B3513" s="265" t="s">
        <v>14810</v>
      </c>
      <c r="C3513" s="261" t="s">
        <v>6</v>
      </c>
      <c r="D3513" s="266">
        <v>3833.56</v>
      </c>
    </row>
    <row r="3514" spans="1:4">
      <c r="A3514" s="261">
        <v>2306619</v>
      </c>
      <c r="B3514" s="265" t="s">
        <v>14811</v>
      </c>
      <c r="C3514" s="261" t="s">
        <v>6</v>
      </c>
      <c r="D3514" s="266">
        <v>3857.1</v>
      </c>
    </row>
    <row r="3515" spans="1:4">
      <c r="A3515" s="261">
        <v>2306620</v>
      </c>
      <c r="B3515" s="265" t="s">
        <v>14812</v>
      </c>
      <c r="C3515" s="261" t="s">
        <v>6</v>
      </c>
      <c r="D3515" s="266">
        <v>3880.63</v>
      </c>
    </row>
    <row r="3516" spans="1:4">
      <c r="A3516" s="261">
        <v>2306621</v>
      </c>
      <c r="B3516" s="265" t="s">
        <v>14813</v>
      </c>
      <c r="C3516" s="261" t="s">
        <v>6</v>
      </c>
      <c r="D3516" s="266">
        <v>5627.04</v>
      </c>
    </row>
    <row r="3517" spans="1:4">
      <c r="A3517" s="261">
        <v>2306622</v>
      </c>
      <c r="B3517" s="265" t="s">
        <v>14814</v>
      </c>
      <c r="C3517" s="261" t="s">
        <v>6</v>
      </c>
      <c r="D3517" s="266">
        <v>5650.58</v>
      </c>
    </row>
    <row r="3518" spans="1:4">
      <c r="A3518" s="261">
        <v>2306623</v>
      </c>
      <c r="B3518" s="265" t="s">
        <v>14815</v>
      </c>
      <c r="C3518" s="261" t="s">
        <v>6</v>
      </c>
      <c r="D3518" s="266">
        <v>5674.11</v>
      </c>
    </row>
    <row r="3519" spans="1:4">
      <c r="A3519" s="261">
        <v>2306617</v>
      </c>
      <c r="B3519" s="265" t="s">
        <v>14816</v>
      </c>
      <c r="C3519" s="261" t="s">
        <v>6</v>
      </c>
      <c r="D3519" s="266">
        <v>2948.56</v>
      </c>
    </row>
    <row r="3520" spans="1:4">
      <c r="A3520" s="261">
        <v>2306014</v>
      </c>
      <c r="B3520" s="265" t="s">
        <v>14817</v>
      </c>
      <c r="C3520" s="261" t="s">
        <v>10</v>
      </c>
      <c r="D3520" s="266">
        <v>11.46</v>
      </c>
    </row>
    <row r="3521" spans="1:4" ht="31.5">
      <c r="A3521" s="261">
        <v>2306700</v>
      </c>
      <c r="B3521" s="265" t="s">
        <v>14818</v>
      </c>
      <c r="C3521" s="261" t="s">
        <v>6</v>
      </c>
      <c r="D3521" s="266">
        <v>2232.06</v>
      </c>
    </row>
    <row r="3522" spans="1:4" ht="31.5">
      <c r="A3522" s="261">
        <v>2306703</v>
      </c>
      <c r="B3522" s="265" t="s">
        <v>14819</v>
      </c>
      <c r="C3522" s="261" t="s">
        <v>6</v>
      </c>
      <c r="D3522" s="266">
        <v>2308.61</v>
      </c>
    </row>
    <row r="3523" spans="1:4" ht="31.5">
      <c r="A3523" s="261">
        <v>2306706</v>
      </c>
      <c r="B3523" s="265" t="s">
        <v>14820</v>
      </c>
      <c r="C3523" s="261" t="s">
        <v>6</v>
      </c>
      <c r="D3523" s="266">
        <v>2432.46</v>
      </c>
    </row>
    <row r="3524" spans="1:4" ht="31.5">
      <c r="A3524" s="261">
        <v>2306709</v>
      </c>
      <c r="B3524" s="265" t="s">
        <v>14821</v>
      </c>
      <c r="C3524" s="261" t="s">
        <v>6</v>
      </c>
      <c r="D3524" s="266">
        <v>2609.83</v>
      </c>
    </row>
    <row r="3525" spans="1:4" ht="31.5">
      <c r="A3525" s="261">
        <v>2306712</v>
      </c>
      <c r="B3525" s="265" t="s">
        <v>14822</v>
      </c>
      <c r="C3525" s="261" t="s">
        <v>6</v>
      </c>
      <c r="D3525" s="266">
        <v>2701.37</v>
      </c>
    </row>
    <row r="3526" spans="1:4" ht="31.5">
      <c r="A3526" s="261">
        <v>2306715</v>
      </c>
      <c r="B3526" s="265" t="s">
        <v>14823</v>
      </c>
      <c r="C3526" s="261" t="s">
        <v>6</v>
      </c>
      <c r="D3526" s="266">
        <v>2816.02</v>
      </c>
    </row>
    <row r="3527" spans="1:4" ht="31.5">
      <c r="A3527" s="261">
        <v>2306718</v>
      </c>
      <c r="B3527" s="265" t="s">
        <v>14824</v>
      </c>
      <c r="C3527" s="261" t="s">
        <v>6</v>
      </c>
      <c r="D3527" s="266">
        <v>2994.64</v>
      </c>
    </row>
    <row r="3528" spans="1:4" ht="31.5">
      <c r="A3528" s="261">
        <v>2306721</v>
      </c>
      <c r="B3528" s="265" t="s">
        <v>14825</v>
      </c>
      <c r="C3528" s="261" t="s">
        <v>6</v>
      </c>
      <c r="D3528" s="266">
        <v>3080.2</v>
      </c>
    </row>
    <row r="3529" spans="1:4" ht="31.5">
      <c r="A3529" s="261">
        <v>2306724</v>
      </c>
      <c r="B3529" s="265" t="s">
        <v>14826</v>
      </c>
      <c r="C3529" s="261" t="s">
        <v>6</v>
      </c>
      <c r="D3529" s="266">
        <v>3241.3</v>
      </c>
    </row>
    <row r="3530" spans="1:4" ht="31.5">
      <c r="A3530" s="261">
        <v>2306688</v>
      </c>
      <c r="B3530" s="265" t="s">
        <v>14827</v>
      </c>
      <c r="C3530" s="261" t="s">
        <v>6</v>
      </c>
      <c r="D3530" s="266">
        <v>1779.16</v>
      </c>
    </row>
    <row r="3531" spans="1:4" ht="31.5">
      <c r="A3531" s="261">
        <v>2306691</v>
      </c>
      <c r="B3531" s="265" t="s">
        <v>14828</v>
      </c>
      <c r="C3531" s="261" t="s">
        <v>6</v>
      </c>
      <c r="D3531" s="266">
        <v>1873.91</v>
      </c>
    </row>
    <row r="3532" spans="1:4" ht="31.5">
      <c r="A3532" s="261">
        <v>2306694</v>
      </c>
      <c r="B3532" s="265" t="s">
        <v>14829</v>
      </c>
      <c r="C3532" s="261" t="s">
        <v>6</v>
      </c>
      <c r="D3532" s="266">
        <v>2007.38</v>
      </c>
    </row>
    <row r="3533" spans="1:4" ht="31.5">
      <c r="A3533" s="261">
        <v>2306697</v>
      </c>
      <c r="B3533" s="265" t="s">
        <v>14830</v>
      </c>
      <c r="C3533" s="261" t="s">
        <v>6</v>
      </c>
      <c r="D3533" s="266">
        <v>2099.04</v>
      </c>
    </row>
    <row r="3534" spans="1:4" ht="31.5">
      <c r="A3534" s="261">
        <v>2306701</v>
      </c>
      <c r="B3534" s="265" t="s">
        <v>14831</v>
      </c>
      <c r="C3534" s="261" t="s">
        <v>6</v>
      </c>
      <c r="D3534" s="266">
        <v>4091.5</v>
      </c>
    </row>
    <row r="3535" spans="1:4" ht="31.5">
      <c r="A3535" s="261">
        <v>2306704</v>
      </c>
      <c r="B3535" s="265" t="s">
        <v>14832</v>
      </c>
      <c r="C3535" s="261" t="s">
        <v>6</v>
      </c>
      <c r="D3535" s="266">
        <v>4332.5200000000004</v>
      </c>
    </row>
    <row r="3536" spans="1:4" ht="31.5">
      <c r="A3536" s="261">
        <v>2306707</v>
      </c>
      <c r="B3536" s="265" t="s">
        <v>14833</v>
      </c>
      <c r="C3536" s="261" t="s">
        <v>6</v>
      </c>
      <c r="D3536" s="266">
        <v>4509.3900000000003</v>
      </c>
    </row>
    <row r="3537" spans="1:4" ht="31.5">
      <c r="A3537" s="261">
        <v>2306710</v>
      </c>
      <c r="B3537" s="265" t="s">
        <v>14834</v>
      </c>
      <c r="C3537" s="261" t="s">
        <v>6</v>
      </c>
      <c r="D3537" s="266">
        <v>4728.8599999999997</v>
      </c>
    </row>
    <row r="3538" spans="1:4" ht="31.5">
      <c r="A3538" s="261">
        <v>2306713</v>
      </c>
      <c r="B3538" s="265" t="s">
        <v>14835</v>
      </c>
      <c r="C3538" s="261" t="s">
        <v>6</v>
      </c>
      <c r="D3538" s="266">
        <v>4855.9399999999996</v>
      </c>
    </row>
    <row r="3539" spans="1:4" ht="31.5">
      <c r="A3539" s="261">
        <v>2306716</v>
      </c>
      <c r="B3539" s="265" t="s">
        <v>14836</v>
      </c>
      <c r="C3539" s="261" t="s">
        <v>6</v>
      </c>
      <c r="D3539" s="266">
        <v>5133.63</v>
      </c>
    </row>
    <row r="3540" spans="1:4" ht="31.5">
      <c r="A3540" s="261">
        <v>2306719</v>
      </c>
      <c r="B3540" s="265" t="s">
        <v>14837</v>
      </c>
      <c r="C3540" s="261" t="s">
        <v>6</v>
      </c>
      <c r="D3540" s="266">
        <v>5561.41</v>
      </c>
    </row>
    <row r="3541" spans="1:4" ht="31.5">
      <c r="A3541" s="261">
        <v>2306722</v>
      </c>
      <c r="B3541" s="265" t="s">
        <v>14838</v>
      </c>
      <c r="C3541" s="261" t="s">
        <v>6</v>
      </c>
      <c r="D3541" s="266">
        <v>5811.99</v>
      </c>
    </row>
    <row r="3542" spans="1:4" ht="31.5">
      <c r="A3542" s="261">
        <v>2306725</v>
      </c>
      <c r="B3542" s="265" t="s">
        <v>14839</v>
      </c>
      <c r="C3542" s="261" t="s">
        <v>6</v>
      </c>
      <c r="D3542" s="266">
        <v>6077.63</v>
      </c>
    </row>
    <row r="3543" spans="1:4" ht="31.5">
      <c r="A3543" s="261">
        <v>2306689</v>
      </c>
      <c r="B3543" s="265" t="s">
        <v>14840</v>
      </c>
      <c r="C3543" s="261" t="s">
        <v>6</v>
      </c>
      <c r="D3543" s="266">
        <v>3253.01</v>
      </c>
    </row>
    <row r="3544" spans="1:4" ht="31.5">
      <c r="A3544" s="261">
        <v>2306692</v>
      </c>
      <c r="B3544" s="265" t="s">
        <v>14841</v>
      </c>
      <c r="C3544" s="261" t="s">
        <v>6</v>
      </c>
      <c r="D3544" s="266">
        <v>3420.39</v>
      </c>
    </row>
    <row r="3545" spans="1:4" ht="31.5">
      <c r="A3545" s="261">
        <v>2306695</v>
      </c>
      <c r="B3545" s="265" t="s">
        <v>14842</v>
      </c>
      <c r="C3545" s="261" t="s">
        <v>6</v>
      </c>
      <c r="D3545" s="266">
        <v>3593.02</v>
      </c>
    </row>
    <row r="3546" spans="1:4" ht="31.5">
      <c r="A3546" s="261">
        <v>2306698</v>
      </c>
      <c r="B3546" s="265" t="s">
        <v>14843</v>
      </c>
      <c r="C3546" s="261" t="s">
        <v>6</v>
      </c>
      <c r="D3546" s="266">
        <v>3800.44</v>
      </c>
    </row>
    <row r="3547" spans="1:4">
      <c r="A3547" s="261">
        <v>2306699</v>
      </c>
      <c r="B3547" s="265" t="s">
        <v>14844</v>
      </c>
      <c r="C3547" s="261" t="s">
        <v>6</v>
      </c>
      <c r="D3547" s="266">
        <v>352.01</v>
      </c>
    </row>
    <row r="3548" spans="1:4">
      <c r="A3548" s="261">
        <v>2306702</v>
      </c>
      <c r="B3548" s="265" t="s">
        <v>14845</v>
      </c>
      <c r="C3548" s="261" t="s">
        <v>6</v>
      </c>
      <c r="D3548" s="266">
        <v>363.84</v>
      </c>
    </row>
    <row r="3549" spans="1:4">
      <c r="A3549" s="261">
        <v>2306705</v>
      </c>
      <c r="B3549" s="265" t="s">
        <v>14846</v>
      </c>
      <c r="C3549" s="261" t="s">
        <v>6</v>
      </c>
      <c r="D3549" s="266">
        <v>383.16</v>
      </c>
    </row>
    <row r="3550" spans="1:4">
      <c r="A3550" s="261">
        <v>2306708</v>
      </c>
      <c r="B3550" s="265" t="s">
        <v>14847</v>
      </c>
      <c r="C3550" s="261" t="s">
        <v>6</v>
      </c>
      <c r="D3550" s="266">
        <v>397.23</v>
      </c>
    </row>
    <row r="3551" spans="1:4">
      <c r="A3551" s="261">
        <v>2306711</v>
      </c>
      <c r="B3551" s="265" t="s">
        <v>14848</v>
      </c>
      <c r="C3551" s="261" t="s">
        <v>6</v>
      </c>
      <c r="D3551" s="266">
        <v>412.36</v>
      </c>
    </row>
    <row r="3552" spans="1:4">
      <c r="A3552" s="261">
        <v>2306714</v>
      </c>
      <c r="B3552" s="265" t="s">
        <v>14849</v>
      </c>
      <c r="C3552" s="261" t="s">
        <v>6</v>
      </c>
      <c r="D3552" s="266">
        <v>428.69</v>
      </c>
    </row>
    <row r="3553" spans="1:4">
      <c r="A3553" s="261">
        <v>2306717</v>
      </c>
      <c r="B3553" s="265" t="s">
        <v>14850</v>
      </c>
      <c r="C3553" s="261" t="s">
        <v>6</v>
      </c>
      <c r="D3553" s="266">
        <v>447.52</v>
      </c>
    </row>
    <row r="3554" spans="1:4">
      <c r="A3554" s="261">
        <v>2306720</v>
      </c>
      <c r="B3554" s="265" t="s">
        <v>14851</v>
      </c>
      <c r="C3554" s="261" t="s">
        <v>6</v>
      </c>
      <c r="D3554" s="266">
        <v>466.82</v>
      </c>
    </row>
    <row r="3555" spans="1:4">
      <c r="A3555" s="261">
        <v>2306723</v>
      </c>
      <c r="B3555" s="265" t="s">
        <v>14852</v>
      </c>
      <c r="C3555" s="261" t="s">
        <v>6</v>
      </c>
      <c r="D3555" s="266">
        <v>477.11</v>
      </c>
    </row>
    <row r="3556" spans="1:4">
      <c r="A3556" s="261">
        <v>2306687</v>
      </c>
      <c r="B3556" s="265" t="s">
        <v>14853</v>
      </c>
      <c r="C3556" s="261" t="s">
        <v>6</v>
      </c>
      <c r="D3556" s="266">
        <v>293.05</v>
      </c>
    </row>
    <row r="3557" spans="1:4">
      <c r="A3557" s="261">
        <v>2306690</v>
      </c>
      <c r="B3557" s="265" t="s">
        <v>14854</v>
      </c>
      <c r="C3557" s="261" t="s">
        <v>6</v>
      </c>
      <c r="D3557" s="266">
        <v>306.52999999999997</v>
      </c>
    </row>
    <row r="3558" spans="1:4">
      <c r="A3558" s="261">
        <v>2306693</v>
      </c>
      <c r="B3558" s="265" t="s">
        <v>14855</v>
      </c>
      <c r="C3558" s="261" t="s">
        <v>6</v>
      </c>
      <c r="D3558" s="266">
        <v>320.13</v>
      </c>
    </row>
    <row r="3559" spans="1:4">
      <c r="A3559" s="261">
        <v>2306696</v>
      </c>
      <c r="B3559" s="265" t="s">
        <v>14856</v>
      </c>
      <c r="C3559" s="261" t="s">
        <v>6</v>
      </c>
      <c r="D3559" s="266">
        <v>334.99</v>
      </c>
    </row>
    <row r="3560" spans="1:4">
      <c r="A3560" s="261">
        <v>2306239</v>
      </c>
      <c r="B3560" s="265" t="s">
        <v>14857</v>
      </c>
      <c r="C3560" s="261" t="s">
        <v>5</v>
      </c>
      <c r="D3560" s="266">
        <v>243.47</v>
      </c>
    </row>
    <row r="3561" spans="1:4">
      <c r="A3561" s="261">
        <v>2306090</v>
      </c>
      <c r="B3561" s="265" t="s">
        <v>14858</v>
      </c>
      <c r="C3561" s="261" t="s">
        <v>6</v>
      </c>
      <c r="D3561" s="266">
        <v>50.05</v>
      </c>
    </row>
    <row r="3562" spans="1:4">
      <c r="A3562" s="261">
        <v>2306091</v>
      </c>
      <c r="B3562" s="265" t="s">
        <v>14859</v>
      </c>
      <c r="C3562" s="261" t="s">
        <v>6</v>
      </c>
      <c r="D3562" s="266">
        <v>66.739999999999995</v>
      </c>
    </row>
    <row r="3563" spans="1:4">
      <c r="A3563" s="261">
        <v>2306072</v>
      </c>
      <c r="B3563" s="265" t="s">
        <v>14860</v>
      </c>
      <c r="C3563" s="261" t="s">
        <v>5</v>
      </c>
      <c r="D3563" s="266">
        <v>744.05</v>
      </c>
    </row>
    <row r="3564" spans="1:4">
      <c r="A3564" s="261">
        <v>2306133</v>
      </c>
      <c r="B3564" s="265" t="s">
        <v>14861</v>
      </c>
      <c r="C3564" s="261" t="s">
        <v>6</v>
      </c>
      <c r="D3564" s="266">
        <v>484.6</v>
      </c>
    </row>
    <row r="3565" spans="1:4">
      <c r="A3565" s="261">
        <v>2306114</v>
      </c>
      <c r="B3565" s="265" t="s">
        <v>14862</v>
      </c>
      <c r="C3565" s="261" t="s">
        <v>6</v>
      </c>
      <c r="D3565" s="266">
        <v>286.83</v>
      </c>
    </row>
    <row r="3566" spans="1:4">
      <c r="A3566" s="261">
        <v>2306115</v>
      </c>
      <c r="B3566" s="265" t="s">
        <v>14863</v>
      </c>
      <c r="C3566" s="261" t="s">
        <v>6</v>
      </c>
      <c r="D3566" s="266">
        <v>416.84</v>
      </c>
    </row>
    <row r="3567" spans="1:4">
      <c r="A3567" s="261">
        <v>2306116</v>
      </c>
      <c r="B3567" s="265" t="s">
        <v>14864</v>
      </c>
      <c r="C3567" s="261" t="s">
        <v>6</v>
      </c>
      <c r="D3567" s="266">
        <v>496.26</v>
      </c>
    </row>
    <row r="3568" spans="1:4">
      <c r="A3568" s="261">
        <v>2306118</v>
      </c>
      <c r="B3568" s="265" t="s">
        <v>14865</v>
      </c>
      <c r="C3568" s="261" t="s">
        <v>6</v>
      </c>
      <c r="D3568" s="266">
        <v>623.02</v>
      </c>
    </row>
    <row r="3569" spans="1:4">
      <c r="A3569" s="261">
        <v>2306122</v>
      </c>
      <c r="B3569" s="265" t="s">
        <v>14866</v>
      </c>
      <c r="C3569" s="261" t="s">
        <v>6</v>
      </c>
      <c r="D3569" s="266">
        <v>737.71</v>
      </c>
    </row>
    <row r="3570" spans="1:4">
      <c r="A3570" s="261">
        <v>2306078</v>
      </c>
      <c r="B3570" s="265" t="s">
        <v>14867</v>
      </c>
      <c r="C3570" s="261" t="s">
        <v>6</v>
      </c>
      <c r="D3570" s="266">
        <v>126.26</v>
      </c>
    </row>
    <row r="3571" spans="1:4">
      <c r="A3571" s="261">
        <v>2306080</v>
      </c>
      <c r="B3571" s="265" t="s">
        <v>14868</v>
      </c>
      <c r="C3571" s="261" t="s">
        <v>6</v>
      </c>
      <c r="D3571" s="266">
        <v>137.72999999999999</v>
      </c>
    </row>
    <row r="3572" spans="1:4">
      <c r="A3572" s="261">
        <v>2306082</v>
      </c>
      <c r="B3572" s="265" t="s">
        <v>14869</v>
      </c>
      <c r="C3572" s="261" t="s">
        <v>6</v>
      </c>
      <c r="D3572" s="266">
        <v>151.51</v>
      </c>
    </row>
    <row r="3573" spans="1:4">
      <c r="A3573" s="261">
        <v>2306084</v>
      </c>
      <c r="B3573" s="265" t="s">
        <v>14870</v>
      </c>
      <c r="C3573" s="261" t="s">
        <v>6</v>
      </c>
      <c r="D3573" s="266">
        <v>176.17</v>
      </c>
    </row>
    <row r="3574" spans="1:4">
      <c r="A3574" s="261">
        <v>2306086</v>
      </c>
      <c r="B3574" s="265" t="s">
        <v>14871</v>
      </c>
      <c r="C3574" s="261" t="s">
        <v>6</v>
      </c>
      <c r="D3574" s="266">
        <v>216.44</v>
      </c>
    </row>
    <row r="3575" spans="1:4">
      <c r="A3575" s="261">
        <v>2309088</v>
      </c>
      <c r="B3575" s="265" t="s">
        <v>14872</v>
      </c>
      <c r="C3575" s="261" t="s">
        <v>6</v>
      </c>
      <c r="D3575" s="266">
        <v>303.01</v>
      </c>
    </row>
    <row r="3576" spans="1:4">
      <c r="A3576" s="261">
        <v>2306074</v>
      </c>
      <c r="B3576" s="265" t="s">
        <v>14873</v>
      </c>
      <c r="C3576" s="261" t="s">
        <v>5</v>
      </c>
      <c r="D3576" s="266">
        <v>191.95</v>
      </c>
    </row>
    <row r="3577" spans="1:4">
      <c r="A3577" s="261">
        <v>2306095</v>
      </c>
      <c r="B3577" s="265" t="s">
        <v>14874</v>
      </c>
      <c r="C3577" s="261" t="s">
        <v>5</v>
      </c>
      <c r="D3577" s="266">
        <v>230.15</v>
      </c>
    </row>
    <row r="3578" spans="1:4">
      <c r="A3578" s="261">
        <v>2306132</v>
      </c>
      <c r="B3578" s="265" t="s">
        <v>14875</v>
      </c>
      <c r="C3578" s="261" t="s">
        <v>6</v>
      </c>
      <c r="D3578" s="266">
        <v>312.27</v>
      </c>
    </row>
    <row r="3579" spans="1:4">
      <c r="A3579" s="261">
        <v>2306015</v>
      </c>
      <c r="B3579" s="265" t="s">
        <v>14876</v>
      </c>
      <c r="C3579" s="261" t="s">
        <v>10</v>
      </c>
      <c r="D3579" s="266">
        <v>16.11</v>
      </c>
    </row>
    <row r="3580" spans="1:4">
      <c r="A3580" s="261">
        <v>2306019</v>
      </c>
      <c r="B3580" s="265" t="s">
        <v>14877</v>
      </c>
      <c r="C3580" s="261" t="s">
        <v>10</v>
      </c>
      <c r="D3580" s="266">
        <v>16.7</v>
      </c>
    </row>
    <row r="3581" spans="1:4">
      <c r="A3581" s="261">
        <v>2306018</v>
      </c>
      <c r="B3581" s="265" t="s">
        <v>14878</v>
      </c>
      <c r="C3581" s="261" t="s">
        <v>10</v>
      </c>
      <c r="D3581" s="266">
        <v>2.83</v>
      </c>
    </row>
    <row r="3582" spans="1:4">
      <c r="A3582" s="261">
        <v>2306016</v>
      </c>
      <c r="B3582" s="265" t="s">
        <v>14879</v>
      </c>
      <c r="C3582" s="261" t="s">
        <v>10</v>
      </c>
      <c r="D3582" s="266">
        <v>1.94</v>
      </c>
    </row>
    <row r="3583" spans="1:4" ht="31.5">
      <c r="A3583" s="261">
        <v>2305999</v>
      </c>
      <c r="B3583" s="265" t="s">
        <v>14880</v>
      </c>
      <c r="C3583" s="261" t="s">
        <v>6</v>
      </c>
      <c r="D3583" s="266">
        <v>332.91</v>
      </c>
    </row>
    <row r="3584" spans="1:4" ht="31.5">
      <c r="A3584" s="261">
        <v>2306000</v>
      </c>
      <c r="B3584" s="265" t="s">
        <v>14881</v>
      </c>
      <c r="C3584" s="261" t="s">
        <v>6</v>
      </c>
      <c r="D3584" s="266">
        <v>387.25</v>
      </c>
    </row>
    <row r="3585" spans="1:4" ht="31.5">
      <c r="A3585" s="261">
        <v>2306001</v>
      </c>
      <c r="B3585" s="265" t="s">
        <v>14882</v>
      </c>
      <c r="C3585" s="261" t="s">
        <v>6</v>
      </c>
      <c r="D3585" s="266">
        <v>592.21</v>
      </c>
    </row>
    <row r="3586" spans="1:4" ht="31.5">
      <c r="A3586" s="261">
        <v>2306002</v>
      </c>
      <c r="B3586" s="265" t="s">
        <v>14883</v>
      </c>
      <c r="C3586" s="261" t="s">
        <v>6</v>
      </c>
      <c r="D3586" s="266">
        <v>633.64</v>
      </c>
    </row>
    <row r="3587" spans="1:4" ht="31.5">
      <c r="A3587" s="261">
        <v>2306003</v>
      </c>
      <c r="B3587" s="265" t="s">
        <v>14884</v>
      </c>
      <c r="C3587" s="261" t="s">
        <v>6</v>
      </c>
      <c r="D3587" s="266">
        <v>932.12</v>
      </c>
    </row>
    <row r="3588" spans="1:4" ht="31.5">
      <c r="A3588" s="261">
        <v>2305997</v>
      </c>
      <c r="B3588" s="265" t="s">
        <v>14885</v>
      </c>
      <c r="C3588" s="261" t="s">
        <v>6</v>
      </c>
      <c r="D3588" s="266">
        <v>212.58</v>
      </c>
    </row>
    <row r="3589" spans="1:4" ht="31.5">
      <c r="A3589" s="261">
        <v>2305998</v>
      </c>
      <c r="B3589" s="265" t="s">
        <v>14886</v>
      </c>
      <c r="C3589" s="261" t="s">
        <v>6</v>
      </c>
      <c r="D3589" s="266">
        <v>287.22000000000003</v>
      </c>
    </row>
    <row r="3590" spans="1:4">
      <c r="A3590" s="261">
        <v>2306101</v>
      </c>
      <c r="B3590" s="265" t="s">
        <v>14887</v>
      </c>
      <c r="C3590" s="261" t="s">
        <v>6</v>
      </c>
      <c r="D3590" s="266">
        <v>76.11</v>
      </c>
    </row>
    <row r="3591" spans="1:4">
      <c r="A3591" s="261">
        <v>2306102</v>
      </c>
      <c r="B3591" s="265" t="s">
        <v>14888</v>
      </c>
      <c r="C3591" s="261" t="s">
        <v>6</v>
      </c>
      <c r="D3591" s="266">
        <v>80.72</v>
      </c>
    </row>
    <row r="3592" spans="1:4">
      <c r="A3592" s="261">
        <v>2306103</v>
      </c>
      <c r="B3592" s="265" t="s">
        <v>14889</v>
      </c>
      <c r="C3592" s="261" t="s">
        <v>6</v>
      </c>
      <c r="D3592" s="266">
        <v>91.42</v>
      </c>
    </row>
    <row r="3593" spans="1:4">
      <c r="A3593" s="261">
        <v>2306104</v>
      </c>
      <c r="B3593" s="265" t="s">
        <v>14890</v>
      </c>
      <c r="C3593" s="261" t="s">
        <v>6</v>
      </c>
      <c r="D3593" s="266">
        <v>97.28</v>
      </c>
    </row>
    <row r="3594" spans="1:4">
      <c r="A3594" s="261">
        <v>2306105</v>
      </c>
      <c r="B3594" s="265" t="s">
        <v>14891</v>
      </c>
      <c r="C3594" s="261" t="s">
        <v>6</v>
      </c>
      <c r="D3594" s="266">
        <v>103.21</v>
      </c>
    </row>
    <row r="3595" spans="1:4">
      <c r="A3595" s="261">
        <v>2306106</v>
      </c>
      <c r="B3595" s="265" t="s">
        <v>14892</v>
      </c>
      <c r="C3595" s="261" t="s">
        <v>6</v>
      </c>
      <c r="D3595" s="266">
        <v>112.08</v>
      </c>
    </row>
    <row r="3596" spans="1:4">
      <c r="A3596" s="261">
        <v>2306107</v>
      </c>
      <c r="B3596" s="265" t="s">
        <v>14893</v>
      </c>
      <c r="C3596" s="261" t="s">
        <v>6</v>
      </c>
      <c r="D3596" s="266">
        <v>115.26</v>
      </c>
    </row>
    <row r="3597" spans="1:4">
      <c r="A3597" s="261">
        <v>2306269</v>
      </c>
      <c r="B3597" s="265" t="s">
        <v>14894</v>
      </c>
      <c r="C3597" s="261" t="s">
        <v>6</v>
      </c>
      <c r="D3597" s="266">
        <v>130.09</v>
      </c>
    </row>
    <row r="3598" spans="1:4">
      <c r="A3598" s="261">
        <v>2306270</v>
      </c>
      <c r="B3598" s="265" t="s">
        <v>14895</v>
      </c>
      <c r="C3598" s="261" t="s">
        <v>6</v>
      </c>
      <c r="D3598" s="266">
        <v>145.69</v>
      </c>
    </row>
    <row r="3599" spans="1:4">
      <c r="A3599" s="261">
        <v>2306271</v>
      </c>
      <c r="B3599" s="265" t="s">
        <v>14896</v>
      </c>
      <c r="C3599" s="261" t="s">
        <v>6</v>
      </c>
      <c r="D3599" s="266">
        <v>160.19999999999999</v>
      </c>
    </row>
    <row r="3600" spans="1:4">
      <c r="A3600" s="261">
        <v>2306272</v>
      </c>
      <c r="B3600" s="265" t="s">
        <v>14897</v>
      </c>
      <c r="C3600" s="261" t="s">
        <v>6</v>
      </c>
      <c r="D3600" s="266">
        <v>169.28</v>
      </c>
    </row>
    <row r="3601" spans="1:4">
      <c r="A3601" s="261">
        <v>2306273</v>
      </c>
      <c r="B3601" s="265" t="s">
        <v>14898</v>
      </c>
      <c r="C3601" s="261" t="s">
        <v>6</v>
      </c>
      <c r="D3601" s="266">
        <v>189.56</v>
      </c>
    </row>
    <row r="3602" spans="1:4">
      <c r="A3602" s="261">
        <v>2306274</v>
      </c>
      <c r="B3602" s="265" t="s">
        <v>14899</v>
      </c>
      <c r="C3602" s="261" t="s">
        <v>6</v>
      </c>
      <c r="D3602" s="266">
        <v>203.47</v>
      </c>
    </row>
    <row r="3603" spans="1:4">
      <c r="A3603" s="261">
        <v>2306275</v>
      </c>
      <c r="B3603" s="265" t="s">
        <v>14900</v>
      </c>
      <c r="C3603" s="261" t="s">
        <v>6</v>
      </c>
      <c r="D3603" s="266">
        <v>235.52</v>
      </c>
    </row>
    <row r="3604" spans="1:4" ht="31.5">
      <c r="A3604" s="261">
        <v>2306100</v>
      </c>
      <c r="B3604" s="265" t="s">
        <v>14901</v>
      </c>
      <c r="C3604" s="261" t="s">
        <v>6</v>
      </c>
      <c r="D3604" s="266">
        <v>277.95</v>
      </c>
    </row>
    <row r="3605" spans="1:4" ht="31.5">
      <c r="A3605" s="261">
        <v>2306004</v>
      </c>
      <c r="B3605" s="265" t="s">
        <v>14902</v>
      </c>
      <c r="C3605" s="261" t="s">
        <v>6</v>
      </c>
      <c r="D3605" s="266">
        <v>111.49</v>
      </c>
    </row>
    <row r="3606" spans="1:4" ht="31.5">
      <c r="A3606" s="261">
        <v>2306097</v>
      </c>
      <c r="B3606" s="265" t="s">
        <v>14903</v>
      </c>
      <c r="C3606" s="261" t="s">
        <v>6</v>
      </c>
      <c r="D3606" s="266">
        <v>132.29</v>
      </c>
    </row>
    <row r="3607" spans="1:4" ht="31.5">
      <c r="A3607" s="261">
        <v>2306098</v>
      </c>
      <c r="B3607" s="265" t="s">
        <v>14904</v>
      </c>
      <c r="C3607" s="261" t="s">
        <v>6</v>
      </c>
      <c r="D3607" s="266">
        <v>165.41</v>
      </c>
    </row>
    <row r="3608" spans="1:4" ht="31.5">
      <c r="A3608" s="261">
        <v>2306007</v>
      </c>
      <c r="B3608" s="265" t="s">
        <v>14905</v>
      </c>
      <c r="C3608" s="261" t="s">
        <v>6</v>
      </c>
      <c r="D3608" s="266">
        <v>219.43</v>
      </c>
    </row>
    <row r="3609" spans="1:4">
      <c r="A3609" s="261">
        <v>2306067</v>
      </c>
      <c r="B3609" s="265" t="s">
        <v>14906</v>
      </c>
      <c r="C3609" s="261" t="s">
        <v>6</v>
      </c>
      <c r="D3609" s="266">
        <v>472.78</v>
      </c>
    </row>
    <row r="3610" spans="1:4">
      <c r="A3610" s="261">
        <v>2306068</v>
      </c>
      <c r="B3610" s="265" t="s">
        <v>14907</v>
      </c>
      <c r="C3610" s="261" t="s">
        <v>6</v>
      </c>
      <c r="D3610" s="266">
        <v>597.37</v>
      </c>
    </row>
    <row r="3611" spans="1:4">
      <c r="A3611" s="261">
        <v>2306069</v>
      </c>
      <c r="B3611" s="265" t="s">
        <v>14908</v>
      </c>
      <c r="C3611" s="261" t="s">
        <v>6</v>
      </c>
      <c r="D3611" s="266">
        <v>809.2</v>
      </c>
    </row>
    <row r="3612" spans="1:4">
      <c r="A3612" s="261">
        <v>2306070</v>
      </c>
      <c r="B3612" s="265" t="s">
        <v>14909</v>
      </c>
      <c r="C3612" s="261" t="s">
        <v>6</v>
      </c>
      <c r="D3612" s="266">
        <v>1268.8399999999999</v>
      </c>
    </row>
    <row r="3613" spans="1:4">
      <c r="A3613" s="261">
        <v>2306071</v>
      </c>
      <c r="B3613" s="265" t="s">
        <v>14910</v>
      </c>
      <c r="C3613" s="261" t="s">
        <v>6</v>
      </c>
      <c r="D3613" s="266">
        <v>1908.7</v>
      </c>
    </row>
    <row r="3614" spans="1:4">
      <c r="A3614" s="261">
        <v>2306181</v>
      </c>
      <c r="B3614" s="265" t="s">
        <v>14911</v>
      </c>
      <c r="C3614" s="261" t="s">
        <v>6</v>
      </c>
      <c r="D3614" s="266">
        <v>1908.92</v>
      </c>
    </row>
    <row r="3615" spans="1:4">
      <c r="A3615" s="261">
        <v>2306062</v>
      </c>
      <c r="B3615" s="265" t="s">
        <v>14912</v>
      </c>
      <c r="C3615" s="261" t="s">
        <v>6</v>
      </c>
      <c r="D3615" s="266">
        <v>84.77</v>
      </c>
    </row>
    <row r="3616" spans="1:4">
      <c r="A3616" s="261">
        <v>2306063</v>
      </c>
      <c r="B3616" s="265" t="s">
        <v>14913</v>
      </c>
      <c r="C3616" s="261" t="s">
        <v>6</v>
      </c>
      <c r="D3616" s="266">
        <v>102.41</v>
      </c>
    </row>
    <row r="3617" spans="1:4">
      <c r="A3617" s="261">
        <v>2306064</v>
      </c>
      <c r="B3617" s="265" t="s">
        <v>14914</v>
      </c>
      <c r="C3617" s="261" t="s">
        <v>6</v>
      </c>
      <c r="D3617" s="266">
        <v>126.28</v>
      </c>
    </row>
    <row r="3618" spans="1:4">
      <c r="A3618" s="261">
        <v>2306065</v>
      </c>
      <c r="B3618" s="265" t="s">
        <v>14915</v>
      </c>
      <c r="C3618" s="261" t="s">
        <v>6</v>
      </c>
      <c r="D3618" s="266">
        <v>162.88999999999999</v>
      </c>
    </row>
    <row r="3619" spans="1:4">
      <c r="A3619" s="261">
        <v>2306066</v>
      </c>
      <c r="B3619" s="265" t="s">
        <v>14916</v>
      </c>
      <c r="C3619" s="261" t="s">
        <v>6</v>
      </c>
      <c r="D3619" s="266">
        <v>228.65</v>
      </c>
    </row>
    <row r="3620" spans="1:4">
      <c r="A3620" s="261">
        <v>2306180</v>
      </c>
      <c r="B3620" s="265" t="s">
        <v>14917</v>
      </c>
      <c r="C3620" s="261" t="s">
        <v>6</v>
      </c>
      <c r="D3620" s="266">
        <v>256.60000000000002</v>
      </c>
    </row>
    <row r="3621" spans="1:4">
      <c r="A3621" s="261">
        <v>2306009</v>
      </c>
      <c r="B3621" s="265" t="s">
        <v>14918</v>
      </c>
      <c r="C3621" s="261" t="s">
        <v>6</v>
      </c>
      <c r="D3621" s="266">
        <v>17.59</v>
      </c>
    </row>
    <row r="3622" spans="1:4">
      <c r="A3622" s="261">
        <v>2306010</v>
      </c>
      <c r="B3622" s="265" t="s">
        <v>14919</v>
      </c>
      <c r="C3622" s="261" t="s">
        <v>6</v>
      </c>
      <c r="D3622" s="266">
        <v>21.92</v>
      </c>
    </row>
    <row r="3623" spans="1:4">
      <c r="A3623" s="261">
        <v>2306011</v>
      </c>
      <c r="B3623" s="265" t="s">
        <v>14920</v>
      </c>
      <c r="C3623" s="261" t="s">
        <v>6</v>
      </c>
      <c r="D3623" s="266">
        <v>24.96</v>
      </c>
    </row>
    <row r="3624" spans="1:4">
      <c r="A3624" s="261">
        <v>2306012</v>
      </c>
      <c r="B3624" s="265" t="s">
        <v>14921</v>
      </c>
      <c r="C3624" s="261" t="s">
        <v>6</v>
      </c>
      <c r="D3624" s="266">
        <v>29.23</v>
      </c>
    </row>
    <row r="3625" spans="1:4">
      <c r="A3625" s="261">
        <v>2306108</v>
      </c>
      <c r="B3625" s="265" t="s">
        <v>14922</v>
      </c>
      <c r="C3625" s="261" t="s">
        <v>6</v>
      </c>
      <c r="D3625" s="266">
        <v>153.94</v>
      </c>
    </row>
    <row r="3626" spans="1:4">
      <c r="A3626" s="261">
        <v>2306110</v>
      </c>
      <c r="B3626" s="265" t="s">
        <v>14923</v>
      </c>
      <c r="C3626" s="261" t="s">
        <v>6</v>
      </c>
      <c r="D3626" s="266">
        <v>219.19</v>
      </c>
    </row>
    <row r="3627" spans="1:4">
      <c r="A3627" s="261">
        <v>2306111</v>
      </c>
      <c r="B3627" s="265" t="s">
        <v>14924</v>
      </c>
      <c r="C3627" s="261" t="s">
        <v>6</v>
      </c>
      <c r="D3627" s="266">
        <v>258.52999999999997</v>
      </c>
    </row>
    <row r="3628" spans="1:4">
      <c r="A3628" s="261">
        <v>2306112</v>
      </c>
      <c r="B3628" s="265" t="s">
        <v>14925</v>
      </c>
      <c r="C3628" s="261" t="s">
        <v>6</v>
      </c>
      <c r="D3628" s="266">
        <v>321.72000000000003</v>
      </c>
    </row>
    <row r="3629" spans="1:4">
      <c r="A3629" s="261">
        <v>2306113</v>
      </c>
      <c r="B3629" s="265" t="s">
        <v>14926</v>
      </c>
      <c r="C3629" s="261" t="s">
        <v>6</v>
      </c>
      <c r="D3629" s="266">
        <v>378.94</v>
      </c>
    </row>
    <row r="3630" spans="1:4">
      <c r="A3630" s="261">
        <v>2306123</v>
      </c>
      <c r="B3630" s="265" t="s">
        <v>14927</v>
      </c>
      <c r="C3630" s="261" t="s">
        <v>6</v>
      </c>
      <c r="D3630" s="266">
        <v>418.37</v>
      </c>
    </row>
    <row r="3631" spans="1:4">
      <c r="A3631" s="261">
        <v>2306124</v>
      </c>
      <c r="B3631" s="265" t="s">
        <v>14928</v>
      </c>
      <c r="C3631" s="261" t="s">
        <v>6</v>
      </c>
      <c r="D3631" s="266">
        <v>612.77</v>
      </c>
    </row>
    <row r="3632" spans="1:4">
      <c r="A3632" s="261">
        <v>2306125</v>
      </c>
      <c r="B3632" s="265" t="s">
        <v>14929</v>
      </c>
      <c r="C3632" s="261" t="s">
        <v>6</v>
      </c>
      <c r="D3632" s="266">
        <v>731.44</v>
      </c>
    </row>
    <row r="3633" spans="1:4">
      <c r="A3633" s="261">
        <v>2306126</v>
      </c>
      <c r="B3633" s="265" t="s">
        <v>14930</v>
      </c>
      <c r="C3633" s="261" t="s">
        <v>6</v>
      </c>
      <c r="D3633" s="266">
        <v>920.97</v>
      </c>
    </row>
    <row r="3634" spans="1:4">
      <c r="A3634" s="261">
        <v>2306127</v>
      </c>
      <c r="B3634" s="265" t="s">
        <v>14931</v>
      </c>
      <c r="C3634" s="261" t="s">
        <v>6</v>
      </c>
      <c r="D3634" s="266">
        <v>1092.33</v>
      </c>
    </row>
    <row r="3635" spans="1:4">
      <c r="A3635" s="261">
        <v>2306300</v>
      </c>
      <c r="B3635" s="265" t="s">
        <v>14932</v>
      </c>
      <c r="C3635" s="261" t="s">
        <v>6</v>
      </c>
      <c r="D3635" s="266">
        <v>36.840000000000003</v>
      </c>
    </row>
    <row r="3636" spans="1:4">
      <c r="A3636" s="261">
        <v>2306301</v>
      </c>
      <c r="B3636" s="265" t="s">
        <v>14933</v>
      </c>
      <c r="C3636" s="261" t="s">
        <v>6</v>
      </c>
      <c r="D3636" s="266">
        <v>39.46</v>
      </c>
    </row>
    <row r="3637" spans="1:4">
      <c r="A3637" s="261">
        <v>2306302</v>
      </c>
      <c r="B3637" s="265" t="s">
        <v>14934</v>
      </c>
      <c r="C3637" s="261" t="s">
        <v>6</v>
      </c>
      <c r="D3637" s="266">
        <v>47.72</v>
      </c>
    </row>
    <row r="3638" spans="1:4">
      <c r="A3638" s="261">
        <v>2306303</v>
      </c>
      <c r="B3638" s="265" t="s">
        <v>14935</v>
      </c>
      <c r="C3638" s="261" t="s">
        <v>6</v>
      </c>
      <c r="D3638" s="266">
        <v>51.91</v>
      </c>
    </row>
    <row r="3639" spans="1:4">
      <c r="A3639" s="261">
        <v>2306304</v>
      </c>
      <c r="B3639" s="265" t="s">
        <v>14936</v>
      </c>
      <c r="C3639" s="261" t="s">
        <v>6</v>
      </c>
      <c r="D3639" s="266">
        <v>55.36</v>
      </c>
    </row>
    <row r="3640" spans="1:4">
      <c r="A3640" s="261">
        <v>2306305</v>
      </c>
      <c r="B3640" s="265" t="s">
        <v>14937</v>
      </c>
      <c r="C3640" s="261" t="s">
        <v>6</v>
      </c>
      <c r="D3640" s="266">
        <v>61.85</v>
      </c>
    </row>
    <row r="3641" spans="1:4">
      <c r="A3641" s="261">
        <v>2306306</v>
      </c>
      <c r="B3641" s="265" t="s">
        <v>14938</v>
      </c>
      <c r="C3641" s="261" t="s">
        <v>6</v>
      </c>
      <c r="D3641" s="266">
        <v>63.35</v>
      </c>
    </row>
    <row r="3642" spans="1:4">
      <c r="A3642" s="261">
        <v>2306307</v>
      </c>
      <c r="B3642" s="265" t="s">
        <v>14939</v>
      </c>
      <c r="C3642" s="261" t="s">
        <v>6</v>
      </c>
      <c r="D3642" s="266">
        <v>73.8</v>
      </c>
    </row>
    <row r="3643" spans="1:4">
      <c r="A3643" s="261">
        <v>2306308</v>
      </c>
      <c r="B3643" s="265" t="s">
        <v>14940</v>
      </c>
      <c r="C3643" s="261" t="s">
        <v>6</v>
      </c>
      <c r="D3643" s="266">
        <v>83.54</v>
      </c>
    </row>
    <row r="3644" spans="1:4">
      <c r="A3644" s="261">
        <v>2306309</v>
      </c>
      <c r="B3644" s="265" t="s">
        <v>14941</v>
      </c>
      <c r="C3644" s="261" t="s">
        <v>6</v>
      </c>
      <c r="D3644" s="266">
        <v>94.45</v>
      </c>
    </row>
    <row r="3645" spans="1:4">
      <c r="A3645" s="261">
        <v>2306310</v>
      </c>
      <c r="B3645" s="265" t="s">
        <v>14942</v>
      </c>
      <c r="C3645" s="261" t="s">
        <v>6</v>
      </c>
      <c r="D3645" s="266">
        <v>99.85</v>
      </c>
    </row>
    <row r="3646" spans="1:4">
      <c r="A3646" s="261">
        <v>2306311</v>
      </c>
      <c r="B3646" s="265" t="s">
        <v>14943</v>
      </c>
      <c r="C3646" s="261" t="s">
        <v>6</v>
      </c>
      <c r="D3646" s="266">
        <v>114.72</v>
      </c>
    </row>
    <row r="3647" spans="1:4">
      <c r="A3647" s="261">
        <v>2306312</v>
      </c>
      <c r="B3647" s="265" t="s">
        <v>14944</v>
      </c>
      <c r="C3647" s="261" t="s">
        <v>6</v>
      </c>
      <c r="D3647" s="266">
        <v>124.47</v>
      </c>
    </row>
    <row r="3648" spans="1:4">
      <c r="A3648" s="261">
        <v>2306313</v>
      </c>
      <c r="B3648" s="265" t="s">
        <v>14945</v>
      </c>
      <c r="C3648" s="261" t="s">
        <v>6</v>
      </c>
      <c r="D3648" s="266">
        <v>150.01</v>
      </c>
    </row>
    <row r="3649" spans="1:4">
      <c r="A3649" s="261">
        <v>2306013</v>
      </c>
      <c r="B3649" s="265" t="s">
        <v>14946</v>
      </c>
      <c r="C3649" s="261" t="s">
        <v>10</v>
      </c>
      <c r="D3649" s="266">
        <v>11.36</v>
      </c>
    </row>
    <row r="3650" spans="1:4">
      <c r="A3650" s="261">
        <v>2306243</v>
      </c>
      <c r="B3650" s="265" t="s">
        <v>14947</v>
      </c>
      <c r="C3650" s="261" t="s">
        <v>6</v>
      </c>
      <c r="D3650" s="266">
        <v>596.48</v>
      </c>
    </row>
    <row r="3651" spans="1:4">
      <c r="A3651" s="261">
        <v>2408149</v>
      </c>
      <c r="B3651" s="265" t="s">
        <v>14948</v>
      </c>
      <c r="C3651" s="261" t="s">
        <v>10</v>
      </c>
      <c r="D3651" s="266">
        <v>14.83</v>
      </c>
    </row>
    <row r="3652" spans="1:4">
      <c r="A3652" s="261">
        <v>2407972</v>
      </c>
      <c r="B3652" s="265" t="s">
        <v>14949</v>
      </c>
      <c r="C3652" s="261" t="s">
        <v>10</v>
      </c>
      <c r="D3652" s="266">
        <v>62.97</v>
      </c>
    </row>
    <row r="3653" spans="1:4">
      <c r="A3653" s="261">
        <v>2408075</v>
      </c>
      <c r="B3653" s="265" t="s">
        <v>14950</v>
      </c>
      <c r="C3653" s="261" t="s">
        <v>3</v>
      </c>
      <c r="D3653" s="266">
        <v>5.34</v>
      </c>
    </row>
    <row r="3654" spans="1:4">
      <c r="A3654" s="261">
        <v>2408069</v>
      </c>
      <c r="B3654" s="265" t="s">
        <v>14951</v>
      </c>
      <c r="C3654" s="261" t="s">
        <v>3</v>
      </c>
      <c r="D3654" s="266">
        <v>5.44</v>
      </c>
    </row>
    <row r="3655" spans="1:4">
      <c r="A3655" s="261">
        <v>2419790</v>
      </c>
      <c r="B3655" s="265" t="s">
        <v>14952</v>
      </c>
      <c r="C3655" s="261" t="s">
        <v>3</v>
      </c>
      <c r="D3655" s="266">
        <v>9.82</v>
      </c>
    </row>
    <row r="3656" spans="1:4">
      <c r="A3656" s="261">
        <v>2408068</v>
      </c>
      <c r="B3656" s="265" t="s">
        <v>14953</v>
      </c>
      <c r="C3656" s="261" t="s">
        <v>3</v>
      </c>
      <c r="D3656" s="266">
        <v>15.29</v>
      </c>
    </row>
    <row r="3657" spans="1:4">
      <c r="A3657" s="261">
        <v>2419705</v>
      </c>
      <c r="B3657" s="265" t="s">
        <v>14954</v>
      </c>
      <c r="C3657" s="261" t="s">
        <v>3</v>
      </c>
      <c r="D3657" s="266">
        <v>9.7799999999999994</v>
      </c>
    </row>
    <row r="3658" spans="1:4">
      <c r="A3658" s="261">
        <v>2419704</v>
      </c>
      <c r="B3658" s="265" t="s">
        <v>14955</v>
      </c>
      <c r="C3658" s="261" t="s">
        <v>3</v>
      </c>
      <c r="D3658" s="266">
        <v>12.31</v>
      </c>
    </row>
    <row r="3659" spans="1:4" ht="31.5">
      <c r="A3659" s="261">
        <v>2419703</v>
      </c>
      <c r="B3659" s="265" t="s">
        <v>14956</v>
      </c>
      <c r="C3659" s="261" t="s">
        <v>3</v>
      </c>
      <c r="D3659" s="266">
        <v>13.98</v>
      </c>
    </row>
    <row r="3660" spans="1:4">
      <c r="A3660" s="261">
        <v>2408080</v>
      </c>
      <c r="B3660" s="265" t="s">
        <v>14957</v>
      </c>
      <c r="C3660" s="261" t="s">
        <v>3</v>
      </c>
      <c r="D3660" s="266">
        <v>7.3</v>
      </c>
    </row>
    <row r="3661" spans="1:4">
      <c r="A3661" s="261">
        <v>2408078</v>
      </c>
      <c r="B3661" s="265" t="s">
        <v>14958</v>
      </c>
      <c r="C3661" s="261" t="s">
        <v>3</v>
      </c>
      <c r="D3661" s="266">
        <v>2.84</v>
      </c>
    </row>
    <row r="3662" spans="1:4">
      <c r="A3662" s="261">
        <v>2408077</v>
      </c>
      <c r="B3662" s="265" t="s">
        <v>14959</v>
      </c>
      <c r="C3662" s="261" t="s">
        <v>3</v>
      </c>
      <c r="D3662" s="266">
        <v>5.86</v>
      </c>
    </row>
    <row r="3663" spans="1:4">
      <c r="A3663" s="261">
        <v>2408079</v>
      </c>
      <c r="B3663" s="265" t="s">
        <v>14960</v>
      </c>
      <c r="C3663" s="261" t="s">
        <v>3</v>
      </c>
      <c r="D3663" s="266">
        <v>33.9</v>
      </c>
    </row>
    <row r="3664" spans="1:4">
      <c r="A3664" s="261">
        <v>2408076</v>
      </c>
      <c r="B3664" s="265" t="s">
        <v>14961</v>
      </c>
      <c r="C3664" s="261" t="s">
        <v>3</v>
      </c>
      <c r="D3664" s="266">
        <v>10.3</v>
      </c>
    </row>
    <row r="3665" spans="1:4">
      <c r="A3665" s="261">
        <v>2408057</v>
      </c>
      <c r="B3665" s="265" t="s">
        <v>14962</v>
      </c>
      <c r="C3665" s="261" t="s">
        <v>10</v>
      </c>
      <c r="D3665" s="266">
        <v>98.87</v>
      </c>
    </row>
    <row r="3666" spans="1:4">
      <c r="A3666" s="261">
        <v>2408058</v>
      </c>
      <c r="B3666" s="265" t="s">
        <v>14963</v>
      </c>
      <c r="C3666" s="261" t="s">
        <v>10</v>
      </c>
      <c r="D3666" s="266">
        <v>64.41</v>
      </c>
    </row>
    <row r="3667" spans="1:4">
      <c r="A3667" s="261">
        <v>2419789</v>
      </c>
      <c r="B3667" s="265" t="s">
        <v>14964</v>
      </c>
      <c r="C3667" s="261" t="s">
        <v>3</v>
      </c>
      <c r="D3667" s="266">
        <v>8.09</v>
      </c>
    </row>
    <row r="3668" spans="1:4">
      <c r="A3668" s="261">
        <v>2607183</v>
      </c>
      <c r="B3668" s="265" t="s">
        <v>14965</v>
      </c>
      <c r="C3668" s="261" t="s">
        <v>97</v>
      </c>
      <c r="D3668" s="266">
        <v>337.78</v>
      </c>
    </row>
    <row r="3669" spans="1:4">
      <c r="A3669" s="261">
        <v>2607226</v>
      </c>
      <c r="B3669" s="265" t="s">
        <v>14966</v>
      </c>
      <c r="C3669" s="261" t="s">
        <v>97</v>
      </c>
      <c r="D3669" s="266">
        <v>252642.43</v>
      </c>
    </row>
    <row r="3670" spans="1:4">
      <c r="A3670" s="261">
        <v>2607209</v>
      </c>
      <c r="B3670" s="265" t="s">
        <v>14967</v>
      </c>
      <c r="C3670" s="261" t="s">
        <v>97</v>
      </c>
      <c r="D3670" s="266">
        <v>219829.19</v>
      </c>
    </row>
    <row r="3671" spans="1:4">
      <c r="A3671" s="261">
        <v>2607161</v>
      </c>
      <c r="B3671" s="265" t="s">
        <v>14968</v>
      </c>
      <c r="C3671" s="261" t="s">
        <v>97</v>
      </c>
      <c r="D3671" s="266">
        <v>303285.17</v>
      </c>
    </row>
    <row r="3672" spans="1:4">
      <c r="A3672" s="261">
        <v>2607148</v>
      </c>
      <c r="B3672" s="265" t="s">
        <v>14969</v>
      </c>
      <c r="C3672" s="261" t="s">
        <v>97</v>
      </c>
      <c r="D3672" s="266">
        <v>319589.69</v>
      </c>
    </row>
    <row r="3673" spans="1:4">
      <c r="A3673" s="261">
        <v>2607213</v>
      </c>
      <c r="B3673" s="265" t="s">
        <v>14970</v>
      </c>
      <c r="C3673" s="261" t="s">
        <v>97</v>
      </c>
      <c r="D3673" s="266">
        <v>277979.45</v>
      </c>
    </row>
    <row r="3674" spans="1:4">
      <c r="A3674" s="261">
        <v>2607165</v>
      </c>
      <c r="B3674" s="265" t="s">
        <v>14971</v>
      </c>
      <c r="C3674" s="261" t="s">
        <v>97</v>
      </c>
      <c r="D3674" s="266">
        <v>384664.54</v>
      </c>
    </row>
    <row r="3675" spans="1:4">
      <c r="A3675" s="261">
        <v>2607152</v>
      </c>
      <c r="B3675" s="265" t="s">
        <v>14972</v>
      </c>
      <c r="C3675" s="261" t="s">
        <v>97</v>
      </c>
      <c r="D3675" s="266">
        <v>381105.82</v>
      </c>
    </row>
    <row r="3676" spans="1:4">
      <c r="A3676" s="261">
        <v>2607217</v>
      </c>
      <c r="B3676" s="265" t="s">
        <v>14973</v>
      </c>
      <c r="C3676" s="261" t="s">
        <v>97</v>
      </c>
      <c r="D3676" s="266">
        <v>331229.73</v>
      </c>
    </row>
    <row r="3677" spans="1:4">
      <c r="A3677" s="261">
        <v>2607169</v>
      </c>
      <c r="B3677" s="265" t="s">
        <v>14974</v>
      </c>
      <c r="C3677" s="261" t="s">
        <v>97</v>
      </c>
      <c r="D3677" s="266">
        <v>458214.99</v>
      </c>
    </row>
    <row r="3678" spans="1:4">
      <c r="A3678" s="261">
        <v>2607156</v>
      </c>
      <c r="B3678" s="265" t="s">
        <v>14975</v>
      </c>
      <c r="C3678" s="261" t="s">
        <v>97</v>
      </c>
      <c r="D3678" s="266">
        <v>336440.96</v>
      </c>
    </row>
    <row r="3679" spans="1:4">
      <c r="A3679" s="261">
        <v>2607221</v>
      </c>
      <c r="B3679" s="265" t="s">
        <v>14976</v>
      </c>
      <c r="C3679" s="261" t="s">
        <v>97</v>
      </c>
      <c r="D3679" s="266">
        <v>292552.32000000001</v>
      </c>
    </row>
    <row r="3680" spans="1:4">
      <c r="A3680" s="261">
        <v>2607173</v>
      </c>
      <c r="B3680" s="265" t="s">
        <v>14977</v>
      </c>
      <c r="C3680" s="261" t="s">
        <v>97</v>
      </c>
      <c r="D3680" s="266">
        <v>404800.27</v>
      </c>
    </row>
    <row r="3681" spans="1:4">
      <c r="A3681" s="261">
        <v>2607227</v>
      </c>
      <c r="B3681" s="265" t="s">
        <v>14978</v>
      </c>
      <c r="C3681" s="261" t="s">
        <v>97</v>
      </c>
      <c r="D3681" s="266">
        <v>277895.71000000002</v>
      </c>
    </row>
    <row r="3682" spans="1:4">
      <c r="A3682" s="261">
        <v>2607210</v>
      </c>
      <c r="B3682" s="265" t="s">
        <v>14979</v>
      </c>
      <c r="C3682" s="261" t="s">
        <v>97</v>
      </c>
      <c r="D3682" s="266">
        <v>241764.74</v>
      </c>
    </row>
    <row r="3683" spans="1:4">
      <c r="A3683" s="261">
        <v>2607162</v>
      </c>
      <c r="B3683" s="265" t="s">
        <v>14980</v>
      </c>
      <c r="C3683" s="261" t="s">
        <v>97</v>
      </c>
      <c r="D3683" s="266">
        <v>333692.18</v>
      </c>
    </row>
    <row r="3684" spans="1:4">
      <c r="A3684" s="261">
        <v>2607149</v>
      </c>
      <c r="B3684" s="265" t="s">
        <v>14981</v>
      </c>
      <c r="C3684" s="261" t="s">
        <v>97</v>
      </c>
      <c r="D3684" s="266">
        <v>351576</v>
      </c>
    </row>
    <row r="3685" spans="1:4">
      <c r="A3685" s="261">
        <v>2607214</v>
      </c>
      <c r="B3685" s="265" t="s">
        <v>14982</v>
      </c>
      <c r="C3685" s="261" t="s">
        <v>97</v>
      </c>
      <c r="D3685" s="266">
        <v>305758.67</v>
      </c>
    </row>
    <row r="3686" spans="1:4">
      <c r="A3686" s="261">
        <v>2607166</v>
      </c>
      <c r="B3686" s="265" t="s">
        <v>14983</v>
      </c>
      <c r="C3686" s="261" t="s">
        <v>97</v>
      </c>
      <c r="D3686" s="266">
        <v>423194.17</v>
      </c>
    </row>
    <row r="3687" spans="1:4">
      <c r="A3687" s="261">
        <v>2607153</v>
      </c>
      <c r="B3687" s="265" t="s">
        <v>14984</v>
      </c>
      <c r="C3687" s="261" t="s">
        <v>97</v>
      </c>
      <c r="D3687" s="266">
        <v>419135.71</v>
      </c>
    </row>
    <row r="3688" spans="1:4">
      <c r="A3688" s="261">
        <v>2607218</v>
      </c>
      <c r="B3688" s="265" t="s">
        <v>14985</v>
      </c>
      <c r="C3688" s="261" t="s">
        <v>97</v>
      </c>
      <c r="D3688" s="266">
        <v>365127.19</v>
      </c>
    </row>
    <row r="3689" spans="1:4">
      <c r="A3689" s="261">
        <v>2607170</v>
      </c>
      <c r="B3689" s="265" t="s">
        <v>14986</v>
      </c>
      <c r="C3689" s="261" t="s">
        <v>97</v>
      </c>
      <c r="D3689" s="266">
        <v>504132.58</v>
      </c>
    </row>
    <row r="3690" spans="1:4">
      <c r="A3690" s="261">
        <v>2607157</v>
      </c>
      <c r="B3690" s="265" t="s">
        <v>14987</v>
      </c>
      <c r="C3690" s="261" t="s">
        <v>97</v>
      </c>
      <c r="D3690" s="266">
        <v>370909.58</v>
      </c>
    </row>
    <row r="3691" spans="1:4">
      <c r="A3691" s="261">
        <v>2607222</v>
      </c>
      <c r="B3691" s="265" t="s">
        <v>14988</v>
      </c>
      <c r="C3691" s="261" t="s">
        <v>97</v>
      </c>
      <c r="D3691" s="266">
        <v>321796.32</v>
      </c>
    </row>
    <row r="3692" spans="1:4">
      <c r="A3692" s="261">
        <v>2607174</v>
      </c>
      <c r="B3692" s="265" t="s">
        <v>14989</v>
      </c>
      <c r="C3692" s="261" t="s">
        <v>97</v>
      </c>
      <c r="D3692" s="266">
        <v>445358.72</v>
      </c>
    </row>
    <row r="3693" spans="1:4">
      <c r="A3693" s="261">
        <v>2607228</v>
      </c>
      <c r="B3693" s="265" t="s">
        <v>14990</v>
      </c>
      <c r="C3693" s="261" t="s">
        <v>97</v>
      </c>
      <c r="D3693" s="266">
        <v>305645.23</v>
      </c>
    </row>
    <row r="3694" spans="1:4">
      <c r="A3694" s="261">
        <v>2607211</v>
      </c>
      <c r="B3694" s="265" t="s">
        <v>14991</v>
      </c>
      <c r="C3694" s="261" t="s">
        <v>97</v>
      </c>
      <c r="D3694" s="266">
        <v>265871.96000000002</v>
      </c>
    </row>
    <row r="3695" spans="1:4">
      <c r="A3695" s="261">
        <v>2607163</v>
      </c>
      <c r="B3695" s="265" t="s">
        <v>14992</v>
      </c>
      <c r="C3695" s="261" t="s">
        <v>97</v>
      </c>
      <c r="D3695" s="266">
        <v>367870.12</v>
      </c>
    </row>
    <row r="3696" spans="1:4">
      <c r="A3696" s="261">
        <v>2607150</v>
      </c>
      <c r="B3696" s="265" t="s">
        <v>14993</v>
      </c>
      <c r="C3696" s="261" t="s">
        <v>97</v>
      </c>
      <c r="D3696" s="266">
        <v>387572.06</v>
      </c>
    </row>
    <row r="3697" spans="1:4">
      <c r="A3697" s="261">
        <v>2607215</v>
      </c>
      <c r="B3697" s="265" t="s">
        <v>14994</v>
      </c>
      <c r="C3697" s="261" t="s">
        <v>97</v>
      </c>
      <c r="D3697" s="266">
        <v>336288.4</v>
      </c>
    </row>
    <row r="3698" spans="1:4">
      <c r="A3698" s="261">
        <v>2607167</v>
      </c>
      <c r="B3698" s="265" t="s">
        <v>14995</v>
      </c>
      <c r="C3698" s="261" t="s">
        <v>97</v>
      </c>
      <c r="D3698" s="266">
        <v>465517.28</v>
      </c>
    </row>
    <row r="3699" spans="1:4">
      <c r="A3699" s="261">
        <v>2607154</v>
      </c>
      <c r="B3699" s="265" t="s">
        <v>14996</v>
      </c>
      <c r="C3699" s="261" t="s">
        <v>97</v>
      </c>
      <c r="D3699" s="266">
        <v>460938.08</v>
      </c>
    </row>
    <row r="3700" spans="1:4">
      <c r="A3700" s="261">
        <v>2607219</v>
      </c>
      <c r="B3700" s="265" t="s">
        <v>14997</v>
      </c>
      <c r="C3700" s="261" t="s">
        <v>97</v>
      </c>
      <c r="D3700" s="266">
        <v>401528.7</v>
      </c>
    </row>
    <row r="3701" spans="1:4">
      <c r="A3701" s="261">
        <v>2607171</v>
      </c>
      <c r="B3701" s="265" t="s">
        <v>14998</v>
      </c>
      <c r="C3701" s="261" t="s">
        <v>97</v>
      </c>
      <c r="D3701" s="266">
        <v>556907.88</v>
      </c>
    </row>
    <row r="3702" spans="1:4">
      <c r="A3702" s="261">
        <v>2607158</v>
      </c>
      <c r="B3702" s="265" t="s">
        <v>14999</v>
      </c>
      <c r="C3702" s="261" t="s">
        <v>97</v>
      </c>
      <c r="D3702" s="266">
        <v>407929.66</v>
      </c>
    </row>
    <row r="3703" spans="1:4">
      <c r="A3703" s="261">
        <v>2607223</v>
      </c>
      <c r="B3703" s="265" t="s">
        <v>15000</v>
      </c>
      <c r="C3703" s="261" t="s">
        <v>97</v>
      </c>
      <c r="D3703" s="266">
        <v>353935.91</v>
      </c>
    </row>
    <row r="3704" spans="1:4">
      <c r="A3704" s="261">
        <v>2607175</v>
      </c>
      <c r="B3704" s="265" t="s">
        <v>15001</v>
      </c>
      <c r="C3704" s="261" t="s">
        <v>97</v>
      </c>
      <c r="D3704" s="266">
        <v>489911.08</v>
      </c>
    </row>
    <row r="3705" spans="1:4">
      <c r="A3705" s="261">
        <v>2607151</v>
      </c>
      <c r="B3705" s="265" t="s">
        <v>15002</v>
      </c>
      <c r="C3705" s="261" t="s">
        <v>97</v>
      </c>
      <c r="D3705" s="266">
        <v>465120.71</v>
      </c>
    </row>
    <row r="3706" spans="1:4">
      <c r="A3706" s="261">
        <v>2607216</v>
      </c>
      <c r="B3706" s="265" t="s">
        <v>15003</v>
      </c>
      <c r="C3706" s="261" t="s">
        <v>97</v>
      </c>
      <c r="D3706" s="266">
        <v>404449.77</v>
      </c>
    </row>
    <row r="3707" spans="1:4">
      <c r="A3707" s="261">
        <v>2607168</v>
      </c>
      <c r="B3707" s="265" t="s">
        <v>15004</v>
      </c>
      <c r="C3707" s="261" t="s">
        <v>97</v>
      </c>
      <c r="D3707" s="266">
        <v>561434.13</v>
      </c>
    </row>
    <row r="3708" spans="1:4">
      <c r="A3708" s="261">
        <v>2607155</v>
      </c>
      <c r="B3708" s="265" t="s">
        <v>15005</v>
      </c>
      <c r="C3708" s="261" t="s">
        <v>97</v>
      </c>
      <c r="D3708" s="266">
        <v>555478.93999999994</v>
      </c>
    </row>
    <row r="3709" spans="1:4">
      <c r="A3709" s="261">
        <v>2607220</v>
      </c>
      <c r="B3709" s="265" t="s">
        <v>15006</v>
      </c>
      <c r="C3709" s="261" t="s">
        <v>97</v>
      </c>
      <c r="D3709" s="266">
        <v>481856.19</v>
      </c>
    </row>
    <row r="3710" spans="1:4">
      <c r="A3710" s="261">
        <v>2607172</v>
      </c>
      <c r="B3710" s="265" t="s">
        <v>15007</v>
      </c>
      <c r="C3710" s="261" t="s">
        <v>97</v>
      </c>
      <c r="D3710" s="266">
        <v>668410.79</v>
      </c>
    </row>
    <row r="3711" spans="1:4">
      <c r="A3711" s="261">
        <v>2607159</v>
      </c>
      <c r="B3711" s="265" t="s">
        <v>15008</v>
      </c>
      <c r="C3711" s="261" t="s">
        <v>97</v>
      </c>
      <c r="D3711" s="266">
        <v>489697.79</v>
      </c>
    </row>
    <row r="3712" spans="1:4">
      <c r="A3712" s="261">
        <v>2607224</v>
      </c>
      <c r="B3712" s="265" t="s">
        <v>15009</v>
      </c>
      <c r="C3712" s="261" t="s">
        <v>97</v>
      </c>
      <c r="D3712" s="266">
        <v>425651.26</v>
      </c>
    </row>
    <row r="3713" spans="1:4">
      <c r="A3713" s="261">
        <v>2607176</v>
      </c>
      <c r="B3713" s="265" t="s">
        <v>15010</v>
      </c>
      <c r="C3713" s="261" t="s">
        <v>97</v>
      </c>
      <c r="D3713" s="266">
        <v>590756.23</v>
      </c>
    </row>
    <row r="3714" spans="1:4">
      <c r="A3714" s="261">
        <v>2607225</v>
      </c>
      <c r="B3714" s="265" t="s">
        <v>15011</v>
      </c>
      <c r="C3714" s="261" t="s">
        <v>97</v>
      </c>
      <c r="D3714" s="266">
        <v>229658.85</v>
      </c>
    </row>
    <row r="3715" spans="1:4">
      <c r="A3715" s="261">
        <v>2607208</v>
      </c>
      <c r="B3715" s="265" t="s">
        <v>15012</v>
      </c>
      <c r="C3715" s="261" t="s">
        <v>97</v>
      </c>
      <c r="D3715" s="266">
        <v>199868.49</v>
      </c>
    </row>
    <row r="3716" spans="1:4">
      <c r="A3716" s="261">
        <v>2607160</v>
      </c>
      <c r="B3716" s="265" t="s">
        <v>15013</v>
      </c>
      <c r="C3716" s="261" t="s">
        <v>97</v>
      </c>
      <c r="D3716" s="266">
        <v>275599.99</v>
      </c>
    </row>
    <row r="3717" spans="1:4">
      <c r="A3717" s="261">
        <v>2607229</v>
      </c>
      <c r="B3717" s="265" t="s">
        <v>15014</v>
      </c>
      <c r="C3717" s="261" t="s">
        <v>97</v>
      </c>
      <c r="D3717" s="266">
        <v>290457.46000000002</v>
      </c>
    </row>
    <row r="3718" spans="1:4">
      <c r="A3718" s="261">
        <v>2607212</v>
      </c>
      <c r="B3718" s="265" t="s">
        <v>15015</v>
      </c>
      <c r="C3718" s="261" t="s">
        <v>97</v>
      </c>
      <c r="D3718" s="266">
        <v>252700.96</v>
      </c>
    </row>
    <row r="3719" spans="1:4">
      <c r="A3719" s="261">
        <v>2607164</v>
      </c>
      <c r="B3719" s="265" t="s">
        <v>15016</v>
      </c>
      <c r="C3719" s="261" t="s">
        <v>97</v>
      </c>
      <c r="D3719" s="266">
        <v>348806.76</v>
      </c>
    </row>
    <row r="3720" spans="1:4">
      <c r="A3720" s="261">
        <v>2607207</v>
      </c>
      <c r="B3720" s="265" t="s">
        <v>15017</v>
      </c>
      <c r="C3720" s="261" t="s">
        <v>5</v>
      </c>
      <c r="D3720" s="266">
        <v>126.85</v>
      </c>
    </row>
    <row r="3721" spans="1:4">
      <c r="A3721" s="261">
        <v>2607206</v>
      </c>
      <c r="B3721" s="265" t="s">
        <v>15018</v>
      </c>
      <c r="C3721" s="261" t="s">
        <v>5</v>
      </c>
      <c r="D3721" s="266">
        <v>121.52</v>
      </c>
    </row>
    <row r="3722" spans="1:4" ht="31.5">
      <c r="A3722" s="261">
        <v>2607344</v>
      </c>
      <c r="B3722" s="265" t="s">
        <v>15019</v>
      </c>
      <c r="C3722" s="261" t="s">
        <v>97</v>
      </c>
      <c r="D3722" s="266">
        <v>239.42</v>
      </c>
    </row>
    <row r="3723" spans="1:4" ht="31.5">
      <c r="A3723" s="261">
        <v>2607339</v>
      </c>
      <c r="B3723" s="265" t="s">
        <v>15020</v>
      </c>
      <c r="C3723" s="261" t="s">
        <v>97</v>
      </c>
      <c r="D3723" s="266">
        <v>164.48</v>
      </c>
    </row>
    <row r="3724" spans="1:4" ht="31.5">
      <c r="A3724" s="261">
        <v>2607349</v>
      </c>
      <c r="B3724" s="265" t="s">
        <v>15021</v>
      </c>
      <c r="C3724" s="261" t="s">
        <v>97</v>
      </c>
      <c r="D3724" s="266">
        <v>365.64</v>
      </c>
    </row>
    <row r="3725" spans="1:4" ht="31.5">
      <c r="A3725" s="261">
        <v>2607345</v>
      </c>
      <c r="B3725" s="265" t="s">
        <v>15022</v>
      </c>
      <c r="C3725" s="261" t="s">
        <v>97</v>
      </c>
      <c r="D3725" s="266">
        <v>273.19</v>
      </c>
    </row>
    <row r="3726" spans="1:4" ht="31.5">
      <c r="A3726" s="261">
        <v>2607340</v>
      </c>
      <c r="B3726" s="265" t="s">
        <v>15023</v>
      </c>
      <c r="C3726" s="261" t="s">
        <v>97</v>
      </c>
      <c r="D3726" s="266">
        <v>187.82</v>
      </c>
    </row>
    <row r="3727" spans="1:4" ht="31.5">
      <c r="A3727" s="261">
        <v>2607350</v>
      </c>
      <c r="B3727" s="265" t="s">
        <v>15024</v>
      </c>
      <c r="C3727" s="261" t="s">
        <v>97</v>
      </c>
      <c r="D3727" s="266">
        <v>417.66</v>
      </c>
    </row>
    <row r="3728" spans="1:4" ht="31.5">
      <c r="A3728" s="261">
        <v>2607346</v>
      </c>
      <c r="B3728" s="265" t="s">
        <v>15025</v>
      </c>
      <c r="C3728" s="261" t="s">
        <v>97</v>
      </c>
      <c r="D3728" s="266">
        <v>317.31</v>
      </c>
    </row>
    <row r="3729" spans="1:4" ht="31.5">
      <c r="A3729" s="261">
        <v>2607341</v>
      </c>
      <c r="B3729" s="265" t="s">
        <v>15026</v>
      </c>
      <c r="C3729" s="261" t="s">
        <v>97</v>
      </c>
      <c r="D3729" s="266">
        <v>221.57</v>
      </c>
    </row>
    <row r="3730" spans="1:4" ht="31.5">
      <c r="A3730" s="261">
        <v>2607351</v>
      </c>
      <c r="B3730" s="265" t="s">
        <v>15027</v>
      </c>
      <c r="C3730" s="261" t="s">
        <v>97</v>
      </c>
      <c r="D3730" s="266">
        <v>485.15</v>
      </c>
    </row>
    <row r="3731" spans="1:4" ht="31.5">
      <c r="A3731" s="261">
        <v>2607347</v>
      </c>
      <c r="B3731" s="265" t="s">
        <v>15028</v>
      </c>
      <c r="C3731" s="261" t="s">
        <v>97</v>
      </c>
      <c r="D3731" s="266">
        <v>418.65</v>
      </c>
    </row>
    <row r="3732" spans="1:4" ht="31.5">
      <c r="A3732" s="261">
        <v>2607342</v>
      </c>
      <c r="B3732" s="265" t="s">
        <v>15029</v>
      </c>
      <c r="C3732" s="261" t="s">
        <v>97</v>
      </c>
      <c r="D3732" s="266">
        <v>273.19</v>
      </c>
    </row>
    <row r="3733" spans="1:4" ht="31.5">
      <c r="A3733" s="261">
        <v>2607352</v>
      </c>
      <c r="B3733" s="265" t="s">
        <v>15030</v>
      </c>
      <c r="C3733" s="261" t="s">
        <v>97</v>
      </c>
      <c r="D3733" s="266">
        <v>638.33000000000004</v>
      </c>
    </row>
    <row r="3734" spans="1:4">
      <c r="A3734" s="261">
        <v>2607343</v>
      </c>
      <c r="B3734" s="265" t="s">
        <v>15031</v>
      </c>
      <c r="C3734" s="261" t="s">
        <v>97</v>
      </c>
      <c r="D3734" s="266">
        <v>192.24</v>
      </c>
    </row>
    <row r="3735" spans="1:4">
      <c r="A3735" s="261">
        <v>2607338</v>
      </c>
      <c r="B3735" s="265" t="s">
        <v>15032</v>
      </c>
      <c r="C3735" s="261" t="s">
        <v>97</v>
      </c>
      <c r="D3735" s="266">
        <v>140.69</v>
      </c>
    </row>
    <row r="3736" spans="1:4">
      <c r="A3736" s="261">
        <v>2607348</v>
      </c>
      <c r="B3736" s="265" t="s">
        <v>15033</v>
      </c>
      <c r="C3736" s="261" t="s">
        <v>97</v>
      </c>
      <c r="D3736" s="266">
        <v>293.75</v>
      </c>
    </row>
    <row r="3737" spans="1:4">
      <c r="A3737" s="261">
        <v>2607329</v>
      </c>
      <c r="B3737" s="265" t="s">
        <v>15034</v>
      </c>
      <c r="C3737" s="261" t="s">
        <v>97</v>
      </c>
      <c r="D3737" s="266">
        <v>561.61</v>
      </c>
    </row>
    <row r="3738" spans="1:4">
      <c r="A3738" s="261">
        <v>2607324</v>
      </c>
      <c r="B3738" s="265" t="s">
        <v>15035</v>
      </c>
      <c r="C3738" s="261" t="s">
        <v>97</v>
      </c>
      <c r="D3738" s="266">
        <v>383.43</v>
      </c>
    </row>
    <row r="3739" spans="1:4">
      <c r="A3739" s="261">
        <v>2607334</v>
      </c>
      <c r="B3739" s="265" t="s">
        <v>15036</v>
      </c>
      <c r="C3739" s="261" t="s">
        <v>97</v>
      </c>
      <c r="D3739" s="266">
        <v>814.26</v>
      </c>
    </row>
    <row r="3740" spans="1:4">
      <c r="A3740" s="261">
        <v>2607330</v>
      </c>
      <c r="B3740" s="265" t="s">
        <v>15037</v>
      </c>
      <c r="C3740" s="261" t="s">
        <v>97</v>
      </c>
      <c r="D3740" s="266">
        <v>642.19000000000005</v>
      </c>
    </row>
    <row r="3741" spans="1:4">
      <c r="A3741" s="261">
        <v>2607325</v>
      </c>
      <c r="B3741" s="265" t="s">
        <v>15038</v>
      </c>
      <c r="C3741" s="261" t="s">
        <v>97</v>
      </c>
      <c r="D3741" s="266">
        <v>440.33</v>
      </c>
    </row>
    <row r="3742" spans="1:4">
      <c r="A3742" s="261">
        <v>2607335</v>
      </c>
      <c r="B3742" s="265" t="s">
        <v>15039</v>
      </c>
      <c r="C3742" s="261" t="s">
        <v>97</v>
      </c>
      <c r="D3742" s="266">
        <v>930.45</v>
      </c>
    </row>
    <row r="3743" spans="1:4">
      <c r="A3743" s="261">
        <v>2607331</v>
      </c>
      <c r="B3743" s="265" t="s">
        <v>15040</v>
      </c>
      <c r="C3743" s="261" t="s">
        <v>97</v>
      </c>
      <c r="D3743" s="266">
        <v>746.58</v>
      </c>
    </row>
    <row r="3744" spans="1:4">
      <c r="A3744" s="261">
        <v>2607326</v>
      </c>
      <c r="B3744" s="265" t="s">
        <v>15041</v>
      </c>
      <c r="C3744" s="261" t="s">
        <v>97</v>
      </c>
      <c r="D3744" s="266">
        <v>520.91</v>
      </c>
    </row>
    <row r="3745" spans="1:4">
      <c r="A3745" s="261">
        <v>2607336</v>
      </c>
      <c r="B3745" s="265" t="s">
        <v>15042</v>
      </c>
      <c r="C3745" s="261" t="s">
        <v>97</v>
      </c>
      <c r="D3745" s="266">
        <v>1082.32</v>
      </c>
    </row>
    <row r="3746" spans="1:4">
      <c r="A3746" s="261">
        <v>2607332</v>
      </c>
      <c r="B3746" s="265" t="s">
        <v>15043</v>
      </c>
      <c r="C3746" s="261" t="s">
        <v>97</v>
      </c>
      <c r="D3746" s="266">
        <v>988.38</v>
      </c>
    </row>
    <row r="3747" spans="1:4">
      <c r="A3747" s="261">
        <v>2607327</v>
      </c>
      <c r="B3747" s="265" t="s">
        <v>15044</v>
      </c>
      <c r="C3747" s="261" t="s">
        <v>97</v>
      </c>
      <c r="D3747" s="266">
        <v>642.19000000000005</v>
      </c>
    </row>
    <row r="3748" spans="1:4">
      <c r="A3748" s="261">
        <v>2607337</v>
      </c>
      <c r="B3748" s="265" t="s">
        <v>15045</v>
      </c>
      <c r="C3748" s="261" t="s">
        <v>97</v>
      </c>
      <c r="D3748" s="266">
        <v>1430.97</v>
      </c>
    </row>
    <row r="3749" spans="1:4">
      <c r="A3749" s="261">
        <v>2607328</v>
      </c>
      <c r="B3749" s="265" t="s">
        <v>15046</v>
      </c>
      <c r="C3749" s="261" t="s">
        <v>97</v>
      </c>
      <c r="D3749" s="266">
        <v>450.51</v>
      </c>
    </row>
    <row r="3750" spans="1:4">
      <c r="A3750" s="261">
        <v>2607323</v>
      </c>
      <c r="B3750" s="265" t="s">
        <v>15047</v>
      </c>
      <c r="C3750" s="261" t="s">
        <v>97</v>
      </c>
      <c r="D3750" s="266">
        <v>329.17</v>
      </c>
    </row>
    <row r="3751" spans="1:4">
      <c r="A3751" s="261">
        <v>2607333</v>
      </c>
      <c r="B3751" s="265" t="s">
        <v>15048</v>
      </c>
      <c r="C3751" s="261" t="s">
        <v>97</v>
      </c>
      <c r="D3751" s="266">
        <v>652.29999999999995</v>
      </c>
    </row>
    <row r="3752" spans="1:4">
      <c r="A3752" s="261">
        <v>2607106</v>
      </c>
      <c r="B3752" s="265" t="s">
        <v>15049</v>
      </c>
      <c r="C3752" s="261" t="s">
        <v>15050</v>
      </c>
      <c r="D3752" s="266">
        <v>93123.32</v>
      </c>
    </row>
    <row r="3753" spans="1:4">
      <c r="A3753" s="261">
        <v>2607102</v>
      </c>
      <c r="B3753" s="265" t="s">
        <v>15051</v>
      </c>
      <c r="C3753" s="261" t="s">
        <v>15050</v>
      </c>
      <c r="D3753" s="266">
        <v>45829.84</v>
      </c>
    </row>
    <row r="3754" spans="1:4">
      <c r="A3754" s="261">
        <v>2607261</v>
      </c>
      <c r="B3754" s="265" t="s">
        <v>15052</v>
      </c>
      <c r="C3754" s="261" t="s">
        <v>15050</v>
      </c>
      <c r="D3754" s="266">
        <v>93123.32</v>
      </c>
    </row>
    <row r="3755" spans="1:4">
      <c r="A3755" s="261">
        <v>2607107</v>
      </c>
      <c r="B3755" s="265" t="s">
        <v>15053</v>
      </c>
      <c r="C3755" s="261" t="s">
        <v>15050</v>
      </c>
      <c r="D3755" s="266">
        <v>106284.86</v>
      </c>
    </row>
    <row r="3756" spans="1:4">
      <c r="A3756" s="261">
        <v>2607103</v>
      </c>
      <c r="B3756" s="265" t="s">
        <v>15054</v>
      </c>
      <c r="C3756" s="261" t="s">
        <v>15050</v>
      </c>
      <c r="D3756" s="266">
        <v>52159.69</v>
      </c>
    </row>
    <row r="3757" spans="1:4">
      <c r="A3757" s="261">
        <v>2607262</v>
      </c>
      <c r="B3757" s="265" t="s">
        <v>15055</v>
      </c>
      <c r="C3757" s="261" t="s">
        <v>15050</v>
      </c>
      <c r="D3757" s="266">
        <v>106284.86</v>
      </c>
    </row>
    <row r="3758" spans="1:4">
      <c r="A3758" s="261">
        <v>2607108</v>
      </c>
      <c r="B3758" s="265" t="s">
        <v>15056</v>
      </c>
      <c r="C3758" s="261" t="s">
        <v>15050</v>
      </c>
      <c r="D3758" s="266">
        <v>123809.05</v>
      </c>
    </row>
    <row r="3759" spans="1:4">
      <c r="A3759" s="261">
        <v>2607104</v>
      </c>
      <c r="B3759" s="265" t="s">
        <v>15057</v>
      </c>
      <c r="C3759" s="261" t="s">
        <v>15050</v>
      </c>
      <c r="D3759" s="266">
        <v>61629.8</v>
      </c>
    </row>
    <row r="3760" spans="1:4">
      <c r="A3760" s="261">
        <v>2607263</v>
      </c>
      <c r="B3760" s="265" t="s">
        <v>15058</v>
      </c>
      <c r="C3760" s="261" t="s">
        <v>15050</v>
      </c>
      <c r="D3760" s="266">
        <v>123809.05</v>
      </c>
    </row>
    <row r="3761" spans="1:4">
      <c r="A3761" s="261">
        <v>2607109</v>
      </c>
      <c r="B3761" s="265" t="s">
        <v>15059</v>
      </c>
      <c r="C3761" s="261" t="s">
        <v>15050</v>
      </c>
      <c r="D3761" s="266">
        <v>163244.57</v>
      </c>
    </row>
    <row r="3762" spans="1:4">
      <c r="A3762" s="261">
        <v>2607105</v>
      </c>
      <c r="B3762" s="265" t="s">
        <v>15060</v>
      </c>
      <c r="C3762" s="261" t="s">
        <v>15050</v>
      </c>
      <c r="D3762" s="266">
        <v>76644.69</v>
      </c>
    </row>
    <row r="3763" spans="1:4">
      <c r="A3763" s="261">
        <v>2607264</v>
      </c>
      <c r="B3763" s="265" t="s">
        <v>15061</v>
      </c>
      <c r="C3763" s="261" t="s">
        <v>15050</v>
      </c>
      <c r="D3763" s="266">
        <v>163244.57</v>
      </c>
    </row>
    <row r="3764" spans="1:4">
      <c r="A3764" s="261">
        <v>2607093</v>
      </c>
      <c r="B3764" s="265" t="s">
        <v>15062</v>
      </c>
      <c r="C3764" s="261" t="s">
        <v>15050</v>
      </c>
      <c r="D3764" s="266">
        <v>45711.53</v>
      </c>
    </row>
    <row r="3765" spans="1:4">
      <c r="A3765" s="261">
        <v>2607088</v>
      </c>
      <c r="B3765" s="265" t="s">
        <v>15063</v>
      </c>
      <c r="C3765" s="261" t="s">
        <v>15050</v>
      </c>
      <c r="D3765" s="266">
        <v>18880.439999999999</v>
      </c>
    </row>
    <row r="3766" spans="1:4">
      <c r="A3766" s="261">
        <v>2607098</v>
      </c>
      <c r="B3766" s="265" t="s">
        <v>15064</v>
      </c>
      <c r="C3766" s="261" t="s">
        <v>15050</v>
      </c>
      <c r="D3766" s="266">
        <v>46061.1</v>
      </c>
    </row>
    <row r="3767" spans="1:4">
      <c r="A3767" s="261">
        <v>2607094</v>
      </c>
      <c r="B3767" s="265" t="s">
        <v>15065</v>
      </c>
      <c r="C3767" s="261" t="s">
        <v>15050</v>
      </c>
      <c r="D3767" s="266">
        <v>51524.480000000003</v>
      </c>
    </row>
    <row r="3768" spans="1:4">
      <c r="A3768" s="261">
        <v>2607089</v>
      </c>
      <c r="B3768" s="265" t="s">
        <v>15066</v>
      </c>
      <c r="C3768" s="261" t="s">
        <v>15050</v>
      </c>
      <c r="D3768" s="266">
        <v>21615.62</v>
      </c>
    </row>
    <row r="3769" spans="1:4">
      <c r="A3769" s="261">
        <v>2607099</v>
      </c>
      <c r="B3769" s="265" t="s">
        <v>15067</v>
      </c>
      <c r="C3769" s="261" t="s">
        <v>15050</v>
      </c>
      <c r="D3769" s="266">
        <v>51922.720000000001</v>
      </c>
    </row>
    <row r="3770" spans="1:4">
      <c r="A3770" s="261">
        <v>2607095</v>
      </c>
      <c r="B3770" s="265" t="s">
        <v>15068</v>
      </c>
      <c r="C3770" s="261" t="s">
        <v>15050</v>
      </c>
      <c r="D3770" s="266">
        <v>60524.959999999999</v>
      </c>
    </row>
    <row r="3771" spans="1:4">
      <c r="A3771" s="261">
        <v>2607090</v>
      </c>
      <c r="B3771" s="265" t="s">
        <v>15069</v>
      </c>
      <c r="C3771" s="261" t="s">
        <v>15050</v>
      </c>
      <c r="D3771" s="266">
        <v>26319.87</v>
      </c>
    </row>
    <row r="3772" spans="1:4">
      <c r="A3772" s="261">
        <v>2607260</v>
      </c>
      <c r="B3772" s="265" t="s">
        <v>15070</v>
      </c>
      <c r="C3772" s="261" t="s">
        <v>15050</v>
      </c>
      <c r="D3772" s="266">
        <v>60987.49</v>
      </c>
    </row>
    <row r="3773" spans="1:4">
      <c r="A3773" s="261">
        <v>2607096</v>
      </c>
      <c r="B3773" s="265" t="s">
        <v>15071</v>
      </c>
      <c r="C3773" s="261" t="s">
        <v>15050</v>
      </c>
      <c r="D3773" s="266">
        <v>79787.899999999994</v>
      </c>
    </row>
    <row r="3774" spans="1:4">
      <c r="A3774" s="261">
        <v>2607091</v>
      </c>
      <c r="B3774" s="265" t="s">
        <v>15072</v>
      </c>
      <c r="C3774" s="261" t="s">
        <v>15050</v>
      </c>
      <c r="D3774" s="266">
        <v>33066.300000000003</v>
      </c>
    </row>
    <row r="3775" spans="1:4">
      <c r="A3775" s="261">
        <v>2607101</v>
      </c>
      <c r="B3775" s="265" t="s">
        <v>15073</v>
      </c>
      <c r="C3775" s="261" t="s">
        <v>15050</v>
      </c>
      <c r="D3775" s="266">
        <v>80397.5</v>
      </c>
    </row>
    <row r="3776" spans="1:4">
      <c r="A3776" s="261">
        <v>2607092</v>
      </c>
      <c r="B3776" s="265" t="s">
        <v>15074</v>
      </c>
      <c r="C3776" s="261" t="s">
        <v>15050</v>
      </c>
      <c r="D3776" s="266">
        <v>36374.25</v>
      </c>
    </row>
    <row r="3777" spans="1:4">
      <c r="A3777" s="261">
        <v>2607087</v>
      </c>
      <c r="B3777" s="265" t="s">
        <v>15075</v>
      </c>
      <c r="C3777" s="261" t="s">
        <v>15050</v>
      </c>
      <c r="D3777" s="266">
        <v>15759.53</v>
      </c>
    </row>
    <row r="3778" spans="1:4">
      <c r="A3778" s="261">
        <v>2607097</v>
      </c>
      <c r="B3778" s="265" t="s">
        <v>15076</v>
      </c>
      <c r="C3778" s="261" t="s">
        <v>15050</v>
      </c>
      <c r="D3778" s="266">
        <v>36654.120000000003</v>
      </c>
    </row>
    <row r="3779" spans="1:4">
      <c r="A3779" s="261">
        <v>2607198</v>
      </c>
      <c r="B3779" s="265" t="s">
        <v>15077</v>
      </c>
      <c r="C3779" s="261" t="s">
        <v>97</v>
      </c>
      <c r="D3779" s="266">
        <v>341.31</v>
      </c>
    </row>
    <row r="3780" spans="1:4">
      <c r="A3780" s="261">
        <v>2809170</v>
      </c>
      <c r="B3780" s="265" t="s">
        <v>15078</v>
      </c>
      <c r="C3780" s="261" t="s">
        <v>97</v>
      </c>
      <c r="D3780" s="266">
        <v>2010.28</v>
      </c>
    </row>
    <row r="3781" spans="1:4">
      <c r="A3781" s="261">
        <v>2809183</v>
      </c>
      <c r="B3781" s="265" t="s">
        <v>15079</v>
      </c>
      <c r="C3781" s="261" t="s">
        <v>97</v>
      </c>
      <c r="D3781" s="266">
        <v>2910.94</v>
      </c>
    </row>
    <row r="3782" spans="1:4">
      <c r="A3782" s="261">
        <v>2809174</v>
      </c>
      <c r="B3782" s="265" t="s">
        <v>15080</v>
      </c>
      <c r="C3782" s="261" t="s">
        <v>97</v>
      </c>
      <c r="D3782" s="266">
        <v>2109.4</v>
      </c>
    </row>
    <row r="3783" spans="1:4">
      <c r="A3783" s="261">
        <v>2809196</v>
      </c>
      <c r="B3783" s="265" t="s">
        <v>15081</v>
      </c>
      <c r="C3783" s="261" t="s">
        <v>97</v>
      </c>
      <c r="D3783" s="266">
        <v>3052.75</v>
      </c>
    </row>
    <row r="3784" spans="1:4">
      <c r="A3784" s="261">
        <v>2809187</v>
      </c>
      <c r="B3784" s="265" t="s">
        <v>15082</v>
      </c>
      <c r="C3784" s="261" t="s">
        <v>97</v>
      </c>
      <c r="D3784" s="266">
        <v>3059.77</v>
      </c>
    </row>
    <row r="3785" spans="1:4">
      <c r="A3785" s="261">
        <v>2809178</v>
      </c>
      <c r="B3785" s="265" t="s">
        <v>15083</v>
      </c>
      <c r="C3785" s="261" t="s">
        <v>97</v>
      </c>
      <c r="D3785" s="266">
        <v>2257.9299999999998</v>
      </c>
    </row>
    <row r="3786" spans="1:4">
      <c r="A3786" s="261">
        <v>2809200</v>
      </c>
      <c r="B3786" s="265" t="s">
        <v>15084</v>
      </c>
      <c r="C3786" s="261" t="s">
        <v>97</v>
      </c>
      <c r="D3786" s="266">
        <v>3207.76</v>
      </c>
    </row>
    <row r="3787" spans="1:4">
      <c r="A3787" s="261">
        <v>2809191</v>
      </c>
      <c r="B3787" s="265" t="s">
        <v>15085</v>
      </c>
      <c r="C3787" s="261" t="s">
        <v>97</v>
      </c>
      <c r="D3787" s="266">
        <v>3196.25</v>
      </c>
    </row>
    <row r="3788" spans="1:4">
      <c r="A3788" s="261">
        <v>2809204</v>
      </c>
      <c r="B3788" s="265" t="s">
        <v>15086</v>
      </c>
      <c r="C3788" s="261" t="s">
        <v>97</v>
      </c>
      <c r="D3788" s="266">
        <v>3349.66</v>
      </c>
    </row>
    <row r="3789" spans="1:4">
      <c r="A3789" s="261">
        <v>2809171</v>
      </c>
      <c r="B3789" s="265" t="s">
        <v>15087</v>
      </c>
      <c r="C3789" s="261" t="s">
        <v>97</v>
      </c>
      <c r="D3789" s="266">
        <v>2269.13</v>
      </c>
    </row>
    <row r="3790" spans="1:4">
      <c r="A3790" s="261">
        <v>2809184</v>
      </c>
      <c r="B3790" s="265" t="s">
        <v>15088</v>
      </c>
      <c r="C3790" s="261" t="s">
        <v>97</v>
      </c>
      <c r="D3790" s="266">
        <v>3283.8</v>
      </c>
    </row>
    <row r="3791" spans="1:4">
      <c r="A3791" s="261">
        <v>2809175</v>
      </c>
      <c r="B3791" s="265" t="s">
        <v>15089</v>
      </c>
      <c r="C3791" s="261" t="s">
        <v>97</v>
      </c>
      <c r="D3791" s="266">
        <v>2378.16</v>
      </c>
    </row>
    <row r="3792" spans="1:4">
      <c r="A3792" s="261">
        <v>2809197</v>
      </c>
      <c r="B3792" s="265" t="s">
        <v>15090</v>
      </c>
      <c r="C3792" s="261" t="s">
        <v>97</v>
      </c>
      <c r="D3792" s="266">
        <v>3440.03</v>
      </c>
    </row>
    <row r="3793" spans="1:4">
      <c r="A3793" s="261">
        <v>2809188</v>
      </c>
      <c r="B3793" s="265" t="s">
        <v>15091</v>
      </c>
      <c r="C3793" s="261" t="s">
        <v>97</v>
      </c>
      <c r="D3793" s="266">
        <v>3447.5</v>
      </c>
    </row>
    <row r="3794" spans="1:4">
      <c r="A3794" s="261">
        <v>2809179</v>
      </c>
      <c r="B3794" s="265" t="s">
        <v>15092</v>
      </c>
      <c r="C3794" s="261" t="s">
        <v>97</v>
      </c>
      <c r="D3794" s="266">
        <v>2541.54</v>
      </c>
    </row>
    <row r="3795" spans="1:4">
      <c r="A3795" s="261">
        <v>2809201</v>
      </c>
      <c r="B3795" s="265" t="s">
        <v>15093</v>
      </c>
      <c r="C3795" s="261" t="s">
        <v>97</v>
      </c>
      <c r="D3795" s="266">
        <v>3610.54</v>
      </c>
    </row>
    <row r="3796" spans="1:4">
      <c r="A3796" s="261">
        <v>2809192</v>
      </c>
      <c r="B3796" s="265" t="s">
        <v>15094</v>
      </c>
      <c r="C3796" s="261" t="s">
        <v>97</v>
      </c>
      <c r="D3796" s="266">
        <v>3597.64</v>
      </c>
    </row>
    <row r="3797" spans="1:4">
      <c r="A3797" s="261">
        <v>2809205</v>
      </c>
      <c r="B3797" s="265" t="s">
        <v>15095</v>
      </c>
      <c r="C3797" s="261" t="s">
        <v>97</v>
      </c>
      <c r="D3797" s="266">
        <v>3766.63</v>
      </c>
    </row>
    <row r="3798" spans="1:4">
      <c r="A3798" s="261">
        <v>2809172</v>
      </c>
      <c r="B3798" s="265" t="s">
        <v>15096</v>
      </c>
      <c r="C3798" s="261" t="s">
        <v>97</v>
      </c>
      <c r="D3798" s="266">
        <v>2652.62</v>
      </c>
    </row>
    <row r="3799" spans="1:4">
      <c r="A3799" s="261">
        <v>2809185</v>
      </c>
      <c r="B3799" s="265" t="s">
        <v>15097</v>
      </c>
      <c r="C3799" s="261" t="s">
        <v>97</v>
      </c>
      <c r="D3799" s="266">
        <v>3780.58</v>
      </c>
    </row>
    <row r="3800" spans="1:4">
      <c r="A3800" s="261">
        <v>2809176</v>
      </c>
      <c r="B3800" s="265" t="s">
        <v>15098</v>
      </c>
      <c r="C3800" s="261" t="s">
        <v>97</v>
      </c>
      <c r="D3800" s="266">
        <v>2772.55</v>
      </c>
    </row>
    <row r="3801" spans="1:4">
      <c r="A3801" s="261">
        <v>2809198</v>
      </c>
      <c r="B3801" s="265" t="s">
        <v>15099</v>
      </c>
      <c r="C3801" s="261" t="s">
        <v>97</v>
      </c>
      <c r="D3801" s="266">
        <v>3955.12</v>
      </c>
    </row>
    <row r="3802" spans="1:4">
      <c r="A3802" s="261">
        <v>2809189</v>
      </c>
      <c r="B3802" s="265" t="s">
        <v>15100</v>
      </c>
      <c r="C3802" s="261" t="s">
        <v>97</v>
      </c>
      <c r="D3802" s="266">
        <v>3960.65</v>
      </c>
    </row>
    <row r="3803" spans="1:4">
      <c r="A3803" s="261">
        <v>2809180</v>
      </c>
      <c r="B3803" s="265" t="s">
        <v>15101</v>
      </c>
      <c r="C3803" s="261" t="s">
        <v>97</v>
      </c>
      <c r="D3803" s="266">
        <v>2952.27</v>
      </c>
    </row>
    <row r="3804" spans="1:4">
      <c r="A3804" s="261">
        <v>2809202</v>
      </c>
      <c r="B3804" s="265" t="s">
        <v>15102</v>
      </c>
      <c r="C3804" s="261" t="s">
        <v>97</v>
      </c>
      <c r="D3804" s="266">
        <v>4142.67</v>
      </c>
    </row>
    <row r="3805" spans="1:4">
      <c r="A3805" s="261">
        <v>2809193</v>
      </c>
      <c r="B3805" s="265" t="s">
        <v>15103</v>
      </c>
      <c r="C3805" s="261" t="s">
        <v>97</v>
      </c>
      <c r="D3805" s="266">
        <v>4125.8</v>
      </c>
    </row>
    <row r="3806" spans="1:4">
      <c r="A3806" s="261">
        <v>2809206</v>
      </c>
      <c r="B3806" s="265" t="s">
        <v>15104</v>
      </c>
      <c r="C3806" s="261" t="s">
        <v>97</v>
      </c>
      <c r="D3806" s="266">
        <v>4314.37</v>
      </c>
    </row>
    <row r="3807" spans="1:4">
      <c r="A3807" s="261">
        <v>2809190</v>
      </c>
      <c r="B3807" s="265" t="s">
        <v>15105</v>
      </c>
      <c r="C3807" s="261" t="s">
        <v>97</v>
      </c>
      <c r="D3807" s="266">
        <v>5129.2700000000004</v>
      </c>
    </row>
    <row r="3808" spans="1:4">
      <c r="A3808" s="261">
        <v>2809181</v>
      </c>
      <c r="B3808" s="265" t="s">
        <v>15106</v>
      </c>
      <c r="C3808" s="261" t="s">
        <v>97</v>
      </c>
      <c r="D3808" s="266">
        <v>3628.97</v>
      </c>
    </row>
    <row r="3809" spans="1:4">
      <c r="A3809" s="261">
        <v>2809203</v>
      </c>
      <c r="B3809" s="265" t="s">
        <v>15107</v>
      </c>
      <c r="C3809" s="261" t="s">
        <v>97</v>
      </c>
      <c r="D3809" s="266">
        <v>5348.74</v>
      </c>
    </row>
    <row r="3810" spans="1:4">
      <c r="A3810" s="261">
        <v>2809194</v>
      </c>
      <c r="B3810" s="265" t="s">
        <v>15108</v>
      </c>
      <c r="C3810" s="261" t="s">
        <v>97</v>
      </c>
      <c r="D3810" s="266">
        <v>5327.44</v>
      </c>
    </row>
    <row r="3811" spans="1:4">
      <c r="A3811" s="261">
        <v>2809207</v>
      </c>
      <c r="B3811" s="265" t="s">
        <v>15109</v>
      </c>
      <c r="C3811" s="261" t="s">
        <v>97</v>
      </c>
      <c r="D3811" s="266">
        <v>5554.78</v>
      </c>
    </row>
    <row r="3812" spans="1:4">
      <c r="A3812" s="261">
        <v>2809169</v>
      </c>
      <c r="B3812" s="265" t="s">
        <v>15110</v>
      </c>
      <c r="C3812" s="261" t="s">
        <v>97</v>
      </c>
      <c r="D3812" s="266">
        <v>1728.73</v>
      </c>
    </row>
    <row r="3813" spans="1:4">
      <c r="A3813" s="261">
        <v>2809182</v>
      </c>
      <c r="B3813" s="265" t="s">
        <v>15111</v>
      </c>
      <c r="C3813" s="261" t="s">
        <v>97</v>
      </c>
      <c r="D3813" s="266">
        <v>2397.44</v>
      </c>
    </row>
    <row r="3814" spans="1:4">
      <c r="A3814" s="261">
        <v>2809173</v>
      </c>
      <c r="B3814" s="265" t="s">
        <v>15112</v>
      </c>
      <c r="C3814" s="261" t="s">
        <v>97</v>
      </c>
      <c r="D3814" s="266">
        <v>1818.83</v>
      </c>
    </row>
    <row r="3815" spans="1:4">
      <c r="A3815" s="261">
        <v>2809195</v>
      </c>
      <c r="B3815" s="265" t="s">
        <v>15113</v>
      </c>
      <c r="C3815" s="261" t="s">
        <v>97</v>
      </c>
      <c r="D3815" s="266">
        <v>2503.36</v>
      </c>
    </row>
    <row r="3816" spans="1:4">
      <c r="A3816" s="261">
        <v>2809186</v>
      </c>
      <c r="B3816" s="265" t="s">
        <v>15114</v>
      </c>
      <c r="C3816" s="261" t="s">
        <v>97</v>
      </c>
      <c r="D3816" s="266">
        <v>2532.73</v>
      </c>
    </row>
    <row r="3817" spans="1:4">
      <c r="A3817" s="261">
        <v>2809177</v>
      </c>
      <c r="B3817" s="265" t="s">
        <v>15115</v>
      </c>
      <c r="C3817" s="261" t="s">
        <v>97</v>
      </c>
      <c r="D3817" s="266">
        <v>1953.86</v>
      </c>
    </row>
    <row r="3818" spans="1:4">
      <c r="A3818" s="261">
        <v>2809199</v>
      </c>
      <c r="B3818" s="265" t="s">
        <v>15116</v>
      </c>
      <c r="C3818" s="261" t="s">
        <v>97</v>
      </c>
      <c r="D3818" s="266">
        <v>2644.28</v>
      </c>
    </row>
    <row r="3819" spans="1:4" ht="31.5">
      <c r="A3819" s="261">
        <v>2809219</v>
      </c>
      <c r="B3819" s="265" t="s">
        <v>15117</v>
      </c>
      <c r="C3819" s="261" t="s">
        <v>13117</v>
      </c>
      <c r="D3819" s="266">
        <v>24209.22</v>
      </c>
    </row>
    <row r="3820" spans="1:4" ht="31.5">
      <c r="A3820" s="261">
        <v>2809220</v>
      </c>
      <c r="B3820" s="265" t="s">
        <v>15118</v>
      </c>
      <c r="C3820" s="261" t="s">
        <v>13117</v>
      </c>
      <c r="D3820" s="266">
        <v>25691.56</v>
      </c>
    </row>
    <row r="3821" spans="1:4" ht="31.5">
      <c r="A3821" s="261">
        <v>2809221</v>
      </c>
      <c r="B3821" s="265" t="s">
        <v>15119</v>
      </c>
      <c r="C3821" s="261" t="s">
        <v>13117</v>
      </c>
      <c r="D3821" s="266">
        <v>26441.73</v>
      </c>
    </row>
    <row r="3822" spans="1:4" ht="31.5">
      <c r="A3822" s="261">
        <v>2809163</v>
      </c>
      <c r="B3822" s="265" t="s">
        <v>15120</v>
      </c>
      <c r="C3822" s="261" t="s">
        <v>13117</v>
      </c>
      <c r="D3822" s="266">
        <v>25280.400000000001</v>
      </c>
    </row>
    <row r="3823" spans="1:4" ht="31.5">
      <c r="A3823" s="261">
        <v>2809164</v>
      </c>
      <c r="B3823" s="265" t="s">
        <v>15121</v>
      </c>
      <c r="C3823" s="261" t="s">
        <v>13117</v>
      </c>
      <c r="D3823" s="266">
        <v>26816.63</v>
      </c>
    </row>
    <row r="3824" spans="1:4" ht="31.5">
      <c r="A3824" s="261">
        <v>2809165</v>
      </c>
      <c r="B3824" s="265" t="s">
        <v>15122</v>
      </c>
      <c r="C3824" s="261" t="s">
        <v>13117</v>
      </c>
      <c r="D3824" s="266">
        <v>27588.02</v>
      </c>
    </row>
    <row r="3825" spans="1:4" ht="31.5">
      <c r="A3825" s="261">
        <v>2809216</v>
      </c>
      <c r="B3825" s="265" t="s">
        <v>15123</v>
      </c>
      <c r="C3825" s="261" t="s">
        <v>13117</v>
      </c>
      <c r="D3825" s="266">
        <v>22575.9</v>
      </c>
    </row>
    <row r="3826" spans="1:4" ht="31.5">
      <c r="A3826" s="261">
        <v>2809217</v>
      </c>
      <c r="B3826" s="265" t="s">
        <v>15124</v>
      </c>
      <c r="C3826" s="261" t="s">
        <v>13117</v>
      </c>
      <c r="D3826" s="266">
        <v>22972.17</v>
      </c>
    </row>
    <row r="3827" spans="1:4" ht="31.5">
      <c r="A3827" s="261">
        <v>2809218</v>
      </c>
      <c r="B3827" s="265" t="s">
        <v>15125</v>
      </c>
      <c r="C3827" s="261" t="s">
        <v>13117</v>
      </c>
      <c r="D3827" s="266">
        <v>24446.38</v>
      </c>
    </row>
    <row r="3828" spans="1:4" ht="31.5">
      <c r="A3828" s="261">
        <v>2809160</v>
      </c>
      <c r="B3828" s="265" t="s">
        <v>15126</v>
      </c>
      <c r="C3828" s="261" t="s">
        <v>13117</v>
      </c>
      <c r="D3828" s="266">
        <v>23583.42</v>
      </c>
    </row>
    <row r="3829" spans="1:4" ht="31.5">
      <c r="A3829" s="261">
        <v>2809161</v>
      </c>
      <c r="B3829" s="265" t="s">
        <v>15127</v>
      </c>
      <c r="C3829" s="261" t="s">
        <v>13117</v>
      </c>
      <c r="D3829" s="266">
        <v>23982.560000000001</v>
      </c>
    </row>
    <row r="3830" spans="1:4" ht="31.5">
      <c r="A3830" s="261">
        <v>2809162</v>
      </c>
      <c r="B3830" s="265" t="s">
        <v>15128</v>
      </c>
      <c r="C3830" s="261" t="s">
        <v>13117</v>
      </c>
      <c r="D3830" s="266">
        <v>25510.46</v>
      </c>
    </row>
    <row r="3831" spans="1:4" ht="31.5">
      <c r="A3831" s="261">
        <v>2809222</v>
      </c>
      <c r="B3831" s="265" t="s">
        <v>15129</v>
      </c>
      <c r="C3831" s="261" t="s">
        <v>13117</v>
      </c>
      <c r="D3831" s="266">
        <v>21956.85</v>
      </c>
    </row>
    <row r="3832" spans="1:4" ht="31.5">
      <c r="A3832" s="261">
        <v>2809223</v>
      </c>
      <c r="B3832" s="265" t="s">
        <v>15130</v>
      </c>
      <c r="C3832" s="261" t="s">
        <v>13117</v>
      </c>
      <c r="D3832" s="266">
        <v>28100.86</v>
      </c>
    </row>
    <row r="3833" spans="1:4" ht="31.5">
      <c r="A3833" s="261">
        <v>2809224</v>
      </c>
      <c r="B3833" s="265" t="s">
        <v>15131</v>
      </c>
      <c r="C3833" s="261" t="s">
        <v>13117</v>
      </c>
      <c r="D3833" s="266">
        <v>29226.12</v>
      </c>
    </row>
    <row r="3834" spans="1:4" ht="31.5">
      <c r="A3834" s="261">
        <v>2809166</v>
      </c>
      <c r="B3834" s="265" t="s">
        <v>15132</v>
      </c>
      <c r="C3834" s="261" t="s">
        <v>13117</v>
      </c>
      <c r="D3834" s="266">
        <v>22851.41</v>
      </c>
    </row>
    <row r="3835" spans="1:4" ht="31.5">
      <c r="A3835" s="261">
        <v>2809167</v>
      </c>
      <c r="B3835" s="265" t="s">
        <v>15133</v>
      </c>
      <c r="C3835" s="261" t="s">
        <v>13117</v>
      </c>
      <c r="D3835" s="266">
        <v>29296.62</v>
      </c>
    </row>
    <row r="3836" spans="1:4" ht="31.5">
      <c r="A3836" s="261">
        <v>2809168</v>
      </c>
      <c r="B3836" s="265" t="s">
        <v>15134</v>
      </c>
      <c r="C3836" s="261" t="s">
        <v>13117</v>
      </c>
      <c r="D3836" s="266">
        <v>30453.71</v>
      </c>
    </row>
    <row r="3837" spans="1:4">
      <c r="A3837" s="261">
        <v>2909152</v>
      </c>
      <c r="B3837" s="265" t="s">
        <v>15135</v>
      </c>
      <c r="C3837" s="261" t="s">
        <v>13117</v>
      </c>
      <c r="D3837" s="266">
        <v>119.16</v>
      </c>
    </row>
    <row r="3838" spans="1:4">
      <c r="A3838" s="261">
        <v>2909153</v>
      </c>
      <c r="B3838" s="265" t="s">
        <v>15136</v>
      </c>
      <c r="C3838" s="261" t="s">
        <v>13117</v>
      </c>
      <c r="D3838" s="266">
        <v>146.13</v>
      </c>
    </row>
    <row r="3839" spans="1:4">
      <c r="A3839" s="261">
        <v>2909151</v>
      </c>
      <c r="B3839" s="265" t="s">
        <v>15137</v>
      </c>
      <c r="C3839" s="261" t="s">
        <v>13117</v>
      </c>
      <c r="D3839" s="266">
        <v>62.47</v>
      </c>
    </row>
    <row r="3840" spans="1:4">
      <c r="A3840" s="261">
        <v>2909145</v>
      </c>
      <c r="B3840" s="265" t="s">
        <v>15138</v>
      </c>
      <c r="C3840" s="261" t="s">
        <v>97</v>
      </c>
      <c r="D3840" s="266">
        <v>11.26</v>
      </c>
    </row>
    <row r="3841" spans="1:4" ht="31.5">
      <c r="A3841" s="261">
        <v>2909379</v>
      </c>
      <c r="B3841" s="265" t="s">
        <v>15139</v>
      </c>
      <c r="C3841" s="261" t="s">
        <v>13117</v>
      </c>
      <c r="D3841" s="266">
        <v>6214.49</v>
      </c>
    </row>
    <row r="3842" spans="1:4" ht="31.5">
      <c r="A3842" s="261">
        <v>2909381</v>
      </c>
      <c r="B3842" s="265" t="s">
        <v>15140</v>
      </c>
      <c r="C3842" s="261" t="s">
        <v>13117</v>
      </c>
      <c r="D3842" s="266">
        <v>6502.9</v>
      </c>
    </row>
    <row r="3843" spans="1:4" ht="31.5">
      <c r="A3843" s="261">
        <v>2909380</v>
      </c>
      <c r="B3843" s="265" t="s">
        <v>15141</v>
      </c>
      <c r="C3843" s="261" t="s">
        <v>13117</v>
      </c>
      <c r="D3843" s="266">
        <v>9107.59</v>
      </c>
    </row>
    <row r="3844" spans="1:4" ht="31.5">
      <c r="A3844" s="261">
        <v>2909382</v>
      </c>
      <c r="B3844" s="265" t="s">
        <v>15142</v>
      </c>
      <c r="C3844" s="261" t="s">
        <v>13117</v>
      </c>
      <c r="D3844" s="266">
        <v>9539.18</v>
      </c>
    </row>
    <row r="3845" spans="1:4" ht="31.5">
      <c r="A3845" s="261">
        <v>2909375</v>
      </c>
      <c r="B3845" s="265" t="s">
        <v>15143</v>
      </c>
      <c r="C3845" s="261" t="s">
        <v>13117</v>
      </c>
      <c r="D3845" s="266">
        <v>10047.01</v>
      </c>
    </row>
    <row r="3846" spans="1:4" ht="31.5">
      <c r="A3846" s="261">
        <v>2909377</v>
      </c>
      <c r="B3846" s="265" t="s">
        <v>15144</v>
      </c>
      <c r="C3846" s="261" t="s">
        <v>13117</v>
      </c>
      <c r="D3846" s="266">
        <v>10516.2</v>
      </c>
    </row>
    <row r="3847" spans="1:4" ht="31.5">
      <c r="A3847" s="261">
        <v>2909376</v>
      </c>
      <c r="B3847" s="265" t="s">
        <v>15145</v>
      </c>
      <c r="C3847" s="261" t="s">
        <v>13117</v>
      </c>
      <c r="D3847" s="266">
        <v>14756.68</v>
      </c>
    </row>
    <row r="3848" spans="1:4" ht="31.5">
      <c r="A3848" s="261">
        <v>2909378</v>
      </c>
      <c r="B3848" s="265" t="s">
        <v>15146</v>
      </c>
      <c r="C3848" s="261" t="s">
        <v>13117</v>
      </c>
      <c r="D3848" s="266">
        <v>15466.14</v>
      </c>
    </row>
    <row r="3849" spans="1:4" ht="31.5">
      <c r="A3849" s="261">
        <v>2909383</v>
      </c>
      <c r="B3849" s="265" t="s">
        <v>15147</v>
      </c>
      <c r="C3849" s="261" t="s">
        <v>13117</v>
      </c>
      <c r="D3849" s="266">
        <v>5475.11</v>
      </c>
    </row>
    <row r="3850" spans="1:4" ht="31.5">
      <c r="A3850" s="261">
        <v>2909384</v>
      </c>
      <c r="B3850" s="265" t="s">
        <v>15148</v>
      </c>
      <c r="C3850" s="261" t="s">
        <v>13117</v>
      </c>
      <c r="D3850" s="266">
        <v>5747.74</v>
      </c>
    </row>
    <row r="3851" spans="1:4">
      <c r="A3851" s="261">
        <v>2909148</v>
      </c>
      <c r="B3851" s="265" t="s">
        <v>15149</v>
      </c>
      <c r="C3851" s="261" t="s">
        <v>13117</v>
      </c>
      <c r="D3851" s="266">
        <v>437.06</v>
      </c>
    </row>
    <row r="3852" spans="1:4" ht="31.5">
      <c r="A3852" s="261">
        <v>3009336</v>
      </c>
      <c r="B3852" s="265" t="s">
        <v>15150</v>
      </c>
      <c r="C3852" s="261" t="s">
        <v>97</v>
      </c>
      <c r="D3852" s="266">
        <v>101.5</v>
      </c>
    </row>
    <row r="3853" spans="1:4" ht="31.5">
      <c r="A3853" s="261">
        <v>3009337</v>
      </c>
      <c r="B3853" s="265" t="s">
        <v>15151</v>
      </c>
      <c r="C3853" s="261" t="s">
        <v>97</v>
      </c>
      <c r="D3853" s="266">
        <v>104.2</v>
      </c>
    </row>
    <row r="3854" spans="1:4" ht="31.5">
      <c r="A3854" s="261">
        <v>3009340</v>
      </c>
      <c r="B3854" s="265" t="s">
        <v>15152</v>
      </c>
      <c r="C3854" s="261" t="s">
        <v>97</v>
      </c>
      <c r="D3854" s="266">
        <v>194.45</v>
      </c>
    </row>
    <row r="3855" spans="1:4" ht="31.5">
      <c r="A3855" s="261">
        <v>3009341</v>
      </c>
      <c r="B3855" s="265" t="s">
        <v>15153</v>
      </c>
      <c r="C3855" s="261" t="s">
        <v>97</v>
      </c>
      <c r="D3855" s="266">
        <v>199.85</v>
      </c>
    </row>
    <row r="3856" spans="1:4" ht="31.5">
      <c r="A3856" s="261">
        <v>3009344</v>
      </c>
      <c r="B3856" s="265" t="s">
        <v>15154</v>
      </c>
      <c r="C3856" s="261" t="s">
        <v>97</v>
      </c>
      <c r="D3856" s="266">
        <v>101.93</v>
      </c>
    </row>
    <row r="3857" spans="1:4" ht="31.5">
      <c r="A3857" s="261">
        <v>3009345</v>
      </c>
      <c r="B3857" s="265" t="s">
        <v>15155</v>
      </c>
      <c r="C3857" s="261" t="s">
        <v>97</v>
      </c>
      <c r="D3857" s="266">
        <v>104.63</v>
      </c>
    </row>
    <row r="3858" spans="1:4" ht="31.5">
      <c r="A3858" s="261">
        <v>3009348</v>
      </c>
      <c r="B3858" s="265" t="s">
        <v>15156</v>
      </c>
      <c r="C3858" s="261" t="s">
        <v>97</v>
      </c>
      <c r="D3858" s="266">
        <v>194.51</v>
      </c>
    </row>
    <row r="3859" spans="1:4" ht="31.5">
      <c r="A3859" s="261">
        <v>3009349</v>
      </c>
      <c r="B3859" s="265" t="s">
        <v>15157</v>
      </c>
      <c r="C3859" s="261" t="s">
        <v>97</v>
      </c>
      <c r="D3859" s="266">
        <v>199.91</v>
      </c>
    </row>
    <row r="3860" spans="1:4" ht="31.5">
      <c r="A3860" s="261">
        <v>3009338</v>
      </c>
      <c r="B3860" s="265" t="s">
        <v>15158</v>
      </c>
      <c r="C3860" s="261" t="s">
        <v>97</v>
      </c>
      <c r="D3860" s="266">
        <v>101.5</v>
      </c>
    </row>
    <row r="3861" spans="1:4" ht="31.5">
      <c r="A3861" s="261">
        <v>3009339</v>
      </c>
      <c r="B3861" s="265" t="s">
        <v>15159</v>
      </c>
      <c r="C3861" s="261" t="s">
        <v>97</v>
      </c>
      <c r="D3861" s="266">
        <v>104.2</v>
      </c>
    </row>
    <row r="3862" spans="1:4" ht="31.5">
      <c r="A3862" s="261">
        <v>3009342</v>
      </c>
      <c r="B3862" s="265" t="s">
        <v>15160</v>
      </c>
      <c r="C3862" s="261" t="s">
        <v>97</v>
      </c>
      <c r="D3862" s="266">
        <v>194.45</v>
      </c>
    </row>
    <row r="3863" spans="1:4" ht="31.5">
      <c r="A3863" s="261">
        <v>3009343</v>
      </c>
      <c r="B3863" s="265" t="s">
        <v>15161</v>
      </c>
      <c r="C3863" s="261" t="s">
        <v>97</v>
      </c>
      <c r="D3863" s="266">
        <v>199.85</v>
      </c>
    </row>
    <row r="3864" spans="1:4" ht="31.5">
      <c r="A3864" s="261">
        <v>3009346</v>
      </c>
      <c r="B3864" s="265" t="s">
        <v>15162</v>
      </c>
      <c r="C3864" s="261" t="s">
        <v>97</v>
      </c>
      <c r="D3864" s="266">
        <v>101.93</v>
      </c>
    </row>
    <row r="3865" spans="1:4" ht="31.5">
      <c r="A3865" s="261">
        <v>3009347</v>
      </c>
      <c r="B3865" s="265" t="s">
        <v>15163</v>
      </c>
      <c r="C3865" s="261" t="s">
        <v>97</v>
      </c>
      <c r="D3865" s="266">
        <v>104.63</v>
      </c>
    </row>
    <row r="3866" spans="1:4" ht="31.5">
      <c r="A3866" s="261">
        <v>3009350</v>
      </c>
      <c r="B3866" s="265" t="s">
        <v>15164</v>
      </c>
      <c r="C3866" s="261" t="s">
        <v>97</v>
      </c>
      <c r="D3866" s="266">
        <v>194.51</v>
      </c>
    </row>
    <row r="3867" spans="1:4" ht="31.5">
      <c r="A3867" s="261">
        <v>3009351</v>
      </c>
      <c r="B3867" s="265" t="s">
        <v>15165</v>
      </c>
      <c r="C3867" s="261" t="s">
        <v>97</v>
      </c>
      <c r="D3867" s="266">
        <v>199.91</v>
      </c>
    </row>
    <row r="3868" spans="1:4">
      <c r="A3868" s="261">
        <v>3009080</v>
      </c>
      <c r="B3868" s="265" t="s">
        <v>15166</v>
      </c>
      <c r="C3868" s="261" t="s">
        <v>97</v>
      </c>
      <c r="D3868" s="266">
        <v>0.15</v>
      </c>
    </row>
    <row r="3869" spans="1:4">
      <c r="A3869" s="261">
        <v>3009075</v>
      </c>
      <c r="B3869" s="265" t="s">
        <v>15167</v>
      </c>
      <c r="C3869" s="261" t="s">
        <v>97</v>
      </c>
      <c r="D3869" s="266">
        <v>33.799999999999997</v>
      </c>
    </row>
    <row r="3870" spans="1:4">
      <c r="A3870" s="261">
        <v>3009076</v>
      </c>
      <c r="B3870" s="265" t="s">
        <v>15168</v>
      </c>
      <c r="C3870" s="261" t="s">
        <v>97</v>
      </c>
      <c r="D3870" s="266">
        <v>35.090000000000003</v>
      </c>
    </row>
    <row r="3871" spans="1:4">
      <c r="A3871" s="261">
        <v>3009077</v>
      </c>
      <c r="B3871" s="265" t="s">
        <v>15169</v>
      </c>
      <c r="C3871" s="261" t="s">
        <v>97</v>
      </c>
      <c r="D3871" s="266">
        <v>35.1</v>
      </c>
    </row>
    <row r="3872" spans="1:4">
      <c r="A3872" s="261">
        <v>3009078</v>
      </c>
      <c r="B3872" s="265" t="s">
        <v>15170</v>
      </c>
      <c r="C3872" s="261" t="s">
        <v>97</v>
      </c>
      <c r="D3872" s="266">
        <v>35.58</v>
      </c>
    </row>
    <row r="3873" spans="1:4">
      <c r="A3873" s="261">
        <v>3009087</v>
      </c>
      <c r="B3873" s="265" t="s">
        <v>15171</v>
      </c>
      <c r="C3873" s="261" t="s">
        <v>97</v>
      </c>
      <c r="D3873" s="266">
        <v>0.1</v>
      </c>
    </row>
    <row r="3874" spans="1:4" ht="31.5">
      <c r="A3874" s="261">
        <v>3009085</v>
      </c>
      <c r="B3874" s="265" t="s">
        <v>15172</v>
      </c>
      <c r="C3874" s="261" t="s">
        <v>6</v>
      </c>
      <c r="D3874" s="266">
        <v>1488.79</v>
      </c>
    </row>
    <row r="3875" spans="1:4" ht="31.5">
      <c r="A3875" s="261">
        <v>3009086</v>
      </c>
      <c r="B3875" s="265" t="s">
        <v>15173</v>
      </c>
      <c r="C3875" s="261" t="s">
        <v>6</v>
      </c>
      <c r="D3875" s="266">
        <v>1853.88</v>
      </c>
    </row>
    <row r="3876" spans="1:4" ht="31.5">
      <c r="A3876" s="261">
        <v>3009089</v>
      </c>
      <c r="B3876" s="265" t="s">
        <v>15174</v>
      </c>
      <c r="C3876" s="261" t="s">
        <v>6</v>
      </c>
      <c r="D3876" s="266">
        <v>2193.73</v>
      </c>
    </row>
    <row r="3877" spans="1:4" ht="31.5">
      <c r="A3877" s="261">
        <v>3009090</v>
      </c>
      <c r="B3877" s="265" t="s">
        <v>15175</v>
      </c>
      <c r="C3877" s="261" t="s">
        <v>6</v>
      </c>
      <c r="D3877" s="266">
        <v>2071.0100000000002</v>
      </c>
    </row>
    <row r="3878" spans="1:4">
      <c r="A3878" s="261">
        <v>3009004</v>
      </c>
      <c r="B3878" s="265" t="s">
        <v>15176</v>
      </c>
      <c r="C3878" s="261" t="s">
        <v>97</v>
      </c>
      <c r="D3878" s="266">
        <v>408.99</v>
      </c>
    </row>
    <row r="3879" spans="1:4">
      <c r="A3879" s="261">
        <v>3009002</v>
      </c>
      <c r="B3879" s="265" t="s">
        <v>15177</v>
      </c>
      <c r="C3879" s="261" t="s">
        <v>97</v>
      </c>
      <c r="D3879" s="266">
        <v>309.26</v>
      </c>
    </row>
    <row r="3880" spans="1:4">
      <c r="A3880" s="261">
        <v>3009006</v>
      </c>
      <c r="B3880" s="265" t="s">
        <v>15178</v>
      </c>
      <c r="C3880" s="261" t="s">
        <v>97</v>
      </c>
      <c r="D3880" s="266">
        <v>576.48</v>
      </c>
    </row>
    <row r="3881" spans="1:4">
      <c r="A3881" s="261">
        <v>3009335</v>
      </c>
      <c r="B3881" s="265" t="s">
        <v>15179</v>
      </c>
      <c r="C3881" s="261" t="s">
        <v>97</v>
      </c>
      <c r="D3881" s="266">
        <v>1070.3599999999999</v>
      </c>
    </row>
    <row r="3882" spans="1:4">
      <c r="A3882" s="261">
        <v>3009334</v>
      </c>
      <c r="B3882" s="265" t="s">
        <v>15180</v>
      </c>
      <c r="C3882" s="261" t="s">
        <v>97</v>
      </c>
      <c r="D3882" s="266">
        <v>763.06</v>
      </c>
    </row>
    <row r="3883" spans="1:4" ht="31.5">
      <c r="A3883" s="261">
        <v>3009280</v>
      </c>
      <c r="B3883" s="265" t="s">
        <v>15181</v>
      </c>
      <c r="C3883" s="261" t="s">
        <v>13117</v>
      </c>
      <c r="D3883" s="266">
        <v>704194.03</v>
      </c>
    </row>
    <row r="3884" spans="1:4" ht="31.5">
      <c r="A3884" s="261">
        <v>3009281</v>
      </c>
      <c r="B3884" s="265" t="s">
        <v>15182</v>
      </c>
      <c r="C3884" s="261" t="s">
        <v>13117</v>
      </c>
      <c r="D3884" s="266">
        <v>696523.36</v>
      </c>
    </row>
    <row r="3885" spans="1:4" ht="31.5">
      <c r="A3885" s="261">
        <v>3009061</v>
      </c>
      <c r="B3885" s="265" t="s">
        <v>15183</v>
      </c>
      <c r="C3885" s="261" t="s">
        <v>13117</v>
      </c>
      <c r="D3885" s="266">
        <v>739256.81</v>
      </c>
    </row>
    <row r="3886" spans="1:4" ht="31.5">
      <c r="A3886" s="261">
        <v>3009062</v>
      </c>
      <c r="B3886" s="265" t="s">
        <v>15184</v>
      </c>
      <c r="C3886" s="261" t="s">
        <v>13117</v>
      </c>
      <c r="D3886" s="266">
        <v>731203.24</v>
      </c>
    </row>
    <row r="3887" spans="1:4" ht="31.5">
      <c r="A3887" s="261">
        <v>3009278</v>
      </c>
      <c r="B3887" s="265" t="s">
        <v>15185</v>
      </c>
      <c r="C3887" s="261" t="s">
        <v>13117</v>
      </c>
      <c r="D3887" s="266">
        <v>533126.99</v>
      </c>
    </row>
    <row r="3888" spans="1:4" ht="31.5">
      <c r="A3888" s="261">
        <v>3009279</v>
      </c>
      <c r="B3888" s="265" t="s">
        <v>15186</v>
      </c>
      <c r="C3888" s="261" t="s">
        <v>13117</v>
      </c>
      <c r="D3888" s="266">
        <v>527682.53</v>
      </c>
    </row>
    <row r="3889" spans="1:4" ht="31.5">
      <c r="A3889" s="261">
        <v>3009059</v>
      </c>
      <c r="B3889" s="265" t="s">
        <v>15187</v>
      </c>
      <c r="C3889" s="261" t="s">
        <v>13117</v>
      </c>
      <c r="D3889" s="266">
        <v>559672.32999999996</v>
      </c>
    </row>
    <row r="3890" spans="1:4" ht="31.5">
      <c r="A3890" s="261">
        <v>3009060</v>
      </c>
      <c r="B3890" s="265" t="s">
        <v>15188</v>
      </c>
      <c r="C3890" s="261" t="s">
        <v>13117</v>
      </c>
      <c r="D3890" s="266">
        <v>553955.81000000006</v>
      </c>
    </row>
    <row r="3891" spans="1:4" ht="31.5">
      <c r="A3891" s="261">
        <v>3009282</v>
      </c>
      <c r="B3891" s="265" t="s">
        <v>15189</v>
      </c>
      <c r="C3891" s="261" t="s">
        <v>13117</v>
      </c>
      <c r="D3891" s="266">
        <v>983397.69</v>
      </c>
    </row>
    <row r="3892" spans="1:4" ht="31.5">
      <c r="A3892" s="261">
        <v>3009283</v>
      </c>
      <c r="B3892" s="265" t="s">
        <v>15190</v>
      </c>
      <c r="C3892" s="261" t="s">
        <v>13117</v>
      </c>
      <c r="D3892" s="266">
        <v>975724.86</v>
      </c>
    </row>
    <row r="3893" spans="1:4" ht="31.5">
      <c r="A3893" s="261">
        <v>3009063</v>
      </c>
      <c r="B3893" s="265" t="s">
        <v>15191</v>
      </c>
      <c r="C3893" s="261" t="s">
        <v>13117</v>
      </c>
      <c r="D3893" s="266">
        <v>1032362.03</v>
      </c>
    </row>
    <row r="3894" spans="1:4" ht="31.5">
      <c r="A3894" s="261">
        <v>3009064</v>
      </c>
      <c r="B3894" s="265" t="s">
        <v>15192</v>
      </c>
      <c r="C3894" s="261" t="s">
        <v>13117</v>
      </c>
      <c r="D3894" s="266">
        <v>1024306.19</v>
      </c>
    </row>
    <row r="3895" spans="1:4">
      <c r="A3895" s="261">
        <v>3009081</v>
      </c>
      <c r="B3895" s="265" t="s">
        <v>15193</v>
      </c>
      <c r="C3895" s="261" t="s">
        <v>97</v>
      </c>
      <c r="D3895" s="266">
        <v>717.26</v>
      </c>
    </row>
    <row r="3896" spans="1:4">
      <c r="A3896" s="261">
        <v>3009082</v>
      </c>
      <c r="B3896" s="265" t="s">
        <v>15194</v>
      </c>
      <c r="C3896" s="261" t="s">
        <v>97</v>
      </c>
      <c r="D3896" s="266">
        <v>860.61</v>
      </c>
    </row>
    <row r="3897" spans="1:4">
      <c r="A3897" s="261">
        <v>3009083</v>
      </c>
      <c r="B3897" s="265" t="s">
        <v>15195</v>
      </c>
      <c r="C3897" s="261" t="s">
        <v>97</v>
      </c>
      <c r="D3897" s="266">
        <v>877.26</v>
      </c>
    </row>
    <row r="3898" spans="1:4" ht="31.5">
      <c r="A3898" s="261">
        <v>3009084</v>
      </c>
      <c r="B3898" s="265" t="s">
        <v>15196</v>
      </c>
      <c r="C3898" s="261" t="s">
        <v>97</v>
      </c>
      <c r="D3898" s="266">
        <v>882.09</v>
      </c>
    </row>
    <row r="3899" spans="1:4">
      <c r="A3899" s="261">
        <v>3009070</v>
      </c>
      <c r="B3899" s="265" t="s">
        <v>15197</v>
      </c>
      <c r="C3899" s="261" t="s">
        <v>97</v>
      </c>
      <c r="D3899" s="266">
        <v>396.43</v>
      </c>
    </row>
    <row r="3900" spans="1:4" ht="31.5">
      <c r="A3900" s="261">
        <v>3009285</v>
      </c>
      <c r="B3900" s="265" t="s">
        <v>15198</v>
      </c>
      <c r="C3900" s="261" t="s">
        <v>13117</v>
      </c>
      <c r="D3900" s="266">
        <v>639056.75</v>
      </c>
    </row>
    <row r="3901" spans="1:4" ht="31.5">
      <c r="A3901" s="261">
        <v>3009072</v>
      </c>
      <c r="B3901" s="265" t="s">
        <v>15199</v>
      </c>
      <c r="C3901" s="261" t="s">
        <v>13117</v>
      </c>
      <c r="D3901" s="266">
        <v>670876.35</v>
      </c>
    </row>
    <row r="3902" spans="1:4">
      <c r="A3902" s="261">
        <v>3009069</v>
      </c>
      <c r="B3902" s="265" t="s">
        <v>15200</v>
      </c>
      <c r="C3902" s="261" t="s">
        <v>97</v>
      </c>
      <c r="D3902" s="266">
        <v>246.19</v>
      </c>
    </row>
    <row r="3903" spans="1:4">
      <c r="A3903" s="261">
        <v>3009284</v>
      </c>
      <c r="B3903" s="265" t="s">
        <v>15201</v>
      </c>
      <c r="C3903" s="261" t="s">
        <v>13117</v>
      </c>
      <c r="D3903" s="266">
        <v>393616.67</v>
      </c>
    </row>
    <row r="3904" spans="1:4">
      <c r="A3904" s="261">
        <v>3009071</v>
      </c>
      <c r="B3904" s="265" t="s">
        <v>15202</v>
      </c>
      <c r="C3904" s="261" t="s">
        <v>13117</v>
      </c>
      <c r="D3904" s="266">
        <v>413215.79</v>
      </c>
    </row>
    <row r="3905" spans="1:4">
      <c r="A3905" s="261">
        <v>3009091</v>
      </c>
      <c r="B3905" s="265" t="s">
        <v>15203</v>
      </c>
      <c r="C3905" s="261" t="s">
        <v>5</v>
      </c>
      <c r="D3905" s="266">
        <v>136.03</v>
      </c>
    </row>
    <row r="3906" spans="1:4">
      <c r="A3906" s="261">
        <v>3009058</v>
      </c>
      <c r="B3906" s="265" t="s">
        <v>9951</v>
      </c>
      <c r="C3906" s="261" t="s">
        <v>97</v>
      </c>
      <c r="D3906" s="266">
        <v>91655.69</v>
      </c>
    </row>
    <row r="3907" spans="1:4">
      <c r="A3907" s="261">
        <v>3009229</v>
      </c>
      <c r="B3907" s="265" t="s">
        <v>15204</v>
      </c>
      <c r="C3907" s="261" t="s">
        <v>13117</v>
      </c>
      <c r="D3907" s="266">
        <v>178.99</v>
      </c>
    </row>
    <row r="3908" spans="1:4">
      <c r="A3908" s="261">
        <v>3009132</v>
      </c>
      <c r="B3908" s="265" t="s">
        <v>15205</v>
      </c>
      <c r="C3908" s="261" t="s">
        <v>13117</v>
      </c>
      <c r="D3908" s="266">
        <v>1351.12</v>
      </c>
    </row>
    <row r="3909" spans="1:4">
      <c r="A3909" s="261">
        <v>3009133</v>
      </c>
      <c r="B3909" s="265" t="s">
        <v>15206</v>
      </c>
      <c r="C3909" s="261" t="s">
        <v>13117</v>
      </c>
      <c r="D3909" s="266">
        <v>1557.63</v>
      </c>
    </row>
    <row r="3910" spans="1:4">
      <c r="A3910" s="261">
        <v>3009321</v>
      </c>
      <c r="B3910" s="265" t="s">
        <v>15207</v>
      </c>
      <c r="C3910" s="261" t="s">
        <v>97</v>
      </c>
      <c r="D3910" s="266">
        <v>1438.92</v>
      </c>
    </row>
    <row r="3911" spans="1:4">
      <c r="A3911" s="261">
        <v>3009322</v>
      </c>
      <c r="B3911" s="265" t="s">
        <v>15208</v>
      </c>
      <c r="C3911" s="261" t="s">
        <v>97</v>
      </c>
      <c r="D3911" s="266">
        <v>1448.89</v>
      </c>
    </row>
    <row r="3912" spans="1:4">
      <c r="A3912" s="261">
        <v>3009323</v>
      </c>
      <c r="B3912" s="265" t="s">
        <v>15209</v>
      </c>
      <c r="C3912" s="261" t="s">
        <v>97</v>
      </c>
      <c r="D3912" s="266">
        <v>1530.51</v>
      </c>
    </row>
    <row r="3913" spans="1:4">
      <c r="A3913" s="261">
        <v>3009324</v>
      </c>
      <c r="B3913" s="265" t="s">
        <v>15210</v>
      </c>
      <c r="C3913" s="261" t="s">
        <v>97</v>
      </c>
      <c r="D3913" s="266">
        <v>1464.56</v>
      </c>
    </row>
    <row r="3914" spans="1:4" ht="31.5">
      <c r="A3914" s="261">
        <v>3009096</v>
      </c>
      <c r="B3914" s="265" t="s">
        <v>15211</v>
      </c>
      <c r="C3914" s="261" t="s">
        <v>97</v>
      </c>
      <c r="D3914" s="266">
        <v>257.94</v>
      </c>
    </row>
    <row r="3915" spans="1:4" ht="31.5">
      <c r="A3915" s="261">
        <v>3009330</v>
      </c>
      <c r="B3915" s="265" t="s">
        <v>15212</v>
      </c>
      <c r="C3915" s="261" t="s">
        <v>97</v>
      </c>
      <c r="D3915" s="266">
        <v>209.42</v>
      </c>
    </row>
    <row r="3916" spans="1:4" ht="31.5">
      <c r="A3916" s="261">
        <v>3009326</v>
      </c>
      <c r="B3916" s="265" t="s">
        <v>15213</v>
      </c>
      <c r="C3916" s="261" t="s">
        <v>97</v>
      </c>
      <c r="D3916" s="266">
        <v>214.83</v>
      </c>
    </row>
    <row r="3917" spans="1:4" ht="31.5">
      <c r="A3917" s="261">
        <v>3009234</v>
      </c>
      <c r="B3917" s="265" t="s">
        <v>15214</v>
      </c>
      <c r="C3917" s="261" t="s">
        <v>13117</v>
      </c>
      <c r="D3917" s="266">
        <v>1575932.2</v>
      </c>
    </row>
    <row r="3918" spans="1:4" ht="31.5">
      <c r="A3918" s="261">
        <v>3009022</v>
      </c>
      <c r="B3918" s="265" t="s">
        <v>15215</v>
      </c>
      <c r="C3918" s="261" t="s">
        <v>13117</v>
      </c>
      <c r="D3918" s="266">
        <v>1583407.2</v>
      </c>
    </row>
    <row r="3919" spans="1:4" ht="31.5">
      <c r="A3919" s="261">
        <v>3009230</v>
      </c>
      <c r="B3919" s="265" t="s">
        <v>15216</v>
      </c>
      <c r="C3919" s="261" t="s">
        <v>13117</v>
      </c>
      <c r="D3919" s="266">
        <v>2364067.33</v>
      </c>
    </row>
    <row r="3920" spans="1:4" ht="31.5">
      <c r="A3920" s="261">
        <v>3009018</v>
      </c>
      <c r="B3920" s="265" t="s">
        <v>15217</v>
      </c>
      <c r="C3920" s="261" t="s">
        <v>13117</v>
      </c>
      <c r="D3920" s="266">
        <v>2375279.8199999998</v>
      </c>
    </row>
    <row r="3921" spans="1:4" ht="31.5">
      <c r="A3921" s="261">
        <v>3009288</v>
      </c>
      <c r="B3921" s="265" t="s">
        <v>15218</v>
      </c>
      <c r="C3921" s="261" t="s">
        <v>13117</v>
      </c>
      <c r="D3921" s="266">
        <v>1850286.56</v>
      </c>
    </row>
    <row r="3922" spans="1:4" ht="31.5">
      <c r="A3922" s="261">
        <v>3009013</v>
      </c>
      <c r="B3922" s="265" t="s">
        <v>15219</v>
      </c>
      <c r="C3922" s="261" t="s">
        <v>13117</v>
      </c>
      <c r="D3922" s="266">
        <v>1871197.87</v>
      </c>
    </row>
    <row r="3923" spans="1:4" ht="31.5">
      <c r="A3923" s="261">
        <v>3009292</v>
      </c>
      <c r="B3923" s="265" t="s">
        <v>15220</v>
      </c>
      <c r="C3923" s="261" t="s">
        <v>13117</v>
      </c>
      <c r="D3923" s="266">
        <v>2775432.52</v>
      </c>
    </row>
    <row r="3924" spans="1:4" ht="31.5">
      <c r="A3924" s="261">
        <v>3009225</v>
      </c>
      <c r="B3924" s="265" t="s">
        <v>15221</v>
      </c>
      <c r="C3924" s="261" t="s">
        <v>13117</v>
      </c>
      <c r="D3924" s="266">
        <v>2806799.66</v>
      </c>
    </row>
    <row r="3925" spans="1:4">
      <c r="A3925" s="261">
        <v>3009100</v>
      </c>
      <c r="B3925" s="265" t="s">
        <v>15222</v>
      </c>
      <c r="C3925" s="261" t="s">
        <v>97</v>
      </c>
      <c r="D3925" s="266">
        <v>78354.77</v>
      </c>
    </row>
    <row r="3926" spans="1:4" ht="31.5">
      <c r="A3926" s="261">
        <v>3009238</v>
      </c>
      <c r="B3926" s="265" t="s">
        <v>15223</v>
      </c>
      <c r="C3926" s="261" t="s">
        <v>13117</v>
      </c>
      <c r="D3926" s="266">
        <v>1475006.65</v>
      </c>
    </row>
    <row r="3927" spans="1:4" ht="31.5">
      <c r="A3927" s="261">
        <v>3009304</v>
      </c>
      <c r="B3927" s="265" t="s">
        <v>15224</v>
      </c>
      <c r="C3927" s="261" t="s">
        <v>13117</v>
      </c>
      <c r="D3927" s="266">
        <v>2212420.1800000002</v>
      </c>
    </row>
    <row r="3928" spans="1:4" ht="31.5">
      <c r="A3928" s="261">
        <v>3009030</v>
      </c>
      <c r="B3928" s="265" t="s">
        <v>15225</v>
      </c>
      <c r="C3928" s="261" t="s">
        <v>13117</v>
      </c>
      <c r="D3928" s="266">
        <v>2223624.41</v>
      </c>
    </row>
    <row r="3929" spans="1:4" ht="31.5">
      <c r="A3929" s="261">
        <v>3009254</v>
      </c>
      <c r="B3929" s="265" t="s">
        <v>15226</v>
      </c>
      <c r="C3929" s="261" t="s">
        <v>13117</v>
      </c>
      <c r="D3929" s="266">
        <v>1895828.92</v>
      </c>
    </row>
    <row r="3930" spans="1:4" ht="31.5">
      <c r="A3930" s="261">
        <v>3009262</v>
      </c>
      <c r="B3930" s="265" t="s">
        <v>15227</v>
      </c>
      <c r="C3930" s="261" t="s">
        <v>13117</v>
      </c>
      <c r="D3930" s="266">
        <v>1747812.65</v>
      </c>
    </row>
    <row r="3931" spans="1:4" ht="31.5">
      <c r="A3931" s="261">
        <v>3009034</v>
      </c>
      <c r="B3931" s="265" t="s">
        <v>15228</v>
      </c>
      <c r="C3931" s="261" t="s">
        <v>13117</v>
      </c>
      <c r="D3931" s="266">
        <v>1924544.02</v>
      </c>
    </row>
    <row r="3932" spans="1:4" ht="31.5">
      <c r="A3932" s="261">
        <v>3009042</v>
      </c>
      <c r="B3932" s="265" t="s">
        <v>15229</v>
      </c>
      <c r="C3932" s="261" t="s">
        <v>13117</v>
      </c>
      <c r="D3932" s="266">
        <v>1769157.84</v>
      </c>
    </row>
    <row r="3933" spans="1:4" ht="31.5">
      <c r="A3933" s="261">
        <v>3009270</v>
      </c>
      <c r="B3933" s="265" t="s">
        <v>15230</v>
      </c>
      <c r="C3933" s="261" t="s">
        <v>13117</v>
      </c>
      <c r="D3933" s="266">
        <v>2844469.52</v>
      </c>
    </row>
    <row r="3934" spans="1:4" ht="31.5">
      <c r="A3934" s="261">
        <v>3009050</v>
      </c>
      <c r="B3934" s="265" t="s">
        <v>15231</v>
      </c>
      <c r="C3934" s="261" t="s">
        <v>13117</v>
      </c>
      <c r="D3934" s="266">
        <v>2887583.27</v>
      </c>
    </row>
    <row r="3935" spans="1:4">
      <c r="A3935" s="261">
        <v>3009101</v>
      </c>
      <c r="B3935" s="265" t="s">
        <v>15232</v>
      </c>
      <c r="C3935" s="261" t="s">
        <v>97</v>
      </c>
      <c r="D3935" s="266">
        <v>156967.47</v>
      </c>
    </row>
    <row r="3936" spans="1:4" ht="31.5">
      <c r="A3936" s="261">
        <v>3009246</v>
      </c>
      <c r="B3936" s="265" t="s">
        <v>15233</v>
      </c>
      <c r="C3936" s="261" t="s">
        <v>13117</v>
      </c>
      <c r="D3936" s="266">
        <v>1469756.02</v>
      </c>
    </row>
    <row r="3937" spans="1:4" ht="31.5">
      <c r="A3937" s="261">
        <v>3009208</v>
      </c>
      <c r="B3937" s="265" t="s">
        <v>15234</v>
      </c>
      <c r="C3937" s="261" t="s">
        <v>13117</v>
      </c>
      <c r="D3937" s="266">
        <v>1477225.72</v>
      </c>
    </row>
    <row r="3938" spans="1:4" ht="31.5">
      <c r="A3938" s="261">
        <v>3009308</v>
      </c>
      <c r="B3938" s="265" t="s">
        <v>15235</v>
      </c>
      <c r="C3938" s="261" t="s">
        <v>13117</v>
      </c>
      <c r="D3938" s="266">
        <v>2204545.3199999998</v>
      </c>
    </row>
    <row r="3939" spans="1:4" ht="31.5">
      <c r="A3939" s="261">
        <v>3009212</v>
      </c>
      <c r="B3939" s="265" t="s">
        <v>15236</v>
      </c>
      <c r="C3939" s="261" t="s">
        <v>13117</v>
      </c>
      <c r="D3939" s="266">
        <v>2215749.87</v>
      </c>
    </row>
    <row r="3940" spans="1:4" ht="31.5">
      <c r="A3940" s="261">
        <v>3009258</v>
      </c>
      <c r="B3940" s="265" t="s">
        <v>15237</v>
      </c>
      <c r="C3940" s="261" t="s">
        <v>13117</v>
      </c>
      <c r="D3940" s="266">
        <v>1890640.24</v>
      </c>
    </row>
    <row r="3941" spans="1:4" ht="31.5">
      <c r="A3941" s="261">
        <v>3009266</v>
      </c>
      <c r="B3941" s="265" t="s">
        <v>15238</v>
      </c>
      <c r="C3941" s="261" t="s">
        <v>13117</v>
      </c>
      <c r="D3941" s="266">
        <v>1742623.97</v>
      </c>
    </row>
    <row r="3942" spans="1:4" ht="31.5">
      <c r="A3942" s="261">
        <v>3009038</v>
      </c>
      <c r="B3942" s="265" t="s">
        <v>15239</v>
      </c>
      <c r="C3942" s="261" t="s">
        <v>13117</v>
      </c>
      <c r="D3942" s="266">
        <v>1919355.34</v>
      </c>
    </row>
    <row r="3943" spans="1:4" ht="31.5">
      <c r="A3943" s="261">
        <v>3009046</v>
      </c>
      <c r="B3943" s="265" t="s">
        <v>15240</v>
      </c>
      <c r="C3943" s="261" t="s">
        <v>13117</v>
      </c>
      <c r="D3943" s="266">
        <v>1763969.16</v>
      </c>
    </row>
    <row r="3944" spans="1:4" ht="31.5">
      <c r="A3944" s="261">
        <v>3009274</v>
      </c>
      <c r="B3944" s="265" t="s">
        <v>15241</v>
      </c>
      <c r="C3944" s="261" t="s">
        <v>13117</v>
      </c>
      <c r="D3944" s="266">
        <v>2836687.69</v>
      </c>
    </row>
    <row r="3945" spans="1:4" ht="31.5">
      <c r="A3945" s="261">
        <v>3009054</v>
      </c>
      <c r="B3945" s="265" t="s">
        <v>15242</v>
      </c>
      <c r="C3945" s="261" t="s">
        <v>13117</v>
      </c>
      <c r="D3945" s="266">
        <v>2879801.44</v>
      </c>
    </row>
    <row r="3946" spans="1:4" ht="31.5">
      <c r="A3946" s="261">
        <v>3009235</v>
      </c>
      <c r="B3946" s="265" t="s">
        <v>15243</v>
      </c>
      <c r="C3946" s="261" t="s">
        <v>13117</v>
      </c>
      <c r="D3946" s="266">
        <v>1941519.13</v>
      </c>
    </row>
    <row r="3947" spans="1:4" ht="31.5">
      <c r="A3947" s="261">
        <v>3009023</v>
      </c>
      <c r="B3947" s="265" t="s">
        <v>15244</v>
      </c>
      <c r="C3947" s="261" t="s">
        <v>13117</v>
      </c>
      <c r="D3947" s="266">
        <v>1948768.94</v>
      </c>
    </row>
    <row r="3948" spans="1:4" ht="31.5">
      <c r="A3948" s="261">
        <v>3009231</v>
      </c>
      <c r="B3948" s="265" t="s">
        <v>15245</v>
      </c>
      <c r="C3948" s="261" t="s">
        <v>13117</v>
      </c>
      <c r="D3948" s="266">
        <v>2910388.69</v>
      </c>
    </row>
    <row r="3949" spans="1:4" ht="31.5">
      <c r="A3949" s="261">
        <v>3009019</v>
      </c>
      <c r="B3949" s="265" t="s">
        <v>15246</v>
      </c>
      <c r="C3949" s="261" t="s">
        <v>13117</v>
      </c>
      <c r="D3949" s="266">
        <v>2923829.13</v>
      </c>
    </row>
    <row r="3950" spans="1:4" ht="31.5">
      <c r="A3950" s="261">
        <v>3009289</v>
      </c>
      <c r="B3950" s="265" t="s">
        <v>15247</v>
      </c>
      <c r="C3950" s="261" t="s">
        <v>13117</v>
      </c>
      <c r="D3950" s="266">
        <v>2454538.06</v>
      </c>
    </row>
    <row r="3951" spans="1:4" ht="31.5">
      <c r="A3951" s="261">
        <v>3009014</v>
      </c>
      <c r="B3951" s="265" t="s">
        <v>15248</v>
      </c>
      <c r="C3951" s="261" t="s">
        <v>13117</v>
      </c>
      <c r="D3951" s="266">
        <v>2487645.5099999998</v>
      </c>
    </row>
    <row r="3952" spans="1:4" ht="31.5">
      <c r="A3952" s="261">
        <v>3009293</v>
      </c>
      <c r="B3952" s="265" t="s">
        <v>15249</v>
      </c>
      <c r="C3952" s="261" t="s">
        <v>13117</v>
      </c>
      <c r="D3952" s="266">
        <v>3681809.87</v>
      </c>
    </row>
    <row r="3953" spans="1:4" ht="31.5">
      <c r="A3953" s="261">
        <v>3009226</v>
      </c>
      <c r="B3953" s="265" t="s">
        <v>15250</v>
      </c>
      <c r="C3953" s="261" t="s">
        <v>13117</v>
      </c>
      <c r="D3953" s="266">
        <v>3731471.34</v>
      </c>
    </row>
    <row r="3954" spans="1:4">
      <c r="A3954" s="261">
        <v>3009102</v>
      </c>
      <c r="B3954" s="265" t="s">
        <v>15251</v>
      </c>
      <c r="C3954" s="261" t="s">
        <v>97</v>
      </c>
      <c r="D3954" s="266">
        <v>99313.79</v>
      </c>
    </row>
    <row r="3955" spans="1:4" ht="31.5">
      <c r="A3955" s="261">
        <v>3009297</v>
      </c>
      <c r="B3955" s="265" t="s">
        <v>15252</v>
      </c>
      <c r="C3955" s="261" t="s">
        <v>13117</v>
      </c>
      <c r="D3955" s="266">
        <v>1825837.77</v>
      </c>
    </row>
    <row r="3956" spans="1:4" ht="31.5">
      <c r="A3956" s="261">
        <v>3009027</v>
      </c>
      <c r="B3956" s="265" t="s">
        <v>15253</v>
      </c>
      <c r="C3956" s="261" t="s">
        <v>13117</v>
      </c>
      <c r="D3956" s="266">
        <v>1833307.37</v>
      </c>
    </row>
    <row r="3957" spans="1:4" ht="31.5">
      <c r="A3957" s="261">
        <v>3009305</v>
      </c>
      <c r="B3957" s="265" t="s">
        <v>15254</v>
      </c>
      <c r="C3957" s="261" t="s">
        <v>13117</v>
      </c>
      <c r="D3957" s="266">
        <v>2738666.74</v>
      </c>
    </row>
    <row r="3958" spans="1:4" ht="31.5">
      <c r="A3958" s="261">
        <v>3009031</v>
      </c>
      <c r="B3958" s="265" t="s">
        <v>15255</v>
      </c>
      <c r="C3958" s="261" t="s">
        <v>13117</v>
      </c>
      <c r="D3958" s="266">
        <v>2749870.97</v>
      </c>
    </row>
    <row r="3959" spans="1:4" ht="31.5">
      <c r="A3959" s="261">
        <v>3009255</v>
      </c>
      <c r="B3959" s="265" t="s">
        <v>15256</v>
      </c>
      <c r="C3959" s="261" t="s">
        <v>13117</v>
      </c>
      <c r="D3959" s="266">
        <v>2301753.7400000002</v>
      </c>
    </row>
    <row r="3960" spans="1:4" ht="31.5">
      <c r="A3960" s="261">
        <v>3009263</v>
      </c>
      <c r="B3960" s="265" t="s">
        <v>15257</v>
      </c>
      <c r="C3960" s="261" t="s">
        <v>13117</v>
      </c>
      <c r="D3960" s="266">
        <v>2337599.9900000002</v>
      </c>
    </row>
    <row r="3961" spans="1:4" ht="31.5">
      <c r="A3961" s="261">
        <v>3009035</v>
      </c>
      <c r="B3961" s="265" t="s">
        <v>15258</v>
      </c>
      <c r="C3961" s="261" t="s">
        <v>13117</v>
      </c>
      <c r="D3961" s="266">
        <v>2333211.96</v>
      </c>
    </row>
    <row r="3962" spans="1:4" ht="31.5">
      <c r="A3962" s="261">
        <v>3009043</v>
      </c>
      <c r="B3962" s="265" t="s">
        <v>15259</v>
      </c>
      <c r="C3962" s="261" t="s">
        <v>13117</v>
      </c>
      <c r="D3962" s="266">
        <v>2370842.83</v>
      </c>
    </row>
    <row r="3963" spans="1:4" ht="31.5">
      <c r="A3963" s="261">
        <v>3009271</v>
      </c>
      <c r="B3963" s="265" t="s">
        <v>15260</v>
      </c>
      <c r="C3963" s="261" t="s">
        <v>13117</v>
      </c>
      <c r="D3963" s="266">
        <v>3453356.65</v>
      </c>
    </row>
    <row r="3964" spans="1:4" ht="31.5">
      <c r="A3964" s="261">
        <v>3009051</v>
      </c>
      <c r="B3964" s="265" t="s">
        <v>15261</v>
      </c>
      <c r="C3964" s="261" t="s">
        <v>13117</v>
      </c>
      <c r="D3964" s="266">
        <v>3500585.08</v>
      </c>
    </row>
    <row r="3965" spans="1:4">
      <c r="A3965" s="261">
        <v>3009103</v>
      </c>
      <c r="B3965" s="265" t="s">
        <v>15262</v>
      </c>
      <c r="C3965" s="261" t="s">
        <v>97</v>
      </c>
      <c r="D3965" s="266">
        <v>198885.52</v>
      </c>
    </row>
    <row r="3966" spans="1:4" ht="31.5">
      <c r="A3966" s="261">
        <v>3009247</v>
      </c>
      <c r="B3966" s="265" t="s">
        <v>15263</v>
      </c>
      <c r="C3966" s="261" t="s">
        <v>13117</v>
      </c>
      <c r="D3966" s="266">
        <v>1819829.93</v>
      </c>
    </row>
    <row r="3967" spans="1:4" ht="31.5">
      <c r="A3967" s="261">
        <v>3009209</v>
      </c>
      <c r="B3967" s="265" t="s">
        <v>15264</v>
      </c>
      <c r="C3967" s="261" t="s">
        <v>13117</v>
      </c>
      <c r="D3967" s="266">
        <v>1827299.63</v>
      </c>
    </row>
    <row r="3968" spans="1:4" ht="31.5">
      <c r="A3968" s="261">
        <v>3009309</v>
      </c>
      <c r="B3968" s="265" t="s">
        <v>15265</v>
      </c>
      <c r="C3968" s="261" t="s">
        <v>13117</v>
      </c>
      <c r="D3968" s="266">
        <v>2729656.4</v>
      </c>
    </row>
    <row r="3969" spans="1:4" ht="31.5">
      <c r="A3969" s="261">
        <v>3009213</v>
      </c>
      <c r="B3969" s="265" t="s">
        <v>15266</v>
      </c>
      <c r="C3969" s="261" t="s">
        <v>13117</v>
      </c>
      <c r="D3969" s="266">
        <v>2740860.95</v>
      </c>
    </row>
    <row r="3970" spans="1:4" ht="31.5">
      <c r="A3970" s="261">
        <v>3009259</v>
      </c>
      <c r="B3970" s="265" t="s">
        <v>15267</v>
      </c>
      <c r="C3970" s="261" t="s">
        <v>13117</v>
      </c>
      <c r="D3970" s="266">
        <v>2295807.87</v>
      </c>
    </row>
    <row r="3971" spans="1:4" ht="31.5">
      <c r="A3971" s="261">
        <v>3009267</v>
      </c>
      <c r="B3971" s="265" t="s">
        <v>15268</v>
      </c>
      <c r="C3971" s="261" t="s">
        <v>13117</v>
      </c>
      <c r="D3971" s="266">
        <v>2331654.12</v>
      </c>
    </row>
    <row r="3972" spans="1:4" ht="31.5">
      <c r="A3972" s="261">
        <v>3009039</v>
      </c>
      <c r="B3972" s="265" t="s">
        <v>15269</v>
      </c>
      <c r="C3972" s="261" t="s">
        <v>13117</v>
      </c>
      <c r="D3972" s="266">
        <v>2327266.08</v>
      </c>
    </row>
    <row r="3973" spans="1:4" ht="31.5">
      <c r="A3973" s="261">
        <v>3009047</v>
      </c>
      <c r="B3973" s="265" t="s">
        <v>15270</v>
      </c>
      <c r="C3973" s="261" t="s">
        <v>13117</v>
      </c>
      <c r="D3973" s="266">
        <v>2364896.9500000002</v>
      </c>
    </row>
    <row r="3974" spans="1:4" ht="31.5">
      <c r="A3974" s="261">
        <v>3009275</v>
      </c>
      <c r="B3974" s="265" t="s">
        <v>15271</v>
      </c>
      <c r="C3974" s="261" t="s">
        <v>13117</v>
      </c>
      <c r="D3974" s="266">
        <v>3444439.33</v>
      </c>
    </row>
    <row r="3975" spans="1:4" ht="31.5">
      <c r="A3975" s="261">
        <v>3009055</v>
      </c>
      <c r="B3975" s="265" t="s">
        <v>15272</v>
      </c>
      <c r="C3975" s="261" t="s">
        <v>13117</v>
      </c>
      <c r="D3975" s="266">
        <v>3491667.76</v>
      </c>
    </row>
    <row r="3976" spans="1:4" ht="31.5">
      <c r="A3976" s="261">
        <v>3009236</v>
      </c>
      <c r="B3976" s="265" t="s">
        <v>15273</v>
      </c>
      <c r="C3976" s="261" t="s">
        <v>13117</v>
      </c>
      <c r="D3976" s="266">
        <v>2282887.38</v>
      </c>
    </row>
    <row r="3977" spans="1:4" ht="31.5">
      <c r="A3977" s="261">
        <v>3009024</v>
      </c>
      <c r="B3977" s="265" t="s">
        <v>15274</v>
      </c>
      <c r="C3977" s="261" t="s">
        <v>13117</v>
      </c>
      <c r="D3977" s="266">
        <v>2288472.23</v>
      </c>
    </row>
    <row r="3978" spans="1:4" ht="31.5">
      <c r="A3978" s="261">
        <v>3009232</v>
      </c>
      <c r="B3978" s="265" t="s">
        <v>15275</v>
      </c>
      <c r="C3978" s="261" t="s">
        <v>13117</v>
      </c>
      <c r="D3978" s="266">
        <v>3420168.82</v>
      </c>
    </row>
    <row r="3979" spans="1:4" ht="31.5">
      <c r="A3979" s="261">
        <v>3009020</v>
      </c>
      <c r="B3979" s="265" t="s">
        <v>15276</v>
      </c>
      <c r="C3979" s="261" t="s">
        <v>13117</v>
      </c>
      <c r="D3979" s="266">
        <v>3430987.23</v>
      </c>
    </row>
    <row r="3980" spans="1:4" ht="31.5">
      <c r="A3980" s="261">
        <v>3009290</v>
      </c>
      <c r="B3980" s="265" t="s">
        <v>15277</v>
      </c>
      <c r="C3980" s="261" t="s">
        <v>13117</v>
      </c>
      <c r="D3980" s="266">
        <v>2822003.24</v>
      </c>
    </row>
    <row r="3981" spans="1:4" ht="31.5">
      <c r="A3981" s="261">
        <v>3009015</v>
      </c>
      <c r="B3981" s="265" t="s">
        <v>15278</v>
      </c>
      <c r="C3981" s="261" t="s">
        <v>13117</v>
      </c>
      <c r="D3981" s="266">
        <v>2856492.96</v>
      </c>
    </row>
    <row r="3982" spans="1:4" ht="31.5">
      <c r="A3982" s="261">
        <v>3009294</v>
      </c>
      <c r="B3982" s="265" t="s">
        <v>15279</v>
      </c>
      <c r="C3982" s="261" t="s">
        <v>13117</v>
      </c>
      <c r="D3982" s="266">
        <v>4233007.6399999997</v>
      </c>
    </row>
    <row r="3983" spans="1:4" ht="31.5">
      <c r="A3983" s="261">
        <v>3009227</v>
      </c>
      <c r="B3983" s="265" t="s">
        <v>15280</v>
      </c>
      <c r="C3983" s="261" t="s">
        <v>13117</v>
      </c>
      <c r="D3983" s="266">
        <v>4284742.51</v>
      </c>
    </row>
    <row r="3984" spans="1:4">
      <c r="A3984" s="261">
        <v>3009104</v>
      </c>
      <c r="B3984" s="265" t="s">
        <v>15281</v>
      </c>
      <c r="C3984" s="261" t="s">
        <v>97</v>
      </c>
      <c r="D3984" s="266">
        <v>117583.79</v>
      </c>
    </row>
    <row r="3985" spans="1:4" ht="31.5">
      <c r="A3985" s="261">
        <v>3009240</v>
      </c>
      <c r="B3985" s="265" t="s">
        <v>15282</v>
      </c>
      <c r="C3985" s="261" t="s">
        <v>13117</v>
      </c>
      <c r="D3985" s="266">
        <v>2133740.06</v>
      </c>
    </row>
    <row r="3986" spans="1:4" ht="31.5">
      <c r="A3986" s="261">
        <v>3009028</v>
      </c>
      <c r="B3986" s="265" t="s">
        <v>15283</v>
      </c>
      <c r="C3986" s="261" t="s">
        <v>13117</v>
      </c>
      <c r="D3986" s="266">
        <v>2141209.67</v>
      </c>
    </row>
    <row r="3987" spans="1:4" ht="31.5">
      <c r="A3987" s="261">
        <v>3009306</v>
      </c>
      <c r="B3987" s="265" t="s">
        <v>15284</v>
      </c>
      <c r="C3987" s="261" t="s">
        <v>13117</v>
      </c>
      <c r="D3987" s="266">
        <v>3200520.09</v>
      </c>
    </row>
    <row r="3988" spans="1:4" ht="31.5">
      <c r="A3988" s="261">
        <v>3009032</v>
      </c>
      <c r="B3988" s="265" t="s">
        <v>15285</v>
      </c>
      <c r="C3988" s="261" t="s">
        <v>13117</v>
      </c>
      <c r="D3988" s="266">
        <v>3211724.32</v>
      </c>
    </row>
    <row r="3989" spans="1:4" ht="31.5">
      <c r="A3989" s="261">
        <v>3009256</v>
      </c>
      <c r="B3989" s="265" t="s">
        <v>15286</v>
      </c>
      <c r="C3989" s="261" t="s">
        <v>13117</v>
      </c>
      <c r="D3989" s="266">
        <v>2779822.85</v>
      </c>
    </row>
    <row r="3990" spans="1:4" ht="31.5">
      <c r="A3990" s="261">
        <v>3009264</v>
      </c>
      <c r="B3990" s="265" t="s">
        <v>15287</v>
      </c>
      <c r="C3990" s="261" t="s">
        <v>13117</v>
      </c>
      <c r="D3990" s="266">
        <v>2673264.17</v>
      </c>
    </row>
    <row r="3991" spans="1:4" ht="31.5">
      <c r="A3991" s="261">
        <v>3009036</v>
      </c>
      <c r="B3991" s="265" t="s">
        <v>15288</v>
      </c>
      <c r="C3991" s="261" t="s">
        <v>13117</v>
      </c>
      <c r="D3991" s="266">
        <v>2819753.68</v>
      </c>
    </row>
    <row r="3992" spans="1:4" ht="31.5">
      <c r="A3992" s="261">
        <v>3009044</v>
      </c>
      <c r="B3992" s="265" t="s">
        <v>15289</v>
      </c>
      <c r="C3992" s="261" t="s">
        <v>13117</v>
      </c>
      <c r="D3992" s="266">
        <v>2707889.27</v>
      </c>
    </row>
    <row r="3993" spans="1:4" ht="31.5">
      <c r="A3993" s="261">
        <v>3009272</v>
      </c>
      <c r="B3993" s="265" t="s">
        <v>15290</v>
      </c>
      <c r="C3993" s="261" t="s">
        <v>13117</v>
      </c>
      <c r="D3993" s="266">
        <v>4170460.22</v>
      </c>
    </row>
    <row r="3994" spans="1:4" ht="31.5">
      <c r="A3994" s="261">
        <v>3009052</v>
      </c>
      <c r="B3994" s="265" t="s">
        <v>15291</v>
      </c>
      <c r="C3994" s="261" t="s">
        <v>13117</v>
      </c>
      <c r="D3994" s="266">
        <v>4230397.57</v>
      </c>
    </row>
    <row r="3995" spans="1:4">
      <c r="A3995" s="261">
        <v>3009105</v>
      </c>
      <c r="B3995" s="265" t="s">
        <v>15292</v>
      </c>
      <c r="C3995" s="261" t="s">
        <v>97</v>
      </c>
      <c r="D3995" s="266">
        <v>235425.51</v>
      </c>
    </row>
    <row r="3996" spans="1:4" ht="31.5">
      <c r="A3996" s="261">
        <v>3009248</v>
      </c>
      <c r="B3996" s="265" t="s">
        <v>15293</v>
      </c>
      <c r="C3996" s="261" t="s">
        <v>13117</v>
      </c>
      <c r="D3996" s="266">
        <v>2126035.9500000002</v>
      </c>
    </row>
    <row r="3997" spans="1:4" ht="31.5">
      <c r="A3997" s="261">
        <v>3009210</v>
      </c>
      <c r="B3997" s="265" t="s">
        <v>15294</v>
      </c>
      <c r="C3997" s="261" t="s">
        <v>13117</v>
      </c>
      <c r="D3997" s="266">
        <v>2133505.65</v>
      </c>
    </row>
    <row r="3998" spans="1:4" ht="31.5">
      <c r="A3998" s="261">
        <v>3009310</v>
      </c>
      <c r="B3998" s="265" t="s">
        <v>15295</v>
      </c>
      <c r="C3998" s="261" t="s">
        <v>13117</v>
      </c>
      <c r="D3998" s="266">
        <v>3188965.61</v>
      </c>
    </row>
    <row r="3999" spans="1:4" ht="31.5">
      <c r="A3999" s="261">
        <v>3009214</v>
      </c>
      <c r="B3999" s="265" t="s">
        <v>15296</v>
      </c>
      <c r="C3999" s="261" t="s">
        <v>13117</v>
      </c>
      <c r="D3999" s="266">
        <v>3200170.16</v>
      </c>
    </row>
    <row r="4000" spans="1:4" ht="31.5">
      <c r="A4000" s="261">
        <v>3009260</v>
      </c>
      <c r="B4000" s="265" t="s">
        <v>15297</v>
      </c>
      <c r="C4000" s="261" t="s">
        <v>13117</v>
      </c>
      <c r="D4000" s="266">
        <v>2772180.7</v>
      </c>
    </row>
    <row r="4001" spans="1:4" ht="31.5">
      <c r="A4001" s="261">
        <v>3009268</v>
      </c>
      <c r="B4001" s="265" t="s">
        <v>15298</v>
      </c>
      <c r="C4001" s="261" t="s">
        <v>13117</v>
      </c>
      <c r="D4001" s="266">
        <v>2665622.02</v>
      </c>
    </row>
    <row r="4002" spans="1:4" ht="31.5">
      <c r="A4002" s="261">
        <v>3009040</v>
      </c>
      <c r="B4002" s="265" t="s">
        <v>15299</v>
      </c>
      <c r="C4002" s="261" t="s">
        <v>13117</v>
      </c>
      <c r="D4002" s="266">
        <v>2812111.53</v>
      </c>
    </row>
    <row r="4003" spans="1:4" ht="31.5">
      <c r="A4003" s="261">
        <v>3009048</v>
      </c>
      <c r="B4003" s="265" t="s">
        <v>15300</v>
      </c>
      <c r="C4003" s="261" t="s">
        <v>13117</v>
      </c>
      <c r="D4003" s="266">
        <v>2700247.12</v>
      </c>
    </row>
    <row r="4004" spans="1:4" ht="31.5">
      <c r="A4004" s="261">
        <v>3009276</v>
      </c>
      <c r="B4004" s="265" t="s">
        <v>15301</v>
      </c>
      <c r="C4004" s="261" t="s">
        <v>13117</v>
      </c>
      <c r="D4004" s="266">
        <v>4158998.76</v>
      </c>
    </row>
    <row r="4005" spans="1:4" ht="31.5">
      <c r="A4005" s="261">
        <v>3009056</v>
      </c>
      <c r="B4005" s="265" t="s">
        <v>15302</v>
      </c>
      <c r="C4005" s="261" t="s">
        <v>13117</v>
      </c>
      <c r="D4005" s="266">
        <v>4218936.0999999996</v>
      </c>
    </row>
    <row r="4006" spans="1:4" ht="31.5">
      <c r="A4006" s="261">
        <v>3009237</v>
      </c>
      <c r="B4006" s="265" t="s">
        <v>15303</v>
      </c>
      <c r="C4006" s="261" t="s">
        <v>13117</v>
      </c>
      <c r="D4006" s="266">
        <v>2160268.12</v>
      </c>
    </row>
    <row r="4007" spans="1:4" ht="31.5">
      <c r="A4007" s="261">
        <v>3009025</v>
      </c>
      <c r="B4007" s="265" t="s">
        <v>15304</v>
      </c>
      <c r="C4007" s="261" t="s">
        <v>13117</v>
      </c>
      <c r="D4007" s="266">
        <v>2165965.56</v>
      </c>
    </row>
    <row r="4008" spans="1:4" ht="31.5">
      <c r="A4008" s="261">
        <v>3009319</v>
      </c>
      <c r="B4008" s="265" t="s">
        <v>15305</v>
      </c>
      <c r="C4008" s="261" t="s">
        <v>13117</v>
      </c>
      <c r="D4008" s="266">
        <v>3238411.57</v>
      </c>
    </row>
    <row r="4009" spans="1:4" ht="31.5">
      <c r="A4009" s="261">
        <v>3009021</v>
      </c>
      <c r="B4009" s="265" t="s">
        <v>15306</v>
      </c>
      <c r="C4009" s="261" t="s">
        <v>13117</v>
      </c>
      <c r="D4009" s="266">
        <v>3247283.53</v>
      </c>
    </row>
    <row r="4010" spans="1:4" ht="31.5">
      <c r="A4010" s="261">
        <v>3009291</v>
      </c>
      <c r="B4010" s="265" t="s">
        <v>15307</v>
      </c>
      <c r="C4010" s="261" t="s">
        <v>13117</v>
      </c>
      <c r="D4010" s="266">
        <v>2707435.51</v>
      </c>
    </row>
    <row r="4011" spans="1:4" ht="31.5">
      <c r="A4011" s="261">
        <v>3009016</v>
      </c>
      <c r="B4011" s="265" t="s">
        <v>15308</v>
      </c>
      <c r="C4011" s="261" t="s">
        <v>13117</v>
      </c>
      <c r="D4011" s="266">
        <v>2742326.11</v>
      </c>
    </row>
    <row r="4012" spans="1:4" ht="31.5">
      <c r="A4012" s="261">
        <v>3009295</v>
      </c>
      <c r="B4012" s="265" t="s">
        <v>15309</v>
      </c>
      <c r="C4012" s="261" t="s">
        <v>13117</v>
      </c>
      <c r="D4012" s="266">
        <v>4061156.05</v>
      </c>
    </row>
    <row r="4013" spans="1:4" ht="31.5">
      <c r="A4013" s="261">
        <v>3009228</v>
      </c>
      <c r="B4013" s="265" t="s">
        <v>15310</v>
      </c>
      <c r="C4013" s="261" t="s">
        <v>13117</v>
      </c>
      <c r="D4013" s="266">
        <v>4113492.24</v>
      </c>
    </row>
    <row r="4014" spans="1:4">
      <c r="A4014" s="261">
        <v>3009106</v>
      </c>
      <c r="B4014" s="265" t="s">
        <v>15311</v>
      </c>
      <c r="C4014" s="261" t="s">
        <v>97</v>
      </c>
      <c r="D4014" s="266">
        <v>111607.48</v>
      </c>
    </row>
    <row r="4015" spans="1:4" ht="31.5">
      <c r="A4015" s="261">
        <v>3009299</v>
      </c>
      <c r="B4015" s="265" t="s">
        <v>15312</v>
      </c>
      <c r="C4015" s="261" t="s">
        <v>13117</v>
      </c>
      <c r="D4015" s="266">
        <v>2031916.21</v>
      </c>
    </row>
    <row r="4016" spans="1:4" ht="31.5">
      <c r="A4016" s="261">
        <v>3009029</v>
      </c>
      <c r="B4016" s="265" t="s">
        <v>15313</v>
      </c>
      <c r="C4016" s="261" t="s">
        <v>13117</v>
      </c>
      <c r="D4016" s="266">
        <v>2039385.82</v>
      </c>
    </row>
    <row r="4017" spans="1:4" ht="31.5">
      <c r="A4017" s="261">
        <v>3009245</v>
      </c>
      <c r="B4017" s="265" t="s">
        <v>15314</v>
      </c>
      <c r="C4017" s="261" t="s">
        <v>13117</v>
      </c>
      <c r="D4017" s="266">
        <v>3047784.35</v>
      </c>
    </row>
    <row r="4018" spans="1:4" ht="31.5">
      <c r="A4018" s="261">
        <v>3009033</v>
      </c>
      <c r="B4018" s="265" t="s">
        <v>15315</v>
      </c>
      <c r="C4018" s="261" t="s">
        <v>13117</v>
      </c>
      <c r="D4018" s="266">
        <v>3058988.58</v>
      </c>
    </row>
    <row r="4019" spans="1:4" ht="31.5">
      <c r="A4019" s="261">
        <v>3009257</v>
      </c>
      <c r="B4019" s="265" t="s">
        <v>15316</v>
      </c>
      <c r="C4019" s="261" t="s">
        <v>13117</v>
      </c>
      <c r="D4019" s="266">
        <v>2597599.2599999998</v>
      </c>
    </row>
    <row r="4020" spans="1:4" ht="31.5">
      <c r="A4020" s="261">
        <v>3009265</v>
      </c>
      <c r="B4020" s="265" t="s">
        <v>15317</v>
      </c>
      <c r="C4020" s="261" t="s">
        <v>13117</v>
      </c>
      <c r="D4020" s="266">
        <v>2579491.85</v>
      </c>
    </row>
    <row r="4021" spans="1:4" ht="31.5">
      <c r="A4021" s="261">
        <v>3009037</v>
      </c>
      <c r="B4021" s="265" t="s">
        <v>15318</v>
      </c>
      <c r="C4021" s="261" t="s">
        <v>13117</v>
      </c>
      <c r="D4021" s="266">
        <v>2633526.98</v>
      </c>
    </row>
    <row r="4022" spans="1:4" ht="31.5">
      <c r="A4022" s="261">
        <v>3009045</v>
      </c>
      <c r="B4022" s="265" t="s">
        <v>15319</v>
      </c>
      <c r="C4022" s="261" t="s">
        <v>13117</v>
      </c>
      <c r="D4022" s="266">
        <v>2614517.84</v>
      </c>
    </row>
    <row r="4023" spans="1:4" ht="31.5">
      <c r="A4023" s="261">
        <v>3009273</v>
      </c>
      <c r="B4023" s="265" t="s">
        <v>15320</v>
      </c>
      <c r="C4023" s="261" t="s">
        <v>13117</v>
      </c>
      <c r="D4023" s="266">
        <v>3897124.86</v>
      </c>
    </row>
    <row r="4024" spans="1:4" ht="31.5">
      <c r="A4024" s="261">
        <v>3009053</v>
      </c>
      <c r="B4024" s="265" t="s">
        <v>15321</v>
      </c>
      <c r="C4024" s="261" t="s">
        <v>13117</v>
      </c>
      <c r="D4024" s="266">
        <v>3951057.55</v>
      </c>
    </row>
    <row r="4025" spans="1:4">
      <c r="A4025" s="261">
        <v>3009107</v>
      </c>
      <c r="B4025" s="265" t="s">
        <v>15322</v>
      </c>
      <c r="C4025" s="261" t="s">
        <v>97</v>
      </c>
      <c r="D4025" s="266">
        <v>223472.89</v>
      </c>
    </row>
    <row r="4026" spans="1:4" ht="31.5">
      <c r="A4026" s="261">
        <v>3009249</v>
      </c>
      <c r="B4026" s="265" t="s">
        <v>15323</v>
      </c>
      <c r="C4026" s="261" t="s">
        <v>13117</v>
      </c>
      <c r="D4026" s="266">
        <v>2025321.26</v>
      </c>
    </row>
    <row r="4027" spans="1:4" ht="31.5">
      <c r="A4027" s="261">
        <v>3009211</v>
      </c>
      <c r="B4027" s="265" t="s">
        <v>15324</v>
      </c>
      <c r="C4027" s="261" t="s">
        <v>13117</v>
      </c>
      <c r="D4027" s="266">
        <v>2032790.95</v>
      </c>
    </row>
    <row r="4028" spans="1:4" ht="31.5">
      <c r="A4028" s="261">
        <v>3009253</v>
      </c>
      <c r="B4028" s="265" t="s">
        <v>15325</v>
      </c>
      <c r="C4028" s="261" t="s">
        <v>13117</v>
      </c>
      <c r="D4028" s="266">
        <v>3037893.51</v>
      </c>
    </row>
    <row r="4029" spans="1:4" ht="31.5">
      <c r="A4029" s="261">
        <v>3009215</v>
      </c>
      <c r="B4029" s="265" t="s">
        <v>15326</v>
      </c>
      <c r="C4029" s="261" t="s">
        <v>13117</v>
      </c>
      <c r="D4029" s="266">
        <v>3049098.06</v>
      </c>
    </row>
    <row r="4030" spans="1:4" ht="31.5">
      <c r="A4030" s="261">
        <v>3009261</v>
      </c>
      <c r="B4030" s="265" t="s">
        <v>15327</v>
      </c>
      <c r="C4030" s="261" t="s">
        <v>13117</v>
      </c>
      <c r="D4030" s="266">
        <v>2591066.2599999998</v>
      </c>
    </row>
    <row r="4031" spans="1:4" ht="31.5">
      <c r="A4031" s="261">
        <v>3009269</v>
      </c>
      <c r="B4031" s="265" t="s">
        <v>15328</v>
      </c>
      <c r="C4031" s="261" t="s">
        <v>13117</v>
      </c>
      <c r="D4031" s="266">
        <v>2572958.85</v>
      </c>
    </row>
    <row r="4032" spans="1:4" ht="31.5">
      <c r="A4032" s="261">
        <v>3009041</v>
      </c>
      <c r="B4032" s="265" t="s">
        <v>15329</v>
      </c>
      <c r="C4032" s="261" t="s">
        <v>13117</v>
      </c>
      <c r="D4032" s="266">
        <v>2626993.98</v>
      </c>
    </row>
    <row r="4033" spans="1:4" ht="31.5">
      <c r="A4033" s="261">
        <v>3009049</v>
      </c>
      <c r="B4033" s="265" t="s">
        <v>15330</v>
      </c>
      <c r="C4033" s="261" t="s">
        <v>13117</v>
      </c>
      <c r="D4033" s="266">
        <v>2607984.84</v>
      </c>
    </row>
    <row r="4034" spans="1:4" ht="31.5">
      <c r="A4034" s="261">
        <v>3009277</v>
      </c>
      <c r="B4034" s="265" t="s">
        <v>15331</v>
      </c>
      <c r="C4034" s="261" t="s">
        <v>13117</v>
      </c>
      <c r="D4034" s="266">
        <v>3887327.04</v>
      </c>
    </row>
    <row r="4035" spans="1:4" ht="31.5">
      <c r="A4035" s="261">
        <v>3009057</v>
      </c>
      <c r="B4035" s="265" t="s">
        <v>15332</v>
      </c>
      <c r="C4035" s="261" t="s">
        <v>13117</v>
      </c>
      <c r="D4035" s="266">
        <v>3941259.73</v>
      </c>
    </row>
    <row r="4036" spans="1:4">
      <c r="A4036" s="261">
        <v>3108073</v>
      </c>
      <c r="B4036" s="265" t="s">
        <v>15333</v>
      </c>
      <c r="C4036" s="261" t="s">
        <v>3</v>
      </c>
      <c r="D4036" s="266">
        <v>380.63</v>
      </c>
    </row>
    <row r="4037" spans="1:4">
      <c r="A4037" s="261">
        <v>3107965</v>
      </c>
      <c r="B4037" s="265" t="s">
        <v>15334</v>
      </c>
      <c r="C4037" s="261" t="s">
        <v>3</v>
      </c>
      <c r="D4037" s="266">
        <v>617.25</v>
      </c>
    </row>
    <row r="4038" spans="1:4">
      <c r="A4038" s="261">
        <v>3105941</v>
      </c>
      <c r="B4038" s="265" t="s">
        <v>15335</v>
      </c>
      <c r="C4038" s="261" t="s">
        <v>3</v>
      </c>
      <c r="D4038" s="266">
        <v>29.73</v>
      </c>
    </row>
    <row r="4039" spans="1:4" ht="31.5">
      <c r="A4039" s="261">
        <v>3108150</v>
      </c>
      <c r="B4039" s="265" t="s">
        <v>15336</v>
      </c>
      <c r="C4039" s="261" t="s">
        <v>3</v>
      </c>
      <c r="D4039" s="266">
        <v>18.41</v>
      </c>
    </row>
    <row r="4040" spans="1:4">
      <c r="A4040" s="261">
        <v>3108071</v>
      </c>
      <c r="B4040" s="265" t="s">
        <v>15337</v>
      </c>
      <c r="C4040" s="261" t="s">
        <v>3</v>
      </c>
      <c r="D4040" s="266">
        <v>14.56</v>
      </c>
    </row>
    <row r="4041" spans="1:4" ht="31.5">
      <c r="A4041" s="261">
        <v>3107967</v>
      </c>
      <c r="B4041" s="265" t="s">
        <v>15338</v>
      </c>
      <c r="C4041" s="261" t="s">
        <v>3</v>
      </c>
      <c r="D4041" s="266">
        <v>10.18</v>
      </c>
    </row>
    <row r="4042" spans="1:4">
      <c r="A4042" s="261">
        <v>3107966</v>
      </c>
      <c r="B4042" s="265" t="s">
        <v>15339</v>
      </c>
      <c r="C4042" s="261" t="s">
        <v>3</v>
      </c>
      <c r="D4042" s="266">
        <v>28.69</v>
      </c>
    </row>
    <row r="4043" spans="1:4" ht="31.5">
      <c r="A4043" s="261">
        <v>3108072</v>
      </c>
      <c r="B4043" s="265" t="s">
        <v>15340</v>
      </c>
      <c r="C4043" s="261" t="s">
        <v>3</v>
      </c>
      <c r="D4043" s="266">
        <v>15.18</v>
      </c>
    </row>
    <row r="4044" spans="1:4" ht="31.5">
      <c r="A4044" s="261">
        <v>3117750</v>
      </c>
      <c r="B4044" s="265" t="s">
        <v>15341</v>
      </c>
      <c r="C4044" s="261" t="s">
        <v>3</v>
      </c>
      <c r="D4044" s="266">
        <v>18.89</v>
      </c>
    </row>
    <row r="4045" spans="1:4">
      <c r="A4045" s="261">
        <v>3117749</v>
      </c>
      <c r="B4045" s="265" t="s">
        <v>15342</v>
      </c>
      <c r="C4045" s="261" t="s">
        <v>3</v>
      </c>
      <c r="D4045" s="266">
        <v>14.68</v>
      </c>
    </row>
    <row r="4046" spans="1:4">
      <c r="A4046" s="261">
        <v>3106551</v>
      </c>
      <c r="B4046" s="265" t="s">
        <v>15343</v>
      </c>
      <c r="C4046" s="261" t="s">
        <v>3</v>
      </c>
      <c r="D4046" s="266">
        <v>11.49</v>
      </c>
    </row>
    <row r="4047" spans="1:4">
      <c r="A4047" s="261">
        <v>3106427</v>
      </c>
      <c r="B4047" s="265" t="s">
        <v>15344</v>
      </c>
      <c r="C4047" s="261" t="s">
        <v>3</v>
      </c>
      <c r="D4047" s="266">
        <v>42.19</v>
      </c>
    </row>
    <row r="4048" spans="1:4">
      <c r="A4048" s="261">
        <v>3106552</v>
      </c>
      <c r="B4048" s="265" t="s">
        <v>15345</v>
      </c>
      <c r="C4048" s="261" t="s">
        <v>3</v>
      </c>
      <c r="D4048" s="266">
        <v>10.67</v>
      </c>
    </row>
    <row r="4049" spans="1:4">
      <c r="A4049" s="261">
        <v>3107969</v>
      </c>
      <c r="B4049" s="265" t="s">
        <v>15346</v>
      </c>
      <c r="C4049" s="261" t="s">
        <v>3</v>
      </c>
      <c r="D4049" s="266">
        <v>124.74</v>
      </c>
    </row>
    <row r="4050" spans="1:4">
      <c r="A4050" s="261">
        <v>3107970</v>
      </c>
      <c r="B4050" s="265" t="s">
        <v>15347</v>
      </c>
      <c r="C4050" s="261" t="s">
        <v>3</v>
      </c>
      <c r="D4050" s="266">
        <v>119.59</v>
      </c>
    </row>
    <row r="4051" spans="1:4">
      <c r="A4051" s="261">
        <v>3108007</v>
      </c>
      <c r="B4051" s="265" t="s">
        <v>15348</v>
      </c>
      <c r="C4051" s="261" t="s">
        <v>3</v>
      </c>
      <c r="D4051" s="266">
        <v>136.46</v>
      </c>
    </row>
    <row r="4052" spans="1:4">
      <c r="A4052" s="261">
        <v>3108008</v>
      </c>
      <c r="B4052" s="265" t="s">
        <v>15349</v>
      </c>
      <c r="C4052" s="261" t="s">
        <v>3</v>
      </c>
      <c r="D4052" s="266">
        <v>92.84</v>
      </c>
    </row>
    <row r="4053" spans="1:4">
      <c r="A4053" s="261">
        <v>3108009</v>
      </c>
      <c r="B4053" s="265" t="s">
        <v>15350</v>
      </c>
      <c r="C4053" s="261" t="s">
        <v>3</v>
      </c>
      <c r="D4053" s="266">
        <v>79.989999999999995</v>
      </c>
    </row>
    <row r="4054" spans="1:4">
      <c r="A4054" s="261">
        <v>3108011</v>
      </c>
      <c r="B4054" s="265" t="s">
        <v>15351</v>
      </c>
      <c r="C4054" s="261" t="s">
        <v>3</v>
      </c>
      <c r="D4054" s="266">
        <v>145.93</v>
      </c>
    </row>
    <row r="4055" spans="1:4">
      <c r="A4055" s="261">
        <v>3108012</v>
      </c>
      <c r="B4055" s="265" t="s">
        <v>15352</v>
      </c>
      <c r="C4055" s="261" t="s">
        <v>3</v>
      </c>
      <c r="D4055" s="266">
        <v>97.81</v>
      </c>
    </row>
    <row r="4056" spans="1:4">
      <c r="A4056" s="261">
        <v>3108013</v>
      </c>
      <c r="B4056" s="265" t="s">
        <v>15353</v>
      </c>
      <c r="C4056" s="261" t="s">
        <v>3</v>
      </c>
      <c r="D4056" s="266">
        <v>83.47</v>
      </c>
    </row>
    <row r="4057" spans="1:4">
      <c r="A4057" s="261">
        <v>3108015</v>
      </c>
      <c r="B4057" s="265" t="s">
        <v>15354</v>
      </c>
      <c r="C4057" s="261" t="s">
        <v>3</v>
      </c>
      <c r="D4057" s="266">
        <v>156.61000000000001</v>
      </c>
    </row>
    <row r="4058" spans="1:4">
      <c r="A4058" s="261">
        <v>3108016</v>
      </c>
      <c r="B4058" s="265" t="s">
        <v>15355</v>
      </c>
      <c r="C4058" s="261" t="s">
        <v>3</v>
      </c>
      <c r="D4058" s="266">
        <v>103.42</v>
      </c>
    </row>
    <row r="4059" spans="1:4">
      <c r="A4059" s="261">
        <v>3108017</v>
      </c>
      <c r="B4059" s="265" t="s">
        <v>15356</v>
      </c>
      <c r="C4059" s="261" t="s">
        <v>3</v>
      </c>
      <c r="D4059" s="266">
        <v>87.4</v>
      </c>
    </row>
    <row r="4060" spans="1:4">
      <c r="A4060" s="261">
        <v>3107995</v>
      </c>
      <c r="B4060" s="265" t="s">
        <v>15357</v>
      </c>
      <c r="C4060" s="261" t="s">
        <v>3</v>
      </c>
      <c r="D4060" s="266">
        <v>127.42</v>
      </c>
    </row>
    <row r="4061" spans="1:4">
      <c r="A4061" s="261">
        <v>3107996</v>
      </c>
      <c r="B4061" s="265" t="s">
        <v>15358</v>
      </c>
      <c r="C4061" s="261" t="s">
        <v>3</v>
      </c>
      <c r="D4061" s="266">
        <v>88.13</v>
      </c>
    </row>
    <row r="4062" spans="1:4">
      <c r="A4062" s="261">
        <v>3107997</v>
      </c>
      <c r="B4062" s="265" t="s">
        <v>15359</v>
      </c>
      <c r="C4062" s="261" t="s">
        <v>3</v>
      </c>
      <c r="D4062" s="266">
        <v>76.72</v>
      </c>
    </row>
    <row r="4063" spans="1:4">
      <c r="A4063" s="261">
        <v>3107999</v>
      </c>
      <c r="B4063" s="265" t="s">
        <v>15360</v>
      </c>
      <c r="C4063" s="261" t="s">
        <v>3</v>
      </c>
      <c r="D4063" s="266">
        <v>134.32</v>
      </c>
    </row>
    <row r="4064" spans="1:4">
      <c r="A4064" s="261">
        <v>3108000</v>
      </c>
      <c r="B4064" s="265" t="s">
        <v>15361</v>
      </c>
      <c r="C4064" s="261" t="s">
        <v>3</v>
      </c>
      <c r="D4064" s="266">
        <v>91.75</v>
      </c>
    </row>
    <row r="4065" spans="1:4">
      <c r="A4065" s="261">
        <v>3108001</v>
      </c>
      <c r="B4065" s="265" t="s">
        <v>15362</v>
      </c>
      <c r="C4065" s="261" t="s">
        <v>3</v>
      </c>
      <c r="D4065" s="266">
        <v>79.25</v>
      </c>
    </row>
    <row r="4066" spans="1:4">
      <c r="A4066" s="261">
        <v>3108003</v>
      </c>
      <c r="B4066" s="265" t="s">
        <v>15363</v>
      </c>
      <c r="C4066" s="261" t="s">
        <v>3</v>
      </c>
      <c r="D4066" s="266">
        <v>139.54</v>
      </c>
    </row>
    <row r="4067" spans="1:4">
      <c r="A4067" s="261">
        <v>3108004</v>
      </c>
      <c r="B4067" s="265" t="s">
        <v>15364</v>
      </c>
      <c r="C4067" s="261" t="s">
        <v>3</v>
      </c>
      <c r="D4067" s="266">
        <v>94.49</v>
      </c>
    </row>
    <row r="4068" spans="1:4">
      <c r="A4068" s="261">
        <v>3108005</v>
      </c>
      <c r="B4068" s="265" t="s">
        <v>15365</v>
      </c>
      <c r="C4068" s="261" t="s">
        <v>3</v>
      </c>
      <c r="D4068" s="266">
        <v>81.17</v>
      </c>
    </row>
    <row r="4069" spans="1:4">
      <c r="A4069" s="261">
        <v>3106119</v>
      </c>
      <c r="B4069" s="265" t="s">
        <v>15366</v>
      </c>
      <c r="C4069" s="261" t="s">
        <v>3</v>
      </c>
      <c r="D4069" s="266">
        <v>154.24</v>
      </c>
    </row>
    <row r="4070" spans="1:4">
      <c r="A4070" s="261">
        <v>3106120</v>
      </c>
      <c r="B4070" s="265" t="s">
        <v>15367</v>
      </c>
      <c r="C4070" s="261" t="s">
        <v>3</v>
      </c>
      <c r="D4070" s="266">
        <v>110.3</v>
      </c>
    </row>
    <row r="4071" spans="1:4">
      <c r="A4071" s="261">
        <v>3106121</v>
      </c>
      <c r="B4071" s="265" t="s">
        <v>15368</v>
      </c>
      <c r="C4071" s="261" t="s">
        <v>3</v>
      </c>
      <c r="D4071" s="266">
        <v>97.66</v>
      </c>
    </row>
    <row r="4072" spans="1:4">
      <c r="A4072" s="261">
        <v>3103302</v>
      </c>
      <c r="B4072" s="265" t="s">
        <v>15369</v>
      </c>
      <c r="C4072" s="261" t="s">
        <v>3</v>
      </c>
      <c r="D4072" s="266">
        <v>78.930000000000007</v>
      </c>
    </row>
    <row r="4073" spans="1:4">
      <c r="A4073" s="261">
        <v>3103303</v>
      </c>
      <c r="B4073" s="265" t="s">
        <v>15370</v>
      </c>
      <c r="C4073" s="261" t="s">
        <v>3</v>
      </c>
      <c r="D4073" s="266">
        <v>41.7</v>
      </c>
    </row>
    <row r="4074" spans="1:4">
      <c r="A4074" s="261">
        <v>3106759</v>
      </c>
      <c r="B4074" s="265" t="s">
        <v>15371</v>
      </c>
      <c r="C4074" s="261" t="s">
        <v>3</v>
      </c>
      <c r="D4074" s="266">
        <v>116.08</v>
      </c>
    </row>
    <row r="4075" spans="1:4">
      <c r="A4075" s="261">
        <v>3108023</v>
      </c>
      <c r="B4075" s="265" t="s">
        <v>15372</v>
      </c>
      <c r="C4075" s="261" t="s">
        <v>6</v>
      </c>
      <c r="D4075" s="266">
        <v>5.0599999999999996</v>
      </c>
    </row>
    <row r="4076" spans="1:4">
      <c r="A4076" s="261">
        <v>3108018</v>
      </c>
      <c r="B4076" s="265" t="s">
        <v>15373</v>
      </c>
      <c r="C4076" s="261" t="s">
        <v>6</v>
      </c>
      <c r="D4076" s="266">
        <v>3.72</v>
      </c>
    </row>
    <row r="4077" spans="1:4">
      <c r="A4077" s="261">
        <v>3108022</v>
      </c>
      <c r="B4077" s="265" t="s">
        <v>15374</v>
      </c>
      <c r="C4077" s="261" t="s">
        <v>6</v>
      </c>
      <c r="D4077" s="266">
        <v>4.16</v>
      </c>
    </row>
    <row r="4078" spans="1:4">
      <c r="A4078" s="261">
        <v>3205864</v>
      </c>
      <c r="B4078" s="265" t="s">
        <v>15375</v>
      </c>
      <c r="C4078" s="261" t="s">
        <v>5</v>
      </c>
      <c r="D4078" s="266">
        <v>983.8</v>
      </c>
    </row>
    <row r="4079" spans="1:4">
      <c r="A4079" s="261">
        <v>3205863</v>
      </c>
      <c r="B4079" s="265" t="s">
        <v>15376</v>
      </c>
      <c r="C4079" s="261" t="s">
        <v>5</v>
      </c>
      <c r="D4079" s="266">
        <v>921.23</v>
      </c>
    </row>
    <row r="4080" spans="1:4">
      <c r="A4080" s="261">
        <v>3205868</v>
      </c>
      <c r="B4080" s="265" t="s">
        <v>15377</v>
      </c>
      <c r="C4080" s="261" t="s">
        <v>5</v>
      </c>
      <c r="D4080" s="266">
        <v>830.48</v>
      </c>
    </row>
    <row r="4081" spans="1:4">
      <c r="A4081" s="261">
        <v>3205867</v>
      </c>
      <c r="B4081" s="265" t="s">
        <v>15378</v>
      </c>
      <c r="C4081" s="261" t="s">
        <v>5</v>
      </c>
      <c r="D4081" s="266">
        <v>767.91</v>
      </c>
    </row>
    <row r="4082" spans="1:4">
      <c r="A4082" s="261">
        <v>3205866</v>
      </c>
      <c r="B4082" s="265" t="s">
        <v>15379</v>
      </c>
      <c r="C4082" s="261" t="s">
        <v>5</v>
      </c>
      <c r="D4082" s="266">
        <v>749.06</v>
      </c>
    </row>
    <row r="4083" spans="1:4">
      <c r="A4083" s="261">
        <v>3205865</v>
      </c>
      <c r="B4083" s="265" t="s">
        <v>15380</v>
      </c>
      <c r="C4083" s="261" t="s">
        <v>5</v>
      </c>
      <c r="D4083" s="266">
        <v>686.49</v>
      </c>
    </row>
    <row r="4084" spans="1:4">
      <c r="A4084" s="261">
        <v>3205870</v>
      </c>
      <c r="B4084" s="265" t="s">
        <v>15381</v>
      </c>
      <c r="C4084" s="261" t="s">
        <v>5</v>
      </c>
      <c r="D4084" s="266">
        <v>726.98</v>
      </c>
    </row>
    <row r="4085" spans="1:4">
      <c r="A4085" s="261">
        <v>3205869</v>
      </c>
      <c r="B4085" s="265" t="s">
        <v>15382</v>
      </c>
      <c r="C4085" s="261" t="s">
        <v>5</v>
      </c>
      <c r="D4085" s="266">
        <v>664.41</v>
      </c>
    </row>
    <row r="4086" spans="1:4">
      <c r="A4086" s="261">
        <v>3205872</v>
      </c>
      <c r="B4086" s="265" t="s">
        <v>15383</v>
      </c>
      <c r="C4086" s="261" t="s">
        <v>3</v>
      </c>
      <c r="D4086" s="266">
        <v>257.29000000000002</v>
      </c>
    </row>
    <row r="4087" spans="1:4">
      <c r="A4087" s="261">
        <v>3205871</v>
      </c>
      <c r="B4087" s="265" t="s">
        <v>15384</v>
      </c>
      <c r="C4087" s="261" t="s">
        <v>3</v>
      </c>
      <c r="D4087" s="266">
        <v>246.66</v>
      </c>
    </row>
    <row r="4088" spans="1:4">
      <c r="A4088" s="261">
        <v>3205874</v>
      </c>
      <c r="B4088" s="265" t="s">
        <v>15385</v>
      </c>
      <c r="C4088" s="261" t="s">
        <v>3</v>
      </c>
      <c r="D4088" s="266">
        <v>285</v>
      </c>
    </row>
    <row r="4089" spans="1:4">
      <c r="A4089" s="261">
        <v>3205873</v>
      </c>
      <c r="B4089" s="265" t="s">
        <v>15386</v>
      </c>
      <c r="C4089" s="261" t="s">
        <v>3</v>
      </c>
      <c r="D4089" s="266">
        <v>270.61</v>
      </c>
    </row>
    <row r="4090" spans="1:4">
      <c r="A4090" s="261">
        <v>3205876</v>
      </c>
      <c r="B4090" s="265" t="s">
        <v>15387</v>
      </c>
      <c r="C4090" s="261" t="s">
        <v>3</v>
      </c>
      <c r="D4090" s="266">
        <v>321.04000000000002</v>
      </c>
    </row>
    <row r="4091" spans="1:4">
      <c r="A4091" s="261">
        <v>3205875</v>
      </c>
      <c r="B4091" s="265" t="s">
        <v>15388</v>
      </c>
      <c r="C4091" s="261" t="s">
        <v>3</v>
      </c>
      <c r="D4091" s="266">
        <v>302.27</v>
      </c>
    </row>
    <row r="4092" spans="1:4">
      <c r="A4092" s="261">
        <v>3205862</v>
      </c>
      <c r="B4092" s="265" t="s">
        <v>15389</v>
      </c>
      <c r="C4092" s="261" t="s">
        <v>5</v>
      </c>
      <c r="D4092" s="266">
        <v>777.14</v>
      </c>
    </row>
    <row r="4093" spans="1:4">
      <c r="A4093" s="261">
        <v>3205861</v>
      </c>
      <c r="B4093" s="265" t="s">
        <v>15390</v>
      </c>
      <c r="C4093" s="261" t="s">
        <v>5</v>
      </c>
      <c r="D4093" s="266">
        <v>714.57</v>
      </c>
    </row>
    <row r="4094" spans="1:4">
      <c r="A4094" s="261">
        <v>3606579</v>
      </c>
      <c r="B4094" s="265" t="s">
        <v>15391</v>
      </c>
      <c r="C4094" s="261" t="s">
        <v>5</v>
      </c>
      <c r="D4094" s="266">
        <v>22.51</v>
      </c>
    </row>
    <row r="4095" spans="1:4" ht="31.5">
      <c r="A4095" s="261">
        <v>3606583</v>
      </c>
      <c r="B4095" s="265" t="s">
        <v>15392</v>
      </c>
      <c r="C4095" s="261" t="s">
        <v>5</v>
      </c>
      <c r="D4095" s="266">
        <v>23.34</v>
      </c>
    </row>
    <row r="4096" spans="1:4" ht="31.5">
      <c r="A4096" s="261">
        <v>3606584</v>
      </c>
      <c r="B4096" s="265" t="s">
        <v>15393</v>
      </c>
      <c r="C4096" s="261" t="s">
        <v>5</v>
      </c>
      <c r="D4096" s="266">
        <v>23.46</v>
      </c>
    </row>
    <row r="4097" spans="1:4" ht="31.5">
      <c r="A4097" s="261">
        <v>3606585</v>
      </c>
      <c r="B4097" s="265" t="s">
        <v>15394</v>
      </c>
      <c r="C4097" s="261" t="s">
        <v>5</v>
      </c>
      <c r="D4097" s="266">
        <v>23.58</v>
      </c>
    </row>
    <row r="4098" spans="1:4" ht="31.5">
      <c r="A4098" s="261">
        <v>3606586</v>
      </c>
      <c r="B4098" s="265" t="s">
        <v>15395</v>
      </c>
      <c r="C4098" s="261" t="s">
        <v>5</v>
      </c>
      <c r="D4098" s="266">
        <v>23.82</v>
      </c>
    </row>
    <row r="4099" spans="1:4" ht="31.5">
      <c r="A4099" s="261">
        <v>3606587</v>
      </c>
      <c r="B4099" s="265" t="s">
        <v>15396</v>
      </c>
      <c r="C4099" s="261" t="s">
        <v>5</v>
      </c>
      <c r="D4099" s="266">
        <v>24.05</v>
      </c>
    </row>
    <row r="4100" spans="1:4" ht="31.5">
      <c r="A4100" s="261">
        <v>3606588</v>
      </c>
      <c r="B4100" s="265" t="s">
        <v>15397</v>
      </c>
      <c r="C4100" s="261" t="s">
        <v>5</v>
      </c>
      <c r="D4100" s="266">
        <v>24.17</v>
      </c>
    </row>
    <row r="4101" spans="1:4">
      <c r="A4101" s="261">
        <v>3606589</v>
      </c>
      <c r="B4101" s="265" t="s">
        <v>15398</v>
      </c>
      <c r="C4101" s="261" t="s">
        <v>5</v>
      </c>
      <c r="D4101" s="266">
        <v>24.29</v>
      </c>
    </row>
    <row r="4102" spans="1:4" ht="31.5">
      <c r="A4102" s="261">
        <v>3606580</v>
      </c>
      <c r="B4102" s="265" t="s">
        <v>15399</v>
      </c>
      <c r="C4102" s="261" t="s">
        <v>5</v>
      </c>
      <c r="D4102" s="266">
        <v>22.75</v>
      </c>
    </row>
    <row r="4103" spans="1:4" ht="31.5">
      <c r="A4103" s="261">
        <v>3606581</v>
      </c>
      <c r="B4103" s="265" t="s">
        <v>15400</v>
      </c>
      <c r="C4103" s="261" t="s">
        <v>5</v>
      </c>
      <c r="D4103" s="266">
        <v>22.98</v>
      </c>
    </row>
    <row r="4104" spans="1:4" ht="31.5">
      <c r="A4104" s="261">
        <v>3606582</v>
      </c>
      <c r="B4104" s="265" t="s">
        <v>15401</v>
      </c>
      <c r="C4104" s="261" t="s">
        <v>5</v>
      </c>
      <c r="D4104" s="266">
        <v>23.1</v>
      </c>
    </row>
    <row r="4105" spans="1:4" ht="31.5">
      <c r="A4105" s="261">
        <v>3606527</v>
      </c>
      <c r="B4105" s="265" t="s">
        <v>15402</v>
      </c>
      <c r="C4105" s="261" t="s">
        <v>5</v>
      </c>
      <c r="D4105" s="266">
        <v>52.18</v>
      </c>
    </row>
    <row r="4106" spans="1:4" ht="31.5">
      <c r="A4106" s="261">
        <v>3606528</v>
      </c>
      <c r="B4106" s="265" t="s">
        <v>15403</v>
      </c>
      <c r="C4106" s="261" t="s">
        <v>5</v>
      </c>
      <c r="D4106" s="266">
        <v>52.97</v>
      </c>
    </row>
    <row r="4107" spans="1:4" ht="31.5">
      <c r="A4107" s="261">
        <v>3606529</v>
      </c>
      <c r="B4107" s="265" t="s">
        <v>15404</v>
      </c>
      <c r="C4107" s="261" t="s">
        <v>5</v>
      </c>
      <c r="D4107" s="266">
        <v>53.6</v>
      </c>
    </row>
    <row r="4108" spans="1:4" ht="31.5">
      <c r="A4108" s="261">
        <v>3606530</v>
      </c>
      <c r="B4108" s="265" t="s">
        <v>15405</v>
      </c>
      <c r="C4108" s="261" t="s">
        <v>5</v>
      </c>
      <c r="D4108" s="266">
        <v>54.39</v>
      </c>
    </row>
    <row r="4109" spans="1:4" ht="31.5">
      <c r="A4109" s="261">
        <v>3606531</v>
      </c>
      <c r="B4109" s="265" t="s">
        <v>15406</v>
      </c>
      <c r="C4109" s="261" t="s">
        <v>5</v>
      </c>
      <c r="D4109" s="266">
        <v>55.18</v>
      </c>
    </row>
    <row r="4110" spans="1:4" ht="31.5">
      <c r="A4110" s="261">
        <v>3606532</v>
      </c>
      <c r="B4110" s="265" t="s">
        <v>15407</v>
      </c>
      <c r="C4110" s="261" t="s">
        <v>5</v>
      </c>
      <c r="D4110" s="266">
        <v>56.44</v>
      </c>
    </row>
    <row r="4111" spans="1:4" ht="31.5">
      <c r="A4111" s="261">
        <v>3606533</v>
      </c>
      <c r="B4111" s="265" t="s">
        <v>15408</v>
      </c>
      <c r="C4111" s="261" t="s">
        <v>5</v>
      </c>
      <c r="D4111" s="266">
        <v>60.64</v>
      </c>
    </row>
    <row r="4112" spans="1:4" ht="31.5">
      <c r="A4112" s="261">
        <v>3606534</v>
      </c>
      <c r="B4112" s="265" t="s">
        <v>15409</v>
      </c>
      <c r="C4112" s="261" t="s">
        <v>5</v>
      </c>
      <c r="D4112" s="266">
        <v>61.7</v>
      </c>
    </row>
    <row r="4113" spans="1:4" ht="31.5">
      <c r="A4113" s="261">
        <v>3606535</v>
      </c>
      <c r="B4113" s="265" t="s">
        <v>15410</v>
      </c>
      <c r="C4113" s="261" t="s">
        <v>5</v>
      </c>
      <c r="D4113" s="266">
        <v>47.71</v>
      </c>
    </row>
    <row r="4114" spans="1:4" ht="31.5">
      <c r="A4114" s="261">
        <v>3606536</v>
      </c>
      <c r="B4114" s="265" t="s">
        <v>15411</v>
      </c>
      <c r="C4114" s="261" t="s">
        <v>5</v>
      </c>
      <c r="D4114" s="266">
        <v>48.13</v>
      </c>
    </row>
    <row r="4115" spans="1:4" ht="31.5">
      <c r="A4115" s="261">
        <v>3606537</v>
      </c>
      <c r="B4115" s="265" t="s">
        <v>15412</v>
      </c>
      <c r="C4115" s="261" t="s">
        <v>5</v>
      </c>
      <c r="D4115" s="266">
        <v>48.66</v>
      </c>
    </row>
    <row r="4116" spans="1:4" ht="31.5">
      <c r="A4116" s="261">
        <v>3606538</v>
      </c>
      <c r="B4116" s="265" t="s">
        <v>15413</v>
      </c>
      <c r="C4116" s="261" t="s">
        <v>5</v>
      </c>
      <c r="D4116" s="266">
        <v>49.08</v>
      </c>
    </row>
    <row r="4117" spans="1:4" ht="31.5">
      <c r="A4117" s="261">
        <v>3606539</v>
      </c>
      <c r="B4117" s="265" t="s">
        <v>15414</v>
      </c>
      <c r="C4117" s="261" t="s">
        <v>5</v>
      </c>
      <c r="D4117" s="266">
        <v>49.61</v>
      </c>
    </row>
    <row r="4118" spans="1:4" ht="31.5">
      <c r="A4118" s="261">
        <v>3606540</v>
      </c>
      <c r="B4118" s="265" t="s">
        <v>15415</v>
      </c>
      <c r="C4118" s="261" t="s">
        <v>5</v>
      </c>
      <c r="D4118" s="266">
        <v>52.5</v>
      </c>
    </row>
    <row r="4119" spans="1:4" ht="31.5">
      <c r="A4119" s="261">
        <v>3606541</v>
      </c>
      <c r="B4119" s="265" t="s">
        <v>15416</v>
      </c>
      <c r="C4119" s="261" t="s">
        <v>5</v>
      </c>
      <c r="D4119" s="266">
        <v>53.92</v>
      </c>
    </row>
    <row r="4120" spans="1:4" ht="31.5">
      <c r="A4120" s="261">
        <v>3606542</v>
      </c>
      <c r="B4120" s="265" t="s">
        <v>15417</v>
      </c>
      <c r="C4120" s="261" t="s">
        <v>5</v>
      </c>
      <c r="D4120" s="266">
        <v>54.55</v>
      </c>
    </row>
    <row r="4121" spans="1:4" ht="31.5">
      <c r="A4121" s="261">
        <v>3606543</v>
      </c>
      <c r="B4121" s="265" t="s">
        <v>15418</v>
      </c>
      <c r="C4121" s="261" t="s">
        <v>5</v>
      </c>
      <c r="D4121" s="266">
        <v>46.98</v>
      </c>
    </row>
    <row r="4122" spans="1:4" ht="31.5">
      <c r="A4122" s="261">
        <v>3606544</v>
      </c>
      <c r="B4122" s="265" t="s">
        <v>15419</v>
      </c>
      <c r="C4122" s="261" t="s">
        <v>5</v>
      </c>
      <c r="D4122" s="266">
        <v>47.29</v>
      </c>
    </row>
    <row r="4123" spans="1:4" ht="31.5">
      <c r="A4123" s="261">
        <v>3606545</v>
      </c>
      <c r="B4123" s="265" t="s">
        <v>15420</v>
      </c>
      <c r="C4123" s="261" t="s">
        <v>5</v>
      </c>
      <c r="D4123" s="266">
        <v>47.71</v>
      </c>
    </row>
    <row r="4124" spans="1:4" ht="31.5">
      <c r="A4124" s="261">
        <v>3606546</v>
      </c>
      <c r="B4124" s="265" t="s">
        <v>15421</v>
      </c>
      <c r="C4124" s="261" t="s">
        <v>5</v>
      </c>
      <c r="D4124" s="266">
        <v>48.13</v>
      </c>
    </row>
    <row r="4125" spans="1:4" ht="31.5">
      <c r="A4125" s="261">
        <v>3606547</v>
      </c>
      <c r="B4125" s="265" t="s">
        <v>15422</v>
      </c>
      <c r="C4125" s="261" t="s">
        <v>5</v>
      </c>
      <c r="D4125" s="266">
        <v>48.45</v>
      </c>
    </row>
    <row r="4126" spans="1:4" ht="31.5">
      <c r="A4126" s="261">
        <v>3606548</v>
      </c>
      <c r="B4126" s="265" t="s">
        <v>15423</v>
      </c>
      <c r="C4126" s="261" t="s">
        <v>5</v>
      </c>
      <c r="D4126" s="266">
        <v>49.19</v>
      </c>
    </row>
    <row r="4127" spans="1:4" ht="31.5">
      <c r="A4127" s="261">
        <v>3606549</v>
      </c>
      <c r="B4127" s="265" t="s">
        <v>15424</v>
      </c>
      <c r="C4127" s="261" t="s">
        <v>5</v>
      </c>
      <c r="D4127" s="266">
        <v>52.34</v>
      </c>
    </row>
    <row r="4128" spans="1:4" ht="31.5">
      <c r="A4128" s="261">
        <v>3606550</v>
      </c>
      <c r="B4128" s="265" t="s">
        <v>15425</v>
      </c>
      <c r="C4128" s="261" t="s">
        <v>5</v>
      </c>
      <c r="D4128" s="266">
        <v>52.97</v>
      </c>
    </row>
    <row r="4129" spans="1:4" ht="31.5">
      <c r="A4129" s="261">
        <v>3606500</v>
      </c>
      <c r="B4129" s="265" t="s">
        <v>15426</v>
      </c>
      <c r="C4129" s="261" t="s">
        <v>5</v>
      </c>
      <c r="D4129" s="266">
        <v>49.26</v>
      </c>
    </row>
    <row r="4130" spans="1:4" ht="31.5">
      <c r="A4130" s="261">
        <v>3606501</v>
      </c>
      <c r="B4130" s="265" t="s">
        <v>15427</v>
      </c>
      <c r="C4130" s="261" t="s">
        <v>5</v>
      </c>
      <c r="D4130" s="266">
        <v>50.05</v>
      </c>
    </row>
    <row r="4131" spans="1:4" ht="31.5">
      <c r="A4131" s="261">
        <v>3606502</v>
      </c>
      <c r="B4131" s="265" t="s">
        <v>15428</v>
      </c>
      <c r="C4131" s="261" t="s">
        <v>5</v>
      </c>
      <c r="D4131" s="266">
        <v>50.68</v>
      </c>
    </row>
    <row r="4132" spans="1:4" ht="31.5">
      <c r="A4132" s="261">
        <v>3606503</v>
      </c>
      <c r="B4132" s="265" t="s">
        <v>15429</v>
      </c>
      <c r="C4132" s="261" t="s">
        <v>5</v>
      </c>
      <c r="D4132" s="266">
        <v>51.47</v>
      </c>
    </row>
    <row r="4133" spans="1:4" ht="31.5">
      <c r="A4133" s="261">
        <v>3606504</v>
      </c>
      <c r="B4133" s="265" t="s">
        <v>15430</v>
      </c>
      <c r="C4133" s="261" t="s">
        <v>5</v>
      </c>
      <c r="D4133" s="266">
        <v>52.26</v>
      </c>
    </row>
    <row r="4134" spans="1:4" ht="31.5">
      <c r="A4134" s="261">
        <v>3606505</v>
      </c>
      <c r="B4134" s="265" t="s">
        <v>15431</v>
      </c>
      <c r="C4134" s="261" t="s">
        <v>5</v>
      </c>
      <c r="D4134" s="266">
        <v>53.52</v>
      </c>
    </row>
    <row r="4135" spans="1:4" ht="31.5">
      <c r="A4135" s="261">
        <v>3606506</v>
      </c>
      <c r="B4135" s="265" t="s">
        <v>15432</v>
      </c>
      <c r="C4135" s="261" t="s">
        <v>5</v>
      </c>
      <c r="D4135" s="266">
        <v>57.62</v>
      </c>
    </row>
    <row r="4136" spans="1:4" ht="31.5">
      <c r="A4136" s="261">
        <v>3606507</v>
      </c>
      <c r="B4136" s="265" t="s">
        <v>15433</v>
      </c>
      <c r="C4136" s="261" t="s">
        <v>5</v>
      </c>
      <c r="D4136" s="266">
        <v>58.88</v>
      </c>
    </row>
    <row r="4137" spans="1:4" ht="31.5">
      <c r="A4137" s="261">
        <v>3606509</v>
      </c>
      <c r="B4137" s="265" t="s">
        <v>15434</v>
      </c>
      <c r="C4137" s="261" t="s">
        <v>5</v>
      </c>
      <c r="D4137" s="266">
        <v>44.8</v>
      </c>
    </row>
    <row r="4138" spans="1:4" ht="31.5">
      <c r="A4138" s="261">
        <v>3606510</v>
      </c>
      <c r="B4138" s="265" t="s">
        <v>15435</v>
      </c>
      <c r="C4138" s="261" t="s">
        <v>5</v>
      </c>
      <c r="D4138" s="266">
        <v>45.32</v>
      </c>
    </row>
    <row r="4139" spans="1:4" ht="31.5">
      <c r="A4139" s="261">
        <v>3606511</v>
      </c>
      <c r="B4139" s="265" t="s">
        <v>15436</v>
      </c>
      <c r="C4139" s="261" t="s">
        <v>5</v>
      </c>
      <c r="D4139" s="266">
        <v>45.74</v>
      </c>
    </row>
    <row r="4140" spans="1:4" ht="31.5">
      <c r="A4140" s="261">
        <v>3606512</v>
      </c>
      <c r="B4140" s="265" t="s">
        <v>15437</v>
      </c>
      <c r="C4140" s="261" t="s">
        <v>5</v>
      </c>
      <c r="D4140" s="266">
        <v>46.16</v>
      </c>
    </row>
    <row r="4141" spans="1:4" ht="31.5">
      <c r="A4141" s="261">
        <v>3606513</v>
      </c>
      <c r="B4141" s="265" t="s">
        <v>15438</v>
      </c>
      <c r="C4141" s="261" t="s">
        <v>5</v>
      </c>
      <c r="D4141" s="266">
        <v>48.79</v>
      </c>
    </row>
    <row r="4142" spans="1:4" ht="31.5">
      <c r="A4142" s="261">
        <v>3606514</v>
      </c>
      <c r="B4142" s="265" t="s">
        <v>15439</v>
      </c>
      <c r="C4142" s="261" t="s">
        <v>5</v>
      </c>
      <c r="D4142" s="266">
        <v>49.73</v>
      </c>
    </row>
    <row r="4143" spans="1:4" ht="31.5">
      <c r="A4143" s="261">
        <v>3606515</v>
      </c>
      <c r="B4143" s="265" t="s">
        <v>15440</v>
      </c>
      <c r="C4143" s="261" t="s">
        <v>5</v>
      </c>
      <c r="D4143" s="266">
        <v>51</v>
      </c>
    </row>
    <row r="4144" spans="1:4" ht="31.5">
      <c r="A4144" s="261">
        <v>3606516</v>
      </c>
      <c r="B4144" s="265" t="s">
        <v>15441</v>
      </c>
      <c r="C4144" s="261" t="s">
        <v>5</v>
      </c>
      <c r="D4144" s="266">
        <v>51.63</v>
      </c>
    </row>
    <row r="4145" spans="1:4" ht="31.5">
      <c r="A4145" s="261">
        <v>3606518</v>
      </c>
      <c r="B4145" s="265" t="s">
        <v>15442</v>
      </c>
      <c r="C4145" s="261" t="s">
        <v>5</v>
      </c>
      <c r="D4145" s="266">
        <v>44.06</v>
      </c>
    </row>
    <row r="4146" spans="1:4" ht="31.5">
      <c r="A4146" s="261">
        <v>3606519</v>
      </c>
      <c r="B4146" s="265" t="s">
        <v>15443</v>
      </c>
      <c r="C4146" s="261" t="s">
        <v>5</v>
      </c>
      <c r="D4146" s="266">
        <v>44.48</v>
      </c>
    </row>
    <row r="4147" spans="1:4" ht="31.5">
      <c r="A4147" s="261">
        <v>3606520</v>
      </c>
      <c r="B4147" s="265" t="s">
        <v>15444</v>
      </c>
      <c r="C4147" s="261" t="s">
        <v>5</v>
      </c>
      <c r="D4147" s="266">
        <v>44.8</v>
      </c>
    </row>
    <row r="4148" spans="1:4" ht="31.5">
      <c r="A4148" s="261">
        <v>3606521</v>
      </c>
      <c r="B4148" s="265" t="s">
        <v>15445</v>
      </c>
      <c r="C4148" s="261" t="s">
        <v>5</v>
      </c>
      <c r="D4148" s="266">
        <v>45.22</v>
      </c>
    </row>
    <row r="4149" spans="1:4" ht="31.5">
      <c r="A4149" s="261">
        <v>3606522</v>
      </c>
      <c r="B4149" s="265" t="s">
        <v>15446</v>
      </c>
      <c r="C4149" s="261" t="s">
        <v>5</v>
      </c>
      <c r="D4149" s="266">
        <v>45.53</v>
      </c>
    </row>
    <row r="4150" spans="1:4" ht="31.5">
      <c r="A4150" s="261">
        <v>3606523</v>
      </c>
      <c r="B4150" s="265" t="s">
        <v>15447</v>
      </c>
      <c r="C4150" s="261" t="s">
        <v>5</v>
      </c>
      <c r="D4150" s="266">
        <v>46.27</v>
      </c>
    </row>
    <row r="4151" spans="1:4" ht="31.5">
      <c r="A4151" s="261">
        <v>3606524</v>
      </c>
      <c r="B4151" s="265" t="s">
        <v>15448</v>
      </c>
      <c r="C4151" s="261" t="s">
        <v>5</v>
      </c>
      <c r="D4151" s="266">
        <v>49.58</v>
      </c>
    </row>
    <row r="4152" spans="1:4" ht="31.5">
      <c r="A4152" s="261">
        <v>3606525</v>
      </c>
      <c r="B4152" s="265" t="s">
        <v>15449</v>
      </c>
      <c r="C4152" s="261" t="s">
        <v>5</v>
      </c>
      <c r="D4152" s="266">
        <v>50.05</v>
      </c>
    </row>
    <row r="4153" spans="1:4">
      <c r="A4153" s="261">
        <v>3606577</v>
      </c>
      <c r="B4153" s="265" t="s">
        <v>15450</v>
      </c>
      <c r="C4153" s="261" t="s">
        <v>5</v>
      </c>
      <c r="D4153" s="266">
        <v>11.4</v>
      </c>
    </row>
    <row r="4154" spans="1:4">
      <c r="A4154" s="261">
        <v>3606576</v>
      </c>
      <c r="B4154" s="265" t="s">
        <v>15451</v>
      </c>
      <c r="C4154" s="261" t="s">
        <v>5</v>
      </c>
      <c r="D4154" s="266">
        <v>4.91</v>
      </c>
    </row>
    <row r="4155" spans="1:4">
      <c r="A4155" s="261">
        <v>3606561</v>
      </c>
      <c r="B4155" s="265" t="s">
        <v>15452</v>
      </c>
      <c r="C4155" s="261" t="s">
        <v>97</v>
      </c>
      <c r="D4155" s="266">
        <v>1927.51</v>
      </c>
    </row>
    <row r="4156" spans="1:4">
      <c r="A4156" s="261">
        <v>3606556</v>
      </c>
      <c r="B4156" s="265" t="s">
        <v>15453</v>
      </c>
      <c r="C4156" s="261" t="s">
        <v>97</v>
      </c>
      <c r="D4156" s="266">
        <v>1485.56</v>
      </c>
    </row>
    <row r="4157" spans="1:4">
      <c r="A4157" s="261">
        <v>3606562</v>
      </c>
      <c r="B4157" s="265" t="s">
        <v>15454</v>
      </c>
      <c r="C4157" s="261" t="s">
        <v>97</v>
      </c>
      <c r="D4157" s="266">
        <v>2106.36</v>
      </c>
    </row>
    <row r="4158" spans="1:4">
      <c r="A4158" s="261">
        <v>3606557</v>
      </c>
      <c r="B4158" s="265" t="s">
        <v>15455</v>
      </c>
      <c r="C4158" s="261" t="s">
        <v>97</v>
      </c>
      <c r="D4158" s="266">
        <v>1620.2</v>
      </c>
    </row>
    <row r="4159" spans="1:4">
      <c r="A4159" s="261">
        <v>3606563</v>
      </c>
      <c r="B4159" s="265" t="s">
        <v>15456</v>
      </c>
      <c r="C4159" s="261" t="s">
        <v>97</v>
      </c>
      <c r="D4159" s="266">
        <v>2293.9699999999998</v>
      </c>
    </row>
    <row r="4160" spans="1:4">
      <c r="A4160" s="261">
        <v>3606558</v>
      </c>
      <c r="B4160" s="265" t="s">
        <v>15457</v>
      </c>
      <c r="C4160" s="261" t="s">
        <v>97</v>
      </c>
      <c r="D4160" s="266">
        <v>1763.62</v>
      </c>
    </row>
    <row r="4161" spans="1:4">
      <c r="A4161" s="261">
        <v>3606559</v>
      </c>
      <c r="B4161" s="265" t="s">
        <v>15458</v>
      </c>
      <c r="C4161" s="261" t="s">
        <v>97</v>
      </c>
      <c r="D4161" s="266">
        <v>1542.98</v>
      </c>
    </row>
    <row r="4162" spans="1:4">
      <c r="A4162" s="261">
        <v>3606554</v>
      </c>
      <c r="B4162" s="265" t="s">
        <v>15459</v>
      </c>
      <c r="C4162" s="261" t="s">
        <v>97</v>
      </c>
      <c r="D4162" s="266">
        <v>1189.42</v>
      </c>
    </row>
    <row r="4163" spans="1:4">
      <c r="A4163" s="261">
        <v>3606560</v>
      </c>
      <c r="B4163" s="265" t="s">
        <v>15460</v>
      </c>
      <c r="C4163" s="261" t="s">
        <v>97</v>
      </c>
      <c r="D4163" s="266">
        <v>1722.71</v>
      </c>
    </row>
    <row r="4164" spans="1:4">
      <c r="A4164" s="261">
        <v>3606555</v>
      </c>
      <c r="B4164" s="265" t="s">
        <v>15461</v>
      </c>
      <c r="C4164" s="261" t="s">
        <v>97</v>
      </c>
      <c r="D4164" s="266">
        <v>1324.94</v>
      </c>
    </row>
    <row r="4165" spans="1:4">
      <c r="A4165" s="261">
        <v>3606571</v>
      </c>
      <c r="B4165" s="265" t="s">
        <v>15462</v>
      </c>
      <c r="C4165" s="261" t="s">
        <v>97</v>
      </c>
      <c r="D4165" s="266">
        <v>1894.47</v>
      </c>
    </row>
    <row r="4166" spans="1:4">
      <c r="A4166" s="261">
        <v>3606566</v>
      </c>
      <c r="B4166" s="265" t="s">
        <v>15463</v>
      </c>
      <c r="C4166" s="261" t="s">
        <v>97</v>
      </c>
      <c r="D4166" s="266">
        <v>1452.51</v>
      </c>
    </row>
    <row r="4167" spans="1:4">
      <c r="A4167" s="261">
        <v>3606572</v>
      </c>
      <c r="B4167" s="265" t="s">
        <v>15464</v>
      </c>
      <c r="C4167" s="261" t="s">
        <v>97</v>
      </c>
      <c r="D4167" s="266">
        <v>2076.13</v>
      </c>
    </row>
    <row r="4168" spans="1:4">
      <c r="A4168" s="261">
        <v>3606567</v>
      </c>
      <c r="B4168" s="265" t="s">
        <v>15465</v>
      </c>
      <c r="C4168" s="261" t="s">
        <v>97</v>
      </c>
      <c r="D4168" s="266">
        <v>1589.98</v>
      </c>
    </row>
    <row r="4169" spans="1:4">
      <c r="A4169" s="261">
        <v>3606573</v>
      </c>
      <c r="B4169" s="265" t="s">
        <v>15466</v>
      </c>
      <c r="C4169" s="261" t="s">
        <v>97</v>
      </c>
      <c r="D4169" s="266">
        <v>2257.35</v>
      </c>
    </row>
    <row r="4170" spans="1:4">
      <c r="A4170" s="261">
        <v>3606568</v>
      </c>
      <c r="B4170" s="265" t="s">
        <v>15467</v>
      </c>
      <c r="C4170" s="261" t="s">
        <v>97</v>
      </c>
      <c r="D4170" s="266">
        <v>1727</v>
      </c>
    </row>
    <row r="4171" spans="1:4">
      <c r="A4171" s="261">
        <v>3606569</v>
      </c>
      <c r="B4171" s="265" t="s">
        <v>15468</v>
      </c>
      <c r="C4171" s="261" t="s">
        <v>97</v>
      </c>
      <c r="D4171" s="266">
        <v>1529.55</v>
      </c>
    </row>
    <row r="4172" spans="1:4">
      <c r="A4172" s="261">
        <v>3606564</v>
      </c>
      <c r="B4172" s="265" t="s">
        <v>15469</v>
      </c>
      <c r="C4172" s="261" t="s">
        <v>97</v>
      </c>
      <c r="D4172" s="266">
        <v>1175.98</v>
      </c>
    </row>
    <row r="4173" spans="1:4">
      <c r="A4173" s="261">
        <v>3606570</v>
      </c>
      <c r="B4173" s="265" t="s">
        <v>15470</v>
      </c>
      <c r="C4173" s="261" t="s">
        <v>97</v>
      </c>
      <c r="D4173" s="266">
        <v>1712.3</v>
      </c>
    </row>
    <row r="4174" spans="1:4">
      <c r="A4174" s="261">
        <v>3606565</v>
      </c>
      <c r="B4174" s="265" t="s">
        <v>15471</v>
      </c>
      <c r="C4174" s="261" t="s">
        <v>97</v>
      </c>
      <c r="D4174" s="266">
        <v>1314.53</v>
      </c>
    </row>
    <row r="4175" spans="1:4">
      <c r="A4175" s="261">
        <v>3606578</v>
      </c>
      <c r="B4175" s="265" t="s">
        <v>15472</v>
      </c>
      <c r="C4175" s="261" t="s">
        <v>97</v>
      </c>
      <c r="D4175" s="266">
        <v>113.62</v>
      </c>
    </row>
    <row r="4176" spans="1:4">
      <c r="A4176" s="261">
        <v>3606575</v>
      </c>
      <c r="B4176" s="265" t="s">
        <v>15473</v>
      </c>
      <c r="C4176" s="261" t="s">
        <v>5</v>
      </c>
      <c r="D4176" s="266">
        <v>2.06</v>
      </c>
    </row>
    <row r="4177" spans="1:4">
      <c r="A4177" s="261">
        <v>3606574</v>
      </c>
      <c r="B4177" s="265" t="s">
        <v>15474</v>
      </c>
      <c r="C4177" s="261" t="s">
        <v>5</v>
      </c>
      <c r="D4177" s="266">
        <v>1.03</v>
      </c>
    </row>
    <row r="4178" spans="1:4">
      <c r="A4178" s="261">
        <v>3713603</v>
      </c>
      <c r="B4178" s="265" t="s">
        <v>15475</v>
      </c>
      <c r="C4178" s="261" t="s">
        <v>6</v>
      </c>
      <c r="D4178" s="266">
        <v>1021.05</v>
      </c>
    </row>
    <row r="4179" spans="1:4">
      <c r="A4179" s="261">
        <v>3713601</v>
      </c>
      <c r="B4179" s="265" t="s">
        <v>15476</v>
      </c>
      <c r="C4179" s="261" t="s">
        <v>6</v>
      </c>
      <c r="D4179" s="266">
        <v>824.28</v>
      </c>
    </row>
    <row r="4180" spans="1:4">
      <c r="A4180" s="261">
        <v>3713607</v>
      </c>
      <c r="B4180" s="265" t="s">
        <v>15477</v>
      </c>
      <c r="C4180" s="261" t="s">
        <v>6</v>
      </c>
      <c r="D4180" s="266">
        <v>771.78</v>
      </c>
    </row>
    <row r="4181" spans="1:4">
      <c r="A4181" s="261">
        <v>3713605</v>
      </c>
      <c r="B4181" s="265" t="s">
        <v>15478</v>
      </c>
      <c r="C4181" s="261" t="s">
        <v>6</v>
      </c>
      <c r="D4181" s="266">
        <v>551.29999999999995</v>
      </c>
    </row>
    <row r="4182" spans="1:4">
      <c r="A4182" s="261">
        <v>3719530</v>
      </c>
      <c r="B4182" s="265" t="s">
        <v>15479</v>
      </c>
      <c r="C4182" s="261" t="s">
        <v>6</v>
      </c>
      <c r="D4182" s="266">
        <v>321.27999999999997</v>
      </c>
    </row>
    <row r="4183" spans="1:4">
      <c r="A4183" s="261">
        <v>3713828</v>
      </c>
      <c r="B4183" s="265" t="s">
        <v>15480</v>
      </c>
      <c r="C4183" s="261" t="s">
        <v>6</v>
      </c>
      <c r="D4183" s="266">
        <v>240</v>
      </c>
    </row>
    <row r="4184" spans="1:4">
      <c r="A4184" s="261">
        <v>3713875</v>
      </c>
      <c r="B4184" s="265" t="s">
        <v>15481</v>
      </c>
      <c r="C4184" s="261" t="s">
        <v>6</v>
      </c>
      <c r="D4184" s="266">
        <v>68.39</v>
      </c>
    </row>
    <row r="4185" spans="1:4">
      <c r="A4185" s="261">
        <v>3713619</v>
      </c>
      <c r="B4185" s="265" t="s">
        <v>15482</v>
      </c>
      <c r="C4185" s="261" t="s">
        <v>6</v>
      </c>
      <c r="D4185" s="266">
        <v>68.819999999999993</v>
      </c>
    </row>
    <row r="4186" spans="1:4">
      <c r="A4186" s="261">
        <v>3713876</v>
      </c>
      <c r="B4186" s="265" t="s">
        <v>15483</v>
      </c>
      <c r="C4186" s="261" t="s">
        <v>6</v>
      </c>
      <c r="D4186" s="266">
        <v>88.21</v>
      </c>
    </row>
    <row r="4187" spans="1:4">
      <c r="A4187" s="261">
        <v>3713827</v>
      </c>
      <c r="B4187" s="265" t="s">
        <v>15484</v>
      </c>
      <c r="C4187" s="261" t="s">
        <v>6</v>
      </c>
      <c r="D4187" s="266">
        <v>86.8</v>
      </c>
    </row>
    <row r="4188" spans="1:4">
      <c r="A4188" s="261">
        <v>3713904</v>
      </c>
      <c r="B4188" s="265" t="s">
        <v>15485</v>
      </c>
      <c r="C4188" s="261" t="s">
        <v>6</v>
      </c>
      <c r="D4188" s="266">
        <v>277.85000000000002</v>
      </c>
    </row>
    <row r="4189" spans="1:4">
      <c r="A4189" s="261">
        <v>3719529</v>
      </c>
      <c r="B4189" s="265" t="s">
        <v>15486</v>
      </c>
      <c r="C4189" s="261" t="s">
        <v>6</v>
      </c>
      <c r="D4189" s="266">
        <v>202.93</v>
      </c>
    </row>
    <row r="4190" spans="1:4">
      <c r="A4190" s="261">
        <v>3713878</v>
      </c>
      <c r="B4190" s="265" t="s">
        <v>15487</v>
      </c>
      <c r="C4190" s="261" t="s">
        <v>6</v>
      </c>
      <c r="D4190" s="266">
        <v>68.010000000000005</v>
      </c>
    </row>
    <row r="4191" spans="1:4">
      <c r="A4191" s="261">
        <v>3713617</v>
      </c>
      <c r="B4191" s="265" t="s">
        <v>15488</v>
      </c>
      <c r="C4191" s="261" t="s">
        <v>6</v>
      </c>
      <c r="D4191" s="266">
        <v>68.22</v>
      </c>
    </row>
    <row r="4192" spans="1:4">
      <c r="A4192" s="261">
        <v>3713879</v>
      </c>
      <c r="B4192" s="265" t="s">
        <v>15489</v>
      </c>
      <c r="C4192" s="261" t="s">
        <v>6</v>
      </c>
      <c r="D4192" s="266">
        <v>79.64</v>
      </c>
    </row>
    <row r="4193" spans="1:4">
      <c r="A4193" s="261">
        <v>3713826</v>
      </c>
      <c r="B4193" s="265" t="s">
        <v>15490</v>
      </c>
      <c r="C4193" s="261" t="s">
        <v>6</v>
      </c>
      <c r="D4193" s="266">
        <v>76.180000000000007</v>
      </c>
    </row>
    <row r="4194" spans="1:4" ht="31.5">
      <c r="A4194" s="261">
        <v>3713610</v>
      </c>
      <c r="B4194" s="265" t="s">
        <v>15491</v>
      </c>
      <c r="C4194" s="261" t="s">
        <v>6</v>
      </c>
      <c r="D4194" s="266">
        <v>35.270000000000003</v>
      </c>
    </row>
    <row r="4195" spans="1:4" ht="31.5">
      <c r="A4195" s="261">
        <v>3713609</v>
      </c>
      <c r="B4195" s="265" t="s">
        <v>15492</v>
      </c>
      <c r="C4195" s="261" t="s">
        <v>6</v>
      </c>
      <c r="D4195" s="266">
        <v>34.130000000000003</v>
      </c>
    </row>
    <row r="4196" spans="1:4" ht="31.5">
      <c r="A4196" s="261">
        <v>3713612</v>
      </c>
      <c r="B4196" s="265" t="s">
        <v>15493</v>
      </c>
      <c r="C4196" s="261" t="s">
        <v>6</v>
      </c>
      <c r="D4196" s="266">
        <v>29.34</v>
      </c>
    </row>
    <row r="4197" spans="1:4" ht="31.5">
      <c r="A4197" s="261">
        <v>3713611</v>
      </c>
      <c r="B4197" s="265" t="s">
        <v>15494</v>
      </c>
      <c r="C4197" s="261" t="s">
        <v>6</v>
      </c>
      <c r="D4197" s="266">
        <v>28.84</v>
      </c>
    </row>
    <row r="4198" spans="1:4">
      <c r="A4198" s="261">
        <v>3713608</v>
      </c>
      <c r="B4198" s="265" t="s">
        <v>15495</v>
      </c>
      <c r="C4198" s="261" t="s">
        <v>6</v>
      </c>
      <c r="D4198" s="266">
        <v>24.28</v>
      </c>
    </row>
    <row r="4199" spans="1:4">
      <c r="A4199" s="261">
        <v>3713613</v>
      </c>
      <c r="B4199" s="265" t="s">
        <v>15496</v>
      </c>
      <c r="C4199" s="261" t="s">
        <v>6</v>
      </c>
      <c r="D4199" s="266">
        <v>23.09</v>
      </c>
    </row>
    <row r="4200" spans="1:4">
      <c r="A4200" s="261">
        <v>3713822</v>
      </c>
      <c r="B4200" s="265" t="s">
        <v>15497</v>
      </c>
      <c r="C4200" s="261" t="s">
        <v>6</v>
      </c>
      <c r="D4200" s="266">
        <v>314.14</v>
      </c>
    </row>
    <row r="4201" spans="1:4">
      <c r="A4201" s="261">
        <v>3713824</v>
      </c>
      <c r="B4201" s="265" t="s">
        <v>15498</v>
      </c>
      <c r="C4201" s="261" t="s">
        <v>6</v>
      </c>
      <c r="D4201" s="266">
        <v>232.86</v>
      </c>
    </row>
    <row r="4202" spans="1:4">
      <c r="A4202" s="261">
        <v>3713825</v>
      </c>
      <c r="B4202" s="265" t="s">
        <v>15499</v>
      </c>
      <c r="C4202" s="261" t="s">
        <v>6</v>
      </c>
      <c r="D4202" s="266">
        <v>270.70999999999998</v>
      </c>
    </row>
    <row r="4203" spans="1:4">
      <c r="A4203" s="261">
        <v>3713823</v>
      </c>
      <c r="B4203" s="265" t="s">
        <v>15500</v>
      </c>
      <c r="C4203" s="261" t="s">
        <v>6</v>
      </c>
      <c r="D4203" s="266">
        <v>195.79</v>
      </c>
    </row>
    <row r="4204" spans="1:4">
      <c r="A4204" s="261">
        <v>3713602</v>
      </c>
      <c r="B4204" s="265" t="s">
        <v>15501</v>
      </c>
      <c r="C4204" s="261" t="s">
        <v>6</v>
      </c>
      <c r="D4204" s="266">
        <v>939.22</v>
      </c>
    </row>
    <row r="4205" spans="1:4">
      <c r="A4205" s="261">
        <v>3713600</v>
      </c>
      <c r="B4205" s="265" t="s">
        <v>15502</v>
      </c>
      <c r="C4205" s="261" t="s">
        <v>6</v>
      </c>
      <c r="D4205" s="266">
        <v>756.55</v>
      </c>
    </row>
    <row r="4206" spans="1:4">
      <c r="A4206" s="261">
        <v>3713606</v>
      </c>
      <c r="B4206" s="265" t="s">
        <v>15503</v>
      </c>
      <c r="C4206" s="261" t="s">
        <v>6</v>
      </c>
      <c r="D4206" s="266">
        <v>689.95</v>
      </c>
    </row>
    <row r="4207" spans="1:4">
      <c r="A4207" s="261">
        <v>3713604</v>
      </c>
      <c r="B4207" s="265" t="s">
        <v>15504</v>
      </c>
      <c r="C4207" s="261" t="s">
        <v>6</v>
      </c>
      <c r="D4207" s="266">
        <v>495.25</v>
      </c>
    </row>
    <row r="4208" spans="1:4">
      <c r="A4208" s="261">
        <v>3716129</v>
      </c>
      <c r="B4208" s="265" t="s">
        <v>15505</v>
      </c>
      <c r="C4208" s="261" t="s">
        <v>97</v>
      </c>
      <c r="D4208" s="266">
        <v>49.29</v>
      </c>
    </row>
    <row r="4209" spans="1:4">
      <c r="A4209" s="261">
        <v>3716128</v>
      </c>
      <c r="B4209" s="265" t="s">
        <v>15506</v>
      </c>
      <c r="C4209" s="261" t="s">
        <v>97</v>
      </c>
      <c r="D4209" s="266">
        <v>44.44</v>
      </c>
    </row>
    <row r="4210" spans="1:4">
      <c r="A4210" s="261">
        <v>3716133</v>
      </c>
      <c r="B4210" s="265" t="s">
        <v>15507</v>
      </c>
      <c r="C4210" s="261" t="s">
        <v>97</v>
      </c>
      <c r="D4210" s="266">
        <v>29.5</v>
      </c>
    </row>
    <row r="4211" spans="1:4">
      <c r="A4211" s="261">
        <v>3716132</v>
      </c>
      <c r="B4211" s="265" t="s">
        <v>15508</v>
      </c>
      <c r="C4211" s="261" t="s">
        <v>97</v>
      </c>
      <c r="D4211" s="266">
        <v>27.4</v>
      </c>
    </row>
    <row r="4212" spans="1:4">
      <c r="A4212" s="261">
        <v>3716131</v>
      </c>
      <c r="B4212" s="265" t="s">
        <v>15509</v>
      </c>
      <c r="C4212" s="261" t="s">
        <v>97</v>
      </c>
      <c r="D4212" s="266">
        <v>32.409999999999997</v>
      </c>
    </row>
    <row r="4213" spans="1:4">
      <c r="A4213" s="261">
        <v>3716130</v>
      </c>
      <c r="B4213" s="265" t="s">
        <v>15510</v>
      </c>
      <c r="C4213" s="261" t="s">
        <v>97</v>
      </c>
      <c r="D4213" s="266">
        <v>29.92</v>
      </c>
    </row>
    <row r="4214" spans="1:4">
      <c r="A4214" s="261">
        <v>3716135</v>
      </c>
      <c r="B4214" s="265" t="s">
        <v>15511</v>
      </c>
      <c r="C4214" s="261" t="s">
        <v>97</v>
      </c>
      <c r="D4214" s="266">
        <v>20.59</v>
      </c>
    </row>
    <row r="4215" spans="1:4">
      <c r="A4215" s="261">
        <v>3716134</v>
      </c>
      <c r="B4215" s="265" t="s">
        <v>15512</v>
      </c>
      <c r="C4215" s="261" t="s">
        <v>97</v>
      </c>
      <c r="D4215" s="266">
        <v>19.510000000000002</v>
      </c>
    </row>
    <row r="4216" spans="1:4" ht="31.5">
      <c r="A4216" s="261">
        <v>3713698</v>
      </c>
      <c r="B4216" s="265" t="s">
        <v>15513</v>
      </c>
      <c r="C4216" s="261" t="s">
        <v>97</v>
      </c>
      <c r="D4216" s="266">
        <v>304743.15000000002</v>
      </c>
    </row>
    <row r="4217" spans="1:4" ht="31.5">
      <c r="A4217" s="261">
        <v>3713699</v>
      </c>
      <c r="B4217" s="265" t="s">
        <v>15514</v>
      </c>
      <c r="C4217" s="261" t="s">
        <v>97</v>
      </c>
      <c r="D4217" s="266">
        <v>311331.64</v>
      </c>
    </row>
    <row r="4218" spans="1:4" ht="31.5">
      <c r="A4218" s="261">
        <v>3713700</v>
      </c>
      <c r="B4218" s="265" t="s">
        <v>15515</v>
      </c>
      <c r="C4218" s="261" t="s">
        <v>97</v>
      </c>
      <c r="D4218" s="266">
        <v>315080.23</v>
      </c>
    </row>
    <row r="4219" spans="1:4" ht="31.5">
      <c r="A4219" s="261">
        <v>3713701</v>
      </c>
      <c r="B4219" s="265" t="s">
        <v>15516</v>
      </c>
      <c r="C4219" s="261" t="s">
        <v>97</v>
      </c>
      <c r="D4219" s="266">
        <v>325564.48</v>
      </c>
    </row>
    <row r="4220" spans="1:4" ht="31.5">
      <c r="A4220" s="261">
        <v>3713702</v>
      </c>
      <c r="B4220" s="265" t="s">
        <v>15517</v>
      </c>
      <c r="C4220" s="261" t="s">
        <v>97</v>
      </c>
      <c r="D4220" s="266">
        <v>336799.54</v>
      </c>
    </row>
    <row r="4221" spans="1:4" ht="31.5">
      <c r="A4221" s="261">
        <v>3713693</v>
      </c>
      <c r="B4221" s="265" t="s">
        <v>15518</v>
      </c>
      <c r="C4221" s="261" t="s">
        <v>97</v>
      </c>
      <c r="D4221" s="266">
        <v>259123.11</v>
      </c>
    </row>
    <row r="4222" spans="1:4" ht="31.5">
      <c r="A4222" s="261">
        <v>3713694</v>
      </c>
      <c r="B4222" s="265" t="s">
        <v>15519</v>
      </c>
      <c r="C4222" s="261" t="s">
        <v>97</v>
      </c>
      <c r="D4222" s="266">
        <v>271325.82</v>
      </c>
    </row>
    <row r="4223" spans="1:4" ht="31.5">
      <c r="A4223" s="261">
        <v>3713695</v>
      </c>
      <c r="B4223" s="265" t="s">
        <v>15520</v>
      </c>
      <c r="C4223" s="261" t="s">
        <v>97</v>
      </c>
      <c r="D4223" s="266">
        <v>281361.12</v>
      </c>
    </row>
    <row r="4224" spans="1:4" ht="31.5">
      <c r="A4224" s="261">
        <v>3713696</v>
      </c>
      <c r="B4224" s="265" t="s">
        <v>15521</v>
      </c>
      <c r="C4224" s="261" t="s">
        <v>97</v>
      </c>
      <c r="D4224" s="266">
        <v>295442.15999999997</v>
      </c>
    </row>
    <row r="4225" spans="1:4" ht="31.5">
      <c r="A4225" s="261">
        <v>3713697</v>
      </c>
      <c r="B4225" s="265" t="s">
        <v>15522</v>
      </c>
      <c r="C4225" s="261" t="s">
        <v>97</v>
      </c>
      <c r="D4225" s="266">
        <v>284369.71000000002</v>
      </c>
    </row>
    <row r="4226" spans="1:4" ht="31.5">
      <c r="A4226" s="261">
        <v>3713692</v>
      </c>
      <c r="B4226" s="265" t="s">
        <v>15523</v>
      </c>
      <c r="C4226" s="261" t="s">
        <v>97</v>
      </c>
      <c r="D4226" s="266">
        <v>250534.79</v>
      </c>
    </row>
    <row r="4227" spans="1:4" ht="31.5">
      <c r="A4227" s="261">
        <v>3713691</v>
      </c>
      <c r="B4227" s="265" t="s">
        <v>15524</v>
      </c>
      <c r="C4227" s="261" t="s">
        <v>97</v>
      </c>
      <c r="D4227" s="266">
        <v>206656.99</v>
      </c>
    </row>
    <row r="4228" spans="1:4">
      <c r="A4228" s="261">
        <v>3713873</v>
      </c>
      <c r="B4228" s="265" t="s">
        <v>15525</v>
      </c>
      <c r="C4228" s="261" t="s">
        <v>97</v>
      </c>
      <c r="D4228" s="266">
        <v>6815.69</v>
      </c>
    </row>
    <row r="4229" spans="1:4">
      <c r="A4229" s="261">
        <v>3713705</v>
      </c>
      <c r="B4229" s="265" t="s">
        <v>15526</v>
      </c>
      <c r="C4229" s="261" t="s">
        <v>6</v>
      </c>
      <c r="D4229" s="266">
        <v>23.46</v>
      </c>
    </row>
    <row r="4230" spans="1:4">
      <c r="A4230" s="261">
        <v>3713902</v>
      </c>
      <c r="B4230" s="265" t="s">
        <v>15527</v>
      </c>
      <c r="C4230" s="261" t="s">
        <v>97</v>
      </c>
      <c r="D4230" s="266">
        <v>32292.87</v>
      </c>
    </row>
    <row r="4231" spans="1:4">
      <c r="A4231" s="261">
        <v>3713903</v>
      </c>
      <c r="B4231" s="265" t="s">
        <v>15528</v>
      </c>
      <c r="C4231" s="261" t="s">
        <v>97</v>
      </c>
      <c r="D4231" s="266">
        <v>57917.13</v>
      </c>
    </row>
    <row r="4232" spans="1:4">
      <c r="A4232" s="261">
        <v>3713689</v>
      </c>
      <c r="B4232" s="265" t="s">
        <v>15529</v>
      </c>
      <c r="C4232" s="261" t="s">
        <v>97</v>
      </c>
      <c r="D4232" s="266">
        <v>426.65</v>
      </c>
    </row>
    <row r="4233" spans="1:4">
      <c r="A4233" s="261">
        <v>3713690</v>
      </c>
      <c r="B4233" s="265" t="s">
        <v>15530</v>
      </c>
      <c r="C4233" s="261" t="s">
        <v>97</v>
      </c>
      <c r="D4233" s="266">
        <v>573.1</v>
      </c>
    </row>
    <row r="4234" spans="1:4">
      <c r="A4234" s="261">
        <v>3713897</v>
      </c>
      <c r="B4234" s="265" t="s">
        <v>15531</v>
      </c>
      <c r="C4234" s="261" t="s">
        <v>6</v>
      </c>
      <c r="D4234" s="266">
        <v>290.16000000000003</v>
      </c>
    </row>
    <row r="4235" spans="1:4">
      <c r="A4235" s="261">
        <v>3713893</v>
      </c>
      <c r="B4235" s="265" t="s">
        <v>15532</v>
      </c>
      <c r="C4235" s="261" t="s">
        <v>6</v>
      </c>
      <c r="D4235" s="266">
        <v>293.67</v>
      </c>
    </row>
    <row r="4236" spans="1:4">
      <c r="A4236" s="261">
        <v>3713898</v>
      </c>
      <c r="B4236" s="265" t="s">
        <v>15533</v>
      </c>
      <c r="C4236" s="261" t="s">
        <v>6</v>
      </c>
      <c r="D4236" s="266">
        <v>305.14</v>
      </c>
    </row>
    <row r="4237" spans="1:4">
      <c r="A4237" s="261">
        <v>3713894</v>
      </c>
      <c r="B4237" s="265" t="s">
        <v>15534</v>
      </c>
      <c r="C4237" s="261" t="s">
        <v>6</v>
      </c>
      <c r="D4237" s="266">
        <v>306.31</v>
      </c>
    </row>
    <row r="4238" spans="1:4">
      <c r="A4238" s="261">
        <v>3713895</v>
      </c>
      <c r="B4238" s="265" t="s">
        <v>15535</v>
      </c>
      <c r="C4238" s="261" t="s">
        <v>6</v>
      </c>
      <c r="D4238" s="266">
        <v>271.73</v>
      </c>
    </row>
    <row r="4239" spans="1:4">
      <c r="A4239" s="261">
        <v>3713891</v>
      </c>
      <c r="B4239" s="265" t="s">
        <v>15536</v>
      </c>
      <c r="C4239" s="261" t="s">
        <v>6</v>
      </c>
      <c r="D4239" s="266">
        <v>270.55</v>
      </c>
    </row>
    <row r="4240" spans="1:4">
      <c r="A4240" s="261">
        <v>3713896</v>
      </c>
      <c r="B4240" s="265" t="s">
        <v>15537</v>
      </c>
      <c r="C4240" s="261" t="s">
        <v>6</v>
      </c>
      <c r="D4240" s="266">
        <v>280.75</v>
      </c>
    </row>
    <row r="4241" spans="1:4" ht="31.5">
      <c r="A4241" s="261">
        <v>3713892</v>
      </c>
      <c r="B4241" s="265" t="s">
        <v>15538</v>
      </c>
      <c r="C4241" s="261" t="s">
        <v>6</v>
      </c>
      <c r="D4241" s="266">
        <v>275.95999999999998</v>
      </c>
    </row>
    <row r="4242" spans="1:4">
      <c r="A4242" s="261">
        <v>3806412</v>
      </c>
      <c r="B4242" s="265" t="s">
        <v>15539</v>
      </c>
      <c r="C4242" s="261" t="s">
        <v>97</v>
      </c>
      <c r="D4242" s="266">
        <v>64.33</v>
      </c>
    </row>
    <row r="4243" spans="1:4">
      <c r="A4243" s="261">
        <v>3806413</v>
      </c>
      <c r="B4243" s="265" t="s">
        <v>15540</v>
      </c>
      <c r="C4243" s="261" t="s">
        <v>3</v>
      </c>
      <c r="D4243" s="266">
        <v>22.99</v>
      </c>
    </row>
    <row r="4244" spans="1:4">
      <c r="A4244" s="261">
        <v>3807863</v>
      </c>
      <c r="B4244" s="265" t="s">
        <v>15541</v>
      </c>
      <c r="C4244" s="261" t="s">
        <v>97</v>
      </c>
      <c r="D4244" s="266">
        <v>12.85</v>
      </c>
    </row>
    <row r="4245" spans="1:4">
      <c r="A4245" s="261">
        <v>3807864</v>
      </c>
      <c r="B4245" s="265" t="s">
        <v>15542</v>
      </c>
      <c r="C4245" s="261" t="s">
        <v>97</v>
      </c>
      <c r="D4245" s="266">
        <v>18.84</v>
      </c>
    </row>
    <row r="4246" spans="1:4">
      <c r="A4246" s="261">
        <v>3807865</v>
      </c>
      <c r="B4246" s="265" t="s">
        <v>15543</v>
      </c>
      <c r="C4246" s="261" t="s">
        <v>97</v>
      </c>
      <c r="D4246" s="266">
        <v>29.29</v>
      </c>
    </row>
    <row r="4247" spans="1:4">
      <c r="A4247" s="261">
        <v>3807861</v>
      </c>
      <c r="B4247" s="265" t="s">
        <v>15544</v>
      </c>
      <c r="C4247" s="261" t="s">
        <v>97</v>
      </c>
      <c r="D4247" s="266">
        <v>3.77</v>
      </c>
    </row>
    <row r="4248" spans="1:4">
      <c r="A4248" s="261">
        <v>3807862</v>
      </c>
      <c r="B4248" s="265" t="s">
        <v>15545</v>
      </c>
      <c r="C4248" s="261" t="s">
        <v>97</v>
      </c>
      <c r="D4248" s="266">
        <v>4.93</v>
      </c>
    </row>
    <row r="4249" spans="1:4">
      <c r="A4249" s="261">
        <v>3806415</v>
      </c>
      <c r="B4249" s="265" t="s">
        <v>15546</v>
      </c>
      <c r="C4249" s="261" t="s">
        <v>5</v>
      </c>
      <c r="D4249" s="266">
        <v>650.64</v>
      </c>
    </row>
    <row r="4250" spans="1:4">
      <c r="A4250" s="261">
        <v>3806416</v>
      </c>
      <c r="B4250" s="265" t="s">
        <v>15547</v>
      </c>
      <c r="C4250" s="261" t="s">
        <v>97</v>
      </c>
      <c r="D4250" s="266">
        <v>78.17</v>
      </c>
    </row>
    <row r="4251" spans="1:4">
      <c r="A4251" s="261">
        <v>3806419</v>
      </c>
      <c r="B4251" s="265" t="s">
        <v>15548</v>
      </c>
      <c r="C4251" s="261" t="s">
        <v>97</v>
      </c>
      <c r="D4251" s="266">
        <v>105.45</v>
      </c>
    </row>
    <row r="4252" spans="1:4">
      <c r="A4252" s="261">
        <v>3806417</v>
      </c>
      <c r="B4252" s="265" t="s">
        <v>15549</v>
      </c>
      <c r="C4252" s="261" t="s">
        <v>97</v>
      </c>
      <c r="D4252" s="266">
        <v>87.6</v>
      </c>
    </row>
    <row r="4253" spans="1:4">
      <c r="A4253" s="261">
        <v>3806418</v>
      </c>
      <c r="B4253" s="265" t="s">
        <v>15550</v>
      </c>
      <c r="C4253" s="261" t="s">
        <v>97</v>
      </c>
      <c r="D4253" s="266">
        <v>104.21</v>
      </c>
    </row>
    <row r="4254" spans="1:4">
      <c r="A4254" s="261">
        <v>3808207</v>
      </c>
      <c r="B4254" s="265" t="s">
        <v>15551</v>
      </c>
      <c r="C4254" s="261" t="s">
        <v>6</v>
      </c>
      <c r="D4254" s="266">
        <v>194.11</v>
      </c>
    </row>
    <row r="4255" spans="1:4">
      <c r="A4255" s="261">
        <v>3806400</v>
      </c>
      <c r="B4255" s="265" t="s">
        <v>15552</v>
      </c>
      <c r="C4255" s="261" t="s">
        <v>97</v>
      </c>
      <c r="D4255" s="266">
        <v>160618.32</v>
      </c>
    </row>
    <row r="4256" spans="1:4">
      <c r="A4256" s="261">
        <v>3806399</v>
      </c>
      <c r="B4256" s="265" t="s">
        <v>15553</v>
      </c>
      <c r="C4256" s="261" t="s">
        <v>97</v>
      </c>
      <c r="D4256" s="266">
        <v>227710.41</v>
      </c>
    </row>
    <row r="4257" spans="1:4">
      <c r="A4257" s="261">
        <v>3806387</v>
      </c>
      <c r="B4257" s="265" t="s">
        <v>15554</v>
      </c>
      <c r="C4257" s="261" t="s">
        <v>97</v>
      </c>
      <c r="D4257" s="266">
        <v>285674.15999999997</v>
      </c>
    </row>
    <row r="4258" spans="1:4">
      <c r="A4258" s="261">
        <v>3806397</v>
      </c>
      <c r="B4258" s="265" t="s">
        <v>15555</v>
      </c>
      <c r="C4258" s="261" t="s">
        <v>97</v>
      </c>
      <c r="D4258" s="266">
        <v>381774.41</v>
      </c>
    </row>
    <row r="4259" spans="1:4">
      <c r="A4259" s="261">
        <v>3806396</v>
      </c>
      <c r="B4259" s="265" t="s">
        <v>15556</v>
      </c>
      <c r="C4259" s="261" t="s">
        <v>97</v>
      </c>
      <c r="D4259" s="266">
        <v>439389.43</v>
      </c>
    </row>
    <row r="4260" spans="1:4">
      <c r="A4260" s="261">
        <v>3816118</v>
      </c>
      <c r="B4260" s="265" t="s">
        <v>15557</v>
      </c>
      <c r="C4260" s="261" t="s">
        <v>6</v>
      </c>
      <c r="D4260" s="266">
        <v>97.48</v>
      </c>
    </row>
    <row r="4261" spans="1:4">
      <c r="A4261" s="261">
        <v>3816117</v>
      </c>
      <c r="B4261" s="265" t="s">
        <v>15558</v>
      </c>
      <c r="C4261" s="261" t="s">
        <v>6</v>
      </c>
      <c r="D4261" s="266">
        <v>91.76</v>
      </c>
    </row>
    <row r="4262" spans="1:4">
      <c r="A4262" s="261">
        <v>3806386</v>
      </c>
      <c r="B4262" s="265" t="s">
        <v>15559</v>
      </c>
      <c r="C4262" s="261" t="s">
        <v>6</v>
      </c>
      <c r="D4262" s="266">
        <v>729.46</v>
      </c>
    </row>
    <row r="4263" spans="1:4">
      <c r="A4263" s="261">
        <v>3816196</v>
      </c>
      <c r="B4263" s="265" t="s">
        <v>15560</v>
      </c>
      <c r="C4263" s="261" t="s">
        <v>5</v>
      </c>
      <c r="D4263" s="266">
        <v>916.02</v>
      </c>
    </row>
    <row r="4264" spans="1:4">
      <c r="A4264" s="261">
        <v>3806426</v>
      </c>
      <c r="B4264" s="265" t="s">
        <v>15561</v>
      </c>
      <c r="C4264" s="261" t="s">
        <v>18</v>
      </c>
      <c r="D4264" s="266">
        <v>65</v>
      </c>
    </row>
    <row r="4265" spans="1:4">
      <c r="A4265" s="261">
        <v>3806401</v>
      </c>
      <c r="B4265" s="265" t="s">
        <v>15562</v>
      </c>
      <c r="C4265" s="261" t="s">
        <v>97</v>
      </c>
      <c r="D4265" s="266">
        <v>15290.15</v>
      </c>
    </row>
    <row r="4266" spans="1:4">
      <c r="A4266" s="261">
        <v>3806423</v>
      </c>
      <c r="B4266" s="265" t="s">
        <v>15563</v>
      </c>
      <c r="C4266" s="261" t="s">
        <v>97</v>
      </c>
      <c r="D4266" s="266">
        <v>10399.64</v>
      </c>
    </row>
    <row r="4267" spans="1:4">
      <c r="A4267" s="261">
        <v>3806421</v>
      </c>
      <c r="B4267" s="265" t="s">
        <v>15564</v>
      </c>
      <c r="C4267" s="261" t="s">
        <v>97</v>
      </c>
      <c r="D4267" s="266">
        <v>5079.9399999999996</v>
      </c>
    </row>
    <row r="4268" spans="1:4">
      <c r="A4268" s="261">
        <v>3806422</v>
      </c>
      <c r="B4268" s="265" t="s">
        <v>15565</v>
      </c>
      <c r="C4268" s="261" t="s">
        <v>97</v>
      </c>
      <c r="D4268" s="266">
        <v>9359.69</v>
      </c>
    </row>
    <row r="4269" spans="1:4">
      <c r="A4269" s="261">
        <v>3806425</v>
      </c>
      <c r="B4269" s="265" t="s">
        <v>15566</v>
      </c>
      <c r="C4269" s="261" t="s">
        <v>97</v>
      </c>
      <c r="D4269" s="266">
        <v>3638.75</v>
      </c>
    </row>
    <row r="4270" spans="1:4">
      <c r="A4270" s="261">
        <v>3806424</v>
      </c>
      <c r="B4270" s="265" t="s">
        <v>15567</v>
      </c>
      <c r="C4270" s="261" t="s">
        <v>97</v>
      </c>
      <c r="D4270" s="266">
        <v>5712.61</v>
      </c>
    </row>
    <row r="4271" spans="1:4">
      <c r="A4271" s="261">
        <v>3806420</v>
      </c>
      <c r="B4271" s="265" t="s">
        <v>15568</v>
      </c>
      <c r="C4271" s="261" t="s">
        <v>97</v>
      </c>
      <c r="D4271" s="266">
        <v>4444.96</v>
      </c>
    </row>
    <row r="4272" spans="1:4">
      <c r="A4272" s="261">
        <v>3806405</v>
      </c>
      <c r="B4272" s="265" t="s">
        <v>15569</v>
      </c>
      <c r="C4272" s="261" t="s">
        <v>97</v>
      </c>
      <c r="D4272" s="266">
        <v>147.41</v>
      </c>
    </row>
    <row r="4273" spans="1:4">
      <c r="A4273" s="261">
        <v>3806404</v>
      </c>
      <c r="B4273" s="265" t="s">
        <v>15570</v>
      </c>
      <c r="C4273" s="261" t="s">
        <v>5</v>
      </c>
      <c r="D4273" s="266">
        <v>113.21</v>
      </c>
    </row>
    <row r="4274" spans="1:4">
      <c r="A4274" s="261">
        <v>3806406</v>
      </c>
      <c r="B4274" s="265" t="s">
        <v>15571</v>
      </c>
      <c r="C4274" s="261" t="s">
        <v>6</v>
      </c>
      <c r="D4274" s="266">
        <v>6.24</v>
      </c>
    </row>
    <row r="4275" spans="1:4">
      <c r="A4275" s="261">
        <v>3806403</v>
      </c>
      <c r="B4275" s="265" t="s">
        <v>15572</v>
      </c>
      <c r="C4275" s="261" t="s">
        <v>3</v>
      </c>
      <c r="D4275" s="266">
        <v>8.56</v>
      </c>
    </row>
    <row r="4276" spans="1:4">
      <c r="A4276" s="261">
        <v>3806402</v>
      </c>
      <c r="B4276" s="265" t="s">
        <v>15573</v>
      </c>
      <c r="C4276" s="261" t="s">
        <v>3</v>
      </c>
      <c r="D4276" s="266">
        <v>2.5</v>
      </c>
    </row>
    <row r="4277" spans="1:4" ht="31.5">
      <c r="A4277" s="261">
        <v>3806407</v>
      </c>
      <c r="B4277" s="265" t="s">
        <v>15574</v>
      </c>
      <c r="C4277" s="261" t="s">
        <v>6</v>
      </c>
      <c r="D4277" s="266">
        <v>181.5</v>
      </c>
    </row>
    <row r="4278" spans="1:4">
      <c r="A4278" s="261">
        <v>3808043</v>
      </c>
      <c r="B4278" s="265" t="s">
        <v>15575</v>
      </c>
      <c r="C4278" s="261" t="s">
        <v>3</v>
      </c>
      <c r="D4278" s="266">
        <v>5.1100000000000003</v>
      </c>
    </row>
    <row r="4279" spans="1:4">
      <c r="A4279" s="261">
        <v>3806431</v>
      </c>
      <c r="B4279" s="265" t="s">
        <v>15576</v>
      </c>
      <c r="C4279" s="261" t="s">
        <v>97</v>
      </c>
      <c r="D4279" s="266">
        <v>6174.06</v>
      </c>
    </row>
    <row r="4280" spans="1:4">
      <c r="A4280" s="261">
        <v>3806432</v>
      </c>
      <c r="B4280" s="265" t="s">
        <v>15577</v>
      </c>
      <c r="C4280" s="261" t="s">
        <v>97</v>
      </c>
      <c r="D4280" s="266">
        <v>3222.13</v>
      </c>
    </row>
    <row r="4281" spans="1:4" ht="31.5">
      <c r="A4281" s="261">
        <v>3806429</v>
      </c>
      <c r="B4281" s="265" t="s">
        <v>15578</v>
      </c>
      <c r="C4281" s="261" t="s">
        <v>5</v>
      </c>
      <c r="D4281" s="266">
        <v>17.89</v>
      </c>
    </row>
    <row r="4282" spans="1:4" ht="31.5">
      <c r="A4282" s="261">
        <v>3806430</v>
      </c>
      <c r="B4282" s="265" t="s">
        <v>15579</v>
      </c>
      <c r="C4282" s="261" t="s">
        <v>5</v>
      </c>
      <c r="D4282" s="266">
        <v>11.25</v>
      </c>
    </row>
    <row r="4283" spans="1:4" ht="31.5">
      <c r="A4283" s="261">
        <v>3806428</v>
      </c>
      <c r="B4283" s="265" t="s">
        <v>15580</v>
      </c>
      <c r="C4283" s="261" t="s">
        <v>5</v>
      </c>
      <c r="D4283" s="266">
        <v>39.799999999999997</v>
      </c>
    </row>
    <row r="4284" spans="1:4">
      <c r="A4284" s="261">
        <v>3816198</v>
      </c>
      <c r="B4284" s="265" t="s">
        <v>15581</v>
      </c>
      <c r="C4284" s="261" t="s">
        <v>5</v>
      </c>
      <c r="D4284" s="266">
        <v>68.930000000000007</v>
      </c>
    </row>
    <row r="4285" spans="1:4">
      <c r="A4285" s="261">
        <v>3816197</v>
      </c>
      <c r="B4285" s="265" t="s">
        <v>15582</v>
      </c>
      <c r="C4285" s="261" t="s">
        <v>5</v>
      </c>
      <c r="D4285" s="266">
        <v>62.14</v>
      </c>
    </row>
    <row r="4286" spans="1:4" ht="31.5">
      <c r="A4286" s="261">
        <v>3806410</v>
      </c>
      <c r="B4286" s="265" t="s">
        <v>15583</v>
      </c>
      <c r="C4286" s="261" t="s">
        <v>3</v>
      </c>
      <c r="D4286" s="266">
        <v>63.19</v>
      </c>
    </row>
    <row r="4287" spans="1:4">
      <c r="A4287" s="261">
        <v>3806411</v>
      </c>
      <c r="B4287" s="265" t="s">
        <v>15584</v>
      </c>
      <c r="C4287" s="261" t="s">
        <v>28</v>
      </c>
      <c r="D4287" s="266">
        <v>643.29999999999995</v>
      </c>
    </row>
    <row r="4288" spans="1:4">
      <c r="A4288" s="261">
        <v>3815644</v>
      </c>
      <c r="B4288" s="265" t="s">
        <v>15585</v>
      </c>
      <c r="C4288" s="261" t="s">
        <v>97</v>
      </c>
      <c r="D4288" s="266">
        <v>105.43</v>
      </c>
    </row>
    <row r="4289" spans="1:4">
      <c r="A4289" s="261">
        <v>3815643</v>
      </c>
      <c r="B4289" s="265" t="s">
        <v>15586</v>
      </c>
      <c r="C4289" s="261" t="s">
        <v>97</v>
      </c>
      <c r="D4289" s="266">
        <v>89.97</v>
      </c>
    </row>
    <row r="4290" spans="1:4">
      <c r="A4290" s="261">
        <v>3815706</v>
      </c>
      <c r="B4290" s="265" t="s">
        <v>15587</v>
      </c>
      <c r="C4290" s="261" t="s">
        <v>6</v>
      </c>
      <c r="D4290" s="266">
        <v>133.55000000000001</v>
      </c>
    </row>
    <row r="4291" spans="1:4">
      <c r="A4291" s="261">
        <v>3815597</v>
      </c>
      <c r="B4291" s="265" t="s">
        <v>15588</v>
      </c>
      <c r="C4291" s="261" t="s">
        <v>6</v>
      </c>
      <c r="D4291" s="266">
        <v>127.83</v>
      </c>
    </row>
    <row r="4292" spans="1:4">
      <c r="A4292" s="261">
        <v>3815600</v>
      </c>
      <c r="B4292" s="265" t="s">
        <v>15589</v>
      </c>
      <c r="C4292" s="261" t="s">
        <v>3</v>
      </c>
      <c r="D4292" s="266">
        <v>58.32</v>
      </c>
    </row>
    <row r="4293" spans="1:4">
      <c r="A4293" s="261">
        <v>3815601</v>
      </c>
      <c r="B4293" s="265" t="s">
        <v>15590</v>
      </c>
      <c r="C4293" s="261" t="s">
        <v>3</v>
      </c>
      <c r="D4293" s="266">
        <v>53.5</v>
      </c>
    </row>
    <row r="4294" spans="1:4">
      <c r="A4294" s="261">
        <v>3815599</v>
      </c>
      <c r="B4294" s="265" t="s">
        <v>15591</v>
      </c>
      <c r="C4294" s="261" t="s">
        <v>3</v>
      </c>
      <c r="D4294" s="266">
        <v>25.99</v>
      </c>
    </row>
    <row r="4295" spans="1:4">
      <c r="A4295" s="261">
        <v>3806414</v>
      </c>
      <c r="B4295" s="265" t="s">
        <v>15592</v>
      </c>
      <c r="C4295" s="261" t="s">
        <v>5</v>
      </c>
      <c r="D4295" s="266">
        <v>560.44000000000005</v>
      </c>
    </row>
    <row r="4296" spans="1:4">
      <c r="A4296" s="261">
        <v>3806409</v>
      </c>
      <c r="B4296" s="265" t="s">
        <v>15593</v>
      </c>
      <c r="C4296" s="261" t="s">
        <v>6</v>
      </c>
      <c r="D4296" s="266">
        <v>63.59</v>
      </c>
    </row>
    <row r="4297" spans="1:4">
      <c r="A4297" s="261">
        <v>3815602</v>
      </c>
      <c r="B4297" s="265" t="s">
        <v>15594</v>
      </c>
      <c r="C4297" s="261" t="s">
        <v>6</v>
      </c>
      <c r="D4297" s="266">
        <v>32.880000000000003</v>
      </c>
    </row>
    <row r="4298" spans="1:4">
      <c r="A4298" s="261">
        <v>4011444</v>
      </c>
      <c r="B4298" s="265" t="s">
        <v>15595</v>
      </c>
      <c r="C4298" s="261" t="s">
        <v>18</v>
      </c>
      <c r="D4298" s="266">
        <v>173.92</v>
      </c>
    </row>
    <row r="4299" spans="1:4">
      <c r="A4299" s="261">
        <v>4011443</v>
      </c>
      <c r="B4299" s="265" t="s">
        <v>15596</v>
      </c>
      <c r="C4299" s="261" t="s">
        <v>18</v>
      </c>
      <c r="D4299" s="266">
        <v>119.07</v>
      </c>
    </row>
    <row r="4300" spans="1:4">
      <c r="A4300" s="261">
        <v>4011446</v>
      </c>
      <c r="B4300" s="265" t="s">
        <v>15597</v>
      </c>
      <c r="C4300" s="261" t="s">
        <v>18</v>
      </c>
      <c r="D4300" s="266">
        <v>164.31</v>
      </c>
    </row>
    <row r="4301" spans="1:4">
      <c r="A4301" s="261">
        <v>4011445</v>
      </c>
      <c r="B4301" s="265" t="s">
        <v>15598</v>
      </c>
      <c r="C4301" s="261" t="s">
        <v>18</v>
      </c>
      <c r="D4301" s="266">
        <v>108.26</v>
      </c>
    </row>
    <row r="4302" spans="1:4">
      <c r="A4302" s="261">
        <v>4011448</v>
      </c>
      <c r="B4302" s="265" t="s">
        <v>15599</v>
      </c>
      <c r="C4302" s="261" t="s">
        <v>18</v>
      </c>
      <c r="D4302" s="266">
        <v>166.62</v>
      </c>
    </row>
    <row r="4303" spans="1:4">
      <c r="A4303" s="261">
        <v>4011447</v>
      </c>
      <c r="B4303" s="265" t="s">
        <v>15600</v>
      </c>
      <c r="C4303" s="261" t="s">
        <v>18</v>
      </c>
      <c r="D4303" s="266">
        <v>108.99</v>
      </c>
    </row>
    <row r="4304" spans="1:4">
      <c r="A4304" s="261">
        <v>4011450</v>
      </c>
      <c r="B4304" s="265" t="s">
        <v>15601</v>
      </c>
      <c r="C4304" s="261" t="s">
        <v>18</v>
      </c>
      <c r="D4304" s="266">
        <v>172.07</v>
      </c>
    </row>
    <row r="4305" spans="1:4">
      <c r="A4305" s="261">
        <v>4011449</v>
      </c>
      <c r="B4305" s="265" t="s">
        <v>15602</v>
      </c>
      <c r="C4305" s="261" t="s">
        <v>18</v>
      </c>
      <c r="D4305" s="266">
        <v>115.46</v>
      </c>
    </row>
    <row r="4306" spans="1:4">
      <c r="A4306" s="261">
        <v>4011452</v>
      </c>
      <c r="B4306" s="265" t="s">
        <v>15603</v>
      </c>
      <c r="C4306" s="261" t="s">
        <v>18</v>
      </c>
      <c r="D4306" s="266">
        <v>175.62</v>
      </c>
    </row>
    <row r="4307" spans="1:4">
      <c r="A4307" s="261">
        <v>4011451</v>
      </c>
      <c r="B4307" s="265" t="s">
        <v>15604</v>
      </c>
      <c r="C4307" s="261" t="s">
        <v>18</v>
      </c>
      <c r="D4307" s="266">
        <v>119.75</v>
      </c>
    </row>
    <row r="4308" spans="1:4">
      <c r="A4308" s="261">
        <v>4011219</v>
      </c>
      <c r="B4308" s="265" t="s">
        <v>15605</v>
      </c>
      <c r="C4308" s="261" t="s">
        <v>5</v>
      </c>
      <c r="D4308" s="266">
        <v>12</v>
      </c>
    </row>
    <row r="4309" spans="1:4">
      <c r="A4309" s="261">
        <v>4011291</v>
      </c>
      <c r="B4309" s="265" t="s">
        <v>15606</v>
      </c>
      <c r="C4309" s="261" t="s">
        <v>5</v>
      </c>
      <c r="D4309" s="266">
        <v>59.46</v>
      </c>
    </row>
    <row r="4310" spans="1:4">
      <c r="A4310" s="261">
        <v>4011287</v>
      </c>
      <c r="B4310" s="265" t="s">
        <v>15607</v>
      </c>
      <c r="C4310" s="261" t="s">
        <v>5</v>
      </c>
      <c r="D4310" s="266">
        <v>49.39</v>
      </c>
    </row>
    <row r="4311" spans="1:4">
      <c r="A4311" s="261">
        <v>4011305</v>
      </c>
      <c r="B4311" s="265" t="s">
        <v>15608</v>
      </c>
      <c r="C4311" s="261" t="s">
        <v>5</v>
      </c>
      <c r="D4311" s="266">
        <v>82.97</v>
      </c>
    </row>
    <row r="4312" spans="1:4">
      <c r="A4312" s="261">
        <v>4011313</v>
      </c>
      <c r="B4312" s="265" t="s">
        <v>15609</v>
      </c>
      <c r="C4312" s="261" t="s">
        <v>5</v>
      </c>
      <c r="D4312" s="266">
        <v>104.43</v>
      </c>
    </row>
    <row r="4313" spans="1:4">
      <c r="A4313" s="261">
        <v>4011297</v>
      </c>
      <c r="B4313" s="265" t="s">
        <v>15610</v>
      </c>
      <c r="C4313" s="261" t="s">
        <v>5</v>
      </c>
      <c r="D4313" s="266">
        <v>97.07</v>
      </c>
    </row>
    <row r="4314" spans="1:4">
      <c r="A4314" s="261">
        <v>4011221</v>
      </c>
      <c r="B4314" s="265" t="s">
        <v>15611</v>
      </c>
      <c r="C4314" s="261" t="s">
        <v>5</v>
      </c>
      <c r="D4314" s="266">
        <v>12.76</v>
      </c>
    </row>
    <row r="4315" spans="1:4">
      <c r="A4315" s="261">
        <v>4011226</v>
      </c>
      <c r="B4315" s="265" t="s">
        <v>15612</v>
      </c>
      <c r="C4315" s="261" t="s">
        <v>5</v>
      </c>
      <c r="D4315" s="266">
        <v>30.93</v>
      </c>
    </row>
    <row r="4316" spans="1:4" ht="31.5">
      <c r="A4316" s="261">
        <v>4011240</v>
      </c>
      <c r="B4316" s="265" t="s">
        <v>15613</v>
      </c>
      <c r="C4316" s="261" t="s">
        <v>5</v>
      </c>
      <c r="D4316" s="266">
        <v>102.27</v>
      </c>
    </row>
    <row r="4317" spans="1:4" ht="31.5">
      <c r="A4317" s="261">
        <v>4011239</v>
      </c>
      <c r="B4317" s="265" t="s">
        <v>15614</v>
      </c>
      <c r="C4317" s="261" t="s">
        <v>5</v>
      </c>
      <c r="D4317" s="266">
        <v>83.62</v>
      </c>
    </row>
    <row r="4318" spans="1:4">
      <c r="A4318" s="261">
        <v>4011268</v>
      </c>
      <c r="B4318" s="265" t="s">
        <v>15615</v>
      </c>
      <c r="C4318" s="261" t="s">
        <v>5</v>
      </c>
      <c r="D4318" s="266">
        <v>67.819999999999993</v>
      </c>
    </row>
    <row r="4319" spans="1:4">
      <c r="A4319" s="261">
        <v>4011267</v>
      </c>
      <c r="B4319" s="265" t="s">
        <v>15616</v>
      </c>
      <c r="C4319" s="261" t="s">
        <v>5</v>
      </c>
      <c r="D4319" s="266">
        <v>48.59</v>
      </c>
    </row>
    <row r="4320" spans="1:4">
      <c r="A4320" s="261">
        <v>4011256</v>
      </c>
      <c r="B4320" s="265" t="s">
        <v>15617</v>
      </c>
      <c r="C4320" s="261" t="s">
        <v>5</v>
      </c>
      <c r="D4320" s="266">
        <v>54.75</v>
      </c>
    </row>
    <row r="4321" spans="1:4">
      <c r="A4321" s="261">
        <v>4011255</v>
      </c>
      <c r="B4321" s="265" t="s">
        <v>15618</v>
      </c>
      <c r="C4321" s="261" t="s">
        <v>5</v>
      </c>
      <c r="D4321" s="266">
        <v>35.53</v>
      </c>
    </row>
    <row r="4322" spans="1:4">
      <c r="A4322" s="261">
        <v>4011276</v>
      </c>
      <c r="B4322" s="265" t="s">
        <v>15619</v>
      </c>
      <c r="C4322" s="261" t="s">
        <v>5</v>
      </c>
      <c r="D4322" s="266">
        <v>174.14</v>
      </c>
    </row>
    <row r="4323" spans="1:4">
      <c r="A4323" s="261">
        <v>4011275</v>
      </c>
      <c r="B4323" s="265" t="s">
        <v>15620</v>
      </c>
      <c r="C4323" s="261" t="s">
        <v>5</v>
      </c>
      <c r="D4323" s="266">
        <v>110.07</v>
      </c>
    </row>
    <row r="4324" spans="1:4">
      <c r="A4324" s="261">
        <v>4011549</v>
      </c>
      <c r="B4324" s="265" t="s">
        <v>15621</v>
      </c>
      <c r="C4324" s="261" t="s">
        <v>5</v>
      </c>
      <c r="D4324" s="266">
        <v>174.93</v>
      </c>
    </row>
    <row r="4325" spans="1:4">
      <c r="A4325" s="261">
        <v>4011548</v>
      </c>
      <c r="B4325" s="265" t="s">
        <v>15622</v>
      </c>
      <c r="C4325" s="261" t="s">
        <v>5</v>
      </c>
      <c r="D4325" s="266">
        <v>110.86</v>
      </c>
    </row>
    <row r="4326" spans="1:4">
      <c r="A4326" s="261">
        <v>4011278</v>
      </c>
      <c r="B4326" s="265" t="s">
        <v>15623</v>
      </c>
      <c r="C4326" s="261" t="s">
        <v>5</v>
      </c>
      <c r="D4326" s="266">
        <v>216.74</v>
      </c>
    </row>
    <row r="4327" spans="1:4">
      <c r="A4327" s="261">
        <v>4011277</v>
      </c>
      <c r="B4327" s="265" t="s">
        <v>15624</v>
      </c>
      <c r="C4327" s="261" t="s">
        <v>5</v>
      </c>
      <c r="D4327" s="266">
        <v>154.80000000000001</v>
      </c>
    </row>
    <row r="4328" spans="1:4">
      <c r="A4328" s="261">
        <v>4011561</v>
      </c>
      <c r="B4328" s="265" t="s">
        <v>15625</v>
      </c>
      <c r="C4328" s="261" t="s">
        <v>5</v>
      </c>
      <c r="D4328" s="266">
        <v>217.53</v>
      </c>
    </row>
    <row r="4329" spans="1:4">
      <c r="A4329" s="261">
        <v>4011560</v>
      </c>
      <c r="B4329" s="265" t="s">
        <v>15626</v>
      </c>
      <c r="C4329" s="261" t="s">
        <v>5</v>
      </c>
      <c r="D4329" s="266">
        <v>155.59</v>
      </c>
    </row>
    <row r="4330" spans="1:4">
      <c r="A4330" s="261">
        <v>4011282</v>
      </c>
      <c r="B4330" s="265" t="s">
        <v>15627</v>
      </c>
      <c r="C4330" s="261" t="s">
        <v>5</v>
      </c>
      <c r="D4330" s="266">
        <v>151.80000000000001</v>
      </c>
    </row>
    <row r="4331" spans="1:4">
      <c r="A4331" s="261">
        <v>4011281</v>
      </c>
      <c r="B4331" s="265" t="s">
        <v>15628</v>
      </c>
      <c r="C4331" s="261" t="s">
        <v>5</v>
      </c>
      <c r="D4331" s="266">
        <v>95.79</v>
      </c>
    </row>
    <row r="4332" spans="1:4">
      <c r="A4332" s="261">
        <v>4011279</v>
      </c>
      <c r="B4332" s="265" t="s">
        <v>15629</v>
      </c>
      <c r="C4332" s="261" t="s">
        <v>5</v>
      </c>
      <c r="D4332" s="266">
        <v>146.12</v>
      </c>
    </row>
    <row r="4333" spans="1:4">
      <c r="A4333" s="261">
        <v>4011280</v>
      </c>
      <c r="B4333" s="265" t="s">
        <v>15630</v>
      </c>
      <c r="C4333" s="261" t="s">
        <v>5</v>
      </c>
      <c r="D4333" s="266">
        <v>90.1</v>
      </c>
    </row>
    <row r="4334" spans="1:4" ht="31.5">
      <c r="A4334" s="261">
        <v>4011327</v>
      </c>
      <c r="B4334" s="265" t="s">
        <v>15631</v>
      </c>
      <c r="C4334" s="261" t="s">
        <v>5</v>
      </c>
      <c r="D4334" s="266">
        <v>36.49</v>
      </c>
    </row>
    <row r="4335" spans="1:4" ht="31.5">
      <c r="A4335" s="261">
        <v>4011325</v>
      </c>
      <c r="B4335" s="265" t="s">
        <v>15632</v>
      </c>
      <c r="C4335" s="261" t="s">
        <v>5</v>
      </c>
      <c r="D4335" s="266">
        <v>21.77</v>
      </c>
    </row>
    <row r="4336" spans="1:4">
      <c r="A4336" s="261">
        <v>4011454</v>
      </c>
      <c r="B4336" s="265" t="s">
        <v>15633</v>
      </c>
      <c r="C4336" s="261" t="s">
        <v>18</v>
      </c>
      <c r="D4336" s="266">
        <v>169.01</v>
      </c>
    </row>
    <row r="4337" spans="1:4">
      <c r="A4337" s="261">
        <v>4011453</v>
      </c>
      <c r="B4337" s="265" t="s">
        <v>15634</v>
      </c>
      <c r="C4337" s="261" t="s">
        <v>18</v>
      </c>
      <c r="D4337" s="266">
        <v>130.4</v>
      </c>
    </row>
    <row r="4338" spans="1:4">
      <c r="A4338" s="261">
        <v>4011455</v>
      </c>
      <c r="B4338" s="265" t="s">
        <v>15635</v>
      </c>
      <c r="C4338" s="261" t="s">
        <v>18</v>
      </c>
      <c r="D4338" s="266">
        <v>17.7</v>
      </c>
    </row>
    <row r="4339" spans="1:4">
      <c r="A4339" s="261">
        <v>4011459</v>
      </c>
      <c r="B4339" s="265" t="s">
        <v>15636</v>
      </c>
      <c r="C4339" s="261" t="s">
        <v>18</v>
      </c>
      <c r="D4339" s="266">
        <v>172.7</v>
      </c>
    </row>
    <row r="4340" spans="1:4">
      <c r="A4340" s="261">
        <v>4011458</v>
      </c>
      <c r="B4340" s="265" t="s">
        <v>15637</v>
      </c>
      <c r="C4340" s="261" t="s">
        <v>18</v>
      </c>
      <c r="D4340" s="266">
        <v>132.79</v>
      </c>
    </row>
    <row r="4341" spans="1:4">
      <c r="A4341" s="261">
        <v>4011463</v>
      </c>
      <c r="B4341" s="265" t="s">
        <v>15638</v>
      </c>
      <c r="C4341" s="261" t="s">
        <v>18</v>
      </c>
      <c r="D4341" s="266">
        <v>174.32</v>
      </c>
    </row>
    <row r="4342" spans="1:4">
      <c r="A4342" s="261">
        <v>4011462</v>
      </c>
      <c r="B4342" s="265" t="s">
        <v>15639</v>
      </c>
      <c r="C4342" s="261" t="s">
        <v>18</v>
      </c>
      <c r="D4342" s="266">
        <v>130.80000000000001</v>
      </c>
    </row>
    <row r="4343" spans="1:4">
      <c r="A4343" s="261">
        <v>4011464</v>
      </c>
      <c r="B4343" s="265" t="s">
        <v>15640</v>
      </c>
      <c r="C4343" s="261" t="s">
        <v>18</v>
      </c>
      <c r="D4343" s="266">
        <v>17.7</v>
      </c>
    </row>
    <row r="4344" spans="1:4">
      <c r="A4344" s="261">
        <v>4011457</v>
      </c>
      <c r="B4344" s="265" t="s">
        <v>15641</v>
      </c>
      <c r="C4344" s="261" t="s">
        <v>18</v>
      </c>
      <c r="D4344" s="266">
        <v>169.46</v>
      </c>
    </row>
    <row r="4345" spans="1:4">
      <c r="A4345" s="261">
        <v>4011456</v>
      </c>
      <c r="B4345" s="265" t="s">
        <v>15642</v>
      </c>
      <c r="C4345" s="261" t="s">
        <v>18</v>
      </c>
      <c r="D4345" s="266">
        <v>130.63999999999999</v>
      </c>
    </row>
    <row r="4346" spans="1:4">
      <c r="A4346" s="261">
        <v>4011461</v>
      </c>
      <c r="B4346" s="265" t="s">
        <v>15643</v>
      </c>
      <c r="C4346" s="261" t="s">
        <v>18</v>
      </c>
      <c r="D4346" s="266">
        <v>173.13</v>
      </c>
    </row>
    <row r="4347" spans="1:4">
      <c r="A4347" s="261">
        <v>4011460</v>
      </c>
      <c r="B4347" s="265" t="s">
        <v>15644</v>
      </c>
      <c r="C4347" s="261" t="s">
        <v>18</v>
      </c>
      <c r="D4347" s="266">
        <v>133.03</v>
      </c>
    </row>
    <row r="4348" spans="1:4">
      <c r="A4348" s="261">
        <v>4011466</v>
      </c>
      <c r="B4348" s="265" t="s">
        <v>15645</v>
      </c>
      <c r="C4348" s="261" t="s">
        <v>18</v>
      </c>
      <c r="D4348" s="266">
        <v>180.68</v>
      </c>
    </row>
    <row r="4349" spans="1:4">
      <c r="A4349" s="261">
        <v>4011465</v>
      </c>
      <c r="B4349" s="265" t="s">
        <v>15646</v>
      </c>
      <c r="C4349" s="261" t="s">
        <v>18</v>
      </c>
      <c r="D4349" s="266">
        <v>135.01</v>
      </c>
    </row>
    <row r="4350" spans="1:4">
      <c r="A4350" s="261">
        <v>4011469</v>
      </c>
      <c r="B4350" s="265" t="s">
        <v>15647</v>
      </c>
      <c r="C4350" s="261" t="s">
        <v>18</v>
      </c>
      <c r="D4350" s="266">
        <v>205.98</v>
      </c>
    </row>
    <row r="4351" spans="1:4">
      <c r="A4351" s="261">
        <v>4011473</v>
      </c>
      <c r="B4351" s="265" t="s">
        <v>15648</v>
      </c>
      <c r="C4351" s="261" t="s">
        <v>18</v>
      </c>
      <c r="D4351" s="266">
        <v>179.01</v>
      </c>
    </row>
    <row r="4352" spans="1:4">
      <c r="A4352" s="261">
        <v>4011470</v>
      </c>
      <c r="B4352" s="265" t="s">
        <v>15649</v>
      </c>
      <c r="C4352" s="261" t="s">
        <v>18</v>
      </c>
      <c r="D4352" s="266">
        <v>209.25</v>
      </c>
    </row>
    <row r="4353" spans="1:4">
      <c r="A4353" s="261">
        <v>4011474</v>
      </c>
      <c r="B4353" s="265" t="s">
        <v>15650</v>
      </c>
      <c r="C4353" s="261" t="s">
        <v>18</v>
      </c>
      <c r="D4353" s="266">
        <v>182.86</v>
      </c>
    </row>
    <row r="4354" spans="1:4">
      <c r="A4354" s="261">
        <v>4011471</v>
      </c>
      <c r="B4354" s="265" t="s">
        <v>15651</v>
      </c>
      <c r="C4354" s="261" t="s">
        <v>18</v>
      </c>
      <c r="D4354" s="266">
        <v>210.29</v>
      </c>
    </row>
    <row r="4355" spans="1:4">
      <c r="A4355" s="261">
        <v>4011475</v>
      </c>
      <c r="B4355" s="265" t="s">
        <v>15652</v>
      </c>
      <c r="C4355" s="261" t="s">
        <v>18</v>
      </c>
      <c r="D4355" s="266">
        <v>184.77</v>
      </c>
    </row>
    <row r="4356" spans="1:4">
      <c r="A4356" s="261">
        <v>4011472</v>
      </c>
      <c r="B4356" s="265" t="s">
        <v>15653</v>
      </c>
      <c r="C4356" s="261" t="s">
        <v>18</v>
      </c>
      <c r="D4356" s="266">
        <v>205.77</v>
      </c>
    </row>
    <row r="4357" spans="1:4">
      <c r="A4357" s="261">
        <v>4011476</v>
      </c>
      <c r="B4357" s="265" t="s">
        <v>15654</v>
      </c>
      <c r="C4357" s="261" t="s">
        <v>18</v>
      </c>
      <c r="D4357" s="266">
        <v>178.73</v>
      </c>
    </row>
    <row r="4358" spans="1:4">
      <c r="A4358" s="261">
        <v>4011478</v>
      </c>
      <c r="B4358" s="265" t="s">
        <v>15655</v>
      </c>
      <c r="C4358" s="261" t="s">
        <v>18</v>
      </c>
      <c r="D4358" s="266">
        <v>155.32</v>
      </c>
    </row>
    <row r="4359" spans="1:4">
      <c r="A4359" s="261">
        <v>4011477</v>
      </c>
      <c r="B4359" s="265" t="s">
        <v>15656</v>
      </c>
      <c r="C4359" s="261" t="s">
        <v>18</v>
      </c>
      <c r="D4359" s="266">
        <v>136.71</v>
      </c>
    </row>
    <row r="4360" spans="1:4">
      <c r="A4360" s="261">
        <v>4011538</v>
      </c>
      <c r="B4360" s="265" t="s">
        <v>15657</v>
      </c>
      <c r="C4360" s="261" t="s">
        <v>3</v>
      </c>
      <c r="D4360" s="266">
        <v>0.16</v>
      </c>
    </row>
    <row r="4361" spans="1:4">
      <c r="A4361" s="261">
        <v>4016096</v>
      </c>
      <c r="B4361" s="265" t="s">
        <v>15658</v>
      </c>
      <c r="C4361" s="261" t="s">
        <v>5</v>
      </c>
      <c r="D4361" s="266">
        <v>1.59</v>
      </c>
    </row>
    <row r="4362" spans="1:4">
      <c r="A4362" s="261">
        <v>4016008</v>
      </c>
      <c r="B4362" s="265" t="s">
        <v>15659</v>
      </c>
      <c r="C4362" s="261" t="s">
        <v>5</v>
      </c>
      <c r="D4362" s="266">
        <v>3.71</v>
      </c>
    </row>
    <row r="4363" spans="1:4">
      <c r="A4363" s="261">
        <v>4016007</v>
      </c>
      <c r="B4363" s="265" t="s">
        <v>15660</v>
      </c>
      <c r="C4363" s="261" t="s">
        <v>5</v>
      </c>
      <c r="D4363" s="266">
        <v>4.67</v>
      </c>
    </row>
    <row r="4364" spans="1:4">
      <c r="A4364" s="261">
        <v>4015612</v>
      </c>
      <c r="B4364" s="265" t="s">
        <v>15661</v>
      </c>
      <c r="C4364" s="261" t="s">
        <v>5</v>
      </c>
      <c r="D4364" s="266">
        <v>11.81</v>
      </c>
    </row>
    <row r="4365" spans="1:4">
      <c r="A4365" s="261">
        <v>4011479</v>
      </c>
      <c r="B4365" s="265" t="s">
        <v>15662</v>
      </c>
      <c r="C4365" s="261" t="s">
        <v>5</v>
      </c>
      <c r="D4365" s="266">
        <v>53.07</v>
      </c>
    </row>
    <row r="4366" spans="1:4">
      <c r="A4366" s="261">
        <v>4011480</v>
      </c>
      <c r="B4366" s="265" t="s">
        <v>15663</v>
      </c>
      <c r="C4366" s="261" t="s">
        <v>5</v>
      </c>
      <c r="D4366" s="266">
        <v>71.599999999999994</v>
      </c>
    </row>
    <row r="4367" spans="1:4" ht="31.5">
      <c r="A4367" s="261">
        <v>4011562</v>
      </c>
      <c r="B4367" s="265" t="s">
        <v>15664</v>
      </c>
      <c r="C4367" s="261" t="s">
        <v>3</v>
      </c>
      <c r="D4367" s="266">
        <v>38.549999999999997</v>
      </c>
    </row>
    <row r="4368" spans="1:4">
      <c r="A4368" s="261">
        <v>4011351</v>
      </c>
      <c r="B4368" s="265" t="s">
        <v>15665</v>
      </c>
      <c r="C4368" s="261" t="s">
        <v>3</v>
      </c>
      <c r="D4368" s="266">
        <v>0.38</v>
      </c>
    </row>
    <row r="4369" spans="1:4">
      <c r="A4369" s="261">
        <v>4011352</v>
      </c>
      <c r="B4369" s="265" t="s">
        <v>15666</v>
      </c>
      <c r="C4369" s="261" t="s">
        <v>3</v>
      </c>
      <c r="D4369" s="266">
        <v>0.41</v>
      </c>
    </row>
    <row r="4370" spans="1:4">
      <c r="A4370" s="261">
        <v>4011402</v>
      </c>
      <c r="B4370" s="265" t="s">
        <v>15667</v>
      </c>
      <c r="C4370" s="261" t="s">
        <v>3</v>
      </c>
      <c r="D4370" s="266">
        <v>0.8</v>
      </c>
    </row>
    <row r="4371" spans="1:4">
      <c r="A4371" s="261">
        <v>4011401</v>
      </c>
      <c r="B4371" s="265" t="s">
        <v>15668</v>
      </c>
      <c r="C4371" s="261" t="s">
        <v>3</v>
      </c>
      <c r="D4371" s="266">
        <v>0.59</v>
      </c>
    </row>
    <row r="4372" spans="1:4">
      <c r="A4372" s="261">
        <v>4011404</v>
      </c>
      <c r="B4372" s="265" t="s">
        <v>15669</v>
      </c>
      <c r="C4372" s="261" t="s">
        <v>3</v>
      </c>
      <c r="D4372" s="266">
        <v>0.56000000000000005</v>
      </c>
    </row>
    <row r="4373" spans="1:4">
      <c r="A4373" s="261">
        <v>4011403</v>
      </c>
      <c r="B4373" s="265" t="s">
        <v>15670</v>
      </c>
      <c r="C4373" s="261" t="s">
        <v>3</v>
      </c>
      <c r="D4373" s="266">
        <v>0.41</v>
      </c>
    </row>
    <row r="4374" spans="1:4">
      <c r="A4374" s="261">
        <v>4011406</v>
      </c>
      <c r="B4374" s="265" t="s">
        <v>15671</v>
      </c>
      <c r="C4374" s="261" t="s">
        <v>3</v>
      </c>
      <c r="D4374" s="266">
        <v>1.04</v>
      </c>
    </row>
    <row r="4375" spans="1:4">
      <c r="A4375" s="261">
        <v>4011405</v>
      </c>
      <c r="B4375" s="265" t="s">
        <v>15672</v>
      </c>
      <c r="C4375" s="261" t="s">
        <v>3</v>
      </c>
      <c r="D4375" s="266">
        <v>0.78</v>
      </c>
    </row>
    <row r="4376" spans="1:4">
      <c r="A4376" s="261">
        <v>4011392</v>
      </c>
      <c r="B4376" s="265" t="s">
        <v>15673</v>
      </c>
      <c r="C4376" s="261" t="s">
        <v>5</v>
      </c>
      <c r="D4376" s="266">
        <v>182.33</v>
      </c>
    </row>
    <row r="4377" spans="1:4">
      <c r="A4377" s="261">
        <v>4011391</v>
      </c>
      <c r="B4377" s="265" t="s">
        <v>15674</v>
      </c>
      <c r="C4377" s="261" t="s">
        <v>5</v>
      </c>
      <c r="D4377" s="266">
        <v>127.39</v>
      </c>
    </row>
    <row r="4378" spans="1:4">
      <c r="A4378" s="261">
        <v>4011394</v>
      </c>
      <c r="B4378" s="265" t="s">
        <v>15675</v>
      </c>
      <c r="C4378" s="261" t="s">
        <v>5</v>
      </c>
      <c r="D4378" s="266">
        <v>182.96</v>
      </c>
    </row>
    <row r="4379" spans="1:4">
      <c r="A4379" s="261">
        <v>4011393</v>
      </c>
      <c r="B4379" s="265" t="s">
        <v>15676</v>
      </c>
      <c r="C4379" s="261" t="s">
        <v>5</v>
      </c>
      <c r="D4379" s="266">
        <v>128</v>
      </c>
    </row>
    <row r="4380" spans="1:4">
      <c r="A4380" s="261">
        <v>4011396</v>
      </c>
      <c r="B4380" s="265" t="s">
        <v>15677</v>
      </c>
      <c r="C4380" s="261" t="s">
        <v>5</v>
      </c>
      <c r="D4380" s="266">
        <v>186.42</v>
      </c>
    </row>
    <row r="4381" spans="1:4">
      <c r="A4381" s="261">
        <v>4011395</v>
      </c>
      <c r="B4381" s="265" t="s">
        <v>15678</v>
      </c>
      <c r="C4381" s="261" t="s">
        <v>5</v>
      </c>
      <c r="D4381" s="266">
        <v>128.69999999999999</v>
      </c>
    </row>
    <row r="4382" spans="1:4">
      <c r="A4382" s="261">
        <v>4011398</v>
      </c>
      <c r="B4382" s="265" t="s">
        <v>15679</v>
      </c>
      <c r="C4382" s="261" t="s">
        <v>5</v>
      </c>
      <c r="D4382" s="266">
        <v>186.78</v>
      </c>
    </row>
    <row r="4383" spans="1:4">
      <c r="A4383" s="261">
        <v>4011397</v>
      </c>
      <c r="B4383" s="265" t="s">
        <v>15680</v>
      </c>
      <c r="C4383" s="261" t="s">
        <v>5</v>
      </c>
      <c r="D4383" s="266">
        <v>129.06</v>
      </c>
    </row>
    <row r="4384" spans="1:4">
      <c r="A4384" s="261">
        <v>4011400</v>
      </c>
      <c r="B4384" s="265" t="s">
        <v>15681</v>
      </c>
      <c r="C4384" s="261" t="s">
        <v>5</v>
      </c>
      <c r="D4384" s="266">
        <v>199.99</v>
      </c>
    </row>
    <row r="4385" spans="1:4">
      <c r="A4385" s="261">
        <v>4011399</v>
      </c>
      <c r="B4385" s="265" t="s">
        <v>15682</v>
      </c>
      <c r="C4385" s="261" t="s">
        <v>5</v>
      </c>
      <c r="D4385" s="266">
        <v>146.91</v>
      </c>
    </row>
    <row r="4386" spans="1:4">
      <c r="A4386" s="261">
        <v>4011490</v>
      </c>
      <c r="B4386" s="265" t="s">
        <v>15683</v>
      </c>
      <c r="C4386" s="261" t="s">
        <v>3</v>
      </c>
      <c r="D4386" s="266">
        <v>5.54</v>
      </c>
    </row>
    <row r="4387" spans="1:4">
      <c r="A4387" s="261">
        <v>4011536</v>
      </c>
      <c r="B4387" s="265" t="s">
        <v>15684</v>
      </c>
      <c r="C4387" s="261" t="s">
        <v>3</v>
      </c>
      <c r="D4387" s="266">
        <v>1.79</v>
      </c>
    </row>
    <row r="4388" spans="1:4">
      <c r="A4388" s="261">
        <v>4011415</v>
      </c>
      <c r="B4388" s="265" t="s">
        <v>15685</v>
      </c>
      <c r="C4388" s="261" t="s">
        <v>18</v>
      </c>
      <c r="D4388" s="266">
        <v>159.38999999999999</v>
      </c>
    </row>
    <row r="4389" spans="1:4">
      <c r="A4389" s="261">
        <v>4011416</v>
      </c>
      <c r="B4389" s="265" t="s">
        <v>15686</v>
      </c>
      <c r="C4389" s="261" t="s">
        <v>18</v>
      </c>
      <c r="D4389" s="266">
        <v>133.81</v>
      </c>
    </row>
    <row r="4390" spans="1:4">
      <c r="A4390" s="261">
        <v>4011408</v>
      </c>
      <c r="B4390" s="265" t="s">
        <v>15687</v>
      </c>
      <c r="C4390" s="261" t="s">
        <v>3</v>
      </c>
      <c r="D4390" s="266">
        <v>2.08</v>
      </c>
    </row>
    <row r="4391" spans="1:4">
      <c r="A4391" s="261">
        <v>4011407</v>
      </c>
      <c r="B4391" s="265" t="s">
        <v>15688</v>
      </c>
      <c r="C4391" s="261" t="s">
        <v>3</v>
      </c>
      <c r="D4391" s="266">
        <v>1.75</v>
      </c>
    </row>
    <row r="4392" spans="1:4">
      <c r="A4392" s="261">
        <v>4011410</v>
      </c>
      <c r="B4392" s="265" t="s">
        <v>15689</v>
      </c>
      <c r="C4392" s="261" t="s">
        <v>3</v>
      </c>
      <c r="D4392" s="266">
        <v>3.89</v>
      </c>
    </row>
    <row r="4393" spans="1:4">
      <c r="A4393" s="261">
        <v>4011409</v>
      </c>
      <c r="B4393" s="265" t="s">
        <v>15690</v>
      </c>
      <c r="C4393" s="261" t="s">
        <v>3</v>
      </c>
      <c r="D4393" s="266">
        <v>3.28</v>
      </c>
    </row>
    <row r="4394" spans="1:4">
      <c r="A4394" s="261">
        <v>4011412</v>
      </c>
      <c r="B4394" s="265" t="s">
        <v>15691</v>
      </c>
      <c r="C4394" s="261" t="s">
        <v>3</v>
      </c>
      <c r="D4394" s="266">
        <v>5.38</v>
      </c>
    </row>
    <row r="4395" spans="1:4">
      <c r="A4395" s="261">
        <v>4011411</v>
      </c>
      <c r="B4395" s="265" t="s">
        <v>15692</v>
      </c>
      <c r="C4395" s="261" t="s">
        <v>3</v>
      </c>
      <c r="D4395" s="266">
        <v>4.5599999999999996</v>
      </c>
    </row>
    <row r="4396" spans="1:4">
      <c r="A4396" s="261">
        <v>4011520</v>
      </c>
      <c r="B4396" s="265" t="s">
        <v>15693</v>
      </c>
      <c r="C4396" s="261" t="s">
        <v>5</v>
      </c>
      <c r="D4396" s="266">
        <v>494.13</v>
      </c>
    </row>
    <row r="4397" spans="1:4">
      <c r="A4397" s="261">
        <v>4011507</v>
      </c>
      <c r="B4397" s="265" t="s">
        <v>15694</v>
      </c>
      <c r="C4397" s="261" t="s">
        <v>5</v>
      </c>
      <c r="D4397" s="266">
        <v>393.06</v>
      </c>
    </row>
    <row r="4398" spans="1:4">
      <c r="A4398" s="261">
        <v>4011535</v>
      </c>
      <c r="B4398" s="265" t="s">
        <v>15695</v>
      </c>
      <c r="C4398" s="261" t="s">
        <v>5</v>
      </c>
      <c r="D4398" s="266">
        <v>371.96</v>
      </c>
    </row>
    <row r="4399" spans="1:4">
      <c r="A4399" s="261">
        <v>4011534</v>
      </c>
      <c r="B4399" s="265" t="s">
        <v>15696</v>
      </c>
      <c r="C4399" s="261" t="s">
        <v>5</v>
      </c>
      <c r="D4399" s="266">
        <v>290.79000000000002</v>
      </c>
    </row>
    <row r="4400" spans="1:4">
      <c r="A4400" s="261">
        <v>4011533</v>
      </c>
      <c r="B4400" s="265" t="s">
        <v>15697</v>
      </c>
      <c r="C4400" s="261" t="s">
        <v>5</v>
      </c>
      <c r="D4400" s="266">
        <v>377.15</v>
      </c>
    </row>
    <row r="4401" spans="1:4">
      <c r="A4401" s="261">
        <v>4011532</v>
      </c>
      <c r="B4401" s="265" t="s">
        <v>15698</v>
      </c>
      <c r="C4401" s="261" t="s">
        <v>5</v>
      </c>
      <c r="D4401" s="266">
        <v>295.98</v>
      </c>
    </row>
    <row r="4402" spans="1:4">
      <c r="A4402" s="261">
        <v>4011492</v>
      </c>
      <c r="B4402" s="265" t="s">
        <v>15699</v>
      </c>
      <c r="C4402" s="261" t="s">
        <v>5</v>
      </c>
      <c r="D4402" s="266">
        <v>285.57</v>
      </c>
    </row>
    <row r="4403" spans="1:4">
      <c r="A4403" s="261">
        <v>4011491</v>
      </c>
      <c r="B4403" s="265" t="s">
        <v>15700</v>
      </c>
      <c r="C4403" s="261" t="s">
        <v>5</v>
      </c>
      <c r="D4403" s="266">
        <v>222.27</v>
      </c>
    </row>
    <row r="4404" spans="1:4">
      <c r="A4404" s="261">
        <v>4011353</v>
      </c>
      <c r="B4404" s="265" t="s">
        <v>15701</v>
      </c>
      <c r="C4404" s="261" t="s">
        <v>3</v>
      </c>
      <c r="D4404" s="266">
        <v>0.28000000000000003</v>
      </c>
    </row>
    <row r="4405" spans="1:4">
      <c r="A4405" s="261">
        <v>4011354</v>
      </c>
      <c r="B4405" s="265" t="s">
        <v>15702</v>
      </c>
      <c r="C4405" s="261" t="s">
        <v>3</v>
      </c>
      <c r="D4405" s="266">
        <v>0.28000000000000003</v>
      </c>
    </row>
    <row r="4406" spans="1:4">
      <c r="A4406" s="261">
        <v>4011418</v>
      </c>
      <c r="B4406" s="265" t="s">
        <v>15703</v>
      </c>
      <c r="C4406" s="261" t="s">
        <v>5</v>
      </c>
      <c r="D4406" s="266">
        <v>269.39</v>
      </c>
    </row>
    <row r="4407" spans="1:4">
      <c r="A4407" s="261">
        <v>4011417</v>
      </c>
      <c r="B4407" s="265" t="s">
        <v>15704</v>
      </c>
      <c r="C4407" s="261" t="s">
        <v>5</v>
      </c>
      <c r="D4407" s="266">
        <v>187.53</v>
      </c>
    </row>
    <row r="4408" spans="1:4">
      <c r="A4408" s="261">
        <v>4011420</v>
      </c>
      <c r="B4408" s="265" t="s">
        <v>15705</v>
      </c>
      <c r="C4408" s="261" t="s">
        <v>5</v>
      </c>
      <c r="D4408" s="266">
        <v>269.83</v>
      </c>
    </row>
    <row r="4409" spans="1:4">
      <c r="A4409" s="261">
        <v>4011419</v>
      </c>
      <c r="B4409" s="265" t="s">
        <v>15706</v>
      </c>
      <c r="C4409" s="261" t="s">
        <v>5</v>
      </c>
      <c r="D4409" s="266">
        <v>184.35</v>
      </c>
    </row>
    <row r="4410" spans="1:4">
      <c r="A4410" s="261">
        <v>4011422</v>
      </c>
      <c r="B4410" s="265" t="s">
        <v>15707</v>
      </c>
      <c r="C4410" s="261" t="s">
        <v>5</v>
      </c>
      <c r="D4410" s="266">
        <v>283.08</v>
      </c>
    </row>
    <row r="4411" spans="1:4">
      <c r="A4411" s="261">
        <v>4011421</v>
      </c>
      <c r="B4411" s="265" t="s">
        <v>15708</v>
      </c>
      <c r="C4411" s="261" t="s">
        <v>5</v>
      </c>
      <c r="D4411" s="266">
        <v>198.06</v>
      </c>
    </row>
    <row r="4412" spans="1:4">
      <c r="A4412" s="261">
        <v>4011424</v>
      </c>
      <c r="B4412" s="265" t="s">
        <v>15709</v>
      </c>
      <c r="C4412" s="261" t="s">
        <v>5</v>
      </c>
      <c r="D4412" s="266">
        <v>283.52</v>
      </c>
    </row>
    <row r="4413" spans="1:4">
      <c r="A4413" s="261">
        <v>4011423</v>
      </c>
      <c r="B4413" s="265" t="s">
        <v>15710</v>
      </c>
      <c r="C4413" s="261" t="s">
        <v>5</v>
      </c>
      <c r="D4413" s="266">
        <v>194.88</v>
      </c>
    </row>
    <row r="4414" spans="1:4">
      <c r="A4414" s="261">
        <v>4011426</v>
      </c>
      <c r="B4414" s="265" t="s">
        <v>15711</v>
      </c>
      <c r="C4414" s="261" t="s">
        <v>5</v>
      </c>
      <c r="D4414" s="266">
        <v>269.39</v>
      </c>
    </row>
    <row r="4415" spans="1:4">
      <c r="A4415" s="261">
        <v>4011425</v>
      </c>
      <c r="B4415" s="265" t="s">
        <v>15712</v>
      </c>
      <c r="C4415" s="261" t="s">
        <v>5</v>
      </c>
      <c r="D4415" s="266">
        <v>187.53</v>
      </c>
    </row>
    <row r="4416" spans="1:4">
      <c r="A4416" s="261">
        <v>4011428</v>
      </c>
      <c r="B4416" s="265" t="s">
        <v>15713</v>
      </c>
      <c r="C4416" s="261" t="s">
        <v>5</v>
      </c>
      <c r="D4416" s="266">
        <v>269.83</v>
      </c>
    </row>
    <row r="4417" spans="1:4">
      <c r="A4417" s="261">
        <v>4011427</v>
      </c>
      <c r="B4417" s="265" t="s">
        <v>15714</v>
      </c>
      <c r="C4417" s="261" t="s">
        <v>5</v>
      </c>
      <c r="D4417" s="266">
        <v>184.35</v>
      </c>
    </row>
    <row r="4418" spans="1:4">
      <c r="A4418" s="261">
        <v>4011430</v>
      </c>
      <c r="B4418" s="265" t="s">
        <v>15715</v>
      </c>
      <c r="C4418" s="261" t="s">
        <v>5</v>
      </c>
      <c r="D4418" s="266">
        <v>282.14999999999998</v>
      </c>
    </row>
    <row r="4419" spans="1:4">
      <c r="A4419" s="261">
        <v>4011429</v>
      </c>
      <c r="B4419" s="265" t="s">
        <v>15716</v>
      </c>
      <c r="C4419" s="261" t="s">
        <v>5</v>
      </c>
      <c r="D4419" s="266">
        <v>197.53</v>
      </c>
    </row>
    <row r="4420" spans="1:4">
      <c r="A4420" s="261">
        <v>4011432</v>
      </c>
      <c r="B4420" s="265" t="s">
        <v>15717</v>
      </c>
      <c r="C4420" s="261" t="s">
        <v>5</v>
      </c>
      <c r="D4420" s="266">
        <v>282.58999999999997</v>
      </c>
    </row>
    <row r="4421" spans="1:4">
      <c r="A4421" s="261">
        <v>4011431</v>
      </c>
      <c r="B4421" s="265" t="s">
        <v>15718</v>
      </c>
      <c r="C4421" s="261" t="s">
        <v>5</v>
      </c>
      <c r="D4421" s="266">
        <v>194.36</v>
      </c>
    </row>
    <row r="4422" spans="1:4">
      <c r="A4422" s="261">
        <v>4011434</v>
      </c>
      <c r="B4422" s="265" t="s">
        <v>15719</v>
      </c>
      <c r="C4422" s="261" t="s">
        <v>18</v>
      </c>
      <c r="D4422" s="266">
        <v>167.01</v>
      </c>
    </row>
    <row r="4423" spans="1:4">
      <c r="A4423" s="261">
        <v>4011433</v>
      </c>
      <c r="B4423" s="265" t="s">
        <v>15720</v>
      </c>
      <c r="C4423" s="261" t="s">
        <v>18</v>
      </c>
      <c r="D4423" s="266">
        <v>129.97999999999999</v>
      </c>
    </row>
    <row r="4424" spans="1:4">
      <c r="A4424" s="261">
        <v>4011436</v>
      </c>
      <c r="B4424" s="265" t="s">
        <v>15721</v>
      </c>
      <c r="C4424" s="261" t="s">
        <v>18</v>
      </c>
      <c r="D4424" s="266">
        <v>159.33000000000001</v>
      </c>
    </row>
    <row r="4425" spans="1:4">
      <c r="A4425" s="261">
        <v>4011435</v>
      </c>
      <c r="B4425" s="265" t="s">
        <v>15722</v>
      </c>
      <c r="C4425" s="261" t="s">
        <v>18</v>
      </c>
      <c r="D4425" s="266">
        <v>121.08</v>
      </c>
    </row>
    <row r="4426" spans="1:4">
      <c r="A4426" s="261">
        <v>4011438</v>
      </c>
      <c r="B4426" s="265" t="s">
        <v>15723</v>
      </c>
      <c r="C4426" s="261" t="s">
        <v>18</v>
      </c>
      <c r="D4426" s="266">
        <v>169.29</v>
      </c>
    </row>
    <row r="4427" spans="1:4">
      <c r="A4427" s="261">
        <v>4011437</v>
      </c>
      <c r="B4427" s="265" t="s">
        <v>15724</v>
      </c>
      <c r="C4427" s="261" t="s">
        <v>18</v>
      </c>
      <c r="D4427" s="266">
        <v>128.03</v>
      </c>
    </row>
    <row r="4428" spans="1:4">
      <c r="A4428" s="261">
        <v>4011440</v>
      </c>
      <c r="B4428" s="265" t="s">
        <v>15725</v>
      </c>
      <c r="C4428" s="261" t="s">
        <v>18</v>
      </c>
      <c r="D4428" s="266">
        <v>168.74</v>
      </c>
    </row>
    <row r="4429" spans="1:4">
      <c r="A4429" s="261">
        <v>4011439</v>
      </c>
      <c r="B4429" s="265" t="s">
        <v>15726</v>
      </c>
      <c r="C4429" s="261" t="s">
        <v>18</v>
      </c>
      <c r="D4429" s="266">
        <v>134.27000000000001</v>
      </c>
    </row>
    <row r="4430" spans="1:4">
      <c r="A4430" s="261">
        <v>4011442</v>
      </c>
      <c r="B4430" s="265" t="s">
        <v>15727</v>
      </c>
      <c r="C4430" s="261" t="s">
        <v>18</v>
      </c>
      <c r="D4430" s="266">
        <v>168.74</v>
      </c>
    </row>
    <row r="4431" spans="1:4">
      <c r="A4431" s="261">
        <v>4011441</v>
      </c>
      <c r="B4431" s="265" t="s">
        <v>15728</v>
      </c>
      <c r="C4431" s="261" t="s">
        <v>18</v>
      </c>
      <c r="D4431" s="266">
        <v>133.85</v>
      </c>
    </row>
    <row r="4432" spans="1:4">
      <c r="A4432" s="261">
        <v>4011482</v>
      </c>
      <c r="B4432" s="265" t="s">
        <v>15729</v>
      </c>
      <c r="C4432" s="261" t="s">
        <v>5</v>
      </c>
      <c r="D4432" s="266">
        <v>69.63</v>
      </c>
    </row>
    <row r="4433" spans="1:4">
      <c r="A4433" s="261">
        <v>4011484</v>
      </c>
      <c r="B4433" s="265" t="s">
        <v>15730</v>
      </c>
      <c r="C4433" s="261" t="s">
        <v>5</v>
      </c>
      <c r="D4433" s="266">
        <v>60.89</v>
      </c>
    </row>
    <row r="4434" spans="1:4">
      <c r="A4434" s="261">
        <v>4011483</v>
      </c>
      <c r="B4434" s="265" t="s">
        <v>15731</v>
      </c>
      <c r="C4434" s="261" t="s">
        <v>5</v>
      </c>
      <c r="D4434" s="266">
        <v>49.24</v>
      </c>
    </row>
    <row r="4435" spans="1:4">
      <c r="A4435" s="261">
        <v>4011488</v>
      </c>
      <c r="B4435" s="265" t="s">
        <v>15732</v>
      </c>
      <c r="C4435" s="261" t="s">
        <v>5</v>
      </c>
      <c r="D4435" s="266">
        <v>51.97</v>
      </c>
    </row>
    <row r="4436" spans="1:4" ht="31.5">
      <c r="A4436" s="261">
        <v>4011487</v>
      </c>
      <c r="B4436" s="265" t="s">
        <v>15733</v>
      </c>
      <c r="C4436" s="261" t="s">
        <v>5</v>
      </c>
      <c r="D4436" s="266">
        <v>74.84</v>
      </c>
    </row>
    <row r="4437" spans="1:4">
      <c r="A4437" s="261">
        <v>4011486</v>
      </c>
      <c r="B4437" s="265" t="s">
        <v>15734</v>
      </c>
      <c r="C4437" s="261" t="s">
        <v>5</v>
      </c>
      <c r="D4437" s="266">
        <v>99.39</v>
      </c>
    </row>
    <row r="4438" spans="1:4">
      <c r="A4438" s="261">
        <v>4011485</v>
      </c>
      <c r="B4438" s="265" t="s">
        <v>15735</v>
      </c>
      <c r="C4438" s="261" t="s">
        <v>5</v>
      </c>
      <c r="D4438" s="266">
        <v>87.74</v>
      </c>
    </row>
    <row r="4439" spans="1:4">
      <c r="A4439" s="261">
        <v>4011489</v>
      </c>
      <c r="B4439" s="265" t="s">
        <v>15736</v>
      </c>
      <c r="C4439" s="261" t="s">
        <v>5</v>
      </c>
      <c r="D4439" s="266">
        <v>123.2</v>
      </c>
    </row>
    <row r="4440" spans="1:4">
      <c r="A4440" s="261">
        <v>4011481</v>
      </c>
      <c r="B4440" s="265" t="s">
        <v>15737</v>
      </c>
      <c r="C4440" s="261" t="s">
        <v>5</v>
      </c>
      <c r="D4440" s="266">
        <v>31.12</v>
      </c>
    </row>
    <row r="4441" spans="1:4">
      <c r="A4441" s="261">
        <v>4011347</v>
      </c>
      <c r="B4441" s="265" t="s">
        <v>15738</v>
      </c>
      <c r="C4441" s="261" t="s">
        <v>5</v>
      </c>
      <c r="D4441" s="266">
        <v>58.13</v>
      </c>
    </row>
    <row r="4442" spans="1:4">
      <c r="A4442" s="261">
        <v>4011342</v>
      </c>
      <c r="B4442" s="265" t="s">
        <v>15739</v>
      </c>
      <c r="C4442" s="261" t="s">
        <v>5</v>
      </c>
      <c r="D4442" s="266">
        <v>68.680000000000007</v>
      </c>
    </row>
    <row r="4443" spans="1:4">
      <c r="A4443" s="261">
        <v>4011344</v>
      </c>
      <c r="B4443" s="265" t="s">
        <v>15740</v>
      </c>
      <c r="C4443" s="261" t="s">
        <v>5</v>
      </c>
      <c r="D4443" s="266">
        <v>49.45</v>
      </c>
    </row>
    <row r="4444" spans="1:4">
      <c r="A4444" s="261">
        <v>4011341</v>
      </c>
      <c r="B4444" s="265" t="s">
        <v>15741</v>
      </c>
      <c r="C4444" s="261" t="s">
        <v>5</v>
      </c>
      <c r="D4444" s="266">
        <v>11.93</v>
      </c>
    </row>
    <row r="4445" spans="1:4">
      <c r="A4445" s="261">
        <v>4011346</v>
      </c>
      <c r="B4445" s="265" t="s">
        <v>15742</v>
      </c>
      <c r="C4445" s="261" t="s">
        <v>5</v>
      </c>
      <c r="D4445" s="266">
        <v>8.3699999999999992</v>
      </c>
    </row>
    <row r="4446" spans="1:4">
      <c r="A4446" s="261">
        <v>4011211</v>
      </c>
      <c r="B4446" s="265" t="s">
        <v>15743</v>
      </c>
      <c r="C4446" s="261" t="s">
        <v>5</v>
      </c>
      <c r="D4446" s="266">
        <v>11.32</v>
      </c>
    </row>
    <row r="4447" spans="1:4">
      <c r="A4447" s="261">
        <v>4011304</v>
      </c>
      <c r="B4447" s="265" t="s">
        <v>15744</v>
      </c>
      <c r="C4447" s="261" t="s">
        <v>5</v>
      </c>
      <c r="D4447" s="266">
        <v>52.9</v>
      </c>
    </row>
    <row r="4448" spans="1:4">
      <c r="A4448" s="261">
        <v>4011209</v>
      </c>
      <c r="B4448" s="265" t="s">
        <v>15745</v>
      </c>
      <c r="C4448" s="261" t="s">
        <v>3</v>
      </c>
      <c r="D4448" s="266">
        <v>1.1000000000000001</v>
      </c>
    </row>
    <row r="4449" spans="1:4">
      <c r="A4449" s="261">
        <v>4011210</v>
      </c>
      <c r="B4449" s="265" t="s">
        <v>15746</v>
      </c>
      <c r="C4449" s="261" t="s">
        <v>3</v>
      </c>
      <c r="D4449" s="266">
        <v>1.19</v>
      </c>
    </row>
    <row r="4450" spans="1:4">
      <c r="A4450" s="261">
        <v>4011537</v>
      </c>
      <c r="B4450" s="265" t="s">
        <v>15747</v>
      </c>
      <c r="C4450" s="261" t="s">
        <v>6</v>
      </c>
      <c r="D4450" s="266">
        <v>20.03</v>
      </c>
    </row>
    <row r="4451" spans="1:4">
      <c r="A4451" s="261">
        <v>4011218</v>
      </c>
      <c r="B4451" s="265" t="s">
        <v>15748</v>
      </c>
      <c r="C4451" s="261" t="s">
        <v>5</v>
      </c>
      <c r="D4451" s="266">
        <v>380.82</v>
      </c>
    </row>
    <row r="4452" spans="1:4">
      <c r="A4452" s="261">
        <v>4011217</v>
      </c>
      <c r="B4452" s="265" t="s">
        <v>15749</v>
      </c>
      <c r="C4452" s="261" t="s">
        <v>5</v>
      </c>
      <c r="D4452" s="266">
        <v>269.86</v>
      </c>
    </row>
    <row r="4453" spans="1:4">
      <c r="A4453" s="261">
        <v>4011214</v>
      </c>
      <c r="B4453" s="265" t="s">
        <v>15750</v>
      </c>
      <c r="C4453" s="261" t="s">
        <v>5</v>
      </c>
      <c r="D4453" s="266">
        <v>237.61</v>
      </c>
    </row>
    <row r="4454" spans="1:4">
      <c r="A4454" s="261">
        <v>4011213</v>
      </c>
      <c r="B4454" s="265" t="s">
        <v>15751</v>
      </c>
      <c r="C4454" s="261" t="s">
        <v>5</v>
      </c>
      <c r="D4454" s="266">
        <v>171.43</v>
      </c>
    </row>
    <row r="4455" spans="1:4">
      <c r="A4455" s="261">
        <v>4011227</v>
      </c>
      <c r="B4455" s="265" t="s">
        <v>15752</v>
      </c>
      <c r="C4455" s="261" t="s">
        <v>5</v>
      </c>
      <c r="D4455" s="266">
        <v>11.32</v>
      </c>
    </row>
    <row r="4456" spans="1:4">
      <c r="A4456" s="261">
        <v>4011302</v>
      </c>
      <c r="B4456" s="265" t="s">
        <v>15753</v>
      </c>
      <c r="C4456" s="261" t="s">
        <v>5</v>
      </c>
      <c r="D4456" s="266">
        <v>59.1</v>
      </c>
    </row>
    <row r="4457" spans="1:4">
      <c r="A4457" s="261">
        <v>4011300</v>
      </c>
      <c r="B4457" s="265" t="s">
        <v>15754</v>
      </c>
      <c r="C4457" s="261" t="s">
        <v>5</v>
      </c>
      <c r="D4457" s="266">
        <v>49.04</v>
      </c>
    </row>
    <row r="4458" spans="1:4">
      <c r="A4458" s="261">
        <v>4011306</v>
      </c>
      <c r="B4458" s="265" t="s">
        <v>15755</v>
      </c>
      <c r="C4458" s="261" t="s">
        <v>5</v>
      </c>
      <c r="D4458" s="266">
        <v>82.62</v>
      </c>
    </row>
    <row r="4459" spans="1:4">
      <c r="A4459" s="261">
        <v>4011303</v>
      </c>
      <c r="B4459" s="265" t="s">
        <v>15756</v>
      </c>
      <c r="C4459" s="261" t="s">
        <v>5</v>
      </c>
      <c r="D4459" s="266">
        <v>104.07</v>
      </c>
    </row>
    <row r="4460" spans="1:4">
      <c r="A4460" s="261">
        <v>4011301</v>
      </c>
      <c r="B4460" s="265" t="s">
        <v>15757</v>
      </c>
      <c r="C4460" s="261" t="s">
        <v>5</v>
      </c>
      <c r="D4460" s="266">
        <v>96.72</v>
      </c>
    </row>
    <row r="4461" spans="1:4">
      <c r="A4461" s="261">
        <v>4011228</v>
      </c>
      <c r="B4461" s="265" t="s">
        <v>15758</v>
      </c>
      <c r="C4461" s="261" t="s">
        <v>5</v>
      </c>
      <c r="D4461" s="266">
        <v>12.41</v>
      </c>
    </row>
    <row r="4462" spans="1:4">
      <c r="A4462" s="261">
        <v>4011229</v>
      </c>
      <c r="B4462" s="265" t="s">
        <v>15759</v>
      </c>
      <c r="C4462" s="261" t="s">
        <v>5</v>
      </c>
      <c r="D4462" s="266">
        <v>30.57</v>
      </c>
    </row>
    <row r="4463" spans="1:4" ht="31.5">
      <c r="A4463" s="261">
        <v>4011231</v>
      </c>
      <c r="B4463" s="265" t="s">
        <v>15760</v>
      </c>
      <c r="C4463" s="261" t="s">
        <v>5</v>
      </c>
      <c r="D4463" s="266">
        <v>101.91</v>
      </c>
    </row>
    <row r="4464" spans="1:4" ht="31.5">
      <c r="A4464" s="261">
        <v>4011230</v>
      </c>
      <c r="B4464" s="265" t="s">
        <v>15761</v>
      </c>
      <c r="C4464" s="261" t="s">
        <v>5</v>
      </c>
      <c r="D4464" s="266">
        <v>83.26</v>
      </c>
    </row>
    <row r="4465" spans="1:4">
      <c r="A4465" s="261">
        <v>4011235</v>
      </c>
      <c r="B4465" s="265" t="s">
        <v>15762</v>
      </c>
      <c r="C4465" s="261" t="s">
        <v>5</v>
      </c>
      <c r="D4465" s="266">
        <v>67.459999999999994</v>
      </c>
    </row>
    <row r="4466" spans="1:4">
      <c r="A4466" s="261">
        <v>4011234</v>
      </c>
      <c r="B4466" s="265" t="s">
        <v>15763</v>
      </c>
      <c r="C4466" s="261" t="s">
        <v>5</v>
      </c>
      <c r="D4466" s="266">
        <v>48.23</v>
      </c>
    </row>
    <row r="4467" spans="1:4">
      <c r="A4467" s="261">
        <v>4011233</v>
      </c>
      <c r="B4467" s="265" t="s">
        <v>15764</v>
      </c>
      <c r="C4467" s="261" t="s">
        <v>5</v>
      </c>
      <c r="D4467" s="266">
        <v>54.4</v>
      </c>
    </row>
    <row r="4468" spans="1:4">
      <c r="A4468" s="261">
        <v>4011232</v>
      </c>
      <c r="B4468" s="265" t="s">
        <v>15765</v>
      </c>
      <c r="C4468" s="261" t="s">
        <v>5</v>
      </c>
      <c r="D4468" s="266">
        <v>35.17</v>
      </c>
    </row>
    <row r="4469" spans="1:4">
      <c r="A4469" s="261">
        <v>4011372</v>
      </c>
      <c r="B4469" s="265" t="s">
        <v>15766</v>
      </c>
      <c r="C4469" s="261" t="s">
        <v>3</v>
      </c>
      <c r="D4469" s="266">
        <v>5.16</v>
      </c>
    </row>
    <row r="4470" spans="1:4">
      <c r="A4470" s="261">
        <v>4011371</v>
      </c>
      <c r="B4470" s="265" t="s">
        <v>15767</v>
      </c>
      <c r="C4470" s="261" t="s">
        <v>3</v>
      </c>
      <c r="D4470" s="266">
        <v>4.12</v>
      </c>
    </row>
    <row r="4471" spans="1:4">
      <c r="A4471" s="261">
        <v>4011378</v>
      </c>
      <c r="B4471" s="265" t="s">
        <v>15768</v>
      </c>
      <c r="C4471" s="261" t="s">
        <v>3</v>
      </c>
      <c r="D4471" s="266">
        <v>5.16</v>
      </c>
    </row>
    <row r="4472" spans="1:4">
      <c r="A4472" s="261">
        <v>4011377</v>
      </c>
      <c r="B4472" s="265" t="s">
        <v>15769</v>
      </c>
      <c r="C4472" s="261" t="s">
        <v>3</v>
      </c>
      <c r="D4472" s="266">
        <v>4.12</v>
      </c>
    </row>
    <row r="4473" spans="1:4">
      <c r="A4473" s="261">
        <v>4011368</v>
      </c>
      <c r="B4473" s="265" t="s">
        <v>15770</v>
      </c>
      <c r="C4473" s="261" t="s">
        <v>3</v>
      </c>
      <c r="D4473" s="266">
        <v>3.98</v>
      </c>
    </row>
    <row r="4474" spans="1:4">
      <c r="A4474" s="261">
        <v>4011367</v>
      </c>
      <c r="B4474" s="265" t="s">
        <v>15771</v>
      </c>
      <c r="C4474" s="261" t="s">
        <v>3</v>
      </c>
      <c r="D4474" s="266">
        <v>2.93</v>
      </c>
    </row>
    <row r="4475" spans="1:4">
      <c r="A4475" s="261">
        <v>4011374</v>
      </c>
      <c r="B4475" s="265" t="s">
        <v>15772</v>
      </c>
      <c r="C4475" s="261" t="s">
        <v>3</v>
      </c>
      <c r="D4475" s="266">
        <v>3.98</v>
      </c>
    </row>
    <row r="4476" spans="1:4">
      <c r="A4476" s="261">
        <v>4011373</v>
      </c>
      <c r="B4476" s="265" t="s">
        <v>15773</v>
      </c>
      <c r="C4476" s="261" t="s">
        <v>3</v>
      </c>
      <c r="D4476" s="266">
        <v>2.93</v>
      </c>
    </row>
    <row r="4477" spans="1:4">
      <c r="A4477" s="261">
        <v>4011370</v>
      </c>
      <c r="B4477" s="265" t="s">
        <v>15774</v>
      </c>
      <c r="C4477" s="261" t="s">
        <v>3</v>
      </c>
      <c r="D4477" s="266">
        <v>4.62</v>
      </c>
    </row>
    <row r="4478" spans="1:4">
      <c r="A4478" s="261">
        <v>4011369</v>
      </c>
      <c r="B4478" s="265" t="s">
        <v>15775</v>
      </c>
      <c r="C4478" s="261" t="s">
        <v>3</v>
      </c>
      <c r="D4478" s="266">
        <v>3.58</v>
      </c>
    </row>
    <row r="4479" spans="1:4">
      <c r="A4479" s="261">
        <v>4011376</v>
      </c>
      <c r="B4479" s="265" t="s">
        <v>15776</v>
      </c>
      <c r="C4479" s="261" t="s">
        <v>3</v>
      </c>
      <c r="D4479" s="266">
        <v>4.62</v>
      </c>
    </row>
    <row r="4480" spans="1:4">
      <c r="A4480" s="261">
        <v>4011375</v>
      </c>
      <c r="B4480" s="265" t="s">
        <v>15777</v>
      </c>
      <c r="C4480" s="261" t="s">
        <v>3</v>
      </c>
      <c r="D4480" s="266">
        <v>3.58</v>
      </c>
    </row>
    <row r="4481" spans="1:4">
      <c r="A4481" s="261">
        <v>4011360</v>
      </c>
      <c r="B4481" s="265" t="s">
        <v>15778</v>
      </c>
      <c r="C4481" s="261" t="s">
        <v>3</v>
      </c>
      <c r="D4481" s="266">
        <v>1.82</v>
      </c>
    </row>
    <row r="4482" spans="1:4">
      <c r="A4482" s="261">
        <v>4011359</v>
      </c>
      <c r="B4482" s="265" t="s">
        <v>15779</v>
      </c>
      <c r="C4482" s="261" t="s">
        <v>3</v>
      </c>
      <c r="D4482" s="266">
        <v>1.51</v>
      </c>
    </row>
    <row r="4483" spans="1:4">
      <c r="A4483" s="261">
        <v>4011366</v>
      </c>
      <c r="B4483" s="265" t="s">
        <v>15780</v>
      </c>
      <c r="C4483" s="261" t="s">
        <v>3</v>
      </c>
      <c r="D4483" s="266">
        <v>1.82</v>
      </c>
    </row>
    <row r="4484" spans="1:4">
      <c r="A4484" s="261">
        <v>4011365</v>
      </c>
      <c r="B4484" s="265" t="s">
        <v>15781</v>
      </c>
      <c r="C4484" s="261" t="s">
        <v>3</v>
      </c>
      <c r="D4484" s="266">
        <v>1.51</v>
      </c>
    </row>
    <row r="4485" spans="1:4">
      <c r="A4485" s="261">
        <v>4011356</v>
      </c>
      <c r="B4485" s="265" t="s">
        <v>15782</v>
      </c>
      <c r="C4485" s="261" t="s">
        <v>3</v>
      </c>
      <c r="D4485" s="266">
        <v>1.33</v>
      </c>
    </row>
    <row r="4486" spans="1:4">
      <c r="A4486" s="261">
        <v>4011355</v>
      </c>
      <c r="B4486" s="265" t="s">
        <v>15783</v>
      </c>
      <c r="C4486" s="261" t="s">
        <v>3</v>
      </c>
      <c r="D4486" s="266">
        <v>1.01</v>
      </c>
    </row>
    <row r="4487" spans="1:4">
      <c r="A4487" s="261">
        <v>4011362</v>
      </c>
      <c r="B4487" s="265" t="s">
        <v>15784</v>
      </c>
      <c r="C4487" s="261" t="s">
        <v>3</v>
      </c>
      <c r="D4487" s="266">
        <v>1.33</v>
      </c>
    </row>
    <row r="4488" spans="1:4">
      <c r="A4488" s="261">
        <v>4011361</v>
      </c>
      <c r="B4488" s="265" t="s">
        <v>15785</v>
      </c>
      <c r="C4488" s="261" t="s">
        <v>3</v>
      </c>
      <c r="D4488" s="266">
        <v>1.01</v>
      </c>
    </row>
    <row r="4489" spans="1:4">
      <c r="A4489" s="261">
        <v>4011358</v>
      </c>
      <c r="B4489" s="265" t="s">
        <v>15786</v>
      </c>
      <c r="C4489" s="261" t="s">
        <v>3</v>
      </c>
      <c r="D4489" s="266">
        <v>1.58</v>
      </c>
    </row>
    <row r="4490" spans="1:4">
      <c r="A4490" s="261">
        <v>4011357</v>
      </c>
      <c r="B4490" s="265" t="s">
        <v>15787</v>
      </c>
      <c r="C4490" s="261" t="s">
        <v>3</v>
      </c>
      <c r="D4490" s="266">
        <v>1.27</v>
      </c>
    </row>
    <row r="4491" spans="1:4">
      <c r="A4491" s="261">
        <v>4011364</v>
      </c>
      <c r="B4491" s="265" t="s">
        <v>15788</v>
      </c>
      <c r="C4491" s="261" t="s">
        <v>3</v>
      </c>
      <c r="D4491" s="266">
        <v>1.58</v>
      </c>
    </row>
    <row r="4492" spans="1:4">
      <c r="A4492" s="261">
        <v>4011363</v>
      </c>
      <c r="B4492" s="265" t="s">
        <v>15789</v>
      </c>
      <c r="C4492" s="261" t="s">
        <v>3</v>
      </c>
      <c r="D4492" s="266">
        <v>1.27</v>
      </c>
    </row>
    <row r="4493" spans="1:4">
      <c r="A4493" s="261">
        <v>4011384</v>
      </c>
      <c r="B4493" s="265" t="s">
        <v>15790</v>
      </c>
      <c r="C4493" s="261" t="s">
        <v>3</v>
      </c>
      <c r="D4493" s="266">
        <v>5.68</v>
      </c>
    </row>
    <row r="4494" spans="1:4">
      <c r="A4494" s="261">
        <v>4011383</v>
      </c>
      <c r="B4494" s="265" t="s">
        <v>15791</v>
      </c>
      <c r="C4494" s="261" t="s">
        <v>3</v>
      </c>
      <c r="D4494" s="266">
        <v>4.5</v>
      </c>
    </row>
    <row r="4495" spans="1:4">
      <c r="A4495" s="261">
        <v>4011390</v>
      </c>
      <c r="B4495" s="265" t="s">
        <v>15792</v>
      </c>
      <c r="C4495" s="261" t="s">
        <v>3</v>
      </c>
      <c r="D4495" s="266">
        <v>5.68</v>
      </c>
    </row>
    <row r="4496" spans="1:4">
      <c r="A4496" s="261">
        <v>4011389</v>
      </c>
      <c r="B4496" s="265" t="s">
        <v>15793</v>
      </c>
      <c r="C4496" s="261" t="s">
        <v>3</v>
      </c>
      <c r="D4496" s="266">
        <v>4.5</v>
      </c>
    </row>
    <row r="4497" spans="1:4">
      <c r="A4497" s="261">
        <v>4011380</v>
      </c>
      <c r="B4497" s="265" t="s">
        <v>15794</v>
      </c>
      <c r="C4497" s="261" t="s">
        <v>3</v>
      </c>
      <c r="D4497" s="266">
        <v>4.49</v>
      </c>
    </row>
    <row r="4498" spans="1:4">
      <c r="A4498" s="261">
        <v>4011379</v>
      </c>
      <c r="B4498" s="265" t="s">
        <v>15795</v>
      </c>
      <c r="C4498" s="261" t="s">
        <v>3</v>
      </c>
      <c r="D4498" s="266">
        <v>3.31</v>
      </c>
    </row>
    <row r="4499" spans="1:4">
      <c r="A4499" s="261">
        <v>4011386</v>
      </c>
      <c r="B4499" s="265" t="s">
        <v>15796</v>
      </c>
      <c r="C4499" s="261" t="s">
        <v>3</v>
      </c>
      <c r="D4499" s="266">
        <v>4.49</v>
      </c>
    </row>
    <row r="4500" spans="1:4">
      <c r="A4500" s="261">
        <v>4011385</v>
      </c>
      <c r="B4500" s="265" t="s">
        <v>15797</v>
      </c>
      <c r="C4500" s="261" t="s">
        <v>3</v>
      </c>
      <c r="D4500" s="266">
        <v>3.31</v>
      </c>
    </row>
    <row r="4501" spans="1:4">
      <c r="A4501" s="261">
        <v>4011382</v>
      </c>
      <c r="B4501" s="265" t="s">
        <v>15798</v>
      </c>
      <c r="C4501" s="261" t="s">
        <v>3</v>
      </c>
      <c r="D4501" s="266">
        <v>5.14</v>
      </c>
    </row>
    <row r="4502" spans="1:4">
      <c r="A4502" s="261">
        <v>4011381</v>
      </c>
      <c r="B4502" s="265" t="s">
        <v>15799</v>
      </c>
      <c r="C4502" s="261" t="s">
        <v>3</v>
      </c>
      <c r="D4502" s="266">
        <v>3.96</v>
      </c>
    </row>
    <row r="4503" spans="1:4">
      <c r="A4503" s="261">
        <v>4011388</v>
      </c>
      <c r="B4503" s="265" t="s">
        <v>15800</v>
      </c>
      <c r="C4503" s="261" t="s">
        <v>3</v>
      </c>
      <c r="D4503" s="266">
        <v>5.14</v>
      </c>
    </row>
    <row r="4504" spans="1:4">
      <c r="A4504" s="261">
        <v>4011387</v>
      </c>
      <c r="B4504" s="265" t="s">
        <v>15801</v>
      </c>
      <c r="C4504" s="261" t="s">
        <v>3</v>
      </c>
      <c r="D4504" s="266">
        <v>3.96</v>
      </c>
    </row>
    <row r="4505" spans="1:4">
      <c r="A4505" s="261">
        <v>4011212</v>
      </c>
      <c r="B4505" s="265" t="s">
        <v>15802</v>
      </c>
      <c r="C4505" s="261" t="s">
        <v>3</v>
      </c>
      <c r="D4505" s="266">
        <v>0.06</v>
      </c>
    </row>
    <row r="4506" spans="1:4">
      <c r="A4506" s="261">
        <v>4208197</v>
      </c>
      <c r="B4506" s="265" t="s">
        <v>15803</v>
      </c>
      <c r="C4506" s="261" t="s">
        <v>97</v>
      </c>
      <c r="D4506" s="266">
        <v>13655.51</v>
      </c>
    </row>
    <row r="4507" spans="1:4">
      <c r="A4507" s="261">
        <v>4208158</v>
      </c>
      <c r="B4507" s="265" t="s">
        <v>15804</v>
      </c>
      <c r="C4507" s="261" t="s">
        <v>97</v>
      </c>
      <c r="D4507" s="266">
        <v>18955.61</v>
      </c>
    </row>
    <row r="4508" spans="1:4">
      <c r="A4508" s="261">
        <v>4208198</v>
      </c>
      <c r="B4508" s="265" t="s">
        <v>15805</v>
      </c>
      <c r="C4508" s="261" t="s">
        <v>97</v>
      </c>
      <c r="D4508" s="266">
        <v>20408.27</v>
      </c>
    </row>
    <row r="4509" spans="1:4">
      <c r="A4509" s="261">
        <v>4208159</v>
      </c>
      <c r="B4509" s="265" t="s">
        <v>15806</v>
      </c>
      <c r="C4509" s="261" t="s">
        <v>97</v>
      </c>
      <c r="D4509" s="266">
        <v>30583.81</v>
      </c>
    </row>
    <row r="4510" spans="1:4">
      <c r="A4510" s="261">
        <v>4208160</v>
      </c>
      <c r="B4510" s="265" t="s">
        <v>15807</v>
      </c>
      <c r="C4510" s="261" t="s">
        <v>97</v>
      </c>
      <c r="D4510" s="266">
        <v>36432.01</v>
      </c>
    </row>
    <row r="4511" spans="1:4">
      <c r="A4511" s="261">
        <v>4208199</v>
      </c>
      <c r="B4511" s="265" t="s">
        <v>15808</v>
      </c>
      <c r="C4511" s="261" t="s">
        <v>97</v>
      </c>
      <c r="D4511" s="266">
        <v>42306.16</v>
      </c>
    </row>
    <row r="4512" spans="1:4">
      <c r="A4512" s="261">
        <v>4208161</v>
      </c>
      <c r="B4512" s="265" t="s">
        <v>15809</v>
      </c>
      <c r="C4512" s="261" t="s">
        <v>97</v>
      </c>
      <c r="D4512" s="266">
        <v>53929.75</v>
      </c>
    </row>
    <row r="4513" spans="1:4">
      <c r="A4513" s="261">
        <v>4208162</v>
      </c>
      <c r="B4513" s="265" t="s">
        <v>15810</v>
      </c>
      <c r="C4513" s="261" t="s">
        <v>97</v>
      </c>
      <c r="D4513" s="266">
        <v>60323.22</v>
      </c>
    </row>
    <row r="4514" spans="1:4">
      <c r="A4514" s="261">
        <v>4208163</v>
      </c>
      <c r="B4514" s="265" t="s">
        <v>15811</v>
      </c>
      <c r="C4514" s="261" t="s">
        <v>97</v>
      </c>
      <c r="D4514" s="266">
        <v>78456.39</v>
      </c>
    </row>
    <row r="4515" spans="1:4">
      <c r="A4515" s="261">
        <v>4208200</v>
      </c>
      <c r="B4515" s="265" t="s">
        <v>15812</v>
      </c>
      <c r="C4515" s="261" t="s">
        <v>97</v>
      </c>
      <c r="D4515" s="266">
        <v>83087.77</v>
      </c>
    </row>
    <row r="4516" spans="1:4">
      <c r="A4516" s="261">
        <v>4208164</v>
      </c>
      <c r="B4516" s="265" t="s">
        <v>15813</v>
      </c>
      <c r="C4516" s="261" t="s">
        <v>97</v>
      </c>
      <c r="D4516" s="266">
        <v>105509.41</v>
      </c>
    </row>
    <row r="4517" spans="1:4">
      <c r="A4517" s="261">
        <v>4208201</v>
      </c>
      <c r="B4517" s="265" t="s">
        <v>15814</v>
      </c>
      <c r="C4517" s="261" t="s">
        <v>97</v>
      </c>
      <c r="D4517" s="266">
        <v>14954.3</v>
      </c>
    </row>
    <row r="4518" spans="1:4">
      <c r="A4518" s="261">
        <v>4208151</v>
      </c>
      <c r="B4518" s="265" t="s">
        <v>15815</v>
      </c>
      <c r="C4518" s="261" t="s">
        <v>97</v>
      </c>
      <c r="D4518" s="266">
        <v>22964.82</v>
      </c>
    </row>
    <row r="4519" spans="1:4">
      <c r="A4519" s="261">
        <v>4208202</v>
      </c>
      <c r="B4519" s="265" t="s">
        <v>15816</v>
      </c>
      <c r="C4519" s="261" t="s">
        <v>97</v>
      </c>
      <c r="D4519" s="266">
        <v>26457.32</v>
      </c>
    </row>
    <row r="4520" spans="1:4">
      <c r="A4520" s="261">
        <v>4208152</v>
      </c>
      <c r="B4520" s="265" t="s">
        <v>15817</v>
      </c>
      <c r="C4520" s="261" t="s">
        <v>97</v>
      </c>
      <c r="D4520" s="266">
        <v>36728.71</v>
      </c>
    </row>
    <row r="4521" spans="1:4">
      <c r="A4521" s="261">
        <v>4208153</v>
      </c>
      <c r="B4521" s="265" t="s">
        <v>15818</v>
      </c>
      <c r="C4521" s="261" t="s">
        <v>97</v>
      </c>
      <c r="D4521" s="266">
        <v>43705.88</v>
      </c>
    </row>
    <row r="4522" spans="1:4">
      <c r="A4522" s="261">
        <v>4208203</v>
      </c>
      <c r="B4522" s="265" t="s">
        <v>15819</v>
      </c>
      <c r="C4522" s="261" t="s">
        <v>97</v>
      </c>
      <c r="D4522" s="266">
        <v>50877.3</v>
      </c>
    </row>
    <row r="4523" spans="1:4">
      <c r="A4523" s="261">
        <v>4208154</v>
      </c>
      <c r="B4523" s="265" t="s">
        <v>15820</v>
      </c>
      <c r="C4523" s="261" t="s">
        <v>97</v>
      </c>
      <c r="D4523" s="266">
        <v>64689.27</v>
      </c>
    </row>
    <row r="4524" spans="1:4">
      <c r="A4524" s="261">
        <v>4208155</v>
      </c>
      <c r="B4524" s="265" t="s">
        <v>15821</v>
      </c>
      <c r="C4524" s="261" t="s">
        <v>97</v>
      </c>
      <c r="D4524" s="266">
        <v>74600.2</v>
      </c>
    </row>
    <row r="4525" spans="1:4">
      <c r="A4525" s="261">
        <v>4208156</v>
      </c>
      <c r="B4525" s="265" t="s">
        <v>15822</v>
      </c>
      <c r="C4525" s="261" t="s">
        <v>97</v>
      </c>
      <c r="D4525" s="266">
        <v>92477.06</v>
      </c>
    </row>
    <row r="4526" spans="1:4">
      <c r="A4526" s="261">
        <v>4208204</v>
      </c>
      <c r="B4526" s="265" t="s">
        <v>15823</v>
      </c>
      <c r="C4526" s="261" t="s">
        <v>97</v>
      </c>
      <c r="D4526" s="266">
        <v>101099.18</v>
      </c>
    </row>
    <row r="4527" spans="1:4">
      <c r="A4527" s="261">
        <v>4208157</v>
      </c>
      <c r="B4527" s="265" t="s">
        <v>15824</v>
      </c>
      <c r="C4527" s="261" t="s">
        <v>97</v>
      </c>
      <c r="D4527" s="266">
        <v>130403.75</v>
      </c>
    </row>
    <row r="4528" spans="1:4">
      <c r="A4528" s="261">
        <v>4208127</v>
      </c>
      <c r="B4528" s="265" t="s">
        <v>15825</v>
      </c>
      <c r="C4528" s="261" t="s">
        <v>10</v>
      </c>
      <c r="D4528" s="266">
        <v>27.68</v>
      </c>
    </row>
    <row r="4529" spans="1:4" ht="31.5">
      <c r="A4529" s="261">
        <v>4208196</v>
      </c>
      <c r="B4529" s="265" t="s">
        <v>15826</v>
      </c>
      <c r="C4529" s="261" t="s">
        <v>97</v>
      </c>
      <c r="D4529" s="266">
        <v>2542.67</v>
      </c>
    </row>
    <row r="4530" spans="1:4">
      <c r="A4530" s="261">
        <v>4208209</v>
      </c>
      <c r="B4530" s="265" t="s">
        <v>15827</v>
      </c>
      <c r="C4530" s="261" t="s">
        <v>97</v>
      </c>
      <c r="D4530" s="266">
        <v>11081.26</v>
      </c>
    </row>
    <row r="4531" spans="1:4">
      <c r="A4531" s="261">
        <v>4208206</v>
      </c>
      <c r="B4531" s="265" t="s">
        <v>15828</v>
      </c>
      <c r="C4531" s="261" t="s">
        <v>28</v>
      </c>
      <c r="D4531" s="266">
        <v>115.96</v>
      </c>
    </row>
    <row r="4532" spans="1:4">
      <c r="A4532" s="261">
        <v>4208210</v>
      </c>
      <c r="B4532" s="265" t="s">
        <v>15829</v>
      </c>
      <c r="C4532" s="261" t="s">
        <v>97</v>
      </c>
      <c r="D4532" s="266">
        <v>25030.27</v>
      </c>
    </row>
    <row r="4533" spans="1:4">
      <c r="A4533" s="261">
        <v>4208195</v>
      </c>
      <c r="B4533" s="265" t="s">
        <v>15830</v>
      </c>
      <c r="C4533" s="261" t="s">
        <v>97</v>
      </c>
      <c r="D4533" s="266">
        <v>12850.26</v>
      </c>
    </row>
    <row r="4534" spans="1:4">
      <c r="A4534" s="261">
        <v>4208208</v>
      </c>
      <c r="B4534" s="265" t="s">
        <v>15831</v>
      </c>
      <c r="C4534" s="261" t="s">
        <v>28</v>
      </c>
      <c r="D4534" s="266">
        <v>549.04999999999995</v>
      </c>
    </row>
    <row r="4535" spans="1:4">
      <c r="A4535" s="261">
        <v>4208135</v>
      </c>
      <c r="B4535" s="265" t="s">
        <v>15832</v>
      </c>
      <c r="C4535" s="261" t="s">
        <v>6</v>
      </c>
      <c r="D4535" s="266">
        <v>11304.62</v>
      </c>
    </row>
    <row r="4536" spans="1:4">
      <c r="A4536" s="261">
        <v>4208136</v>
      </c>
      <c r="B4536" s="265" t="s">
        <v>15833</v>
      </c>
      <c r="C4536" s="261" t="s">
        <v>6</v>
      </c>
      <c r="D4536" s="266">
        <v>13386.89</v>
      </c>
    </row>
    <row r="4537" spans="1:4">
      <c r="A4537" s="261">
        <v>4208137</v>
      </c>
      <c r="B4537" s="265" t="s">
        <v>15834</v>
      </c>
      <c r="C4537" s="261" t="s">
        <v>6</v>
      </c>
      <c r="D4537" s="266">
        <v>15634.85</v>
      </c>
    </row>
    <row r="4538" spans="1:4">
      <c r="A4538" s="261">
        <v>4208138</v>
      </c>
      <c r="B4538" s="265" t="s">
        <v>15835</v>
      </c>
      <c r="C4538" s="261" t="s">
        <v>6</v>
      </c>
      <c r="D4538" s="266">
        <v>19571.62</v>
      </c>
    </row>
    <row r="4539" spans="1:4">
      <c r="A4539" s="261">
        <v>4208139</v>
      </c>
      <c r="B4539" s="265" t="s">
        <v>15836</v>
      </c>
      <c r="C4539" s="261" t="s">
        <v>6</v>
      </c>
      <c r="D4539" s="266">
        <v>22569.02</v>
      </c>
    </row>
    <row r="4540" spans="1:4">
      <c r="A4540" s="261">
        <v>4208140</v>
      </c>
      <c r="B4540" s="265" t="s">
        <v>15837</v>
      </c>
      <c r="C4540" s="261" t="s">
        <v>6</v>
      </c>
      <c r="D4540" s="266">
        <v>29498.84</v>
      </c>
    </row>
    <row r="4541" spans="1:4">
      <c r="A4541" s="261">
        <v>4208141</v>
      </c>
      <c r="B4541" s="265" t="s">
        <v>15838</v>
      </c>
      <c r="C4541" s="261" t="s">
        <v>6</v>
      </c>
      <c r="D4541" s="266">
        <v>33249.74</v>
      </c>
    </row>
    <row r="4542" spans="1:4">
      <c r="A4542" s="261">
        <v>4208212</v>
      </c>
      <c r="B4542" s="265" t="s">
        <v>15839</v>
      </c>
      <c r="C4542" s="261" t="s">
        <v>6</v>
      </c>
      <c r="D4542" s="266">
        <v>38117.93</v>
      </c>
    </row>
    <row r="4543" spans="1:4">
      <c r="A4543" s="261">
        <v>4208213</v>
      </c>
      <c r="B4543" s="265" t="s">
        <v>15840</v>
      </c>
      <c r="C4543" s="261" t="s">
        <v>6</v>
      </c>
      <c r="D4543" s="266">
        <v>48344.27</v>
      </c>
    </row>
    <row r="4544" spans="1:4">
      <c r="A4544" s="261">
        <v>4208214</v>
      </c>
      <c r="B4544" s="265" t="s">
        <v>15841</v>
      </c>
      <c r="C4544" s="261" t="s">
        <v>6</v>
      </c>
      <c r="D4544" s="266">
        <v>56285.65</v>
      </c>
    </row>
    <row r="4545" spans="1:4">
      <c r="A4545" s="261">
        <v>4208215</v>
      </c>
      <c r="B4545" s="265" t="s">
        <v>15842</v>
      </c>
      <c r="C4545" s="261" t="s">
        <v>6</v>
      </c>
      <c r="D4545" s="266">
        <v>74593.88</v>
      </c>
    </row>
    <row r="4546" spans="1:4">
      <c r="A4546" s="261">
        <v>4208216</v>
      </c>
      <c r="B4546" s="265" t="s">
        <v>15843</v>
      </c>
      <c r="C4546" s="261" t="s">
        <v>6</v>
      </c>
      <c r="D4546" s="266">
        <v>10535.47</v>
      </c>
    </row>
    <row r="4547" spans="1:4">
      <c r="A4547" s="261">
        <v>4208217</v>
      </c>
      <c r="B4547" s="265" t="s">
        <v>15844</v>
      </c>
      <c r="C4547" s="261" t="s">
        <v>6</v>
      </c>
      <c r="D4547" s="266">
        <v>12412.35</v>
      </c>
    </row>
    <row r="4548" spans="1:4">
      <c r="A4548" s="261">
        <v>4208218</v>
      </c>
      <c r="B4548" s="265" t="s">
        <v>15845</v>
      </c>
      <c r="C4548" s="261" t="s">
        <v>6</v>
      </c>
      <c r="D4548" s="266">
        <v>15222.38</v>
      </c>
    </row>
    <row r="4549" spans="1:4">
      <c r="A4549" s="261">
        <v>4208219</v>
      </c>
      <c r="B4549" s="265" t="s">
        <v>15846</v>
      </c>
      <c r="C4549" s="261" t="s">
        <v>6</v>
      </c>
      <c r="D4549" s="266">
        <v>18783.400000000001</v>
      </c>
    </row>
    <row r="4550" spans="1:4">
      <c r="A4550" s="261">
        <v>4208220</v>
      </c>
      <c r="B4550" s="265" t="s">
        <v>15847</v>
      </c>
      <c r="C4550" s="261" t="s">
        <v>6</v>
      </c>
      <c r="D4550" s="266">
        <v>21969.8</v>
      </c>
    </row>
    <row r="4551" spans="1:4">
      <c r="A4551" s="261">
        <v>4208221</v>
      </c>
      <c r="B4551" s="265" t="s">
        <v>15848</v>
      </c>
      <c r="C4551" s="261" t="s">
        <v>6</v>
      </c>
      <c r="D4551" s="266">
        <v>28901.4</v>
      </c>
    </row>
    <row r="4552" spans="1:4">
      <c r="A4552" s="261">
        <v>4208222</v>
      </c>
      <c r="B4552" s="265" t="s">
        <v>15849</v>
      </c>
      <c r="C4552" s="261" t="s">
        <v>6</v>
      </c>
      <c r="D4552" s="266">
        <v>32277.3</v>
      </c>
    </row>
    <row r="4553" spans="1:4">
      <c r="A4553" s="261">
        <v>4208223</v>
      </c>
      <c r="B4553" s="265" t="s">
        <v>15850</v>
      </c>
      <c r="C4553" s="261" t="s">
        <v>6</v>
      </c>
      <c r="D4553" s="266">
        <v>37333.54</v>
      </c>
    </row>
    <row r="4554" spans="1:4">
      <c r="A4554" s="261">
        <v>4208224</v>
      </c>
      <c r="B4554" s="265" t="s">
        <v>15851</v>
      </c>
      <c r="C4554" s="261" t="s">
        <v>6</v>
      </c>
      <c r="D4554" s="266">
        <v>47452.25</v>
      </c>
    </row>
    <row r="4555" spans="1:4">
      <c r="A4555" s="261">
        <v>4208225</v>
      </c>
      <c r="B4555" s="265" t="s">
        <v>15852</v>
      </c>
      <c r="C4555" s="261" t="s">
        <v>6</v>
      </c>
      <c r="D4555" s="266">
        <v>55504.28</v>
      </c>
    </row>
    <row r="4556" spans="1:4">
      <c r="A4556" s="261">
        <v>4208226</v>
      </c>
      <c r="B4556" s="265" t="s">
        <v>15853</v>
      </c>
      <c r="C4556" s="261" t="s">
        <v>6</v>
      </c>
      <c r="D4556" s="266">
        <v>73488.53</v>
      </c>
    </row>
    <row r="4557" spans="1:4">
      <c r="A4557" s="261">
        <v>4208227</v>
      </c>
      <c r="B4557" s="265" t="s">
        <v>15854</v>
      </c>
      <c r="C4557" s="261" t="s">
        <v>6</v>
      </c>
      <c r="D4557" s="266">
        <v>10532.56</v>
      </c>
    </row>
    <row r="4558" spans="1:4">
      <c r="A4558" s="261">
        <v>4208228</v>
      </c>
      <c r="B4558" s="265" t="s">
        <v>15855</v>
      </c>
      <c r="C4558" s="261" t="s">
        <v>6</v>
      </c>
      <c r="D4558" s="266">
        <v>12412.43</v>
      </c>
    </row>
    <row r="4559" spans="1:4">
      <c r="A4559" s="261">
        <v>4208229</v>
      </c>
      <c r="B4559" s="265" t="s">
        <v>15856</v>
      </c>
      <c r="C4559" s="261" t="s">
        <v>6</v>
      </c>
      <c r="D4559" s="266">
        <v>15222.42</v>
      </c>
    </row>
    <row r="4560" spans="1:4">
      <c r="A4560" s="261">
        <v>4208230</v>
      </c>
      <c r="B4560" s="265" t="s">
        <v>15857</v>
      </c>
      <c r="C4560" s="261" t="s">
        <v>6</v>
      </c>
      <c r="D4560" s="266">
        <v>18783.580000000002</v>
      </c>
    </row>
    <row r="4561" spans="1:4">
      <c r="A4561" s="261">
        <v>4208231</v>
      </c>
      <c r="B4561" s="265" t="s">
        <v>15858</v>
      </c>
      <c r="C4561" s="261" t="s">
        <v>6</v>
      </c>
      <c r="D4561" s="266">
        <v>21969.86</v>
      </c>
    </row>
    <row r="4562" spans="1:4">
      <c r="A4562" s="261">
        <v>4208232</v>
      </c>
      <c r="B4562" s="265" t="s">
        <v>15859</v>
      </c>
      <c r="C4562" s="261" t="s">
        <v>6</v>
      </c>
      <c r="D4562" s="266">
        <v>28901.48</v>
      </c>
    </row>
    <row r="4563" spans="1:4">
      <c r="A4563" s="261">
        <v>4208233</v>
      </c>
      <c r="B4563" s="265" t="s">
        <v>15860</v>
      </c>
      <c r="C4563" s="261" t="s">
        <v>6</v>
      </c>
      <c r="D4563" s="266">
        <v>32277.54</v>
      </c>
    </row>
    <row r="4564" spans="1:4">
      <c r="A4564" s="261">
        <v>4208234</v>
      </c>
      <c r="B4564" s="265" t="s">
        <v>15861</v>
      </c>
      <c r="C4564" s="261" t="s">
        <v>6</v>
      </c>
      <c r="D4564" s="266">
        <v>37333.56</v>
      </c>
    </row>
    <row r="4565" spans="1:4">
      <c r="A4565" s="261">
        <v>4208235</v>
      </c>
      <c r="B4565" s="265" t="s">
        <v>15862</v>
      </c>
      <c r="C4565" s="261" t="s">
        <v>6</v>
      </c>
      <c r="D4565" s="266">
        <v>47452.37</v>
      </c>
    </row>
    <row r="4566" spans="1:4">
      <c r="A4566" s="261">
        <v>4208236</v>
      </c>
      <c r="B4566" s="265" t="s">
        <v>15863</v>
      </c>
      <c r="C4566" s="261" t="s">
        <v>6</v>
      </c>
      <c r="D4566" s="266">
        <v>55505.49</v>
      </c>
    </row>
    <row r="4567" spans="1:4">
      <c r="A4567" s="261">
        <v>4208237</v>
      </c>
      <c r="B4567" s="265" t="s">
        <v>15864</v>
      </c>
      <c r="C4567" s="261" t="s">
        <v>6</v>
      </c>
      <c r="D4567" s="266">
        <v>73488.639999999999</v>
      </c>
    </row>
    <row r="4568" spans="1:4">
      <c r="A4568" s="261">
        <v>4208128</v>
      </c>
      <c r="B4568" s="265" t="s">
        <v>15865</v>
      </c>
      <c r="C4568" s="261" t="s">
        <v>6</v>
      </c>
      <c r="D4568" s="266">
        <v>401.83</v>
      </c>
    </row>
    <row r="4569" spans="1:4">
      <c r="A4569" s="261">
        <v>4208129</v>
      </c>
      <c r="B4569" s="265" t="s">
        <v>15866</v>
      </c>
      <c r="C4569" s="261" t="s">
        <v>6</v>
      </c>
      <c r="D4569" s="266">
        <v>634.17999999999995</v>
      </c>
    </row>
    <row r="4570" spans="1:4">
      <c r="A4570" s="261">
        <v>4208130</v>
      </c>
      <c r="B4570" s="265" t="s">
        <v>15867</v>
      </c>
      <c r="C4570" s="261" t="s">
        <v>6</v>
      </c>
      <c r="D4570" s="266">
        <v>827.33</v>
      </c>
    </row>
    <row r="4571" spans="1:4">
      <c r="A4571" s="261">
        <v>4208131</v>
      </c>
      <c r="B4571" s="265" t="s">
        <v>15868</v>
      </c>
      <c r="C4571" s="261" t="s">
        <v>6</v>
      </c>
      <c r="D4571" s="266">
        <v>1059.3</v>
      </c>
    </row>
    <row r="4572" spans="1:4">
      <c r="A4572" s="261">
        <v>4208132</v>
      </c>
      <c r="B4572" s="265" t="s">
        <v>15869</v>
      </c>
      <c r="C4572" s="261" t="s">
        <v>6</v>
      </c>
      <c r="D4572" s="266">
        <v>1214.68</v>
      </c>
    </row>
    <row r="4573" spans="1:4">
      <c r="A4573" s="261">
        <v>4208133</v>
      </c>
      <c r="B4573" s="265" t="s">
        <v>15870</v>
      </c>
      <c r="C4573" s="261" t="s">
        <v>6</v>
      </c>
      <c r="D4573" s="266">
        <v>1522.82</v>
      </c>
    </row>
    <row r="4574" spans="1:4">
      <c r="A4574" s="261">
        <v>4208134</v>
      </c>
      <c r="B4574" s="265" t="s">
        <v>15871</v>
      </c>
      <c r="C4574" s="261" t="s">
        <v>6</v>
      </c>
      <c r="D4574" s="266">
        <v>1698.35</v>
      </c>
    </row>
    <row r="4575" spans="1:4">
      <c r="A4575" s="261">
        <v>4208238</v>
      </c>
      <c r="B4575" s="265" t="s">
        <v>15872</v>
      </c>
      <c r="C4575" s="261" t="s">
        <v>6</v>
      </c>
      <c r="D4575" s="266">
        <v>1968.78</v>
      </c>
    </row>
    <row r="4576" spans="1:4">
      <c r="A4576" s="261">
        <v>4208239</v>
      </c>
      <c r="B4576" s="265" t="s">
        <v>15873</v>
      </c>
      <c r="C4576" s="261" t="s">
        <v>6</v>
      </c>
      <c r="D4576" s="266">
        <v>2278.46</v>
      </c>
    </row>
    <row r="4577" spans="1:4">
      <c r="A4577" s="261">
        <v>4413920</v>
      </c>
      <c r="B4577" s="265" t="s">
        <v>15874</v>
      </c>
      <c r="C4577" s="261" t="s">
        <v>3</v>
      </c>
      <c r="D4577" s="266">
        <v>0.56999999999999995</v>
      </c>
    </row>
    <row r="4578" spans="1:4">
      <c r="A4578" s="261">
        <v>4413024</v>
      </c>
      <c r="B4578" s="265" t="s">
        <v>15875</v>
      </c>
      <c r="C4578" s="261" t="s">
        <v>3</v>
      </c>
      <c r="D4578" s="266">
        <v>0.46</v>
      </c>
    </row>
    <row r="4579" spans="1:4">
      <c r="A4579" s="261">
        <v>4413022</v>
      </c>
      <c r="B4579" s="265" t="s">
        <v>15876</v>
      </c>
      <c r="C4579" s="261" t="s">
        <v>3</v>
      </c>
      <c r="D4579" s="266">
        <v>0.69</v>
      </c>
    </row>
    <row r="4580" spans="1:4">
      <c r="A4580" s="261">
        <v>4413020</v>
      </c>
      <c r="B4580" s="265" t="s">
        <v>15877</v>
      </c>
      <c r="C4580" s="261" t="s">
        <v>6</v>
      </c>
      <c r="D4580" s="266">
        <v>36</v>
      </c>
    </row>
    <row r="4581" spans="1:4" ht="31.5">
      <c r="A4581" s="261">
        <v>4413013</v>
      </c>
      <c r="B4581" s="265" t="s">
        <v>15878</v>
      </c>
      <c r="C4581" s="261" t="s">
        <v>6</v>
      </c>
      <c r="D4581" s="266">
        <v>81.91</v>
      </c>
    </row>
    <row r="4582" spans="1:4">
      <c r="A4582" s="261">
        <v>4413019</v>
      </c>
      <c r="B4582" s="265" t="s">
        <v>15879</v>
      </c>
      <c r="C4582" s="261" t="s">
        <v>6</v>
      </c>
      <c r="D4582" s="266">
        <v>34.159999999999997</v>
      </c>
    </row>
    <row r="4583" spans="1:4">
      <c r="A4583" s="261">
        <v>4413026</v>
      </c>
      <c r="B4583" s="265" t="s">
        <v>15880</v>
      </c>
      <c r="C4583" s="261" t="s">
        <v>3</v>
      </c>
      <c r="D4583" s="266">
        <v>220.74</v>
      </c>
    </row>
    <row r="4584" spans="1:4">
      <c r="A4584" s="261">
        <v>4413996</v>
      </c>
      <c r="B4584" s="265" t="s">
        <v>15881</v>
      </c>
      <c r="C4584" s="261" t="s">
        <v>3</v>
      </c>
      <c r="D4584" s="266">
        <v>10.49</v>
      </c>
    </row>
    <row r="4585" spans="1:4">
      <c r="A4585" s="261">
        <v>4413942</v>
      </c>
      <c r="B4585" s="265" t="s">
        <v>15882</v>
      </c>
      <c r="C4585" s="261" t="s">
        <v>5</v>
      </c>
      <c r="D4585" s="266">
        <v>1.58</v>
      </c>
    </row>
    <row r="4586" spans="1:4">
      <c r="A4586" s="261">
        <v>4413018</v>
      </c>
      <c r="B4586" s="265" t="s">
        <v>15883</v>
      </c>
      <c r="C4586" s="261" t="s">
        <v>10</v>
      </c>
      <c r="D4586" s="266">
        <v>14.05</v>
      </c>
    </row>
    <row r="4587" spans="1:4">
      <c r="A4587" s="261">
        <v>4413905</v>
      </c>
      <c r="B4587" s="265" t="s">
        <v>15884</v>
      </c>
      <c r="C4587" s="261" t="s">
        <v>3</v>
      </c>
      <c r="D4587" s="266">
        <v>6.72</v>
      </c>
    </row>
    <row r="4588" spans="1:4">
      <c r="A4588" s="261">
        <v>4413987</v>
      </c>
      <c r="B4588" s="265" t="s">
        <v>15885</v>
      </c>
      <c r="C4588" s="261" t="s">
        <v>3</v>
      </c>
      <c r="D4588" s="266">
        <v>0.36</v>
      </c>
    </row>
    <row r="4589" spans="1:4">
      <c r="A4589" s="261">
        <v>4413995</v>
      </c>
      <c r="B4589" s="265" t="s">
        <v>15886</v>
      </c>
      <c r="C4589" s="261" t="s">
        <v>3</v>
      </c>
      <c r="D4589" s="266">
        <v>3.13</v>
      </c>
    </row>
    <row r="4590" spans="1:4">
      <c r="A4590" s="261">
        <v>4413994</v>
      </c>
      <c r="B4590" s="265" t="s">
        <v>15887</v>
      </c>
      <c r="C4590" s="261" t="s">
        <v>6</v>
      </c>
      <c r="D4590" s="266">
        <v>611.6</v>
      </c>
    </row>
    <row r="4591" spans="1:4">
      <c r="A4591" s="261">
        <v>4413200</v>
      </c>
      <c r="B4591" s="265" t="s">
        <v>15888</v>
      </c>
      <c r="C4591" s="261" t="s">
        <v>3</v>
      </c>
      <c r="D4591" s="266">
        <v>14.12</v>
      </c>
    </row>
    <row r="4592" spans="1:4">
      <c r="A4592" s="261">
        <v>4413990</v>
      </c>
      <c r="B4592" s="265" t="s">
        <v>15889</v>
      </c>
      <c r="C4592" s="261" t="s">
        <v>97</v>
      </c>
      <c r="D4592" s="266">
        <v>34.159999999999997</v>
      </c>
    </row>
    <row r="4593" spans="1:4">
      <c r="A4593" s="261">
        <v>4413989</v>
      </c>
      <c r="B4593" s="265" t="s">
        <v>15890</v>
      </c>
      <c r="C4593" s="261" t="s">
        <v>97</v>
      </c>
      <c r="D4593" s="266">
        <v>36</v>
      </c>
    </row>
    <row r="4594" spans="1:4">
      <c r="A4594" s="261">
        <v>4413951</v>
      </c>
      <c r="B4594" s="265" t="s">
        <v>15891</v>
      </c>
      <c r="C4594" s="261" t="s">
        <v>97</v>
      </c>
      <c r="D4594" s="266">
        <v>72.83</v>
      </c>
    </row>
    <row r="4595" spans="1:4">
      <c r="A4595" s="261">
        <v>4413950</v>
      </c>
      <c r="B4595" s="265" t="s">
        <v>15892</v>
      </c>
      <c r="C4595" s="261" t="s">
        <v>97</v>
      </c>
      <c r="D4595" s="266">
        <v>126.04</v>
      </c>
    </row>
    <row r="4596" spans="1:4">
      <c r="A4596" s="261">
        <v>4413949</v>
      </c>
      <c r="B4596" s="265" t="s">
        <v>15893</v>
      </c>
      <c r="C4596" s="261" t="s">
        <v>97</v>
      </c>
      <c r="D4596" s="266">
        <v>213.2</v>
      </c>
    </row>
    <row r="4597" spans="1:4">
      <c r="A4597" s="261">
        <v>4413948</v>
      </c>
      <c r="B4597" s="265" t="s">
        <v>15894</v>
      </c>
      <c r="C4597" s="261" t="s">
        <v>97</v>
      </c>
      <c r="D4597" s="266">
        <v>60.88</v>
      </c>
    </row>
    <row r="4598" spans="1:4">
      <c r="A4598" s="261">
        <v>4413947</v>
      </c>
      <c r="B4598" s="265" t="s">
        <v>15895</v>
      </c>
      <c r="C4598" s="261" t="s">
        <v>97</v>
      </c>
      <c r="D4598" s="266">
        <v>98.1</v>
      </c>
    </row>
    <row r="4599" spans="1:4">
      <c r="A4599" s="261">
        <v>4413946</v>
      </c>
      <c r="B4599" s="265" t="s">
        <v>15896</v>
      </c>
      <c r="C4599" s="261" t="s">
        <v>97</v>
      </c>
      <c r="D4599" s="266">
        <v>124.78</v>
      </c>
    </row>
    <row r="4600" spans="1:4">
      <c r="A4600" s="261">
        <v>4413952</v>
      </c>
      <c r="B4600" s="265" t="s">
        <v>15897</v>
      </c>
      <c r="C4600" s="261" t="s">
        <v>3</v>
      </c>
      <c r="D4600" s="266">
        <v>73.959999999999994</v>
      </c>
    </row>
    <row r="4601" spans="1:4">
      <c r="A4601" s="261">
        <v>4413012</v>
      </c>
      <c r="B4601" s="265" t="s">
        <v>15898</v>
      </c>
      <c r="C4601" s="261" t="s">
        <v>5</v>
      </c>
      <c r="D4601" s="266">
        <v>387.3</v>
      </c>
    </row>
    <row r="4602" spans="1:4">
      <c r="A4602" s="261">
        <v>4413014</v>
      </c>
      <c r="B4602" s="265" t="s">
        <v>15899</v>
      </c>
      <c r="C4602" s="261" t="s">
        <v>3</v>
      </c>
      <c r="D4602" s="266">
        <v>18.149999999999999</v>
      </c>
    </row>
    <row r="4603" spans="1:4" ht="31.5">
      <c r="A4603" s="261">
        <v>4413016</v>
      </c>
      <c r="B4603" s="265" t="s">
        <v>15900</v>
      </c>
      <c r="C4603" s="261" t="s">
        <v>3</v>
      </c>
      <c r="D4603" s="266">
        <v>10.35</v>
      </c>
    </row>
    <row r="4604" spans="1:4">
      <c r="A4604" s="261">
        <v>4413984</v>
      </c>
      <c r="B4604" s="265" t="s">
        <v>15901</v>
      </c>
      <c r="C4604" s="261" t="s">
        <v>5</v>
      </c>
      <c r="D4604" s="266">
        <v>3.69</v>
      </c>
    </row>
    <row r="4605" spans="1:4">
      <c r="A4605" s="261">
        <v>4413986</v>
      </c>
      <c r="B4605" s="265" t="s">
        <v>15902</v>
      </c>
      <c r="C4605" s="261" t="s">
        <v>3</v>
      </c>
      <c r="D4605" s="266">
        <v>0.06</v>
      </c>
    </row>
    <row r="4606" spans="1:4">
      <c r="A4606" s="261">
        <v>4413985</v>
      </c>
      <c r="B4606" s="265" t="s">
        <v>15903</v>
      </c>
      <c r="C4606" s="261" t="s">
        <v>3</v>
      </c>
      <c r="D4606" s="266">
        <v>26.28</v>
      </c>
    </row>
    <row r="4607" spans="1:4">
      <c r="A4607" s="261">
        <v>4413017</v>
      </c>
      <c r="B4607" s="265" t="s">
        <v>15904</v>
      </c>
      <c r="C4607" s="261" t="s">
        <v>6</v>
      </c>
      <c r="D4607" s="266">
        <v>46.13</v>
      </c>
    </row>
    <row r="4608" spans="1:4">
      <c r="A4608" s="261">
        <v>4415673</v>
      </c>
      <c r="B4608" s="265" t="s">
        <v>15905</v>
      </c>
      <c r="C4608" s="261" t="s">
        <v>3</v>
      </c>
      <c r="D4608" s="266">
        <v>9.26</v>
      </c>
    </row>
    <row r="4609" spans="1:4">
      <c r="A4609" s="261">
        <v>4415684</v>
      </c>
      <c r="B4609" s="265" t="s">
        <v>15906</v>
      </c>
      <c r="C4609" s="261" t="s">
        <v>3</v>
      </c>
      <c r="D4609" s="266">
        <v>5.18</v>
      </c>
    </row>
    <row r="4610" spans="1:4">
      <c r="A4610" s="261">
        <v>4413993</v>
      </c>
      <c r="B4610" s="265" t="s">
        <v>15907</v>
      </c>
      <c r="C4610" s="261" t="s">
        <v>3</v>
      </c>
      <c r="D4610" s="266">
        <v>0.6</v>
      </c>
    </row>
    <row r="4611" spans="1:4">
      <c r="A4611" s="261">
        <v>4507754</v>
      </c>
      <c r="B4611" s="265" t="s">
        <v>15908</v>
      </c>
      <c r="C4611" s="261" t="s">
        <v>97</v>
      </c>
      <c r="D4611" s="266">
        <v>907.74</v>
      </c>
    </row>
    <row r="4612" spans="1:4">
      <c r="A4612" s="261">
        <v>4507738</v>
      </c>
      <c r="B4612" s="265" t="s">
        <v>15909</v>
      </c>
      <c r="C4612" s="261" t="s">
        <v>97</v>
      </c>
      <c r="D4612" s="266">
        <v>1222.47</v>
      </c>
    </row>
    <row r="4613" spans="1:4">
      <c r="A4613" s="261">
        <v>4507755</v>
      </c>
      <c r="B4613" s="265" t="s">
        <v>15910</v>
      </c>
      <c r="C4613" s="261" t="s">
        <v>97</v>
      </c>
      <c r="D4613" s="266">
        <v>1143.18</v>
      </c>
    </row>
    <row r="4614" spans="1:4">
      <c r="A4614" s="261">
        <v>4507756</v>
      </c>
      <c r="B4614" s="265" t="s">
        <v>15911</v>
      </c>
      <c r="C4614" s="261" t="s">
        <v>97</v>
      </c>
      <c r="D4614" s="266">
        <v>1493.18</v>
      </c>
    </row>
    <row r="4615" spans="1:4">
      <c r="A4615" s="261">
        <v>4507757</v>
      </c>
      <c r="B4615" s="265" t="s">
        <v>15912</v>
      </c>
      <c r="C4615" s="261" t="s">
        <v>97</v>
      </c>
      <c r="D4615" s="266">
        <v>1582.84</v>
      </c>
    </row>
    <row r="4616" spans="1:4">
      <c r="A4616" s="261">
        <v>4507758</v>
      </c>
      <c r="B4616" s="265" t="s">
        <v>15913</v>
      </c>
      <c r="C4616" s="261" t="s">
        <v>97</v>
      </c>
      <c r="D4616" s="266">
        <v>1939.97</v>
      </c>
    </row>
    <row r="4617" spans="1:4">
      <c r="A4617" s="261">
        <v>4507759</v>
      </c>
      <c r="B4617" s="265" t="s">
        <v>15914</v>
      </c>
      <c r="C4617" s="261" t="s">
        <v>97</v>
      </c>
      <c r="D4617" s="266">
        <v>2001.83</v>
      </c>
    </row>
    <row r="4618" spans="1:4">
      <c r="A4618" s="261">
        <v>4507760</v>
      </c>
      <c r="B4618" s="265" t="s">
        <v>15915</v>
      </c>
      <c r="C4618" s="261" t="s">
        <v>97</v>
      </c>
      <c r="D4618" s="266">
        <v>2517.2199999999998</v>
      </c>
    </row>
    <row r="4619" spans="1:4">
      <c r="A4619" s="261">
        <v>4507761</v>
      </c>
      <c r="B4619" s="265" t="s">
        <v>15916</v>
      </c>
      <c r="C4619" s="261" t="s">
        <v>97</v>
      </c>
      <c r="D4619" s="266">
        <v>2570.3200000000002</v>
      </c>
    </row>
    <row r="4620" spans="1:4">
      <c r="A4620" s="261">
        <v>4507762</v>
      </c>
      <c r="B4620" s="265" t="s">
        <v>15917</v>
      </c>
      <c r="C4620" s="261" t="s">
        <v>97</v>
      </c>
      <c r="D4620" s="266">
        <v>3215.87</v>
      </c>
    </row>
    <row r="4621" spans="1:4">
      <c r="A4621" s="261">
        <v>4507763</v>
      </c>
      <c r="B4621" s="265" t="s">
        <v>15918</v>
      </c>
      <c r="C4621" s="261" t="s">
        <v>97</v>
      </c>
      <c r="D4621" s="266">
        <v>3060.85</v>
      </c>
    </row>
    <row r="4622" spans="1:4">
      <c r="A4622" s="261">
        <v>4507764</v>
      </c>
      <c r="B4622" s="265" t="s">
        <v>15919</v>
      </c>
      <c r="C4622" s="261" t="s">
        <v>97</v>
      </c>
      <c r="D4622" s="266">
        <v>4204.41</v>
      </c>
    </row>
    <row r="4623" spans="1:4">
      <c r="A4623" s="261">
        <v>4507765</v>
      </c>
      <c r="B4623" s="265" t="s">
        <v>15920</v>
      </c>
      <c r="C4623" s="261" t="s">
        <v>97</v>
      </c>
      <c r="D4623" s="266">
        <v>4187.93</v>
      </c>
    </row>
    <row r="4624" spans="1:4">
      <c r="A4624" s="261">
        <v>4508192</v>
      </c>
      <c r="B4624" s="265" t="s">
        <v>15921</v>
      </c>
      <c r="C4624" s="261" t="s">
        <v>97</v>
      </c>
      <c r="D4624" s="266">
        <v>5734.7</v>
      </c>
    </row>
    <row r="4625" spans="1:4">
      <c r="A4625" s="261">
        <v>4507766</v>
      </c>
      <c r="B4625" s="265" t="s">
        <v>15922</v>
      </c>
      <c r="C4625" s="261" t="s">
        <v>97</v>
      </c>
      <c r="D4625" s="266">
        <v>384.26</v>
      </c>
    </row>
    <row r="4626" spans="1:4">
      <c r="A4626" s="261">
        <v>4507767</v>
      </c>
      <c r="B4626" s="265" t="s">
        <v>15923</v>
      </c>
      <c r="C4626" s="261" t="s">
        <v>97</v>
      </c>
      <c r="D4626" s="266">
        <v>460</v>
      </c>
    </row>
    <row r="4627" spans="1:4">
      <c r="A4627" s="261">
        <v>4507768</v>
      </c>
      <c r="B4627" s="265" t="s">
        <v>15924</v>
      </c>
      <c r="C4627" s="261" t="s">
        <v>97</v>
      </c>
      <c r="D4627" s="266">
        <v>554.49</v>
      </c>
    </row>
    <row r="4628" spans="1:4">
      <c r="A4628" s="261">
        <v>4507769</v>
      </c>
      <c r="B4628" s="265" t="s">
        <v>15925</v>
      </c>
      <c r="C4628" s="261" t="s">
        <v>97</v>
      </c>
      <c r="D4628" s="266">
        <v>688.09</v>
      </c>
    </row>
    <row r="4629" spans="1:4">
      <c r="A4629" s="261">
        <v>4507770</v>
      </c>
      <c r="B4629" s="265" t="s">
        <v>15926</v>
      </c>
      <c r="C4629" s="261" t="s">
        <v>97</v>
      </c>
      <c r="D4629" s="266">
        <v>636.67999999999995</v>
      </c>
    </row>
    <row r="4630" spans="1:4">
      <c r="A4630" s="261">
        <v>4507771</v>
      </c>
      <c r="B4630" s="265" t="s">
        <v>15927</v>
      </c>
      <c r="C4630" s="261" t="s">
        <v>97</v>
      </c>
      <c r="D4630" s="266">
        <v>806.9</v>
      </c>
    </row>
    <row r="4631" spans="1:4">
      <c r="A4631" s="261">
        <v>4507772</v>
      </c>
      <c r="B4631" s="265" t="s">
        <v>15928</v>
      </c>
      <c r="C4631" s="261" t="s">
        <v>97</v>
      </c>
      <c r="D4631" s="266">
        <v>746.26</v>
      </c>
    </row>
    <row r="4632" spans="1:4">
      <c r="A4632" s="261">
        <v>4508193</v>
      </c>
      <c r="B4632" s="265" t="s">
        <v>15929</v>
      </c>
      <c r="C4632" s="261" t="s">
        <v>97</v>
      </c>
      <c r="D4632" s="266">
        <v>934.33</v>
      </c>
    </row>
    <row r="4633" spans="1:4">
      <c r="A4633" s="261">
        <v>4507773</v>
      </c>
      <c r="B4633" s="265" t="s">
        <v>15930</v>
      </c>
      <c r="C4633" s="261" t="s">
        <v>97</v>
      </c>
      <c r="D4633" s="266">
        <v>838.67</v>
      </c>
    </row>
    <row r="4634" spans="1:4">
      <c r="A4634" s="261">
        <v>4507774</v>
      </c>
      <c r="B4634" s="265" t="s">
        <v>15931</v>
      </c>
      <c r="C4634" s="261" t="s">
        <v>97</v>
      </c>
      <c r="D4634" s="266">
        <v>1089.56</v>
      </c>
    </row>
    <row r="4635" spans="1:4">
      <c r="A4635" s="261">
        <v>4507775</v>
      </c>
      <c r="B4635" s="265" t="s">
        <v>15932</v>
      </c>
      <c r="C4635" s="261" t="s">
        <v>97</v>
      </c>
      <c r="D4635" s="266">
        <v>259.52</v>
      </c>
    </row>
    <row r="4636" spans="1:4">
      <c r="A4636" s="261">
        <v>4507776</v>
      </c>
      <c r="B4636" s="265" t="s">
        <v>15933</v>
      </c>
      <c r="C4636" s="261" t="s">
        <v>97</v>
      </c>
      <c r="D4636" s="266">
        <v>331.22</v>
      </c>
    </row>
    <row r="4637" spans="1:4">
      <c r="A4637" s="261">
        <v>4507783</v>
      </c>
      <c r="B4637" s="265" t="s">
        <v>15934</v>
      </c>
      <c r="C4637" s="261" t="s">
        <v>97</v>
      </c>
      <c r="D4637" s="266">
        <v>79.510000000000005</v>
      </c>
    </row>
    <row r="4638" spans="1:4">
      <c r="A4638" s="261">
        <v>4507784</v>
      </c>
      <c r="B4638" s="265" t="s">
        <v>15935</v>
      </c>
      <c r="C4638" s="261" t="s">
        <v>97</v>
      </c>
      <c r="D4638" s="266">
        <v>112.04</v>
      </c>
    </row>
    <row r="4639" spans="1:4">
      <c r="A4639" s="261">
        <v>4507777</v>
      </c>
      <c r="B4639" s="265" t="s">
        <v>15936</v>
      </c>
      <c r="C4639" s="261" t="s">
        <v>97</v>
      </c>
      <c r="D4639" s="266">
        <v>592.38</v>
      </c>
    </row>
    <row r="4640" spans="1:4">
      <c r="A4640" s="261">
        <v>4507778</v>
      </c>
      <c r="B4640" s="265" t="s">
        <v>15937</v>
      </c>
      <c r="C4640" s="261" t="s">
        <v>97</v>
      </c>
      <c r="D4640" s="266">
        <v>769.87</v>
      </c>
    </row>
    <row r="4641" spans="1:4">
      <c r="A4641" s="261">
        <v>4507779</v>
      </c>
      <c r="B4641" s="265" t="s">
        <v>15938</v>
      </c>
      <c r="C4641" s="261" t="s">
        <v>97</v>
      </c>
      <c r="D4641" s="266">
        <v>1160.3900000000001</v>
      </c>
    </row>
    <row r="4642" spans="1:4">
      <c r="A4642" s="261">
        <v>4507780</v>
      </c>
      <c r="B4642" s="265" t="s">
        <v>15939</v>
      </c>
      <c r="C4642" s="261" t="s">
        <v>97</v>
      </c>
      <c r="D4642" s="266">
        <v>1443.79</v>
      </c>
    </row>
    <row r="4643" spans="1:4">
      <c r="A4643" s="261">
        <v>4507781</v>
      </c>
      <c r="B4643" s="265" t="s">
        <v>15940</v>
      </c>
      <c r="C4643" s="261" t="s">
        <v>97</v>
      </c>
      <c r="D4643" s="266">
        <v>1268.94</v>
      </c>
    </row>
    <row r="4644" spans="1:4">
      <c r="A4644" s="261">
        <v>4507782</v>
      </c>
      <c r="B4644" s="265" t="s">
        <v>15941</v>
      </c>
      <c r="C4644" s="261" t="s">
        <v>97</v>
      </c>
      <c r="D4644" s="266">
        <v>1553.29</v>
      </c>
    </row>
    <row r="4645" spans="1:4">
      <c r="A4645" s="261">
        <v>4507785</v>
      </c>
      <c r="B4645" s="265" t="s">
        <v>15942</v>
      </c>
      <c r="C4645" s="261" t="s">
        <v>97</v>
      </c>
      <c r="D4645" s="266">
        <v>368.23</v>
      </c>
    </row>
    <row r="4646" spans="1:4">
      <c r="A4646" s="261">
        <v>4508194</v>
      </c>
      <c r="B4646" s="265" t="s">
        <v>15943</v>
      </c>
      <c r="C4646" s="261" t="s">
        <v>97</v>
      </c>
      <c r="D4646" s="266">
        <v>510.75</v>
      </c>
    </row>
    <row r="4647" spans="1:4">
      <c r="A4647" s="261">
        <v>4507786</v>
      </c>
      <c r="B4647" s="265" t="s">
        <v>15944</v>
      </c>
      <c r="C4647" s="261" t="s">
        <v>97</v>
      </c>
      <c r="D4647" s="266">
        <v>439.6</v>
      </c>
    </row>
    <row r="4648" spans="1:4">
      <c r="A4648" s="261">
        <v>4507787</v>
      </c>
      <c r="B4648" s="265" t="s">
        <v>15945</v>
      </c>
      <c r="C4648" s="261" t="s">
        <v>97</v>
      </c>
      <c r="D4648" s="266">
        <v>617.42999999999995</v>
      </c>
    </row>
    <row r="4649" spans="1:4">
      <c r="A4649" s="261">
        <v>4507788</v>
      </c>
      <c r="B4649" s="265" t="s">
        <v>15946</v>
      </c>
      <c r="C4649" s="261" t="s">
        <v>97</v>
      </c>
      <c r="D4649" s="266">
        <v>654.13</v>
      </c>
    </row>
    <row r="4650" spans="1:4">
      <c r="A4650" s="261">
        <v>4507789</v>
      </c>
      <c r="B4650" s="265" t="s">
        <v>15947</v>
      </c>
      <c r="C4650" s="261" t="s">
        <v>97</v>
      </c>
      <c r="D4650" s="266">
        <v>798.31</v>
      </c>
    </row>
    <row r="4651" spans="1:4">
      <c r="A4651" s="261">
        <v>4507790</v>
      </c>
      <c r="B4651" s="265" t="s">
        <v>15948</v>
      </c>
      <c r="C4651" s="261" t="s">
        <v>97</v>
      </c>
      <c r="D4651" s="266">
        <v>832.8</v>
      </c>
    </row>
    <row r="4652" spans="1:4">
      <c r="A4652" s="261">
        <v>4507791</v>
      </c>
      <c r="B4652" s="265" t="s">
        <v>15949</v>
      </c>
      <c r="C4652" s="261" t="s">
        <v>97</v>
      </c>
      <c r="D4652" s="266">
        <v>1013.05</v>
      </c>
    </row>
    <row r="4653" spans="1:4">
      <c r="A4653" s="261">
        <v>4507792</v>
      </c>
      <c r="B4653" s="265" t="s">
        <v>15950</v>
      </c>
      <c r="C4653" s="261" t="s">
        <v>97</v>
      </c>
      <c r="D4653" s="266">
        <v>979.18</v>
      </c>
    </row>
    <row r="4654" spans="1:4">
      <c r="A4654" s="261">
        <v>4507793</v>
      </c>
      <c r="B4654" s="265" t="s">
        <v>15951</v>
      </c>
      <c r="C4654" s="261" t="s">
        <v>97</v>
      </c>
      <c r="D4654" s="266">
        <v>1178.68</v>
      </c>
    </row>
    <row r="4655" spans="1:4">
      <c r="A4655" s="261">
        <v>4507794</v>
      </c>
      <c r="B4655" s="265" t="s">
        <v>15952</v>
      </c>
      <c r="C4655" s="261" t="s">
        <v>97</v>
      </c>
      <c r="D4655" s="266">
        <v>1220.1600000000001</v>
      </c>
    </row>
    <row r="4656" spans="1:4">
      <c r="A4656" s="261">
        <v>4507795</v>
      </c>
      <c r="B4656" s="265" t="s">
        <v>15953</v>
      </c>
      <c r="C4656" s="261" t="s">
        <v>97</v>
      </c>
      <c r="D4656" s="266">
        <v>1459.82</v>
      </c>
    </row>
    <row r="4657" spans="1:4">
      <c r="A4657" s="261">
        <v>4507796</v>
      </c>
      <c r="B4657" s="265" t="s">
        <v>15954</v>
      </c>
      <c r="C4657" s="261" t="s">
        <v>97</v>
      </c>
      <c r="D4657" s="266">
        <v>1401.65</v>
      </c>
    </row>
    <row r="4658" spans="1:4">
      <c r="A4658" s="261">
        <v>4508190</v>
      </c>
      <c r="B4658" s="265" t="s">
        <v>15955</v>
      </c>
      <c r="C4658" s="261" t="s">
        <v>97</v>
      </c>
      <c r="D4658" s="266">
        <v>1683.88</v>
      </c>
    </row>
    <row r="4659" spans="1:4">
      <c r="A4659" s="261">
        <v>4507797</v>
      </c>
      <c r="B4659" s="265" t="s">
        <v>15956</v>
      </c>
      <c r="C4659" s="261" t="s">
        <v>97</v>
      </c>
      <c r="D4659" s="266">
        <v>186.88</v>
      </c>
    </row>
    <row r="4660" spans="1:4">
      <c r="A4660" s="261">
        <v>4507798</v>
      </c>
      <c r="B4660" s="265" t="s">
        <v>15957</v>
      </c>
      <c r="C4660" s="261" t="s">
        <v>97</v>
      </c>
      <c r="D4660" s="266">
        <v>257.77999999999997</v>
      </c>
    </row>
    <row r="4661" spans="1:4">
      <c r="A4661" s="261">
        <v>4507799</v>
      </c>
      <c r="B4661" s="265" t="s">
        <v>15958</v>
      </c>
      <c r="C4661" s="261" t="s">
        <v>97</v>
      </c>
      <c r="D4661" s="266">
        <v>278.45999999999998</v>
      </c>
    </row>
    <row r="4662" spans="1:4">
      <c r="A4662" s="261">
        <v>4507800</v>
      </c>
      <c r="B4662" s="265" t="s">
        <v>15959</v>
      </c>
      <c r="C4662" s="261" t="s">
        <v>97</v>
      </c>
      <c r="D4662" s="266">
        <v>383.28</v>
      </c>
    </row>
    <row r="4663" spans="1:4">
      <c r="A4663" s="261">
        <v>4507801</v>
      </c>
      <c r="B4663" s="265" t="s">
        <v>15960</v>
      </c>
      <c r="C4663" s="261" t="s">
        <v>97</v>
      </c>
      <c r="D4663" s="266">
        <v>295.06</v>
      </c>
    </row>
    <row r="4664" spans="1:4">
      <c r="A4664" s="261">
        <v>4507802</v>
      </c>
      <c r="B4664" s="265" t="s">
        <v>15961</v>
      </c>
      <c r="C4664" s="261" t="s">
        <v>97</v>
      </c>
      <c r="D4664" s="266">
        <v>401.4</v>
      </c>
    </row>
    <row r="4665" spans="1:4">
      <c r="A4665" s="261">
        <v>4507803</v>
      </c>
      <c r="B4665" s="265" t="s">
        <v>15962</v>
      </c>
      <c r="C4665" s="261" t="s">
        <v>97</v>
      </c>
      <c r="D4665" s="266">
        <v>330.75</v>
      </c>
    </row>
    <row r="4666" spans="1:4">
      <c r="A4666" s="261">
        <v>4508191</v>
      </c>
      <c r="B4666" s="265" t="s">
        <v>15963</v>
      </c>
      <c r="C4666" s="261" t="s">
        <v>97</v>
      </c>
      <c r="D4666" s="266">
        <v>454.73</v>
      </c>
    </row>
    <row r="4667" spans="1:4">
      <c r="A4667" s="261">
        <v>4507804</v>
      </c>
      <c r="B4667" s="265" t="s">
        <v>15964</v>
      </c>
      <c r="C4667" s="261" t="s">
        <v>97</v>
      </c>
      <c r="D4667" s="266">
        <v>366.99</v>
      </c>
    </row>
    <row r="4668" spans="1:4">
      <c r="A4668" s="261">
        <v>4507805</v>
      </c>
      <c r="B4668" s="265" t="s">
        <v>15965</v>
      </c>
      <c r="C4668" s="261" t="s">
        <v>97</v>
      </c>
      <c r="D4668" s="266">
        <v>508.92</v>
      </c>
    </row>
    <row r="4669" spans="1:4">
      <c r="A4669" s="261">
        <v>4507806</v>
      </c>
      <c r="B4669" s="265" t="s">
        <v>15966</v>
      </c>
      <c r="C4669" s="261" t="s">
        <v>97</v>
      </c>
      <c r="D4669" s="266">
        <v>27.16</v>
      </c>
    </row>
    <row r="4670" spans="1:4">
      <c r="A4670" s="261">
        <v>4507807</v>
      </c>
      <c r="B4670" s="265" t="s">
        <v>15967</v>
      </c>
      <c r="C4670" s="261" t="s">
        <v>97</v>
      </c>
      <c r="D4670" s="266">
        <v>33.25</v>
      </c>
    </row>
    <row r="4671" spans="1:4">
      <c r="A4671" s="261">
        <v>4507866</v>
      </c>
      <c r="B4671" s="265" t="s">
        <v>15968</v>
      </c>
      <c r="C4671" s="261" t="s">
        <v>97</v>
      </c>
      <c r="D4671" s="266">
        <v>74.760000000000005</v>
      </c>
    </row>
    <row r="4672" spans="1:4">
      <c r="A4672" s="261">
        <v>4507867</v>
      </c>
      <c r="B4672" s="265" t="s">
        <v>15969</v>
      </c>
      <c r="C4672" s="261" t="s">
        <v>97</v>
      </c>
      <c r="D4672" s="266">
        <v>107.28</v>
      </c>
    </row>
    <row r="4673" spans="1:4">
      <c r="A4673" s="261">
        <v>4507808</v>
      </c>
      <c r="B4673" s="265" t="s">
        <v>15970</v>
      </c>
      <c r="C4673" s="261" t="s">
        <v>97</v>
      </c>
      <c r="D4673" s="266">
        <v>32.299999999999997</v>
      </c>
    </row>
    <row r="4674" spans="1:4">
      <c r="A4674" s="261">
        <v>4507809</v>
      </c>
      <c r="B4674" s="265" t="s">
        <v>15971</v>
      </c>
      <c r="C4674" s="261" t="s">
        <v>97</v>
      </c>
      <c r="D4674" s="266">
        <v>41.02</v>
      </c>
    </row>
    <row r="4675" spans="1:4">
      <c r="A4675" s="261">
        <v>4507810</v>
      </c>
      <c r="B4675" s="265" t="s">
        <v>15972</v>
      </c>
      <c r="C4675" s="261" t="s">
        <v>97</v>
      </c>
      <c r="D4675" s="266">
        <v>50.24</v>
      </c>
    </row>
    <row r="4676" spans="1:4">
      <c r="A4676" s="261">
        <v>4507811</v>
      </c>
      <c r="B4676" s="265" t="s">
        <v>15973</v>
      </c>
      <c r="C4676" s="261" t="s">
        <v>97</v>
      </c>
      <c r="D4676" s="266">
        <v>50.4</v>
      </c>
    </row>
    <row r="4677" spans="1:4">
      <c r="A4677" s="261">
        <v>4507812</v>
      </c>
      <c r="B4677" s="265" t="s">
        <v>15974</v>
      </c>
      <c r="C4677" s="261" t="s">
        <v>97</v>
      </c>
      <c r="D4677" s="266">
        <v>61.2</v>
      </c>
    </row>
    <row r="4678" spans="1:4">
      <c r="A4678" s="261">
        <v>4507813</v>
      </c>
      <c r="B4678" s="265" t="s">
        <v>15975</v>
      </c>
      <c r="C4678" s="261" t="s">
        <v>97</v>
      </c>
      <c r="D4678" s="266">
        <v>80.92</v>
      </c>
    </row>
    <row r="4679" spans="1:4" ht="31.5">
      <c r="A4679" s="261">
        <v>4507851</v>
      </c>
      <c r="B4679" s="265" t="s">
        <v>15976</v>
      </c>
      <c r="C4679" s="261" t="s">
        <v>6</v>
      </c>
      <c r="D4679" s="266">
        <v>51.19</v>
      </c>
    </row>
    <row r="4680" spans="1:4" ht="31.5">
      <c r="A4680" s="261">
        <v>4507852</v>
      </c>
      <c r="B4680" s="265" t="s">
        <v>15977</v>
      </c>
      <c r="C4680" s="261" t="s">
        <v>6</v>
      </c>
      <c r="D4680" s="266">
        <v>51.06</v>
      </c>
    </row>
    <row r="4681" spans="1:4" ht="31.5">
      <c r="A4681" s="261">
        <v>4507853</v>
      </c>
      <c r="B4681" s="265" t="s">
        <v>15978</v>
      </c>
      <c r="C4681" s="261" t="s">
        <v>6</v>
      </c>
      <c r="D4681" s="266">
        <v>58.19</v>
      </c>
    </row>
    <row r="4682" spans="1:4" ht="31.5">
      <c r="A4682" s="261">
        <v>4507854</v>
      </c>
      <c r="B4682" s="265" t="s">
        <v>15979</v>
      </c>
      <c r="C4682" s="261" t="s">
        <v>6</v>
      </c>
      <c r="D4682" s="266">
        <v>65.400000000000006</v>
      </c>
    </row>
    <row r="4683" spans="1:4" ht="31.5">
      <c r="A4683" s="261">
        <v>4507855</v>
      </c>
      <c r="B4683" s="265" t="s">
        <v>15980</v>
      </c>
      <c r="C4683" s="261" t="s">
        <v>6</v>
      </c>
      <c r="D4683" s="266">
        <v>51.39</v>
      </c>
    </row>
    <row r="4684" spans="1:4" ht="31.5">
      <c r="A4684" s="261">
        <v>4507856</v>
      </c>
      <c r="B4684" s="265" t="s">
        <v>15981</v>
      </c>
      <c r="C4684" s="261" t="s">
        <v>6</v>
      </c>
      <c r="D4684" s="266">
        <v>51.21</v>
      </c>
    </row>
    <row r="4685" spans="1:4" ht="31.5">
      <c r="A4685" s="261">
        <v>4507857</v>
      </c>
      <c r="B4685" s="265" t="s">
        <v>15982</v>
      </c>
      <c r="C4685" s="261" t="s">
        <v>6</v>
      </c>
      <c r="D4685" s="266">
        <v>61.16</v>
      </c>
    </row>
    <row r="4686" spans="1:4" ht="31.5">
      <c r="A4686" s="261">
        <v>4507858</v>
      </c>
      <c r="B4686" s="265" t="s">
        <v>15983</v>
      </c>
      <c r="C4686" s="261" t="s">
        <v>6</v>
      </c>
      <c r="D4686" s="266">
        <v>70.72</v>
      </c>
    </row>
    <row r="4687" spans="1:4">
      <c r="A4687" s="261">
        <v>4508177</v>
      </c>
      <c r="B4687" s="265" t="s">
        <v>15984</v>
      </c>
      <c r="C4687" s="261" t="s">
        <v>6</v>
      </c>
      <c r="D4687" s="266">
        <v>187.26</v>
      </c>
    </row>
    <row r="4688" spans="1:4">
      <c r="A4688" s="261">
        <v>4508178</v>
      </c>
      <c r="B4688" s="265" t="s">
        <v>15985</v>
      </c>
      <c r="C4688" s="261" t="s">
        <v>6</v>
      </c>
      <c r="D4688" s="266">
        <v>187.08</v>
      </c>
    </row>
    <row r="4689" spans="1:4">
      <c r="A4689" s="261">
        <v>4507821</v>
      </c>
      <c r="B4689" s="265" t="s">
        <v>15986</v>
      </c>
      <c r="C4689" s="261" t="s">
        <v>6</v>
      </c>
      <c r="D4689" s="266">
        <v>186.72</v>
      </c>
    </row>
    <row r="4690" spans="1:4">
      <c r="A4690" s="261">
        <v>4507822</v>
      </c>
      <c r="B4690" s="265" t="s">
        <v>15987</v>
      </c>
      <c r="C4690" s="261" t="s">
        <v>6</v>
      </c>
      <c r="D4690" s="266">
        <v>186.55</v>
      </c>
    </row>
    <row r="4691" spans="1:4">
      <c r="A4691" s="261">
        <v>4507823</v>
      </c>
      <c r="B4691" s="265" t="s">
        <v>15988</v>
      </c>
      <c r="C4691" s="261" t="s">
        <v>6</v>
      </c>
      <c r="D4691" s="266">
        <v>187.27</v>
      </c>
    </row>
    <row r="4692" spans="1:4">
      <c r="A4692" s="261">
        <v>4508188</v>
      </c>
      <c r="B4692" s="265" t="s">
        <v>15989</v>
      </c>
      <c r="C4692" s="261" t="s">
        <v>6</v>
      </c>
      <c r="D4692" s="266">
        <v>187.15</v>
      </c>
    </row>
    <row r="4693" spans="1:4">
      <c r="A4693" s="261">
        <v>4507824</v>
      </c>
      <c r="B4693" s="265" t="s">
        <v>15990</v>
      </c>
      <c r="C4693" s="261" t="s">
        <v>6</v>
      </c>
      <c r="D4693" s="266">
        <v>199.19</v>
      </c>
    </row>
    <row r="4694" spans="1:4">
      <c r="A4694" s="261">
        <v>4507825</v>
      </c>
      <c r="B4694" s="265" t="s">
        <v>15991</v>
      </c>
      <c r="C4694" s="261" t="s">
        <v>6</v>
      </c>
      <c r="D4694" s="266">
        <v>199.4</v>
      </c>
    </row>
    <row r="4695" spans="1:4">
      <c r="A4695" s="261">
        <v>4507826</v>
      </c>
      <c r="B4695" s="265" t="s">
        <v>15992</v>
      </c>
      <c r="C4695" s="261" t="s">
        <v>6</v>
      </c>
      <c r="D4695" s="266">
        <v>209.94</v>
      </c>
    </row>
    <row r="4696" spans="1:4">
      <c r="A4696" s="261">
        <v>4508179</v>
      </c>
      <c r="B4696" s="265" t="s">
        <v>15993</v>
      </c>
      <c r="C4696" s="261" t="s">
        <v>6</v>
      </c>
      <c r="D4696" s="266">
        <v>209.76</v>
      </c>
    </row>
    <row r="4697" spans="1:4">
      <c r="A4697" s="261">
        <v>4507827</v>
      </c>
      <c r="B4697" s="265" t="s">
        <v>15994</v>
      </c>
      <c r="C4697" s="261" t="s">
        <v>6</v>
      </c>
      <c r="D4697" s="266">
        <v>215.83</v>
      </c>
    </row>
    <row r="4698" spans="1:4">
      <c r="A4698" s="261">
        <v>4508180</v>
      </c>
      <c r="B4698" s="265" t="s">
        <v>15995</v>
      </c>
      <c r="C4698" s="261" t="s">
        <v>6</v>
      </c>
      <c r="D4698" s="266">
        <v>46.32</v>
      </c>
    </row>
    <row r="4699" spans="1:4">
      <c r="A4699" s="261">
        <v>4507739</v>
      </c>
      <c r="B4699" s="265" t="s">
        <v>15996</v>
      </c>
      <c r="C4699" s="261" t="s">
        <v>6</v>
      </c>
      <c r="D4699" s="266">
        <v>49.55</v>
      </c>
    </row>
    <row r="4700" spans="1:4">
      <c r="A4700" s="261">
        <v>4508181</v>
      </c>
      <c r="B4700" s="265" t="s">
        <v>15997</v>
      </c>
      <c r="C4700" s="261" t="s">
        <v>6</v>
      </c>
      <c r="D4700" s="266">
        <v>49.54</v>
      </c>
    </row>
    <row r="4701" spans="1:4">
      <c r="A4701" s="261">
        <v>4508125</v>
      </c>
      <c r="B4701" s="265" t="s">
        <v>15998</v>
      </c>
      <c r="C4701" s="261" t="s">
        <v>6</v>
      </c>
      <c r="D4701" s="266">
        <v>57.52</v>
      </c>
    </row>
    <row r="4702" spans="1:4">
      <c r="A4702" s="261">
        <v>4507828</v>
      </c>
      <c r="B4702" s="265" t="s">
        <v>15999</v>
      </c>
      <c r="C4702" s="261" t="s">
        <v>6</v>
      </c>
      <c r="D4702" s="266">
        <v>57.56</v>
      </c>
    </row>
    <row r="4703" spans="1:4">
      <c r="A4703" s="261">
        <v>4507829</v>
      </c>
      <c r="B4703" s="265" t="s">
        <v>16000</v>
      </c>
      <c r="C4703" s="261" t="s">
        <v>6</v>
      </c>
      <c r="D4703" s="266">
        <v>60.75</v>
      </c>
    </row>
    <row r="4704" spans="1:4">
      <c r="A4704" s="261">
        <v>4508182</v>
      </c>
      <c r="B4704" s="265" t="s">
        <v>16001</v>
      </c>
      <c r="C4704" s="261" t="s">
        <v>6</v>
      </c>
      <c r="D4704" s="266">
        <v>60.84</v>
      </c>
    </row>
    <row r="4705" spans="1:4">
      <c r="A4705" s="261">
        <v>4508092</v>
      </c>
      <c r="B4705" s="265" t="s">
        <v>16002</v>
      </c>
      <c r="C4705" s="261" t="s">
        <v>6</v>
      </c>
      <c r="D4705" s="266">
        <v>65.930000000000007</v>
      </c>
    </row>
    <row r="4706" spans="1:4">
      <c r="A4706" s="261">
        <v>4507830</v>
      </c>
      <c r="B4706" s="265" t="s">
        <v>16003</v>
      </c>
      <c r="C4706" s="261" t="s">
        <v>6</v>
      </c>
      <c r="D4706" s="266">
        <v>66.08</v>
      </c>
    </row>
    <row r="4707" spans="1:4">
      <c r="A4707" s="261">
        <v>4508183</v>
      </c>
      <c r="B4707" s="265" t="s">
        <v>16004</v>
      </c>
      <c r="C4707" s="261" t="s">
        <v>6</v>
      </c>
      <c r="D4707" s="266">
        <v>94.34</v>
      </c>
    </row>
    <row r="4708" spans="1:4">
      <c r="A4708" s="261">
        <v>4507831</v>
      </c>
      <c r="B4708" s="265" t="s">
        <v>16005</v>
      </c>
      <c r="C4708" s="261" t="s">
        <v>6</v>
      </c>
      <c r="D4708" s="266">
        <v>71.7</v>
      </c>
    </row>
    <row r="4709" spans="1:4">
      <c r="A4709" s="261">
        <v>4507832</v>
      </c>
      <c r="B4709" s="265" t="s">
        <v>16006</v>
      </c>
      <c r="C4709" s="261" t="s">
        <v>6</v>
      </c>
      <c r="D4709" s="266">
        <v>94.98</v>
      </c>
    </row>
    <row r="4710" spans="1:4">
      <c r="A4710" s="261">
        <v>4507833</v>
      </c>
      <c r="B4710" s="265" t="s">
        <v>16007</v>
      </c>
      <c r="C4710" s="261" t="s">
        <v>6</v>
      </c>
      <c r="D4710" s="266">
        <v>94.93</v>
      </c>
    </row>
    <row r="4711" spans="1:4">
      <c r="A4711" s="261">
        <v>4507834</v>
      </c>
      <c r="B4711" s="265" t="s">
        <v>16008</v>
      </c>
      <c r="C4711" s="261" t="s">
        <v>6</v>
      </c>
      <c r="D4711" s="266">
        <v>106.24</v>
      </c>
    </row>
    <row r="4712" spans="1:4">
      <c r="A4712" s="261">
        <v>4508184</v>
      </c>
      <c r="B4712" s="265" t="s">
        <v>16009</v>
      </c>
      <c r="C4712" s="261" t="s">
        <v>6</v>
      </c>
      <c r="D4712" s="266">
        <v>106.11</v>
      </c>
    </row>
    <row r="4713" spans="1:4">
      <c r="A4713" s="261">
        <v>4507835</v>
      </c>
      <c r="B4713" s="265" t="s">
        <v>16010</v>
      </c>
      <c r="C4713" s="261" t="s">
        <v>6</v>
      </c>
      <c r="D4713" s="266">
        <v>105.99</v>
      </c>
    </row>
    <row r="4714" spans="1:4">
      <c r="A4714" s="261">
        <v>4508174</v>
      </c>
      <c r="B4714" s="265" t="s">
        <v>16011</v>
      </c>
      <c r="C4714" s="261" t="s">
        <v>6</v>
      </c>
      <c r="D4714" s="266">
        <v>106.23</v>
      </c>
    </row>
    <row r="4715" spans="1:4">
      <c r="A4715" s="261">
        <v>4507836</v>
      </c>
      <c r="B4715" s="265" t="s">
        <v>16012</v>
      </c>
      <c r="C4715" s="261" t="s">
        <v>6</v>
      </c>
      <c r="D4715" s="266">
        <v>106.05</v>
      </c>
    </row>
    <row r="4716" spans="1:4">
      <c r="A4716" s="261">
        <v>4507837</v>
      </c>
      <c r="B4716" s="265" t="s">
        <v>16013</v>
      </c>
      <c r="C4716" s="261" t="s">
        <v>6</v>
      </c>
      <c r="D4716" s="266">
        <v>111.43</v>
      </c>
    </row>
    <row r="4717" spans="1:4">
      <c r="A4717" s="261">
        <v>4507838</v>
      </c>
      <c r="B4717" s="265" t="s">
        <v>16014</v>
      </c>
      <c r="C4717" s="261" t="s">
        <v>6</v>
      </c>
      <c r="D4717" s="266">
        <v>111.69</v>
      </c>
    </row>
    <row r="4718" spans="1:4">
      <c r="A4718" s="261">
        <v>4507839</v>
      </c>
      <c r="B4718" s="265" t="s">
        <v>16015</v>
      </c>
      <c r="C4718" s="261" t="s">
        <v>6</v>
      </c>
      <c r="D4718" s="266">
        <v>119.31</v>
      </c>
    </row>
    <row r="4719" spans="1:4">
      <c r="A4719" s="261">
        <v>4508175</v>
      </c>
      <c r="B4719" s="265" t="s">
        <v>16016</v>
      </c>
      <c r="C4719" s="261" t="s">
        <v>6</v>
      </c>
      <c r="D4719" s="266">
        <v>119.13</v>
      </c>
    </row>
    <row r="4720" spans="1:4">
      <c r="A4720" s="261">
        <v>4507840</v>
      </c>
      <c r="B4720" s="265" t="s">
        <v>16017</v>
      </c>
      <c r="C4720" s="261" t="s">
        <v>6</v>
      </c>
      <c r="D4720" s="266">
        <v>119.1</v>
      </c>
    </row>
    <row r="4721" spans="1:4">
      <c r="A4721" s="261">
        <v>4507841</v>
      </c>
      <c r="B4721" s="265" t="s">
        <v>16018</v>
      </c>
      <c r="C4721" s="261" t="s">
        <v>6</v>
      </c>
      <c r="D4721" s="266">
        <v>118.85</v>
      </c>
    </row>
    <row r="4722" spans="1:4">
      <c r="A4722" s="261">
        <v>4507842</v>
      </c>
      <c r="B4722" s="265" t="s">
        <v>16019</v>
      </c>
      <c r="C4722" s="261" t="s">
        <v>6</v>
      </c>
      <c r="D4722" s="266">
        <v>121.46</v>
      </c>
    </row>
    <row r="4723" spans="1:4">
      <c r="A4723" s="261">
        <v>4508185</v>
      </c>
      <c r="B4723" s="265" t="s">
        <v>16020</v>
      </c>
      <c r="C4723" s="261" t="s">
        <v>6</v>
      </c>
      <c r="D4723" s="266">
        <v>121.23</v>
      </c>
    </row>
    <row r="4724" spans="1:4">
      <c r="A4724" s="261">
        <v>4507843</v>
      </c>
      <c r="B4724" s="265" t="s">
        <v>16021</v>
      </c>
      <c r="C4724" s="261" t="s">
        <v>6</v>
      </c>
      <c r="D4724" s="266">
        <v>121.1</v>
      </c>
    </row>
    <row r="4725" spans="1:4">
      <c r="A4725" s="261">
        <v>4507844</v>
      </c>
      <c r="B4725" s="265" t="s">
        <v>16022</v>
      </c>
      <c r="C4725" s="261" t="s">
        <v>6</v>
      </c>
      <c r="D4725" s="266">
        <v>151.34</v>
      </c>
    </row>
    <row r="4726" spans="1:4">
      <c r="A4726" s="261">
        <v>4508186</v>
      </c>
      <c r="B4726" s="265" t="s">
        <v>16023</v>
      </c>
      <c r="C4726" s="261" t="s">
        <v>6</v>
      </c>
      <c r="D4726" s="266">
        <v>151.4</v>
      </c>
    </row>
    <row r="4727" spans="1:4">
      <c r="A4727" s="261">
        <v>4508187</v>
      </c>
      <c r="B4727" s="265" t="s">
        <v>16024</v>
      </c>
      <c r="C4727" s="261" t="s">
        <v>6</v>
      </c>
      <c r="D4727" s="266">
        <v>151.27000000000001</v>
      </c>
    </row>
    <row r="4728" spans="1:4">
      <c r="A4728" s="261">
        <v>4507845</v>
      </c>
      <c r="B4728" s="265" t="s">
        <v>16025</v>
      </c>
      <c r="C4728" s="261" t="s">
        <v>6</v>
      </c>
      <c r="D4728" s="266">
        <v>151.02000000000001</v>
      </c>
    </row>
    <row r="4729" spans="1:4">
      <c r="A4729" s="261">
        <v>4507846</v>
      </c>
      <c r="B4729" s="265" t="s">
        <v>16026</v>
      </c>
      <c r="C4729" s="261" t="s">
        <v>6</v>
      </c>
      <c r="D4729" s="266">
        <v>150.9</v>
      </c>
    </row>
    <row r="4730" spans="1:4">
      <c r="A4730" s="261">
        <v>4507847</v>
      </c>
      <c r="B4730" s="265" t="s">
        <v>16027</v>
      </c>
      <c r="C4730" s="261" t="s">
        <v>6</v>
      </c>
      <c r="D4730" s="266">
        <v>160.97</v>
      </c>
    </row>
    <row r="4731" spans="1:4">
      <c r="A4731" s="261">
        <v>4507848</v>
      </c>
      <c r="B4731" s="265" t="s">
        <v>16028</v>
      </c>
      <c r="C4731" s="261" t="s">
        <v>6</v>
      </c>
      <c r="D4731" s="266">
        <v>160.61000000000001</v>
      </c>
    </row>
    <row r="4732" spans="1:4">
      <c r="A4732" s="261">
        <v>4507849</v>
      </c>
      <c r="B4732" s="265" t="s">
        <v>16029</v>
      </c>
      <c r="C4732" s="261" t="s">
        <v>6</v>
      </c>
      <c r="D4732" s="266">
        <v>160.46</v>
      </c>
    </row>
    <row r="4733" spans="1:4">
      <c r="A4733" s="261">
        <v>4508176</v>
      </c>
      <c r="B4733" s="265" t="s">
        <v>16030</v>
      </c>
      <c r="C4733" s="261" t="s">
        <v>6</v>
      </c>
      <c r="D4733" s="266">
        <v>172.37</v>
      </c>
    </row>
    <row r="4734" spans="1:4">
      <c r="A4734" s="261">
        <v>4507850</v>
      </c>
      <c r="B4734" s="265" t="s">
        <v>16031</v>
      </c>
      <c r="C4734" s="261" t="s">
        <v>6</v>
      </c>
      <c r="D4734" s="266">
        <v>172.19</v>
      </c>
    </row>
    <row r="4735" spans="1:4">
      <c r="A4735" s="261">
        <v>4507956</v>
      </c>
      <c r="B4735" s="265" t="s">
        <v>16032</v>
      </c>
      <c r="C4735" s="261" t="s">
        <v>10</v>
      </c>
      <c r="D4735" s="266">
        <v>13.56</v>
      </c>
    </row>
    <row r="4736" spans="1:4">
      <c r="A4736" s="261">
        <v>4507957</v>
      </c>
      <c r="B4736" s="265" t="s">
        <v>16033</v>
      </c>
      <c r="C4736" s="261" t="s">
        <v>10</v>
      </c>
      <c r="D4736" s="266">
        <v>13.54</v>
      </c>
    </row>
    <row r="4737" spans="1:4">
      <c r="A4737" s="261">
        <v>4507958</v>
      </c>
      <c r="B4737" s="265" t="s">
        <v>16034</v>
      </c>
      <c r="C4737" s="261" t="s">
        <v>10</v>
      </c>
      <c r="D4737" s="266">
        <v>16.78</v>
      </c>
    </row>
    <row r="4738" spans="1:4">
      <c r="A4738" s="261">
        <v>4507959</v>
      </c>
      <c r="B4738" s="265" t="s">
        <v>16035</v>
      </c>
      <c r="C4738" s="261" t="s">
        <v>10</v>
      </c>
      <c r="D4738" s="266">
        <v>16.78</v>
      </c>
    </row>
    <row r="4739" spans="1:4">
      <c r="A4739" s="261">
        <v>4516138</v>
      </c>
      <c r="B4739" s="265" t="s">
        <v>16036</v>
      </c>
      <c r="C4739" s="261" t="s">
        <v>10</v>
      </c>
      <c r="D4739" s="266">
        <v>11.12</v>
      </c>
    </row>
    <row r="4740" spans="1:4">
      <c r="A4740" s="261">
        <v>4516137</v>
      </c>
      <c r="B4740" s="265" t="s">
        <v>16037</v>
      </c>
      <c r="C4740" s="261" t="s">
        <v>3</v>
      </c>
      <c r="D4740" s="266">
        <v>158.41</v>
      </c>
    </row>
    <row r="4741" spans="1:4">
      <c r="A4741" s="261">
        <v>4805755</v>
      </c>
      <c r="B4741" s="265" t="s">
        <v>17</v>
      </c>
      <c r="C4741" s="261" t="s">
        <v>5</v>
      </c>
      <c r="D4741" s="266">
        <v>38.21</v>
      </c>
    </row>
    <row r="4742" spans="1:4">
      <c r="A4742" s="261">
        <v>4805756</v>
      </c>
      <c r="B4742" s="265" t="s">
        <v>16038</v>
      </c>
      <c r="C4742" s="261" t="s">
        <v>3</v>
      </c>
      <c r="D4742" s="266">
        <v>5.73</v>
      </c>
    </row>
    <row r="4743" spans="1:4">
      <c r="A4743" s="261">
        <v>4816020</v>
      </c>
      <c r="B4743" s="265" t="s">
        <v>16039</v>
      </c>
      <c r="C4743" s="261" t="s">
        <v>5</v>
      </c>
      <c r="D4743" s="266">
        <v>12.43</v>
      </c>
    </row>
    <row r="4744" spans="1:4">
      <c r="A4744" s="261">
        <v>4816019</v>
      </c>
      <c r="B4744" s="265" t="s">
        <v>16040</v>
      </c>
      <c r="C4744" s="261" t="s">
        <v>5</v>
      </c>
      <c r="D4744" s="266">
        <v>8.01</v>
      </c>
    </row>
    <row r="4745" spans="1:4">
      <c r="A4745" s="261">
        <v>4816018</v>
      </c>
      <c r="B4745" s="265" t="s">
        <v>16041</v>
      </c>
      <c r="C4745" s="261" t="s">
        <v>5</v>
      </c>
      <c r="D4745" s="266">
        <v>4.8499999999999996</v>
      </c>
    </row>
    <row r="4746" spans="1:4">
      <c r="A4746" s="261">
        <v>4816012</v>
      </c>
      <c r="B4746" s="265" t="s">
        <v>16042</v>
      </c>
      <c r="C4746" s="261" t="s">
        <v>5</v>
      </c>
      <c r="D4746" s="266">
        <v>55.23</v>
      </c>
    </row>
    <row r="4747" spans="1:4">
      <c r="A4747" s="261">
        <v>4815805</v>
      </c>
      <c r="B4747" s="265" t="s">
        <v>16043</v>
      </c>
      <c r="C4747" s="261" t="s">
        <v>3</v>
      </c>
      <c r="D4747" s="266">
        <v>12.82</v>
      </c>
    </row>
    <row r="4748" spans="1:4">
      <c r="A4748" s="261">
        <v>4815802</v>
      </c>
      <c r="B4748" s="265" t="s">
        <v>16044</v>
      </c>
      <c r="C4748" s="261" t="s">
        <v>3</v>
      </c>
      <c r="D4748" s="266">
        <v>18.88</v>
      </c>
    </row>
    <row r="4749" spans="1:4">
      <c r="A4749" s="261">
        <v>4805754</v>
      </c>
      <c r="B4749" s="265" t="s">
        <v>16045</v>
      </c>
      <c r="C4749" s="261" t="s">
        <v>5</v>
      </c>
      <c r="D4749" s="266">
        <v>7.46</v>
      </c>
    </row>
    <row r="4750" spans="1:4">
      <c r="A4750" s="261">
        <v>4816145</v>
      </c>
      <c r="B4750" s="265" t="s">
        <v>16046</v>
      </c>
      <c r="C4750" s="261" t="s">
        <v>6</v>
      </c>
      <c r="D4750" s="266">
        <v>27.57</v>
      </c>
    </row>
    <row r="4751" spans="1:4">
      <c r="A4751" s="261">
        <v>4816144</v>
      </c>
      <c r="B4751" s="265" t="s">
        <v>16047</v>
      </c>
      <c r="C4751" s="261" t="s">
        <v>6</v>
      </c>
      <c r="D4751" s="266">
        <v>25.85</v>
      </c>
    </row>
    <row r="4752" spans="1:4">
      <c r="A4752" s="261">
        <v>4816147</v>
      </c>
      <c r="B4752" s="265" t="s">
        <v>16048</v>
      </c>
      <c r="C4752" s="261" t="s">
        <v>6</v>
      </c>
      <c r="D4752" s="266">
        <v>38.19</v>
      </c>
    </row>
    <row r="4753" spans="1:4">
      <c r="A4753" s="261">
        <v>4816146</v>
      </c>
      <c r="B4753" s="265" t="s">
        <v>16049</v>
      </c>
      <c r="C4753" s="261" t="s">
        <v>6</v>
      </c>
      <c r="D4753" s="266">
        <v>35.090000000000003</v>
      </c>
    </row>
    <row r="4754" spans="1:4">
      <c r="A4754" s="261">
        <v>4816121</v>
      </c>
      <c r="B4754" s="265" t="s">
        <v>16050</v>
      </c>
      <c r="C4754" s="261" t="s">
        <v>6</v>
      </c>
      <c r="D4754" s="266">
        <v>30.57</v>
      </c>
    </row>
    <row r="4755" spans="1:4">
      <c r="A4755" s="261">
        <v>4816120</v>
      </c>
      <c r="B4755" s="265" t="s">
        <v>16051</v>
      </c>
      <c r="C4755" s="261" t="s">
        <v>6</v>
      </c>
      <c r="D4755" s="266">
        <v>28.17</v>
      </c>
    </row>
    <row r="4756" spans="1:4">
      <c r="A4756" s="261">
        <v>4816123</v>
      </c>
      <c r="B4756" s="265" t="s">
        <v>16052</v>
      </c>
      <c r="C4756" s="261" t="s">
        <v>6</v>
      </c>
      <c r="D4756" s="266">
        <v>40.880000000000003</v>
      </c>
    </row>
    <row r="4757" spans="1:4">
      <c r="A4757" s="261">
        <v>4816122</v>
      </c>
      <c r="B4757" s="265" t="s">
        <v>16053</v>
      </c>
      <c r="C4757" s="261" t="s">
        <v>6</v>
      </c>
      <c r="D4757" s="266">
        <v>37.44</v>
      </c>
    </row>
    <row r="4758" spans="1:4">
      <c r="A4758" s="261">
        <v>4816125</v>
      </c>
      <c r="B4758" s="265" t="s">
        <v>16054</v>
      </c>
      <c r="C4758" s="261" t="s">
        <v>6</v>
      </c>
      <c r="D4758" s="266">
        <v>57.64</v>
      </c>
    </row>
    <row r="4759" spans="1:4">
      <c r="A4759" s="261">
        <v>4816124</v>
      </c>
      <c r="B4759" s="265" t="s">
        <v>16055</v>
      </c>
      <c r="C4759" s="261" t="s">
        <v>6</v>
      </c>
      <c r="D4759" s="266">
        <v>51.46</v>
      </c>
    </row>
    <row r="4760" spans="1:4">
      <c r="A4760" s="261">
        <v>4816022</v>
      </c>
      <c r="B4760" s="265" t="s">
        <v>16056</v>
      </c>
      <c r="C4760" s="261" t="s">
        <v>6</v>
      </c>
      <c r="D4760" s="266">
        <v>76.67</v>
      </c>
    </row>
    <row r="4761" spans="1:4">
      <c r="A4761" s="261">
        <v>4816021</v>
      </c>
      <c r="B4761" s="265" t="s">
        <v>16057</v>
      </c>
      <c r="C4761" s="261" t="s">
        <v>6</v>
      </c>
      <c r="D4761" s="266">
        <v>67.19</v>
      </c>
    </row>
    <row r="4762" spans="1:4">
      <c r="A4762" s="261">
        <v>4816106</v>
      </c>
      <c r="B4762" s="265" t="s">
        <v>16058</v>
      </c>
      <c r="C4762" s="261" t="s">
        <v>6</v>
      </c>
      <c r="D4762" s="266">
        <v>31.85</v>
      </c>
    </row>
    <row r="4763" spans="1:4">
      <c r="A4763" s="261">
        <v>4816105</v>
      </c>
      <c r="B4763" s="265" t="s">
        <v>16059</v>
      </c>
      <c r="C4763" s="261" t="s">
        <v>6</v>
      </c>
      <c r="D4763" s="266">
        <v>29.44</v>
      </c>
    </row>
    <row r="4764" spans="1:4">
      <c r="A4764" s="261">
        <v>4816108</v>
      </c>
      <c r="B4764" s="265" t="s">
        <v>16060</v>
      </c>
      <c r="C4764" s="261" t="s">
        <v>6</v>
      </c>
      <c r="D4764" s="266">
        <v>42.15</v>
      </c>
    </row>
    <row r="4765" spans="1:4">
      <c r="A4765" s="261">
        <v>4816107</v>
      </c>
      <c r="B4765" s="265" t="s">
        <v>16061</v>
      </c>
      <c r="C4765" s="261" t="s">
        <v>6</v>
      </c>
      <c r="D4765" s="266">
        <v>38.72</v>
      </c>
    </row>
    <row r="4766" spans="1:4">
      <c r="A4766" s="261">
        <v>4816110</v>
      </c>
      <c r="B4766" s="265" t="s">
        <v>16062</v>
      </c>
      <c r="C4766" s="261" t="s">
        <v>6</v>
      </c>
      <c r="D4766" s="266">
        <v>58.91</v>
      </c>
    </row>
    <row r="4767" spans="1:4">
      <c r="A4767" s="261">
        <v>4816109</v>
      </c>
      <c r="B4767" s="265" t="s">
        <v>16063</v>
      </c>
      <c r="C4767" s="261" t="s">
        <v>6</v>
      </c>
      <c r="D4767" s="266">
        <v>52.73</v>
      </c>
    </row>
    <row r="4768" spans="1:4">
      <c r="A4768" s="261">
        <v>4816100</v>
      </c>
      <c r="B4768" s="265" t="s">
        <v>16064</v>
      </c>
      <c r="C4768" s="261" t="s">
        <v>6</v>
      </c>
      <c r="D4768" s="266">
        <v>31.17</v>
      </c>
    </row>
    <row r="4769" spans="1:4">
      <c r="A4769" s="261">
        <v>4816099</v>
      </c>
      <c r="B4769" s="265" t="s">
        <v>16065</v>
      </c>
      <c r="C4769" s="261" t="s">
        <v>6</v>
      </c>
      <c r="D4769" s="266">
        <v>29.97</v>
      </c>
    </row>
    <row r="4770" spans="1:4">
      <c r="A4770" s="261">
        <v>4816102</v>
      </c>
      <c r="B4770" s="265" t="s">
        <v>16066</v>
      </c>
      <c r="C4770" s="261" t="s">
        <v>6</v>
      </c>
      <c r="D4770" s="266">
        <v>40.270000000000003</v>
      </c>
    </row>
    <row r="4771" spans="1:4">
      <c r="A4771" s="261">
        <v>4816101</v>
      </c>
      <c r="B4771" s="265" t="s">
        <v>16067</v>
      </c>
      <c r="C4771" s="261" t="s">
        <v>6</v>
      </c>
      <c r="D4771" s="266">
        <v>39.479999999999997</v>
      </c>
    </row>
    <row r="4772" spans="1:4">
      <c r="A4772" s="261">
        <v>4816104</v>
      </c>
      <c r="B4772" s="265" t="s">
        <v>16068</v>
      </c>
      <c r="C4772" s="261" t="s">
        <v>6</v>
      </c>
      <c r="D4772" s="266">
        <v>56.46</v>
      </c>
    </row>
    <row r="4773" spans="1:4">
      <c r="A4773" s="261">
        <v>4816103</v>
      </c>
      <c r="B4773" s="265" t="s">
        <v>16069</v>
      </c>
      <c r="C4773" s="261" t="s">
        <v>6</v>
      </c>
      <c r="D4773" s="266">
        <v>53.39</v>
      </c>
    </row>
    <row r="4774" spans="1:4">
      <c r="A4774" s="261">
        <v>4815804</v>
      </c>
      <c r="B4774" s="265" t="s">
        <v>16070</v>
      </c>
      <c r="C4774" s="261" t="s">
        <v>97</v>
      </c>
      <c r="D4774" s="266">
        <v>0.55000000000000004</v>
      </c>
    </row>
    <row r="4775" spans="1:4">
      <c r="A4775" s="261">
        <v>4816002</v>
      </c>
      <c r="B4775" s="265" t="s">
        <v>16071</v>
      </c>
      <c r="C4775" s="261" t="s">
        <v>5</v>
      </c>
      <c r="D4775" s="266">
        <v>1370.35</v>
      </c>
    </row>
    <row r="4776" spans="1:4">
      <c r="A4776" s="261">
        <v>4805765</v>
      </c>
      <c r="B4776" s="265" t="s">
        <v>16072</v>
      </c>
      <c r="C4776" s="261" t="s">
        <v>5</v>
      </c>
      <c r="D4776" s="266">
        <v>196.91</v>
      </c>
    </row>
    <row r="4777" spans="1:4">
      <c r="A4777" s="261">
        <v>4816000</v>
      </c>
      <c r="B4777" s="265" t="s">
        <v>16073</v>
      </c>
      <c r="C4777" s="261" t="s">
        <v>5</v>
      </c>
      <c r="D4777" s="266">
        <v>546.66999999999996</v>
      </c>
    </row>
    <row r="4778" spans="1:4">
      <c r="A4778" s="261">
        <v>4816001</v>
      </c>
      <c r="B4778" s="265" t="s">
        <v>16074</v>
      </c>
      <c r="C4778" s="261" t="s">
        <v>5</v>
      </c>
      <c r="D4778" s="266">
        <v>849.5</v>
      </c>
    </row>
    <row r="4779" spans="1:4">
      <c r="A4779" s="261">
        <v>4805749</v>
      </c>
      <c r="B4779" s="265" t="s">
        <v>16075</v>
      </c>
      <c r="C4779" s="261" t="s">
        <v>5</v>
      </c>
      <c r="D4779" s="266">
        <v>87.59</v>
      </c>
    </row>
    <row r="4780" spans="1:4">
      <c r="A4780" s="261">
        <v>4805751</v>
      </c>
      <c r="B4780" s="265" t="s">
        <v>16076</v>
      </c>
      <c r="C4780" s="261" t="s">
        <v>5</v>
      </c>
      <c r="D4780" s="266">
        <v>65.69</v>
      </c>
    </row>
    <row r="4781" spans="1:4">
      <c r="A4781" s="261">
        <v>4805752</v>
      </c>
      <c r="B4781" s="265" t="s">
        <v>16077</v>
      </c>
      <c r="C4781" s="261" t="s">
        <v>5</v>
      </c>
      <c r="D4781" s="266">
        <v>78.83</v>
      </c>
    </row>
    <row r="4782" spans="1:4">
      <c r="A4782" s="261">
        <v>4805753</v>
      </c>
      <c r="B4782" s="265" t="s">
        <v>16078</v>
      </c>
      <c r="C4782" s="261" t="s">
        <v>5</v>
      </c>
      <c r="D4782" s="266">
        <v>91.97</v>
      </c>
    </row>
    <row r="4783" spans="1:4">
      <c r="A4783" s="261">
        <v>4805750</v>
      </c>
      <c r="B4783" s="265" t="s">
        <v>16079</v>
      </c>
      <c r="C4783" s="261" t="s">
        <v>5</v>
      </c>
      <c r="D4783" s="266">
        <v>52.55</v>
      </c>
    </row>
    <row r="4784" spans="1:4">
      <c r="A4784" s="261">
        <v>4805767</v>
      </c>
      <c r="B4784" s="265" t="s">
        <v>16080</v>
      </c>
      <c r="C4784" s="261" t="s">
        <v>5</v>
      </c>
      <c r="D4784" s="266">
        <v>90.1</v>
      </c>
    </row>
    <row r="4785" spans="1:4">
      <c r="A4785" s="261">
        <v>4805769</v>
      </c>
      <c r="B4785" s="265" t="s">
        <v>16081</v>
      </c>
      <c r="C4785" s="261" t="s">
        <v>5</v>
      </c>
      <c r="D4785" s="266">
        <v>107.26</v>
      </c>
    </row>
    <row r="4786" spans="1:4">
      <c r="A4786" s="261">
        <v>4805770</v>
      </c>
      <c r="B4786" s="265" t="s">
        <v>16082</v>
      </c>
      <c r="C4786" s="261" t="s">
        <v>5</v>
      </c>
      <c r="D4786" s="266">
        <v>124.42</v>
      </c>
    </row>
    <row r="4787" spans="1:4">
      <c r="A4787" s="261">
        <v>4805760</v>
      </c>
      <c r="B4787" s="265" t="s">
        <v>16083</v>
      </c>
      <c r="C4787" s="261" t="s">
        <v>5</v>
      </c>
      <c r="D4787" s="266">
        <v>72.94</v>
      </c>
    </row>
    <row r="4788" spans="1:4">
      <c r="A4788" s="261">
        <v>4805757</v>
      </c>
      <c r="B4788" s="265" t="s">
        <v>16084</v>
      </c>
      <c r="C4788" s="261" t="s">
        <v>5</v>
      </c>
      <c r="D4788" s="266">
        <v>7.15</v>
      </c>
    </row>
    <row r="4789" spans="1:4">
      <c r="A4789" s="261">
        <v>4805762</v>
      </c>
      <c r="B4789" s="265" t="s">
        <v>16085</v>
      </c>
      <c r="C4789" s="261" t="s">
        <v>5</v>
      </c>
      <c r="D4789" s="266">
        <v>8.75</v>
      </c>
    </row>
    <row r="4790" spans="1:4">
      <c r="A4790" s="261">
        <v>4806395</v>
      </c>
      <c r="B4790" s="265" t="s">
        <v>16086</v>
      </c>
      <c r="C4790" s="261" t="s">
        <v>97</v>
      </c>
      <c r="D4790" s="266">
        <v>5.61</v>
      </c>
    </row>
    <row r="4791" spans="1:4">
      <c r="A4791" s="261">
        <v>4816003</v>
      </c>
      <c r="B4791" s="265" t="s">
        <v>16087</v>
      </c>
      <c r="C4791" s="261" t="s">
        <v>6</v>
      </c>
      <c r="D4791" s="266">
        <v>40.200000000000003</v>
      </c>
    </row>
    <row r="4792" spans="1:4">
      <c r="A4792" s="261">
        <v>4816017</v>
      </c>
      <c r="B4792" s="265" t="s">
        <v>16088</v>
      </c>
      <c r="C4792" s="261" t="s">
        <v>5</v>
      </c>
      <c r="D4792" s="266">
        <v>21.52</v>
      </c>
    </row>
    <row r="4793" spans="1:4">
      <c r="A4793" s="261">
        <v>4816023</v>
      </c>
      <c r="B4793" s="265" t="s">
        <v>16089</v>
      </c>
      <c r="C4793" s="261" t="s">
        <v>28</v>
      </c>
      <c r="D4793" s="266">
        <v>225.04</v>
      </c>
    </row>
    <row r="4794" spans="1:4">
      <c r="A4794" s="261">
        <v>4816025</v>
      </c>
      <c r="B4794" s="265" t="s">
        <v>16090</v>
      </c>
      <c r="C4794" s="261" t="s">
        <v>28</v>
      </c>
      <c r="D4794" s="266">
        <v>404.59</v>
      </c>
    </row>
    <row r="4795" spans="1:4">
      <c r="A4795" s="261">
        <v>4816024</v>
      </c>
      <c r="B4795" s="265" t="s">
        <v>16091</v>
      </c>
      <c r="C4795" s="261" t="s">
        <v>28</v>
      </c>
      <c r="D4795" s="266">
        <v>275.95999999999998</v>
      </c>
    </row>
    <row r="4796" spans="1:4">
      <c r="A4796" s="261">
        <v>4816005</v>
      </c>
      <c r="B4796" s="265" t="s">
        <v>16092</v>
      </c>
      <c r="C4796" s="261" t="s">
        <v>5</v>
      </c>
      <c r="D4796" s="266">
        <v>96.87</v>
      </c>
    </row>
    <row r="4797" spans="1:4">
      <c r="A4797" s="261">
        <v>4816016</v>
      </c>
      <c r="B4797" s="265" t="s">
        <v>16093</v>
      </c>
      <c r="C4797" s="261" t="s">
        <v>5</v>
      </c>
      <c r="D4797" s="266">
        <v>40.36</v>
      </c>
    </row>
    <row r="4798" spans="1:4">
      <c r="A4798" s="261">
        <v>4815671</v>
      </c>
      <c r="B4798" s="265" t="s">
        <v>16094</v>
      </c>
      <c r="C4798" s="261" t="s">
        <v>5</v>
      </c>
      <c r="D4798" s="266">
        <v>19.03</v>
      </c>
    </row>
    <row r="4799" spans="1:4">
      <c r="A4799" s="261">
        <v>4815803</v>
      </c>
      <c r="B4799" s="265" t="s">
        <v>16095</v>
      </c>
      <c r="C4799" s="261" t="s">
        <v>6</v>
      </c>
      <c r="D4799" s="266">
        <v>8.4700000000000006</v>
      </c>
    </row>
    <row r="4800" spans="1:4">
      <c r="A4800" s="261">
        <v>4816011</v>
      </c>
      <c r="B4800" s="265" t="s">
        <v>16096</v>
      </c>
      <c r="C4800" s="261" t="s">
        <v>5</v>
      </c>
      <c r="D4800" s="266">
        <v>1536.25</v>
      </c>
    </row>
    <row r="4801" spans="1:4">
      <c r="A4801" s="261">
        <v>4816014</v>
      </c>
      <c r="B4801" s="265" t="s">
        <v>16097</v>
      </c>
      <c r="C4801" s="261" t="s">
        <v>5</v>
      </c>
      <c r="D4801" s="266">
        <v>50.06</v>
      </c>
    </row>
    <row r="4802" spans="1:4">
      <c r="A4802" s="261">
        <v>4816010</v>
      </c>
      <c r="B4802" s="265" t="s">
        <v>16098</v>
      </c>
      <c r="C4802" s="261" t="s">
        <v>5</v>
      </c>
      <c r="D4802" s="266">
        <v>35.159999999999997</v>
      </c>
    </row>
    <row r="4803" spans="1:4">
      <c r="A4803" s="261">
        <v>4816015</v>
      </c>
      <c r="B4803" s="265" t="s">
        <v>16099</v>
      </c>
      <c r="C4803" s="261" t="s">
        <v>5</v>
      </c>
      <c r="D4803" s="266">
        <v>21.06</v>
      </c>
    </row>
    <row r="4804" spans="1:4">
      <c r="A4804" s="261">
        <v>4816119</v>
      </c>
      <c r="B4804" s="265" t="s">
        <v>16100</v>
      </c>
      <c r="C4804" s="261" t="s">
        <v>5</v>
      </c>
      <c r="D4804" s="266">
        <v>43.31</v>
      </c>
    </row>
    <row r="4805" spans="1:4">
      <c r="A4805" s="261">
        <v>4816004</v>
      </c>
      <c r="B4805" s="265" t="s">
        <v>16101</v>
      </c>
      <c r="C4805" s="261" t="s">
        <v>6</v>
      </c>
      <c r="D4805" s="266">
        <v>41.89</v>
      </c>
    </row>
    <row r="4806" spans="1:4">
      <c r="A4806" s="261">
        <v>4915652</v>
      </c>
      <c r="B4806" s="265" t="s">
        <v>16102</v>
      </c>
      <c r="C4806" s="261" t="s">
        <v>97</v>
      </c>
      <c r="D4806" s="266">
        <v>7.53</v>
      </c>
    </row>
    <row r="4807" spans="1:4">
      <c r="A4807" s="261">
        <v>4915651</v>
      </c>
      <c r="B4807" s="265" t="s">
        <v>16103</v>
      </c>
      <c r="C4807" s="261" t="s">
        <v>97</v>
      </c>
      <c r="D4807" s="266">
        <v>9.1999999999999993</v>
      </c>
    </row>
    <row r="4808" spans="1:4">
      <c r="A4808" s="261">
        <v>4915723</v>
      </c>
      <c r="B4808" s="265" t="s">
        <v>16104</v>
      </c>
      <c r="C4808" s="261" t="s">
        <v>3</v>
      </c>
      <c r="D4808" s="266">
        <v>3.54</v>
      </c>
    </row>
    <row r="4809" spans="1:4">
      <c r="A4809" s="261">
        <v>4915724</v>
      </c>
      <c r="B4809" s="265" t="s">
        <v>16105</v>
      </c>
      <c r="C4809" s="261" t="s">
        <v>3</v>
      </c>
      <c r="D4809" s="266">
        <v>1.71</v>
      </c>
    </row>
    <row r="4810" spans="1:4">
      <c r="A4810" s="261">
        <v>4915637</v>
      </c>
      <c r="B4810" s="265" t="s">
        <v>16106</v>
      </c>
      <c r="C4810" s="261" t="s">
        <v>3</v>
      </c>
      <c r="D4810" s="266">
        <v>0.94</v>
      </c>
    </row>
    <row r="4811" spans="1:4">
      <c r="A4811" s="261">
        <v>4915779</v>
      </c>
      <c r="B4811" s="265" t="s">
        <v>16107</v>
      </c>
      <c r="C4811" s="261" t="s">
        <v>3</v>
      </c>
      <c r="D4811" s="266">
        <v>0.66</v>
      </c>
    </row>
    <row r="4812" spans="1:4">
      <c r="A4812" s="261">
        <v>4915638</v>
      </c>
      <c r="B4812" s="265" t="s">
        <v>16108</v>
      </c>
      <c r="C4812" s="261" t="s">
        <v>3</v>
      </c>
      <c r="D4812" s="266">
        <v>0.79</v>
      </c>
    </row>
    <row r="4813" spans="1:4">
      <c r="A4813" s="261">
        <v>4915636</v>
      </c>
      <c r="B4813" s="265" t="s">
        <v>16109</v>
      </c>
      <c r="C4813" s="261" t="s">
        <v>3</v>
      </c>
      <c r="D4813" s="266">
        <v>0.92</v>
      </c>
    </row>
    <row r="4814" spans="1:4">
      <c r="A4814" s="261">
        <v>4915744</v>
      </c>
      <c r="B4814" s="265" t="s">
        <v>16110</v>
      </c>
      <c r="C4814" s="261" t="s">
        <v>3</v>
      </c>
      <c r="D4814" s="266">
        <v>0.88</v>
      </c>
    </row>
    <row r="4815" spans="1:4">
      <c r="A4815" s="261">
        <v>4915700</v>
      </c>
      <c r="B4815" s="265" t="s">
        <v>16111</v>
      </c>
      <c r="C4815" s="261" t="s">
        <v>3</v>
      </c>
      <c r="D4815" s="266">
        <v>1.1000000000000001</v>
      </c>
    </row>
    <row r="4816" spans="1:4">
      <c r="A4816" s="261">
        <v>4915590</v>
      </c>
      <c r="B4816" s="265" t="s">
        <v>16112</v>
      </c>
      <c r="C4816" s="261" t="s">
        <v>3</v>
      </c>
      <c r="D4816" s="266">
        <v>0.81</v>
      </c>
    </row>
    <row r="4817" spans="1:4">
      <c r="A4817" s="261">
        <v>4915591</v>
      </c>
      <c r="B4817" s="265" t="s">
        <v>16113</v>
      </c>
      <c r="C4817" s="261" t="s">
        <v>3</v>
      </c>
      <c r="D4817" s="266">
        <v>0.95</v>
      </c>
    </row>
    <row r="4818" spans="1:4">
      <c r="A4818" s="261">
        <v>4915701</v>
      </c>
      <c r="B4818" s="265" t="s">
        <v>16114</v>
      </c>
      <c r="C4818" s="261" t="s">
        <v>3</v>
      </c>
      <c r="D4818" s="266">
        <v>1.0900000000000001</v>
      </c>
    </row>
    <row r="4819" spans="1:4">
      <c r="A4819" s="261">
        <v>4915703</v>
      </c>
      <c r="B4819" s="265" t="s">
        <v>16115</v>
      </c>
      <c r="C4819" s="261" t="s">
        <v>5</v>
      </c>
      <c r="D4819" s="266">
        <v>118.11</v>
      </c>
    </row>
    <row r="4820" spans="1:4">
      <c r="A4820" s="261">
        <v>4915705</v>
      </c>
      <c r="B4820" s="265" t="s">
        <v>16116</v>
      </c>
      <c r="C4820" s="261" t="s">
        <v>5</v>
      </c>
      <c r="D4820" s="266">
        <v>108.9</v>
      </c>
    </row>
    <row r="4821" spans="1:4">
      <c r="A4821" s="261">
        <v>4915743</v>
      </c>
      <c r="B4821" s="265" t="s">
        <v>16117</v>
      </c>
      <c r="C4821" s="261" t="s">
        <v>3</v>
      </c>
      <c r="D4821" s="266">
        <v>0.09</v>
      </c>
    </row>
    <row r="4822" spans="1:4">
      <c r="A4822" s="261">
        <v>4915768</v>
      </c>
      <c r="B4822" s="265" t="s">
        <v>16118</v>
      </c>
      <c r="C4822" s="261" t="s">
        <v>5</v>
      </c>
      <c r="D4822" s="266">
        <v>15.17</v>
      </c>
    </row>
    <row r="4823" spans="1:4">
      <c r="A4823" s="261">
        <v>4915713</v>
      </c>
      <c r="B4823" s="265" t="s">
        <v>16119</v>
      </c>
      <c r="C4823" s="261" t="s">
        <v>5</v>
      </c>
      <c r="D4823" s="266">
        <v>76.430000000000007</v>
      </c>
    </row>
    <row r="4824" spans="1:4" ht="31.5">
      <c r="A4824" s="261">
        <v>4915650</v>
      </c>
      <c r="B4824" s="265" t="s">
        <v>16120</v>
      </c>
      <c r="C4824" s="261" t="s">
        <v>10</v>
      </c>
      <c r="D4824" s="266">
        <v>360.85</v>
      </c>
    </row>
    <row r="4825" spans="1:4" ht="31.5">
      <c r="A4825" s="261">
        <v>4915645</v>
      </c>
      <c r="B4825" s="265" t="s">
        <v>16121</v>
      </c>
      <c r="C4825" s="261" t="s">
        <v>10</v>
      </c>
      <c r="D4825" s="266">
        <v>274.7</v>
      </c>
    </row>
    <row r="4826" spans="1:4">
      <c r="A4826" s="261">
        <v>4915712</v>
      </c>
      <c r="B4826" s="265" t="s">
        <v>16122</v>
      </c>
      <c r="C4826" s="261" t="s">
        <v>5</v>
      </c>
      <c r="D4826" s="266">
        <v>25.48</v>
      </c>
    </row>
    <row r="4827" spans="1:4">
      <c r="A4827" s="261">
        <v>4915791</v>
      </c>
      <c r="B4827" s="265" t="s">
        <v>16123</v>
      </c>
      <c r="C4827" s="261" t="s">
        <v>5</v>
      </c>
      <c r="D4827" s="266">
        <v>71.599999999999994</v>
      </c>
    </row>
    <row r="4828" spans="1:4">
      <c r="A4828" s="261">
        <v>4915711</v>
      </c>
      <c r="B4828" s="265" t="s">
        <v>16124</v>
      </c>
      <c r="C4828" s="261" t="s">
        <v>6</v>
      </c>
      <c r="D4828" s="266">
        <v>1.7</v>
      </c>
    </row>
    <row r="4829" spans="1:4" ht="31.5">
      <c r="A4829" s="261">
        <v>4915790</v>
      </c>
      <c r="B4829" s="265" t="s">
        <v>16125</v>
      </c>
      <c r="C4829" s="261" t="s">
        <v>18</v>
      </c>
      <c r="D4829" s="266">
        <v>231.53</v>
      </c>
    </row>
    <row r="4830" spans="1:4">
      <c r="A4830" s="261">
        <v>4915793</v>
      </c>
      <c r="B4830" s="265" t="s">
        <v>16126</v>
      </c>
      <c r="C4830" s="261" t="s">
        <v>18</v>
      </c>
      <c r="D4830" s="266">
        <v>176.97</v>
      </c>
    </row>
    <row r="4831" spans="1:4">
      <c r="A4831" s="261">
        <v>4915792</v>
      </c>
      <c r="B4831" s="265" t="s">
        <v>16127</v>
      </c>
      <c r="C4831" s="261" t="s">
        <v>18</v>
      </c>
      <c r="D4831" s="266">
        <v>67.150000000000006</v>
      </c>
    </row>
    <row r="4832" spans="1:4">
      <c r="A4832" s="261">
        <v>4915718</v>
      </c>
      <c r="B4832" s="265" t="s">
        <v>16128</v>
      </c>
      <c r="C4832" s="261" t="s">
        <v>3</v>
      </c>
      <c r="D4832" s="266">
        <v>9.77</v>
      </c>
    </row>
    <row r="4833" spans="1:4">
      <c r="A4833" s="261">
        <v>4915672</v>
      </c>
      <c r="B4833" s="265" t="s">
        <v>16129</v>
      </c>
      <c r="C4833" s="261" t="s">
        <v>6</v>
      </c>
      <c r="D4833" s="266">
        <v>5.0999999999999996</v>
      </c>
    </row>
    <row r="4834" spans="1:4">
      <c r="A4834" s="261">
        <v>4915708</v>
      </c>
      <c r="B4834" s="265" t="s">
        <v>16130</v>
      </c>
      <c r="C4834" s="261" t="s">
        <v>6</v>
      </c>
      <c r="D4834" s="266">
        <v>0.85</v>
      </c>
    </row>
    <row r="4835" spans="1:4">
      <c r="A4835" s="261">
        <v>4915710</v>
      </c>
      <c r="B4835" s="265" t="s">
        <v>16131</v>
      </c>
      <c r="C4835" s="261" t="s">
        <v>6</v>
      </c>
      <c r="D4835" s="266">
        <v>5.0999999999999996</v>
      </c>
    </row>
    <row r="4836" spans="1:4">
      <c r="A4836" s="261">
        <v>4915709</v>
      </c>
      <c r="B4836" s="265" t="s">
        <v>16132</v>
      </c>
      <c r="C4836" s="261" t="s">
        <v>6</v>
      </c>
      <c r="D4836" s="266">
        <v>1.27</v>
      </c>
    </row>
    <row r="4837" spans="1:4">
      <c r="A4837" s="261">
        <v>4915686</v>
      </c>
      <c r="B4837" s="265" t="s">
        <v>16133</v>
      </c>
      <c r="C4837" s="261" t="s">
        <v>97</v>
      </c>
      <c r="D4837" s="266">
        <v>5.0999999999999996</v>
      </c>
    </row>
    <row r="4838" spans="1:4">
      <c r="A4838" s="261">
        <v>4915687</v>
      </c>
      <c r="B4838" s="265" t="s">
        <v>16134</v>
      </c>
      <c r="C4838" s="261" t="s">
        <v>97</v>
      </c>
      <c r="D4838" s="266">
        <v>3.18</v>
      </c>
    </row>
    <row r="4839" spans="1:4">
      <c r="A4839" s="261">
        <v>4915634</v>
      </c>
      <c r="B4839" s="265" t="s">
        <v>16135</v>
      </c>
      <c r="C4839" s="261" t="s">
        <v>6</v>
      </c>
      <c r="D4839" s="266">
        <v>63.19</v>
      </c>
    </row>
    <row r="4840" spans="1:4">
      <c r="A4840" s="261">
        <v>4915633</v>
      </c>
      <c r="B4840" s="265" t="s">
        <v>16136</v>
      </c>
      <c r="C4840" s="261" t="s">
        <v>6</v>
      </c>
      <c r="D4840" s="266">
        <v>20.84</v>
      </c>
    </row>
    <row r="4841" spans="1:4" ht="31.5">
      <c r="A4841" s="261">
        <v>4915714</v>
      </c>
      <c r="B4841" s="265" t="s">
        <v>16137</v>
      </c>
      <c r="C4841" s="261" t="s">
        <v>6</v>
      </c>
      <c r="D4841" s="266">
        <v>3.76</v>
      </c>
    </row>
    <row r="4842" spans="1:4">
      <c r="A4842" s="261">
        <v>4915759</v>
      </c>
      <c r="B4842" s="265" t="s">
        <v>16138</v>
      </c>
      <c r="C4842" s="261" t="s">
        <v>97</v>
      </c>
      <c r="D4842" s="266">
        <v>8.57</v>
      </c>
    </row>
    <row r="4843" spans="1:4">
      <c r="A4843" s="261">
        <v>4915758</v>
      </c>
      <c r="B4843" s="265" t="s">
        <v>16139</v>
      </c>
      <c r="C4843" s="261" t="s">
        <v>6</v>
      </c>
      <c r="D4843" s="266">
        <v>5.12</v>
      </c>
    </row>
    <row r="4844" spans="1:4">
      <c r="A4844" s="261">
        <v>4915640</v>
      </c>
      <c r="B4844" s="265" t="s">
        <v>16140</v>
      </c>
      <c r="C4844" s="261" t="s">
        <v>5</v>
      </c>
      <c r="D4844" s="266">
        <v>25.48</v>
      </c>
    </row>
    <row r="4845" spans="1:4">
      <c r="A4845" s="261">
        <v>4915639</v>
      </c>
      <c r="B4845" s="265" t="s">
        <v>16141</v>
      </c>
      <c r="C4845" s="261" t="s">
        <v>3</v>
      </c>
      <c r="D4845" s="266">
        <v>5.0999999999999996</v>
      </c>
    </row>
    <row r="4846" spans="1:4" ht="31.5">
      <c r="A4846" s="261">
        <v>4915695</v>
      </c>
      <c r="B4846" s="265" t="s">
        <v>16142</v>
      </c>
      <c r="C4846" s="261" t="s">
        <v>6</v>
      </c>
      <c r="D4846" s="266">
        <v>6.67</v>
      </c>
    </row>
    <row r="4847" spans="1:4" ht="31.5">
      <c r="A4847" s="261">
        <v>4915696</v>
      </c>
      <c r="B4847" s="265" t="s">
        <v>16143</v>
      </c>
      <c r="C4847" s="261" t="s">
        <v>6</v>
      </c>
      <c r="D4847" s="266">
        <v>6.67</v>
      </c>
    </row>
    <row r="4848" spans="1:4" ht="31.5">
      <c r="A4848" s="261">
        <v>4915694</v>
      </c>
      <c r="B4848" s="265" t="s">
        <v>16144</v>
      </c>
      <c r="C4848" s="261" t="s">
        <v>6</v>
      </c>
      <c r="D4848" s="266">
        <v>26.45</v>
      </c>
    </row>
    <row r="4849" spans="1:4">
      <c r="A4849" s="261">
        <v>4915654</v>
      </c>
      <c r="B4849" s="265" t="s">
        <v>16145</v>
      </c>
      <c r="C4849" s="261" t="s">
        <v>3</v>
      </c>
      <c r="D4849" s="266">
        <v>11.72</v>
      </c>
    </row>
    <row r="4850" spans="1:4">
      <c r="A4850" s="261">
        <v>4900001</v>
      </c>
      <c r="B4850" s="265" t="s">
        <v>10632</v>
      </c>
      <c r="C4850" s="261" t="s">
        <v>5</v>
      </c>
      <c r="D4850" s="266">
        <v>0</v>
      </c>
    </row>
    <row r="4851" spans="1:4">
      <c r="A4851" s="261">
        <v>4915801</v>
      </c>
      <c r="B4851" s="265" t="s">
        <v>10630</v>
      </c>
      <c r="C4851" s="261" t="s">
        <v>5</v>
      </c>
      <c r="D4851" s="266">
        <v>0</v>
      </c>
    </row>
    <row r="4852" spans="1:4">
      <c r="A4852" s="261">
        <v>4916290</v>
      </c>
      <c r="B4852" s="265" t="s">
        <v>16146</v>
      </c>
      <c r="C4852" s="261" t="s">
        <v>5</v>
      </c>
      <c r="D4852" s="266">
        <v>294</v>
      </c>
    </row>
    <row r="4853" spans="1:4">
      <c r="A4853" s="261">
        <v>4915765</v>
      </c>
      <c r="B4853" s="265" t="s">
        <v>16147</v>
      </c>
      <c r="C4853" s="261" t="s">
        <v>5</v>
      </c>
      <c r="D4853" s="266">
        <v>207.98</v>
      </c>
    </row>
    <row r="4854" spans="1:4">
      <c r="A4854" s="261">
        <v>4915766</v>
      </c>
      <c r="B4854" s="265" t="s">
        <v>16148</v>
      </c>
      <c r="C4854" s="261" t="s">
        <v>5</v>
      </c>
      <c r="D4854" s="266">
        <v>122.07</v>
      </c>
    </row>
    <row r="4855" spans="1:4">
      <c r="A4855" s="261">
        <v>4915764</v>
      </c>
      <c r="B4855" s="265" t="s">
        <v>16149</v>
      </c>
      <c r="C4855" s="261" t="s">
        <v>5</v>
      </c>
      <c r="D4855" s="266">
        <v>374.36</v>
      </c>
    </row>
    <row r="4856" spans="1:4">
      <c r="A4856" s="261">
        <v>4915767</v>
      </c>
      <c r="B4856" s="265" t="s">
        <v>16150</v>
      </c>
      <c r="C4856" s="261" t="s">
        <v>5</v>
      </c>
      <c r="D4856" s="266">
        <v>80.22</v>
      </c>
    </row>
    <row r="4857" spans="1:4">
      <c r="A4857" s="261">
        <v>4915777</v>
      </c>
      <c r="B4857" s="265" t="s">
        <v>16151</v>
      </c>
      <c r="C4857" s="261" t="s">
        <v>6</v>
      </c>
      <c r="D4857" s="266">
        <v>16.600000000000001</v>
      </c>
    </row>
    <row r="4858" spans="1:4">
      <c r="A4858" s="261">
        <v>4915618</v>
      </c>
      <c r="B4858" s="265" t="s">
        <v>16152</v>
      </c>
      <c r="C4858" s="261" t="s">
        <v>3</v>
      </c>
      <c r="D4858" s="266">
        <v>3.09</v>
      </c>
    </row>
    <row r="4859" spans="1:4">
      <c r="A4859" s="261">
        <v>4915774</v>
      </c>
      <c r="B4859" s="265" t="s">
        <v>16153</v>
      </c>
      <c r="C4859" s="261" t="s">
        <v>5</v>
      </c>
      <c r="D4859" s="266">
        <v>26.61</v>
      </c>
    </row>
    <row r="4860" spans="1:4">
      <c r="A4860" s="261">
        <v>4915719</v>
      </c>
      <c r="B4860" s="265" t="s">
        <v>16154</v>
      </c>
      <c r="C4860" s="261" t="s">
        <v>3</v>
      </c>
      <c r="D4860" s="266">
        <v>36.74</v>
      </c>
    </row>
    <row r="4861" spans="1:4">
      <c r="A4861" s="261">
        <v>4915611</v>
      </c>
      <c r="B4861" s="265" t="s">
        <v>16155</v>
      </c>
      <c r="C4861" s="261" t="s">
        <v>5</v>
      </c>
      <c r="D4861" s="266">
        <v>10.99</v>
      </c>
    </row>
    <row r="4862" spans="1:4">
      <c r="A4862" s="261">
        <v>4915733</v>
      </c>
      <c r="B4862" s="265" t="s">
        <v>16156</v>
      </c>
      <c r="C4862" s="261" t="s">
        <v>5</v>
      </c>
      <c r="D4862" s="266">
        <v>45.33</v>
      </c>
    </row>
    <row r="4863" spans="1:4">
      <c r="A4863" s="261">
        <v>4915734</v>
      </c>
      <c r="B4863" s="265" t="s">
        <v>16157</v>
      </c>
      <c r="C4863" s="261" t="s">
        <v>5</v>
      </c>
      <c r="D4863" s="266">
        <v>11.68</v>
      </c>
    </row>
    <row r="4864" spans="1:4">
      <c r="A4864" s="261">
        <v>4915727</v>
      </c>
      <c r="B4864" s="265" t="s">
        <v>16158</v>
      </c>
      <c r="C4864" s="261" t="s">
        <v>6</v>
      </c>
      <c r="D4864" s="266">
        <v>10.84</v>
      </c>
    </row>
    <row r="4865" spans="1:4">
      <c r="A4865" s="261">
        <v>4915726</v>
      </c>
      <c r="B4865" s="265" t="s">
        <v>16159</v>
      </c>
      <c r="C4865" s="261" t="s">
        <v>6</v>
      </c>
      <c r="D4865" s="266">
        <v>25.66</v>
      </c>
    </row>
    <row r="4866" spans="1:4">
      <c r="A4866" s="261">
        <v>4915594</v>
      </c>
      <c r="B4866" s="265" t="s">
        <v>16160</v>
      </c>
      <c r="C4866" s="261" t="s">
        <v>6</v>
      </c>
      <c r="D4866" s="266">
        <v>24.52</v>
      </c>
    </row>
    <row r="4867" spans="1:4">
      <c r="A4867" s="261">
        <v>4915729</v>
      </c>
      <c r="B4867" s="265" t="s">
        <v>16161</v>
      </c>
      <c r="C4867" s="261" t="s">
        <v>6</v>
      </c>
      <c r="D4867" s="266">
        <v>20.3</v>
      </c>
    </row>
    <row r="4868" spans="1:4">
      <c r="A4868" s="261">
        <v>4915596</v>
      </c>
      <c r="B4868" s="265" t="s">
        <v>16162</v>
      </c>
      <c r="C4868" s="261" t="s">
        <v>6</v>
      </c>
      <c r="D4868" s="266">
        <v>19.809999999999999</v>
      </c>
    </row>
    <row r="4869" spans="1:4">
      <c r="A4869" s="261">
        <v>4915732</v>
      </c>
      <c r="B4869" s="265" t="s">
        <v>16163</v>
      </c>
      <c r="C4869" s="261" t="s">
        <v>6</v>
      </c>
      <c r="D4869" s="266">
        <v>8.0299999999999994</v>
      </c>
    </row>
    <row r="4870" spans="1:4">
      <c r="A4870" s="261">
        <v>4915731</v>
      </c>
      <c r="B4870" s="265" t="s">
        <v>16164</v>
      </c>
      <c r="C4870" s="261" t="s">
        <v>6</v>
      </c>
      <c r="D4870" s="266">
        <v>20.13</v>
      </c>
    </row>
    <row r="4871" spans="1:4">
      <c r="A4871" s="261">
        <v>4915725</v>
      </c>
      <c r="B4871" s="265" t="s">
        <v>16165</v>
      </c>
      <c r="C4871" s="261" t="s">
        <v>6</v>
      </c>
      <c r="D4871" s="266">
        <v>30.24</v>
      </c>
    </row>
    <row r="4872" spans="1:4">
      <c r="A4872" s="261">
        <v>4915593</v>
      </c>
      <c r="B4872" s="265" t="s">
        <v>16166</v>
      </c>
      <c r="C4872" s="261" t="s">
        <v>6</v>
      </c>
      <c r="D4872" s="266">
        <v>29.1</v>
      </c>
    </row>
    <row r="4873" spans="1:4">
      <c r="A4873" s="261">
        <v>4915728</v>
      </c>
      <c r="B4873" s="265" t="s">
        <v>16167</v>
      </c>
      <c r="C4873" s="261" t="s">
        <v>6</v>
      </c>
      <c r="D4873" s="266">
        <v>30.78</v>
      </c>
    </row>
    <row r="4874" spans="1:4">
      <c r="A4874" s="261">
        <v>4915595</v>
      </c>
      <c r="B4874" s="265" t="s">
        <v>16168</v>
      </c>
      <c r="C4874" s="261" t="s">
        <v>6</v>
      </c>
      <c r="D4874" s="266">
        <v>30.29</v>
      </c>
    </row>
    <row r="4875" spans="1:4">
      <c r="A4875" s="261">
        <v>4915730</v>
      </c>
      <c r="B4875" s="265" t="s">
        <v>16169</v>
      </c>
      <c r="C4875" s="261" t="s">
        <v>6</v>
      </c>
      <c r="D4875" s="266">
        <v>27.32</v>
      </c>
    </row>
    <row r="4876" spans="1:4">
      <c r="A4876" s="261">
        <v>4915598</v>
      </c>
      <c r="B4876" s="265" t="s">
        <v>16170</v>
      </c>
      <c r="C4876" s="261" t="s">
        <v>3</v>
      </c>
      <c r="D4876" s="266">
        <v>0.1</v>
      </c>
    </row>
    <row r="4877" spans="1:4">
      <c r="A4877" s="261">
        <v>4915748</v>
      </c>
      <c r="B4877" s="265" t="s">
        <v>16171</v>
      </c>
      <c r="C4877" s="261" t="s">
        <v>3</v>
      </c>
      <c r="D4877" s="266">
        <v>200.11</v>
      </c>
    </row>
    <row r="4878" spans="1:4">
      <c r="A4878" s="261">
        <v>4915608</v>
      </c>
      <c r="B4878" s="265" t="s">
        <v>16172</v>
      </c>
      <c r="C4878" s="261" t="s">
        <v>3</v>
      </c>
      <c r="D4878" s="266">
        <v>2.94</v>
      </c>
    </row>
    <row r="4879" spans="1:4">
      <c r="A4879" s="261">
        <v>4915613</v>
      </c>
      <c r="B4879" s="265" t="s">
        <v>16173</v>
      </c>
      <c r="C4879" s="261" t="s">
        <v>3</v>
      </c>
      <c r="D4879" s="266">
        <v>0.15</v>
      </c>
    </row>
    <row r="4880" spans="1:4">
      <c r="A4880" s="261">
        <v>4915692</v>
      </c>
      <c r="B4880" s="265" t="s">
        <v>16174</v>
      </c>
      <c r="C4880" s="261" t="s">
        <v>5</v>
      </c>
      <c r="D4880" s="266">
        <v>420.36</v>
      </c>
    </row>
    <row r="4881" spans="1:4">
      <c r="A4881" s="261">
        <v>4915746</v>
      </c>
      <c r="B4881" s="265" t="s">
        <v>16175</v>
      </c>
      <c r="C4881" s="261" t="s">
        <v>5</v>
      </c>
      <c r="D4881" s="266">
        <v>308.14</v>
      </c>
    </row>
    <row r="4882" spans="1:4">
      <c r="A4882" s="261">
        <v>4915630</v>
      </c>
      <c r="B4882" s="265" t="s">
        <v>16176</v>
      </c>
      <c r="C4882" s="261" t="s">
        <v>5</v>
      </c>
      <c r="D4882" s="266">
        <v>420.36</v>
      </c>
    </row>
    <row r="4883" spans="1:4">
      <c r="A4883" s="261">
        <v>4915631</v>
      </c>
      <c r="B4883" s="265" t="s">
        <v>16177</v>
      </c>
      <c r="C4883" s="261" t="s">
        <v>5</v>
      </c>
      <c r="D4883" s="266">
        <v>308.14</v>
      </c>
    </row>
    <row r="4884" spans="1:4">
      <c r="A4884" s="261">
        <v>4915785</v>
      </c>
      <c r="B4884" s="265" t="s">
        <v>16178</v>
      </c>
      <c r="C4884" s="261" t="s">
        <v>18</v>
      </c>
      <c r="D4884" s="266">
        <v>403.6</v>
      </c>
    </row>
    <row r="4885" spans="1:4">
      <c r="A4885" s="261">
        <v>4915786</v>
      </c>
      <c r="B4885" s="265" t="s">
        <v>16179</v>
      </c>
      <c r="C4885" s="261" t="s">
        <v>18</v>
      </c>
      <c r="D4885" s="266">
        <v>195.39</v>
      </c>
    </row>
    <row r="4886" spans="1:4">
      <c r="A4886" s="261">
        <v>4915795</v>
      </c>
      <c r="B4886" s="265" t="s">
        <v>16180</v>
      </c>
      <c r="C4886" s="261" t="s">
        <v>18</v>
      </c>
      <c r="D4886" s="266">
        <v>354.81</v>
      </c>
    </row>
    <row r="4887" spans="1:4">
      <c r="A4887" s="261">
        <v>4915800</v>
      </c>
      <c r="B4887" s="265" t="s">
        <v>16181</v>
      </c>
      <c r="C4887" s="261" t="s">
        <v>18</v>
      </c>
      <c r="D4887" s="266">
        <v>56.99</v>
      </c>
    </row>
    <row r="4888" spans="1:4">
      <c r="A4888" s="261">
        <v>4915799</v>
      </c>
      <c r="B4888" s="265" t="s">
        <v>16182</v>
      </c>
      <c r="C4888" s="261" t="s">
        <v>18</v>
      </c>
      <c r="D4888" s="266">
        <v>44.12</v>
      </c>
    </row>
    <row r="4889" spans="1:4">
      <c r="A4889" s="261">
        <v>4915698</v>
      </c>
      <c r="B4889" s="265" t="s">
        <v>16183</v>
      </c>
      <c r="C4889" s="261" t="s">
        <v>18</v>
      </c>
      <c r="D4889" s="266">
        <v>18.48</v>
      </c>
    </row>
    <row r="4890" spans="1:4">
      <c r="A4890" s="261">
        <v>4915794</v>
      </c>
      <c r="B4890" s="265" t="s">
        <v>16184</v>
      </c>
      <c r="C4890" s="261" t="s">
        <v>18</v>
      </c>
      <c r="D4890" s="266">
        <v>627.73</v>
      </c>
    </row>
    <row r="4891" spans="1:4" ht="31.5">
      <c r="A4891" s="261">
        <v>4915789</v>
      </c>
      <c r="B4891" s="265" t="s">
        <v>16185</v>
      </c>
      <c r="C4891" s="261" t="s">
        <v>97</v>
      </c>
      <c r="D4891" s="266">
        <v>1796.11</v>
      </c>
    </row>
    <row r="4892" spans="1:4">
      <c r="A4892" s="261">
        <v>4915798</v>
      </c>
      <c r="B4892" s="265" t="s">
        <v>16186</v>
      </c>
      <c r="C4892" s="261" t="s">
        <v>97</v>
      </c>
      <c r="D4892" s="266">
        <v>1592.38</v>
      </c>
    </row>
    <row r="4893" spans="1:4">
      <c r="A4893" s="261">
        <v>4915788</v>
      </c>
      <c r="B4893" s="265" t="s">
        <v>16187</v>
      </c>
      <c r="C4893" s="261" t="s">
        <v>97</v>
      </c>
      <c r="D4893" s="266">
        <v>1628.71</v>
      </c>
    </row>
    <row r="4894" spans="1:4">
      <c r="A4894" s="261">
        <v>4915797</v>
      </c>
      <c r="B4894" s="265" t="s">
        <v>16188</v>
      </c>
      <c r="C4894" s="261" t="s">
        <v>97</v>
      </c>
      <c r="D4894" s="266">
        <v>801.26</v>
      </c>
    </row>
    <row r="4895" spans="1:4" ht="31.5">
      <c r="A4895" s="261">
        <v>4915787</v>
      </c>
      <c r="B4895" s="265" t="s">
        <v>16189</v>
      </c>
      <c r="C4895" s="261" t="s">
        <v>97</v>
      </c>
      <c r="D4895" s="266">
        <v>926.16</v>
      </c>
    </row>
    <row r="4896" spans="1:4">
      <c r="A4896" s="261">
        <v>4915796</v>
      </c>
      <c r="B4896" s="265" t="s">
        <v>16190</v>
      </c>
      <c r="C4896" s="261" t="s">
        <v>97</v>
      </c>
      <c r="D4896" s="266">
        <v>326.82</v>
      </c>
    </row>
    <row r="4897" spans="1:4">
      <c r="A4897" s="261">
        <v>4915760</v>
      </c>
      <c r="B4897" s="265" t="s">
        <v>16191</v>
      </c>
      <c r="C4897" s="261" t="s">
        <v>3</v>
      </c>
      <c r="D4897" s="266">
        <v>56.16</v>
      </c>
    </row>
    <row r="4898" spans="1:4">
      <c r="A4898" s="261">
        <v>4915699</v>
      </c>
      <c r="B4898" s="265" t="s">
        <v>16192</v>
      </c>
      <c r="C4898" s="261" t="s">
        <v>18</v>
      </c>
      <c r="D4898" s="266">
        <v>28.57</v>
      </c>
    </row>
    <row r="4899" spans="1:4">
      <c r="A4899" s="261">
        <v>4915736</v>
      </c>
      <c r="B4899" s="265" t="s">
        <v>16193</v>
      </c>
      <c r="C4899" s="261" t="s">
        <v>5</v>
      </c>
      <c r="D4899" s="266">
        <v>19.21</v>
      </c>
    </row>
    <row r="4900" spans="1:4">
      <c r="A4900" s="261">
        <v>4915735</v>
      </c>
      <c r="B4900" s="265" t="s">
        <v>16194</v>
      </c>
      <c r="C4900" s="261" t="s">
        <v>5</v>
      </c>
      <c r="D4900" s="266">
        <v>15.77</v>
      </c>
    </row>
    <row r="4901" spans="1:4">
      <c r="A4901" s="261">
        <v>4915670</v>
      </c>
      <c r="B4901" s="265" t="s">
        <v>16195</v>
      </c>
      <c r="C4901" s="261" t="s">
        <v>5</v>
      </c>
      <c r="D4901" s="266">
        <v>220.8</v>
      </c>
    </row>
    <row r="4902" spans="1:4">
      <c r="A4902" s="261">
        <v>4915668</v>
      </c>
      <c r="B4902" s="265" t="s">
        <v>16196</v>
      </c>
      <c r="C4902" s="261" t="s">
        <v>5</v>
      </c>
      <c r="D4902" s="266">
        <v>343.61</v>
      </c>
    </row>
    <row r="4903" spans="1:4">
      <c r="A4903" s="261">
        <v>4915761</v>
      </c>
      <c r="B4903" s="265" t="s">
        <v>16197</v>
      </c>
      <c r="C4903" s="261" t="s">
        <v>3</v>
      </c>
      <c r="D4903" s="266">
        <v>5.0999999999999996</v>
      </c>
    </row>
    <row r="4904" spans="1:4">
      <c r="A4904" s="261">
        <v>4915762</v>
      </c>
      <c r="B4904" s="265" t="s">
        <v>16198</v>
      </c>
      <c r="C4904" s="261" t="s">
        <v>6</v>
      </c>
      <c r="D4904" s="266">
        <v>2.5499999999999998</v>
      </c>
    </row>
    <row r="4905" spans="1:4">
      <c r="A4905" s="261">
        <v>4915738</v>
      </c>
      <c r="B4905" s="265" t="s">
        <v>16199</v>
      </c>
      <c r="C4905" s="261" t="s">
        <v>5</v>
      </c>
      <c r="D4905" s="266">
        <v>5.83</v>
      </c>
    </row>
    <row r="4906" spans="1:4">
      <c r="A4906" s="261">
        <v>4915737</v>
      </c>
      <c r="B4906" s="265" t="s">
        <v>16200</v>
      </c>
      <c r="C4906" s="261" t="s">
        <v>5</v>
      </c>
      <c r="D4906" s="266">
        <v>4.9000000000000004</v>
      </c>
    </row>
    <row r="4907" spans="1:4">
      <c r="A4907" s="261">
        <v>4915669</v>
      </c>
      <c r="B4907" s="265" t="s">
        <v>16201</v>
      </c>
      <c r="C4907" s="261" t="s">
        <v>5</v>
      </c>
      <c r="D4907" s="266">
        <v>7.62</v>
      </c>
    </row>
    <row r="4908" spans="1:4">
      <c r="A4908" s="261">
        <v>4915667</v>
      </c>
      <c r="B4908" s="265" t="s">
        <v>16202</v>
      </c>
      <c r="C4908" s="261" t="s">
        <v>5</v>
      </c>
      <c r="D4908" s="266">
        <v>12.14</v>
      </c>
    </row>
    <row r="4909" spans="1:4">
      <c r="A4909" s="261">
        <v>4915632</v>
      </c>
      <c r="B4909" s="265" t="s">
        <v>16203</v>
      </c>
      <c r="C4909" s="261" t="s">
        <v>5</v>
      </c>
      <c r="D4909" s="266">
        <v>424.99</v>
      </c>
    </row>
    <row r="4910" spans="1:4">
      <c r="A4910" s="261">
        <v>4915753</v>
      </c>
      <c r="B4910" s="265" t="s">
        <v>16204</v>
      </c>
      <c r="C4910" s="261" t="s">
        <v>5</v>
      </c>
      <c r="D4910" s="266">
        <v>1239.23</v>
      </c>
    </row>
    <row r="4911" spans="1:4">
      <c r="A4911" s="261">
        <v>4915776</v>
      </c>
      <c r="B4911" s="265" t="s">
        <v>16205</v>
      </c>
      <c r="C4911" s="261" t="s">
        <v>16206</v>
      </c>
      <c r="D4911" s="266">
        <v>859.07</v>
      </c>
    </row>
    <row r="4912" spans="1:4">
      <c r="A4912" s="261">
        <v>4915740</v>
      </c>
      <c r="B4912" s="265" t="s">
        <v>16207</v>
      </c>
      <c r="C4912" s="261" t="s">
        <v>16206</v>
      </c>
      <c r="D4912" s="266">
        <v>2189.65</v>
      </c>
    </row>
    <row r="4913" spans="1:4">
      <c r="A4913" s="261">
        <v>4915741</v>
      </c>
      <c r="B4913" s="265" t="s">
        <v>16208</v>
      </c>
      <c r="C4913" s="261" t="s">
        <v>16206</v>
      </c>
      <c r="D4913" s="266">
        <v>5255.15</v>
      </c>
    </row>
    <row r="4914" spans="1:4">
      <c r="A4914" s="261">
        <v>4915775</v>
      </c>
      <c r="B4914" s="265" t="s">
        <v>16209</v>
      </c>
      <c r="C4914" s="261" t="s">
        <v>16206</v>
      </c>
      <c r="D4914" s="266">
        <v>675.97</v>
      </c>
    </row>
    <row r="4915" spans="1:4">
      <c r="A4915" s="261">
        <v>4915742</v>
      </c>
      <c r="B4915" s="265" t="s">
        <v>16210</v>
      </c>
      <c r="C4915" s="261" t="s">
        <v>16206</v>
      </c>
      <c r="D4915" s="266">
        <v>426.88</v>
      </c>
    </row>
    <row r="4916" spans="1:4">
      <c r="A4916" s="261">
        <v>4915626</v>
      </c>
      <c r="B4916" s="265" t="s">
        <v>16211</v>
      </c>
      <c r="C4916" s="261" t="s">
        <v>6</v>
      </c>
      <c r="D4916" s="266">
        <v>2.09</v>
      </c>
    </row>
    <row r="4917" spans="1:4" ht="31.5">
      <c r="A4917" s="261">
        <v>4915653</v>
      </c>
      <c r="B4917" s="265" t="s">
        <v>16212</v>
      </c>
      <c r="C4917" s="261" t="s">
        <v>10</v>
      </c>
      <c r="D4917" s="266">
        <v>75.27</v>
      </c>
    </row>
    <row r="4918" spans="1:4">
      <c r="A4918" s="261">
        <v>4915623</v>
      </c>
      <c r="B4918" s="265" t="s">
        <v>16213</v>
      </c>
      <c r="C4918" s="261" t="s">
        <v>5</v>
      </c>
      <c r="D4918" s="266">
        <v>47.23</v>
      </c>
    </row>
    <row r="4919" spans="1:4">
      <c r="A4919" s="261">
        <v>4915625</v>
      </c>
      <c r="B4919" s="265" t="s">
        <v>16214</v>
      </c>
      <c r="C4919" s="261" t="s">
        <v>5</v>
      </c>
      <c r="D4919" s="266">
        <v>40.450000000000003</v>
      </c>
    </row>
    <row r="4920" spans="1:4">
      <c r="A4920" s="261">
        <v>4915621</v>
      </c>
      <c r="B4920" s="265" t="s">
        <v>16215</v>
      </c>
      <c r="C4920" s="261" t="s">
        <v>5</v>
      </c>
      <c r="D4920" s="266">
        <v>4.88</v>
      </c>
    </row>
    <row r="4921" spans="1:4">
      <c r="A4921" s="261">
        <v>4915720</v>
      </c>
      <c r="B4921" s="265" t="s">
        <v>16216</v>
      </c>
      <c r="C4921" s="261" t="s">
        <v>97</v>
      </c>
      <c r="D4921" s="266">
        <v>31.63</v>
      </c>
    </row>
    <row r="4922" spans="1:4">
      <c r="A4922" s="261">
        <v>4915592</v>
      </c>
      <c r="B4922" s="265" t="s">
        <v>16217</v>
      </c>
      <c r="C4922" s="261" t="s">
        <v>97</v>
      </c>
      <c r="D4922" s="266">
        <v>31.13</v>
      </c>
    </row>
    <row r="4923" spans="1:4">
      <c r="A4923" s="261">
        <v>4913703</v>
      </c>
      <c r="B4923" s="265" t="s">
        <v>16218</v>
      </c>
      <c r="C4923" s="261" t="s">
        <v>97</v>
      </c>
      <c r="D4923" s="266">
        <v>5578.23</v>
      </c>
    </row>
    <row r="4924" spans="1:4">
      <c r="A4924" s="261">
        <v>4913704</v>
      </c>
      <c r="B4924" s="265" t="s">
        <v>16219</v>
      </c>
      <c r="C4924" s="261" t="s">
        <v>97</v>
      </c>
      <c r="D4924" s="266">
        <v>5458.27</v>
      </c>
    </row>
    <row r="4925" spans="1:4">
      <c r="A4925" s="261">
        <v>4915757</v>
      </c>
      <c r="B4925" s="265" t="s">
        <v>16220</v>
      </c>
      <c r="C4925" s="261" t="s">
        <v>5</v>
      </c>
      <c r="D4925" s="266">
        <v>465.66</v>
      </c>
    </row>
    <row r="4926" spans="1:4">
      <c r="A4926" s="261">
        <v>4915678</v>
      </c>
      <c r="B4926" s="265" t="s">
        <v>16221</v>
      </c>
      <c r="C4926" s="261" t="s">
        <v>5</v>
      </c>
      <c r="D4926" s="266">
        <v>424.68</v>
      </c>
    </row>
    <row r="4927" spans="1:4">
      <c r="A4927" s="261">
        <v>4919547</v>
      </c>
      <c r="B4927" s="265" t="s">
        <v>16222</v>
      </c>
      <c r="C4927" s="261" t="s">
        <v>97</v>
      </c>
      <c r="D4927" s="266">
        <v>528.63</v>
      </c>
    </row>
    <row r="4928" spans="1:4">
      <c r="A4928" s="261">
        <v>4915716</v>
      </c>
      <c r="B4928" s="265" t="s">
        <v>16223</v>
      </c>
      <c r="C4928" s="261" t="s">
        <v>3</v>
      </c>
      <c r="D4928" s="266">
        <v>9.9</v>
      </c>
    </row>
    <row r="4929" spans="1:4">
      <c r="A4929" s="261">
        <v>4915750</v>
      </c>
      <c r="B4929" s="265" t="s">
        <v>16224</v>
      </c>
      <c r="C4929" s="261" t="s">
        <v>6</v>
      </c>
      <c r="D4929" s="266">
        <v>183.43</v>
      </c>
    </row>
    <row r="4930" spans="1:4">
      <c r="A4930" s="261">
        <v>4915769</v>
      </c>
      <c r="B4930" s="265" t="s">
        <v>16225</v>
      </c>
      <c r="C4930" s="261" t="s">
        <v>5</v>
      </c>
      <c r="D4930" s="266">
        <v>30.96</v>
      </c>
    </row>
    <row r="4931" spans="1:4" ht="31.5">
      <c r="A4931" s="261">
        <v>5213836</v>
      </c>
      <c r="B4931" s="265" t="s">
        <v>16226</v>
      </c>
      <c r="C4931" s="261" t="s">
        <v>16227</v>
      </c>
      <c r="D4931" s="266">
        <v>1.1399999999999999</v>
      </c>
    </row>
    <row r="4932" spans="1:4">
      <c r="A4932" s="261">
        <v>5213368</v>
      </c>
      <c r="B4932" s="265" t="s">
        <v>16228</v>
      </c>
      <c r="C4932" s="261" t="s">
        <v>97</v>
      </c>
      <c r="D4932" s="266">
        <v>19.25</v>
      </c>
    </row>
    <row r="4933" spans="1:4">
      <c r="A4933" s="261">
        <v>5213367</v>
      </c>
      <c r="B4933" s="265" t="s">
        <v>16229</v>
      </c>
      <c r="C4933" s="261" t="s">
        <v>97</v>
      </c>
      <c r="D4933" s="266">
        <v>18.309999999999999</v>
      </c>
    </row>
    <row r="4934" spans="1:4">
      <c r="A4934" s="261">
        <v>5213385</v>
      </c>
      <c r="B4934" s="265" t="s">
        <v>16230</v>
      </c>
      <c r="C4934" s="261" t="s">
        <v>97</v>
      </c>
      <c r="D4934" s="266">
        <v>312.67</v>
      </c>
    </row>
    <row r="4935" spans="1:4" ht="31.5">
      <c r="A4935" s="261">
        <v>5213343</v>
      </c>
      <c r="B4935" s="265" t="s">
        <v>16231</v>
      </c>
      <c r="C4935" s="261" t="s">
        <v>16227</v>
      </c>
      <c r="D4935" s="266">
        <v>3.71</v>
      </c>
    </row>
    <row r="4936" spans="1:4">
      <c r="A4936" s="261">
        <v>5213390</v>
      </c>
      <c r="B4936" s="265" t="s">
        <v>16232</v>
      </c>
      <c r="C4936" s="261" t="s">
        <v>6</v>
      </c>
      <c r="D4936" s="266">
        <v>269.08999999999997</v>
      </c>
    </row>
    <row r="4937" spans="1:4" ht="31.5">
      <c r="A4937" s="261">
        <v>5213344</v>
      </c>
      <c r="B4937" s="265" t="s">
        <v>16233</v>
      </c>
      <c r="C4937" s="261" t="s">
        <v>16234</v>
      </c>
      <c r="D4937" s="266">
        <v>3.25</v>
      </c>
    </row>
    <row r="4938" spans="1:4">
      <c r="A4938" s="261">
        <v>5213386</v>
      </c>
      <c r="B4938" s="265" t="s">
        <v>16235</v>
      </c>
      <c r="C4938" s="261" t="s">
        <v>97</v>
      </c>
      <c r="D4938" s="266">
        <v>503.02</v>
      </c>
    </row>
    <row r="4939" spans="1:4" ht="31.5">
      <c r="A4939" s="261">
        <v>5213345</v>
      </c>
      <c r="B4939" s="265" t="s">
        <v>16236</v>
      </c>
      <c r="C4939" s="261" t="s">
        <v>16227</v>
      </c>
      <c r="D4939" s="266">
        <v>5.34</v>
      </c>
    </row>
    <row r="4940" spans="1:4">
      <c r="A4940" s="261">
        <v>5213387</v>
      </c>
      <c r="B4940" s="265" t="s">
        <v>16237</v>
      </c>
      <c r="C4940" s="261" t="s">
        <v>97</v>
      </c>
      <c r="D4940" s="266">
        <v>717.57</v>
      </c>
    </row>
    <row r="4941" spans="1:4" ht="31.5">
      <c r="A4941" s="261">
        <v>5213346</v>
      </c>
      <c r="B4941" s="265" t="s">
        <v>16238</v>
      </c>
      <c r="C4941" s="261" t="s">
        <v>16227</v>
      </c>
      <c r="D4941" s="266">
        <v>7.43</v>
      </c>
    </row>
    <row r="4942" spans="1:4" ht="31.5">
      <c r="A4942" s="261">
        <v>5213843</v>
      </c>
      <c r="B4942" s="265" t="s">
        <v>16239</v>
      </c>
      <c r="C4942" s="261" t="s">
        <v>16234</v>
      </c>
      <c r="D4942" s="266">
        <v>1.1499999999999999</v>
      </c>
    </row>
    <row r="4943" spans="1:4" ht="31.5">
      <c r="A4943" s="261">
        <v>5213833</v>
      </c>
      <c r="B4943" s="265" t="s">
        <v>16240</v>
      </c>
      <c r="C4943" s="261" t="s">
        <v>16227</v>
      </c>
      <c r="D4943" s="266">
        <v>11</v>
      </c>
    </row>
    <row r="4944" spans="1:4" ht="31.5">
      <c r="A4944" s="261">
        <v>5213834</v>
      </c>
      <c r="B4944" s="265" t="s">
        <v>16241</v>
      </c>
      <c r="C4944" s="261" t="s">
        <v>16227</v>
      </c>
      <c r="D4944" s="266">
        <v>7.05</v>
      </c>
    </row>
    <row r="4945" spans="1:4">
      <c r="A4945" s="261">
        <v>5219544</v>
      </c>
      <c r="B4945" s="265" t="s">
        <v>16242</v>
      </c>
      <c r="C4945" s="261" t="s">
        <v>97</v>
      </c>
      <c r="D4945" s="266">
        <v>233.34</v>
      </c>
    </row>
    <row r="4946" spans="1:4" ht="31.5">
      <c r="A4946" s="261">
        <v>5213383</v>
      </c>
      <c r="B4946" s="265" t="s">
        <v>16243</v>
      </c>
      <c r="C4946" s="261" t="s">
        <v>16227</v>
      </c>
      <c r="D4946" s="266">
        <v>0.83</v>
      </c>
    </row>
    <row r="4947" spans="1:4" ht="31.5">
      <c r="A4947" s="261">
        <v>5213380</v>
      </c>
      <c r="B4947" s="265" t="s">
        <v>16244</v>
      </c>
      <c r="C4947" s="261" t="s">
        <v>16227</v>
      </c>
      <c r="D4947" s="266">
        <v>1.88</v>
      </c>
    </row>
    <row r="4948" spans="1:4" ht="31.5">
      <c r="A4948" s="261">
        <v>5213838</v>
      </c>
      <c r="B4948" s="265" t="s">
        <v>16245</v>
      </c>
      <c r="C4948" s="261" t="s">
        <v>16227</v>
      </c>
      <c r="D4948" s="266">
        <v>4.82</v>
      </c>
    </row>
    <row r="4949" spans="1:4">
      <c r="A4949" s="261">
        <v>5213837</v>
      </c>
      <c r="B4949" s="265" t="s">
        <v>16246</v>
      </c>
      <c r="C4949" s="261" t="s">
        <v>97</v>
      </c>
      <c r="D4949" s="266">
        <v>192.38</v>
      </c>
    </row>
    <row r="4950" spans="1:4">
      <c r="A4950" s="261">
        <v>5213835</v>
      </c>
      <c r="B4950" s="265" t="s">
        <v>16247</v>
      </c>
      <c r="C4950" s="261" t="s">
        <v>16227</v>
      </c>
      <c r="D4950" s="266">
        <v>0.77</v>
      </c>
    </row>
    <row r="4951" spans="1:4">
      <c r="A4951" s="261">
        <v>5213839</v>
      </c>
      <c r="B4951" s="265" t="s">
        <v>16248</v>
      </c>
      <c r="C4951" s="261" t="s">
        <v>3</v>
      </c>
      <c r="D4951" s="266">
        <v>296.60000000000002</v>
      </c>
    </row>
    <row r="4952" spans="1:4" ht="31.5">
      <c r="A4952" s="261">
        <v>5213347</v>
      </c>
      <c r="B4952" s="265" t="s">
        <v>16249</v>
      </c>
      <c r="C4952" s="261" t="s">
        <v>16250</v>
      </c>
      <c r="D4952" s="266">
        <v>7.94</v>
      </c>
    </row>
    <row r="4953" spans="1:4">
      <c r="A4953" s="261">
        <v>5213840</v>
      </c>
      <c r="B4953" s="265" t="s">
        <v>16251</v>
      </c>
      <c r="C4953" s="261" t="s">
        <v>3</v>
      </c>
      <c r="D4953" s="266">
        <v>38.950000000000003</v>
      </c>
    </row>
    <row r="4954" spans="1:4" ht="31.5">
      <c r="A4954" s="261">
        <v>5213349</v>
      </c>
      <c r="B4954" s="265" t="s">
        <v>16252</v>
      </c>
      <c r="C4954" s="261" t="s">
        <v>16250</v>
      </c>
      <c r="D4954" s="266">
        <v>0.73</v>
      </c>
    </row>
    <row r="4955" spans="1:4">
      <c r="A4955" s="261">
        <v>5213841</v>
      </c>
      <c r="B4955" s="265" t="s">
        <v>16253</v>
      </c>
      <c r="C4955" s="261" t="s">
        <v>3</v>
      </c>
      <c r="D4955" s="266">
        <v>68.06</v>
      </c>
    </row>
    <row r="4956" spans="1:4" ht="31.5">
      <c r="A4956" s="261">
        <v>5213348</v>
      </c>
      <c r="B4956" s="265" t="s">
        <v>16254</v>
      </c>
      <c r="C4956" s="261" t="s">
        <v>16250</v>
      </c>
      <c r="D4956" s="266">
        <v>0.83</v>
      </c>
    </row>
    <row r="4957" spans="1:4">
      <c r="A4957" s="261">
        <v>5216116</v>
      </c>
      <c r="B4957" s="265" t="s">
        <v>16255</v>
      </c>
      <c r="C4957" s="261" t="s">
        <v>97</v>
      </c>
      <c r="D4957" s="266">
        <v>16.39</v>
      </c>
    </row>
    <row r="4958" spans="1:4">
      <c r="A4958" s="261">
        <v>5216115</v>
      </c>
      <c r="B4958" s="265" t="s">
        <v>16256</v>
      </c>
      <c r="C4958" s="261" t="s">
        <v>97</v>
      </c>
      <c r="D4958" s="266">
        <v>15.89</v>
      </c>
    </row>
    <row r="4959" spans="1:4">
      <c r="A4959" s="261">
        <v>5213842</v>
      </c>
      <c r="B4959" s="265" t="s">
        <v>16257</v>
      </c>
      <c r="C4959" s="261" t="s">
        <v>6</v>
      </c>
      <c r="D4959" s="266">
        <v>0.13</v>
      </c>
    </row>
    <row r="4960" spans="1:4">
      <c r="A4960" s="261">
        <v>5213358</v>
      </c>
      <c r="B4960" s="265" t="s">
        <v>16258</v>
      </c>
      <c r="C4960" s="261" t="s">
        <v>3</v>
      </c>
      <c r="D4960" s="266">
        <v>294.89</v>
      </c>
    </row>
    <row r="4961" spans="1:4" ht="31.5">
      <c r="A4961" s="261">
        <v>5213848</v>
      </c>
      <c r="B4961" s="265" t="s">
        <v>16259</v>
      </c>
      <c r="C4961" s="261" t="s">
        <v>16227</v>
      </c>
      <c r="D4961" s="266">
        <v>1.05</v>
      </c>
    </row>
    <row r="4962" spans="1:4">
      <c r="A4962" s="261">
        <v>5214012</v>
      </c>
      <c r="B4962" s="265" t="s">
        <v>16260</v>
      </c>
      <c r="C4962" s="261" t="s">
        <v>3</v>
      </c>
      <c r="D4962" s="266">
        <v>28.5</v>
      </c>
    </row>
    <row r="4963" spans="1:4">
      <c r="A4963" s="261">
        <v>5213356</v>
      </c>
      <c r="B4963" s="265" t="s">
        <v>16261</v>
      </c>
      <c r="C4963" s="261" t="s">
        <v>3</v>
      </c>
      <c r="D4963" s="266">
        <v>40.14</v>
      </c>
    </row>
    <row r="4964" spans="1:4">
      <c r="A4964" s="261">
        <v>5214011</v>
      </c>
      <c r="B4964" s="265" t="s">
        <v>16262</v>
      </c>
      <c r="C4964" s="261" t="s">
        <v>3</v>
      </c>
      <c r="D4964" s="266">
        <v>13.15</v>
      </c>
    </row>
    <row r="4965" spans="1:4">
      <c r="A4965" s="261">
        <v>5213354</v>
      </c>
      <c r="B4965" s="265" t="s">
        <v>16263</v>
      </c>
      <c r="C4965" s="261" t="s">
        <v>3</v>
      </c>
      <c r="D4965" s="266">
        <v>15.73</v>
      </c>
    </row>
    <row r="4966" spans="1:4">
      <c r="A4966" s="261">
        <v>5213355</v>
      </c>
      <c r="B4966" s="265" t="s">
        <v>16264</v>
      </c>
      <c r="C4966" s="261" t="s">
        <v>3</v>
      </c>
      <c r="D4966" s="266">
        <v>18.34</v>
      </c>
    </row>
    <row r="4967" spans="1:4">
      <c r="A4967" s="261">
        <v>5213850</v>
      </c>
      <c r="B4967" s="265" t="s">
        <v>16265</v>
      </c>
      <c r="C4967" s="261" t="s">
        <v>28</v>
      </c>
      <c r="D4967" s="266">
        <v>25.48</v>
      </c>
    </row>
    <row r="4968" spans="1:4">
      <c r="A4968" s="261">
        <v>5213846</v>
      </c>
      <c r="B4968" s="265" t="s">
        <v>16266</v>
      </c>
      <c r="C4968" s="261" t="s">
        <v>28</v>
      </c>
      <c r="D4968" s="266">
        <v>5.34</v>
      </c>
    </row>
    <row r="4969" spans="1:4">
      <c r="A4969" s="261">
        <v>5213847</v>
      </c>
      <c r="B4969" s="265" t="s">
        <v>16267</v>
      </c>
      <c r="C4969" s="261" t="s">
        <v>28</v>
      </c>
      <c r="D4969" s="266">
        <v>63.54</v>
      </c>
    </row>
    <row r="4970" spans="1:4">
      <c r="A4970" s="261">
        <v>5213845</v>
      </c>
      <c r="B4970" s="265" t="s">
        <v>16268</v>
      </c>
      <c r="C4970" s="261" t="s">
        <v>28</v>
      </c>
      <c r="D4970" s="266">
        <v>22.96</v>
      </c>
    </row>
    <row r="4971" spans="1:4">
      <c r="A4971" s="261">
        <v>5213412</v>
      </c>
      <c r="B4971" s="265" t="s">
        <v>16269</v>
      </c>
      <c r="C4971" s="261" t="s">
        <v>3</v>
      </c>
      <c r="D4971" s="266">
        <v>128.80000000000001</v>
      </c>
    </row>
    <row r="4972" spans="1:4">
      <c r="A4972" s="261">
        <v>5213411</v>
      </c>
      <c r="B4972" s="265" t="s">
        <v>16270</v>
      </c>
      <c r="C4972" s="261" t="s">
        <v>3</v>
      </c>
      <c r="D4972" s="266">
        <v>229.98</v>
      </c>
    </row>
    <row r="4973" spans="1:4">
      <c r="A4973" s="261">
        <v>5214009</v>
      </c>
      <c r="B4973" s="265" t="s">
        <v>16271</v>
      </c>
      <c r="C4973" s="261" t="s">
        <v>3</v>
      </c>
      <c r="D4973" s="266">
        <v>128.80000000000001</v>
      </c>
    </row>
    <row r="4974" spans="1:4">
      <c r="A4974" s="261">
        <v>5214010</v>
      </c>
      <c r="B4974" s="265" t="s">
        <v>16272</v>
      </c>
      <c r="C4974" s="261" t="s">
        <v>3</v>
      </c>
      <c r="D4974" s="266">
        <v>238.78</v>
      </c>
    </row>
    <row r="4975" spans="1:4">
      <c r="A4975" s="261">
        <v>5213413</v>
      </c>
      <c r="B4975" s="265" t="s">
        <v>16273</v>
      </c>
      <c r="C4975" s="261" t="s">
        <v>3</v>
      </c>
      <c r="D4975" s="266">
        <v>67.650000000000006</v>
      </c>
    </row>
    <row r="4976" spans="1:4">
      <c r="A4976" s="261">
        <v>5213410</v>
      </c>
      <c r="B4976" s="265" t="s">
        <v>16274</v>
      </c>
      <c r="C4976" s="261" t="s">
        <v>3</v>
      </c>
      <c r="D4976" s="266">
        <v>129.61000000000001</v>
      </c>
    </row>
    <row r="4977" spans="1:4">
      <c r="A4977" s="261">
        <v>5214004</v>
      </c>
      <c r="B4977" s="265" t="s">
        <v>16275</v>
      </c>
      <c r="C4977" s="261" t="s">
        <v>3</v>
      </c>
      <c r="D4977" s="266">
        <v>154.37</v>
      </c>
    </row>
    <row r="4978" spans="1:4">
      <c r="A4978" s="261">
        <v>5214005</v>
      </c>
      <c r="B4978" s="265" t="s">
        <v>16276</v>
      </c>
      <c r="C4978" s="261" t="s">
        <v>3</v>
      </c>
      <c r="D4978" s="266">
        <v>139.12</v>
      </c>
    </row>
    <row r="4979" spans="1:4">
      <c r="A4979" s="261">
        <v>5214006</v>
      </c>
      <c r="B4979" s="265" t="s">
        <v>16277</v>
      </c>
      <c r="C4979" s="261" t="s">
        <v>3</v>
      </c>
      <c r="D4979" s="266">
        <v>91.82</v>
      </c>
    </row>
    <row r="4980" spans="1:4">
      <c r="A4980" s="261">
        <v>5214007</v>
      </c>
      <c r="B4980" s="265" t="s">
        <v>16278</v>
      </c>
      <c r="C4980" s="261" t="s">
        <v>3</v>
      </c>
      <c r="D4980" s="266">
        <v>79.45</v>
      </c>
    </row>
    <row r="4981" spans="1:4">
      <c r="A4981" s="261">
        <v>5214008</v>
      </c>
      <c r="B4981" s="265" t="s">
        <v>16279</v>
      </c>
      <c r="C4981" s="261" t="s">
        <v>3</v>
      </c>
      <c r="D4981" s="266">
        <v>78.12</v>
      </c>
    </row>
    <row r="4982" spans="1:4">
      <c r="A4982" s="261">
        <v>5213408</v>
      </c>
      <c r="B4982" s="265" t="s">
        <v>16280</v>
      </c>
      <c r="C4982" s="261" t="s">
        <v>3</v>
      </c>
      <c r="D4982" s="266">
        <v>48.43</v>
      </c>
    </row>
    <row r="4983" spans="1:4">
      <c r="A4983" s="261">
        <v>5213400</v>
      </c>
      <c r="B4983" s="265" t="s">
        <v>16281</v>
      </c>
      <c r="C4983" s="261" t="s">
        <v>3</v>
      </c>
      <c r="D4983" s="266">
        <v>28.8</v>
      </c>
    </row>
    <row r="4984" spans="1:4">
      <c r="A4984" s="261">
        <v>5213401</v>
      </c>
      <c r="B4984" s="265" t="s">
        <v>16282</v>
      </c>
      <c r="C4984" s="261" t="s">
        <v>3</v>
      </c>
      <c r="D4984" s="266">
        <v>40.5</v>
      </c>
    </row>
    <row r="4985" spans="1:4">
      <c r="A4985" s="261">
        <v>5214001</v>
      </c>
      <c r="B4985" s="265" t="s">
        <v>16283</v>
      </c>
      <c r="C4985" s="261" t="s">
        <v>3</v>
      </c>
      <c r="D4985" s="266">
        <v>13.44</v>
      </c>
    </row>
    <row r="4986" spans="1:4">
      <c r="A4986" s="261">
        <v>5213402</v>
      </c>
      <c r="B4986" s="265" t="s">
        <v>16284</v>
      </c>
      <c r="C4986" s="261" t="s">
        <v>3</v>
      </c>
      <c r="D4986" s="266">
        <v>16.04</v>
      </c>
    </row>
    <row r="4987" spans="1:4">
      <c r="A4987" s="261">
        <v>5213403</v>
      </c>
      <c r="B4987" s="265" t="s">
        <v>16285</v>
      </c>
      <c r="C4987" s="261" t="s">
        <v>3</v>
      </c>
      <c r="D4987" s="266">
        <v>18.670000000000002</v>
      </c>
    </row>
    <row r="4988" spans="1:4">
      <c r="A4988" s="261">
        <v>5214003</v>
      </c>
      <c r="B4988" s="265" t="s">
        <v>16286</v>
      </c>
      <c r="C4988" s="261" t="s">
        <v>3</v>
      </c>
      <c r="D4988" s="266">
        <v>58.41</v>
      </c>
    </row>
    <row r="4989" spans="1:4">
      <c r="A4989" s="261">
        <v>5213409</v>
      </c>
      <c r="B4989" s="265" t="s">
        <v>16287</v>
      </c>
      <c r="C4989" s="261" t="s">
        <v>3</v>
      </c>
      <c r="D4989" s="266">
        <v>87.47</v>
      </c>
    </row>
    <row r="4990" spans="1:4">
      <c r="A4990" s="261">
        <v>5213404</v>
      </c>
      <c r="B4990" s="265" t="s">
        <v>16288</v>
      </c>
      <c r="C4990" s="261" t="s">
        <v>3</v>
      </c>
      <c r="D4990" s="266">
        <v>42.65</v>
      </c>
    </row>
    <row r="4991" spans="1:4">
      <c r="A4991" s="261">
        <v>5213405</v>
      </c>
      <c r="B4991" s="265" t="s">
        <v>16289</v>
      </c>
      <c r="C4991" s="261" t="s">
        <v>3</v>
      </c>
      <c r="D4991" s="266">
        <v>53.82</v>
      </c>
    </row>
    <row r="4992" spans="1:4">
      <c r="A4992" s="261">
        <v>5214002</v>
      </c>
      <c r="B4992" s="265" t="s">
        <v>16290</v>
      </c>
      <c r="C4992" s="261" t="s">
        <v>3</v>
      </c>
      <c r="D4992" s="266">
        <v>27.49</v>
      </c>
    </row>
    <row r="4993" spans="1:4">
      <c r="A4993" s="261">
        <v>5213406</v>
      </c>
      <c r="B4993" s="265" t="s">
        <v>16291</v>
      </c>
      <c r="C4993" s="261" t="s">
        <v>3</v>
      </c>
      <c r="D4993" s="266">
        <v>29.88</v>
      </c>
    </row>
    <row r="4994" spans="1:4">
      <c r="A4994" s="261">
        <v>5213407</v>
      </c>
      <c r="B4994" s="265" t="s">
        <v>16292</v>
      </c>
      <c r="C4994" s="261" t="s">
        <v>3</v>
      </c>
      <c r="D4994" s="266">
        <v>32.270000000000003</v>
      </c>
    </row>
    <row r="4995" spans="1:4">
      <c r="A4995" s="261">
        <v>5212552</v>
      </c>
      <c r="B4995" s="265" t="s">
        <v>16293</v>
      </c>
      <c r="C4995" s="261" t="s">
        <v>3</v>
      </c>
      <c r="D4995" s="266">
        <v>15.03</v>
      </c>
    </row>
    <row r="4996" spans="1:4">
      <c r="A4996" s="261">
        <v>5213464</v>
      </c>
      <c r="B4996" s="265" t="s">
        <v>16294</v>
      </c>
      <c r="C4996" s="261" t="s">
        <v>97</v>
      </c>
      <c r="D4996" s="266">
        <v>248.85</v>
      </c>
    </row>
    <row r="4997" spans="1:4">
      <c r="A4997" s="261">
        <v>5213465</v>
      </c>
      <c r="B4997" s="265" t="s">
        <v>16295</v>
      </c>
      <c r="C4997" s="261" t="s">
        <v>97</v>
      </c>
      <c r="D4997" s="266">
        <v>423.54</v>
      </c>
    </row>
    <row r="4998" spans="1:4">
      <c r="A4998" s="261">
        <v>5213466</v>
      </c>
      <c r="B4998" s="265" t="s">
        <v>16296</v>
      </c>
      <c r="C4998" s="261" t="s">
        <v>97</v>
      </c>
      <c r="D4998" s="266">
        <v>592.08000000000004</v>
      </c>
    </row>
    <row r="4999" spans="1:4">
      <c r="A4999" s="261">
        <v>5213467</v>
      </c>
      <c r="B4999" s="265" t="s">
        <v>16297</v>
      </c>
      <c r="C4999" s="261" t="s">
        <v>97</v>
      </c>
      <c r="D4999" s="266">
        <v>954.61</v>
      </c>
    </row>
    <row r="5000" spans="1:4">
      <c r="A5000" s="261">
        <v>5213468</v>
      </c>
      <c r="B5000" s="265" t="s">
        <v>16298</v>
      </c>
      <c r="C5000" s="261" t="s">
        <v>97</v>
      </c>
      <c r="D5000" s="266">
        <v>234.76</v>
      </c>
    </row>
    <row r="5001" spans="1:4">
      <c r="A5001" s="261">
        <v>5213469</v>
      </c>
      <c r="B5001" s="265" t="s">
        <v>16299</v>
      </c>
      <c r="C5001" s="261" t="s">
        <v>97</v>
      </c>
      <c r="D5001" s="266">
        <v>396.71</v>
      </c>
    </row>
    <row r="5002" spans="1:4">
      <c r="A5002" s="261">
        <v>5213470</v>
      </c>
      <c r="B5002" s="265" t="s">
        <v>16300</v>
      </c>
      <c r="C5002" s="261" t="s">
        <v>97</v>
      </c>
      <c r="D5002" s="266">
        <v>552.95000000000005</v>
      </c>
    </row>
    <row r="5003" spans="1:4">
      <c r="A5003" s="261">
        <v>5213471</v>
      </c>
      <c r="B5003" s="265" t="s">
        <v>16301</v>
      </c>
      <c r="C5003" s="261" t="s">
        <v>97</v>
      </c>
      <c r="D5003" s="266">
        <v>898.27</v>
      </c>
    </row>
    <row r="5004" spans="1:4" ht="31.5">
      <c r="A5004" s="261">
        <v>5212560</v>
      </c>
      <c r="B5004" s="265" t="s">
        <v>16302</v>
      </c>
      <c r="C5004" s="261" t="s">
        <v>16227</v>
      </c>
      <c r="D5004" s="266">
        <v>4.17</v>
      </c>
    </row>
    <row r="5005" spans="1:4">
      <c r="A5005" s="261">
        <v>5213472</v>
      </c>
      <c r="B5005" s="265" t="s">
        <v>16303</v>
      </c>
      <c r="C5005" s="261" t="s">
        <v>97</v>
      </c>
      <c r="D5005" s="266">
        <v>307.75</v>
      </c>
    </row>
    <row r="5006" spans="1:4">
      <c r="A5006" s="261">
        <v>5213473</v>
      </c>
      <c r="B5006" s="265" t="s">
        <v>16304</v>
      </c>
      <c r="C5006" s="261" t="s">
        <v>97</v>
      </c>
      <c r="D5006" s="266">
        <v>395.15</v>
      </c>
    </row>
    <row r="5007" spans="1:4">
      <c r="A5007" s="261">
        <v>5213474</v>
      </c>
      <c r="B5007" s="265" t="s">
        <v>16305</v>
      </c>
      <c r="C5007" s="261" t="s">
        <v>97</v>
      </c>
      <c r="D5007" s="266">
        <v>284.27</v>
      </c>
    </row>
    <row r="5008" spans="1:4">
      <c r="A5008" s="261">
        <v>5213475</v>
      </c>
      <c r="B5008" s="265" t="s">
        <v>16306</v>
      </c>
      <c r="C5008" s="261" t="s">
        <v>97</v>
      </c>
      <c r="D5008" s="266">
        <v>365.79</v>
      </c>
    </row>
    <row r="5009" spans="1:4">
      <c r="A5009" s="261">
        <v>5213440</v>
      </c>
      <c r="B5009" s="265" t="s">
        <v>16307</v>
      </c>
      <c r="C5009" s="261" t="s">
        <v>97</v>
      </c>
      <c r="D5009" s="266">
        <v>248.82</v>
      </c>
    </row>
    <row r="5010" spans="1:4">
      <c r="A5010" s="261">
        <v>5213441</v>
      </c>
      <c r="B5010" s="265" t="s">
        <v>16308</v>
      </c>
      <c r="C5010" s="261" t="s">
        <v>97</v>
      </c>
      <c r="D5010" s="266">
        <v>423.58</v>
      </c>
    </row>
    <row r="5011" spans="1:4">
      <c r="A5011" s="261">
        <v>5213442</v>
      </c>
      <c r="B5011" s="265" t="s">
        <v>16309</v>
      </c>
      <c r="C5011" s="261" t="s">
        <v>97</v>
      </c>
      <c r="D5011" s="266">
        <v>592.08000000000004</v>
      </c>
    </row>
    <row r="5012" spans="1:4">
      <c r="A5012" s="261">
        <v>5213443</v>
      </c>
      <c r="B5012" s="265" t="s">
        <v>16310</v>
      </c>
      <c r="C5012" s="261" t="s">
        <v>97</v>
      </c>
      <c r="D5012" s="266">
        <v>954.63</v>
      </c>
    </row>
    <row r="5013" spans="1:4">
      <c r="A5013" s="261">
        <v>5213444</v>
      </c>
      <c r="B5013" s="265" t="s">
        <v>16311</v>
      </c>
      <c r="C5013" s="261" t="s">
        <v>97</v>
      </c>
      <c r="D5013" s="266">
        <v>248.87</v>
      </c>
    </row>
    <row r="5014" spans="1:4">
      <c r="A5014" s="261">
        <v>5213445</v>
      </c>
      <c r="B5014" s="265" t="s">
        <v>16312</v>
      </c>
      <c r="C5014" s="261" t="s">
        <v>97</v>
      </c>
      <c r="D5014" s="266">
        <v>423.51</v>
      </c>
    </row>
    <row r="5015" spans="1:4">
      <c r="A5015" s="261">
        <v>5213446</v>
      </c>
      <c r="B5015" s="265" t="s">
        <v>16313</v>
      </c>
      <c r="C5015" s="261" t="s">
        <v>97</v>
      </c>
      <c r="D5015" s="266">
        <v>592.08000000000004</v>
      </c>
    </row>
    <row r="5016" spans="1:4">
      <c r="A5016" s="261">
        <v>5213447</v>
      </c>
      <c r="B5016" s="265" t="s">
        <v>16314</v>
      </c>
      <c r="C5016" s="261" t="s">
        <v>97</v>
      </c>
      <c r="D5016" s="266">
        <v>954.68</v>
      </c>
    </row>
    <row r="5017" spans="1:4">
      <c r="A5017" s="261">
        <v>5213448</v>
      </c>
      <c r="B5017" s="265" t="s">
        <v>16315</v>
      </c>
      <c r="C5017" s="261" t="s">
        <v>97</v>
      </c>
      <c r="D5017" s="266">
        <v>172.79</v>
      </c>
    </row>
    <row r="5018" spans="1:4">
      <c r="A5018" s="261">
        <v>5213449</v>
      </c>
      <c r="B5018" s="265" t="s">
        <v>16316</v>
      </c>
      <c r="C5018" s="261" t="s">
        <v>97</v>
      </c>
      <c r="D5018" s="266">
        <v>270.27999999999997</v>
      </c>
    </row>
    <row r="5019" spans="1:4">
      <c r="A5019" s="261">
        <v>5213450</v>
      </c>
      <c r="B5019" s="265" t="s">
        <v>16317</v>
      </c>
      <c r="C5019" s="261" t="s">
        <v>97</v>
      </c>
      <c r="D5019" s="266">
        <v>377.54</v>
      </c>
    </row>
    <row r="5020" spans="1:4">
      <c r="A5020" s="261">
        <v>5213451</v>
      </c>
      <c r="B5020" s="265" t="s">
        <v>16318</v>
      </c>
      <c r="C5020" s="261" t="s">
        <v>97</v>
      </c>
      <c r="D5020" s="266">
        <v>555.11</v>
      </c>
    </row>
    <row r="5021" spans="1:4">
      <c r="A5021" s="261">
        <v>5213452</v>
      </c>
      <c r="B5021" s="265" t="s">
        <v>16319</v>
      </c>
      <c r="C5021" s="261" t="s">
        <v>97</v>
      </c>
      <c r="D5021" s="266">
        <v>234.73</v>
      </c>
    </row>
    <row r="5022" spans="1:4">
      <c r="A5022" s="261">
        <v>5213453</v>
      </c>
      <c r="B5022" s="265" t="s">
        <v>16320</v>
      </c>
      <c r="C5022" s="261" t="s">
        <v>97</v>
      </c>
      <c r="D5022" s="266">
        <v>396.74</v>
      </c>
    </row>
    <row r="5023" spans="1:4">
      <c r="A5023" s="261">
        <v>5213454</v>
      </c>
      <c r="B5023" s="265" t="s">
        <v>16321</v>
      </c>
      <c r="C5023" s="261" t="s">
        <v>97</v>
      </c>
      <c r="D5023" s="266">
        <v>552.95000000000005</v>
      </c>
    </row>
    <row r="5024" spans="1:4">
      <c r="A5024" s="261">
        <v>5213455</v>
      </c>
      <c r="B5024" s="265" t="s">
        <v>16322</v>
      </c>
      <c r="C5024" s="261" t="s">
        <v>97</v>
      </c>
      <c r="D5024" s="266">
        <v>898.28</v>
      </c>
    </row>
    <row r="5025" spans="1:4">
      <c r="A5025" s="261">
        <v>5213456</v>
      </c>
      <c r="B5025" s="265" t="s">
        <v>16323</v>
      </c>
      <c r="C5025" s="261" t="s">
        <v>97</v>
      </c>
      <c r="D5025" s="266">
        <v>234.78</v>
      </c>
    </row>
    <row r="5026" spans="1:4">
      <c r="A5026" s="261">
        <v>5213457</v>
      </c>
      <c r="B5026" s="265" t="s">
        <v>16324</v>
      </c>
      <c r="C5026" s="261" t="s">
        <v>97</v>
      </c>
      <c r="D5026" s="266">
        <v>396.68</v>
      </c>
    </row>
    <row r="5027" spans="1:4">
      <c r="A5027" s="261">
        <v>5213458</v>
      </c>
      <c r="B5027" s="265" t="s">
        <v>16325</v>
      </c>
      <c r="C5027" s="261" t="s">
        <v>97</v>
      </c>
      <c r="D5027" s="266">
        <v>552.95000000000005</v>
      </c>
    </row>
    <row r="5028" spans="1:4">
      <c r="A5028" s="261">
        <v>5213459</v>
      </c>
      <c r="B5028" s="265" t="s">
        <v>16326</v>
      </c>
      <c r="C5028" s="261" t="s">
        <v>97</v>
      </c>
      <c r="D5028" s="266">
        <v>898.33</v>
      </c>
    </row>
    <row r="5029" spans="1:4">
      <c r="A5029" s="261">
        <v>5213460</v>
      </c>
      <c r="B5029" s="265" t="s">
        <v>16327</v>
      </c>
      <c r="C5029" s="261" t="s">
        <v>97</v>
      </c>
      <c r="D5029" s="266">
        <v>164.26</v>
      </c>
    </row>
    <row r="5030" spans="1:4">
      <c r="A5030" s="261">
        <v>5213461</v>
      </c>
      <c r="B5030" s="265" t="s">
        <v>16328</v>
      </c>
      <c r="C5030" s="261" t="s">
        <v>97</v>
      </c>
      <c r="D5030" s="266">
        <v>254.63</v>
      </c>
    </row>
    <row r="5031" spans="1:4">
      <c r="A5031" s="261">
        <v>5213462</v>
      </c>
      <c r="B5031" s="265" t="s">
        <v>16329</v>
      </c>
      <c r="C5031" s="261" t="s">
        <v>97</v>
      </c>
      <c r="D5031" s="266">
        <v>354.07</v>
      </c>
    </row>
    <row r="5032" spans="1:4">
      <c r="A5032" s="261">
        <v>5213463</v>
      </c>
      <c r="B5032" s="265" t="s">
        <v>16330</v>
      </c>
      <c r="C5032" s="261" t="s">
        <v>97</v>
      </c>
      <c r="D5032" s="266">
        <v>453.5</v>
      </c>
    </row>
    <row r="5033" spans="1:4" ht="31.5">
      <c r="A5033" s="261">
        <v>5212557</v>
      </c>
      <c r="B5033" s="265" t="s">
        <v>16331</v>
      </c>
      <c r="C5033" s="261" t="s">
        <v>16227</v>
      </c>
      <c r="D5033" s="266">
        <v>3.92</v>
      </c>
    </row>
    <row r="5034" spans="1:4" ht="31.5">
      <c r="A5034" s="261">
        <v>5212558</v>
      </c>
      <c r="B5034" s="265" t="s">
        <v>16332</v>
      </c>
      <c r="C5034" s="261" t="s">
        <v>16227</v>
      </c>
      <c r="D5034" s="266">
        <v>3.97</v>
      </c>
    </row>
    <row r="5035" spans="1:4" ht="31.5">
      <c r="A5035" s="261">
        <v>5212559</v>
      </c>
      <c r="B5035" s="265" t="s">
        <v>16333</v>
      </c>
      <c r="C5035" s="261" t="s">
        <v>16227</v>
      </c>
      <c r="D5035" s="266">
        <v>3.52</v>
      </c>
    </row>
    <row r="5036" spans="1:4">
      <c r="A5036" s="261">
        <v>5213477</v>
      </c>
      <c r="B5036" s="265" t="s">
        <v>16334</v>
      </c>
      <c r="C5036" s="261" t="s">
        <v>97</v>
      </c>
      <c r="D5036" s="266">
        <v>170.3</v>
      </c>
    </row>
    <row r="5037" spans="1:4">
      <c r="A5037" s="261">
        <v>5213476</v>
      </c>
      <c r="B5037" s="265" t="s">
        <v>16335</v>
      </c>
      <c r="C5037" s="261" t="s">
        <v>97</v>
      </c>
      <c r="D5037" s="266">
        <v>183.02</v>
      </c>
    </row>
    <row r="5038" spans="1:4">
      <c r="A5038" s="261">
        <v>5213479</v>
      </c>
      <c r="B5038" s="265" t="s">
        <v>16336</v>
      </c>
      <c r="C5038" s="261" t="s">
        <v>97</v>
      </c>
      <c r="D5038" s="266">
        <v>159.74</v>
      </c>
    </row>
    <row r="5039" spans="1:4">
      <c r="A5039" s="261">
        <v>5213478</v>
      </c>
      <c r="B5039" s="265" t="s">
        <v>16337</v>
      </c>
      <c r="C5039" s="261" t="s">
        <v>97</v>
      </c>
      <c r="D5039" s="266">
        <v>171.29</v>
      </c>
    </row>
    <row r="5040" spans="1:4">
      <c r="A5040" s="261">
        <v>5213489</v>
      </c>
      <c r="B5040" s="265" t="s">
        <v>16338</v>
      </c>
      <c r="C5040" s="261" t="s">
        <v>97</v>
      </c>
      <c r="D5040" s="266">
        <v>923.57</v>
      </c>
    </row>
    <row r="5041" spans="1:4">
      <c r="A5041" s="261">
        <v>5213498</v>
      </c>
      <c r="B5041" s="265" t="s">
        <v>16339</v>
      </c>
      <c r="C5041" s="261" t="s">
        <v>97</v>
      </c>
      <c r="D5041" s="266">
        <v>988.61</v>
      </c>
    </row>
    <row r="5042" spans="1:4">
      <c r="A5042" s="261">
        <v>5213365</v>
      </c>
      <c r="B5042" s="265" t="s">
        <v>16340</v>
      </c>
      <c r="C5042" s="261" t="s">
        <v>97</v>
      </c>
      <c r="D5042" s="266">
        <v>1108.93</v>
      </c>
    </row>
    <row r="5043" spans="1:4">
      <c r="A5043" s="261">
        <v>5213507</v>
      </c>
      <c r="B5043" s="265" t="s">
        <v>16341</v>
      </c>
      <c r="C5043" s="261" t="s">
        <v>97</v>
      </c>
      <c r="D5043" s="266">
        <v>1151.17</v>
      </c>
    </row>
    <row r="5044" spans="1:4">
      <c r="A5044" s="261">
        <v>5213372</v>
      </c>
      <c r="B5044" s="265" t="s">
        <v>16342</v>
      </c>
      <c r="C5044" s="261" t="s">
        <v>97</v>
      </c>
      <c r="D5044" s="266">
        <v>1271.51</v>
      </c>
    </row>
    <row r="5045" spans="1:4">
      <c r="A5045" s="261">
        <v>5213490</v>
      </c>
      <c r="B5045" s="265" t="s">
        <v>16343</v>
      </c>
      <c r="C5045" s="261" t="s">
        <v>97</v>
      </c>
      <c r="D5045" s="266">
        <v>1973.44</v>
      </c>
    </row>
    <row r="5046" spans="1:4">
      <c r="A5046" s="261">
        <v>5213499</v>
      </c>
      <c r="B5046" s="265" t="s">
        <v>16344</v>
      </c>
      <c r="C5046" s="261" t="s">
        <v>97</v>
      </c>
      <c r="D5046" s="266">
        <v>2119.7800000000002</v>
      </c>
    </row>
    <row r="5047" spans="1:4">
      <c r="A5047" s="261">
        <v>5213366</v>
      </c>
      <c r="B5047" s="265" t="s">
        <v>16345</v>
      </c>
      <c r="C5047" s="261" t="s">
        <v>97</v>
      </c>
      <c r="D5047" s="266">
        <v>2390.5</v>
      </c>
    </row>
    <row r="5048" spans="1:4">
      <c r="A5048" s="261">
        <v>5213508</v>
      </c>
      <c r="B5048" s="265" t="s">
        <v>16346</v>
      </c>
      <c r="C5048" s="261" t="s">
        <v>97</v>
      </c>
      <c r="D5048" s="266">
        <v>2485.54</v>
      </c>
    </row>
    <row r="5049" spans="1:4">
      <c r="A5049" s="261">
        <v>5213373</v>
      </c>
      <c r="B5049" s="265" t="s">
        <v>16347</v>
      </c>
      <c r="C5049" s="261" t="s">
        <v>97</v>
      </c>
      <c r="D5049" s="266">
        <v>2756.31</v>
      </c>
    </row>
    <row r="5050" spans="1:4">
      <c r="A5050" s="261">
        <v>5213491</v>
      </c>
      <c r="B5050" s="265" t="s">
        <v>16348</v>
      </c>
      <c r="C5050" s="261" t="s">
        <v>97</v>
      </c>
      <c r="D5050" s="266">
        <v>2603.37</v>
      </c>
    </row>
    <row r="5051" spans="1:4">
      <c r="A5051" s="261">
        <v>5213500</v>
      </c>
      <c r="B5051" s="265" t="s">
        <v>16349</v>
      </c>
      <c r="C5051" s="261" t="s">
        <v>97</v>
      </c>
      <c r="D5051" s="266">
        <v>2798.49</v>
      </c>
    </row>
    <row r="5052" spans="1:4">
      <c r="A5052" s="261">
        <v>5213369</v>
      </c>
      <c r="B5052" s="265" t="s">
        <v>16350</v>
      </c>
      <c r="C5052" s="261" t="s">
        <v>97</v>
      </c>
      <c r="D5052" s="266">
        <v>3159.45</v>
      </c>
    </row>
    <row r="5053" spans="1:4">
      <c r="A5053" s="261">
        <v>5213509</v>
      </c>
      <c r="B5053" s="265" t="s">
        <v>16351</v>
      </c>
      <c r="C5053" s="261" t="s">
        <v>97</v>
      </c>
      <c r="D5053" s="266">
        <v>3286.17</v>
      </c>
    </row>
    <row r="5054" spans="1:4">
      <c r="A5054" s="261">
        <v>5213374</v>
      </c>
      <c r="B5054" s="265" t="s">
        <v>16352</v>
      </c>
      <c r="C5054" s="261" t="s">
        <v>97</v>
      </c>
      <c r="D5054" s="266">
        <v>3647.19</v>
      </c>
    </row>
    <row r="5055" spans="1:4">
      <c r="A5055" s="261">
        <v>5213492</v>
      </c>
      <c r="B5055" s="265" t="s">
        <v>16353</v>
      </c>
      <c r="C5055" s="261" t="s">
        <v>97</v>
      </c>
      <c r="D5055" s="266">
        <v>3526.94</v>
      </c>
    </row>
    <row r="5056" spans="1:4">
      <c r="A5056" s="261">
        <v>5213501</v>
      </c>
      <c r="B5056" s="265" t="s">
        <v>16354</v>
      </c>
      <c r="C5056" s="261" t="s">
        <v>97</v>
      </c>
      <c r="D5056" s="266">
        <v>3787.1</v>
      </c>
    </row>
    <row r="5057" spans="1:4">
      <c r="A5057" s="261">
        <v>5213370</v>
      </c>
      <c r="B5057" s="265" t="s">
        <v>16355</v>
      </c>
      <c r="C5057" s="261" t="s">
        <v>97</v>
      </c>
      <c r="D5057" s="266">
        <v>4268.38</v>
      </c>
    </row>
    <row r="5058" spans="1:4">
      <c r="A5058" s="261">
        <v>5213510</v>
      </c>
      <c r="B5058" s="265" t="s">
        <v>16356</v>
      </c>
      <c r="C5058" s="261" t="s">
        <v>97</v>
      </c>
      <c r="D5058" s="266">
        <v>4437.34</v>
      </c>
    </row>
    <row r="5059" spans="1:4">
      <c r="A5059" s="261">
        <v>5213375</v>
      </c>
      <c r="B5059" s="265" t="s">
        <v>16357</v>
      </c>
      <c r="C5059" s="261" t="s">
        <v>97</v>
      </c>
      <c r="D5059" s="266">
        <v>4918.7</v>
      </c>
    </row>
    <row r="5060" spans="1:4">
      <c r="A5060" s="261">
        <v>5213494</v>
      </c>
      <c r="B5060" s="265" t="s">
        <v>16358</v>
      </c>
      <c r="C5060" s="261" t="s">
        <v>97</v>
      </c>
      <c r="D5060" s="266">
        <v>5206.74</v>
      </c>
    </row>
    <row r="5061" spans="1:4">
      <c r="A5061" s="261">
        <v>5213503</v>
      </c>
      <c r="B5061" s="265" t="s">
        <v>16359</v>
      </c>
      <c r="C5061" s="261" t="s">
        <v>97</v>
      </c>
      <c r="D5061" s="266">
        <v>5596.98</v>
      </c>
    </row>
    <row r="5062" spans="1:4">
      <c r="A5062" s="261">
        <v>5213371</v>
      </c>
      <c r="B5062" s="265" t="s">
        <v>16360</v>
      </c>
      <c r="C5062" s="261" t="s">
        <v>97</v>
      </c>
      <c r="D5062" s="266">
        <v>6318.9</v>
      </c>
    </row>
    <row r="5063" spans="1:4">
      <c r="A5063" s="261">
        <v>5213512</v>
      </c>
      <c r="B5063" s="265" t="s">
        <v>16361</v>
      </c>
      <c r="C5063" s="261" t="s">
        <v>97</v>
      </c>
      <c r="D5063" s="266">
        <v>6572.34</v>
      </c>
    </row>
    <row r="5064" spans="1:4">
      <c r="A5064" s="261">
        <v>5213376</v>
      </c>
      <c r="B5064" s="265" t="s">
        <v>16362</v>
      </c>
      <c r="C5064" s="261" t="s">
        <v>97</v>
      </c>
      <c r="D5064" s="266">
        <v>7294.38</v>
      </c>
    </row>
    <row r="5065" spans="1:4">
      <c r="A5065" s="261">
        <v>5213377</v>
      </c>
      <c r="B5065" s="265" t="s">
        <v>16363</v>
      </c>
      <c r="C5065" s="261" t="s">
        <v>3</v>
      </c>
      <c r="D5065" s="266">
        <v>327.07</v>
      </c>
    </row>
    <row r="5066" spans="1:4">
      <c r="A5066" s="261">
        <v>5213570</v>
      </c>
      <c r="B5066" s="265" t="s">
        <v>16364</v>
      </c>
      <c r="C5066" s="261" t="s">
        <v>3</v>
      </c>
      <c r="D5066" s="266">
        <v>475.73</v>
      </c>
    </row>
    <row r="5067" spans="1:4">
      <c r="A5067" s="261">
        <v>5213378</v>
      </c>
      <c r="B5067" s="265" t="s">
        <v>16365</v>
      </c>
      <c r="C5067" s="261" t="s">
        <v>3</v>
      </c>
      <c r="D5067" s="266">
        <v>359.59</v>
      </c>
    </row>
    <row r="5068" spans="1:4">
      <c r="A5068" s="261">
        <v>5213571</v>
      </c>
      <c r="B5068" s="265" t="s">
        <v>16366</v>
      </c>
      <c r="C5068" s="261" t="s">
        <v>3</v>
      </c>
      <c r="D5068" s="266">
        <v>508.25</v>
      </c>
    </row>
    <row r="5069" spans="1:4">
      <c r="A5069" s="261">
        <v>5213379</v>
      </c>
      <c r="B5069" s="265" t="s">
        <v>16367</v>
      </c>
      <c r="C5069" s="261" t="s">
        <v>3</v>
      </c>
      <c r="D5069" s="266">
        <v>440.87</v>
      </c>
    </row>
    <row r="5070" spans="1:4">
      <c r="A5070" s="261">
        <v>5213572</v>
      </c>
      <c r="B5070" s="265" t="s">
        <v>16368</v>
      </c>
      <c r="C5070" s="261" t="s">
        <v>3</v>
      </c>
      <c r="D5070" s="266">
        <v>589.53</v>
      </c>
    </row>
    <row r="5071" spans="1:4">
      <c r="A5071" s="261">
        <v>5212553</v>
      </c>
      <c r="B5071" s="265" t="s">
        <v>16369</v>
      </c>
      <c r="C5071" s="261" t="s">
        <v>3</v>
      </c>
      <c r="D5071" s="266">
        <v>271.29000000000002</v>
      </c>
    </row>
    <row r="5072" spans="1:4">
      <c r="A5072" s="261">
        <v>5213416</v>
      </c>
      <c r="B5072" s="265" t="s">
        <v>16370</v>
      </c>
      <c r="C5072" s="261" t="s">
        <v>3</v>
      </c>
      <c r="D5072" s="266">
        <v>419.95</v>
      </c>
    </row>
    <row r="5073" spans="1:4">
      <c r="A5073" s="261">
        <v>5212554</v>
      </c>
      <c r="B5073" s="265" t="s">
        <v>16371</v>
      </c>
      <c r="C5073" s="261" t="s">
        <v>3</v>
      </c>
      <c r="D5073" s="266">
        <v>303.81</v>
      </c>
    </row>
    <row r="5074" spans="1:4">
      <c r="A5074" s="261">
        <v>5213417</v>
      </c>
      <c r="B5074" s="265" t="s">
        <v>16372</v>
      </c>
      <c r="C5074" s="261" t="s">
        <v>3</v>
      </c>
      <c r="D5074" s="266">
        <v>452.47</v>
      </c>
    </row>
    <row r="5075" spans="1:4">
      <c r="A5075" s="261">
        <v>5213421</v>
      </c>
      <c r="B5075" s="265" t="s">
        <v>16373</v>
      </c>
      <c r="C5075" s="261" t="s">
        <v>3</v>
      </c>
      <c r="D5075" s="266">
        <v>424.15</v>
      </c>
    </row>
    <row r="5076" spans="1:4">
      <c r="A5076" s="261">
        <v>5213414</v>
      </c>
      <c r="B5076" s="265" t="s">
        <v>16374</v>
      </c>
      <c r="C5076" s="261" t="s">
        <v>3</v>
      </c>
      <c r="D5076" s="266">
        <v>536.29999999999995</v>
      </c>
    </row>
    <row r="5077" spans="1:4">
      <c r="A5077" s="261">
        <v>5213419</v>
      </c>
      <c r="B5077" s="265" t="s">
        <v>16375</v>
      </c>
      <c r="C5077" s="261" t="s">
        <v>3</v>
      </c>
      <c r="D5077" s="266">
        <v>512.63</v>
      </c>
    </row>
    <row r="5078" spans="1:4">
      <c r="A5078" s="261">
        <v>5212555</v>
      </c>
      <c r="B5078" s="265" t="s">
        <v>16376</v>
      </c>
      <c r="C5078" s="261" t="s">
        <v>3</v>
      </c>
      <c r="D5078" s="266">
        <v>385.09</v>
      </c>
    </row>
    <row r="5079" spans="1:4">
      <c r="A5079" s="261">
        <v>5213418</v>
      </c>
      <c r="B5079" s="265" t="s">
        <v>16377</v>
      </c>
      <c r="C5079" s="261" t="s">
        <v>3</v>
      </c>
      <c r="D5079" s="266">
        <v>533.75</v>
      </c>
    </row>
    <row r="5080" spans="1:4">
      <c r="A5080" s="261">
        <v>5213415</v>
      </c>
      <c r="B5080" s="265" t="s">
        <v>16378</v>
      </c>
      <c r="C5080" s="261" t="s">
        <v>3</v>
      </c>
      <c r="D5080" s="266">
        <v>624.19000000000005</v>
      </c>
    </row>
    <row r="5081" spans="1:4">
      <c r="A5081" s="261">
        <v>5213420</v>
      </c>
      <c r="B5081" s="265" t="s">
        <v>16379</v>
      </c>
      <c r="C5081" s="261" t="s">
        <v>3</v>
      </c>
      <c r="D5081" s="266">
        <v>593.91999999999996</v>
      </c>
    </row>
    <row r="5082" spans="1:4">
      <c r="A5082" s="261">
        <v>5213543</v>
      </c>
      <c r="B5082" s="265" t="s">
        <v>16380</v>
      </c>
      <c r="C5082" s="261" t="s">
        <v>97</v>
      </c>
      <c r="D5082" s="266">
        <v>1183.77</v>
      </c>
    </row>
    <row r="5083" spans="1:4">
      <c r="A5083" s="261">
        <v>5213552</v>
      </c>
      <c r="B5083" s="265" t="s">
        <v>16381</v>
      </c>
      <c r="C5083" s="261" t="s">
        <v>97</v>
      </c>
      <c r="D5083" s="266">
        <v>1248.81</v>
      </c>
    </row>
    <row r="5084" spans="1:4">
      <c r="A5084" s="261">
        <v>5213561</v>
      </c>
      <c r="B5084" s="265" t="s">
        <v>16382</v>
      </c>
      <c r="C5084" s="261" t="s">
        <v>97</v>
      </c>
      <c r="D5084" s="266">
        <v>1411.39</v>
      </c>
    </row>
    <row r="5085" spans="1:4">
      <c r="A5085" s="261">
        <v>5213544</v>
      </c>
      <c r="B5085" s="265" t="s">
        <v>16383</v>
      </c>
      <c r="C5085" s="261" t="s">
        <v>97</v>
      </c>
      <c r="D5085" s="266">
        <v>2558.89</v>
      </c>
    </row>
    <row r="5086" spans="1:4">
      <c r="A5086" s="261">
        <v>5213553</v>
      </c>
      <c r="B5086" s="265" t="s">
        <v>16384</v>
      </c>
      <c r="C5086" s="261" t="s">
        <v>97</v>
      </c>
      <c r="D5086" s="266">
        <v>2705.23</v>
      </c>
    </row>
    <row r="5087" spans="1:4">
      <c r="A5087" s="261">
        <v>5213562</v>
      </c>
      <c r="B5087" s="265" t="s">
        <v>16385</v>
      </c>
      <c r="C5087" s="261" t="s">
        <v>97</v>
      </c>
      <c r="D5087" s="266">
        <v>3071.04</v>
      </c>
    </row>
    <row r="5088" spans="1:4">
      <c r="A5088" s="261">
        <v>5213545</v>
      </c>
      <c r="B5088" s="265" t="s">
        <v>16386</v>
      </c>
      <c r="C5088" s="261" t="s">
        <v>97</v>
      </c>
      <c r="D5088" s="266">
        <v>3383.97</v>
      </c>
    </row>
    <row r="5089" spans="1:4">
      <c r="A5089" s="261">
        <v>5213554</v>
      </c>
      <c r="B5089" s="265" t="s">
        <v>16387</v>
      </c>
      <c r="C5089" s="261" t="s">
        <v>97</v>
      </c>
      <c r="D5089" s="266">
        <v>3579.09</v>
      </c>
    </row>
    <row r="5090" spans="1:4">
      <c r="A5090" s="261">
        <v>5213563</v>
      </c>
      <c r="B5090" s="265" t="s">
        <v>16388</v>
      </c>
      <c r="C5090" s="261" t="s">
        <v>97</v>
      </c>
      <c r="D5090" s="266">
        <v>4066.83</v>
      </c>
    </row>
    <row r="5091" spans="1:4">
      <c r="A5091" s="261">
        <v>5213546</v>
      </c>
      <c r="B5091" s="265" t="s">
        <v>16389</v>
      </c>
      <c r="C5091" s="261" t="s">
        <v>97</v>
      </c>
      <c r="D5091" s="266">
        <v>4567.74</v>
      </c>
    </row>
    <row r="5092" spans="1:4">
      <c r="A5092" s="261">
        <v>5213555</v>
      </c>
      <c r="B5092" s="265" t="s">
        <v>16390</v>
      </c>
      <c r="C5092" s="261" t="s">
        <v>97</v>
      </c>
      <c r="D5092" s="266">
        <v>4827.8999999999996</v>
      </c>
    </row>
    <row r="5093" spans="1:4">
      <c r="A5093" s="261">
        <v>5213564</v>
      </c>
      <c r="B5093" s="265" t="s">
        <v>16391</v>
      </c>
      <c r="C5093" s="261" t="s">
        <v>97</v>
      </c>
      <c r="D5093" s="266">
        <v>5478.22</v>
      </c>
    </row>
    <row r="5094" spans="1:4">
      <c r="A5094" s="261">
        <v>5213548</v>
      </c>
      <c r="B5094" s="265" t="s">
        <v>16392</v>
      </c>
      <c r="C5094" s="261" t="s">
        <v>97</v>
      </c>
      <c r="D5094" s="266">
        <v>6767.94</v>
      </c>
    </row>
    <row r="5095" spans="1:4">
      <c r="A5095" s="261">
        <v>5213557</v>
      </c>
      <c r="B5095" s="265" t="s">
        <v>16393</v>
      </c>
      <c r="C5095" s="261" t="s">
        <v>97</v>
      </c>
      <c r="D5095" s="266">
        <v>7158.18</v>
      </c>
    </row>
    <row r="5096" spans="1:4">
      <c r="A5096" s="261">
        <v>5213566</v>
      </c>
      <c r="B5096" s="265" t="s">
        <v>16394</v>
      </c>
      <c r="C5096" s="261" t="s">
        <v>97</v>
      </c>
      <c r="D5096" s="266">
        <v>8133.66</v>
      </c>
    </row>
    <row r="5097" spans="1:4">
      <c r="A5097" s="261">
        <v>5213576</v>
      </c>
      <c r="B5097" s="265" t="s">
        <v>16395</v>
      </c>
      <c r="C5097" s="261" t="s">
        <v>3</v>
      </c>
      <c r="D5097" s="266">
        <v>605.83000000000004</v>
      </c>
    </row>
    <row r="5098" spans="1:4">
      <c r="A5098" s="261">
        <v>5213577</v>
      </c>
      <c r="B5098" s="265" t="s">
        <v>16396</v>
      </c>
      <c r="C5098" s="261" t="s">
        <v>3</v>
      </c>
      <c r="D5098" s="266">
        <v>638.35</v>
      </c>
    </row>
    <row r="5099" spans="1:4">
      <c r="A5099" s="261">
        <v>5213578</v>
      </c>
      <c r="B5099" s="265" t="s">
        <v>16397</v>
      </c>
      <c r="C5099" s="261" t="s">
        <v>3</v>
      </c>
      <c r="D5099" s="266">
        <v>719.64</v>
      </c>
    </row>
    <row r="5100" spans="1:4">
      <c r="A5100" s="261">
        <v>5213425</v>
      </c>
      <c r="B5100" s="265" t="s">
        <v>16398</v>
      </c>
      <c r="C5100" s="261" t="s">
        <v>3</v>
      </c>
      <c r="D5100" s="266">
        <v>592.44000000000005</v>
      </c>
    </row>
    <row r="5101" spans="1:4">
      <c r="A5101" s="261">
        <v>5213426</v>
      </c>
      <c r="B5101" s="265" t="s">
        <v>16399</v>
      </c>
      <c r="C5101" s="261" t="s">
        <v>3</v>
      </c>
      <c r="D5101" s="266">
        <v>673.73</v>
      </c>
    </row>
    <row r="5102" spans="1:4">
      <c r="A5102" s="261">
        <v>5213427</v>
      </c>
      <c r="B5102" s="265" t="s">
        <v>16400</v>
      </c>
      <c r="C5102" s="261" t="s">
        <v>3</v>
      </c>
      <c r="D5102" s="266">
        <v>733.89</v>
      </c>
    </row>
    <row r="5103" spans="1:4">
      <c r="A5103" s="261">
        <v>5213567</v>
      </c>
      <c r="B5103" s="265" t="s">
        <v>16401</v>
      </c>
      <c r="C5103" s="261" t="s">
        <v>3</v>
      </c>
      <c r="D5103" s="266">
        <v>857.6</v>
      </c>
    </row>
    <row r="5104" spans="1:4" ht="31.5">
      <c r="A5104" s="261">
        <v>5213486</v>
      </c>
      <c r="B5104" s="265" t="s">
        <v>16402</v>
      </c>
      <c r="C5104" s="261" t="s">
        <v>3</v>
      </c>
      <c r="D5104" s="266">
        <v>957.06</v>
      </c>
    </row>
    <row r="5105" spans="1:4" ht="31.5">
      <c r="A5105" s="261">
        <v>5213487</v>
      </c>
      <c r="B5105" s="265" t="s">
        <v>16403</v>
      </c>
      <c r="C5105" s="261" t="s">
        <v>3</v>
      </c>
      <c r="D5105" s="266">
        <v>1038.3499999999999</v>
      </c>
    </row>
    <row r="5106" spans="1:4" ht="31.5">
      <c r="A5106" s="261">
        <v>5213488</v>
      </c>
      <c r="B5106" s="265" t="s">
        <v>16404</v>
      </c>
      <c r="C5106" s="261" t="s">
        <v>3</v>
      </c>
      <c r="D5106" s="266">
        <v>1098.51</v>
      </c>
    </row>
    <row r="5107" spans="1:4" ht="31.5">
      <c r="A5107" s="261">
        <v>5213568</v>
      </c>
      <c r="B5107" s="265" t="s">
        <v>16405</v>
      </c>
      <c r="C5107" s="261" t="s">
        <v>3</v>
      </c>
      <c r="D5107" s="266">
        <v>1222.22</v>
      </c>
    </row>
    <row r="5108" spans="1:4">
      <c r="A5108" s="261">
        <v>5213483</v>
      </c>
      <c r="B5108" s="265" t="s">
        <v>16406</v>
      </c>
      <c r="C5108" s="261" t="s">
        <v>3</v>
      </c>
      <c r="D5108" s="266">
        <v>1008.28</v>
      </c>
    </row>
    <row r="5109" spans="1:4">
      <c r="A5109" s="261">
        <v>5213484</v>
      </c>
      <c r="B5109" s="265" t="s">
        <v>16407</v>
      </c>
      <c r="C5109" s="261" t="s">
        <v>3</v>
      </c>
      <c r="D5109" s="266">
        <v>1089.57</v>
      </c>
    </row>
    <row r="5110" spans="1:4">
      <c r="A5110" s="261">
        <v>5213485</v>
      </c>
      <c r="B5110" s="265" t="s">
        <v>16408</v>
      </c>
      <c r="C5110" s="261" t="s">
        <v>3</v>
      </c>
      <c r="D5110" s="266">
        <v>1149.74</v>
      </c>
    </row>
    <row r="5111" spans="1:4">
      <c r="A5111" s="261">
        <v>5213434</v>
      </c>
      <c r="B5111" s="265" t="s">
        <v>16409</v>
      </c>
      <c r="C5111" s="261" t="s">
        <v>3</v>
      </c>
      <c r="D5111" s="266">
        <v>643.66</v>
      </c>
    </row>
    <row r="5112" spans="1:4">
      <c r="A5112" s="261">
        <v>5213435</v>
      </c>
      <c r="B5112" s="265" t="s">
        <v>16410</v>
      </c>
      <c r="C5112" s="261" t="s">
        <v>3</v>
      </c>
      <c r="D5112" s="266">
        <v>724.95</v>
      </c>
    </row>
    <row r="5113" spans="1:4">
      <c r="A5113" s="261">
        <v>5213436</v>
      </c>
      <c r="B5113" s="265" t="s">
        <v>16411</v>
      </c>
      <c r="C5113" s="261" t="s">
        <v>3</v>
      </c>
      <c r="D5113" s="266">
        <v>785.12</v>
      </c>
    </row>
    <row r="5114" spans="1:4">
      <c r="A5114" s="261">
        <v>5213430</v>
      </c>
      <c r="B5114" s="265" t="s">
        <v>16412</v>
      </c>
      <c r="C5114" s="261" t="s">
        <v>3</v>
      </c>
      <c r="D5114" s="266">
        <v>380.82</v>
      </c>
    </row>
    <row r="5115" spans="1:4">
      <c r="A5115" s="261">
        <v>5213431</v>
      </c>
      <c r="B5115" s="265" t="s">
        <v>16413</v>
      </c>
      <c r="C5115" s="261" t="s">
        <v>3</v>
      </c>
      <c r="D5115" s="266">
        <v>413.33</v>
      </c>
    </row>
    <row r="5116" spans="1:4">
      <c r="A5116" s="261">
        <v>5213433</v>
      </c>
      <c r="B5116" s="265" t="s">
        <v>16414</v>
      </c>
      <c r="C5116" s="261" t="s">
        <v>3</v>
      </c>
      <c r="D5116" s="266">
        <v>385.02</v>
      </c>
    </row>
    <row r="5117" spans="1:4">
      <c r="A5117" s="261">
        <v>5213428</v>
      </c>
      <c r="B5117" s="265" t="s">
        <v>16415</v>
      </c>
      <c r="C5117" s="261" t="s">
        <v>3</v>
      </c>
      <c r="D5117" s="266">
        <v>497.17</v>
      </c>
    </row>
    <row r="5118" spans="1:4">
      <c r="A5118" s="261">
        <v>5213432</v>
      </c>
      <c r="B5118" s="265" t="s">
        <v>16416</v>
      </c>
      <c r="C5118" s="261" t="s">
        <v>3</v>
      </c>
      <c r="D5118" s="266">
        <v>494.62</v>
      </c>
    </row>
    <row r="5119" spans="1:4">
      <c r="A5119" s="261">
        <v>5213429</v>
      </c>
      <c r="B5119" s="265" t="s">
        <v>16417</v>
      </c>
      <c r="C5119" s="261" t="s">
        <v>3</v>
      </c>
      <c r="D5119" s="266">
        <v>585.05999999999995</v>
      </c>
    </row>
    <row r="5120" spans="1:4">
      <c r="A5120" s="261">
        <v>5213516</v>
      </c>
      <c r="B5120" s="265" t="s">
        <v>16418</v>
      </c>
      <c r="C5120" s="261" t="s">
        <v>97</v>
      </c>
      <c r="D5120" s="266">
        <v>845.31</v>
      </c>
    </row>
    <row r="5121" spans="1:4">
      <c r="A5121" s="261">
        <v>5213525</v>
      </c>
      <c r="B5121" s="265" t="s">
        <v>16419</v>
      </c>
      <c r="C5121" s="261" t="s">
        <v>97</v>
      </c>
      <c r="D5121" s="266">
        <v>910.33</v>
      </c>
    </row>
    <row r="5122" spans="1:4">
      <c r="A5122" s="261">
        <v>5213534</v>
      </c>
      <c r="B5122" s="265" t="s">
        <v>16420</v>
      </c>
      <c r="C5122" s="261" t="s">
        <v>97</v>
      </c>
      <c r="D5122" s="266">
        <v>1072.9100000000001</v>
      </c>
    </row>
    <row r="5123" spans="1:4">
      <c r="A5123" s="261">
        <v>5213517</v>
      </c>
      <c r="B5123" s="265" t="s">
        <v>16421</v>
      </c>
      <c r="C5123" s="261" t="s">
        <v>97</v>
      </c>
      <c r="D5123" s="266">
        <v>1797.36</v>
      </c>
    </row>
    <row r="5124" spans="1:4">
      <c r="A5124" s="261">
        <v>5213526</v>
      </c>
      <c r="B5124" s="265" t="s">
        <v>16422</v>
      </c>
      <c r="C5124" s="261" t="s">
        <v>97</v>
      </c>
      <c r="D5124" s="266">
        <v>1943.65</v>
      </c>
    </row>
    <row r="5125" spans="1:4">
      <c r="A5125" s="261">
        <v>5213535</v>
      </c>
      <c r="B5125" s="265" t="s">
        <v>16423</v>
      </c>
      <c r="C5125" s="261" t="s">
        <v>97</v>
      </c>
      <c r="D5125" s="266">
        <v>2309.46</v>
      </c>
    </row>
    <row r="5126" spans="1:4">
      <c r="A5126" s="261">
        <v>5213518</v>
      </c>
      <c r="B5126" s="265" t="s">
        <v>16424</v>
      </c>
      <c r="C5126" s="261" t="s">
        <v>97</v>
      </c>
      <c r="D5126" s="266">
        <v>2368.59</v>
      </c>
    </row>
    <row r="5127" spans="1:4">
      <c r="A5127" s="261">
        <v>5213527</v>
      </c>
      <c r="B5127" s="265" t="s">
        <v>16425</v>
      </c>
      <c r="C5127" s="261" t="s">
        <v>97</v>
      </c>
      <c r="D5127" s="266">
        <v>2563.65</v>
      </c>
    </row>
    <row r="5128" spans="1:4">
      <c r="A5128" s="261">
        <v>5213536</v>
      </c>
      <c r="B5128" s="265" t="s">
        <v>16426</v>
      </c>
      <c r="C5128" s="261" t="s">
        <v>97</v>
      </c>
      <c r="D5128" s="266">
        <v>3051.39</v>
      </c>
    </row>
    <row r="5129" spans="1:4">
      <c r="A5129" s="261">
        <v>5213519</v>
      </c>
      <c r="B5129" s="265" t="s">
        <v>16427</v>
      </c>
      <c r="C5129" s="261" t="s">
        <v>97</v>
      </c>
      <c r="D5129" s="266">
        <v>3213.9</v>
      </c>
    </row>
    <row r="5130" spans="1:4">
      <c r="A5130" s="261">
        <v>5213528</v>
      </c>
      <c r="B5130" s="265" t="s">
        <v>16428</v>
      </c>
      <c r="C5130" s="261" t="s">
        <v>97</v>
      </c>
      <c r="D5130" s="266">
        <v>3473.98</v>
      </c>
    </row>
    <row r="5131" spans="1:4">
      <c r="A5131" s="261">
        <v>5213537</v>
      </c>
      <c r="B5131" s="265" t="s">
        <v>16429</v>
      </c>
      <c r="C5131" s="261" t="s">
        <v>97</v>
      </c>
      <c r="D5131" s="266">
        <v>4124.3</v>
      </c>
    </row>
    <row r="5132" spans="1:4">
      <c r="A5132" s="261">
        <v>5213521</v>
      </c>
      <c r="B5132" s="265" t="s">
        <v>16430</v>
      </c>
      <c r="C5132" s="261" t="s">
        <v>97</v>
      </c>
      <c r="D5132" s="266">
        <v>4737.18</v>
      </c>
    </row>
    <row r="5133" spans="1:4">
      <c r="A5133" s="261">
        <v>5213530</v>
      </c>
      <c r="B5133" s="265" t="s">
        <v>16431</v>
      </c>
      <c r="C5133" s="261" t="s">
        <v>97</v>
      </c>
      <c r="D5133" s="266">
        <v>5127.3</v>
      </c>
    </row>
    <row r="5134" spans="1:4">
      <c r="A5134" s="261">
        <v>5213539</v>
      </c>
      <c r="B5134" s="265" t="s">
        <v>16432</v>
      </c>
      <c r="C5134" s="261" t="s">
        <v>97</v>
      </c>
      <c r="D5134" s="266">
        <v>6102.78</v>
      </c>
    </row>
    <row r="5135" spans="1:4">
      <c r="A5135" s="261">
        <v>5213573</v>
      </c>
      <c r="B5135" s="265" t="s">
        <v>16433</v>
      </c>
      <c r="C5135" s="261" t="s">
        <v>3</v>
      </c>
      <c r="D5135" s="266">
        <v>436.6</v>
      </c>
    </row>
    <row r="5136" spans="1:4">
      <c r="A5136" s="261">
        <v>5213574</v>
      </c>
      <c r="B5136" s="265" t="s">
        <v>16434</v>
      </c>
      <c r="C5136" s="261" t="s">
        <v>3</v>
      </c>
      <c r="D5136" s="266">
        <v>469.11</v>
      </c>
    </row>
    <row r="5137" spans="1:4">
      <c r="A5137" s="261">
        <v>5213575</v>
      </c>
      <c r="B5137" s="265" t="s">
        <v>16435</v>
      </c>
      <c r="C5137" s="261" t="s">
        <v>3</v>
      </c>
      <c r="D5137" s="266">
        <v>550.4</v>
      </c>
    </row>
    <row r="5138" spans="1:4">
      <c r="A5138" s="261">
        <v>5213480</v>
      </c>
      <c r="B5138" s="265" t="s">
        <v>16436</v>
      </c>
      <c r="C5138" s="261" t="s">
        <v>3</v>
      </c>
      <c r="D5138" s="266">
        <v>902.93</v>
      </c>
    </row>
    <row r="5139" spans="1:4">
      <c r="A5139" s="261">
        <v>5213481</v>
      </c>
      <c r="B5139" s="265" t="s">
        <v>16437</v>
      </c>
      <c r="C5139" s="261" t="s">
        <v>3</v>
      </c>
      <c r="D5139" s="266">
        <v>984.22</v>
      </c>
    </row>
    <row r="5140" spans="1:4">
      <c r="A5140" s="261">
        <v>5213482</v>
      </c>
      <c r="B5140" s="265" t="s">
        <v>16438</v>
      </c>
      <c r="C5140" s="261" t="s">
        <v>3</v>
      </c>
      <c r="D5140" s="266">
        <v>1044.3900000000001</v>
      </c>
    </row>
    <row r="5141" spans="1:4">
      <c r="A5141" s="261">
        <v>5213422</v>
      </c>
      <c r="B5141" s="265" t="s">
        <v>16439</v>
      </c>
      <c r="C5141" s="261" t="s">
        <v>3</v>
      </c>
      <c r="D5141" s="266">
        <v>550.04999999999995</v>
      </c>
    </row>
    <row r="5142" spans="1:4">
      <c r="A5142" s="261">
        <v>5213423</v>
      </c>
      <c r="B5142" s="265" t="s">
        <v>16440</v>
      </c>
      <c r="C5142" s="261" t="s">
        <v>3</v>
      </c>
      <c r="D5142" s="266">
        <v>582.57000000000005</v>
      </c>
    </row>
    <row r="5143" spans="1:4">
      <c r="A5143" s="261">
        <v>5213424</v>
      </c>
      <c r="B5143" s="265" t="s">
        <v>16441</v>
      </c>
      <c r="C5143" s="261" t="s">
        <v>3</v>
      </c>
      <c r="D5143" s="266">
        <v>663.86</v>
      </c>
    </row>
    <row r="5144" spans="1:4">
      <c r="A5144" s="261">
        <v>5213437</v>
      </c>
      <c r="B5144" s="265" t="s">
        <v>16442</v>
      </c>
      <c r="C5144" s="261" t="s">
        <v>3</v>
      </c>
      <c r="D5144" s="266">
        <v>538.30999999999995</v>
      </c>
    </row>
    <row r="5145" spans="1:4">
      <c r="A5145" s="261">
        <v>5213438</v>
      </c>
      <c r="B5145" s="265" t="s">
        <v>16443</v>
      </c>
      <c r="C5145" s="261" t="s">
        <v>3</v>
      </c>
      <c r="D5145" s="266">
        <v>619.6</v>
      </c>
    </row>
    <row r="5146" spans="1:4">
      <c r="A5146" s="261">
        <v>5213439</v>
      </c>
      <c r="B5146" s="265" t="s">
        <v>16444</v>
      </c>
      <c r="C5146" s="261" t="s">
        <v>3</v>
      </c>
      <c r="D5146" s="266">
        <v>679.77</v>
      </c>
    </row>
    <row r="5147" spans="1:4" ht="31.5">
      <c r="A5147" s="261">
        <v>5212556</v>
      </c>
      <c r="B5147" s="265" t="s">
        <v>16445</v>
      </c>
      <c r="C5147" s="261" t="s">
        <v>16227</v>
      </c>
      <c r="D5147" s="266">
        <v>2.08</v>
      </c>
    </row>
    <row r="5148" spans="1:4" ht="31.5">
      <c r="A5148" s="261">
        <v>5213649</v>
      </c>
      <c r="B5148" s="265" t="s">
        <v>16446</v>
      </c>
      <c r="C5148" s="261" t="s">
        <v>97</v>
      </c>
      <c r="D5148" s="266">
        <v>95923.4</v>
      </c>
    </row>
    <row r="5149" spans="1:4" ht="31.5">
      <c r="A5149" s="261">
        <v>5213591</v>
      </c>
      <c r="B5149" s="265" t="s">
        <v>16447</v>
      </c>
      <c r="C5149" s="261" t="s">
        <v>97</v>
      </c>
      <c r="D5149" s="266">
        <v>95923.4</v>
      </c>
    </row>
    <row r="5150" spans="1:4" ht="31.5">
      <c r="A5150" s="261">
        <v>5213718</v>
      </c>
      <c r="B5150" s="265" t="s">
        <v>16448</v>
      </c>
      <c r="C5150" s="261" t="s">
        <v>97</v>
      </c>
      <c r="D5150" s="266">
        <v>106173.99</v>
      </c>
    </row>
    <row r="5151" spans="1:4" ht="31.5">
      <c r="A5151" s="261">
        <v>5213741</v>
      </c>
      <c r="B5151" s="265" t="s">
        <v>16449</v>
      </c>
      <c r="C5151" s="261" t="s">
        <v>97</v>
      </c>
      <c r="D5151" s="266">
        <v>106173.99</v>
      </c>
    </row>
    <row r="5152" spans="1:4" ht="31.5">
      <c r="A5152" s="261">
        <v>5213776</v>
      </c>
      <c r="B5152" s="265" t="s">
        <v>16450</v>
      </c>
      <c r="C5152" s="261" t="s">
        <v>97</v>
      </c>
      <c r="D5152" s="266">
        <v>116424.57</v>
      </c>
    </row>
    <row r="5153" spans="1:4" ht="31.5">
      <c r="A5153" s="261">
        <v>5213799</v>
      </c>
      <c r="B5153" s="265" t="s">
        <v>16451</v>
      </c>
      <c r="C5153" s="261" t="s">
        <v>97</v>
      </c>
      <c r="D5153" s="266">
        <v>116424.57</v>
      </c>
    </row>
    <row r="5154" spans="1:4">
      <c r="A5154" s="261">
        <v>5213363</v>
      </c>
      <c r="B5154" s="265" t="s">
        <v>16452</v>
      </c>
      <c r="C5154" s="261" t="s">
        <v>3</v>
      </c>
      <c r="D5154" s="266">
        <v>36.630000000000003</v>
      </c>
    </row>
    <row r="5155" spans="1:4">
      <c r="A5155" s="261">
        <v>5213616</v>
      </c>
      <c r="B5155" s="265" t="s">
        <v>16453</v>
      </c>
      <c r="C5155" s="261" t="s">
        <v>5</v>
      </c>
      <c r="D5155" s="266">
        <v>886.08</v>
      </c>
    </row>
    <row r="5156" spans="1:4">
      <c r="A5156" s="261">
        <v>5213667</v>
      </c>
      <c r="B5156" s="265" t="s">
        <v>16454</v>
      </c>
      <c r="C5156" s="261" t="s">
        <v>97</v>
      </c>
      <c r="D5156" s="266">
        <v>354.08</v>
      </c>
    </row>
    <row r="5157" spans="1:4">
      <c r="A5157" s="261">
        <v>5213683</v>
      </c>
      <c r="B5157" s="265" t="s">
        <v>16455</v>
      </c>
      <c r="C5157" s="261" t="s">
        <v>97</v>
      </c>
      <c r="D5157" s="266">
        <v>250.28</v>
      </c>
    </row>
    <row r="5158" spans="1:4">
      <c r="A5158" s="261">
        <v>5213660</v>
      </c>
      <c r="B5158" s="265" t="s">
        <v>16456</v>
      </c>
      <c r="C5158" s="261" t="s">
        <v>97</v>
      </c>
      <c r="D5158" s="266">
        <v>208.56</v>
      </c>
    </row>
    <row r="5159" spans="1:4">
      <c r="A5159" s="261">
        <v>5213364</v>
      </c>
      <c r="B5159" s="265" t="s">
        <v>16457</v>
      </c>
      <c r="C5159" s="261" t="s">
        <v>3</v>
      </c>
      <c r="D5159" s="266">
        <v>21.31</v>
      </c>
    </row>
    <row r="5160" spans="1:4">
      <c r="A5160" s="261">
        <v>5213832</v>
      </c>
      <c r="B5160" s="265" t="s">
        <v>16458</v>
      </c>
      <c r="C5160" s="261" t="s">
        <v>3</v>
      </c>
      <c r="D5160" s="266">
        <v>3.96</v>
      </c>
    </row>
    <row r="5161" spans="1:4">
      <c r="A5161" s="261">
        <v>5213830</v>
      </c>
      <c r="B5161" s="265" t="s">
        <v>16459</v>
      </c>
      <c r="C5161" s="261" t="s">
        <v>3</v>
      </c>
      <c r="D5161" s="266">
        <v>3.78</v>
      </c>
    </row>
    <row r="5162" spans="1:4">
      <c r="A5162" s="261">
        <v>5213831</v>
      </c>
      <c r="B5162" s="265" t="s">
        <v>16460</v>
      </c>
      <c r="C5162" s="261" t="s">
        <v>3</v>
      </c>
      <c r="D5162" s="266">
        <v>53.43</v>
      </c>
    </row>
    <row r="5163" spans="1:4">
      <c r="A5163" s="261">
        <v>5213849</v>
      </c>
      <c r="B5163" s="265" t="s">
        <v>16461</v>
      </c>
      <c r="C5163" s="261" t="s">
        <v>28</v>
      </c>
      <c r="D5163" s="266">
        <v>3.68</v>
      </c>
    </row>
    <row r="5164" spans="1:4" ht="31.5">
      <c r="A5164" s="261">
        <v>5213636</v>
      </c>
      <c r="B5164" s="265" t="s">
        <v>16462</v>
      </c>
      <c r="C5164" s="261" t="s">
        <v>97</v>
      </c>
      <c r="D5164" s="266">
        <v>86867.32</v>
      </c>
    </row>
    <row r="5165" spans="1:4" ht="31.5">
      <c r="A5165" s="261">
        <v>5213642</v>
      </c>
      <c r="B5165" s="265" t="s">
        <v>16463</v>
      </c>
      <c r="C5165" s="261" t="s">
        <v>97</v>
      </c>
      <c r="D5165" s="266">
        <v>86867.32</v>
      </c>
    </row>
    <row r="5166" spans="1:4" ht="31.5">
      <c r="A5166" s="261">
        <v>5213757</v>
      </c>
      <c r="B5166" s="265" t="s">
        <v>16464</v>
      </c>
      <c r="C5166" s="261" t="s">
        <v>97</v>
      </c>
      <c r="D5166" s="266">
        <v>96306.86</v>
      </c>
    </row>
    <row r="5167" spans="1:4" ht="31.5">
      <c r="A5167" s="261">
        <v>5213763</v>
      </c>
      <c r="B5167" s="265" t="s">
        <v>16465</v>
      </c>
      <c r="C5167" s="261" t="s">
        <v>97</v>
      </c>
      <c r="D5167" s="266">
        <v>96306.86</v>
      </c>
    </row>
    <row r="5168" spans="1:4" ht="31.5">
      <c r="A5168" s="261">
        <v>5213815</v>
      </c>
      <c r="B5168" s="265" t="s">
        <v>16466</v>
      </c>
      <c r="C5168" s="261" t="s">
        <v>97</v>
      </c>
      <c r="D5168" s="266">
        <v>105746.39</v>
      </c>
    </row>
    <row r="5169" spans="1:4" ht="31.5">
      <c r="A5169" s="261">
        <v>5213821</v>
      </c>
      <c r="B5169" s="265" t="s">
        <v>16467</v>
      </c>
      <c r="C5169" s="261" t="s">
        <v>97</v>
      </c>
      <c r="D5169" s="266">
        <v>105746.39</v>
      </c>
    </row>
    <row r="5170" spans="1:4" ht="31.5">
      <c r="A5170" s="261">
        <v>5213630</v>
      </c>
      <c r="B5170" s="265" t="s">
        <v>16468</v>
      </c>
      <c r="C5170" s="261" t="s">
        <v>97</v>
      </c>
      <c r="D5170" s="266">
        <v>52181.21</v>
      </c>
    </row>
    <row r="5171" spans="1:4" ht="31.5">
      <c r="A5171" s="261">
        <v>5213584</v>
      </c>
      <c r="B5171" s="265" t="s">
        <v>16469</v>
      </c>
      <c r="C5171" s="261" t="s">
        <v>97</v>
      </c>
      <c r="D5171" s="266">
        <v>52181.21</v>
      </c>
    </row>
    <row r="5172" spans="1:4" ht="31.5">
      <c r="A5172" s="261">
        <v>5213711</v>
      </c>
      <c r="B5172" s="265" t="s">
        <v>16470</v>
      </c>
      <c r="C5172" s="261" t="s">
        <v>97</v>
      </c>
      <c r="D5172" s="266">
        <v>58000.27</v>
      </c>
    </row>
    <row r="5173" spans="1:4" ht="31.5">
      <c r="A5173" s="261">
        <v>5213734</v>
      </c>
      <c r="B5173" s="265" t="s">
        <v>16471</v>
      </c>
      <c r="C5173" s="261" t="s">
        <v>97</v>
      </c>
      <c r="D5173" s="266">
        <v>58000.27</v>
      </c>
    </row>
    <row r="5174" spans="1:4" ht="31.5">
      <c r="A5174" s="261">
        <v>5213769</v>
      </c>
      <c r="B5174" s="265" t="s">
        <v>16472</v>
      </c>
      <c r="C5174" s="261" t="s">
        <v>97</v>
      </c>
      <c r="D5174" s="266">
        <v>63352.26</v>
      </c>
    </row>
    <row r="5175" spans="1:4" ht="31.5">
      <c r="A5175" s="261">
        <v>5213792</v>
      </c>
      <c r="B5175" s="265" t="s">
        <v>16473</v>
      </c>
      <c r="C5175" s="261" t="s">
        <v>97</v>
      </c>
      <c r="D5175" s="266">
        <v>63352.26</v>
      </c>
    </row>
    <row r="5176" spans="1:4">
      <c r="A5176" s="261">
        <v>5213844</v>
      </c>
      <c r="B5176" s="265" t="s">
        <v>16474</v>
      </c>
      <c r="C5176" s="261" t="s">
        <v>28</v>
      </c>
      <c r="D5176" s="266">
        <v>3.38</v>
      </c>
    </row>
    <row r="5177" spans="1:4">
      <c r="A5177" s="261">
        <v>5213869</v>
      </c>
      <c r="B5177" s="265" t="s">
        <v>16475</v>
      </c>
      <c r="C5177" s="261" t="s">
        <v>97</v>
      </c>
      <c r="D5177" s="266">
        <v>2414.0100000000002</v>
      </c>
    </row>
    <row r="5178" spans="1:4">
      <c r="A5178" s="261">
        <v>5213870</v>
      </c>
      <c r="B5178" s="265" t="s">
        <v>16476</v>
      </c>
      <c r="C5178" s="261" t="s">
        <v>97</v>
      </c>
      <c r="D5178" s="266">
        <v>3331.6</v>
      </c>
    </row>
    <row r="5179" spans="1:4">
      <c r="A5179" s="261">
        <v>5213871</v>
      </c>
      <c r="B5179" s="265" t="s">
        <v>16477</v>
      </c>
      <c r="C5179" s="261" t="s">
        <v>97</v>
      </c>
      <c r="D5179" s="266">
        <v>3404.52</v>
      </c>
    </row>
    <row r="5180" spans="1:4">
      <c r="A5180" s="261">
        <v>5213872</v>
      </c>
      <c r="B5180" s="265" t="s">
        <v>16478</v>
      </c>
      <c r="C5180" s="261" t="s">
        <v>97</v>
      </c>
      <c r="D5180" s="266">
        <v>5414.23</v>
      </c>
    </row>
    <row r="5181" spans="1:4">
      <c r="A5181" s="261">
        <v>5213867</v>
      </c>
      <c r="B5181" s="265" t="s">
        <v>16479</v>
      </c>
      <c r="C5181" s="261" t="s">
        <v>97</v>
      </c>
      <c r="D5181" s="266">
        <v>564.67999999999995</v>
      </c>
    </row>
    <row r="5182" spans="1:4" ht="31.5">
      <c r="A5182" s="261">
        <v>5213863</v>
      </c>
      <c r="B5182" s="265" t="s">
        <v>16480</v>
      </c>
      <c r="C5182" s="261" t="s">
        <v>97</v>
      </c>
      <c r="D5182" s="266">
        <v>455.72</v>
      </c>
    </row>
    <row r="5183" spans="1:4" ht="31.5">
      <c r="A5183" s="261">
        <v>5213864</v>
      </c>
      <c r="B5183" s="265" t="s">
        <v>16481</v>
      </c>
      <c r="C5183" s="261" t="s">
        <v>97</v>
      </c>
      <c r="D5183" s="266">
        <v>485.69</v>
      </c>
    </row>
    <row r="5184" spans="1:4" ht="31.5">
      <c r="A5184" s="261">
        <v>5213865</v>
      </c>
      <c r="B5184" s="265" t="s">
        <v>16482</v>
      </c>
      <c r="C5184" s="261" t="s">
        <v>97</v>
      </c>
      <c r="D5184" s="266">
        <v>515.86</v>
      </c>
    </row>
    <row r="5185" spans="1:4" ht="31.5">
      <c r="A5185" s="261">
        <v>5213866</v>
      </c>
      <c r="B5185" s="265" t="s">
        <v>16483</v>
      </c>
      <c r="C5185" s="261" t="s">
        <v>97</v>
      </c>
      <c r="D5185" s="266">
        <v>581.35</v>
      </c>
    </row>
    <row r="5186" spans="1:4">
      <c r="A5186" s="261">
        <v>5213855</v>
      </c>
      <c r="B5186" s="265" t="s">
        <v>16484</v>
      </c>
      <c r="C5186" s="261" t="s">
        <v>97</v>
      </c>
      <c r="D5186" s="266">
        <v>409</v>
      </c>
    </row>
    <row r="5187" spans="1:4">
      <c r="A5187" s="261">
        <v>5213856</v>
      </c>
      <c r="B5187" s="265" t="s">
        <v>16485</v>
      </c>
      <c r="C5187" s="261" t="s">
        <v>97</v>
      </c>
      <c r="D5187" s="266">
        <v>424.44</v>
      </c>
    </row>
    <row r="5188" spans="1:4">
      <c r="A5188" s="261">
        <v>5213857</v>
      </c>
      <c r="B5188" s="265" t="s">
        <v>16486</v>
      </c>
      <c r="C5188" s="261" t="s">
        <v>97</v>
      </c>
      <c r="D5188" s="266">
        <v>439.26</v>
      </c>
    </row>
    <row r="5189" spans="1:4">
      <c r="A5189" s="261">
        <v>5213858</v>
      </c>
      <c r="B5189" s="265" t="s">
        <v>16487</v>
      </c>
      <c r="C5189" s="261" t="s">
        <v>97</v>
      </c>
      <c r="D5189" s="266">
        <v>454.89</v>
      </c>
    </row>
    <row r="5190" spans="1:4">
      <c r="A5190" s="261">
        <v>5213859</v>
      </c>
      <c r="B5190" s="265" t="s">
        <v>16488</v>
      </c>
      <c r="C5190" s="261" t="s">
        <v>97</v>
      </c>
      <c r="D5190" s="266">
        <v>450.67</v>
      </c>
    </row>
    <row r="5191" spans="1:4">
      <c r="A5191" s="261">
        <v>5213860</v>
      </c>
      <c r="B5191" s="265" t="s">
        <v>16489</v>
      </c>
      <c r="C5191" s="261" t="s">
        <v>97</v>
      </c>
      <c r="D5191" s="266">
        <v>466.06</v>
      </c>
    </row>
    <row r="5192" spans="1:4">
      <c r="A5192" s="261">
        <v>5213861</v>
      </c>
      <c r="B5192" s="265" t="s">
        <v>16490</v>
      </c>
      <c r="C5192" s="261" t="s">
        <v>97</v>
      </c>
      <c r="D5192" s="266">
        <v>494.94</v>
      </c>
    </row>
    <row r="5193" spans="1:4">
      <c r="A5193" s="261">
        <v>5213862</v>
      </c>
      <c r="B5193" s="265" t="s">
        <v>16491</v>
      </c>
      <c r="C5193" s="261" t="s">
        <v>97</v>
      </c>
      <c r="D5193" s="266">
        <v>560.09</v>
      </c>
    </row>
    <row r="5194" spans="1:4">
      <c r="A5194" s="261">
        <v>5213868</v>
      </c>
      <c r="B5194" s="265" t="s">
        <v>16492</v>
      </c>
      <c r="C5194" s="261" t="s">
        <v>97</v>
      </c>
      <c r="D5194" s="266">
        <v>1116.99</v>
      </c>
    </row>
    <row r="5195" spans="1:4">
      <c r="A5195" s="261">
        <v>5219546</v>
      </c>
      <c r="B5195" s="265" t="s">
        <v>16493</v>
      </c>
      <c r="C5195" s="261" t="s">
        <v>97</v>
      </c>
      <c r="D5195" s="266">
        <v>342.05</v>
      </c>
    </row>
    <row r="5196" spans="1:4">
      <c r="A5196" s="261">
        <v>5216111</v>
      </c>
      <c r="B5196" s="265" t="s">
        <v>16494</v>
      </c>
      <c r="C5196" s="261" t="s">
        <v>97</v>
      </c>
      <c r="D5196" s="266">
        <v>120.63</v>
      </c>
    </row>
    <row r="5197" spans="1:4">
      <c r="A5197" s="261">
        <v>5213351</v>
      </c>
      <c r="B5197" s="265" t="s">
        <v>16495</v>
      </c>
      <c r="C5197" s="261" t="s">
        <v>97</v>
      </c>
      <c r="D5197" s="266">
        <v>662.94</v>
      </c>
    </row>
    <row r="5198" spans="1:4">
      <c r="A5198" s="261">
        <v>5213350</v>
      </c>
      <c r="B5198" s="265" t="s">
        <v>16496</v>
      </c>
      <c r="C5198" s="261" t="s">
        <v>97</v>
      </c>
      <c r="D5198" s="266">
        <v>1703.76</v>
      </c>
    </row>
    <row r="5199" spans="1:4">
      <c r="A5199" s="261">
        <v>5213352</v>
      </c>
      <c r="B5199" s="265" t="s">
        <v>16497</v>
      </c>
      <c r="C5199" s="261" t="s">
        <v>97</v>
      </c>
      <c r="D5199" s="266">
        <v>903.9</v>
      </c>
    </row>
    <row r="5200" spans="1:4">
      <c r="A5200" s="261">
        <v>5213353</v>
      </c>
      <c r="B5200" s="265" t="s">
        <v>16498</v>
      </c>
      <c r="C5200" s="261" t="s">
        <v>97</v>
      </c>
      <c r="D5200" s="266">
        <v>2484.31</v>
      </c>
    </row>
    <row r="5201" spans="1:4">
      <c r="A5201" s="261">
        <v>5213360</v>
      </c>
      <c r="B5201" s="265" t="s">
        <v>16499</v>
      </c>
      <c r="C5201" s="261" t="s">
        <v>97</v>
      </c>
      <c r="D5201" s="266">
        <v>28.91</v>
      </c>
    </row>
    <row r="5202" spans="1:4">
      <c r="A5202" s="261">
        <v>5219605</v>
      </c>
      <c r="B5202" s="265" t="s">
        <v>16500</v>
      </c>
      <c r="C5202" s="261" t="s">
        <v>97</v>
      </c>
      <c r="D5202" s="266">
        <v>28.22</v>
      </c>
    </row>
    <row r="5203" spans="1:4">
      <c r="A5203" s="261">
        <v>5219606</v>
      </c>
      <c r="B5203" s="265" t="s">
        <v>16501</v>
      </c>
      <c r="C5203" s="261" t="s">
        <v>97</v>
      </c>
      <c r="D5203" s="266">
        <v>41.09</v>
      </c>
    </row>
    <row r="5204" spans="1:4">
      <c r="A5204" s="261">
        <v>5219607</v>
      </c>
      <c r="B5204" s="265" t="s">
        <v>16502</v>
      </c>
      <c r="C5204" s="261" t="s">
        <v>97</v>
      </c>
      <c r="D5204" s="266">
        <v>34.08</v>
      </c>
    </row>
    <row r="5205" spans="1:4">
      <c r="A5205" s="261">
        <v>5219608</v>
      </c>
      <c r="B5205" s="265" t="s">
        <v>16503</v>
      </c>
      <c r="C5205" s="261" t="s">
        <v>97</v>
      </c>
      <c r="D5205" s="266">
        <v>41.09</v>
      </c>
    </row>
    <row r="5206" spans="1:4">
      <c r="A5206" s="261">
        <v>5219609</v>
      </c>
      <c r="B5206" s="265" t="s">
        <v>16504</v>
      </c>
      <c r="C5206" s="261" t="s">
        <v>97</v>
      </c>
      <c r="D5206" s="266">
        <v>34.08</v>
      </c>
    </row>
    <row r="5207" spans="1:4">
      <c r="A5207" s="261">
        <v>5219610</v>
      </c>
      <c r="B5207" s="265" t="s">
        <v>16505</v>
      </c>
      <c r="C5207" s="261" t="s">
        <v>97</v>
      </c>
      <c r="D5207" s="266">
        <v>36.47</v>
      </c>
    </row>
    <row r="5208" spans="1:4">
      <c r="A5208" s="261">
        <v>5219611</v>
      </c>
      <c r="B5208" s="265" t="s">
        <v>16506</v>
      </c>
      <c r="C5208" s="261" t="s">
        <v>97</v>
      </c>
      <c r="D5208" s="266">
        <v>39.729999999999997</v>
      </c>
    </row>
    <row r="5209" spans="1:4">
      <c r="A5209" s="261">
        <v>5213359</v>
      </c>
      <c r="B5209" s="265" t="s">
        <v>16507</v>
      </c>
      <c r="C5209" s="261" t="s">
        <v>97</v>
      </c>
      <c r="D5209" s="266">
        <v>25.81</v>
      </c>
    </row>
    <row r="5210" spans="1:4">
      <c r="A5210" s="261">
        <v>5219612</v>
      </c>
      <c r="B5210" s="265" t="s">
        <v>16508</v>
      </c>
      <c r="C5210" s="261" t="s">
        <v>97</v>
      </c>
      <c r="D5210" s="266">
        <v>23.6</v>
      </c>
    </row>
    <row r="5211" spans="1:4">
      <c r="A5211" s="261">
        <v>5219613</v>
      </c>
      <c r="B5211" s="265" t="s">
        <v>16509</v>
      </c>
      <c r="C5211" s="261" t="s">
        <v>97</v>
      </c>
      <c r="D5211" s="266">
        <v>33.92</v>
      </c>
    </row>
    <row r="5212" spans="1:4">
      <c r="A5212" s="261">
        <v>5219614</v>
      </c>
      <c r="B5212" s="265" t="s">
        <v>16510</v>
      </c>
      <c r="C5212" s="261" t="s">
        <v>97</v>
      </c>
      <c r="D5212" s="266">
        <v>31.34</v>
      </c>
    </row>
    <row r="5213" spans="1:4">
      <c r="A5213" s="261">
        <v>5219615</v>
      </c>
      <c r="B5213" s="265" t="s">
        <v>16511</v>
      </c>
      <c r="C5213" s="261" t="s">
        <v>97</v>
      </c>
      <c r="D5213" s="266">
        <v>34.79</v>
      </c>
    </row>
    <row r="5214" spans="1:4">
      <c r="A5214" s="261">
        <v>5219616</v>
      </c>
      <c r="B5214" s="265" t="s">
        <v>16512</v>
      </c>
      <c r="C5214" s="261" t="s">
        <v>97</v>
      </c>
      <c r="D5214" s="266">
        <v>31.92</v>
      </c>
    </row>
    <row r="5215" spans="1:4">
      <c r="A5215" s="261">
        <v>5219617</v>
      </c>
      <c r="B5215" s="265" t="s">
        <v>16513</v>
      </c>
      <c r="C5215" s="261" t="s">
        <v>97</v>
      </c>
      <c r="D5215" s="266">
        <v>41.19</v>
      </c>
    </row>
    <row r="5216" spans="1:4">
      <c r="A5216" s="261">
        <v>5219618</v>
      </c>
      <c r="B5216" s="265" t="s">
        <v>16514</v>
      </c>
      <c r="C5216" s="261" t="s">
        <v>97</v>
      </c>
      <c r="D5216" s="266">
        <v>34.72</v>
      </c>
    </row>
    <row r="5217" spans="1:4">
      <c r="A5217" s="261">
        <v>5219619</v>
      </c>
      <c r="B5217" s="265" t="s">
        <v>16515</v>
      </c>
      <c r="C5217" s="261" t="s">
        <v>97</v>
      </c>
      <c r="D5217" s="266">
        <v>42.66</v>
      </c>
    </row>
    <row r="5218" spans="1:4">
      <c r="A5218" s="261">
        <v>5219620</v>
      </c>
      <c r="B5218" s="265" t="s">
        <v>16516</v>
      </c>
      <c r="C5218" s="261" t="s">
        <v>97</v>
      </c>
      <c r="D5218" s="266">
        <v>40.1</v>
      </c>
    </row>
    <row r="5219" spans="1:4">
      <c r="A5219" s="261">
        <v>5219621</v>
      </c>
      <c r="B5219" s="265" t="s">
        <v>16517</v>
      </c>
      <c r="C5219" s="261" t="s">
        <v>97</v>
      </c>
      <c r="D5219" s="266">
        <v>49.77</v>
      </c>
    </row>
    <row r="5220" spans="1:4">
      <c r="A5220" s="261">
        <v>5219622</v>
      </c>
      <c r="B5220" s="265" t="s">
        <v>16518</v>
      </c>
      <c r="C5220" s="261" t="s">
        <v>97</v>
      </c>
      <c r="D5220" s="266">
        <v>47.12</v>
      </c>
    </row>
    <row r="5221" spans="1:4">
      <c r="A5221" s="261">
        <v>5219623</v>
      </c>
      <c r="B5221" s="265" t="s">
        <v>16519</v>
      </c>
      <c r="C5221" s="261" t="s">
        <v>97</v>
      </c>
      <c r="D5221" s="266">
        <v>54.03</v>
      </c>
    </row>
    <row r="5222" spans="1:4">
      <c r="A5222" s="261">
        <v>5219624</v>
      </c>
      <c r="B5222" s="265" t="s">
        <v>16520</v>
      </c>
      <c r="C5222" s="261" t="s">
        <v>97</v>
      </c>
      <c r="D5222" s="266">
        <v>51.23</v>
      </c>
    </row>
    <row r="5223" spans="1:4">
      <c r="A5223" s="261">
        <v>5219625</v>
      </c>
      <c r="B5223" s="265" t="s">
        <v>16521</v>
      </c>
      <c r="C5223" s="261" t="s">
        <v>97</v>
      </c>
      <c r="D5223" s="266">
        <v>50.62</v>
      </c>
    </row>
    <row r="5224" spans="1:4">
      <c r="A5224" s="261">
        <v>5219626</v>
      </c>
      <c r="B5224" s="265" t="s">
        <v>16522</v>
      </c>
      <c r="C5224" s="261" t="s">
        <v>97</v>
      </c>
      <c r="D5224" s="266">
        <v>69.790000000000006</v>
      </c>
    </row>
    <row r="5225" spans="1:4">
      <c r="A5225" s="261">
        <v>5219627</v>
      </c>
      <c r="B5225" s="265" t="s">
        <v>16523</v>
      </c>
      <c r="C5225" s="261" t="s">
        <v>97</v>
      </c>
      <c r="D5225" s="266">
        <v>42.66</v>
      </c>
    </row>
    <row r="5226" spans="1:4">
      <c r="A5226" s="261">
        <v>5219628</v>
      </c>
      <c r="B5226" s="265" t="s">
        <v>16524</v>
      </c>
      <c r="C5226" s="261" t="s">
        <v>97</v>
      </c>
      <c r="D5226" s="266">
        <v>39.96</v>
      </c>
    </row>
    <row r="5227" spans="1:4">
      <c r="A5227" s="261">
        <v>5219629</v>
      </c>
      <c r="B5227" s="265" t="s">
        <v>16525</v>
      </c>
      <c r="C5227" s="261" t="s">
        <v>97</v>
      </c>
      <c r="D5227" s="266">
        <v>49.77</v>
      </c>
    </row>
    <row r="5228" spans="1:4">
      <c r="A5228" s="261">
        <v>5219630</v>
      </c>
      <c r="B5228" s="265" t="s">
        <v>16526</v>
      </c>
      <c r="C5228" s="261" t="s">
        <v>97</v>
      </c>
      <c r="D5228" s="266">
        <v>47.06</v>
      </c>
    </row>
    <row r="5229" spans="1:4">
      <c r="A5229" s="261">
        <v>5219631</v>
      </c>
      <c r="B5229" s="265" t="s">
        <v>16527</v>
      </c>
      <c r="C5229" s="261" t="s">
        <v>97</v>
      </c>
      <c r="D5229" s="266">
        <v>54.03</v>
      </c>
    </row>
    <row r="5230" spans="1:4">
      <c r="A5230" s="261">
        <v>5219632</v>
      </c>
      <c r="B5230" s="265" t="s">
        <v>16528</v>
      </c>
      <c r="C5230" s="261" t="s">
        <v>97</v>
      </c>
      <c r="D5230" s="266">
        <v>51.23</v>
      </c>
    </row>
    <row r="5231" spans="1:4">
      <c r="A5231" s="261">
        <v>5219633</v>
      </c>
      <c r="B5231" s="265" t="s">
        <v>16529</v>
      </c>
      <c r="C5231" s="261" t="s">
        <v>97</v>
      </c>
      <c r="D5231" s="266">
        <v>49.52</v>
      </c>
    </row>
    <row r="5232" spans="1:4">
      <c r="A5232" s="261">
        <v>5219634</v>
      </c>
      <c r="B5232" s="265" t="s">
        <v>16530</v>
      </c>
      <c r="C5232" s="261" t="s">
        <v>97</v>
      </c>
      <c r="D5232" s="266">
        <v>69.790000000000006</v>
      </c>
    </row>
    <row r="5233" spans="1:4">
      <c r="A5233" s="261">
        <v>5213395</v>
      </c>
      <c r="B5233" s="265" t="s">
        <v>16531</v>
      </c>
      <c r="C5233" s="261" t="s">
        <v>97</v>
      </c>
      <c r="D5233" s="266">
        <v>40.14</v>
      </c>
    </row>
    <row r="5234" spans="1:4">
      <c r="A5234" s="261">
        <v>5213394</v>
      </c>
      <c r="B5234" s="265" t="s">
        <v>16532</v>
      </c>
      <c r="C5234" s="261" t="s">
        <v>97</v>
      </c>
      <c r="D5234" s="266">
        <v>35.46</v>
      </c>
    </row>
    <row r="5235" spans="1:4">
      <c r="A5235" s="261">
        <v>5219635</v>
      </c>
      <c r="B5235" s="265" t="s">
        <v>16533</v>
      </c>
      <c r="C5235" s="261" t="s">
        <v>97</v>
      </c>
      <c r="D5235" s="266">
        <v>35.159999999999997</v>
      </c>
    </row>
    <row r="5236" spans="1:4">
      <c r="A5236" s="261">
        <v>5219636</v>
      </c>
      <c r="B5236" s="265" t="s">
        <v>16534</v>
      </c>
      <c r="C5236" s="261" t="s">
        <v>97</v>
      </c>
      <c r="D5236" s="266">
        <v>29.63</v>
      </c>
    </row>
    <row r="5237" spans="1:4">
      <c r="A5237" s="261">
        <v>5219637</v>
      </c>
      <c r="B5237" s="265" t="s">
        <v>16535</v>
      </c>
      <c r="C5237" s="261" t="s">
        <v>97</v>
      </c>
      <c r="D5237" s="266">
        <v>57.71</v>
      </c>
    </row>
    <row r="5238" spans="1:4">
      <c r="A5238" s="261">
        <v>5219638</v>
      </c>
      <c r="B5238" s="265" t="s">
        <v>16536</v>
      </c>
      <c r="C5238" s="261" t="s">
        <v>97</v>
      </c>
      <c r="D5238" s="266">
        <v>71.760000000000005</v>
      </c>
    </row>
    <row r="5239" spans="1:4">
      <c r="A5239" s="261">
        <v>5213393</v>
      </c>
      <c r="B5239" s="265" t="s">
        <v>16537</v>
      </c>
      <c r="C5239" s="261" t="s">
        <v>97</v>
      </c>
      <c r="D5239" s="266">
        <v>34.979999999999997</v>
      </c>
    </row>
    <row r="5240" spans="1:4">
      <c r="A5240" s="261">
        <v>5213392</v>
      </c>
      <c r="B5240" s="265" t="s">
        <v>16538</v>
      </c>
      <c r="C5240" s="261" t="s">
        <v>97</v>
      </c>
      <c r="D5240" s="266">
        <v>29.35</v>
      </c>
    </row>
    <row r="5241" spans="1:4">
      <c r="A5241" s="261">
        <v>5219639</v>
      </c>
      <c r="B5241" s="265" t="s">
        <v>16539</v>
      </c>
      <c r="C5241" s="261" t="s">
        <v>97</v>
      </c>
      <c r="D5241" s="266">
        <v>31.76</v>
      </c>
    </row>
    <row r="5242" spans="1:4">
      <c r="A5242" s="261">
        <v>5219640</v>
      </c>
      <c r="B5242" s="265" t="s">
        <v>16540</v>
      </c>
      <c r="C5242" s="261" t="s">
        <v>97</v>
      </c>
      <c r="D5242" s="266">
        <v>26.71</v>
      </c>
    </row>
    <row r="5243" spans="1:4">
      <c r="A5243" s="261">
        <v>5219641</v>
      </c>
      <c r="B5243" s="265" t="s">
        <v>16541</v>
      </c>
      <c r="C5243" s="261" t="s">
        <v>97</v>
      </c>
      <c r="D5243" s="266">
        <v>52.3</v>
      </c>
    </row>
    <row r="5244" spans="1:4">
      <c r="A5244" s="261">
        <v>5219642</v>
      </c>
      <c r="B5244" s="265" t="s">
        <v>16542</v>
      </c>
      <c r="C5244" s="261" t="s">
        <v>97</v>
      </c>
      <c r="D5244" s="266">
        <v>63.03</v>
      </c>
    </row>
    <row r="5245" spans="1:4">
      <c r="A5245" s="261">
        <v>5213362</v>
      </c>
      <c r="B5245" s="265" t="s">
        <v>16543</v>
      </c>
      <c r="C5245" s="261" t="s">
        <v>97</v>
      </c>
      <c r="D5245" s="266">
        <v>93.23</v>
      </c>
    </row>
    <row r="5246" spans="1:4">
      <c r="A5246" s="261">
        <v>5213361</v>
      </c>
      <c r="B5246" s="265" t="s">
        <v>16544</v>
      </c>
      <c r="C5246" s="261" t="s">
        <v>97</v>
      </c>
      <c r="D5246" s="266">
        <v>91.78</v>
      </c>
    </row>
    <row r="5247" spans="1:4">
      <c r="A5247" s="261">
        <v>5219643</v>
      </c>
      <c r="B5247" s="265" t="s">
        <v>16545</v>
      </c>
      <c r="C5247" s="261" t="s">
        <v>97</v>
      </c>
      <c r="D5247" s="266">
        <v>76.58</v>
      </c>
    </row>
    <row r="5248" spans="1:4">
      <c r="A5248" s="261">
        <v>5219644</v>
      </c>
      <c r="B5248" s="265" t="s">
        <v>16546</v>
      </c>
      <c r="C5248" s="261" t="s">
        <v>97</v>
      </c>
      <c r="D5248" s="266">
        <v>74.62</v>
      </c>
    </row>
    <row r="5249" spans="1:4">
      <c r="A5249" s="261">
        <v>5214000</v>
      </c>
      <c r="B5249" s="265" t="s">
        <v>16547</v>
      </c>
      <c r="C5249" s="261" t="s">
        <v>3</v>
      </c>
      <c r="D5249" s="266">
        <v>333.66</v>
      </c>
    </row>
    <row r="5250" spans="1:4">
      <c r="A5250" s="261">
        <v>5301014</v>
      </c>
      <c r="B5250" s="265" t="s">
        <v>16548</v>
      </c>
      <c r="C5250" s="261" t="s">
        <v>13117</v>
      </c>
      <c r="D5250" s="266">
        <v>142.57</v>
      </c>
    </row>
    <row r="5251" spans="1:4">
      <c r="A5251" s="261">
        <v>5300995</v>
      </c>
      <c r="B5251" s="265" t="s">
        <v>16549</v>
      </c>
      <c r="C5251" s="261" t="s">
        <v>97</v>
      </c>
      <c r="D5251" s="266">
        <v>3023.19</v>
      </c>
    </row>
    <row r="5252" spans="1:4">
      <c r="A5252" s="261">
        <v>5300996</v>
      </c>
      <c r="B5252" s="265" t="s">
        <v>16550</v>
      </c>
      <c r="C5252" s="261" t="s">
        <v>97</v>
      </c>
      <c r="D5252" s="266">
        <v>3910.88</v>
      </c>
    </row>
    <row r="5253" spans="1:4">
      <c r="A5253" s="261">
        <v>5300998</v>
      </c>
      <c r="B5253" s="265" t="s">
        <v>16551</v>
      </c>
      <c r="C5253" s="261" t="s">
        <v>97</v>
      </c>
      <c r="D5253" s="266">
        <v>7743.14</v>
      </c>
    </row>
    <row r="5254" spans="1:4">
      <c r="A5254" s="261">
        <v>5300997</v>
      </c>
      <c r="B5254" s="265" t="s">
        <v>16552</v>
      </c>
      <c r="C5254" s="261" t="s">
        <v>97</v>
      </c>
      <c r="D5254" s="266">
        <v>6448.36</v>
      </c>
    </row>
    <row r="5255" spans="1:4">
      <c r="A5255" s="261">
        <v>5300999</v>
      </c>
      <c r="B5255" s="265" t="s">
        <v>16553</v>
      </c>
      <c r="C5255" s="261" t="s">
        <v>97</v>
      </c>
      <c r="D5255" s="266">
        <v>903.13</v>
      </c>
    </row>
    <row r="5256" spans="1:4">
      <c r="A5256" s="261">
        <v>5301000</v>
      </c>
      <c r="B5256" s="265" t="s">
        <v>16554</v>
      </c>
      <c r="C5256" s="261" t="s">
        <v>97</v>
      </c>
      <c r="D5256" s="266">
        <v>1361.08</v>
      </c>
    </row>
    <row r="5257" spans="1:4">
      <c r="A5257" s="261">
        <v>5301001</v>
      </c>
      <c r="B5257" s="265" t="s">
        <v>16555</v>
      </c>
      <c r="C5257" s="261" t="s">
        <v>97</v>
      </c>
      <c r="D5257" s="266">
        <v>616.71</v>
      </c>
    </row>
    <row r="5258" spans="1:4">
      <c r="A5258" s="261">
        <v>5301002</v>
      </c>
      <c r="B5258" s="265" t="s">
        <v>16556</v>
      </c>
      <c r="C5258" s="261" t="s">
        <v>97</v>
      </c>
      <c r="D5258" s="266">
        <v>387.63</v>
      </c>
    </row>
    <row r="5259" spans="1:4">
      <c r="A5259" s="261">
        <v>5301003</v>
      </c>
      <c r="B5259" s="265" t="s">
        <v>16557</v>
      </c>
      <c r="C5259" s="261" t="s">
        <v>97</v>
      </c>
      <c r="D5259" s="266">
        <v>379.6</v>
      </c>
    </row>
    <row r="5260" spans="1:4" ht="31.5">
      <c r="A5260" s="261">
        <v>5301064</v>
      </c>
      <c r="B5260" s="265" t="s">
        <v>16558</v>
      </c>
      <c r="C5260" s="261" t="s">
        <v>97</v>
      </c>
      <c r="D5260" s="266">
        <v>591.47</v>
      </c>
    </row>
    <row r="5261" spans="1:4" ht="31.5">
      <c r="A5261" s="261">
        <v>5301046</v>
      </c>
      <c r="B5261" s="265" t="s">
        <v>16559</v>
      </c>
      <c r="C5261" s="261" t="s">
        <v>97</v>
      </c>
      <c r="D5261" s="266">
        <v>1216.92</v>
      </c>
    </row>
    <row r="5262" spans="1:4" ht="31.5">
      <c r="A5262" s="261">
        <v>5301065</v>
      </c>
      <c r="B5262" s="265" t="s">
        <v>16560</v>
      </c>
      <c r="C5262" s="261" t="s">
        <v>97</v>
      </c>
      <c r="D5262" s="266">
        <v>1048.4100000000001</v>
      </c>
    </row>
    <row r="5263" spans="1:4" ht="31.5">
      <c r="A5263" s="261">
        <v>5301047</v>
      </c>
      <c r="B5263" s="265" t="s">
        <v>16561</v>
      </c>
      <c r="C5263" s="261" t="s">
        <v>97</v>
      </c>
      <c r="D5263" s="266">
        <v>2056.39</v>
      </c>
    </row>
    <row r="5264" spans="1:4" ht="31.5">
      <c r="A5264" s="261">
        <v>5301066</v>
      </c>
      <c r="B5264" s="265" t="s">
        <v>16562</v>
      </c>
      <c r="C5264" s="261" t="s">
        <v>97</v>
      </c>
      <c r="D5264" s="266">
        <v>1173.5</v>
      </c>
    </row>
    <row r="5265" spans="1:4" ht="31.5">
      <c r="A5265" s="261">
        <v>5301048</v>
      </c>
      <c r="B5265" s="265" t="s">
        <v>16563</v>
      </c>
      <c r="C5265" s="261" t="s">
        <v>97</v>
      </c>
      <c r="D5265" s="266">
        <v>2236.75</v>
      </c>
    </row>
    <row r="5266" spans="1:4" ht="31.5">
      <c r="A5266" s="261">
        <v>5301040</v>
      </c>
      <c r="B5266" s="265" t="s">
        <v>16564</v>
      </c>
      <c r="C5266" s="261" t="s">
        <v>97</v>
      </c>
      <c r="D5266" s="266">
        <v>2231.5</v>
      </c>
    </row>
    <row r="5267" spans="1:4" ht="31.5">
      <c r="A5267" s="261">
        <v>5301058</v>
      </c>
      <c r="B5267" s="265" t="s">
        <v>16565</v>
      </c>
      <c r="C5267" s="261" t="s">
        <v>97</v>
      </c>
      <c r="D5267" s="266">
        <v>1595.84</v>
      </c>
    </row>
    <row r="5268" spans="1:4" ht="31.5">
      <c r="A5268" s="261">
        <v>5301041</v>
      </c>
      <c r="B5268" s="265" t="s">
        <v>16566</v>
      </c>
      <c r="C5268" s="261" t="s">
        <v>97</v>
      </c>
      <c r="D5268" s="266">
        <v>4930.12</v>
      </c>
    </row>
    <row r="5269" spans="1:4" ht="31.5">
      <c r="A5269" s="261">
        <v>5301059</v>
      </c>
      <c r="B5269" s="265" t="s">
        <v>16567</v>
      </c>
      <c r="C5269" s="261" t="s">
        <v>97</v>
      </c>
      <c r="D5269" s="266">
        <v>3893.39</v>
      </c>
    </row>
    <row r="5270" spans="1:4" ht="31.5">
      <c r="A5270" s="261">
        <v>5301060</v>
      </c>
      <c r="B5270" s="265" t="s">
        <v>16568</v>
      </c>
      <c r="C5270" s="261" t="s">
        <v>97</v>
      </c>
      <c r="D5270" s="266">
        <v>4308.84</v>
      </c>
    </row>
    <row r="5271" spans="1:4" ht="31.5">
      <c r="A5271" s="261">
        <v>5301042</v>
      </c>
      <c r="B5271" s="265" t="s">
        <v>16569</v>
      </c>
      <c r="C5271" s="261" t="s">
        <v>97</v>
      </c>
      <c r="D5271" s="266">
        <v>5403.25</v>
      </c>
    </row>
    <row r="5272" spans="1:4" ht="31.5">
      <c r="A5272" s="261">
        <v>5301072</v>
      </c>
      <c r="B5272" s="265" t="s">
        <v>16570</v>
      </c>
      <c r="C5272" s="261" t="s">
        <v>97</v>
      </c>
      <c r="D5272" s="266">
        <v>4795.22</v>
      </c>
    </row>
    <row r="5273" spans="1:4" ht="31.5">
      <c r="A5273" s="261">
        <v>5301054</v>
      </c>
      <c r="B5273" s="265" t="s">
        <v>16571</v>
      </c>
      <c r="C5273" s="261" t="s">
        <v>97</v>
      </c>
      <c r="D5273" s="266">
        <v>5326.48</v>
      </c>
    </row>
    <row r="5274" spans="1:4" ht="31.5">
      <c r="A5274" s="261">
        <v>5301070</v>
      </c>
      <c r="B5274" s="265" t="s">
        <v>16572</v>
      </c>
      <c r="C5274" s="261" t="s">
        <v>97</v>
      </c>
      <c r="D5274" s="266">
        <v>2104.0500000000002</v>
      </c>
    </row>
    <row r="5275" spans="1:4" ht="31.5">
      <c r="A5275" s="261">
        <v>5301052</v>
      </c>
      <c r="B5275" s="265" t="s">
        <v>16573</v>
      </c>
      <c r="C5275" s="261" t="s">
        <v>97</v>
      </c>
      <c r="D5275" s="266">
        <v>2612.1999999999998</v>
      </c>
    </row>
    <row r="5276" spans="1:4" ht="31.5">
      <c r="A5276" s="261">
        <v>5301071</v>
      </c>
      <c r="B5276" s="265" t="s">
        <v>16574</v>
      </c>
      <c r="C5276" s="261" t="s">
        <v>97</v>
      </c>
      <c r="D5276" s="266">
        <v>2805.57</v>
      </c>
    </row>
    <row r="5277" spans="1:4" ht="31.5">
      <c r="A5277" s="261">
        <v>5301053</v>
      </c>
      <c r="B5277" s="265" t="s">
        <v>16575</v>
      </c>
      <c r="C5277" s="261" t="s">
        <v>97</v>
      </c>
      <c r="D5277" s="266">
        <v>3314.12</v>
      </c>
    </row>
    <row r="5278" spans="1:4" ht="31.5">
      <c r="A5278" s="261">
        <v>5301061</v>
      </c>
      <c r="B5278" s="265" t="s">
        <v>16576</v>
      </c>
      <c r="C5278" s="261" t="s">
        <v>97</v>
      </c>
      <c r="D5278" s="266">
        <v>189.8</v>
      </c>
    </row>
    <row r="5279" spans="1:4" ht="31.5">
      <c r="A5279" s="261">
        <v>5301043</v>
      </c>
      <c r="B5279" s="265" t="s">
        <v>16577</v>
      </c>
      <c r="C5279" s="261" t="s">
        <v>97</v>
      </c>
      <c r="D5279" s="266">
        <v>692.84</v>
      </c>
    </row>
    <row r="5280" spans="1:4" ht="31.5">
      <c r="A5280" s="261">
        <v>5301062</v>
      </c>
      <c r="B5280" s="265" t="s">
        <v>16578</v>
      </c>
      <c r="C5280" s="261" t="s">
        <v>97</v>
      </c>
      <c r="D5280" s="266">
        <v>322.14999999999998</v>
      </c>
    </row>
    <row r="5281" spans="1:4" ht="31.5">
      <c r="A5281" s="261">
        <v>5301044</v>
      </c>
      <c r="B5281" s="265" t="s">
        <v>16579</v>
      </c>
      <c r="C5281" s="261" t="s">
        <v>97</v>
      </c>
      <c r="D5281" s="266">
        <v>1025.8</v>
      </c>
    </row>
    <row r="5282" spans="1:4" ht="31.5">
      <c r="A5282" s="261">
        <v>5301063</v>
      </c>
      <c r="B5282" s="265" t="s">
        <v>16580</v>
      </c>
      <c r="C5282" s="261" t="s">
        <v>97</v>
      </c>
      <c r="D5282" s="266">
        <v>366.16</v>
      </c>
    </row>
    <row r="5283" spans="1:4" ht="31.5">
      <c r="A5283" s="261">
        <v>5301045</v>
      </c>
      <c r="B5283" s="265" t="s">
        <v>16581</v>
      </c>
      <c r="C5283" s="261" t="s">
        <v>97</v>
      </c>
      <c r="D5283" s="266">
        <v>1104.32</v>
      </c>
    </row>
    <row r="5284" spans="1:4" ht="31.5">
      <c r="A5284" s="261">
        <v>5301037</v>
      </c>
      <c r="B5284" s="265" t="s">
        <v>16582</v>
      </c>
      <c r="C5284" s="261" t="s">
        <v>97</v>
      </c>
      <c r="D5284" s="266">
        <v>1186.5899999999999</v>
      </c>
    </row>
    <row r="5285" spans="1:4" ht="31.5">
      <c r="A5285" s="261">
        <v>5301055</v>
      </c>
      <c r="B5285" s="265" t="s">
        <v>16583</v>
      </c>
      <c r="C5285" s="261" t="s">
        <v>97</v>
      </c>
      <c r="D5285" s="266">
        <v>678.26</v>
      </c>
    </row>
    <row r="5286" spans="1:4" ht="31.5">
      <c r="A5286" s="261">
        <v>5301038</v>
      </c>
      <c r="B5286" s="265" t="s">
        <v>16584</v>
      </c>
      <c r="C5286" s="261" t="s">
        <v>97</v>
      </c>
      <c r="D5286" s="266">
        <v>2434.84</v>
      </c>
    </row>
    <row r="5287" spans="1:4" ht="31.5">
      <c r="A5287" s="261">
        <v>5301056</v>
      </c>
      <c r="B5287" s="265" t="s">
        <v>16585</v>
      </c>
      <c r="C5287" s="261" t="s">
        <v>97</v>
      </c>
      <c r="D5287" s="266">
        <v>1716.26</v>
      </c>
    </row>
    <row r="5288" spans="1:4" ht="31.5">
      <c r="A5288" s="261">
        <v>5301057</v>
      </c>
      <c r="B5288" s="265" t="s">
        <v>16586</v>
      </c>
      <c r="C5288" s="261" t="s">
        <v>97</v>
      </c>
      <c r="D5288" s="266">
        <v>1902.58</v>
      </c>
    </row>
    <row r="5289" spans="1:4" ht="31.5">
      <c r="A5289" s="261">
        <v>5301039</v>
      </c>
      <c r="B5289" s="265" t="s">
        <v>16587</v>
      </c>
      <c r="C5289" s="261" t="s">
        <v>97</v>
      </c>
      <c r="D5289" s="266">
        <v>2656.98</v>
      </c>
    </row>
    <row r="5290" spans="1:4" ht="31.5">
      <c r="A5290" s="261">
        <v>5301069</v>
      </c>
      <c r="B5290" s="265" t="s">
        <v>16588</v>
      </c>
      <c r="C5290" s="261" t="s">
        <v>97</v>
      </c>
      <c r="D5290" s="266">
        <v>2171.33</v>
      </c>
    </row>
    <row r="5291" spans="1:4" ht="31.5">
      <c r="A5291" s="261">
        <v>5301051</v>
      </c>
      <c r="B5291" s="265" t="s">
        <v>16589</v>
      </c>
      <c r="C5291" s="261" t="s">
        <v>97</v>
      </c>
      <c r="D5291" s="266">
        <v>2612.14</v>
      </c>
    </row>
    <row r="5292" spans="1:4" ht="31.5">
      <c r="A5292" s="261">
        <v>5301067</v>
      </c>
      <c r="B5292" s="265" t="s">
        <v>16590</v>
      </c>
      <c r="C5292" s="261" t="s">
        <v>97</v>
      </c>
      <c r="D5292" s="266">
        <v>944.6</v>
      </c>
    </row>
    <row r="5293" spans="1:4" ht="31.5">
      <c r="A5293" s="261">
        <v>5301049</v>
      </c>
      <c r="B5293" s="265" t="s">
        <v>16591</v>
      </c>
      <c r="C5293" s="261" t="s">
        <v>97</v>
      </c>
      <c r="D5293" s="266">
        <v>1384.49</v>
      </c>
    </row>
    <row r="5294" spans="1:4" ht="31.5">
      <c r="A5294" s="261">
        <v>5301068</v>
      </c>
      <c r="B5294" s="265" t="s">
        <v>16592</v>
      </c>
      <c r="C5294" s="261" t="s">
        <v>97</v>
      </c>
      <c r="D5294" s="266">
        <v>1195.8900000000001</v>
      </c>
    </row>
    <row r="5295" spans="1:4" ht="31.5">
      <c r="A5295" s="261">
        <v>5301050</v>
      </c>
      <c r="B5295" s="265" t="s">
        <v>16593</v>
      </c>
      <c r="C5295" s="261" t="s">
        <v>97</v>
      </c>
      <c r="D5295" s="266">
        <v>1635.98</v>
      </c>
    </row>
    <row r="5296" spans="1:4">
      <c r="A5296" s="261">
        <v>5301022</v>
      </c>
      <c r="B5296" s="265" t="s">
        <v>16594</v>
      </c>
      <c r="C5296" s="261" t="s">
        <v>97</v>
      </c>
      <c r="D5296" s="266">
        <v>837.25</v>
      </c>
    </row>
    <row r="5297" spans="1:4">
      <c r="A5297" s="261">
        <v>5301021</v>
      </c>
      <c r="B5297" s="265" t="s">
        <v>16595</v>
      </c>
      <c r="C5297" s="261" t="s">
        <v>97</v>
      </c>
      <c r="D5297" s="266">
        <v>546.19000000000005</v>
      </c>
    </row>
    <row r="5298" spans="1:4">
      <c r="A5298" s="261">
        <v>5301020</v>
      </c>
      <c r="B5298" s="265" t="s">
        <v>16596</v>
      </c>
      <c r="C5298" s="261" t="s">
        <v>6</v>
      </c>
      <c r="D5298" s="266">
        <v>527.47</v>
      </c>
    </row>
    <row r="5299" spans="1:4">
      <c r="A5299" s="261">
        <v>5301018</v>
      </c>
      <c r="B5299" s="265" t="s">
        <v>16597</v>
      </c>
      <c r="C5299" s="261" t="s">
        <v>6</v>
      </c>
      <c r="D5299" s="266">
        <v>135.06</v>
      </c>
    </row>
    <row r="5300" spans="1:4">
      <c r="A5300" s="261">
        <v>5301019</v>
      </c>
      <c r="B5300" s="265" t="s">
        <v>16598</v>
      </c>
      <c r="C5300" s="261" t="s">
        <v>6</v>
      </c>
      <c r="D5300" s="266">
        <v>369.83</v>
      </c>
    </row>
    <row r="5301" spans="1:4" ht="31.5">
      <c r="A5301" s="261">
        <v>5301077</v>
      </c>
      <c r="B5301" s="265" t="s">
        <v>16599</v>
      </c>
      <c r="C5301" s="261" t="s">
        <v>97</v>
      </c>
      <c r="D5301" s="266">
        <v>4412.3</v>
      </c>
    </row>
    <row r="5302" spans="1:4" ht="31.5">
      <c r="A5302" s="261">
        <v>5301078</v>
      </c>
      <c r="B5302" s="265" t="s">
        <v>16600</v>
      </c>
      <c r="C5302" s="261" t="s">
        <v>97</v>
      </c>
      <c r="D5302" s="266">
        <v>4844.49</v>
      </c>
    </row>
    <row r="5303" spans="1:4" ht="31.5">
      <c r="A5303" s="261">
        <v>5301079</v>
      </c>
      <c r="B5303" s="265" t="s">
        <v>16601</v>
      </c>
      <c r="C5303" s="261" t="s">
        <v>97</v>
      </c>
      <c r="D5303" s="266">
        <v>7016.11</v>
      </c>
    </row>
    <row r="5304" spans="1:4" ht="31.5">
      <c r="A5304" s="261">
        <v>5301080</v>
      </c>
      <c r="B5304" s="265" t="s">
        <v>16602</v>
      </c>
      <c r="C5304" s="261" t="s">
        <v>97</v>
      </c>
      <c r="D5304" s="266">
        <v>8483.83</v>
      </c>
    </row>
    <row r="5305" spans="1:4" ht="31.5">
      <c r="A5305" s="261">
        <v>5301081</v>
      </c>
      <c r="B5305" s="265" t="s">
        <v>16603</v>
      </c>
      <c r="C5305" s="261" t="s">
        <v>97</v>
      </c>
      <c r="D5305" s="266">
        <v>9111.99</v>
      </c>
    </row>
    <row r="5306" spans="1:4">
      <c r="A5306" s="261">
        <v>5301023</v>
      </c>
      <c r="B5306" s="265" t="s">
        <v>16604</v>
      </c>
      <c r="C5306" s="261" t="s">
        <v>97</v>
      </c>
      <c r="D5306" s="266">
        <v>3266.21</v>
      </c>
    </row>
    <row r="5307" spans="1:4">
      <c r="A5307" s="261">
        <v>5301024</v>
      </c>
      <c r="B5307" s="265" t="s">
        <v>16605</v>
      </c>
      <c r="C5307" s="261" t="s">
        <v>97</v>
      </c>
      <c r="D5307" s="266">
        <v>3698.39</v>
      </c>
    </row>
    <row r="5308" spans="1:4">
      <c r="A5308" s="261">
        <v>5301025</v>
      </c>
      <c r="B5308" s="265" t="s">
        <v>16606</v>
      </c>
      <c r="C5308" s="261" t="s">
        <v>97</v>
      </c>
      <c r="D5308" s="266">
        <v>5870.02</v>
      </c>
    </row>
    <row r="5309" spans="1:4">
      <c r="A5309" s="261">
        <v>5301026</v>
      </c>
      <c r="B5309" s="265" t="s">
        <v>16607</v>
      </c>
      <c r="C5309" s="261" t="s">
        <v>97</v>
      </c>
      <c r="D5309" s="266">
        <v>7337.73</v>
      </c>
    </row>
    <row r="5310" spans="1:4">
      <c r="A5310" s="261">
        <v>5301027</v>
      </c>
      <c r="B5310" s="265" t="s">
        <v>16608</v>
      </c>
      <c r="C5310" s="261" t="s">
        <v>97</v>
      </c>
      <c r="D5310" s="266">
        <v>7965.89</v>
      </c>
    </row>
    <row r="5311" spans="1:4">
      <c r="A5311" s="261">
        <v>5301028</v>
      </c>
      <c r="B5311" s="265" t="s">
        <v>16609</v>
      </c>
      <c r="C5311" s="261" t="s">
        <v>97</v>
      </c>
      <c r="D5311" s="266">
        <v>3204.87</v>
      </c>
    </row>
    <row r="5312" spans="1:4" ht="31.5">
      <c r="A5312" s="261">
        <v>5301082</v>
      </c>
      <c r="B5312" s="265" t="s">
        <v>16610</v>
      </c>
      <c r="C5312" s="261" t="s">
        <v>97</v>
      </c>
      <c r="D5312" s="266">
        <v>4267.34</v>
      </c>
    </row>
    <row r="5313" spans="1:4">
      <c r="A5313" s="261">
        <v>5301029</v>
      </c>
      <c r="B5313" s="265" t="s">
        <v>16611</v>
      </c>
      <c r="C5313" s="261" t="s">
        <v>97</v>
      </c>
      <c r="D5313" s="266">
        <v>3637.06</v>
      </c>
    </row>
    <row r="5314" spans="1:4" ht="31.5">
      <c r="A5314" s="261">
        <v>5301083</v>
      </c>
      <c r="B5314" s="265" t="s">
        <v>16612</v>
      </c>
      <c r="C5314" s="261" t="s">
        <v>97</v>
      </c>
      <c r="D5314" s="266">
        <v>4699.53</v>
      </c>
    </row>
    <row r="5315" spans="1:4">
      <c r="A5315" s="261">
        <v>5301030</v>
      </c>
      <c r="B5315" s="265" t="s">
        <v>16613</v>
      </c>
      <c r="C5315" s="261" t="s">
        <v>97</v>
      </c>
      <c r="D5315" s="266">
        <v>5808.69</v>
      </c>
    </row>
    <row r="5316" spans="1:4" ht="31.5">
      <c r="A5316" s="261">
        <v>5301084</v>
      </c>
      <c r="B5316" s="265" t="s">
        <v>16614</v>
      </c>
      <c r="C5316" s="261" t="s">
        <v>97</v>
      </c>
      <c r="D5316" s="266">
        <v>6871.16</v>
      </c>
    </row>
    <row r="5317" spans="1:4">
      <c r="A5317" s="261">
        <v>5301031</v>
      </c>
      <c r="B5317" s="265" t="s">
        <v>16615</v>
      </c>
      <c r="C5317" s="261" t="s">
        <v>97</v>
      </c>
      <c r="D5317" s="266">
        <v>7276.4</v>
      </c>
    </row>
    <row r="5318" spans="1:4" ht="31.5">
      <c r="A5318" s="261">
        <v>5301085</v>
      </c>
      <c r="B5318" s="265" t="s">
        <v>16616</v>
      </c>
      <c r="C5318" s="261" t="s">
        <v>97</v>
      </c>
      <c r="D5318" s="266">
        <v>8338.8700000000008</v>
      </c>
    </row>
    <row r="5319" spans="1:4">
      <c r="A5319" s="261">
        <v>5301032</v>
      </c>
      <c r="B5319" s="265" t="s">
        <v>16617</v>
      </c>
      <c r="C5319" s="261" t="s">
        <v>97</v>
      </c>
      <c r="D5319" s="266">
        <v>7904.56</v>
      </c>
    </row>
    <row r="5320" spans="1:4" ht="31.5">
      <c r="A5320" s="261">
        <v>5301086</v>
      </c>
      <c r="B5320" s="265" t="s">
        <v>16618</v>
      </c>
      <c r="C5320" s="261" t="s">
        <v>97</v>
      </c>
      <c r="D5320" s="266">
        <v>8967.0300000000007</v>
      </c>
    </row>
    <row r="5321" spans="1:4">
      <c r="A5321" s="261">
        <v>5301033</v>
      </c>
      <c r="B5321" s="265" t="s">
        <v>16619</v>
      </c>
      <c r="C5321" s="261" t="s">
        <v>97</v>
      </c>
      <c r="D5321" s="266">
        <v>76.680000000000007</v>
      </c>
    </row>
    <row r="5322" spans="1:4">
      <c r="A5322" s="261">
        <v>5301034</v>
      </c>
      <c r="B5322" s="265" t="s">
        <v>16620</v>
      </c>
      <c r="C5322" s="261" t="s">
        <v>97</v>
      </c>
      <c r="D5322" s="266">
        <v>562.22</v>
      </c>
    </row>
    <row r="5323" spans="1:4">
      <c r="A5323" s="261">
        <v>5301073</v>
      </c>
      <c r="B5323" s="265" t="s">
        <v>16621</v>
      </c>
      <c r="C5323" s="261" t="s">
        <v>97</v>
      </c>
      <c r="D5323" s="266">
        <v>467.63</v>
      </c>
    </row>
    <row r="5324" spans="1:4">
      <c r="A5324" s="261">
        <v>5301074</v>
      </c>
      <c r="B5324" s="265" t="s">
        <v>16622</v>
      </c>
      <c r="C5324" s="261" t="s">
        <v>97</v>
      </c>
      <c r="D5324" s="266">
        <v>1607.69</v>
      </c>
    </row>
    <row r="5325" spans="1:4">
      <c r="A5325" s="261">
        <v>5301015</v>
      </c>
      <c r="B5325" s="265" t="s">
        <v>16623</v>
      </c>
      <c r="C5325" s="261" t="s">
        <v>97</v>
      </c>
      <c r="D5325" s="266">
        <v>1043.97</v>
      </c>
    </row>
    <row r="5326" spans="1:4">
      <c r="A5326" s="261">
        <v>5300992</v>
      </c>
      <c r="B5326" s="265" t="s">
        <v>16624</v>
      </c>
      <c r="C5326" s="261" t="s">
        <v>3</v>
      </c>
      <c r="D5326" s="266">
        <v>14.23</v>
      </c>
    </row>
    <row r="5327" spans="1:4" ht="31.5">
      <c r="A5327" s="261">
        <v>5300994</v>
      </c>
      <c r="B5327" s="265" t="s">
        <v>16625</v>
      </c>
      <c r="C5327" s="261" t="s">
        <v>3</v>
      </c>
      <c r="D5327" s="266">
        <v>13.91</v>
      </c>
    </row>
    <row r="5328" spans="1:4">
      <c r="A5328" s="261">
        <v>5300993</v>
      </c>
      <c r="B5328" s="265" t="s">
        <v>16626</v>
      </c>
      <c r="C5328" s="261" t="s">
        <v>3</v>
      </c>
      <c r="D5328" s="266">
        <v>8.7899999999999991</v>
      </c>
    </row>
    <row r="5329" spans="1:4">
      <c r="A5329" s="261">
        <v>5301088</v>
      </c>
      <c r="B5329" s="265" t="s">
        <v>16627</v>
      </c>
      <c r="C5329" s="261" t="s">
        <v>97</v>
      </c>
      <c r="D5329" s="266">
        <v>325.08999999999997</v>
      </c>
    </row>
    <row r="5330" spans="1:4">
      <c r="A5330" s="261">
        <v>5301004</v>
      </c>
      <c r="B5330" s="265" t="s">
        <v>16628</v>
      </c>
      <c r="C5330" s="261" t="s">
        <v>97</v>
      </c>
      <c r="D5330" s="266">
        <v>458.83</v>
      </c>
    </row>
    <row r="5331" spans="1:4">
      <c r="A5331" s="261">
        <v>5301087</v>
      </c>
      <c r="B5331" s="265" t="s">
        <v>16629</v>
      </c>
      <c r="C5331" s="261" t="s">
        <v>97</v>
      </c>
      <c r="D5331" s="266">
        <v>194.72</v>
      </c>
    </row>
    <row r="5332" spans="1:4">
      <c r="A5332" s="261">
        <v>5301005</v>
      </c>
      <c r="B5332" s="265" t="s">
        <v>16630</v>
      </c>
      <c r="C5332" s="261" t="s">
        <v>97</v>
      </c>
      <c r="D5332" s="266">
        <v>397.43</v>
      </c>
    </row>
    <row r="5333" spans="1:4">
      <c r="A5333" s="261">
        <v>5301006</v>
      </c>
      <c r="B5333" s="265" t="s">
        <v>16631</v>
      </c>
      <c r="C5333" s="261" t="s">
        <v>97</v>
      </c>
      <c r="D5333" s="266">
        <v>490.15</v>
      </c>
    </row>
    <row r="5334" spans="1:4">
      <c r="A5334" s="261">
        <v>5301008</v>
      </c>
      <c r="B5334" s="265" t="s">
        <v>16632</v>
      </c>
      <c r="C5334" s="261" t="s">
        <v>97</v>
      </c>
      <c r="D5334" s="266">
        <v>886.09</v>
      </c>
    </row>
    <row r="5335" spans="1:4">
      <c r="A5335" s="261">
        <v>5301007</v>
      </c>
      <c r="B5335" s="265" t="s">
        <v>16633</v>
      </c>
      <c r="C5335" s="261" t="s">
        <v>97</v>
      </c>
      <c r="D5335" s="266">
        <v>833.92</v>
      </c>
    </row>
    <row r="5336" spans="1:4">
      <c r="A5336" s="261">
        <v>5301009</v>
      </c>
      <c r="B5336" s="265" t="s">
        <v>16634</v>
      </c>
      <c r="C5336" s="261" t="s">
        <v>97</v>
      </c>
      <c r="D5336" s="266">
        <v>246.14</v>
      </c>
    </row>
    <row r="5337" spans="1:4">
      <c r="A5337" s="261">
        <v>5301010</v>
      </c>
      <c r="B5337" s="265" t="s">
        <v>16635</v>
      </c>
      <c r="C5337" s="261" t="s">
        <v>97</v>
      </c>
      <c r="D5337" s="266">
        <v>375.22</v>
      </c>
    </row>
    <row r="5338" spans="1:4">
      <c r="A5338" s="261">
        <v>5301011</v>
      </c>
      <c r="B5338" s="265" t="s">
        <v>16636</v>
      </c>
      <c r="C5338" s="261" t="s">
        <v>97</v>
      </c>
      <c r="D5338" s="266">
        <v>299.14</v>
      </c>
    </row>
    <row r="5339" spans="1:4">
      <c r="A5339" s="261">
        <v>5301012</v>
      </c>
      <c r="B5339" s="265" t="s">
        <v>16637</v>
      </c>
      <c r="C5339" s="261" t="s">
        <v>97</v>
      </c>
      <c r="D5339" s="266">
        <v>212.02</v>
      </c>
    </row>
    <row r="5340" spans="1:4">
      <c r="A5340" s="261">
        <v>5301013</v>
      </c>
      <c r="B5340" s="265" t="s">
        <v>16638</v>
      </c>
      <c r="C5340" s="261" t="s">
        <v>97</v>
      </c>
      <c r="D5340" s="266">
        <v>180.97</v>
      </c>
    </row>
    <row r="5341" spans="1:4">
      <c r="A5341" s="261">
        <v>5301016</v>
      </c>
      <c r="B5341" s="265" t="s">
        <v>16639</v>
      </c>
      <c r="C5341" s="261" t="s">
        <v>97</v>
      </c>
      <c r="D5341" s="266">
        <v>1725.69</v>
      </c>
    </row>
    <row r="5342" spans="1:4">
      <c r="A5342" s="261">
        <v>5301017</v>
      </c>
      <c r="B5342" s="265" t="s">
        <v>16640</v>
      </c>
      <c r="C5342" s="261" t="s">
        <v>97</v>
      </c>
      <c r="D5342" s="266">
        <v>1263.1300000000001</v>
      </c>
    </row>
    <row r="5343" spans="1:4">
      <c r="A5343" s="261">
        <v>5301035</v>
      </c>
      <c r="B5343" s="265" t="s">
        <v>16641</v>
      </c>
      <c r="C5343" s="261" t="s">
        <v>97</v>
      </c>
      <c r="D5343" s="266">
        <v>111.56</v>
      </c>
    </row>
    <row r="5344" spans="1:4">
      <c r="A5344" s="261">
        <v>5301036</v>
      </c>
      <c r="B5344" s="265" t="s">
        <v>16642</v>
      </c>
      <c r="C5344" s="261" t="s">
        <v>97</v>
      </c>
      <c r="D5344" s="266">
        <v>1124.45</v>
      </c>
    </row>
    <row r="5345" spans="1:4">
      <c r="A5345" s="261">
        <v>5301075</v>
      </c>
      <c r="B5345" s="265" t="s">
        <v>16643</v>
      </c>
      <c r="C5345" s="261" t="s">
        <v>97</v>
      </c>
      <c r="D5345" s="266">
        <v>534.63</v>
      </c>
    </row>
    <row r="5346" spans="1:4">
      <c r="A5346" s="261">
        <v>5301076</v>
      </c>
      <c r="B5346" s="265" t="s">
        <v>16644</v>
      </c>
      <c r="C5346" s="261" t="s">
        <v>97</v>
      </c>
      <c r="D5346" s="266">
        <v>1770.49</v>
      </c>
    </row>
    <row r="5347" spans="1:4">
      <c r="A5347" s="261">
        <v>5405977</v>
      </c>
      <c r="B5347" s="265" t="s">
        <v>16645</v>
      </c>
      <c r="C5347" s="261" t="s">
        <v>5</v>
      </c>
      <c r="D5347" s="266">
        <v>45.17</v>
      </c>
    </row>
    <row r="5348" spans="1:4">
      <c r="A5348" s="261">
        <v>5406044</v>
      </c>
      <c r="B5348" s="265" t="s">
        <v>16646</v>
      </c>
      <c r="C5348" s="261" t="s">
        <v>5</v>
      </c>
      <c r="D5348" s="266">
        <v>270.57</v>
      </c>
    </row>
    <row r="5349" spans="1:4">
      <c r="A5349" s="261">
        <v>5406045</v>
      </c>
      <c r="B5349" s="265" t="s">
        <v>16647</v>
      </c>
      <c r="C5349" s="261" t="s">
        <v>5</v>
      </c>
      <c r="D5349" s="266">
        <v>287.97000000000003</v>
      </c>
    </row>
    <row r="5350" spans="1:4">
      <c r="A5350" s="261">
        <v>5406046</v>
      </c>
      <c r="B5350" s="265" t="s">
        <v>16648</v>
      </c>
      <c r="C5350" s="261" t="s">
        <v>5</v>
      </c>
      <c r="D5350" s="266">
        <v>322.57</v>
      </c>
    </row>
    <row r="5351" spans="1:4">
      <c r="A5351" s="261">
        <v>5406047</v>
      </c>
      <c r="B5351" s="265" t="s">
        <v>16649</v>
      </c>
      <c r="C5351" s="261" t="s">
        <v>5</v>
      </c>
      <c r="D5351" s="266">
        <v>426.57</v>
      </c>
    </row>
    <row r="5352" spans="1:4">
      <c r="A5352" s="261">
        <v>5405978</v>
      </c>
      <c r="B5352" s="265" t="s">
        <v>16650</v>
      </c>
      <c r="C5352" s="261" t="s">
        <v>5</v>
      </c>
      <c r="D5352" s="266">
        <v>79.97</v>
      </c>
    </row>
    <row r="5353" spans="1:4">
      <c r="A5353" s="261">
        <v>5405982</v>
      </c>
      <c r="B5353" s="265" t="s">
        <v>16651</v>
      </c>
      <c r="C5353" s="261" t="s">
        <v>5</v>
      </c>
      <c r="D5353" s="266">
        <v>97.17</v>
      </c>
    </row>
    <row r="5354" spans="1:4">
      <c r="A5354" s="261">
        <v>5405983</v>
      </c>
      <c r="B5354" s="265" t="s">
        <v>16652</v>
      </c>
      <c r="C5354" s="261" t="s">
        <v>5</v>
      </c>
      <c r="D5354" s="266">
        <v>114.57</v>
      </c>
    </row>
    <row r="5355" spans="1:4">
      <c r="A5355" s="261">
        <v>5405984</v>
      </c>
      <c r="B5355" s="265" t="s">
        <v>16653</v>
      </c>
      <c r="C5355" s="261" t="s">
        <v>5</v>
      </c>
      <c r="D5355" s="266">
        <v>149.16999999999999</v>
      </c>
    </row>
    <row r="5356" spans="1:4">
      <c r="A5356" s="261">
        <v>5405985</v>
      </c>
      <c r="B5356" s="265" t="s">
        <v>16654</v>
      </c>
      <c r="C5356" s="261" t="s">
        <v>5</v>
      </c>
      <c r="D5356" s="266">
        <v>183.97</v>
      </c>
    </row>
    <row r="5357" spans="1:4">
      <c r="A5357" s="261">
        <v>5406043</v>
      </c>
      <c r="B5357" s="265" t="s">
        <v>16655</v>
      </c>
      <c r="C5357" s="261" t="s">
        <v>5</v>
      </c>
      <c r="D5357" s="266">
        <v>218.57</v>
      </c>
    </row>
    <row r="5358" spans="1:4" ht="31.5">
      <c r="A5358" s="261">
        <v>5405975</v>
      </c>
      <c r="B5358" s="265" t="s">
        <v>16656</v>
      </c>
      <c r="C5358" s="261" t="s">
        <v>3</v>
      </c>
      <c r="D5358" s="266">
        <v>39.24</v>
      </c>
    </row>
    <row r="5359" spans="1:4">
      <c r="A5359" s="261">
        <v>5405970</v>
      </c>
      <c r="B5359" s="265" t="s">
        <v>16657</v>
      </c>
      <c r="C5359" s="261" t="s">
        <v>5</v>
      </c>
      <c r="D5359" s="266">
        <v>1414.42</v>
      </c>
    </row>
    <row r="5360" spans="1:4">
      <c r="A5360" s="261">
        <v>5405972</v>
      </c>
      <c r="B5360" s="265" t="s">
        <v>16658</v>
      </c>
      <c r="C5360" s="261" t="s">
        <v>5</v>
      </c>
      <c r="D5360" s="266">
        <v>1310.95</v>
      </c>
    </row>
    <row r="5361" spans="1:4">
      <c r="A5361" s="261">
        <v>5405971</v>
      </c>
      <c r="B5361" s="265" t="s">
        <v>16659</v>
      </c>
      <c r="C5361" s="261" t="s">
        <v>5</v>
      </c>
      <c r="D5361" s="266">
        <v>1576.97</v>
      </c>
    </row>
    <row r="5362" spans="1:4">
      <c r="A5362" s="261">
        <v>5405973</v>
      </c>
      <c r="B5362" s="265" t="s">
        <v>16660</v>
      </c>
      <c r="C5362" s="261" t="s">
        <v>5</v>
      </c>
      <c r="D5362" s="266">
        <v>1473.5</v>
      </c>
    </row>
    <row r="5363" spans="1:4" ht="31.5">
      <c r="A5363" s="261">
        <v>5405986</v>
      </c>
      <c r="B5363" s="265" t="s">
        <v>16661</v>
      </c>
      <c r="C5363" s="261" t="s">
        <v>3</v>
      </c>
      <c r="D5363" s="266">
        <v>10.69</v>
      </c>
    </row>
    <row r="5364" spans="1:4">
      <c r="A5364" s="261">
        <v>5405976</v>
      </c>
      <c r="B5364" s="265" t="s">
        <v>16662</v>
      </c>
      <c r="C5364" s="261" t="s">
        <v>3</v>
      </c>
      <c r="D5364" s="266">
        <v>132.71</v>
      </c>
    </row>
    <row r="5365" spans="1:4">
      <c r="A5365" s="261">
        <v>5406023</v>
      </c>
      <c r="B5365" s="265" t="s">
        <v>16663</v>
      </c>
      <c r="C5365" s="261" t="s">
        <v>3</v>
      </c>
      <c r="D5365" s="266">
        <v>352.8</v>
      </c>
    </row>
    <row r="5366" spans="1:4" ht="31.5">
      <c r="A5366" s="261">
        <v>5406033</v>
      </c>
      <c r="B5366" s="265" t="s">
        <v>16664</v>
      </c>
      <c r="C5366" s="261" t="s">
        <v>3</v>
      </c>
      <c r="D5366" s="266">
        <v>338.32</v>
      </c>
    </row>
    <row r="5367" spans="1:4">
      <c r="A5367" s="261">
        <v>5406024</v>
      </c>
      <c r="B5367" s="265" t="s">
        <v>16665</v>
      </c>
      <c r="C5367" s="261" t="s">
        <v>3</v>
      </c>
      <c r="D5367" s="266">
        <v>375.56</v>
      </c>
    </row>
    <row r="5368" spans="1:4" ht="31.5">
      <c r="A5368" s="261">
        <v>5406034</v>
      </c>
      <c r="B5368" s="265" t="s">
        <v>16666</v>
      </c>
      <c r="C5368" s="261" t="s">
        <v>3</v>
      </c>
      <c r="D5368" s="266">
        <v>361.07</v>
      </c>
    </row>
    <row r="5369" spans="1:4" ht="31.5">
      <c r="A5369" s="261">
        <v>5406031</v>
      </c>
      <c r="B5369" s="265" t="s">
        <v>16667</v>
      </c>
      <c r="C5369" s="261" t="s">
        <v>3</v>
      </c>
      <c r="D5369" s="266">
        <v>334.74</v>
      </c>
    </row>
    <row r="5370" spans="1:4" ht="31.5">
      <c r="A5370" s="261">
        <v>5406041</v>
      </c>
      <c r="B5370" s="265" t="s">
        <v>16668</v>
      </c>
      <c r="C5370" s="261" t="s">
        <v>3</v>
      </c>
      <c r="D5370" s="266">
        <v>320.26</v>
      </c>
    </row>
    <row r="5371" spans="1:4" ht="31.5">
      <c r="A5371" s="261">
        <v>5406032</v>
      </c>
      <c r="B5371" s="265" t="s">
        <v>16669</v>
      </c>
      <c r="C5371" s="261" t="s">
        <v>3</v>
      </c>
      <c r="D5371" s="266">
        <v>357.5</v>
      </c>
    </row>
    <row r="5372" spans="1:4" ht="31.5">
      <c r="A5372" s="261">
        <v>5406042</v>
      </c>
      <c r="B5372" s="265" t="s">
        <v>16670</v>
      </c>
      <c r="C5372" s="261" t="s">
        <v>3</v>
      </c>
      <c r="D5372" s="266">
        <v>343.01</v>
      </c>
    </row>
    <row r="5373" spans="1:4" ht="31.5">
      <c r="A5373" s="261">
        <v>5406025</v>
      </c>
      <c r="B5373" s="265" t="s">
        <v>16671</v>
      </c>
      <c r="C5373" s="261" t="s">
        <v>3</v>
      </c>
      <c r="D5373" s="266">
        <v>339.56</v>
      </c>
    </row>
    <row r="5374" spans="1:4" ht="31.5">
      <c r="A5374" s="261">
        <v>5406035</v>
      </c>
      <c r="B5374" s="265" t="s">
        <v>16672</v>
      </c>
      <c r="C5374" s="261" t="s">
        <v>3</v>
      </c>
      <c r="D5374" s="266">
        <v>325.07</v>
      </c>
    </row>
    <row r="5375" spans="1:4" ht="31.5">
      <c r="A5375" s="261">
        <v>5406026</v>
      </c>
      <c r="B5375" s="265" t="s">
        <v>16673</v>
      </c>
      <c r="C5375" s="261" t="s">
        <v>3</v>
      </c>
      <c r="D5375" s="266">
        <v>362.31</v>
      </c>
    </row>
    <row r="5376" spans="1:4" ht="31.5">
      <c r="A5376" s="261">
        <v>5406036</v>
      </c>
      <c r="B5376" s="265" t="s">
        <v>16674</v>
      </c>
      <c r="C5376" s="261" t="s">
        <v>3</v>
      </c>
      <c r="D5376" s="266">
        <v>347.83</v>
      </c>
    </row>
    <row r="5377" spans="1:4" ht="31.5">
      <c r="A5377" s="261">
        <v>5406027</v>
      </c>
      <c r="B5377" s="265" t="s">
        <v>16675</v>
      </c>
      <c r="C5377" s="261" t="s">
        <v>3</v>
      </c>
      <c r="D5377" s="266">
        <v>337.04</v>
      </c>
    </row>
    <row r="5378" spans="1:4" ht="31.5">
      <c r="A5378" s="261">
        <v>5406037</v>
      </c>
      <c r="B5378" s="265" t="s">
        <v>16676</v>
      </c>
      <c r="C5378" s="261" t="s">
        <v>3</v>
      </c>
      <c r="D5378" s="266">
        <v>322.55</v>
      </c>
    </row>
    <row r="5379" spans="1:4" ht="31.5">
      <c r="A5379" s="261">
        <v>5406028</v>
      </c>
      <c r="B5379" s="265" t="s">
        <v>16677</v>
      </c>
      <c r="C5379" s="261" t="s">
        <v>3</v>
      </c>
      <c r="D5379" s="266">
        <v>359.79</v>
      </c>
    </row>
    <row r="5380" spans="1:4" ht="31.5">
      <c r="A5380" s="261">
        <v>5406038</v>
      </c>
      <c r="B5380" s="265" t="s">
        <v>16678</v>
      </c>
      <c r="C5380" s="261" t="s">
        <v>3</v>
      </c>
      <c r="D5380" s="266">
        <v>345.31</v>
      </c>
    </row>
    <row r="5381" spans="1:4" ht="31.5">
      <c r="A5381" s="261">
        <v>5406029</v>
      </c>
      <c r="B5381" s="265" t="s">
        <v>16679</v>
      </c>
      <c r="C5381" s="261" t="s">
        <v>3</v>
      </c>
      <c r="D5381" s="266">
        <v>335.63</v>
      </c>
    </row>
    <row r="5382" spans="1:4" ht="31.5">
      <c r="A5382" s="261">
        <v>5406039</v>
      </c>
      <c r="B5382" s="265" t="s">
        <v>16680</v>
      </c>
      <c r="C5382" s="261" t="s">
        <v>3</v>
      </c>
      <c r="D5382" s="266">
        <v>321.14999999999998</v>
      </c>
    </row>
    <row r="5383" spans="1:4" ht="31.5">
      <c r="A5383" s="261">
        <v>5406030</v>
      </c>
      <c r="B5383" s="265" t="s">
        <v>16681</v>
      </c>
      <c r="C5383" s="261" t="s">
        <v>3</v>
      </c>
      <c r="D5383" s="266">
        <v>358.39</v>
      </c>
    </row>
    <row r="5384" spans="1:4" ht="31.5">
      <c r="A5384" s="261">
        <v>5406040</v>
      </c>
      <c r="B5384" s="265" t="s">
        <v>16682</v>
      </c>
      <c r="C5384" s="261" t="s">
        <v>3</v>
      </c>
      <c r="D5384" s="266">
        <v>343.91</v>
      </c>
    </row>
    <row r="5385" spans="1:4">
      <c r="A5385" s="261">
        <v>5405987</v>
      </c>
      <c r="B5385" s="265" t="s">
        <v>16683</v>
      </c>
      <c r="C5385" s="261" t="s">
        <v>97</v>
      </c>
      <c r="D5385" s="266">
        <v>9.98</v>
      </c>
    </row>
    <row r="5386" spans="1:4">
      <c r="A5386" s="261">
        <v>5405979</v>
      </c>
      <c r="B5386" s="265" t="s">
        <v>16684</v>
      </c>
      <c r="C5386" s="261" t="s">
        <v>3</v>
      </c>
      <c r="D5386" s="266">
        <v>18.16</v>
      </c>
    </row>
    <row r="5387" spans="1:4">
      <c r="A5387" s="261">
        <v>5502806</v>
      </c>
      <c r="B5387" s="265" t="s">
        <v>16685</v>
      </c>
      <c r="C5387" s="261" t="s">
        <v>5</v>
      </c>
      <c r="D5387" s="266">
        <v>122.69</v>
      </c>
    </row>
    <row r="5388" spans="1:4">
      <c r="A5388" s="261">
        <v>5502807</v>
      </c>
      <c r="B5388" s="265" t="s">
        <v>16686</v>
      </c>
      <c r="C5388" s="261" t="s">
        <v>5</v>
      </c>
      <c r="D5388" s="266">
        <v>15.03</v>
      </c>
    </row>
    <row r="5389" spans="1:4">
      <c r="A5389" s="261">
        <v>5503041</v>
      </c>
      <c r="B5389" s="265" t="s">
        <v>16687</v>
      </c>
      <c r="C5389" s="261" t="s">
        <v>5</v>
      </c>
      <c r="D5389" s="266">
        <v>7.95</v>
      </c>
    </row>
    <row r="5390" spans="1:4">
      <c r="A5390" s="261">
        <v>5502978</v>
      </c>
      <c r="B5390" s="265" t="s">
        <v>16688</v>
      </c>
      <c r="C5390" s="261" t="s">
        <v>5</v>
      </c>
      <c r="D5390" s="266">
        <v>4.68</v>
      </c>
    </row>
    <row r="5391" spans="1:4">
      <c r="A5391" s="261">
        <v>5502822</v>
      </c>
      <c r="B5391" s="265" t="s">
        <v>16689</v>
      </c>
      <c r="C5391" s="261" t="s">
        <v>5</v>
      </c>
      <c r="D5391" s="266">
        <v>38.840000000000003</v>
      </c>
    </row>
    <row r="5392" spans="1:4">
      <c r="A5392" s="261">
        <v>5502979</v>
      </c>
      <c r="B5392" s="265" t="s">
        <v>16690</v>
      </c>
      <c r="C5392" s="261" t="s">
        <v>5</v>
      </c>
      <c r="D5392" s="266">
        <v>16.98</v>
      </c>
    </row>
    <row r="5393" spans="1:4">
      <c r="A5393" s="261">
        <v>5501700</v>
      </c>
      <c r="B5393" s="265" t="s">
        <v>16691</v>
      </c>
      <c r="C5393" s="261" t="s">
        <v>3</v>
      </c>
      <c r="D5393" s="266">
        <v>0.54</v>
      </c>
    </row>
    <row r="5394" spans="1:4">
      <c r="A5394" s="261">
        <v>5500991</v>
      </c>
      <c r="B5394" s="265" t="s">
        <v>16692</v>
      </c>
      <c r="C5394" s="261" t="s">
        <v>5</v>
      </c>
      <c r="D5394" s="266">
        <v>163.05000000000001</v>
      </c>
    </row>
    <row r="5395" spans="1:4">
      <c r="A5395" s="261">
        <v>5515739</v>
      </c>
      <c r="B5395" s="265" t="s">
        <v>16693</v>
      </c>
      <c r="C5395" s="261" t="s">
        <v>5</v>
      </c>
      <c r="D5395" s="266">
        <v>42.94</v>
      </c>
    </row>
    <row r="5396" spans="1:4">
      <c r="A5396" s="261">
        <v>5505766</v>
      </c>
      <c r="B5396" s="265" t="s">
        <v>16694</v>
      </c>
      <c r="C5396" s="261" t="s">
        <v>5</v>
      </c>
      <c r="D5396" s="266">
        <v>324.95</v>
      </c>
    </row>
    <row r="5397" spans="1:4">
      <c r="A5397" s="261">
        <v>5501701</v>
      </c>
      <c r="B5397" s="265" t="s">
        <v>16695</v>
      </c>
      <c r="C5397" s="261" t="s">
        <v>97</v>
      </c>
      <c r="D5397" s="266">
        <v>39.78</v>
      </c>
    </row>
    <row r="5398" spans="1:4">
      <c r="A5398" s="261">
        <v>5501702</v>
      </c>
      <c r="B5398" s="265" t="s">
        <v>16696</v>
      </c>
      <c r="C5398" s="261" t="s">
        <v>97</v>
      </c>
      <c r="D5398" s="266">
        <v>99.46</v>
      </c>
    </row>
    <row r="5399" spans="1:4" ht="31.5">
      <c r="A5399" s="261">
        <v>5502972</v>
      </c>
      <c r="B5399" s="265" t="s">
        <v>16697</v>
      </c>
      <c r="C5399" s="261" t="s">
        <v>5</v>
      </c>
      <c r="D5399" s="266">
        <v>226.32</v>
      </c>
    </row>
    <row r="5400" spans="1:4" ht="31.5">
      <c r="A5400" s="261">
        <v>5502968</v>
      </c>
      <c r="B5400" s="265" t="s">
        <v>16698</v>
      </c>
      <c r="C5400" s="261" t="s">
        <v>5</v>
      </c>
      <c r="D5400" s="266">
        <v>25.68</v>
      </c>
    </row>
    <row r="5401" spans="1:4" ht="31.5">
      <c r="A5401" s="261">
        <v>5502969</v>
      </c>
      <c r="B5401" s="265" t="s">
        <v>16699</v>
      </c>
      <c r="C5401" s="261" t="s">
        <v>5</v>
      </c>
      <c r="D5401" s="266">
        <v>32.369999999999997</v>
      </c>
    </row>
    <row r="5402" spans="1:4" ht="31.5">
      <c r="A5402" s="261">
        <v>5502970</v>
      </c>
      <c r="B5402" s="265" t="s">
        <v>16700</v>
      </c>
      <c r="C5402" s="261" t="s">
        <v>5</v>
      </c>
      <c r="D5402" s="266">
        <v>59.22</v>
      </c>
    </row>
    <row r="5403" spans="1:4" ht="31.5">
      <c r="A5403" s="261">
        <v>5502971</v>
      </c>
      <c r="B5403" s="265" t="s">
        <v>16701</v>
      </c>
      <c r="C5403" s="261" t="s">
        <v>5</v>
      </c>
      <c r="D5403" s="266">
        <v>110.07</v>
      </c>
    </row>
    <row r="5404" spans="1:4">
      <c r="A5404" s="261">
        <v>5502663</v>
      </c>
      <c r="B5404" s="265" t="s">
        <v>16702</v>
      </c>
      <c r="C5404" s="261" t="s">
        <v>5</v>
      </c>
      <c r="D5404" s="266">
        <v>33.630000000000003</v>
      </c>
    </row>
    <row r="5405" spans="1:4">
      <c r="A5405" s="261">
        <v>5502993</v>
      </c>
      <c r="B5405" s="265" t="s">
        <v>16703</v>
      </c>
      <c r="C5405" s="261" t="s">
        <v>5</v>
      </c>
      <c r="D5405" s="266">
        <v>25.11</v>
      </c>
    </row>
    <row r="5406" spans="1:4" ht="31.5">
      <c r="A5406" s="261">
        <v>5502967</v>
      </c>
      <c r="B5406" s="265" t="s">
        <v>16704</v>
      </c>
      <c r="C5406" s="261" t="s">
        <v>5</v>
      </c>
      <c r="D5406" s="266">
        <v>125.23</v>
      </c>
    </row>
    <row r="5407" spans="1:4">
      <c r="A5407" s="261">
        <v>5502963</v>
      </c>
      <c r="B5407" s="265" t="s">
        <v>16705</v>
      </c>
      <c r="C5407" s="261" t="s">
        <v>5</v>
      </c>
      <c r="D5407" s="266">
        <v>15.37</v>
      </c>
    </row>
    <row r="5408" spans="1:4" ht="31.5">
      <c r="A5408" s="261">
        <v>5502964</v>
      </c>
      <c r="B5408" s="265" t="s">
        <v>16706</v>
      </c>
      <c r="C5408" s="261" t="s">
        <v>5</v>
      </c>
      <c r="D5408" s="266">
        <v>19.23</v>
      </c>
    </row>
    <row r="5409" spans="1:4" ht="31.5">
      <c r="A5409" s="261">
        <v>5502965</v>
      </c>
      <c r="B5409" s="265" t="s">
        <v>16707</v>
      </c>
      <c r="C5409" s="261" t="s">
        <v>5</v>
      </c>
      <c r="D5409" s="266">
        <v>34.58</v>
      </c>
    </row>
    <row r="5410" spans="1:4" ht="31.5">
      <c r="A5410" s="261">
        <v>5502966</v>
      </c>
      <c r="B5410" s="265" t="s">
        <v>16708</v>
      </c>
      <c r="C5410" s="261" t="s">
        <v>5</v>
      </c>
      <c r="D5410" s="266">
        <v>63.32</v>
      </c>
    </row>
    <row r="5411" spans="1:4">
      <c r="A5411" s="261">
        <v>5501706</v>
      </c>
      <c r="B5411" s="265" t="s">
        <v>16709</v>
      </c>
      <c r="C5411" s="261" t="s">
        <v>5</v>
      </c>
      <c r="D5411" s="266">
        <v>7.15</v>
      </c>
    </row>
    <row r="5412" spans="1:4" ht="31.5">
      <c r="A5412" s="261">
        <v>5501880</v>
      </c>
      <c r="B5412" s="265" t="s">
        <v>16710</v>
      </c>
      <c r="C5412" s="261" t="s">
        <v>5</v>
      </c>
      <c r="D5412" s="266">
        <v>11.56</v>
      </c>
    </row>
    <row r="5413" spans="1:4" ht="31.5">
      <c r="A5413" s="261">
        <v>5502114</v>
      </c>
      <c r="B5413" s="265" t="s">
        <v>16711</v>
      </c>
      <c r="C5413" s="261" t="s">
        <v>5</v>
      </c>
      <c r="D5413" s="266">
        <v>7.86</v>
      </c>
    </row>
    <row r="5414" spans="1:4" ht="31.5">
      <c r="A5414" s="261">
        <v>5501906</v>
      </c>
      <c r="B5414" s="265" t="s">
        <v>16712</v>
      </c>
      <c r="C5414" s="261" t="s">
        <v>5</v>
      </c>
      <c r="D5414" s="266">
        <v>10.36</v>
      </c>
    </row>
    <row r="5415" spans="1:4" ht="31.5">
      <c r="A5415" s="261">
        <v>5502140</v>
      </c>
      <c r="B5415" s="265" t="s">
        <v>16713</v>
      </c>
      <c r="C5415" s="261" t="s">
        <v>5</v>
      </c>
      <c r="D5415" s="266">
        <v>6.64</v>
      </c>
    </row>
    <row r="5416" spans="1:4" ht="31.5">
      <c r="A5416" s="261">
        <v>5501932</v>
      </c>
      <c r="B5416" s="265" t="s">
        <v>16714</v>
      </c>
      <c r="C5416" s="261" t="s">
        <v>5</v>
      </c>
      <c r="D5416" s="266">
        <v>9.73</v>
      </c>
    </row>
    <row r="5417" spans="1:4" ht="31.5">
      <c r="A5417" s="261">
        <v>5502166</v>
      </c>
      <c r="B5417" s="265" t="s">
        <v>16715</v>
      </c>
      <c r="C5417" s="261" t="s">
        <v>5</v>
      </c>
      <c r="D5417" s="266">
        <v>6.39</v>
      </c>
    </row>
    <row r="5418" spans="1:4" ht="31.5">
      <c r="A5418" s="261">
        <v>5501881</v>
      </c>
      <c r="B5418" s="265" t="s">
        <v>16716</v>
      </c>
      <c r="C5418" s="261" t="s">
        <v>5</v>
      </c>
      <c r="D5418" s="266">
        <v>11.82</v>
      </c>
    </row>
    <row r="5419" spans="1:4" ht="31.5">
      <c r="A5419" s="261">
        <v>5502115</v>
      </c>
      <c r="B5419" s="265" t="s">
        <v>16717</v>
      </c>
      <c r="C5419" s="261" t="s">
        <v>5</v>
      </c>
      <c r="D5419" s="266">
        <v>8.52</v>
      </c>
    </row>
    <row r="5420" spans="1:4" ht="31.5">
      <c r="A5420" s="261">
        <v>5501907</v>
      </c>
      <c r="B5420" s="265" t="s">
        <v>16718</v>
      </c>
      <c r="C5420" s="261" t="s">
        <v>5</v>
      </c>
      <c r="D5420" s="266">
        <v>10.52</v>
      </c>
    </row>
    <row r="5421" spans="1:4" ht="31.5">
      <c r="A5421" s="261">
        <v>5502141</v>
      </c>
      <c r="B5421" s="265" t="s">
        <v>16719</v>
      </c>
      <c r="C5421" s="261" t="s">
        <v>5</v>
      </c>
      <c r="D5421" s="266">
        <v>7.19</v>
      </c>
    </row>
    <row r="5422" spans="1:4" ht="31.5">
      <c r="A5422" s="261">
        <v>5501933</v>
      </c>
      <c r="B5422" s="265" t="s">
        <v>16720</v>
      </c>
      <c r="C5422" s="261" t="s">
        <v>5</v>
      </c>
      <c r="D5422" s="266">
        <v>9.8699999999999992</v>
      </c>
    </row>
    <row r="5423" spans="1:4" ht="31.5">
      <c r="A5423" s="261">
        <v>5502167</v>
      </c>
      <c r="B5423" s="265" t="s">
        <v>16721</v>
      </c>
      <c r="C5423" s="261" t="s">
        <v>5</v>
      </c>
      <c r="D5423" s="266">
        <v>6.53</v>
      </c>
    </row>
    <row r="5424" spans="1:4" ht="31.5">
      <c r="A5424" s="261">
        <v>5501882</v>
      </c>
      <c r="B5424" s="265" t="s">
        <v>16722</v>
      </c>
      <c r="C5424" s="261" t="s">
        <v>5</v>
      </c>
      <c r="D5424" s="266">
        <v>12.07</v>
      </c>
    </row>
    <row r="5425" spans="1:4" ht="31.5">
      <c r="A5425" s="261">
        <v>5502116</v>
      </c>
      <c r="B5425" s="265" t="s">
        <v>16723</v>
      </c>
      <c r="C5425" s="261" t="s">
        <v>5</v>
      </c>
      <c r="D5425" s="266">
        <v>8.74</v>
      </c>
    </row>
    <row r="5426" spans="1:4" ht="31.5">
      <c r="A5426" s="261">
        <v>5501908</v>
      </c>
      <c r="B5426" s="265" t="s">
        <v>16724</v>
      </c>
      <c r="C5426" s="261" t="s">
        <v>5</v>
      </c>
      <c r="D5426" s="266">
        <v>10.69</v>
      </c>
    </row>
    <row r="5427" spans="1:4" ht="31.5">
      <c r="A5427" s="261">
        <v>5502142</v>
      </c>
      <c r="B5427" s="265" t="s">
        <v>16725</v>
      </c>
      <c r="C5427" s="261" t="s">
        <v>5</v>
      </c>
      <c r="D5427" s="266">
        <v>7.37</v>
      </c>
    </row>
    <row r="5428" spans="1:4" ht="31.5">
      <c r="A5428" s="261">
        <v>5501934</v>
      </c>
      <c r="B5428" s="265" t="s">
        <v>16726</v>
      </c>
      <c r="C5428" s="261" t="s">
        <v>5</v>
      </c>
      <c r="D5428" s="266">
        <v>10.36</v>
      </c>
    </row>
    <row r="5429" spans="1:4" ht="31.5">
      <c r="A5429" s="261">
        <v>5502168</v>
      </c>
      <c r="B5429" s="265" t="s">
        <v>16727</v>
      </c>
      <c r="C5429" s="261" t="s">
        <v>5</v>
      </c>
      <c r="D5429" s="266">
        <v>6.64</v>
      </c>
    </row>
    <row r="5430" spans="1:4" ht="31.5">
      <c r="A5430" s="261">
        <v>5501883</v>
      </c>
      <c r="B5430" s="265" t="s">
        <v>16728</v>
      </c>
      <c r="C5430" s="261" t="s">
        <v>5</v>
      </c>
      <c r="D5430" s="266">
        <v>12.32</v>
      </c>
    </row>
    <row r="5431" spans="1:4" ht="31.5">
      <c r="A5431" s="261">
        <v>5502117</v>
      </c>
      <c r="B5431" s="265" t="s">
        <v>16729</v>
      </c>
      <c r="C5431" s="261" t="s">
        <v>5</v>
      </c>
      <c r="D5431" s="266">
        <v>9.01</v>
      </c>
    </row>
    <row r="5432" spans="1:4" ht="31.5">
      <c r="A5432" s="261">
        <v>5501909</v>
      </c>
      <c r="B5432" s="265" t="s">
        <v>16730</v>
      </c>
      <c r="C5432" s="261" t="s">
        <v>5</v>
      </c>
      <c r="D5432" s="266">
        <v>10.86</v>
      </c>
    </row>
    <row r="5433" spans="1:4" ht="31.5">
      <c r="A5433" s="261">
        <v>5502143</v>
      </c>
      <c r="B5433" s="265" t="s">
        <v>16731</v>
      </c>
      <c r="C5433" s="261" t="s">
        <v>5</v>
      </c>
      <c r="D5433" s="266">
        <v>7.55</v>
      </c>
    </row>
    <row r="5434" spans="1:4" ht="31.5">
      <c r="A5434" s="261">
        <v>5501935</v>
      </c>
      <c r="B5434" s="265" t="s">
        <v>16732</v>
      </c>
      <c r="C5434" s="261" t="s">
        <v>5</v>
      </c>
      <c r="D5434" s="266">
        <v>10.52</v>
      </c>
    </row>
    <row r="5435" spans="1:4" ht="31.5">
      <c r="A5435" s="261">
        <v>5502169</v>
      </c>
      <c r="B5435" s="265" t="s">
        <v>16733</v>
      </c>
      <c r="C5435" s="261" t="s">
        <v>5</v>
      </c>
      <c r="D5435" s="266">
        <v>7.19</v>
      </c>
    </row>
    <row r="5436" spans="1:4" ht="31.5">
      <c r="A5436" s="261">
        <v>5501884</v>
      </c>
      <c r="B5436" s="265" t="s">
        <v>16734</v>
      </c>
      <c r="C5436" s="261" t="s">
        <v>5</v>
      </c>
      <c r="D5436" s="266">
        <v>12.94</v>
      </c>
    </row>
    <row r="5437" spans="1:4" ht="31.5">
      <c r="A5437" s="261">
        <v>5502118</v>
      </c>
      <c r="B5437" s="265" t="s">
        <v>16735</v>
      </c>
      <c r="C5437" s="261" t="s">
        <v>5</v>
      </c>
      <c r="D5437" s="266">
        <v>9.27</v>
      </c>
    </row>
    <row r="5438" spans="1:4" ht="31.5">
      <c r="A5438" s="261">
        <v>5501910</v>
      </c>
      <c r="B5438" s="265" t="s">
        <v>16736</v>
      </c>
      <c r="C5438" s="261" t="s">
        <v>5</v>
      </c>
      <c r="D5438" s="266">
        <v>11.03</v>
      </c>
    </row>
    <row r="5439" spans="1:4" ht="31.5">
      <c r="A5439" s="261">
        <v>5502144</v>
      </c>
      <c r="B5439" s="265" t="s">
        <v>16737</v>
      </c>
      <c r="C5439" s="261" t="s">
        <v>5</v>
      </c>
      <c r="D5439" s="266">
        <v>7.68</v>
      </c>
    </row>
    <row r="5440" spans="1:4" ht="31.5">
      <c r="A5440" s="261">
        <v>5501936</v>
      </c>
      <c r="B5440" s="265" t="s">
        <v>16738</v>
      </c>
      <c r="C5440" s="261" t="s">
        <v>5</v>
      </c>
      <c r="D5440" s="266">
        <v>10.65</v>
      </c>
    </row>
    <row r="5441" spans="1:4" ht="31.5">
      <c r="A5441" s="261">
        <v>5502170</v>
      </c>
      <c r="B5441" s="265" t="s">
        <v>16739</v>
      </c>
      <c r="C5441" s="261" t="s">
        <v>5</v>
      </c>
      <c r="D5441" s="266">
        <v>7.32</v>
      </c>
    </row>
    <row r="5442" spans="1:4" ht="31.5">
      <c r="A5442" s="261">
        <v>5501885</v>
      </c>
      <c r="B5442" s="265" t="s">
        <v>16740</v>
      </c>
      <c r="C5442" s="261" t="s">
        <v>5</v>
      </c>
      <c r="D5442" s="266">
        <v>13.41</v>
      </c>
    </row>
    <row r="5443" spans="1:4" ht="31.5">
      <c r="A5443" s="261">
        <v>5502119</v>
      </c>
      <c r="B5443" s="265" t="s">
        <v>16741</v>
      </c>
      <c r="C5443" s="261" t="s">
        <v>5</v>
      </c>
      <c r="D5443" s="266">
        <v>10.119999999999999</v>
      </c>
    </row>
    <row r="5444" spans="1:4" ht="31.5">
      <c r="A5444" s="261">
        <v>5501911</v>
      </c>
      <c r="B5444" s="265" t="s">
        <v>16742</v>
      </c>
      <c r="C5444" s="261" t="s">
        <v>5</v>
      </c>
      <c r="D5444" s="266">
        <v>11.66</v>
      </c>
    </row>
    <row r="5445" spans="1:4" ht="31.5">
      <c r="A5445" s="261">
        <v>5502145</v>
      </c>
      <c r="B5445" s="265" t="s">
        <v>16743</v>
      </c>
      <c r="C5445" s="261" t="s">
        <v>5</v>
      </c>
      <c r="D5445" s="266">
        <v>7.99</v>
      </c>
    </row>
    <row r="5446" spans="1:4" ht="31.5">
      <c r="A5446" s="261">
        <v>5501937</v>
      </c>
      <c r="B5446" s="265" t="s">
        <v>16744</v>
      </c>
      <c r="C5446" s="261" t="s">
        <v>5</v>
      </c>
      <c r="D5446" s="266">
        <v>10.86</v>
      </c>
    </row>
    <row r="5447" spans="1:4" ht="31.5">
      <c r="A5447" s="261">
        <v>5502171</v>
      </c>
      <c r="B5447" s="265" t="s">
        <v>16745</v>
      </c>
      <c r="C5447" s="261" t="s">
        <v>5</v>
      </c>
      <c r="D5447" s="266">
        <v>7.55</v>
      </c>
    </row>
    <row r="5448" spans="1:4" ht="31.5">
      <c r="A5448" s="261">
        <v>5501886</v>
      </c>
      <c r="B5448" s="265" t="s">
        <v>16746</v>
      </c>
      <c r="C5448" s="261" t="s">
        <v>5</v>
      </c>
      <c r="D5448" s="266">
        <v>14.47</v>
      </c>
    </row>
    <row r="5449" spans="1:4" ht="31.5">
      <c r="A5449" s="261">
        <v>5502120</v>
      </c>
      <c r="B5449" s="265" t="s">
        <v>16747</v>
      </c>
      <c r="C5449" s="261" t="s">
        <v>5</v>
      </c>
      <c r="D5449" s="266">
        <v>11.19</v>
      </c>
    </row>
    <row r="5450" spans="1:4" ht="31.5">
      <c r="A5450" s="261">
        <v>5501912</v>
      </c>
      <c r="B5450" s="265" t="s">
        <v>16748</v>
      </c>
      <c r="C5450" s="261" t="s">
        <v>5</v>
      </c>
      <c r="D5450" s="266">
        <v>12.12</v>
      </c>
    </row>
    <row r="5451" spans="1:4" ht="31.5">
      <c r="A5451" s="261">
        <v>5502146</v>
      </c>
      <c r="B5451" s="265" t="s">
        <v>16749</v>
      </c>
      <c r="C5451" s="261" t="s">
        <v>5</v>
      </c>
      <c r="D5451" s="266">
        <v>8.85</v>
      </c>
    </row>
    <row r="5452" spans="1:4" ht="31.5">
      <c r="A5452" s="261">
        <v>5501938</v>
      </c>
      <c r="B5452" s="265" t="s">
        <v>16750</v>
      </c>
      <c r="C5452" s="261" t="s">
        <v>5</v>
      </c>
      <c r="D5452" s="266">
        <v>11.61</v>
      </c>
    </row>
    <row r="5453" spans="1:4" ht="31.5">
      <c r="A5453" s="261">
        <v>5502172</v>
      </c>
      <c r="B5453" s="265" t="s">
        <v>16751</v>
      </c>
      <c r="C5453" s="261" t="s">
        <v>5</v>
      </c>
      <c r="D5453" s="266">
        <v>7.95</v>
      </c>
    </row>
    <row r="5454" spans="1:4" ht="31.5">
      <c r="A5454" s="261">
        <v>5501876</v>
      </c>
      <c r="B5454" s="265" t="s">
        <v>16752</v>
      </c>
      <c r="C5454" s="261" t="s">
        <v>5</v>
      </c>
      <c r="D5454" s="266">
        <v>9.6300000000000008</v>
      </c>
    </row>
    <row r="5455" spans="1:4" ht="31.5">
      <c r="A5455" s="261">
        <v>5502110</v>
      </c>
      <c r="B5455" s="265" t="s">
        <v>16753</v>
      </c>
      <c r="C5455" s="261" t="s">
        <v>5</v>
      </c>
      <c r="D5455" s="266">
        <v>6.28</v>
      </c>
    </row>
    <row r="5456" spans="1:4" ht="31.5">
      <c r="A5456" s="261">
        <v>5501902</v>
      </c>
      <c r="B5456" s="265" t="s">
        <v>16754</v>
      </c>
      <c r="C5456" s="261" t="s">
        <v>5</v>
      </c>
      <c r="D5456" s="266">
        <v>9.23</v>
      </c>
    </row>
    <row r="5457" spans="1:4" ht="31.5">
      <c r="A5457" s="261">
        <v>5502136</v>
      </c>
      <c r="B5457" s="265" t="s">
        <v>16755</v>
      </c>
      <c r="C5457" s="261" t="s">
        <v>5</v>
      </c>
      <c r="D5457" s="266">
        <v>5.89</v>
      </c>
    </row>
    <row r="5458" spans="1:4" ht="31.5">
      <c r="A5458" s="261">
        <v>5501928</v>
      </c>
      <c r="B5458" s="265" t="s">
        <v>16756</v>
      </c>
      <c r="C5458" s="261" t="s">
        <v>5</v>
      </c>
      <c r="D5458" s="266">
        <v>8.7200000000000006</v>
      </c>
    </row>
    <row r="5459" spans="1:4" ht="31.5">
      <c r="A5459" s="261">
        <v>5502162</v>
      </c>
      <c r="B5459" s="265" t="s">
        <v>16757</v>
      </c>
      <c r="C5459" s="261" t="s">
        <v>5</v>
      </c>
      <c r="D5459" s="266">
        <v>5.35</v>
      </c>
    </row>
    <row r="5460" spans="1:4" ht="31.5">
      <c r="A5460" s="261">
        <v>5501877</v>
      </c>
      <c r="B5460" s="265" t="s">
        <v>16758</v>
      </c>
      <c r="C5460" s="261" t="s">
        <v>5</v>
      </c>
      <c r="D5460" s="266">
        <v>10.36</v>
      </c>
    </row>
    <row r="5461" spans="1:4" ht="31.5">
      <c r="A5461" s="261">
        <v>5502111</v>
      </c>
      <c r="B5461" s="265" t="s">
        <v>16759</v>
      </c>
      <c r="C5461" s="261" t="s">
        <v>5</v>
      </c>
      <c r="D5461" s="266">
        <v>6.64</v>
      </c>
    </row>
    <row r="5462" spans="1:4" ht="31.5">
      <c r="A5462" s="261">
        <v>5501903</v>
      </c>
      <c r="B5462" s="265" t="s">
        <v>16760</v>
      </c>
      <c r="C5462" s="261" t="s">
        <v>5</v>
      </c>
      <c r="D5462" s="266">
        <v>9.4700000000000006</v>
      </c>
    </row>
    <row r="5463" spans="1:4" ht="31.5">
      <c r="A5463" s="261">
        <v>5502137</v>
      </c>
      <c r="B5463" s="265" t="s">
        <v>16761</v>
      </c>
      <c r="C5463" s="261" t="s">
        <v>5</v>
      </c>
      <c r="D5463" s="266">
        <v>6.11</v>
      </c>
    </row>
    <row r="5464" spans="1:4" ht="31.5">
      <c r="A5464" s="261">
        <v>5501929</v>
      </c>
      <c r="B5464" s="265" t="s">
        <v>16762</v>
      </c>
      <c r="C5464" s="261" t="s">
        <v>5</v>
      </c>
      <c r="D5464" s="266">
        <v>9.3000000000000007</v>
      </c>
    </row>
    <row r="5465" spans="1:4" ht="31.5">
      <c r="A5465" s="261">
        <v>5502163</v>
      </c>
      <c r="B5465" s="265" t="s">
        <v>16763</v>
      </c>
      <c r="C5465" s="261" t="s">
        <v>5</v>
      </c>
      <c r="D5465" s="266">
        <v>5.93</v>
      </c>
    </row>
    <row r="5466" spans="1:4" ht="31.5">
      <c r="A5466" s="261">
        <v>5501875</v>
      </c>
      <c r="B5466" s="265" t="s">
        <v>16764</v>
      </c>
      <c r="C5466" s="261" t="s">
        <v>5</v>
      </c>
      <c r="D5466" s="266">
        <v>9.23</v>
      </c>
    </row>
    <row r="5467" spans="1:4" ht="31.5">
      <c r="A5467" s="261">
        <v>5502109</v>
      </c>
      <c r="B5467" s="265" t="s">
        <v>16765</v>
      </c>
      <c r="C5467" s="261" t="s">
        <v>5</v>
      </c>
      <c r="D5467" s="266">
        <v>5.89</v>
      </c>
    </row>
    <row r="5468" spans="1:4" ht="31.5">
      <c r="A5468" s="261">
        <v>5501901</v>
      </c>
      <c r="B5468" s="265" t="s">
        <v>16766</v>
      </c>
      <c r="C5468" s="261" t="s">
        <v>5</v>
      </c>
      <c r="D5468" s="266">
        <v>8.59</v>
      </c>
    </row>
    <row r="5469" spans="1:4" ht="31.5">
      <c r="A5469" s="261">
        <v>5502135</v>
      </c>
      <c r="B5469" s="265" t="s">
        <v>16767</v>
      </c>
      <c r="C5469" s="261" t="s">
        <v>5</v>
      </c>
      <c r="D5469" s="266">
        <v>5.22</v>
      </c>
    </row>
    <row r="5470" spans="1:4" ht="31.5">
      <c r="A5470" s="261">
        <v>5501927</v>
      </c>
      <c r="B5470" s="265" t="s">
        <v>16768</v>
      </c>
      <c r="C5470" s="261" t="s">
        <v>5</v>
      </c>
      <c r="D5470" s="266">
        <v>8.52</v>
      </c>
    </row>
    <row r="5471" spans="1:4" ht="31.5">
      <c r="A5471" s="261">
        <v>5502161</v>
      </c>
      <c r="B5471" s="265" t="s">
        <v>16769</v>
      </c>
      <c r="C5471" s="261" t="s">
        <v>5</v>
      </c>
      <c r="D5471" s="266">
        <v>5.14</v>
      </c>
    </row>
    <row r="5472" spans="1:4" ht="31.5">
      <c r="A5472" s="261">
        <v>5501878</v>
      </c>
      <c r="B5472" s="265" t="s">
        <v>16770</v>
      </c>
      <c r="C5472" s="261" t="s">
        <v>5</v>
      </c>
      <c r="D5472" s="266">
        <v>10.65</v>
      </c>
    </row>
    <row r="5473" spans="1:4" ht="31.5">
      <c r="A5473" s="261">
        <v>5502112</v>
      </c>
      <c r="B5473" s="265" t="s">
        <v>16771</v>
      </c>
      <c r="C5473" s="261" t="s">
        <v>5</v>
      </c>
      <c r="D5473" s="266">
        <v>7.32</v>
      </c>
    </row>
    <row r="5474" spans="1:4" ht="31.5">
      <c r="A5474" s="261">
        <v>5501904</v>
      </c>
      <c r="B5474" s="265" t="s">
        <v>16772</v>
      </c>
      <c r="C5474" s="261" t="s">
        <v>5</v>
      </c>
      <c r="D5474" s="266">
        <v>9.6300000000000008</v>
      </c>
    </row>
    <row r="5475" spans="1:4" ht="31.5">
      <c r="A5475" s="261">
        <v>5502138</v>
      </c>
      <c r="B5475" s="265" t="s">
        <v>16773</v>
      </c>
      <c r="C5475" s="261" t="s">
        <v>5</v>
      </c>
      <c r="D5475" s="266">
        <v>6.32</v>
      </c>
    </row>
    <row r="5476" spans="1:4" ht="31.5">
      <c r="A5476" s="261">
        <v>5501930</v>
      </c>
      <c r="B5476" s="265" t="s">
        <v>16774</v>
      </c>
      <c r="C5476" s="261" t="s">
        <v>5</v>
      </c>
      <c r="D5476" s="266">
        <v>9.43</v>
      </c>
    </row>
    <row r="5477" spans="1:4" ht="31.5">
      <c r="A5477" s="261">
        <v>5502164</v>
      </c>
      <c r="B5477" s="265" t="s">
        <v>16775</v>
      </c>
      <c r="C5477" s="261" t="s">
        <v>5</v>
      </c>
      <c r="D5477" s="266">
        <v>6.11</v>
      </c>
    </row>
    <row r="5478" spans="1:4" ht="31.5">
      <c r="A5478" s="261">
        <v>5501879</v>
      </c>
      <c r="B5478" s="265" t="s">
        <v>16776</v>
      </c>
      <c r="C5478" s="261" t="s">
        <v>5</v>
      </c>
      <c r="D5478" s="266">
        <v>10.94</v>
      </c>
    </row>
    <row r="5479" spans="1:4" ht="31.5">
      <c r="A5479" s="261">
        <v>5502113</v>
      </c>
      <c r="B5479" s="265" t="s">
        <v>16777</v>
      </c>
      <c r="C5479" s="261" t="s">
        <v>5</v>
      </c>
      <c r="D5479" s="266">
        <v>7.59</v>
      </c>
    </row>
    <row r="5480" spans="1:4" ht="31.5">
      <c r="A5480" s="261">
        <v>5501905</v>
      </c>
      <c r="B5480" s="265" t="s">
        <v>16778</v>
      </c>
      <c r="C5480" s="261" t="s">
        <v>5</v>
      </c>
      <c r="D5480" s="266">
        <v>9.84</v>
      </c>
    </row>
    <row r="5481" spans="1:4" ht="31.5">
      <c r="A5481" s="261">
        <v>5502139</v>
      </c>
      <c r="B5481" s="265" t="s">
        <v>16779</v>
      </c>
      <c r="C5481" s="261" t="s">
        <v>5</v>
      </c>
      <c r="D5481" s="266">
        <v>6.5</v>
      </c>
    </row>
    <row r="5482" spans="1:4" ht="31.5">
      <c r="A5482" s="261">
        <v>5501931</v>
      </c>
      <c r="B5482" s="265" t="s">
        <v>16780</v>
      </c>
      <c r="C5482" s="261" t="s">
        <v>5</v>
      </c>
      <c r="D5482" s="266">
        <v>9.6</v>
      </c>
    </row>
    <row r="5483" spans="1:4" ht="31.5">
      <c r="A5483" s="261">
        <v>5502165</v>
      </c>
      <c r="B5483" s="265" t="s">
        <v>16781</v>
      </c>
      <c r="C5483" s="261" t="s">
        <v>5</v>
      </c>
      <c r="D5483" s="266">
        <v>6.25</v>
      </c>
    </row>
    <row r="5484" spans="1:4" ht="31.5">
      <c r="A5484" s="261">
        <v>5502825</v>
      </c>
      <c r="B5484" s="265" t="s">
        <v>16782</v>
      </c>
      <c r="C5484" s="261" t="s">
        <v>5</v>
      </c>
      <c r="D5484" s="266">
        <v>15.27</v>
      </c>
    </row>
    <row r="5485" spans="1:4" ht="31.5">
      <c r="A5485" s="261">
        <v>5502834</v>
      </c>
      <c r="B5485" s="265" t="s">
        <v>16783</v>
      </c>
      <c r="C5485" s="261" t="s">
        <v>5</v>
      </c>
      <c r="D5485" s="266">
        <v>11.62</v>
      </c>
    </row>
    <row r="5486" spans="1:4" ht="31.5">
      <c r="A5486" s="261">
        <v>5502826</v>
      </c>
      <c r="B5486" s="265" t="s">
        <v>16784</v>
      </c>
      <c r="C5486" s="261" t="s">
        <v>5</v>
      </c>
      <c r="D5486" s="266">
        <v>12.37</v>
      </c>
    </row>
    <row r="5487" spans="1:4" ht="31.5">
      <c r="A5487" s="261">
        <v>5502835</v>
      </c>
      <c r="B5487" s="265" t="s">
        <v>16785</v>
      </c>
      <c r="C5487" s="261" t="s">
        <v>5</v>
      </c>
      <c r="D5487" s="266">
        <v>9.11</v>
      </c>
    </row>
    <row r="5488" spans="1:4" ht="31.5">
      <c r="A5488" s="261">
        <v>5502827</v>
      </c>
      <c r="B5488" s="265" t="s">
        <v>16786</v>
      </c>
      <c r="C5488" s="261" t="s">
        <v>5</v>
      </c>
      <c r="D5488" s="266">
        <v>11.82</v>
      </c>
    </row>
    <row r="5489" spans="1:4" ht="31.5">
      <c r="A5489" s="261">
        <v>5502836</v>
      </c>
      <c r="B5489" s="265" t="s">
        <v>16787</v>
      </c>
      <c r="C5489" s="261" t="s">
        <v>5</v>
      </c>
      <c r="D5489" s="266">
        <v>8.52</v>
      </c>
    </row>
    <row r="5490" spans="1:4" ht="31.5">
      <c r="A5490" s="261">
        <v>5502356</v>
      </c>
      <c r="B5490" s="265" t="s">
        <v>16788</v>
      </c>
      <c r="C5490" s="261" t="s">
        <v>5</v>
      </c>
      <c r="D5490" s="266">
        <v>17.72</v>
      </c>
    </row>
    <row r="5491" spans="1:4" ht="31.5">
      <c r="A5491" s="261">
        <v>5502590</v>
      </c>
      <c r="B5491" s="265" t="s">
        <v>16789</v>
      </c>
      <c r="C5491" s="261" t="s">
        <v>5</v>
      </c>
      <c r="D5491" s="266">
        <v>10.65</v>
      </c>
    </row>
    <row r="5492" spans="1:4" ht="31.5">
      <c r="A5492" s="261">
        <v>5502382</v>
      </c>
      <c r="B5492" s="265" t="s">
        <v>16790</v>
      </c>
      <c r="C5492" s="261" t="s">
        <v>5</v>
      </c>
      <c r="D5492" s="266">
        <v>16.34</v>
      </c>
    </row>
    <row r="5493" spans="1:4" ht="31.5">
      <c r="A5493" s="261">
        <v>5502616</v>
      </c>
      <c r="B5493" s="265" t="s">
        <v>16791</v>
      </c>
      <c r="C5493" s="261" t="s">
        <v>5</v>
      </c>
      <c r="D5493" s="266">
        <v>9.1199999999999992</v>
      </c>
    </row>
    <row r="5494" spans="1:4" ht="31.5">
      <c r="A5494" s="261">
        <v>5502408</v>
      </c>
      <c r="B5494" s="265" t="s">
        <v>16792</v>
      </c>
      <c r="C5494" s="261" t="s">
        <v>5</v>
      </c>
      <c r="D5494" s="266">
        <v>16.07</v>
      </c>
    </row>
    <row r="5495" spans="1:4" ht="31.5">
      <c r="A5495" s="261">
        <v>5502642</v>
      </c>
      <c r="B5495" s="265" t="s">
        <v>16793</v>
      </c>
      <c r="C5495" s="261" t="s">
        <v>5</v>
      </c>
      <c r="D5495" s="266">
        <v>8.8000000000000007</v>
      </c>
    </row>
    <row r="5496" spans="1:4" ht="31.5">
      <c r="A5496" s="261">
        <v>5502357</v>
      </c>
      <c r="B5496" s="265" t="s">
        <v>16794</v>
      </c>
      <c r="C5496" s="261" t="s">
        <v>5</v>
      </c>
      <c r="D5496" s="266">
        <v>18</v>
      </c>
    </row>
    <row r="5497" spans="1:4" ht="31.5">
      <c r="A5497" s="261">
        <v>5502591</v>
      </c>
      <c r="B5497" s="265" t="s">
        <v>16795</v>
      </c>
      <c r="C5497" s="261" t="s">
        <v>5</v>
      </c>
      <c r="D5497" s="266">
        <v>10.95</v>
      </c>
    </row>
    <row r="5498" spans="1:4" ht="31.5">
      <c r="A5498" s="261">
        <v>5502383</v>
      </c>
      <c r="B5498" s="265" t="s">
        <v>16796</v>
      </c>
      <c r="C5498" s="261" t="s">
        <v>5</v>
      </c>
      <c r="D5498" s="266">
        <v>16.52</v>
      </c>
    </row>
    <row r="5499" spans="1:4" ht="31.5">
      <c r="A5499" s="261">
        <v>5502617</v>
      </c>
      <c r="B5499" s="265" t="s">
        <v>16797</v>
      </c>
      <c r="C5499" s="261" t="s">
        <v>5</v>
      </c>
      <c r="D5499" s="266">
        <v>9.26</v>
      </c>
    </row>
    <row r="5500" spans="1:4" ht="31.5">
      <c r="A5500" s="261">
        <v>5502409</v>
      </c>
      <c r="B5500" s="265" t="s">
        <v>16798</v>
      </c>
      <c r="C5500" s="261" t="s">
        <v>5</v>
      </c>
      <c r="D5500" s="266">
        <v>16.2</v>
      </c>
    </row>
    <row r="5501" spans="1:4" ht="31.5">
      <c r="A5501" s="261">
        <v>5502643</v>
      </c>
      <c r="B5501" s="265" t="s">
        <v>16799</v>
      </c>
      <c r="C5501" s="261" t="s">
        <v>5</v>
      </c>
      <c r="D5501" s="266">
        <v>8.99</v>
      </c>
    </row>
    <row r="5502" spans="1:4" ht="31.5">
      <c r="A5502" s="261">
        <v>5502358</v>
      </c>
      <c r="B5502" s="265" t="s">
        <v>16800</v>
      </c>
      <c r="C5502" s="261" t="s">
        <v>5</v>
      </c>
      <c r="D5502" s="266">
        <v>18.28</v>
      </c>
    </row>
    <row r="5503" spans="1:4" ht="31.5">
      <c r="A5503" s="261">
        <v>5502592</v>
      </c>
      <c r="B5503" s="265" t="s">
        <v>16801</v>
      </c>
      <c r="C5503" s="261" t="s">
        <v>5</v>
      </c>
      <c r="D5503" s="266">
        <v>11.2</v>
      </c>
    </row>
    <row r="5504" spans="1:4" ht="31.5">
      <c r="A5504" s="261">
        <v>5502384</v>
      </c>
      <c r="B5504" s="265" t="s">
        <v>16802</v>
      </c>
      <c r="C5504" s="261" t="s">
        <v>5</v>
      </c>
      <c r="D5504" s="266">
        <v>16.7</v>
      </c>
    </row>
    <row r="5505" spans="1:4" ht="31.5">
      <c r="A5505" s="261">
        <v>5502618</v>
      </c>
      <c r="B5505" s="265" t="s">
        <v>16803</v>
      </c>
      <c r="C5505" s="261" t="s">
        <v>5</v>
      </c>
      <c r="D5505" s="266">
        <v>10.16</v>
      </c>
    </row>
    <row r="5506" spans="1:4" ht="31.5">
      <c r="A5506" s="261">
        <v>5502410</v>
      </c>
      <c r="B5506" s="265" t="s">
        <v>16804</v>
      </c>
      <c r="C5506" s="261" t="s">
        <v>5</v>
      </c>
      <c r="D5506" s="266">
        <v>16.34</v>
      </c>
    </row>
    <row r="5507" spans="1:4" ht="31.5">
      <c r="A5507" s="261">
        <v>5502644</v>
      </c>
      <c r="B5507" s="265" t="s">
        <v>16805</v>
      </c>
      <c r="C5507" s="261" t="s">
        <v>5</v>
      </c>
      <c r="D5507" s="266">
        <v>9.1199999999999992</v>
      </c>
    </row>
    <row r="5508" spans="1:4" ht="31.5">
      <c r="A5508" s="261">
        <v>5502359</v>
      </c>
      <c r="B5508" s="265" t="s">
        <v>16806</v>
      </c>
      <c r="C5508" s="261" t="s">
        <v>5</v>
      </c>
      <c r="D5508" s="266">
        <v>18.57</v>
      </c>
    </row>
    <row r="5509" spans="1:4" ht="31.5">
      <c r="A5509" s="261">
        <v>5502593</v>
      </c>
      <c r="B5509" s="265" t="s">
        <v>16807</v>
      </c>
      <c r="C5509" s="261" t="s">
        <v>5</v>
      </c>
      <c r="D5509" s="266">
        <v>11.5</v>
      </c>
    </row>
    <row r="5510" spans="1:4" ht="31.5">
      <c r="A5510" s="261">
        <v>5502385</v>
      </c>
      <c r="B5510" s="265" t="s">
        <v>16808</v>
      </c>
      <c r="C5510" s="261" t="s">
        <v>5</v>
      </c>
      <c r="D5510" s="266">
        <v>16.88</v>
      </c>
    </row>
    <row r="5511" spans="1:4" ht="31.5">
      <c r="A5511" s="261">
        <v>5502619</v>
      </c>
      <c r="B5511" s="265" t="s">
        <v>16809</v>
      </c>
      <c r="C5511" s="261" t="s">
        <v>5</v>
      </c>
      <c r="D5511" s="266">
        <v>10.34</v>
      </c>
    </row>
    <row r="5512" spans="1:4" ht="31.5">
      <c r="A5512" s="261">
        <v>5502411</v>
      </c>
      <c r="B5512" s="265" t="s">
        <v>16810</v>
      </c>
      <c r="C5512" s="261" t="s">
        <v>5</v>
      </c>
      <c r="D5512" s="266">
        <v>16.47</v>
      </c>
    </row>
    <row r="5513" spans="1:4" ht="31.5">
      <c r="A5513" s="261">
        <v>5502645</v>
      </c>
      <c r="B5513" s="265" t="s">
        <v>16811</v>
      </c>
      <c r="C5513" s="261" t="s">
        <v>5</v>
      </c>
      <c r="D5513" s="266">
        <v>9.26</v>
      </c>
    </row>
    <row r="5514" spans="1:4" ht="31.5">
      <c r="A5514" s="261">
        <v>5502360</v>
      </c>
      <c r="B5514" s="265" t="s">
        <v>16812</v>
      </c>
      <c r="C5514" s="261" t="s">
        <v>5</v>
      </c>
      <c r="D5514" s="266">
        <v>19.32</v>
      </c>
    </row>
    <row r="5515" spans="1:4" ht="31.5">
      <c r="A5515" s="261">
        <v>5502594</v>
      </c>
      <c r="B5515" s="265" t="s">
        <v>16813</v>
      </c>
      <c r="C5515" s="261" t="s">
        <v>5</v>
      </c>
      <c r="D5515" s="266">
        <v>12.47</v>
      </c>
    </row>
    <row r="5516" spans="1:4" ht="31.5">
      <c r="A5516" s="261">
        <v>5502386</v>
      </c>
      <c r="B5516" s="265" t="s">
        <v>16814</v>
      </c>
      <c r="C5516" s="261" t="s">
        <v>5</v>
      </c>
      <c r="D5516" s="266">
        <v>17.55</v>
      </c>
    </row>
    <row r="5517" spans="1:4" ht="31.5">
      <c r="A5517" s="261">
        <v>5502620</v>
      </c>
      <c r="B5517" s="265" t="s">
        <v>16815</v>
      </c>
      <c r="C5517" s="261" t="s">
        <v>5</v>
      </c>
      <c r="D5517" s="266">
        <v>10.46</v>
      </c>
    </row>
    <row r="5518" spans="1:4" ht="31.5">
      <c r="A5518" s="261">
        <v>5502412</v>
      </c>
      <c r="B5518" s="265" t="s">
        <v>16816</v>
      </c>
      <c r="C5518" s="261" t="s">
        <v>5</v>
      </c>
      <c r="D5518" s="266">
        <v>16.61</v>
      </c>
    </row>
    <row r="5519" spans="1:4" ht="31.5">
      <c r="A5519" s="261">
        <v>5502646</v>
      </c>
      <c r="B5519" s="265" t="s">
        <v>16817</v>
      </c>
      <c r="C5519" s="261" t="s">
        <v>5</v>
      </c>
      <c r="D5519" s="266">
        <v>10.1</v>
      </c>
    </row>
    <row r="5520" spans="1:4" ht="31.5">
      <c r="A5520" s="261">
        <v>5502361</v>
      </c>
      <c r="B5520" s="265" t="s">
        <v>16818</v>
      </c>
      <c r="C5520" s="261" t="s">
        <v>5</v>
      </c>
      <c r="D5520" s="266">
        <v>19.8</v>
      </c>
    </row>
    <row r="5521" spans="1:4" ht="31.5">
      <c r="A5521" s="261">
        <v>5502595</v>
      </c>
      <c r="B5521" s="265" t="s">
        <v>16819</v>
      </c>
      <c r="C5521" s="261" t="s">
        <v>5</v>
      </c>
      <c r="D5521" s="266">
        <v>12.93</v>
      </c>
    </row>
    <row r="5522" spans="1:4" ht="31.5">
      <c r="A5522" s="261">
        <v>5502387</v>
      </c>
      <c r="B5522" s="265" t="s">
        <v>16820</v>
      </c>
      <c r="C5522" s="261" t="s">
        <v>5</v>
      </c>
      <c r="D5522" s="266">
        <v>17.89</v>
      </c>
    </row>
    <row r="5523" spans="1:4" ht="31.5">
      <c r="A5523" s="261">
        <v>5502621</v>
      </c>
      <c r="B5523" s="265" t="s">
        <v>16821</v>
      </c>
      <c r="C5523" s="261" t="s">
        <v>5</v>
      </c>
      <c r="D5523" s="266">
        <v>10.83</v>
      </c>
    </row>
    <row r="5524" spans="1:4" ht="31.5">
      <c r="A5524" s="261">
        <v>5502413</v>
      </c>
      <c r="B5524" s="265" t="s">
        <v>16822</v>
      </c>
      <c r="C5524" s="261" t="s">
        <v>5</v>
      </c>
      <c r="D5524" s="266">
        <v>16.88</v>
      </c>
    </row>
    <row r="5525" spans="1:4" ht="31.5">
      <c r="A5525" s="261">
        <v>5502647</v>
      </c>
      <c r="B5525" s="265" t="s">
        <v>16823</v>
      </c>
      <c r="C5525" s="261" t="s">
        <v>5</v>
      </c>
      <c r="D5525" s="266">
        <v>10.34</v>
      </c>
    </row>
    <row r="5526" spans="1:4" ht="31.5">
      <c r="A5526" s="261">
        <v>5502362</v>
      </c>
      <c r="B5526" s="265" t="s">
        <v>16824</v>
      </c>
      <c r="C5526" s="261" t="s">
        <v>5</v>
      </c>
      <c r="D5526" s="266">
        <v>21.13</v>
      </c>
    </row>
    <row r="5527" spans="1:4" ht="31.5">
      <c r="A5527" s="261">
        <v>5502596</v>
      </c>
      <c r="B5527" s="265" t="s">
        <v>16825</v>
      </c>
      <c r="C5527" s="261" t="s">
        <v>5</v>
      </c>
      <c r="D5527" s="266">
        <v>13.7</v>
      </c>
    </row>
    <row r="5528" spans="1:4" ht="31.5">
      <c r="A5528" s="261">
        <v>5502388</v>
      </c>
      <c r="B5528" s="265" t="s">
        <v>16826</v>
      </c>
      <c r="C5528" s="261" t="s">
        <v>5</v>
      </c>
      <c r="D5528" s="266">
        <v>18.34</v>
      </c>
    </row>
    <row r="5529" spans="1:4" ht="31.5">
      <c r="A5529" s="261">
        <v>5502622</v>
      </c>
      <c r="B5529" s="265" t="s">
        <v>16827</v>
      </c>
      <c r="C5529" s="261" t="s">
        <v>5</v>
      </c>
      <c r="D5529" s="266">
        <v>11.32</v>
      </c>
    </row>
    <row r="5530" spans="1:4" ht="31.5">
      <c r="A5530" s="261">
        <v>5502414</v>
      </c>
      <c r="B5530" s="265" t="s">
        <v>16828</v>
      </c>
      <c r="C5530" s="261" t="s">
        <v>5</v>
      </c>
      <c r="D5530" s="266">
        <v>17.829999999999998</v>
      </c>
    </row>
    <row r="5531" spans="1:4" ht="31.5">
      <c r="A5531" s="261">
        <v>5502648</v>
      </c>
      <c r="B5531" s="265" t="s">
        <v>16829</v>
      </c>
      <c r="C5531" s="261" t="s">
        <v>5</v>
      </c>
      <c r="D5531" s="266">
        <v>10.77</v>
      </c>
    </row>
    <row r="5532" spans="1:4" ht="31.5">
      <c r="A5532" s="261">
        <v>5502352</v>
      </c>
      <c r="B5532" s="265" t="s">
        <v>16830</v>
      </c>
      <c r="C5532" s="261" t="s">
        <v>5</v>
      </c>
      <c r="D5532" s="266">
        <v>15.93</v>
      </c>
    </row>
    <row r="5533" spans="1:4" ht="31.5">
      <c r="A5533" s="261">
        <v>5502586</v>
      </c>
      <c r="B5533" s="265" t="s">
        <v>16831</v>
      </c>
      <c r="C5533" s="261" t="s">
        <v>5</v>
      </c>
      <c r="D5533" s="266">
        <v>8.7100000000000009</v>
      </c>
    </row>
    <row r="5534" spans="1:4" ht="31.5">
      <c r="A5534" s="261">
        <v>5502378</v>
      </c>
      <c r="B5534" s="265" t="s">
        <v>16832</v>
      </c>
      <c r="C5534" s="261" t="s">
        <v>5</v>
      </c>
      <c r="D5534" s="266">
        <v>14.98</v>
      </c>
    </row>
    <row r="5535" spans="1:4" ht="31.5">
      <c r="A5535" s="261">
        <v>5502612</v>
      </c>
      <c r="B5535" s="265" t="s">
        <v>16833</v>
      </c>
      <c r="C5535" s="261" t="s">
        <v>5</v>
      </c>
      <c r="D5535" s="266">
        <v>8.25</v>
      </c>
    </row>
    <row r="5536" spans="1:4" ht="31.5">
      <c r="A5536" s="261">
        <v>5502404</v>
      </c>
      <c r="B5536" s="265" t="s">
        <v>16834</v>
      </c>
      <c r="C5536" s="261" t="s">
        <v>5</v>
      </c>
      <c r="D5536" s="266">
        <v>14.85</v>
      </c>
    </row>
    <row r="5537" spans="1:4" ht="31.5">
      <c r="A5537" s="261">
        <v>5502638</v>
      </c>
      <c r="B5537" s="265" t="s">
        <v>16835</v>
      </c>
      <c r="C5537" s="261" t="s">
        <v>5</v>
      </c>
      <c r="D5537" s="266">
        <v>8.1199999999999992</v>
      </c>
    </row>
    <row r="5538" spans="1:4" ht="31.5">
      <c r="A5538" s="261">
        <v>5502353</v>
      </c>
      <c r="B5538" s="265" t="s">
        <v>16836</v>
      </c>
      <c r="C5538" s="261" t="s">
        <v>5</v>
      </c>
      <c r="D5538" s="266">
        <v>16.29</v>
      </c>
    </row>
    <row r="5539" spans="1:4" ht="31.5">
      <c r="A5539" s="261">
        <v>5502587</v>
      </c>
      <c r="B5539" s="265" t="s">
        <v>16837</v>
      </c>
      <c r="C5539" s="261" t="s">
        <v>5</v>
      </c>
      <c r="D5539" s="266">
        <v>9.08</v>
      </c>
    </row>
    <row r="5540" spans="1:4" ht="31.5">
      <c r="A5540" s="261">
        <v>5502379</v>
      </c>
      <c r="B5540" s="265" t="s">
        <v>16838</v>
      </c>
      <c r="C5540" s="261" t="s">
        <v>5</v>
      </c>
      <c r="D5540" s="266">
        <v>15.25</v>
      </c>
    </row>
    <row r="5541" spans="1:4" ht="31.5">
      <c r="A5541" s="261">
        <v>5502613</v>
      </c>
      <c r="B5541" s="265" t="s">
        <v>16839</v>
      </c>
      <c r="C5541" s="261" t="s">
        <v>5</v>
      </c>
      <c r="D5541" s="266">
        <v>8.5299999999999994</v>
      </c>
    </row>
    <row r="5542" spans="1:4" ht="31.5">
      <c r="A5542" s="261">
        <v>5502405</v>
      </c>
      <c r="B5542" s="265" t="s">
        <v>16840</v>
      </c>
      <c r="C5542" s="261" t="s">
        <v>5</v>
      </c>
      <c r="D5542" s="266">
        <v>15.05</v>
      </c>
    </row>
    <row r="5543" spans="1:4" ht="31.5">
      <c r="A5543" s="261">
        <v>5502639</v>
      </c>
      <c r="B5543" s="265" t="s">
        <v>16841</v>
      </c>
      <c r="C5543" s="261" t="s">
        <v>5</v>
      </c>
      <c r="D5543" s="266">
        <v>8.35</v>
      </c>
    </row>
    <row r="5544" spans="1:4" ht="31.5">
      <c r="A5544" s="261">
        <v>5502351</v>
      </c>
      <c r="B5544" s="265" t="s">
        <v>16842</v>
      </c>
      <c r="C5544" s="261" t="s">
        <v>5</v>
      </c>
      <c r="D5544" s="266">
        <v>14.98</v>
      </c>
    </row>
    <row r="5545" spans="1:4" ht="31.5">
      <c r="A5545" s="261">
        <v>5502585</v>
      </c>
      <c r="B5545" s="265" t="s">
        <v>16843</v>
      </c>
      <c r="C5545" s="261" t="s">
        <v>5</v>
      </c>
      <c r="D5545" s="266">
        <v>8.25</v>
      </c>
    </row>
    <row r="5546" spans="1:4" ht="31.5">
      <c r="A5546" s="261">
        <v>5502377</v>
      </c>
      <c r="B5546" s="265" t="s">
        <v>16844</v>
      </c>
      <c r="C5546" s="261" t="s">
        <v>5</v>
      </c>
      <c r="D5546" s="266">
        <v>14.71</v>
      </c>
    </row>
    <row r="5547" spans="1:4" ht="31.5">
      <c r="A5547" s="261">
        <v>5502611</v>
      </c>
      <c r="B5547" s="265" t="s">
        <v>16845</v>
      </c>
      <c r="C5547" s="261" t="s">
        <v>5</v>
      </c>
      <c r="D5547" s="266">
        <v>7.98</v>
      </c>
    </row>
    <row r="5548" spans="1:4" ht="31.5">
      <c r="A5548" s="261">
        <v>5502403</v>
      </c>
      <c r="B5548" s="265" t="s">
        <v>16846</v>
      </c>
      <c r="C5548" s="261" t="s">
        <v>5</v>
      </c>
      <c r="D5548" s="266">
        <v>14.61</v>
      </c>
    </row>
    <row r="5549" spans="1:4" ht="31.5">
      <c r="A5549" s="261">
        <v>5502637</v>
      </c>
      <c r="B5549" s="265" t="s">
        <v>16847</v>
      </c>
      <c r="C5549" s="261" t="s">
        <v>5</v>
      </c>
      <c r="D5549" s="266">
        <v>7.89</v>
      </c>
    </row>
    <row r="5550" spans="1:4">
      <c r="A5550" s="261">
        <v>5502187</v>
      </c>
      <c r="B5550" s="265" t="s">
        <v>16848</v>
      </c>
      <c r="C5550" s="261" t="s">
        <v>5</v>
      </c>
      <c r="D5550" s="266">
        <v>7.28</v>
      </c>
    </row>
    <row r="5551" spans="1:4" ht="31.5">
      <c r="A5551" s="261">
        <v>5502354</v>
      </c>
      <c r="B5551" s="265" t="s">
        <v>16849</v>
      </c>
      <c r="C5551" s="261" t="s">
        <v>5</v>
      </c>
      <c r="D5551" s="266">
        <v>16.649999999999999</v>
      </c>
    </row>
    <row r="5552" spans="1:4" ht="31.5">
      <c r="A5552" s="261">
        <v>5502588</v>
      </c>
      <c r="B5552" s="265" t="s">
        <v>16850</v>
      </c>
      <c r="C5552" s="261" t="s">
        <v>5</v>
      </c>
      <c r="D5552" s="266">
        <v>10.1</v>
      </c>
    </row>
    <row r="5553" spans="1:4" ht="31.5">
      <c r="A5553" s="261">
        <v>5502380</v>
      </c>
      <c r="B5553" s="265" t="s">
        <v>16851</v>
      </c>
      <c r="C5553" s="261" t="s">
        <v>5</v>
      </c>
      <c r="D5553" s="266">
        <v>15.98</v>
      </c>
    </row>
    <row r="5554" spans="1:4" ht="31.5">
      <c r="A5554" s="261">
        <v>5502614</v>
      </c>
      <c r="B5554" s="265" t="s">
        <v>16852</v>
      </c>
      <c r="C5554" s="261" t="s">
        <v>5</v>
      </c>
      <c r="D5554" s="266">
        <v>8.7100000000000009</v>
      </c>
    </row>
    <row r="5555" spans="1:4" ht="31.5">
      <c r="A5555" s="261">
        <v>5502406</v>
      </c>
      <c r="B5555" s="265" t="s">
        <v>16853</v>
      </c>
      <c r="C5555" s="261" t="s">
        <v>5</v>
      </c>
      <c r="D5555" s="266">
        <v>15.22</v>
      </c>
    </row>
    <row r="5556" spans="1:4" ht="31.5">
      <c r="A5556" s="261">
        <v>5502640</v>
      </c>
      <c r="B5556" s="265" t="s">
        <v>16854</v>
      </c>
      <c r="C5556" s="261" t="s">
        <v>5</v>
      </c>
      <c r="D5556" s="266">
        <v>8.5299999999999994</v>
      </c>
    </row>
    <row r="5557" spans="1:4" ht="31.5">
      <c r="A5557" s="261">
        <v>5502355</v>
      </c>
      <c r="B5557" s="265" t="s">
        <v>16855</v>
      </c>
      <c r="C5557" s="261" t="s">
        <v>5</v>
      </c>
      <c r="D5557" s="266">
        <v>16.93</v>
      </c>
    </row>
    <row r="5558" spans="1:4" ht="31.5">
      <c r="A5558" s="261">
        <v>5502589</v>
      </c>
      <c r="B5558" s="265" t="s">
        <v>16856</v>
      </c>
      <c r="C5558" s="261" t="s">
        <v>5</v>
      </c>
      <c r="D5558" s="266">
        <v>10.4</v>
      </c>
    </row>
    <row r="5559" spans="1:4" ht="31.5">
      <c r="A5559" s="261">
        <v>5502381</v>
      </c>
      <c r="B5559" s="265" t="s">
        <v>16857</v>
      </c>
      <c r="C5559" s="261" t="s">
        <v>5</v>
      </c>
      <c r="D5559" s="266">
        <v>16.16</v>
      </c>
    </row>
    <row r="5560" spans="1:4" ht="31.5">
      <c r="A5560" s="261">
        <v>5502615</v>
      </c>
      <c r="B5560" s="265" t="s">
        <v>16858</v>
      </c>
      <c r="C5560" s="261" t="s">
        <v>5</v>
      </c>
      <c r="D5560" s="266">
        <v>8.94</v>
      </c>
    </row>
    <row r="5561" spans="1:4" ht="31.5">
      <c r="A5561" s="261">
        <v>5502407</v>
      </c>
      <c r="B5561" s="265" t="s">
        <v>16859</v>
      </c>
      <c r="C5561" s="261" t="s">
        <v>5</v>
      </c>
      <c r="D5561" s="266">
        <v>15.88</v>
      </c>
    </row>
    <row r="5562" spans="1:4" ht="31.5">
      <c r="A5562" s="261">
        <v>5502641</v>
      </c>
      <c r="B5562" s="265" t="s">
        <v>16860</v>
      </c>
      <c r="C5562" s="261" t="s">
        <v>5</v>
      </c>
      <c r="D5562" s="266">
        <v>8.67</v>
      </c>
    </row>
    <row r="5563" spans="1:4" ht="31.5">
      <c r="A5563" s="261">
        <v>5502880</v>
      </c>
      <c r="B5563" s="265" t="s">
        <v>16861</v>
      </c>
      <c r="C5563" s="261" t="s">
        <v>5</v>
      </c>
      <c r="D5563" s="266">
        <v>14.79</v>
      </c>
    </row>
    <row r="5564" spans="1:4" ht="31.5">
      <c r="A5564" s="261">
        <v>5502857</v>
      </c>
      <c r="B5564" s="265" t="s">
        <v>16862</v>
      </c>
      <c r="C5564" s="261" t="s">
        <v>5</v>
      </c>
      <c r="D5564" s="266">
        <v>21.53</v>
      </c>
    </row>
    <row r="5565" spans="1:4" ht="31.5">
      <c r="A5565" s="261">
        <v>5502881</v>
      </c>
      <c r="B5565" s="265" t="s">
        <v>16863</v>
      </c>
      <c r="C5565" s="261" t="s">
        <v>5</v>
      </c>
      <c r="D5565" s="266">
        <v>11.56</v>
      </c>
    </row>
    <row r="5566" spans="1:4" ht="31.5">
      <c r="A5566" s="261">
        <v>5502859</v>
      </c>
      <c r="B5566" s="265" t="s">
        <v>16864</v>
      </c>
      <c r="C5566" s="261" t="s">
        <v>5</v>
      </c>
      <c r="D5566" s="266">
        <v>18</v>
      </c>
    </row>
    <row r="5567" spans="1:4" ht="31.5">
      <c r="A5567" s="261">
        <v>5502882</v>
      </c>
      <c r="B5567" s="265" t="s">
        <v>16865</v>
      </c>
      <c r="C5567" s="261" t="s">
        <v>5</v>
      </c>
      <c r="D5567" s="266">
        <v>10.95</v>
      </c>
    </row>
    <row r="5568" spans="1:4" ht="31.5">
      <c r="A5568" s="261">
        <v>5502858</v>
      </c>
      <c r="B5568" s="265" t="s">
        <v>16866</v>
      </c>
      <c r="C5568" s="261" t="s">
        <v>5</v>
      </c>
      <c r="D5568" s="266">
        <v>19.12</v>
      </c>
    </row>
    <row r="5569" spans="1:4" ht="31.5">
      <c r="A5569" s="261">
        <v>5502747</v>
      </c>
      <c r="B5569" s="265" t="s">
        <v>16867</v>
      </c>
      <c r="C5569" s="261" t="s">
        <v>5</v>
      </c>
      <c r="D5569" s="266">
        <v>44.53</v>
      </c>
    </row>
    <row r="5570" spans="1:4" ht="31.5">
      <c r="A5570" s="261">
        <v>5502773</v>
      </c>
      <c r="B5570" s="265" t="s">
        <v>16868</v>
      </c>
      <c r="C5570" s="261" t="s">
        <v>5</v>
      </c>
      <c r="D5570" s="266">
        <v>43</v>
      </c>
    </row>
    <row r="5571" spans="1:4" ht="31.5">
      <c r="A5571" s="261">
        <v>5502799</v>
      </c>
      <c r="B5571" s="265" t="s">
        <v>16869</v>
      </c>
      <c r="C5571" s="261" t="s">
        <v>5</v>
      </c>
      <c r="D5571" s="266">
        <v>42.52</v>
      </c>
    </row>
    <row r="5572" spans="1:4" ht="31.5">
      <c r="A5572" s="261">
        <v>5502748</v>
      </c>
      <c r="B5572" s="265" t="s">
        <v>16870</v>
      </c>
      <c r="C5572" s="261" t="s">
        <v>5</v>
      </c>
      <c r="D5572" s="266">
        <v>45.01</v>
      </c>
    </row>
    <row r="5573" spans="1:4" ht="31.5">
      <c r="A5573" s="261">
        <v>5502774</v>
      </c>
      <c r="B5573" s="265" t="s">
        <v>16871</v>
      </c>
      <c r="C5573" s="261" t="s">
        <v>5</v>
      </c>
      <c r="D5573" s="266">
        <v>43.29</v>
      </c>
    </row>
    <row r="5574" spans="1:4" ht="31.5">
      <c r="A5574" s="261">
        <v>5502800</v>
      </c>
      <c r="B5574" s="265" t="s">
        <v>16872</v>
      </c>
      <c r="C5574" s="261" t="s">
        <v>5</v>
      </c>
      <c r="D5574" s="266">
        <v>42.81</v>
      </c>
    </row>
    <row r="5575" spans="1:4" ht="31.5">
      <c r="A5575" s="261">
        <v>5502749</v>
      </c>
      <c r="B5575" s="265" t="s">
        <v>16873</v>
      </c>
      <c r="C5575" s="261" t="s">
        <v>5</v>
      </c>
      <c r="D5575" s="266">
        <v>45.4</v>
      </c>
    </row>
    <row r="5576" spans="1:4" ht="31.5">
      <c r="A5576" s="261">
        <v>5502775</v>
      </c>
      <c r="B5576" s="265" t="s">
        <v>16874</v>
      </c>
      <c r="C5576" s="261" t="s">
        <v>5</v>
      </c>
      <c r="D5576" s="266">
        <v>43.57</v>
      </c>
    </row>
    <row r="5577" spans="1:4" ht="31.5">
      <c r="A5577" s="261">
        <v>5502801</v>
      </c>
      <c r="B5577" s="265" t="s">
        <v>16875</v>
      </c>
      <c r="C5577" s="261" t="s">
        <v>5</v>
      </c>
      <c r="D5577" s="266">
        <v>43</v>
      </c>
    </row>
    <row r="5578" spans="1:4" ht="31.5">
      <c r="A5578" s="261">
        <v>5502750</v>
      </c>
      <c r="B5578" s="265" t="s">
        <v>16876</v>
      </c>
      <c r="C5578" s="261" t="s">
        <v>5</v>
      </c>
      <c r="D5578" s="266">
        <v>47.39</v>
      </c>
    </row>
    <row r="5579" spans="1:4" ht="31.5">
      <c r="A5579" s="261">
        <v>5502776</v>
      </c>
      <c r="B5579" s="265" t="s">
        <v>16877</v>
      </c>
      <c r="C5579" s="261" t="s">
        <v>5</v>
      </c>
      <c r="D5579" s="266">
        <v>43.86</v>
      </c>
    </row>
    <row r="5580" spans="1:4" ht="31.5">
      <c r="A5580" s="261">
        <v>5502802</v>
      </c>
      <c r="B5580" s="265" t="s">
        <v>16878</v>
      </c>
      <c r="C5580" s="261" t="s">
        <v>5</v>
      </c>
      <c r="D5580" s="266">
        <v>43.29</v>
      </c>
    </row>
    <row r="5581" spans="1:4" ht="31.5">
      <c r="A5581" s="261">
        <v>5502751</v>
      </c>
      <c r="B5581" s="265" t="s">
        <v>16879</v>
      </c>
      <c r="C5581" s="261" t="s">
        <v>5</v>
      </c>
      <c r="D5581" s="266">
        <v>47.9</v>
      </c>
    </row>
    <row r="5582" spans="1:4" ht="31.5">
      <c r="A5582" s="261">
        <v>5502777</v>
      </c>
      <c r="B5582" s="265" t="s">
        <v>16880</v>
      </c>
      <c r="C5582" s="261" t="s">
        <v>5</v>
      </c>
      <c r="D5582" s="266">
        <v>44.15</v>
      </c>
    </row>
    <row r="5583" spans="1:4" ht="31.5">
      <c r="A5583" s="261">
        <v>5502803</v>
      </c>
      <c r="B5583" s="265" t="s">
        <v>16881</v>
      </c>
      <c r="C5583" s="261" t="s">
        <v>5</v>
      </c>
      <c r="D5583" s="266">
        <v>43.48</v>
      </c>
    </row>
    <row r="5584" spans="1:4" ht="31.5">
      <c r="A5584" s="261">
        <v>5502752</v>
      </c>
      <c r="B5584" s="265" t="s">
        <v>16882</v>
      </c>
      <c r="C5584" s="261" t="s">
        <v>5</v>
      </c>
      <c r="D5584" s="266">
        <v>48.67</v>
      </c>
    </row>
    <row r="5585" spans="1:4" ht="31.5">
      <c r="A5585" s="261">
        <v>5502778</v>
      </c>
      <c r="B5585" s="265" t="s">
        <v>16883</v>
      </c>
      <c r="C5585" s="261" t="s">
        <v>5</v>
      </c>
      <c r="D5585" s="266">
        <v>44.73</v>
      </c>
    </row>
    <row r="5586" spans="1:4" ht="31.5">
      <c r="A5586" s="261">
        <v>5502804</v>
      </c>
      <c r="B5586" s="265" t="s">
        <v>16884</v>
      </c>
      <c r="C5586" s="261" t="s">
        <v>5</v>
      </c>
      <c r="D5586" s="266">
        <v>43.96</v>
      </c>
    </row>
    <row r="5587" spans="1:4" ht="31.5">
      <c r="A5587" s="261">
        <v>5502753</v>
      </c>
      <c r="B5587" s="265" t="s">
        <v>16885</v>
      </c>
      <c r="C5587" s="261" t="s">
        <v>5</v>
      </c>
      <c r="D5587" s="266">
        <v>49.95</v>
      </c>
    </row>
    <row r="5588" spans="1:4" ht="31.5">
      <c r="A5588" s="261">
        <v>5502779</v>
      </c>
      <c r="B5588" s="265" t="s">
        <v>16886</v>
      </c>
      <c r="C5588" s="261" t="s">
        <v>5</v>
      </c>
      <c r="D5588" s="266">
        <v>47.13</v>
      </c>
    </row>
    <row r="5589" spans="1:4" ht="31.5">
      <c r="A5589" s="261">
        <v>5502805</v>
      </c>
      <c r="B5589" s="265" t="s">
        <v>16887</v>
      </c>
      <c r="C5589" s="261" t="s">
        <v>5</v>
      </c>
      <c r="D5589" s="266">
        <v>44.63</v>
      </c>
    </row>
    <row r="5590" spans="1:4" ht="31.5">
      <c r="A5590" s="261">
        <v>5502743</v>
      </c>
      <c r="B5590" s="265" t="s">
        <v>16888</v>
      </c>
      <c r="C5590" s="261" t="s">
        <v>5</v>
      </c>
      <c r="D5590" s="266">
        <v>42.33</v>
      </c>
    </row>
    <row r="5591" spans="1:4" ht="31.5">
      <c r="A5591" s="261">
        <v>5502769</v>
      </c>
      <c r="B5591" s="265" t="s">
        <v>16889</v>
      </c>
      <c r="C5591" s="261" t="s">
        <v>5</v>
      </c>
      <c r="D5591" s="266">
        <v>40.08</v>
      </c>
    </row>
    <row r="5592" spans="1:4" ht="31.5">
      <c r="A5592" s="261">
        <v>5502795</v>
      </c>
      <c r="B5592" s="265" t="s">
        <v>16890</v>
      </c>
      <c r="C5592" s="261" t="s">
        <v>5</v>
      </c>
      <c r="D5592" s="266">
        <v>39.89</v>
      </c>
    </row>
    <row r="5593" spans="1:4" ht="31.5">
      <c r="A5593" s="261">
        <v>5502744</v>
      </c>
      <c r="B5593" s="265" t="s">
        <v>16891</v>
      </c>
      <c r="C5593" s="261" t="s">
        <v>5</v>
      </c>
      <c r="D5593" s="266">
        <v>43</v>
      </c>
    </row>
    <row r="5594" spans="1:4" ht="31.5">
      <c r="A5594" s="261">
        <v>5502770</v>
      </c>
      <c r="B5594" s="265" t="s">
        <v>16892</v>
      </c>
      <c r="C5594" s="261" t="s">
        <v>5</v>
      </c>
      <c r="D5594" s="266">
        <v>40.53</v>
      </c>
    </row>
    <row r="5595" spans="1:4" ht="31.5">
      <c r="A5595" s="261">
        <v>5502796</v>
      </c>
      <c r="B5595" s="265" t="s">
        <v>16893</v>
      </c>
      <c r="C5595" s="261" t="s">
        <v>5</v>
      </c>
      <c r="D5595" s="266">
        <v>40.21</v>
      </c>
    </row>
    <row r="5596" spans="1:4" ht="31.5">
      <c r="A5596" s="261">
        <v>5502742</v>
      </c>
      <c r="B5596" s="265" t="s">
        <v>16894</v>
      </c>
      <c r="C5596" s="261" t="s">
        <v>5</v>
      </c>
      <c r="D5596" s="266">
        <v>40.08</v>
      </c>
    </row>
    <row r="5597" spans="1:4" ht="31.5">
      <c r="A5597" s="261">
        <v>5502768</v>
      </c>
      <c r="B5597" s="265" t="s">
        <v>16895</v>
      </c>
      <c r="C5597" s="261" t="s">
        <v>5</v>
      </c>
      <c r="D5597" s="266">
        <v>39.630000000000003</v>
      </c>
    </row>
    <row r="5598" spans="1:4" ht="31.5">
      <c r="A5598" s="261">
        <v>5502794</v>
      </c>
      <c r="B5598" s="265" t="s">
        <v>16896</v>
      </c>
      <c r="C5598" s="261" t="s">
        <v>5</v>
      </c>
      <c r="D5598" s="266">
        <v>39.44</v>
      </c>
    </row>
    <row r="5599" spans="1:4" ht="31.5">
      <c r="A5599" s="261">
        <v>5502745</v>
      </c>
      <c r="B5599" s="265" t="s">
        <v>16897</v>
      </c>
      <c r="C5599" s="261" t="s">
        <v>5</v>
      </c>
      <c r="D5599" s="266">
        <v>43.57</v>
      </c>
    </row>
    <row r="5600" spans="1:4" ht="31.5">
      <c r="A5600" s="261">
        <v>5502771</v>
      </c>
      <c r="B5600" s="265" t="s">
        <v>16898</v>
      </c>
      <c r="C5600" s="261" t="s">
        <v>5</v>
      </c>
      <c r="D5600" s="266">
        <v>42.42</v>
      </c>
    </row>
    <row r="5601" spans="1:4" ht="31.5">
      <c r="A5601" s="261">
        <v>5502797</v>
      </c>
      <c r="B5601" s="265" t="s">
        <v>16899</v>
      </c>
      <c r="C5601" s="261" t="s">
        <v>5</v>
      </c>
      <c r="D5601" s="266">
        <v>40.46</v>
      </c>
    </row>
    <row r="5602" spans="1:4" ht="31.5">
      <c r="A5602" s="261">
        <v>5502746</v>
      </c>
      <c r="B5602" s="265" t="s">
        <v>16900</v>
      </c>
      <c r="C5602" s="261" t="s">
        <v>5</v>
      </c>
      <c r="D5602" s="266">
        <v>44.05</v>
      </c>
    </row>
    <row r="5603" spans="1:4" ht="31.5">
      <c r="A5603" s="261">
        <v>5502772</v>
      </c>
      <c r="B5603" s="265" t="s">
        <v>16901</v>
      </c>
      <c r="C5603" s="261" t="s">
        <v>5</v>
      </c>
      <c r="D5603" s="266">
        <v>42.71</v>
      </c>
    </row>
    <row r="5604" spans="1:4" ht="31.5">
      <c r="A5604" s="261">
        <v>5502798</v>
      </c>
      <c r="B5604" s="265" t="s">
        <v>16902</v>
      </c>
      <c r="C5604" s="261" t="s">
        <v>5</v>
      </c>
      <c r="D5604" s="266">
        <v>40.78</v>
      </c>
    </row>
    <row r="5605" spans="1:4" ht="31.5">
      <c r="A5605" s="261">
        <v>5502886</v>
      </c>
      <c r="B5605" s="265" t="s">
        <v>16903</v>
      </c>
      <c r="C5605" s="261" t="s">
        <v>5</v>
      </c>
      <c r="D5605" s="266">
        <v>52.19</v>
      </c>
    </row>
    <row r="5606" spans="1:4" ht="31.5">
      <c r="A5606" s="261">
        <v>5502887</v>
      </c>
      <c r="B5606" s="265" t="s">
        <v>16904</v>
      </c>
      <c r="C5606" s="261" t="s">
        <v>5</v>
      </c>
      <c r="D5606" s="266">
        <v>47.51</v>
      </c>
    </row>
    <row r="5607" spans="1:4" ht="31.5">
      <c r="A5607" s="261">
        <v>5502888</v>
      </c>
      <c r="B5607" s="265" t="s">
        <v>16905</v>
      </c>
      <c r="C5607" s="261" t="s">
        <v>5</v>
      </c>
      <c r="D5607" s="266">
        <v>45.01</v>
      </c>
    </row>
    <row r="5608" spans="1:4">
      <c r="A5608" s="261">
        <v>5502820</v>
      </c>
      <c r="B5608" s="265" t="s">
        <v>16906</v>
      </c>
      <c r="C5608" s="261" t="s">
        <v>5</v>
      </c>
      <c r="D5608" s="266">
        <v>7.51</v>
      </c>
    </row>
    <row r="5609" spans="1:4" ht="31.5">
      <c r="A5609" s="261">
        <v>5502904</v>
      </c>
      <c r="B5609" s="265" t="s">
        <v>16907</v>
      </c>
      <c r="C5609" s="261" t="s">
        <v>5</v>
      </c>
      <c r="D5609" s="266">
        <v>20.29</v>
      </c>
    </row>
    <row r="5610" spans="1:4" ht="31.5">
      <c r="A5610" s="261">
        <v>5502930</v>
      </c>
      <c r="B5610" s="265" t="s">
        <v>16908</v>
      </c>
      <c r="C5610" s="261" t="s">
        <v>5</v>
      </c>
      <c r="D5610" s="266">
        <v>19.3</v>
      </c>
    </row>
    <row r="5611" spans="1:4" ht="31.5">
      <c r="A5611" s="261">
        <v>5502956</v>
      </c>
      <c r="B5611" s="265" t="s">
        <v>16909</v>
      </c>
      <c r="C5611" s="261" t="s">
        <v>5</v>
      </c>
      <c r="D5611" s="266">
        <v>18.940000000000001</v>
      </c>
    </row>
    <row r="5612" spans="1:4" ht="31.5">
      <c r="A5612" s="261">
        <v>5502905</v>
      </c>
      <c r="B5612" s="265" t="s">
        <v>16910</v>
      </c>
      <c r="C5612" s="261" t="s">
        <v>5</v>
      </c>
      <c r="D5612" s="266">
        <v>22.62</v>
      </c>
    </row>
    <row r="5613" spans="1:4" ht="31.5">
      <c r="A5613" s="261">
        <v>5502931</v>
      </c>
      <c r="B5613" s="265" t="s">
        <v>16911</v>
      </c>
      <c r="C5613" s="261" t="s">
        <v>5</v>
      </c>
      <c r="D5613" s="266">
        <v>19.48</v>
      </c>
    </row>
    <row r="5614" spans="1:4" ht="31.5">
      <c r="A5614" s="261">
        <v>5502957</v>
      </c>
      <c r="B5614" s="265" t="s">
        <v>16912</v>
      </c>
      <c r="C5614" s="261" t="s">
        <v>5</v>
      </c>
      <c r="D5614" s="266">
        <v>19.12</v>
      </c>
    </row>
    <row r="5615" spans="1:4" ht="31.5">
      <c r="A5615" s="261">
        <v>5502906</v>
      </c>
      <c r="B5615" s="265" t="s">
        <v>16913</v>
      </c>
      <c r="C5615" s="261" t="s">
        <v>5</v>
      </c>
      <c r="D5615" s="266">
        <v>22.89</v>
      </c>
    </row>
    <row r="5616" spans="1:4" ht="31.5">
      <c r="A5616" s="261">
        <v>5502932</v>
      </c>
      <c r="B5616" s="265" t="s">
        <v>16914</v>
      </c>
      <c r="C5616" s="261" t="s">
        <v>5</v>
      </c>
      <c r="D5616" s="266">
        <v>19.66</v>
      </c>
    </row>
    <row r="5617" spans="1:4" ht="31.5">
      <c r="A5617" s="261">
        <v>5502958</v>
      </c>
      <c r="B5617" s="265" t="s">
        <v>16915</v>
      </c>
      <c r="C5617" s="261" t="s">
        <v>5</v>
      </c>
      <c r="D5617" s="266">
        <v>19.3</v>
      </c>
    </row>
    <row r="5618" spans="1:4" ht="31.5">
      <c r="A5618" s="261">
        <v>5502907</v>
      </c>
      <c r="B5618" s="265" t="s">
        <v>16916</v>
      </c>
      <c r="C5618" s="261" t="s">
        <v>5</v>
      </c>
      <c r="D5618" s="266">
        <v>23.3</v>
      </c>
    </row>
    <row r="5619" spans="1:4" ht="31.5">
      <c r="A5619" s="261">
        <v>5502933</v>
      </c>
      <c r="B5619" s="265" t="s">
        <v>16917</v>
      </c>
      <c r="C5619" s="261" t="s">
        <v>5</v>
      </c>
      <c r="D5619" s="266">
        <v>19.93</v>
      </c>
    </row>
    <row r="5620" spans="1:4" ht="31.5">
      <c r="A5620" s="261">
        <v>5502959</v>
      </c>
      <c r="B5620" s="265" t="s">
        <v>16918</v>
      </c>
      <c r="C5620" s="261" t="s">
        <v>5</v>
      </c>
      <c r="D5620" s="266">
        <v>19.48</v>
      </c>
    </row>
    <row r="5621" spans="1:4" ht="31.5">
      <c r="A5621" s="261">
        <v>5502908</v>
      </c>
      <c r="B5621" s="265" t="s">
        <v>16919</v>
      </c>
      <c r="C5621" s="261" t="s">
        <v>5</v>
      </c>
      <c r="D5621" s="266">
        <v>23.57</v>
      </c>
    </row>
    <row r="5622" spans="1:4" ht="31.5">
      <c r="A5622" s="261">
        <v>5502934</v>
      </c>
      <c r="B5622" s="265" t="s">
        <v>16920</v>
      </c>
      <c r="C5622" s="261" t="s">
        <v>5</v>
      </c>
      <c r="D5622" s="266">
        <v>20.11</v>
      </c>
    </row>
    <row r="5623" spans="1:4" ht="31.5">
      <c r="A5623" s="261">
        <v>5502960</v>
      </c>
      <c r="B5623" s="265" t="s">
        <v>16921</v>
      </c>
      <c r="C5623" s="261" t="s">
        <v>5</v>
      </c>
      <c r="D5623" s="266">
        <v>19.57</v>
      </c>
    </row>
    <row r="5624" spans="1:4" ht="31.5">
      <c r="A5624" s="261">
        <v>5502909</v>
      </c>
      <c r="B5624" s="265" t="s">
        <v>16922</v>
      </c>
      <c r="C5624" s="261" t="s">
        <v>5</v>
      </c>
      <c r="D5624" s="266">
        <v>24.11</v>
      </c>
    </row>
    <row r="5625" spans="1:4" ht="31.5">
      <c r="A5625" s="261">
        <v>5502935</v>
      </c>
      <c r="B5625" s="265" t="s">
        <v>16923</v>
      </c>
      <c r="C5625" s="261" t="s">
        <v>5</v>
      </c>
      <c r="D5625" s="266">
        <v>20.47</v>
      </c>
    </row>
    <row r="5626" spans="1:4" ht="31.5">
      <c r="A5626" s="261">
        <v>5502961</v>
      </c>
      <c r="B5626" s="265" t="s">
        <v>16924</v>
      </c>
      <c r="C5626" s="261" t="s">
        <v>5</v>
      </c>
      <c r="D5626" s="266">
        <v>19.93</v>
      </c>
    </row>
    <row r="5627" spans="1:4" ht="31.5">
      <c r="A5627" s="261">
        <v>5502910</v>
      </c>
      <c r="B5627" s="265" t="s">
        <v>16925</v>
      </c>
      <c r="C5627" s="261" t="s">
        <v>5</v>
      </c>
      <c r="D5627" s="266">
        <v>25.05</v>
      </c>
    </row>
    <row r="5628" spans="1:4" ht="31.5">
      <c r="A5628" s="261">
        <v>5502936</v>
      </c>
      <c r="B5628" s="265" t="s">
        <v>16926</v>
      </c>
      <c r="C5628" s="261" t="s">
        <v>5</v>
      </c>
      <c r="D5628" s="266">
        <v>23.03</v>
      </c>
    </row>
    <row r="5629" spans="1:4" ht="31.5">
      <c r="A5629" s="261">
        <v>5502962</v>
      </c>
      <c r="B5629" s="265" t="s">
        <v>16927</v>
      </c>
      <c r="C5629" s="261" t="s">
        <v>5</v>
      </c>
      <c r="D5629" s="266">
        <v>20.38</v>
      </c>
    </row>
    <row r="5630" spans="1:4" ht="31.5">
      <c r="A5630" s="261">
        <v>5502900</v>
      </c>
      <c r="B5630" s="265" t="s">
        <v>16928</v>
      </c>
      <c r="C5630" s="261" t="s">
        <v>5</v>
      </c>
      <c r="D5630" s="266">
        <v>18.850000000000001</v>
      </c>
    </row>
    <row r="5631" spans="1:4" ht="31.5">
      <c r="A5631" s="261">
        <v>5502926</v>
      </c>
      <c r="B5631" s="265" t="s">
        <v>16929</v>
      </c>
      <c r="C5631" s="261" t="s">
        <v>5</v>
      </c>
      <c r="D5631" s="266">
        <v>18.309999999999999</v>
      </c>
    </row>
    <row r="5632" spans="1:4" ht="31.5">
      <c r="A5632" s="261">
        <v>5502952</v>
      </c>
      <c r="B5632" s="265" t="s">
        <v>16930</v>
      </c>
      <c r="C5632" s="261" t="s">
        <v>5</v>
      </c>
      <c r="D5632" s="266">
        <v>18.13</v>
      </c>
    </row>
    <row r="5633" spans="1:4" ht="31.5">
      <c r="A5633" s="261">
        <v>5502901</v>
      </c>
      <c r="B5633" s="265" t="s">
        <v>16931</v>
      </c>
      <c r="C5633" s="261" t="s">
        <v>5</v>
      </c>
      <c r="D5633" s="266">
        <v>19.21</v>
      </c>
    </row>
    <row r="5634" spans="1:4" ht="31.5">
      <c r="A5634" s="261">
        <v>5502927</v>
      </c>
      <c r="B5634" s="265" t="s">
        <v>16932</v>
      </c>
      <c r="C5634" s="261" t="s">
        <v>5</v>
      </c>
      <c r="D5634" s="266">
        <v>18.579999999999998</v>
      </c>
    </row>
    <row r="5635" spans="1:4" ht="31.5">
      <c r="A5635" s="261">
        <v>5502953</v>
      </c>
      <c r="B5635" s="265" t="s">
        <v>16933</v>
      </c>
      <c r="C5635" s="261" t="s">
        <v>5</v>
      </c>
      <c r="D5635" s="266">
        <v>18.399999999999999</v>
      </c>
    </row>
    <row r="5636" spans="1:4" ht="31.5">
      <c r="A5636" s="261">
        <v>5502899</v>
      </c>
      <c r="B5636" s="265" t="s">
        <v>16934</v>
      </c>
      <c r="C5636" s="261" t="s">
        <v>5</v>
      </c>
      <c r="D5636" s="266">
        <v>18.309999999999999</v>
      </c>
    </row>
    <row r="5637" spans="1:4" ht="31.5">
      <c r="A5637" s="261">
        <v>5502925</v>
      </c>
      <c r="B5637" s="265" t="s">
        <v>16935</v>
      </c>
      <c r="C5637" s="261" t="s">
        <v>5</v>
      </c>
      <c r="D5637" s="266">
        <v>18.04</v>
      </c>
    </row>
    <row r="5638" spans="1:4" ht="31.5">
      <c r="A5638" s="261">
        <v>5502951</v>
      </c>
      <c r="B5638" s="265" t="s">
        <v>16936</v>
      </c>
      <c r="C5638" s="261" t="s">
        <v>5</v>
      </c>
      <c r="D5638" s="266">
        <v>17.850000000000001</v>
      </c>
    </row>
    <row r="5639" spans="1:4" ht="31.5">
      <c r="A5639" s="261">
        <v>5502902</v>
      </c>
      <c r="B5639" s="265" t="s">
        <v>16937</v>
      </c>
      <c r="C5639" s="261" t="s">
        <v>5</v>
      </c>
      <c r="D5639" s="266">
        <v>19.66</v>
      </c>
    </row>
    <row r="5640" spans="1:4" ht="31.5">
      <c r="A5640" s="261">
        <v>5502928</v>
      </c>
      <c r="B5640" s="265" t="s">
        <v>16938</v>
      </c>
      <c r="C5640" s="261" t="s">
        <v>5</v>
      </c>
      <c r="D5640" s="266">
        <v>18.850000000000001</v>
      </c>
    </row>
    <row r="5641" spans="1:4" ht="31.5">
      <c r="A5641" s="261">
        <v>5502954</v>
      </c>
      <c r="B5641" s="265" t="s">
        <v>16939</v>
      </c>
      <c r="C5641" s="261" t="s">
        <v>5</v>
      </c>
      <c r="D5641" s="266">
        <v>18.579999999999998</v>
      </c>
    </row>
    <row r="5642" spans="1:4" ht="31.5">
      <c r="A5642" s="261">
        <v>5502903</v>
      </c>
      <c r="B5642" s="265" t="s">
        <v>16940</v>
      </c>
      <c r="C5642" s="261" t="s">
        <v>5</v>
      </c>
      <c r="D5642" s="266">
        <v>19.93</v>
      </c>
    </row>
    <row r="5643" spans="1:4" ht="31.5">
      <c r="A5643" s="261">
        <v>5502929</v>
      </c>
      <c r="B5643" s="265" t="s">
        <v>16941</v>
      </c>
      <c r="C5643" s="261" t="s">
        <v>5</v>
      </c>
      <c r="D5643" s="266">
        <v>19.03</v>
      </c>
    </row>
    <row r="5644" spans="1:4" ht="31.5">
      <c r="A5644" s="261">
        <v>5502955</v>
      </c>
      <c r="B5644" s="265" t="s">
        <v>16942</v>
      </c>
      <c r="C5644" s="261" t="s">
        <v>5</v>
      </c>
      <c r="D5644" s="266">
        <v>18.760000000000002</v>
      </c>
    </row>
    <row r="5645" spans="1:4" ht="31.5">
      <c r="A5645" s="261">
        <v>5502889</v>
      </c>
      <c r="B5645" s="265" t="s">
        <v>16943</v>
      </c>
      <c r="C5645" s="261" t="s">
        <v>5</v>
      </c>
      <c r="D5645" s="266">
        <v>25.46</v>
      </c>
    </row>
    <row r="5646" spans="1:4" ht="31.5">
      <c r="A5646" s="261">
        <v>5502996</v>
      </c>
      <c r="B5646" s="265" t="s">
        <v>16944</v>
      </c>
      <c r="C5646" s="261" t="s">
        <v>5</v>
      </c>
      <c r="D5646" s="266">
        <v>23.3</v>
      </c>
    </row>
    <row r="5647" spans="1:4" ht="31.5">
      <c r="A5647" s="261">
        <v>5502997</v>
      </c>
      <c r="B5647" s="265" t="s">
        <v>16945</v>
      </c>
      <c r="C5647" s="261" t="s">
        <v>5</v>
      </c>
      <c r="D5647" s="266">
        <v>22.62</v>
      </c>
    </row>
    <row r="5648" spans="1:4">
      <c r="A5648" s="261">
        <v>5501716</v>
      </c>
      <c r="B5648" s="265" t="s">
        <v>16946</v>
      </c>
      <c r="C5648" s="261" t="s">
        <v>5</v>
      </c>
      <c r="D5648" s="266">
        <v>20.72</v>
      </c>
    </row>
    <row r="5649" spans="1:4">
      <c r="A5649" s="261">
        <v>5501717</v>
      </c>
      <c r="B5649" s="265" t="s">
        <v>16947</v>
      </c>
      <c r="C5649" s="261" t="s">
        <v>5</v>
      </c>
      <c r="D5649" s="266">
        <v>23.36</v>
      </c>
    </row>
    <row r="5650" spans="1:4">
      <c r="A5650" s="261">
        <v>5501712</v>
      </c>
      <c r="B5650" s="265" t="s">
        <v>16948</v>
      </c>
      <c r="C5650" s="261" t="s">
        <v>5</v>
      </c>
      <c r="D5650" s="266">
        <v>12.02</v>
      </c>
    </row>
    <row r="5651" spans="1:4">
      <c r="A5651" s="261">
        <v>5501713</v>
      </c>
      <c r="B5651" s="265" t="s">
        <v>16949</v>
      </c>
      <c r="C5651" s="261" t="s">
        <v>5</v>
      </c>
      <c r="D5651" s="266">
        <v>13.35</v>
      </c>
    </row>
    <row r="5652" spans="1:4">
      <c r="A5652" s="261">
        <v>5501711</v>
      </c>
      <c r="B5652" s="265" t="s">
        <v>16950</v>
      </c>
      <c r="C5652" s="261" t="s">
        <v>5</v>
      </c>
      <c r="D5652" s="266">
        <v>9.64</v>
      </c>
    </row>
    <row r="5653" spans="1:4">
      <c r="A5653" s="261">
        <v>5501710</v>
      </c>
      <c r="B5653" s="265" t="s">
        <v>16951</v>
      </c>
      <c r="C5653" s="261" t="s">
        <v>5</v>
      </c>
      <c r="D5653" s="266">
        <v>2.87</v>
      </c>
    </row>
    <row r="5654" spans="1:4">
      <c r="A5654" s="261">
        <v>5501714</v>
      </c>
      <c r="B5654" s="265" t="s">
        <v>16952</v>
      </c>
      <c r="C5654" s="261" t="s">
        <v>5</v>
      </c>
      <c r="D5654" s="266">
        <v>15.7</v>
      </c>
    </row>
    <row r="5655" spans="1:4">
      <c r="A5655" s="261">
        <v>5501715</v>
      </c>
      <c r="B5655" s="265" t="s">
        <v>16953</v>
      </c>
      <c r="C5655" s="261" t="s">
        <v>5</v>
      </c>
      <c r="D5655" s="266">
        <v>18.09</v>
      </c>
    </row>
    <row r="5656" spans="1:4">
      <c r="A5656" s="261">
        <v>5502986</v>
      </c>
      <c r="B5656" s="265" t="s">
        <v>16954</v>
      </c>
      <c r="C5656" s="261" t="s">
        <v>5</v>
      </c>
      <c r="D5656" s="266">
        <v>2.54</v>
      </c>
    </row>
    <row r="5657" spans="1:4">
      <c r="A5657" s="261">
        <v>5502977</v>
      </c>
      <c r="B5657" s="265" t="s">
        <v>16955</v>
      </c>
      <c r="C5657" s="261" t="s">
        <v>5</v>
      </c>
      <c r="D5657" s="266">
        <v>9.8699999999999992</v>
      </c>
    </row>
    <row r="5658" spans="1:4">
      <c r="A5658" s="261">
        <v>5502985</v>
      </c>
      <c r="B5658" s="265" t="s">
        <v>16956</v>
      </c>
      <c r="C5658" s="261" t="s">
        <v>3</v>
      </c>
      <c r="D5658" s="266">
        <v>0.45</v>
      </c>
    </row>
    <row r="5659" spans="1:4">
      <c r="A5659" s="261">
        <v>5503018</v>
      </c>
      <c r="B5659" s="265" t="s">
        <v>16957</v>
      </c>
      <c r="C5659" s="261" t="s">
        <v>13117</v>
      </c>
      <c r="D5659" s="266">
        <v>60.74</v>
      </c>
    </row>
    <row r="5660" spans="1:4">
      <c r="A5660" s="261">
        <v>5505768</v>
      </c>
      <c r="B5660" s="265" t="s">
        <v>16958</v>
      </c>
      <c r="C5660" s="261" t="s">
        <v>3</v>
      </c>
      <c r="D5660" s="266">
        <v>87.25</v>
      </c>
    </row>
    <row r="5661" spans="1:4">
      <c r="A5661" s="261">
        <v>5503020</v>
      </c>
      <c r="B5661" s="265" t="s">
        <v>16959</v>
      </c>
      <c r="C5661" s="261" t="s">
        <v>13117</v>
      </c>
      <c r="D5661" s="266">
        <v>297.23</v>
      </c>
    </row>
    <row r="5662" spans="1:4">
      <c r="A5662" s="261">
        <v>5605798</v>
      </c>
      <c r="B5662" s="265" t="s">
        <v>16960</v>
      </c>
      <c r="C5662" s="261" t="s">
        <v>6</v>
      </c>
      <c r="D5662" s="266">
        <v>88.11</v>
      </c>
    </row>
    <row r="5663" spans="1:4" ht="31.5">
      <c r="A5663" s="261">
        <v>5605925</v>
      </c>
      <c r="B5663" s="265" t="s">
        <v>16961</v>
      </c>
      <c r="C5663" s="261" t="s">
        <v>6</v>
      </c>
      <c r="D5663" s="266">
        <v>84.02</v>
      </c>
    </row>
    <row r="5664" spans="1:4">
      <c r="A5664" s="261">
        <v>5605799</v>
      </c>
      <c r="B5664" s="265" t="s">
        <v>16962</v>
      </c>
      <c r="C5664" s="261" t="s">
        <v>6</v>
      </c>
      <c r="D5664" s="266">
        <v>94.21</v>
      </c>
    </row>
    <row r="5665" spans="1:4">
      <c r="A5665" s="261">
        <v>5605800</v>
      </c>
      <c r="B5665" s="265" t="s">
        <v>16963</v>
      </c>
      <c r="C5665" s="261" t="s">
        <v>6</v>
      </c>
      <c r="D5665" s="266">
        <v>103.21</v>
      </c>
    </row>
    <row r="5666" spans="1:4">
      <c r="A5666" s="261">
        <v>5605894</v>
      </c>
      <c r="B5666" s="265" t="s">
        <v>16964</v>
      </c>
      <c r="C5666" s="261" t="s">
        <v>6</v>
      </c>
      <c r="D5666" s="266">
        <v>47.84</v>
      </c>
    </row>
    <row r="5667" spans="1:4">
      <c r="A5667" s="261">
        <v>5605895</v>
      </c>
      <c r="B5667" s="265" t="s">
        <v>16965</v>
      </c>
      <c r="C5667" s="261" t="s">
        <v>6</v>
      </c>
      <c r="D5667" s="266">
        <v>51.82</v>
      </c>
    </row>
    <row r="5668" spans="1:4">
      <c r="A5668" s="261">
        <v>5605896</v>
      </c>
      <c r="B5668" s="265" t="s">
        <v>16966</v>
      </c>
      <c r="C5668" s="261" t="s">
        <v>6</v>
      </c>
      <c r="D5668" s="266">
        <v>57.83</v>
      </c>
    </row>
    <row r="5669" spans="1:4">
      <c r="A5669" s="261">
        <v>5605911</v>
      </c>
      <c r="B5669" s="265" t="s">
        <v>16967</v>
      </c>
      <c r="C5669" s="261" t="s">
        <v>6</v>
      </c>
      <c r="D5669" s="266">
        <v>30.07</v>
      </c>
    </row>
    <row r="5670" spans="1:4">
      <c r="A5670" s="261">
        <v>5605912</v>
      </c>
      <c r="B5670" s="265" t="s">
        <v>16968</v>
      </c>
      <c r="C5670" s="261" t="s">
        <v>6</v>
      </c>
      <c r="D5670" s="266">
        <v>51.63</v>
      </c>
    </row>
    <row r="5671" spans="1:4">
      <c r="A5671" s="261">
        <v>5605938</v>
      </c>
      <c r="B5671" s="265" t="s">
        <v>16969</v>
      </c>
      <c r="C5671" s="261" t="s">
        <v>6</v>
      </c>
      <c r="D5671" s="266">
        <v>20.46</v>
      </c>
    </row>
    <row r="5672" spans="1:4">
      <c r="A5672" s="261">
        <v>5605939</v>
      </c>
      <c r="B5672" s="265" t="s">
        <v>16970</v>
      </c>
      <c r="C5672" s="261" t="s">
        <v>6</v>
      </c>
      <c r="D5672" s="266">
        <v>24.6</v>
      </c>
    </row>
    <row r="5673" spans="1:4">
      <c r="A5673" s="261">
        <v>5605940</v>
      </c>
      <c r="B5673" s="265" t="s">
        <v>16971</v>
      </c>
      <c r="C5673" s="261" t="s">
        <v>6</v>
      </c>
      <c r="D5673" s="266">
        <v>56.35</v>
      </c>
    </row>
    <row r="5674" spans="1:4">
      <c r="A5674" s="261">
        <v>5605942</v>
      </c>
      <c r="B5674" s="265" t="s">
        <v>16972</v>
      </c>
      <c r="C5674" s="261" t="s">
        <v>3</v>
      </c>
      <c r="D5674" s="266">
        <v>45.11</v>
      </c>
    </row>
    <row r="5675" spans="1:4" ht="31.5">
      <c r="A5675" s="261">
        <v>5605955</v>
      </c>
      <c r="B5675" s="265" t="s">
        <v>16973</v>
      </c>
      <c r="C5675" s="261" t="s">
        <v>97</v>
      </c>
      <c r="D5675" s="266">
        <v>554.82000000000005</v>
      </c>
    </row>
    <row r="5676" spans="1:4" ht="31.5">
      <c r="A5676" s="261">
        <v>5605956</v>
      </c>
      <c r="B5676" s="265" t="s">
        <v>16974</v>
      </c>
      <c r="C5676" s="261" t="s">
        <v>97</v>
      </c>
      <c r="D5676" s="266">
        <v>656.23</v>
      </c>
    </row>
    <row r="5677" spans="1:4" ht="31.5">
      <c r="A5677" s="261">
        <v>5605953</v>
      </c>
      <c r="B5677" s="265" t="s">
        <v>16975</v>
      </c>
      <c r="C5677" s="261" t="s">
        <v>97</v>
      </c>
      <c r="D5677" s="266">
        <v>395.6</v>
      </c>
    </row>
    <row r="5678" spans="1:4" ht="31.5">
      <c r="A5678" s="261">
        <v>5605954</v>
      </c>
      <c r="B5678" s="265" t="s">
        <v>16976</v>
      </c>
      <c r="C5678" s="261" t="s">
        <v>97</v>
      </c>
      <c r="D5678" s="266">
        <v>477.94</v>
      </c>
    </row>
    <row r="5679" spans="1:4" ht="31.5">
      <c r="A5679" s="261">
        <v>5605909</v>
      </c>
      <c r="B5679" s="265" t="s">
        <v>16977</v>
      </c>
      <c r="C5679" s="261" t="s">
        <v>97</v>
      </c>
      <c r="D5679" s="266">
        <v>469.02</v>
      </c>
    </row>
    <row r="5680" spans="1:4" ht="31.5">
      <c r="A5680" s="261">
        <v>5605908</v>
      </c>
      <c r="B5680" s="265" t="s">
        <v>16978</v>
      </c>
      <c r="C5680" s="261" t="s">
        <v>97</v>
      </c>
      <c r="D5680" s="266">
        <v>469.02</v>
      </c>
    </row>
    <row r="5681" spans="1:4" ht="31.5">
      <c r="A5681" s="261">
        <v>5605907</v>
      </c>
      <c r="B5681" s="265" t="s">
        <v>16979</v>
      </c>
      <c r="C5681" s="261" t="s">
        <v>97</v>
      </c>
      <c r="D5681" s="266">
        <v>472.35</v>
      </c>
    </row>
    <row r="5682" spans="1:4" ht="31.5">
      <c r="A5682" s="261">
        <v>5605906</v>
      </c>
      <c r="B5682" s="265" t="s">
        <v>16980</v>
      </c>
      <c r="C5682" s="261" t="s">
        <v>97</v>
      </c>
      <c r="D5682" s="266">
        <v>607.9</v>
      </c>
    </row>
    <row r="5683" spans="1:4" ht="31.5">
      <c r="A5683" s="261">
        <v>5605905</v>
      </c>
      <c r="B5683" s="265" t="s">
        <v>16981</v>
      </c>
      <c r="C5683" s="261" t="s">
        <v>97</v>
      </c>
      <c r="D5683" s="266">
        <v>611.55999999999995</v>
      </c>
    </row>
    <row r="5684" spans="1:4" ht="31.5">
      <c r="A5684" s="261">
        <v>5605944</v>
      </c>
      <c r="B5684" s="265" t="s">
        <v>16982</v>
      </c>
      <c r="C5684" s="261" t="s">
        <v>97</v>
      </c>
      <c r="D5684" s="266">
        <v>422.07</v>
      </c>
    </row>
    <row r="5685" spans="1:4" ht="31.5">
      <c r="A5685" s="261">
        <v>5605910</v>
      </c>
      <c r="B5685" s="265" t="s">
        <v>16983</v>
      </c>
      <c r="C5685" s="261" t="s">
        <v>97</v>
      </c>
      <c r="D5685" s="266">
        <v>449.75</v>
      </c>
    </row>
    <row r="5686" spans="1:4" ht="31.5">
      <c r="A5686" s="261">
        <v>5605945</v>
      </c>
      <c r="B5686" s="265" t="s">
        <v>16984</v>
      </c>
      <c r="C5686" s="261" t="s">
        <v>97</v>
      </c>
      <c r="D5686" s="266">
        <v>475.75</v>
      </c>
    </row>
    <row r="5687" spans="1:4" ht="31.5">
      <c r="A5687" s="261">
        <v>5605946</v>
      </c>
      <c r="B5687" s="265" t="s">
        <v>16985</v>
      </c>
      <c r="C5687" s="261" t="s">
        <v>97</v>
      </c>
      <c r="D5687" s="266">
        <v>472.35</v>
      </c>
    </row>
    <row r="5688" spans="1:4" ht="31.5">
      <c r="A5688" s="261">
        <v>5605947</v>
      </c>
      <c r="B5688" s="265" t="s">
        <v>16986</v>
      </c>
      <c r="C5688" s="261" t="s">
        <v>97</v>
      </c>
      <c r="D5688" s="266">
        <v>551.1</v>
      </c>
    </row>
    <row r="5689" spans="1:4" ht="31.5">
      <c r="A5689" s="261">
        <v>5605948</v>
      </c>
      <c r="B5689" s="265" t="s">
        <v>16987</v>
      </c>
      <c r="C5689" s="261" t="s">
        <v>97</v>
      </c>
      <c r="D5689" s="266">
        <v>611.55999999999995</v>
      </c>
    </row>
    <row r="5690" spans="1:4" ht="31.5">
      <c r="A5690" s="261">
        <v>5605949</v>
      </c>
      <c r="B5690" s="265" t="s">
        <v>16988</v>
      </c>
      <c r="C5690" s="261" t="s">
        <v>97</v>
      </c>
      <c r="D5690" s="266">
        <v>918.23</v>
      </c>
    </row>
    <row r="5691" spans="1:4" ht="31.5">
      <c r="A5691" s="261">
        <v>5605950</v>
      </c>
      <c r="B5691" s="265" t="s">
        <v>16989</v>
      </c>
      <c r="C5691" s="261" t="s">
        <v>97</v>
      </c>
      <c r="D5691" s="266">
        <v>1033.44</v>
      </c>
    </row>
    <row r="5692" spans="1:4" ht="31.5">
      <c r="A5692" s="261">
        <v>5605951</v>
      </c>
      <c r="B5692" s="265" t="s">
        <v>16990</v>
      </c>
      <c r="C5692" s="261" t="s">
        <v>97</v>
      </c>
      <c r="D5692" s="266">
        <v>1628.3</v>
      </c>
    </row>
    <row r="5693" spans="1:4" ht="31.5">
      <c r="A5693" s="261">
        <v>5605952</v>
      </c>
      <c r="B5693" s="265" t="s">
        <v>16991</v>
      </c>
      <c r="C5693" s="261" t="s">
        <v>97</v>
      </c>
      <c r="D5693" s="266">
        <v>2558.48</v>
      </c>
    </row>
    <row r="5694" spans="1:4" ht="31.5">
      <c r="A5694" s="261">
        <v>5605932</v>
      </c>
      <c r="B5694" s="265" t="s">
        <v>16992</v>
      </c>
      <c r="C5694" s="261" t="s">
        <v>6</v>
      </c>
      <c r="D5694" s="266">
        <v>119.49</v>
      </c>
    </row>
    <row r="5695" spans="1:4" ht="31.5">
      <c r="A5695" s="261">
        <v>5605934</v>
      </c>
      <c r="B5695" s="265" t="s">
        <v>16993</v>
      </c>
      <c r="C5695" s="261" t="s">
        <v>6</v>
      </c>
      <c r="D5695" s="266">
        <v>133.66</v>
      </c>
    </row>
    <row r="5696" spans="1:4" ht="31.5">
      <c r="A5696" s="261">
        <v>5605928</v>
      </c>
      <c r="B5696" s="265" t="s">
        <v>16994</v>
      </c>
      <c r="C5696" s="261" t="s">
        <v>6</v>
      </c>
      <c r="D5696" s="266">
        <v>155.06</v>
      </c>
    </row>
    <row r="5697" spans="1:4" ht="31.5">
      <c r="A5697" s="261">
        <v>5605935</v>
      </c>
      <c r="B5697" s="265" t="s">
        <v>16995</v>
      </c>
      <c r="C5697" s="261" t="s">
        <v>6</v>
      </c>
      <c r="D5697" s="266">
        <v>143.49</v>
      </c>
    </row>
    <row r="5698" spans="1:4" ht="31.5">
      <c r="A5698" s="261">
        <v>5605936</v>
      </c>
      <c r="B5698" s="265" t="s">
        <v>16996</v>
      </c>
      <c r="C5698" s="261" t="s">
        <v>6</v>
      </c>
      <c r="D5698" s="266">
        <v>215.65</v>
      </c>
    </row>
    <row r="5699" spans="1:4" ht="31.5">
      <c r="A5699" s="261">
        <v>5605937</v>
      </c>
      <c r="B5699" s="265" t="s">
        <v>16997</v>
      </c>
      <c r="C5699" s="261" t="s">
        <v>6</v>
      </c>
      <c r="D5699" s="266">
        <v>259.83999999999997</v>
      </c>
    </row>
    <row r="5700" spans="1:4" ht="31.5">
      <c r="A5700" s="261">
        <v>5605957</v>
      </c>
      <c r="B5700" s="265" t="s">
        <v>16998</v>
      </c>
      <c r="C5700" s="261" t="s">
        <v>6</v>
      </c>
      <c r="D5700" s="266">
        <v>182.42</v>
      </c>
    </row>
    <row r="5701" spans="1:4" ht="31.5">
      <c r="A5701" s="261">
        <v>5605958</v>
      </c>
      <c r="B5701" s="265" t="s">
        <v>16999</v>
      </c>
      <c r="C5701" s="261" t="s">
        <v>6</v>
      </c>
      <c r="D5701" s="266">
        <v>207.1</v>
      </c>
    </row>
    <row r="5702" spans="1:4" ht="31.5">
      <c r="A5702" s="261">
        <v>5605959</v>
      </c>
      <c r="B5702" s="265" t="s">
        <v>17000</v>
      </c>
      <c r="C5702" s="261" t="s">
        <v>6</v>
      </c>
      <c r="D5702" s="266">
        <v>243.41</v>
      </c>
    </row>
    <row r="5703" spans="1:4" ht="31.5">
      <c r="A5703" s="261">
        <v>5605960</v>
      </c>
      <c r="B5703" s="265" t="s">
        <v>17001</v>
      </c>
      <c r="C5703" s="261" t="s">
        <v>6</v>
      </c>
      <c r="D5703" s="266">
        <v>280.14999999999998</v>
      </c>
    </row>
    <row r="5704" spans="1:4" ht="31.5">
      <c r="A5704" s="261">
        <v>5605961</v>
      </c>
      <c r="B5704" s="265" t="s">
        <v>17002</v>
      </c>
      <c r="C5704" s="261" t="s">
        <v>6</v>
      </c>
      <c r="D5704" s="266">
        <v>395.53</v>
      </c>
    </row>
    <row r="5705" spans="1:4">
      <c r="A5705" s="261">
        <v>5605885</v>
      </c>
      <c r="B5705" s="265" t="s">
        <v>17003</v>
      </c>
      <c r="C5705" s="261" t="s">
        <v>6</v>
      </c>
      <c r="D5705" s="266">
        <v>242</v>
      </c>
    </row>
    <row r="5706" spans="1:4">
      <c r="A5706" s="261">
        <v>5605886</v>
      </c>
      <c r="B5706" s="265" t="s">
        <v>17004</v>
      </c>
      <c r="C5706" s="261" t="s">
        <v>6</v>
      </c>
      <c r="D5706" s="266">
        <v>264.27999999999997</v>
      </c>
    </row>
    <row r="5707" spans="1:4">
      <c r="A5707" s="261">
        <v>5605883</v>
      </c>
      <c r="B5707" s="265" t="s">
        <v>17005</v>
      </c>
      <c r="C5707" s="261" t="s">
        <v>6</v>
      </c>
      <c r="D5707" s="266">
        <v>192.65</v>
      </c>
    </row>
    <row r="5708" spans="1:4">
      <c r="A5708" s="261">
        <v>5605884</v>
      </c>
      <c r="B5708" s="265" t="s">
        <v>17006</v>
      </c>
      <c r="C5708" s="261" t="s">
        <v>6</v>
      </c>
      <c r="D5708" s="266">
        <v>214.93</v>
      </c>
    </row>
    <row r="5709" spans="1:4" ht="31.5">
      <c r="A5709" s="261">
        <v>5605962</v>
      </c>
      <c r="B5709" s="265" t="s">
        <v>17007</v>
      </c>
      <c r="C5709" s="261" t="s">
        <v>6</v>
      </c>
      <c r="D5709" s="266">
        <v>158.15</v>
      </c>
    </row>
    <row r="5710" spans="1:4" ht="31.5">
      <c r="A5710" s="261">
        <v>5605881</v>
      </c>
      <c r="B5710" s="265" t="s">
        <v>17008</v>
      </c>
      <c r="C5710" s="261" t="s">
        <v>6</v>
      </c>
      <c r="D5710" s="266">
        <v>224.21</v>
      </c>
    </row>
    <row r="5711" spans="1:4" ht="31.5">
      <c r="A5711" s="261">
        <v>5605882</v>
      </c>
      <c r="B5711" s="265" t="s">
        <v>17009</v>
      </c>
      <c r="C5711" s="261" t="s">
        <v>6</v>
      </c>
      <c r="D5711" s="266">
        <v>374.75</v>
      </c>
    </row>
    <row r="5712" spans="1:4" ht="31.5">
      <c r="A5712" s="261">
        <v>5605963</v>
      </c>
      <c r="B5712" s="265" t="s">
        <v>17010</v>
      </c>
      <c r="C5712" s="261" t="s">
        <v>6</v>
      </c>
      <c r="D5712" s="266">
        <v>243.43</v>
      </c>
    </row>
    <row r="5713" spans="1:4" ht="31.5">
      <c r="A5713" s="261">
        <v>5605964</v>
      </c>
      <c r="B5713" s="265" t="s">
        <v>17011</v>
      </c>
      <c r="C5713" s="261" t="s">
        <v>6</v>
      </c>
      <c r="D5713" s="266">
        <v>275.33</v>
      </c>
    </row>
    <row r="5714" spans="1:4" ht="31.5">
      <c r="A5714" s="261">
        <v>5605965</v>
      </c>
      <c r="B5714" s="265" t="s">
        <v>17012</v>
      </c>
      <c r="C5714" s="261" t="s">
        <v>6</v>
      </c>
      <c r="D5714" s="266">
        <v>308.41000000000003</v>
      </c>
    </row>
    <row r="5715" spans="1:4" ht="31.5">
      <c r="A5715" s="261">
        <v>5605966</v>
      </c>
      <c r="B5715" s="265" t="s">
        <v>17013</v>
      </c>
      <c r="C5715" s="261" t="s">
        <v>6</v>
      </c>
      <c r="D5715" s="266">
        <v>409.02</v>
      </c>
    </row>
    <row r="5716" spans="1:4" ht="31.5">
      <c r="A5716" s="261">
        <v>5605967</v>
      </c>
      <c r="B5716" s="265" t="s">
        <v>17014</v>
      </c>
      <c r="C5716" s="261" t="s">
        <v>6</v>
      </c>
      <c r="D5716" s="266">
        <v>463.96</v>
      </c>
    </row>
    <row r="5717" spans="1:4" ht="31.5">
      <c r="A5717" s="261">
        <v>5605968</v>
      </c>
      <c r="B5717" s="265" t="s">
        <v>17015</v>
      </c>
      <c r="C5717" s="261" t="s">
        <v>6</v>
      </c>
      <c r="D5717" s="266">
        <v>565.53</v>
      </c>
    </row>
    <row r="5718" spans="1:4" ht="31.5">
      <c r="A5718" s="261">
        <v>5605969</v>
      </c>
      <c r="B5718" s="265" t="s">
        <v>17016</v>
      </c>
      <c r="C5718" s="261" t="s">
        <v>6</v>
      </c>
      <c r="D5718" s="266">
        <v>616.20000000000005</v>
      </c>
    </row>
    <row r="5719" spans="1:4" ht="31.5">
      <c r="A5719" s="261">
        <v>5909130</v>
      </c>
      <c r="B5719" s="265" t="s">
        <v>17017</v>
      </c>
      <c r="C5719" s="261" t="s">
        <v>18</v>
      </c>
      <c r="D5719" s="266">
        <v>25.92</v>
      </c>
    </row>
    <row r="5720" spans="1:4" ht="31.5">
      <c r="A5720" s="261">
        <v>5914703</v>
      </c>
      <c r="B5720" s="265" t="s">
        <v>17018</v>
      </c>
      <c r="C5720" s="261" t="s">
        <v>18</v>
      </c>
      <c r="D5720" s="266">
        <v>5.57</v>
      </c>
    </row>
    <row r="5721" spans="1:4" ht="31.5">
      <c r="A5721" s="261">
        <v>5914704</v>
      </c>
      <c r="B5721" s="265" t="s">
        <v>17019</v>
      </c>
      <c r="C5721" s="261" t="s">
        <v>18</v>
      </c>
      <c r="D5721" s="266">
        <v>5.57</v>
      </c>
    </row>
    <row r="5722" spans="1:4" ht="31.5">
      <c r="A5722" s="261">
        <v>5914710</v>
      </c>
      <c r="B5722" s="265" t="s">
        <v>17020</v>
      </c>
      <c r="C5722" s="261" t="s">
        <v>18</v>
      </c>
      <c r="D5722" s="266">
        <v>10.9</v>
      </c>
    </row>
    <row r="5723" spans="1:4" ht="31.5">
      <c r="A5723" s="261">
        <v>5914711</v>
      </c>
      <c r="B5723" s="265" t="s">
        <v>17021</v>
      </c>
      <c r="C5723" s="261" t="s">
        <v>18</v>
      </c>
      <c r="D5723" s="266">
        <v>10.01</v>
      </c>
    </row>
    <row r="5724" spans="1:4" ht="31.5">
      <c r="A5724" s="261">
        <v>5914712</v>
      </c>
      <c r="B5724" s="265" t="s">
        <v>17022</v>
      </c>
      <c r="C5724" s="261" t="s">
        <v>18</v>
      </c>
      <c r="D5724" s="266">
        <v>9.8800000000000008</v>
      </c>
    </row>
    <row r="5725" spans="1:4" ht="31.5">
      <c r="A5725" s="261">
        <v>5915369</v>
      </c>
      <c r="B5725" s="265" t="s">
        <v>17023</v>
      </c>
      <c r="C5725" s="261" t="s">
        <v>97</v>
      </c>
      <c r="D5725" s="266">
        <v>7266.22</v>
      </c>
    </row>
    <row r="5726" spans="1:4" ht="31.5">
      <c r="A5726" s="261">
        <v>5915401</v>
      </c>
      <c r="B5726" s="265" t="s">
        <v>17024</v>
      </c>
      <c r="C5726" s="261" t="s">
        <v>97</v>
      </c>
      <c r="D5726" s="266">
        <v>6715.97</v>
      </c>
    </row>
    <row r="5727" spans="1:4" ht="31.5">
      <c r="A5727" s="261">
        <v>5915402</v>
      </c>
      <c r="B5727" s="265" t="s">
        <v>17025</v>
      </c>
      <c r="C5727" s="261" t="s">
        <v>97</v>
      </c>
      <c r="D5727" s="266">
        <v>3930.5</v>
      </c>
    </row>
    <row r="5728" spans="1:4" ht="31.5">
      <c r="A5728" s="261">
        <v>5915400</v>
      </c>
      <c r="B5728" s="265" t="s">
        <v>17026</v>
      </c>
      <c r="C5728" s="261" t="s">
        <v>97</v>
      </c>
      <c r="D5728" s="266">
        <v>3507.52</v>
      </c>
    </row>
    <row r="5729" spans="1:4" ht="31.5">
      <c r="A5729" s="261">
        <v>5914651</v>
      </c>
      <c r="B5729" s="265" t="s">
        <v>17027</v>
      </c>
      <c r="C5729" s="261" t="s">
        <v>18</v>
      </c>
      <c r="D5729" s="266">
        <v>2.4300000000000002</v>
      </c>
    </row>
    <row r="5730" spans="1:4" ht="31.5">
      <c r="A5730" s="261">
        <v>5914648</v>
      </c>
      <c r="B5730" s="265" t="s">
        <v>17028</v>
      </c>
      <c r="C5730" s="261" t="s">
        <v>18</v>
      </c>
      <c r="D5730" s="266">
        <v>7.34</v>
      </c>
    </row>
    <row r="5731" spans="1:4" ht="31.5">
      <c r="A5731" s="261">
        <v>5914647</v>
      </c>
      <c r="B5731" s="265" t="s">
        <v>108</v>
      </c>
      <c r="C5731" s="261" t="s">
        <v>18</v>
      </c>
      <c r="D5731" s="266">
        <v>1.69</v>
      </c>
    </row>
    <row r="5732" spans="1:4" ht="31.5">
      <c r="A5732" s="261">
        <v>5915411</v>
      </c>
      <c r="B5732" s="265" t="s">
        <v>17029</v>
      </c>
      <c r="C5732" s="261" t="s">
        <v>18</v>
      </c>
      <c r="D5732" s="266">
        <v>3.31</v>
      </c>
    </row>
    <row r="5733" spans="1:4" ht="31.5">
      <c r="A5733" s="261">
        <v>5915409</v>
      </c>
      <c r="B5733" s="265" t="s">
        <v>17030</v>
      </c>
      <c r="C5733" s="261" t="s">
        <v>18</v>
      </c>
      <c r="D5733" s="266">
        <v>8.2200000000000006</v>
      </c>
    </row>
    <row r="5734" spans="1:4" ht="31.5">
      <c r="A5734" s="261">
        <v>5915407</v>
      </c>
      <c r="B5734" s="265" t="s">
        <v>17031</v>
      </c>
      <c r="C5734" s="261" t="s">
        <v>18</v>
      </c>
      <c r="D5734" s="266">
        <v>2.57</v>
      </c>
    </row>
    <row r="5735" spans="1:4" ht="31.5">
      <c r="A5735" s="261">
        <v>5914354</v>
      </c>
      <c r="B5735" s="265" t="s">
        <v>17032</v>
      </c>
      <c r="C5735" s="261" t="s">
        <v>18</v>
      </c>
      <c r="D5735" s="266">
        <v>1.76</v>
      </c>
    </row>
    <row r="5736" spans="1:4" ht="31.5">
      <c r="A5736" s="261">
        <v>5915406</v>
      </c>
      <c r="B5736" s="265" t="s">
        <v>17033</v>
      </c>
      <c r="C5736" s="261" t="s">
        <v>18</v>
      </c>
      <c r="D5736" s="266">
        <v>9</v>
      </c>
    </row>
    <row r="5737" spans="1:4" ht="31.5">
      <c r="A5737" s="261">
        <v>5914652</v>
      </c>
      <c r="B5737" s="265" t="s">
        <v>17034</v>
      </c>
      <c r="C5737" s="261" t="s">
        <v>18</v>
      </c>
      <c r="D5737" s="266">
        <v>3.25</v>
      </c>
    </row>
    <row r="5738" spans="1:4" ht="31.5">
      <c r="A5738" s="261">
        <v>5915417</v>
      </c>
      <c r="B5738" s="265" t="s">
        <v>17035</v>
      </c>
      <c r="C5738" s="261" t="s">
        <v>18</v>
      </c>
      <c r="D5738" s="266">
        <v>5.14</v>
      </c>
    </row>
    <row r="5739" spans="1:4" ht="31.5">
      <c r="A5739" s="261">
        <v>5915414</v>
      </c>
      <c r="B5739" s="265" t="s">
        <v>17036</v>
      </c>
      <c r="C5739" s="261" t="s">
        <v>18</v>
      </c>
      <c r="D5739" s="266">
        <v>2.7</v>
      </c>
    </row>
    <row r="5740" spans="1:4" ht="31.5">
      <c r="A5740" s="261">
        <v>5914351</v>
      </c>
      <c r="B5740" s="265" t="s">
        <v>17037</v>
      </c>
      <c r="C5740" s="261" t="s">
        <v>18</v>
      </c>
      <c r="D5740" s="266">
        <v>2.4700000000000002</v>
      </c>
    </row>
    <row r="5741" spans="1:4" ht="31.5">
      <c r="A5741" s="261">
        <v>5914645</v>
      </c>
      <c r="B5741" s="265" t="s">
        <v>17038</v>
      </c>
      <c r="C5741" s="261" t="s">
        <v>18</v>
      </c>
      <c r="D5741" s="266">
        <v>2.92</v>
      </c>
    </row>
    <row r="5742" spans="1:4" ht="31.5">
      <c r="A5742" s="261">
        <v>5914642</v>
      </c>
      <c r="B5742" s="265" t="s">
        <v>17039</v>
      </c>
      <c r="C5742" s="261" t="s">
        <v>18</v>
      </c>
      <c r="D5742" s="266">
        <v>5.67</v>
      </c>
    </row>
    <row r="5743" spans="1:4" ht="31.5">
      <c r="A5743" s="261">
        <v>5914641</v>
      </c>
      <c r="B5743" s="265" t="s">
        <v>17040</v>
      </c>
      <c r="C5743" s="261" t="s">
        <v>18</v>
      </c>
      <c r="D5743" s="266">
        <v>2.0299999999999998</v>
      </c>
    </row>
    <row r="5744" spans="1:4" ht="31.5">
      <c r="A5744" s="261">
        <v>5915456</v>
      </c>
      <c r="B5744" s="265" t="s">
        <v>17041</v>
      </c>
      <c r="C5744" s="261" t="s">
        <v>18</v>
      </c>
      <c r="D5744" s="266">
        <v>3.79</v>
      </c>
    </row>
    <row r="5745" spans="1:4" ht="31.5">
      <c r="A5745" s="261">
        <v>5915454</v>
      </c>
      <c r="B5745" s="265" t="s">
        <v>17042</v>
      </c>
      <c r="C5745" s="261" t="s">
        <v>18</v>
      </c>
      <c r="D5745" s="266">
        <v>6.54</v>
      </c>
    </row>
    <row r="5746" spans="1:4" ht="31.5">
      <c r="A5746" s="261">
        <v>5915399</v>
      </c>
      <c r="B5746" s="265" t="s">
        <v>17043</v>
      </c>
      <c r="C5746" s="261" t="s">
        <v>18</v>
      </c>
      <c r="D5746" s="266">
        <v>2.89</v>
      </c>
    </row>
    <row r="5747" spans="1:4" ht="31.5">
      <c r="A5747" s="261">
        <v>5914353</v>
      </c>
      <c r="B5747" s="265" t="s">
        <v>17044</v>
      </c>
      <c r="C5747" s="261" t="s">
        <v>18</v>
      </c>
      <c r="D5747" s="266">
        <v>1.52</v>
      </c>
    </row>
    <row r="5748" spans="1:4" ht="31.5">
      <c r="A5748" s="261">
        <v>5915470</v>
      </c>
      <c r="B5748" s="265" t="s">
        <v>17045</v>
      </c>
      <c r="C5748" s="261" t="s">
        <v>18</v>
      </c>
      <c r="D5748" s="266">
        <v>2.29</v>
      </c>
    </row>
    <row r="5749" spans="1:4" ht="31.5">
      <c r="A5749" s="261">
        <v>5915459</v>
      </c>
      <c r="B5749" s="265" t="s">
        <v>17046</v>
      </c>
      <c r="C5749" s="261" t="s">
        <v>18</v>
      </c>
      <c r="D5749" s="266">
        <v>7.26</v>
      </c>
    </row>
    <row r="5750" spans="1:4">
      <c r="A5750" s="261">
        <v>5915476</v>
      </c>
      <c r="B5750" s="265" t="s">
        <v>17047</v>
      </c>
      <c r="C5750" s="261" t="s">
        <v>18</v>
      </c>
      <c r="D5750" s="266">
        <v>30.61</v>
      </c>
    </row>
    <row r="5751" spans="1:4" ht="31.5">
      <c r="A5751" s="261">
        <v>5914702</v>
      </c>
      <c r="B5751" s="265" t="s">
        <v>17048</v>
      </c>
      <c r="C5751" s="261" t="s">
        <v>18</v>
      </c>
      <c r="D5751" s="266">
        <v>14.89</v>
      </c>
    </row>
    <row r="5752" spans="1:4" ht="31.5">
      <c r="A5752" s="261">
        <v>5914701</v>
      </c>
      <c r="B5752" s="265" t="s">
        <v>17049</v>
      </c>
      <c r="C5752" s="261" t="s">
        <v>18</v>
      </c>
      <c r="D5752" s="266">
        <v>15.05</v>
      </c>
    </row>
    <row r="5753" spans="1:4" ht="31.5">
      <c r="A5753" s="261">
        <v>5906592</v>
      </c>
      <c r="B5753" s="265" t="s">
        <v>17050</v>
      </c>
      <c r="C5753" s="261" t="s">
        <v>97</v>
      </c>
      <c r="D5753" s="266">
        <v>32.32</v>
      </c>
    </row>
    <row r="5754" spans="1:4" ht="31.5">
      <c r="A5754" s="261">
        <v>5906591</v>
      </c>
      <c r="B5754" s="265" t="s">
        <v>17051</v>
      </c>
      <c r="C5754" s="261" t="s">
        <v>97</v>
      </c>
      <c r="D5754" s="266">
        <v>30.71</v>
      </c>
    </row>
    <row r="5755" spans="1:4" ht="31.5">
      <c r="A5755" s="261">
        <v>5914653</v>
      </c>
      <c r="B5755" s="265" t="s">
        <v>17052</v>
      </c>
      <c r="C5755" s="261" t="s">
        <v>18</v>
      </c>
      <c r="D5755" s="266">
        <v>3.61</v>
      </c>
    </row>
    <row r="5756" spans="1:4" ht="31.5">
      <c r="A5756" s="261">
        <v>5915405</v>
      </c>
      <c r="B5756" s="265" t="s">
        <v>17053</v>
      </c>
      <c r="C5756" s="261" t="s">
        <v>18</v>
      </c>
      <c r="D5756" s="266">
        <v>5.71</v>
      </c>
    </row>
    <row r="5757" spans="1:4" ht="31.5">
      <c r="A5757" s="261">
        <v>5914657</v>
      </c>
      <c r="B5757" s="265" t="s">
        <v>17054</v>
      </c>
      <c r="C5757" s="261" t="s">
        <v>18</v>
      </c>
      <c r="D5757" s="266">
        <v>17.96</v>
      </c>
    </row>
    <row r="5758" spans="1:4">
      <c r="A5758" s="261">
        <v>5914363</v>
      </c>
      <c r="B5758" s="265" t="s">
        <v>17055</v>
      </c>
      <c r="C5758" s="261" t="s">
        <v>18</v>
      </c>
      <c r="D5758" s="266">
        <v>17.600000000000001</v>
      </c>
    </row>
    <row r="5759" spans="1:4" ht="31.5">
      <c r="A5759" s="261">
        <v>5914646</v>
      </c>
      <c r="B5759" s="265" t="s">
        <v>17056</v>
      </c>
      <c r="C5759" s="261" t="s">
        <v>18</v>
      </c>
      <c r="D5759" s="266">
        <v>8.36</v>
      </c>
    </row>
    <row r="5760" spans="1:4" ht="31.5">
      <c r="A5760" s="261">
        <v>5919535</v>
      </c>
      <c r="B5760" s="265" t="s">
        <v>17057</v>
      </c>
      <c r="C5760" s="261" t="s">
        <v>18</v>
      </c>
      <c r="D5760" s="266">
        <v>18.87</v>
      </c>
    </row>
    <row r="5761" spans="1:4" ht="31.5">
      <c r="A5761" s="261">
        <v>5919533</v>
      </c>
      <c r="B5761" s="265" t="s">
        <v>17058</v>
      </c>
      <c r="C5761" s="261" t="s">
        <v>18</v>
      </c>
      <c r="D5761" s="266">
        <v>63.04</v>
      </c>
    </row>
    <row r="5762" spans="1:4" ht="31.5">
      <c r="A5762" s="261">
        <v>5919534</v>
      </c>
      <c r="B5762" s="265" t="s">
        <v>17059</v>
      </c>
      <c r="C5762" s="261" t="s">
        <v>18</v>
      </c>
      <c r="D5762" s="266">
        <v>57.57</v>
      </c>
    </row>
    <row r="5763" spans="1:4">
      <c r="A5763" s="261">
        <v>5909007</v>
      </c>
      <c r="B5763" s="265" t="s">
        <v>17060</v>
      </c>
      <c r="C5763" s="261" t="s">
        <v>18</v>
      </c>
      <c r="D5763" s="266">
        <v>17.43</v>
      </c>
    </row>
    <row r="5764" spans="1:4">
      <c r="A5764" s="261">
        <v>5919538</v>
      </c>
      <c r="B5764" s="265" t="s">
        <v>17061</v>
      </c>
      <c r="C5764" s="261" t="s">
        <v>18</v>
      </c>
      <c r="D5764" s="266">
        <v>14.72</v>
      </c>
    </row>
    <row r="5765" spans="1:4" ht="31.5">
      <c r="A5765" s="261">
        <v>5919540</v>
      </c>
      <c r="B5765" s="265" t="s">
        <v>17062</v>
      </c>
      <c r="C5765" s="261" t="s">
        <v>18</v>
      </c>
      <c r="D5765" s="266">
        <v>3.1</v>
      </c>
    </row>
    <row r="5766" spans="1:4" ht="31.5">
      <c r="A5766" s="261">
        <v>5914705</v>
      </c>
      <c r="B5766" s="265" t="s">
        <v>17063</v>
      </c>
      <c r="C5766" s="261" t="s">
        <v>18</v>
      </c>
      <c r="D5766" s="266">
        <v>21.79</v>
      </c>
    </row>
    <row r="5767" spans="1:4" ht="31.5">
      <c r="A5767" s="261">
        <v>5914706</v>
      </c>
      <c r="B5767" s="265" t="s">
        <v>17064</v>
      </c>
      <c r="C5767" s="261" t="s">
        <v>18</v>
      </c>
      <c r="D5767" s="266">
        <v>20.03</v>
      </c>
    </row>
    <row r="5768" spans="1:4" ht="31.5">
      <c r="A5768" s="261">
        <v>5914707</v>
      </c>
      <c r="B5768" s="265" t="s">
        <v>17065</v>
      </c>
      <c r="C5768" s="261" t="s">
        <v>18</v>
      </c>
      <c r="D5768" s="266">
        <v>19.760000000000002</v>
      </c>
    </row>
    <row r="5769" spans="1:4" ht="31.5">
      <c r="A5769" s="261">
        <v>5914677</v>
      </c>
      <c r="B5769" s="265" t="s">
        <v>17066</v>
      </c>
      <c r="C5769" s="261" t="s">
        <v>18</v>
      </c>
      <c r="D5769" s="266">
        <v>29.87</v>
      </c>
    </row>
    <row r="5770" spans="1:4" ht="31.5">
      <c r="A5770" s="261">
        <v>5914676</v>
      </c>
      <c r="B5770" s="265" t="s">
        <v>17067</v>
      </c>
      <c r="C5770" s="261" t="s">
        <v>18</v>
      </c>
      <c r="D5770" s="266">
        <v>24.8</v>
      </c>
    </row>
    <row r="5771" spans="1:4">
      <c r="A5771" s="261">
        <v>5915440</v>
      </c>
      <c r="B5771" s="265" t="s">
        <v>17068</v>
      </c>
      <c r="C5771" s="261" t="s">
        <v>18</v>
      </c>
      <c r="D5771" s="266">
        <v>2.79</v>
      </c>
    </row>
    <row r="5772" spans="1:4" ht="31.5">
      <c r="A5772" s="261">
        <v>5914352</v>
      </c>
      <c r="B5772" s="265" t="s">
        <v>17069</v>
      </c>
      <c r="C5772" s="261" t="s">
        <v>18</v>
      </c>
      <c r="D5772" s="266">
        <v>4.2</v>
      </c>
    </row>
    <row r="5773" spans="1:4" ht="31.5">
      <c r="A5773" s="261">
        <v>5914339</v>
      </c>
      <c r="B5773" s="265" t="s">
        <v>17070</v>
      </c>
      <c r="C5773" s="261" t="s">
        <v>18</v>
      </c>
      <c r="D5773" s="266">
        <v>8.6300000000000008</v>
      </c>
    </row>
    <row r="5774" spans="1:4" ht="31.5">
      <c r="A5774" s="261">
        <v>5914678</v>
      </c>
      <c r="B5774" s="265" t="s">
        <v>17071</v>
      </c>
      <c r="C5774" s="261" t="s">
        <v>18</v>
      </c>
      <c r="D5774" s="266">
        <v>35.76</v>
      </c>
    </row>
    <row r="5775" spans="1:4" ht="31.5">
      <c r="A5775" s="261">
        <v>5914679</v>
      </c>
      <c r="B5775" s="265" t="s">
        <v>17072</v>
      </c>
      <c r="C5775" s="261" t="s">
        <v>18</v>
      </c>
      <c r="D5775" s="266">
        <v>57.19</v>
      </c>
    </row>
    <row r="5776" spans="1:4" ht="31.5">
      <c r="A5776" s="261">
        <v>5914681</v>
      </c>
      <c r="B5776" s="265" t="s">
        <v>17073</v>
      </c>
      <c r="C5776" s="261" t="s">
        <v>18</v>
      </c>
      <c r="D5776" s="266">
        <v>68.23</v>
      </c>
    </row>
    <row r="5777" spans="1:4" ht="31.5">
      <c r="A5777" s="261">
        <v>5914680</v>
      </c>
      <c r="B5777" s="265" t="s">
        <v>17074</v>
      </c>
      <c r="C5777" s="261" t="s">
        <v>18</v>
      </c>
      <c r="D5777" s="266">
        <v>47.48</v>
      </c>
    </row>
    <row r="5778" spans="1:4">
      <c r="A5778" s="261">
        <v>5915015</v>
      </c>
      <c r="B5778" s="265" t="s">
        <v>17075</v>
      </c>
      <c r="C5778" s="261" t="s">
        <v>18</v>
      </c>
      <c r="D5778" s="266">
        <v>21.99</v>
      </c>
    </row>
    <row r="5779" spans="1:4">
      <c r="A5779" s="261">
        <v>5915373</v>
      </c>
      <c r="B5779" s="265" t="s">
        <v>17076</v>
      </c>
      <c r="C5779" s="261" t="s">
        <v>18</v>
      </c>
      <c r="D5779" s="266">
        <v>18.45</v>
      </c>
    </row>
    <row r="5780" spans="1:4" ht="31.5">
      <c r="A5780" s="261">
        <v>5914333</v>
      </c>
      <c r="B5780" s="265" t="s">
        <v>17077</v>
      </c>
      <c r="C5780" s="261" t="s">
        <v>18</v>
      </c>
      <c r="D5780" s="266">
        <v>33.69</v>
      </c>
    </row>
    <row r="5781" spans="1:4">
      <c r="A5781" s="261">
        <v>5914655</v>
      </c>
      <c r="B5781" s="265" t="s">
        <v>17078</v>
      </c>
      <c r="C5781" s="261" t="s">
        <v>18</v>
      </c>
      <c r="D5781" s="266">
        <v>35.61</v>
      </c>
    </row>
    <row r="5782" spans="1:4">
      <c r="A5782" s="261">
        <v>5915474</v>
      </c>
      <c r="B5782" s="265" t="s">
        <v>17079</v>
      </c>
      <c r="C5782" s="261" t="s">
        <v>18</v>
      </c>
      <c r="D5782" s="266">
        <v>32.28</v>
      </c>
    </row>
    <row r="5783" spans="1:4">
      <c r="A5783" s="261">
        <v>5914654</v>
      </c>
      <c r="B5783" s="265" t="s">
        <v>17080</v>
      </c>
      <c r="C5783" s="261" t="s">
        <v>18</v>
      </c>
      <c r="D5783" s="266">
        <v>29.62</v>
      </c>
    </row>
    <row r="5784" spans="1:4" ht="31.5">
      <c r="A5784" s="261">
        <v>5914686</v>
      </c>
      <c r="B5784" s="265" t="s">
        <v>17081</v>
      </c>
      <c r="C5784" s="261" t="s">
        <v>18</v>
      </c>
      <c r="D5784" s="266">
        <v>25.17</v>
      </c>
    </row>
    <row r="5785" spans="1:4" ht="31.5">
      <c r="A5785" s="261">
        <v>5914685</v>
      </c>
      <c r="B5785" s="265" t="s">
        <v>17082</v>
      </c>
      <c r="C5785" s="261" t="s">
        <v>18</v>
      </c>
      <c r="D5785" s="266">
        <v>25.36</v>
      </c>
    </row>
    <row r="5786" spans="1:4" ht="31.5">
      <c r="A5786" s="261">
        <v>5914682</v>
      </c>
      <c r="B5786" s="265" t="s">
        <v>17083</v>
      </c>
      <c r="C5786" s="261" t="s">
        <v>18</v>
      </c>
      <c r="D5786" s="266">
        <v>32.67</v>
      </c>
    </row>
    <row r="5787" spans="1:4" ht="31.5">
      <c r="A5787" s="261">
        <v>5914683</v>
      </c>
      <c r="B5787" s="265" t="s">
        <v>17084</v>
      </c>
      <c r="C5787" s="261" t="s">
        <v>18</v>
      </c>
      <c r="D5787" s="266">
        <v>37.520000000000003</v>
      </c>
    </row>
    <row r="5788" spans="1:4" ht="31.5">
      <c r="A5788" s="261">
        <v>5914684</v>
      </c>
      <c r="B5788" s="265" t="s">
        <v>17085</v>
      </c>
      <c r="C5788" s="261" t="s">
        <v>18</v>
      </c>
      <c r="D5788" s="266">
        <v>28.31</v>
      </c>
    </row>
    <row r="5789" spans="1:4" ht="31.5">
      <c r="A5789" s="261">
        <v>5914675</v>
      </c>
      <c r="B5789" s="265" t="s">
        <v>17086</v>
      </c>
      <c r="C5789" s="261" t="s">
        <v>18</v>
      </c>
      <c r="D5789" s="266">
        <v>3.05</v>
      </c>
    </row>
    <row r="5790" spans="1:4">
      <c r="A5790" s="261">
        <v>5915433</v>
      </c>
      <c r="B5790" s="265" t="s">
        <v>17087</v>
      </c>
      <c r="C5790" s="261" t="s">
        <v>18</v>
      </c>
      <c r="D5790" s="266">
        <v>37.020000000000003</v>
      </c>
    </row>
    <row r="5791" spans="1:4" ht="31.5">
      <c r="A5791" s="261">
        <v>5914650</v>
      </c>
      <c r="B5791" s="265" t="s">
        <v>17088</v>
      </c>
      <c r="C5791" s="261" t="s">
        <v>18</v>
      </c>
      <c r="D5791" s="266">
        <v>10.75</v>
      </c>
    </row>
    <row r="5792" spans="1:4" ht="31.5">
      <c r="A5792" s="261">
        <v>5914358</v>
      </c>
      <c r="B5792" s="265" t="s">
        <v>17089</v>
      </c>
      <c r="C5792" s="261" t="s">
        <v>18</v>
      </c>
      <c r="D5792" s="266">
        <v>9.07</v>
      </c>
    </row>
    <row r="5793" spans="1:4" ht="31.5">
      <c r="A5793" s="261">
        <v>5915421</v>
      </c>
      <c r="B5793" s="265" t="s">
        <v>17090</v>
      </c>
      <c r="C5793" s="261" t="s">
        <v>18</v>
      </c>
      <c r="D5793" s="266">
        <v>26.07</v>
      </c>
    </row>
    <row r="5794" spans="1:4" ht="31.5">
      <c r="A5794" s="261">
        <v>5914649</v>
      </c>
      <c r="B5794" s="265" t="s">
        <v>17091</v>
      </c>
      <c r="C5794" s="261" t="s">
        <v>18</v>
      </c>
      <c r="D5794" s="266">
        <v>7.46</v>
      </c>
    </row>
    <row r="5795" spans="1:4" ht="31.5">
      <c r="A5795" s="261">
        <v>5914643</v>
      </c>
      <c r="B5795" s="265" t="s">
        <v>17092</v>
      </c>
      <c r="C5795" s="261" t="s">
        <v>18</v>
      </c>
      <c r="D5795" s="266">
        <v>5.47</v>
      </c>
    </row>
    <row r="5796" spans="1:4" ht="31.5">
      <c r="A5796" s="261">
        <v>5914328</v>
      </c>
      <c r="B5796" s="265" t="s">
        <v>17093</v>
      </c>
      <c r="C5796" s="261" t="s">
        <v>18</v>
      </c>
      <c r="D5796" s="266">
        <v>27.84</v>
      </c>
    </row>
    <row r="5797" spans="1:4" ht="31.5">
      <c r="A5797" s="261">
        <v>5914610</v>
      </c>
      <c r="B5797" s="265" t="s">
        <v>17094</v>
      </c>
      <c r="C5797" s="261" t="s">
        <v>18</v>
      </c>
      <c r="D5797" s="266">
        <v>38.04</v>
      </c>
    </row>
    <row r="5798" spans="1:4" ht="31.5">
      <c r="A5798" s="261">
        <v>5915408</v>
      </c>
      <c r="B5798" s="265" t="s">
        <v>17095</v>
      </c>
      <c r="C5798" s="261" t="s">
        <v>18</v>
      </c>
      <c r="D5798" s="266">
        <v>5.65</v>
      </c>
    </row>
    <row r="5799" spans="1:4" ht="31.5">
      <c r="A5799" s="261">
        <v>5915306</v>
      </c>
      <c r="B5799" s="265" t="s">
        <v>17096</v>
      </c>
      <c r="C5799" s="261" t="s">
        <v>97</v>
      </c>
      <c r="D5799" s="266">
        <v>35.020000000000003</v>
      </c>
    </row>
    <row r="5800" spans="1:4" ht="31.5">
      <c r="A5800" s="261">
        <v>5914708</v>
      </c>
      <c r="B5800" s="265" t="s">
        <v>17097</v>
      </c>
      <c r="C5800" s="261" t="s">
        <v>18</v>
      </c>
      <c r="D5800" s="266">
        <v>40.840000000000003</v>
      </c>
    </row>
    <row r="5801" spans="1:4" ht="31.5">
      <c r="A5801" s="261">
        <v>5914687</v>
      </c>
      <c r="B5801" s="265" t="s">
        <v>17098</v>
      </c>
      <c r="C5801" s="261" t="s">
        <v>18</v>
      </c>
      <c r="D5801" s="266">
        <v>40.29</v>
      </c>
    </row>
    <row r="5802" spans="1:4" ht="31.5">
      <c r="A5802" s="261">
        <v>5914709</v>
      </c>
      <c r="B5802" s="265" t="s">
        <v>17099</v>
      </c>
      <c r="C5802" s="261" t="s">
        <v>18</v>
      </c>
      <c r="D5802" s="266">
        <v>44.57</v>
      </c>
    </row>
    <row r="5803" spans="1:4" ht="31.5">
      <c r="A5803" s="261">
        <v>5914688</v>
      </c>
      <c r="B5803" s="265" t="s">
        <v>17100</v>
      </c>
      <c r="C5803" s="261" t="s">
        <v>18</v>
      </c>
      <c r="D5803" s="266">
        <v>43.07</v>
      </c>
    </row>
    <row r="5804" spans="1:4" ht="31.5">
      <c r="A5804" s="261">
        <v>5914695</v>
      </c>
      <c r="B5804" s="265" t="s">
        <v>17101</v>
      </c>
      <c r="C5804" s="261" t="s">
        <v>18</v>
      </c>
      <c r="D5804" s="266">
        <v>32.049999999999997</v>
      </c>
    </row>
    <row r="5805" spans="1:4" ht="31.5">
      <c r="A5805" s="261">
        <v>5914689</v>
      </c>
      <c r="B5805" s="265" t="s">
        <v>17102</v>
      </c>
      <c r="C5805" s="261" t="s">
        <v>18</v>
      </c>
      <c r="D5805" s="266">
        <v>31.61</v>
      </c>
    </row>
    <row r="5806" spans="1:4" ht="31.5">
      <c r="A5806" s="261">
        <v>5914696</v>
      </c>
      <c r="B5806" s="265" t="s">
        <v>17103</v>
      </c>
      <c r="C5806" s="261" t="s">
        <v>18</v>
      </c>
      <c r="D5806" s="266">
        <v>34.97</v>
      </c>
    </row>
    <row r="5807" spans="1:4" ht="31.5">
      <c r="A5807" s="261">
        <v>5914690</v>
      </c>
      <c r="B5807" s="265" t="s">
        <v>17104</v>
      </c>
      <c r="C5807" s="261" t="s">
        <v>18</v>
      </c>
      <c r="D5807" s="266">
        <v>33.79</v>
      </c>
    </row>
    <row r="5808" spans="1:4" ht="31.5">
      <c r="A5808" s="261">
        <v>5914697</v>
      </c>
      <c r="B5808" s="265" t="s">
        <v>17105</v>
      </c>
      <c r="C5808" s="261" t="s">
        <v>18</v>
      </c>
      <c r="D5808" s="266">
        <v>27.05</v>
      </c>
    </row>
    <row r="5809" spans="1:4" ht="31.5">
      <c r="A5809" s="261">
        <v>5914691</v>
      </c>
      <c r="B5809" s="265" t="s">
        <v>17106</v>
      </c>
      <c r="C5809" s="261" t="s">
        <v>18</v>
      </c>
      <c r="D5809" s="266">
        <v>26.69</v>
      </c>
    </row>
    <row r="5810" spans="1:4" ht="31.5">
      <c r="A5810" s="261">
        <v>5914698</v>
      </c>
      <c r="B5810" s="265" t="s">
        <v>17107</v>
      </c>
      <c r="C5810" s="261" t="s">
        <v>18</v>
      </c>
      <c r="D5810" s="266">
        <v>29.52</v>
      </c>
    </row>
    <row r="5811" spans="1:4" ht="31.5">
      <c r="A5811" s="261">
        <v>5914692</v>
      </c>
      <c r="B5811" s="265" t="s">
        <v>17108</v>
      </c>
      <c r="C5811" s="261" t="s">
        <v>18</v>
      </c>
      <c r="D5811" s="266">
        <v>28.53</v>
      </c>
    </row>
    <row r="5812" spans="1:4" ht="31.5">
      <c r="A5812" s="261">
        <v>5914699</v>
      </c>
      <c r="B5812" s="265" t="s">
        <v>17109</v>
      </c>
      <c r="C5812" s="261" t="s">
        <v>18</v>
      </c>
      <c r="D5812" s="266">
        <v>30.29</v>
      </c>
    </row>
    <row r="5813" spans="1:4" ht="31.5">
      <c r="A5813" s="261">
        <v>5914693</v>
      </c>
      <c r="B5813" s="265" t="s">
        <v>17110</v>
      </c>
      <c r="C5813" s="261" t="s">
        <v>18</v>
      </c>
      <c r="D5813" s="266">
        <v>29.88</v>
      </c>
    </row>
    <row r="5814" spans="1:4" ht="31.5">
      <c r="A5814" s="261">
        <v>5914700</v>
      </c>
      <c r="B5814" s="265" t="s">
        <v>17111</v>
      </c>
      <c r="C5814" s="261" t="s">
        <v>18</v>
      </c>
      <c r="D5814" s="266">
        <v>33.049999999999997</v>
      </c>
    </row>
    <row r="5815" spans="1:4" ht="31.5">
      <c r="A5815" s="261">
        <v>5914694</v>
      </c>
      <c r="B5815" s="265" t="s">
        <v>17112</v>
      </c>
      <c r="C5815" s="261" t="s">
        <v>18</v>
      </c>
      <c r="D5815" s="266">
        <v>31.94</v>
      </c>
    </row>
    <row r="5816" spans="1:4" ht="31.5">
      <c r="A5816" s="261">
        <v>5915441</v>
      </c>
      <c r="B5816" s="265" t="s">
        <v>17113</v>
      </c>
      <c r="C5816" s="261" t="s">
        <v>18</v>
      </c>
      <c r="D5816" s="266">
        <v>101.97</v>
      </c>
    </row>
    <row r="5817" spans="1:4">
      <c r="A5817" s="261">
        <v>5901639</v>
      </c>
      <c r="B5817" s="265" t="s">
        <v>17114</v>
      </c>
      <c r="C5817" s="261" t="s">
        <v>17115</v>
      </c>
      <c r="D5817" s="266">
        <v>0.85</v>
      </c>
    </row>
    <row r="5818" spans="1:4">
      <c r="A5818" s="261">
        <v>5901638</v>
      </c>
      <c r="B5818" s="265" t="s">
        <v>17116</v>
      </c>
      <c r="C5818" s="261" t="s">
        <v>17115</v>
      </c>
      <c r="D5818" s="266">
        <v>0.68</v>
      </c>
    </row>
    <row r="5819" spans="1:4">
      <c r="A5819" s="261">
        <v>5901640</v>
      </c>
      <c r="B5819" s="265" t="s">
        <v>17117</v>
      </c>
      <c r="C5819" s="261" t="s">
        <v>17115</v>
      </c>
      <c r="D5819" s="266">
        <v>0.55000000000000004</v>
      </c>
    </row>
    <row r="5820" spans="1:4">
      <c r="A5820" s="261">
        <v>5914359</v>
      </c>
      <c r="B5820" s="265" t="s">
        <v>17118</v>
      </c>
      <c r="C5820" s="261" t="s">
        <v>17115</v>
      </c>
      <c r="D5820" s="266">
        <v>1.18</v>
      </c>
    </row>
    <row r="5821" spans="1:4">
      <c r="A5821" s="261">
        <v>5914374</v>
      </c>
      <c r="B5821" s="265" t="s">
        <v>17119</v>
      </c>
      <c r="C5821" s="261" t="s">
        <v>17115</v>
      </c>
      <c r="D5821" s="266">
        <v>0.95</v>
      </c>
    </row>
    <row r="5822" spans="1:4">
      <c r="A5822" s="261">
        <v>5914389</v>
      </c>
      <c r="B5822" s="265" t="s">
        <v>17120</v>
      </c>
      <c r="C5822" s="261" t="s">
        <v>17115</v>
      </c>
      <c r="D5822" s="266">
        <v>0.76</v>
      </c>
    </row>
    <row r="5823" spans="1:4">
      <c r="A5823" s="261">
        <v>5915319</v>
      </c>
      <c r="B5823" s="265" t="s">
        <v>17121</v>
      </c>
      <c r="C5823" s="261" t="s">
        <v>17115</v>
      </c>
      <c r="D5823" s="266">
        <v>0.85</v>
      </c>
    </row>
    <row r="5824" spans="1:4">
      <c r="A5824" s="261">
        <v>5915320</v>
      </c>
      <c r="B5824" s="265" t="s">
        <v>17122</v>
      </c>
      <c r="C5824" s="261" t="s">
        <v>17115</v>
      </c>
      <c r="D5824" s="266">
        <v>0.68</v>
      </c>
    </row>
    <row r="5825" spans="1:4">
      <c r="A5825" s="261">
        <v>5915321</v>
      </c>
      <c r="B5825" s="265" t="s">
        <v>17123</v>
      </c>
      <c r="C5825" s="261" t="s">
        <v>17115</v>
      </c>
      <c r="D5825" s="266">
        <v>0.55000000000000004</v>
      </c>
    </row>
    <row r="5826" spans="1:4">
      <c r="A5826" s="261">
        <v>5914314</v>
      </c>
      <c r="B5826" s="265" t="s">
        <v>17124</v>
      </c>
      <c r="C5826" s="261" t="s">
        <v>17115</v>
      </c>
      <c r="D5826" s="266">
        <v>1.3</v>
      </c>
    </row>
    <row r="5827" spans="1:4">
      <c r="A5827" s="261">
        <v>5914329</v>
      </c>
      <c r="B5827" s="265" t="s">
        <v>17125</v>
      </c>
      <c r="C5827" s="261" t="s">
        <v>17115</v>
      </c>
      <c r="D5827" s="266">
        <v>1.04</v>
      </c>
    </row>
    <row r="5828" spans="1:4">
      <c r="A5828" s="261">
        <v>5914344</v>
      </c>
      <c r="B5828" s="265" t="s">
        <v>17126</v>
      </c>
      <c r="C5828" s="261" t="s">
        <v>17115</v>
      </c>
      <c r="D5828" s="266">
        <v>0.84</v>
      </c>
    </row>
    <row r="5829" spans="1:4">
      <c r="A5829" s="261">
        <v>5914539</v>
      </c>
      <c r="B5829" s="265" t="s">
        <v>17127</v>
      </c>
      <c r="C5829" s="261" t="s">
        <v>17115</v>
      </c>
      <c r="D5829" s="266">
        <v>0.98</v>
      </c>
    </row>
    <row r="5830" spans="1:4">
      <c r="A5830" s="261">
        <v>5914554</v>
      </c>
      <c r="B5830" s="265" t="s">
        <v>17128</v>
      </c>
      <c r="C5830" s="261" t="s">
        <v>17115</v>
      </c>
      <c r="D5830" s="266">
        <v>0.78</v>
      </c>
    </row>
    <row r="5831" spans="1:4">
      <c r="A5831" s="261">
        <v>5914569</v>
      </c>
      <c r="B5831" s="265" t="s">
        <v>17129</v>
      </c>
      <c r="C5831" s="261" t="s">
        <v>17115</v>
      </c>
      <c r="D5831" s="266">
        <v>0.63</v>
      </c>
    </row>
    <row r="5832" spans="1:4">
      <c r="A5832" s="261">
        <v>5915012</v>
      </c>
      <c r="B5832" s="265" t="s">
        <v>17130</v>
      </c>
      <c r="C5832" s="261" t="s">
        <v>17115</v>
      </c>
      <c r="D5832" s="266">
        <v>2.21</v>
      </c>
    </row>
    <row r="5833" spans="1:4">
      <c r="A5833" s="261">
        <v>5915013</v>
      </c>
      <c r="B5833" s="265" t="s">
        <v>17131</v>
      </c>
      <c r="C5833" s="261" t="s">
        <v>17115</v>
      </c>
      <c r="D5833" s="266">
        <v>1.77</v>
      </c>
    </row>
    <row r="5834" spans="1:4">
      <c r="A5834" s="261">
        <v>5915014</v>
      </c>
      <c r="B5834" s="265" t="s">
        <v>17132</v>
      </c>
      <c r="C5834" s="261" t="s">
        <v>17115</v>
      </c>
      <c r="D5834" s="266">
        <v>1.43</v>
      </c>
    </row>
    <row r="5835" spans="1:4">
      <c r="A5835" s="261">
        <v>5914584</v>
      </c>
      <c r="B5835" s="265" t="s">
        <v>17133</v>
      </c>
      <c r="C5835" s="261" t="s">
        <v>17115</v>
      </c>
      <c r="D5835" s="266">
        <v>2.72</v>
      </c>
    </row>
    <row r="5836" spans="1:4">
      <c r="A5836" s="261">
        <v>5914599</v>
      </c>
      <c r="B5836" s="265" t="s">
        <v>17134</v>
      </c>
      <c r="C5836" s="261" t="s">
        <v>17115</v>
      </c>
      <c r="D5836" s="266">
        <v>2.1800000000000002</v>
      </c>
    </row>
    <row r="5837" spans="1:4">
      <c r="A5837" s="261">
        <v>5914614</v>
      </c>
      <c r="B5837" s="265" t="s">
        <v>17135</v>
      </c>
      <c r="C5837" s="261" t="s">
        <v>17115</v>
      </c>
      <c r="D5837" s="266">
        <v>1.76</v>
      </c>
    </row>
    <row r="5838" spans="1:4">
      <c r="A5838" s="261">
        <v>5914581</v>
      </c>
      <c r="B5838" s="265" t="s">
        <v>17136</v>
      </c>
      <c r="C5838" s="261" t="s">
        <v>17115</v>
      </c>
      <c r="D5838" s="266">
        <v>2.4900000000000002</v>
      </c>
    </row>
    <row r="5839" spans="1:4">
      <c r="A5839" s="261">
        <v>5914582</v>
      </c>
      <c r="B5839" s="265" t="s">
        <v>17137</v>
      </c>
      <c r="C5839" s="261" t="s">
        <v>17115</v>
      </c>
      <c r="D5839" s="266">
        <v>1.99</v>
      </c>
    </row>
    <row r="5840" spans="1:4">
      <c r="A5840" s="261">
        <v>5914583</v>
      </c>
      <c r="B5840" s="265" t="s">
        <v>17138</v>
      </c>
      <c r="C5840" s="261" t="s">
        <v>17115</v>
      </c>
      <c r="D5840" s="266">
        <v>1.61</v>
      </c>
    </row>
    <row r="5841" spans="1:4">
      <c r="A5841" s="261">
        <v>5914449</v>
      </c>
      <c r="B5841" s="265" t="s">
        <v>17139</v>
      </c>
      <c r="C5841" s="261" t="s">
        <v>17115</v>
      </c>
      <c r="D5841" s="266">
        <v>1.1100000000000001</v>
      </c>
    </row>
    <row r="5842" spans="1:4">
      <c r="A5842" s="261">
        <v>5914464</v>
      </c>
      <c r="B5842" s="265" t="s">
        <v>17140</v>
      </c>
      <c r="C5842" s="261" t="s">
        <v>17115</v>
      </c>
      <c r="D5842" s="266">
        <v>0.89</v>
      </c>
    </row>
    <row r="5843" spans="1:4">
      <c r="A5843" s="261">
        <v>5914479</v>
      </c>
      <c r="B5843" s="265" t="s">
        <v>17141</v>
      </c>
      <c r="C5843" s="261" t="s">
        <v>17115</v>
      </c>
      <c r="D5843" s="266">
        <v>0.72</v>
      </c>
    </row>
    <row r="5844" spans="1:4">
      <c r="A5844" s="261">
        <v>5915322</v>
      </c>
      <c r="B5844" s="265" t="s">
        <v>17142</v>
      </c>
      <c r="C5844" s="261" t="s">
        <v>17115</v>
      </c>
      <c r="D5844" s="266">
        <v>1.83</v>
      </c>
    </row>
    <row r="5845" spans="1:4">
      <c r="A5845" s="261">
        <v>5915323</v>
      </c>
      <c r="B5845" s="265" t="s">
        <v>17143</v>
      </c>
      <c r="C5845" s="261" t="s">
        <v>17115</v>
      </c>
      <c r="D5845" s="266">
        <v>1.47</v>
      </c>
    </row>
    <row r="5846" spans="1:4">
      <c r="A5846" s="261">
        <v>5915324</v>
      </c>
      <c r="B5846" s="265" t="s">
        <v>17144</v>
      </c>
      <c r="C5846" s="261" t="s">
        <v>17115</v>
      </c>
      <c r="D5846" s="266">
        <v>1.18</v>
      </c>
    </row>
    <row r="5847" spans="1:4">
      <c r="A5847" s="261">
        <v>5914404</v>
      </c>
      <c r="B5847" s="265" t="s">
        <v>17145</v>
      </c>
      <c r="C5847" s="261" t="s">
        <v>17115</v>
      </c>
      <c r="D5847" s="266">
        <v>1.17</v>
      </c>
    </row>
    <row r="5848" spans="1:4">
      <c r="A5848" s="261">
        <v>5914419</v>
      </c>
      <c r="B5848" s="265" t="s">
        <v>17146</v>
      </c>
      <c r="C5848" s="261" t="s">
        <v>17115</v>
      </c>
      <c r="D5848" s="266">
        <v>0.94</v>
      </c>
    </row>
    <row r="5849" spans="1:4">
      <c r="A5849" s="261">
        <v>5914434</v>
      </c>
      <c r="B5849" s="265" t="s">
        <v>17147</v>
      </c>
      <c r="C5849" s="261" t="s">
        <v>17115</v>
      </c>
      <c r="D5849" s="266">
        <v>0.76</v>
      </c>
    </row>
    <row r="5850" spans="1:4">
      <c r="A5850" s="261">
        <v>5914635</v>
      </c>
      <c r="B5850" s="265" t="s">
        <v>17148</v>
      </c>
      <c r="C5850" s="261" t="s">
        <v>17115</v>
      </c>
      <c r="D5850" s="266">
        <v>1.08</v>
      </c>
    </row>
    <row r="5851" spans="1:4">
      <c r="A5851" s="261">
        <v>5914636</v>
      </c>
      <c r="B5851" s="265" t="s">
        <v>17149</v>
      </c>
      <c r="C5851" s="261" t="s">
        <v>17115</v>
      </c>
      <c r="D5851" s="266">
        <v>0.86</v>
      </c>
    </row>
    <row r="5852" spans="1:4">
      <c r="A5852" s="261">
        <v>5914637</v>
      </c>
      <c r="B5852" s="265" t="s">
        <v>17150</v>
      </c>
      <c r="C5852" s="261" t="s">
        <v>17115</v>
      </c>
      <c r="D5852" s="266">
        <v>0.7</v>
      </c>
    </row>
    <row r="5853" spans="1:4">
      <c r="A5853" s="261">
        <v>5914638</v>
      </c>
      <c r="B5853" s="265" t="s">
        <v>17151</v>
      </c>
      <c r="C5853" s="261" t="s">
        <v>17115</v>
      </c>
      <c r="D5853" s="266">
        <v>0.87</v>
      </c>
    </row>
    <row r="5854" spans="1:4">
      <c r="A5854" s="261">
        <v>5914639</v>
      </c>
      <c r="B5854" s="265" t="s">
        <v>17152</v>
      </c>
      <c r="C5854" s="261" t="s">
        <v>17115</v>
      </c>
      <c r="D5854" s="266">
        <v>0.7</v>
      </c>
    </row>
    <row r="5855" spans="1:4">
      <c r="A5855" s="261">
        <v>5914640</v>
      </c>
      <c r="B5855" s="265" t="s">
        <v>17153</v>
      </c>
      <c r="C5855" s="261" t="s">
        <v>17115</v>
      </c>
      <c r="D5855" s="266">
        <v>0.56000000000000005</v>
      </c>
    </row>
    <row r="5856" spans="1:4">
      <c r="A5856" s="261">
        <v>5915466</v>
      </c>
      <c r="B5856" s="265" t="s">
        <v>17154</v>
      </c>
      <c r="C5856" s="261" t="s">
        <v>17115</v>
      </c>
      <c r="D5856" s="266">
        <v>2.0499999999999998</v>
      </c>
    </row>
    <row r="5857" spans="1:4">
      <c r="A5857" s="261">
        <v>5915467</v>
      </c>
      <c r="B5857" s="265" t="s">
        <v>17155</v>
      </c>
      <c r="C5857" s="261" t="s">
        <v>17115</v>
      </c>
      <c r="D5857" s="266">
        <v>1.64</v>
      </c>
    </row>
    <row r="5858" spans="1:4">
      <c r="A5858" s="261">
        <v>5915468</v>
      </c>
      <c r="B5858" s="265" t="s">
        <v>17156</v>
      </c>
      <c r="C5858" s="261" t="s">
        <v>17115</v>
      </c>
      <c r="D5858" s="266">
        <v>1.33</v>
      </c>
    </row>
    <row r="5859" spans="1:4">
      <c r="A5859" s="261">
        <v>5914617</v>
      </c>
      <c r="B5859" s="265" t="s">
        <v>17157</v>
      </c>
      <c r="C5859" s="261" t="s">
        <v>17115</v>
      </c>
      <c r="D5859" s="266">
        <v>1.59</v>
      </c>
    </row>
    <row r="5860" spans="1:4">
      <c r="A5860" s="261">
        <v>5914618</v>
      </c>
      <c r="B5860" s="265" t="s">
        <v>17158</v>
      </c>
      <c r="C5860" s="261" t="s">
        <v>17115</v>
      </c>
      <c r="D5860" s="266">
        <v>1.27</v>
      </c>
    </row>
    <row r="5861" spans="1:4">
      <c r="A5861" s="261">
        <v>5914619</v>
      </c>
      <c r="B5861" s="265" t="s">
        <v>17159</v>
      </c>
      <c r="C5861" s="261" t="s">
        <v>17115</v>
      </c>
      <c r="D5861" s="266">
        <v>1.03</v>
      </c>
    </row>
    <row r="5862" spans="1:4">
      <c r="A5862" s="261">
        <v>5915451</v>
      </c>
      <c r="B5862" s="265" t="s">
        <v>17160</v>
      </c>
      <c r="C5862" s="261" t="s">
        <v>17115</v>
      </c>
      <c r="D5862" s="266">
        <v>2.64</v>
      </c>
    </row>
    <row r="5863" spans="1:4">
      <c r="A5863" s="261">
        <v>5915452</v>
      </c>
      <c r="B5863" s="265" t="s">
        <v>17161</v>
      </c>
      <c r="C5863" s="261" t="s">
        <v>17115</v>
      </c>
      <c r="D5863" s="266">
        <v>2.11</v>
      </c>
    </row>
    <row r="5864" spans="1:4">
      <c r="A5864" s="261">
        <v>5915453</v>
      </c>
      <c r="B5864" s="265" t="s">
        <v>17162</v>
      </c>
      <c r="C5864" s="261" t="s">
        <v>17115</v>
      </c>
      <c r="D5864" s="266">
        <v>1.7</v>
      </c>
    </row>
    <row r="5865" spans="1:4">
      <c r="A5865" s="261">
        <v>5915448</v>
      </c>
      <c r="B5865" s="265" t="s">
        <v>17163</v>
      </c>
      <c r="C5865" s="261" t="s">
        <v>17115</v>
      </c>
      <c r="D5865" s="266">
        <v>2.02</v>
      </c>
    </row>
    <row r="5866" spans="1:4">
      <c r="A5866" s="261">
        <v>5915449</v>
      </c>
      <c r="B5866" s="265" t="s">
        <v>17164</v>
      </c>
      <c r="C5866" s="261" t="s">
        <v>17115</v>
      </c>
      <c r="D5866" s="266">
        <v>1.62</v>
      </c>
    </row>
    <row r="5867" spans="1:4">
      <c r="A5867" s="261">
        <v>5915450</v>
      </c>
      <c r="B5867" s="265" t="s">
        <v>17165</v>
      </c>
      <c r="C5867" s="261" t="s">
        <v>17115</v>
      </c>
      <c r="D5867" s="266">
        <v>1.31</v>
      </c>
    </row>
    <row r="5868" spans="1:4">
      <c r="A5868" s="261">
        <v>5901641</v>
      </c>
      <c r="B5868" s="265" t="s">
        <v>17166</v>
      </c>
      <c r="C5868" s="261" t="s">
        <v>17167</v>
      </c>
      <c r="D5868" s="266">
        <v>0.92</v>
      </c>
    </row>
    <row r="5869" spans="1:4">
      <c r="A5869" s="261">
        <v>5901642</v>
      </c>
      <c r="B5869" s="265" t="s">
        <v>17168</v>
      </c>
      <c r="C5869" s="261" t="s">
        <v>17167</v>
      </c>
      <c r="D5869" s="266">
        <v>0.27</v>
      </c>
    </row>
    <row r="5870" spans="1:4">
      <c r="A5870" s="261">
        <v>5901643</v>
      </c>
      <c r="B5870" s="265" t="s">
        <v>17169</v>
      </c>
      <c r="C5870" s="261" t="s">
        <v>17167</v>
      </c>
      <c r="D5870" s="266">
        <v>0.26</v>
      </c>
    </row>
    <row r="5871" spans="1:4">
      <c r="A5871" s="261">
        <v>5901644</v>
      </c>
      <c r="B5871" s="265" t="s">
        <v>17170</v>
      </c>
      <c r="C5871" s="261" t="s">
        <v>17167</v>
      </c>
      <c r="D5871" s="266">
        <v>0.56999999999999995</v>
      </c>
    </row>
    <row r="5872" spans="1:4">
      <c r="A5872" s="261">
        <v>5901645</v>
      </c>
      <c r="B5872" s="265" t="s">
        <v>17171</v>
      </c>
      <c r="C5872" s="261" t="s">
        <v>17167</v>
      </c>
      <c r="D5872" s="266">
        <v>0.25</v>
      </c>
    </row>
    <row r="5873" spans="1:4">
      <c r="A5873" s="261">
        <v>5901646</v>
      </c>
      <c r="B5873" s="265" t="s">
        <v>17172</v>
      </c>
      <c r="C5873" s="261" t="s">
        <v>17167</v>
      </c>
      <c r="D5873" s="266">
        <v>0.47</v>
      </c>
    </row>
    <row r="5874" spans="1:4">
      <c r="A5874" s="261">
        <v>5901647</v>
      </c>
      <c r="B5874" s="265" t="s">
        <v>17173</v>
      </c>
      <c r="C5874" s="261" t="s">
        <v>17167</v>
      </c>
      <c r="D5874" s="266">
        <v>0.41</v>
      </c>
    </row>
    <row r="5875" spans="1:4">
      <c r="A5875" s="261">
        <v>5901648</v>
      </c>
      <c r="B5875" s="265" t="s">
        <v>17174</v>
      </c>
      <c r="C5875" s="261" t="s">
        <v>17167</v>
      </c>
      <c r="D5875" s="266">
        <v>0.37</v>
      </c>
    </row>
    <row r="5876" spans="1:4">
      <c r="A5876" s="261">
        <v>5901649</v>
      </c>
      <c r="B5876" s="265" t="s">
        <v>17175</v>
      </c>
      <c r="C5876" s="261" t="s">
        <v>17167</v>
      </c>
      <c r="D5876" s="266">
        <v>1.31</v>
      </c>
    </row>
    <row r="5877" spans="1:4">
      <c r="A5877" s="261">
        <v>5901650</v>
      </c>
      <c r="B5877" s="265" t="s">
        <v>17176</v>
      </c>
      <c r="C5877" s="261" t="s">
        <v>17167</v>
      </c>
      <c r="D5877" s="266">
        <v>0.89</v>
      </c>
    </row>
    <row r="5878" spans="1:4">
      <c r="A5878" s="261">
        <v>5901651</v>
      </c>
      <c r="B5878" s="265" t="s">
        <v>17177</v>
      </c>
      <c r="C5878" s="261" t="s">
        <v>17167</v>
      </c>
      <c r="D5878" s="266">
        <v>0.27</v>
      </c>
    </row>
    <row r="5879" spans="1:4">
      <c r="A5879" s="261">
        <v>5901652</v>
      </c>
      <c r="B5879" s="265" t="s">
        <v>17178</v>
      </c>
      <c r="C5879" s="261" t="s">
        <v>17167</v>
      </c>
      <c r="D5879" s="266">
        <v>0.25</v>
      </c>
    </row>
    <row r="5880" spans="1:4">
      <c r="A5880" s="261">
        <v>5901653</v>
      </c>
      <c r="B5880" s="265" t="s">
        <v>17179</v>
      </c>
      <c r="C5880" s="261" t="s">
        <v>17167</v>
      </c>
      <c r="D5880" s="266">
        <v>0.56000000000000005</v>
      </c>
    </row>
    <row r="5881" spans="1:4">
      <c r="A5881" s="261">
        <v>5901654</v>
      </c>
      <c r="B5881" s="265" t="s">
        <v>17180</v>
      </c>
      <c r="C5881" s="261" t="s">
        <v>17167</v>
      </c>
      <c r="D5881" s="266">
        <v>0.25</v>
      </c>
    </row>
    <row r="5882" spans="1:4">
      <c r="A5882" s="261">
        <v>5901655</v>
      </c>
      <c r="B5882" s="265" t="s">
        <v>17181</v>
      </c>
      <c r="C5882" s="261" t="s">
        <v>17167</v>
      </c>
      <c r="D5882" s="266">
        <v>0.46</v>
      </c>
    </row>
    <row r="5883" spans="1:4">
      <c r="A5883" s="261">
        <v>5901656</v>
      </c>
      <c r="B5883" s="265" t="s">
        <v>17182</v>
      </c>
      <c r="C5883" s="261" t="s">
        <v>17167</v>
      </c>
      <c r="D5883" s="266">
        <v>0.4</v>
      </c>
    </row>
    <row r="5884" spans="1:4">
      <c r="A5884" s="261">
        <v>5901657</v>
      </c>
      <c r="B5884" s="265" t="s">
        <v>17183</v>
      </c>
      <c r="C5884" s="261" t="s">
        <v>17167</v>
      </c>
      <c r="D5884" s="266">
        <v>0.36</v>
      </c>
    </row>
    <row r="5885" spans="1:4">
      <c r="A5885" s="261">
        <v>5901658</v>
      </c>
      <c r="B5885" s="265" t="s">
        <v>17184</v>
      </c>
      <c r="C5885" s="261" t="s">
        <v>17167</v>
      </c>
      <c r="D5885" s="266">
        <v>1.27</v>
      </c>
    </row>
    <row r="5886" spans="1:4">
      <c r="A5886" s="261">
        <v>5901659</v>
      </c>
      <c r="B5886" s="265" t="s">
        <v>17185</v>
      </c>
      <c r="C5886" s="261" t="s">
        <v>17167</v>
      </c>
      <c r="D5886" s="266">
        <v>0.9</v>
      </c>
    </row>
    <row r="5887" spans="1:4">
      <c r="A5887" s="261">
        <v>5901660</v>
      </c>
      <c r="B5887" s="265" t="s">
        <v>17186</v>
      </c>
      <c r="C5887" s="261" t="s">
        <v>17167</v>
      </c>
      <c r="D5887" s="266">
        <v>0.27</v>
      </c>
    </row>
    <row r="5888" spans="1:4">
      <c r="A5888" s="261">
        <v>5901661</v>
      </c>
      <c r="B5888" s="265" t="s">
        <v>17187</v>
      </c>
      <c r="C5888" s="261" t="s">
        <v>17167</v>
      </c>
      <c r="D5888" s="266">
        <v>0.26</v>
      </c>
    </row>
    <row r="5889" spans="1:4">
      <c r="A5889" s="261">
        <v>5901662</v>
      </c>
      <c r="B5889" s="265" t="s">
        <v>17188</v>
      </c>
      <c r="C5889" s="261" t="s">
        <v>17167</v>
      </c>
      <c r="D5889" s="266">
        <v>0.56999999999999995</v>
      </c>
    </row>
    <row r="5890" spans="1:4">
      <c r="A5890" s="261">
        <v>5901663</v>
      </c>
      <c r="B5890" s="265" t="s">
        <v>17189</v>
      </c>
      <c r="C5890" s="261" t="s">
        <v>17167</v>
      </c>
      <c r="D5890" s="266">
        <v>0.25</v>
      </c>
    </row>
    <row r="5891" spans="1:4">
      <c r="A5891" s="261">
        <v>5901664</v>
      </c>
      <c r="B5891" s="265" t="s">
        <v>17190</v>
      </c>
      <c r="C5891" s="261" t="s">
        <v>17167</v>
      </c>
      <c r="D5891" s="266">
        <v>0.46</v>
      </c>
    </row>
    <row r="5892" spans="1:4">
      <c r="A5892" s="261">
        <v>5901665</v>
      </c>
      <c r="B5892" s="265" t="s">
        <v>17191</v>
      </c>
      <c r="C5892" s="261" t="s">
        <v>17167</v>
      </c>
      <c r="D5892" s="266">
        <v>0.41</v>
      </c>
    </row>
    <row r="5893" spans="1:4">
      <c r="A5893" s="261">
        <v>5901666</v>
      </c>
      <c r="B5893" s="265" t="s">
        <v>17192</v>
      </c>
      <c r="C5893" s="261" t="s">
        <v>17167</v>
      </c>
      <c r="D5893" s="266">
        <v>0.36</v>
      </c>
    </row>
    <row r="5894" spans="1:4">
      <c r="A5894" s="261">
        <v>5901667</v>
      </c>
      <c r="B5894" s="265" t="s">
        <v>17193</v>
      </c>
      <c r="C5894" s="261" t="s">
        <v>17167</v>
      </c>
      <c r="D5894" s="266">
        <v>1.29</v>
      </c>
    </row>
    <row r="5895" spans="1:4" ht="31.5">
      <c r="A5895" s="261">
        <v>5914511</v>
      </c>
      <c r="B5895" s="265" t="s">
        <v>17194</v>
      </c>
      <c r="C5895" s="261" t="s">
        <v>17115</v>
      </c>
      <c r="D5895" s="266">
        <v>0.27</v>
      </c>
    </row>
    <row r="5896" spans="1:4">
      <c r="A5896" s="261">
        <v>5914510</v>
      </c>
      <c r="B5896" s="265" t="s">
        <v>17195</v>
      </c>
      <c r="C5896" s="261" t="s">
        <v>17115</v>
      </c>
      <c r="D5896" s="266">
        <v>0.24</v>
      </c>
    </row>
    <row r="5897" spans="1:4" ht="31.5">
      <c r="A5897" s="261">
        <v>5906597</v>
      </c>
      <c r="B5897" s="265" t="s">
        <v>17196</v>
      </c>
      <c r="C5897" s="261" t="s">
        <v>17197</v>
      </c>
      <c r="D5897" s="266">
        <v>12.82</v>
      </c>
    </row>
    <row r="5898" spans="1:4" ht="31.5">
      <c r="A5898" s="261">
        <v>5906598</v>
      </c>
      <c r="B5898" s="265" t="s">
        <v>17198</v>
      </c>
      <c r="C5898" s="261" t="s">
        <v>17197</v>
      </c>
      <c r="D5898" s="266">
        <v>10.25</v>
      </c>
    </row>
    <row r="5899" spans="1:4" ht="31.5">
      <c r="A5899" s="261">
        <v>5906599</v>
      </c>
      <c r="B5899" s="265" t="s">
        <v>17199</v>
      </c>
      <c r="C5899" s="261" t="s">
        <v>17197</v>
      </c>
      <c r="D5899" s="266">
        <v>8.2899999999999991</v>
      </c>
    </row>
    <row r="5900" spans="1:4" ht="31.5">
      <c r="A5900" s="261">
        <v>5906594</v>
      </c>
      <c r="B5900" s="265" t="s">
        <v>17200</v>
      </c>
      <c r="C5900" s="261" t="s">
        <v>17197</v>
      </c>
      <c r="D5900" s="266">
        <v>8.5500000000000007</v>
      </c>
    </row>
    <row r="5901" spans="1:4" ht="31.5">
      <c r="A5901" s="261">
        <v>5906595</v>
      </c>
      <c r="B5901" s="265" t="s">
        <v>17201</v>
      </c>
      <c r="C5901" s="261" t="s">
        <v>17197</v>
      </c>
      <c r="D5901" s="266">
        <v>6.84</v>
      </c>
    </row>
    <row r="5902" spans="1:4" ht="31.5">
      <c r="A5902" s="261">
        <v>5906596</v>
      </c>
      <c r="B5902" s="265" t="s">
        <v>17202</v>
      </c>
      <c r="C5902" s="261" t="s">
        <v>17197</v>
      </c>
      <c r="D5902" s="266">
        <v>5.52</v>
      </c>
    </row>
    <row r="5903" spans="1:4">
      <c r="A5903" s="261">
        <v>5901668</v>
      </c>
      <c r="B5903" s="265" t="s">
        <v>17203</v>
      </c>
      <c r="C5903" s="261" t="s">
        <v>17167</v>
      </c>
      <c r="D5903" s="266">
        <v>0.92</v>
      </c>
    </row>
    <row r="5904" spans="1:4">
      <c r="A5904" s="261">
        <v>5901669</v>
      </c>
      <c r="B5904" s="265" t="s">
        <v>17204</v>
      </c>
      <c r="C5904" s="261" t="s">
        <v>17167</v>
      </c>
      <c r="D5904" s="266">
        <v>0.28000000000000003</v>
      </c>
    </row>
    <row r="5905" spans="1:4">
      <c r="A5905" s="261">
        <v>5901670</v>
      </c>
      <c r="B5905" s="265" t="s">
        <v>17205</v>
      </c>
      <c r="C5905" s="261" t="s">
        <v>17167</v>
      </c>
      <c r="D5905" s="266">
        <v>0.26</v>
      </c>
    </row>
    <row r="5906" spans="1:4">
      <c r="A5906" s="261">
        <v>5901671</v>
      </c>
      <c r="B5906" s="265" t="s">
        <v>17206</v>
      </c>
      <c r="C5906" s="261" t="s">
        <v>17167</v>
      </c>
      <c r="D5906" s="266">
        <v>0.57999999999999996</v>
      </c>
    </row>
    <row r="5907" spans="1:4">
      <c r="A5907" s="261">
        <v>5901672</v>
      </c>
      <c r="B5907" s="265" t="s">
        <v>17207</v>
      </c>
      <c r="C5907" s="261" t="s">
        <v>17167</v>
      </c>
      <c r="D5907" s="266">
        <v>0.26</v>
      </c>
    </row>
    <row r="5908" spans="1:4">
      <c r="A5908" s="261">
        <v>5901673</v>
      </c>
      <c r="B5908" s="265" t="s">
        <v>17208</v>
      </c>
      <c r="C5908" s="261" t="s">
        <v>17167</v>
      </c>
      <c r="D5908" s="266">
        <v>0.47</v>
      </c>
    </row>
    <row r="5909" spans="1:4">
      <c r="A5909" s="261">
        <v>5901674</v>
      </c>
      <c r="B5909" s="265" t="s">
        <v>17209</v>
      </c>
      <c r="C5909" s="261" t="s">
        <v>17167</v>
      </c>
      <c r="D5909" s="266">
        <v>0.42</v>
      </c>
    </row>
    <row r="5910" spans="1:4">
      <c r="A5910" s="261">
        <v>5901675</v>
      </c>
      <c r="B5910" s="265" t="s">
        <v>17210</v>
      </c>
      <c r="C5910" s="261" t="s">
        <v>17167</v>
      </c>
      <c r="D5910" s="266">
        <v>0.37</v>
      </c>
    </row>
    <row r="5911" spans="1:4">
      <c r="A5911" s="261">
        <v>5901676</v>
      </c>
      <c r="B5911" s="265" t="s">
        <v>17211</v>
      </c>
      <c r="C5911" s="261" t="s">
        <v>17167</v>
      </c>
      <c r="D5911" s="266">
        <v>1.32</v>
      </c>
    </row>
    <row r="5912" spans="1:4">
      <c r="A5912" s="261">
        <v>5901677</v>
      </c>
      <c r="B5912" s="265" t="s">
        <v>17212</v>
      </c>
      <c r="C5912" s="261" t="s">
        <v>17167</v>
      </c>
      <c r="D5912" s="266">
        <v>0.91</v>
      </c>
    </row>
    <row r="5913" spans="1:4">
      <c r="A5913" s="261">
        <v>5901678</v>
      </c>
      <c r="B5913" s="265" t="s">
        <v>17213</v>
      </c>
      <c r="C5913" s="261" t="s">
        <v>17167</v>
      </c>
      <c r="D5913" s="266">
        <v>0.27</v>
      </c>
    </row>
    <row r="5914" spans="1:4">
      <c r="A5914" s="261">
        <v>5901679</v>
      </c>
      <c r="B5914" s="265" t="s">
        <v>17214</v>
      </c>
      <c r="C5914" s="261" t="s">
        <v>17167</v>
      </c>
      <c r="D5914" s="266">
        <v>0.26</v>
      </c>
    </row>
    <row r="5915" spans="1:4">
      <c r="A5915" s="261">
        <v>5901680</v>
      </c>
      <c r="B5915" s="265" t="s">
        <v>17215</v>
      </c>
      <c r="C5915" s="261" t="s">
        <v>17167</v>
      </c>
      <c r="D5915" s="266">
        <v>0.56999999999999995</v>
      </c>
    </row>
    <row r="5916" spans="1:4">
      <c r="A5916" s="261">
        <v>5901681</v>
      </c>
      <c r="B5916" s="265" t="s">
        <v>17216</v>
      </c>
      <c r="C5916" s="261" t="s">
        <v>17167</v>
      </c>
      <c r="D5916" s="266">
        <v>0.25</v>
      </c>
    </row>
    <row r="5917" spans="1:4">
      <c r="A5917" s="261">
        <v>5901682</v>
      </c>
      <c r="B5917" s="265" t="s">
        <v>17217</v>
      </c>
      <c r="C5917" s="261" t="s">
        <v>17167</v>
      </c>
      <c r="D5917" s="266">
        <v>0.46</v>
      </c>
    </row>
    <row r="5918" spans="1:4">
      <c r="A5918" s="261">
        <v>5901683</v>
      </c>
      <c r="B5918" s="265" t="s">
        <v>17218</v>
      </c>
      <c r="C5918" s="261" t="s">
        <v>17167</v>
      </c>
      <c r="D5918" s="266">
        <v>0.41</v>
      </c>
    </row>
    <row r="5919" spans="1:4">
      <c r="A5919" s="261">
        <v>5901684</v>
      </c>
      <c r="B5919" s="265" t="s">
        <v>17219</v>
      </c>
      <c r="C5919" s="261" t="s">
        <v>17167</v>
      </c>
      <c r="D5919" s="266">
        <v>0.37</v>
      </c>
    </row>
    <row r="5920" spans="1:4">
      <c r="A5920" s="261">
        <v>5901685</v>
      </c>
      <c r="B5920" s="265" t="s">
        <v>17220</v>
      </c>
      <c r="C5920" s="261" t="s">
        <v>17167</v>
      </c>
      <c r="D5920" s="266">
        <v>1.29</v>
      </c>
    </row>
    <row r="5921" spans="1:4">
      <c r="A5921" s="261">
        <v>5914360</v>
      </c>
      <c r="B5921" s="265" t="s">
        <v>17221</v>
      </c>
      <c r="C5921" s="261" t="s">
        <v>17115</v>
      </c>
      <c r="D5921" s="266">
        <v>1.1299999999999999</v>
      </c>
    </row>
    <row r="5922" spans="1:4">
      <c r="A5922" s="261">
        <v>5914361</v>
      </c>
      <c r="B5922" s="265" t="s">
        <v>17222</v>
      </c>
      <c r="C5922" s="261" t="s">
        <v>17115</v>
      </c>
      <c r="D5922" s="266">
        <v>0.9</v>
      </c>
    </row>
    <row r="5923" spans="1:4">
      <c r="A5923" s="261">
        <v>5914362</v>
      </c>
      <c r="B5923" s="265" t="s">
        <v>17223</v>
      </c>
      <c r="C5923" s="261" t="s">
        <v>17115</v>
      </c>
      <c r="D5923" s="266">
        <v>0.73</v>
      </c>
    </row>
    <row r="5924" spans="1:4">
      <c r="A5924" s="261">
        <v>5914364</v>
      </c>
      <c r="B5924" s="265" t="s">
        <v>17224</v>
      </c>
      <c r="C5924" s="261" t="s">
        <v>17115</v>
      </c>
      <c r="D5924" s="266">
        <v>0.91</v>
      </c>
    </row>
    <row r="5925" spans="1:4">
      <c r="A5925" s="261">
        <v>5914365</v>
      </c>
      <c r="B5925" s="265" t="s">
        <v>17225</v>
      </c>
      <c r="C5925" s="261" t="s">
        <v>17115</v>
      </c>
      <c r="D5925" s="266">
        <v>0.73</v>
      </c>
    </row>
    <row r="5926" spans="1:4">
      <c r="A5926" s="261">
        <v>5914366</v>
      </c>
      <c r="B5926" s="265" t="s">
        <v>17226</v>
      </c>
      <c r="C5926" s="261" t="s">
        <v>17115</v>
      </c>
      <c r="D5926" s="266">
        <v>0.59</v>
      </c>
    </row>
    <row r="5927" spans="1:4">
      <c r="A5927" s="261">
        <v>5914315</v>
      </c>
      <c r="B5927" s="265" t="s">
        <v>17227</v>
      </c>
      <c r="C5927" s="261" t="s">
        <v>17115</v>
      </c>
      <c r="D5927" s="266">
        <v>1.03</v>
      </c>
    </row>
    <row r="5928" spans="1:4">
      <c r="A5928" s="261">
        <v>5914330</v>
      </c>
      <c r="B5928" s="265" t="s">
        <v>17228</v>
      </c>
      <c r="C5928" s="261" t="s">
        <v>17115</v>
      </c>
      <c r="D5928" s="266">
        <v>0.82</v>
      </c>
    </row>
    <row r="5929" spans="1:4">
      <c r="A5929" s="261">
        <v>5914345</v>
      </c>
      <c r="B5929" s="265" t="s">
        <v>17229</v>
      </c>
      <c r="C5929" s="261" t="s">
        <v>17115</v>
      </c>
      <c r="D5929" s="266">
        <v>0.67</v>
      </c>
    </row>
    <row r="5930" spans="1:4">
      <c r="A5930" s="261">
        <v>5914367</v>
      </c>
      <c r="B5930" s="265" t="s">
        <v>17230</v>
      </c>
      <c r="C5930" s="261" t="s">
        <v>17115</v>
      </c>
      <c r="D5930" s="266">
        <v>1.76</v>
      </c>
    </row>
    <row r="5931" spans="1:4">
      <c r="A5931" s="261">
        <v>5914368</v>
      </c>
      <c r="B5931" s="265" t="s">
        <v>17231</v>
      </c>
      <c r="C5931" s="261" t="s">
        <v>17115</v>
      </c>
      <c r="D5931" s="266">
        <v>1.4</v>
      </c>
    </row>
    <row r="5932" spans="1:4">
      <c r="A5932" s="261">
        <v>5914369</v>
      </c>
      <c r="B5932" s="265" t="s">
        <v>17232</v>
      </c>
      <c r="C5932" s="261" t="s">
        <v>17115</v>
      </c>
      <c r="D5932" s="266">
        <v>1.1299999999999999</v>
      </c>
    </row>
    <row r="5933" spans="1:4" ht="31.5">
      <c r="A5933" s="261">
        <v>5914489</v>
      </c>
      <c r="B5933" s="265" t="s">
        <v>17233</v>
      </c>
      <c r="C5933" s="261" t="s">
        <v>17115</v>
      </c>
      <c r="D5933" s="266">
        <v>0.24</v>
      </c>
    </row>
    <row r="5934" spans="1:4" ht="31.5">
      <c r="A5934" s="261">
        <v>5914491</v>
      </c>
      <c r="B5934" s="265" t="s">
        <v>17234</v>
      </c>
      <c r="C5934" s="261" t="s">
        <v>17115</v>
      </c>
      <c r="D5934" s="266">
        <v>0.28000000000000003</v>
      </c>
    </row>
    <row r="5935" spans="1:4" ht="31.5">
      <c r="A5935" s="261">
        <v>5914490</v>
      </c>
      <c r="B5935" s="265" t="s">
        <v>17235</v>
      </c>
      <c r="C5935" s="261" t="s">
        <v>17115</v>
      </c>
      <c r="D5935" s="266">
        <v>0.24</v>
      </c>
    </row>
    <row r="5936" spans="1:4" ht="31.5">
      <c r="A5936" s="261">
        <v>5914495</v>
      </c>
      <c r="B5936" s="265" t="s">
        <v>17236</v>
      </c>
      <c r="C5936" s="261" t="s">
        <v>17115</v>
      </c>
      <c r="D5936" s="266">
        <v>1.6</v>
      </c>
    </row>
    <row r="5937" spans="1:4" ht="31.5">
      <c r="A5937" s="261">
        <v>5914494</v>
      </c>
      <c r="B5937" s="265" t="s">
        <v>17237</v>
      </c>
      <c r="C5937" s="261" t="s">
        <v>17115</v>
      </c>
      <c r="D5937" s="266">
        <v>3.57</v>
      </c>
    </row>
    <row r="5938" spans="1:4" ht="31.5">
      <c r="A5938" s="261">
        <v>5914487</v>
      </c>
      <c r="B5938" s="265" t="s">
        <v>17238</v>
      </c>
      <c r="C5938" s="261" t="s">
        <v>17115</v>
      </c>
      <c r="D5938" s="266">
        <v>0.24</v>
      </c>
    </row>
    <row r="5939" spans="1:4" ht="31.5">
      <c r="A5939" s="261">
        <v>5914488</v>
      </c>
      <c r="B5939" s="265" t="s">
        <v>17239</v>
      </c>
      <c r="C5939" s="261" t="s">
        <v>17115</v>
      </c>
      <c r="D5939" s="266">
        <v>0.27</v>
      </c>
    </row>
    <row r="5940" spans="1:4" ht="31.5">
      <c r="A5940" s="261">
        <v>5914493</v>
      </c>
      <c r="B5940" s="265" t="s">
        <v>17240</v>
      </c>
      <c r="C5940" s="261" t="s">
        <v>17115</v>
      </c>
      <c r="D5940" s="266">
        <v>5.92</v>
      </c>
    </row>
    <row r="5941" spans="1:4" ht="31.5">
      <c r="A5941" s="261">
        <v>5914492</v>
      </c>
      <c r="B5941" s="265" t="s">
        <v>17241</v>
      </c>
      <c r="C5941" s="261" t="s">
        <v>17115</v>
      </c>
      <c r="D5941" s="266">
        <v>14.18</v>
      </c>
    </row>
    <row r="5942" spans="1:4">
      <c r="A5942" s="261">
        <v>5914482</v>
      </c>
      <c r="B5942" s="265" t="s">
        <v>17242</v>
      </c>
      <c r="C5942" s="261" t="s">
        <v>17115</v>
      </c>
      <c r="D5942" s="266">
        <v>0.63</v>
      </c>
    </row>
    <row r="5943" spans="1:4">
      <c r="A5943" s="261">
        <v>5914483</v>
      </c>
      <c r="B5943" s="265" t="s">
        <v>17243</v>
      </c>
      <c r="C5943" s="261" t="s">
        <v>17115</v>
      </c>
      <c r="D5943" s="266">
        <v>0.45</v>
      </c>
    </row>
    <row r="5944" spans="1:4" ht="31.5">
      <c r="A5944" s="261">
        <v>5914480</v>
      </c>
      <c r="B5944" s="265" t="s">
        <v>17244</v>
      </c>
      <c r="C5944" s="261" t="s">
        <v>17115</v>
      </c>
      <c r="D5944" s="266">
        <v>0.65</v>
      </c>
    </row>
    <row r="5945" spans="1:4" ht="31.5">
      <c r="A5945" s="261">
        <v>5914481</v>
      </c>
      <c r="B5945" s="265" t="s">
        <v>17245</v>
      </c>
      <c r="C5945" s="261" t="s">
        <v>17115</v>
      </c>
      <c r="D5945" s="266">
        <v>0.43</v>
      </c>
    </row>
    <row r="5946" spans="1:4" ht="31.5">
      <c r="A5946" s="261">
        <v>5914485</v>
      </c>
      <c r="B5946" s="265" t="s">
        <v>17246</v>
      </c>
      <c r="C5946" s="261" t="s">
        <v>17115</v>
      </c>
      <c r="D5946" s="266">
        <v>4.08</v>
      </c>
    </row>
    <row r="5947" spans="1:4" ht="31.5">
      <c r="A5947" s="261">
        <v>5914486</v>
      </c>
      <c r="B5947" s="265" t="s">
        <v>17247</v>
      </c>
      <c r="C5947" s="261" t="s">
        <v>17115</v>
      </c>
      <c r="D5947" s="266">
        <v>5.0999999999999996</v>
      </c>
    </row>
    <row r="5948" spans="1:4" ht="31.5">
      <c r="A5948" s="261">
        <v>5914484</v>
      </c>
      <c r="B5948" s="265" t="s">
        <v>17248</v>
      </c>
      <c r="C5948" s="261" t="s">
        <v>17115</v>
      </c>
      <c r="D5948" s="266">
        <v>3.53</v>
      </c>
    </row>
    <row r="5949" spans="1:4">
      <c r="A5949" s="261">
        <v>5914620</v>
      </c>
      <c r="B5949" s="265" t="s">
        <v>17249</v>
      </c>
      <c r="C5949" s="261" t="s">
        <v>17115</v>
      </c>
      <c r="D5949" s="266">
        <v>2.75</v>
      </c>
    </row>
    <row r="5950" spans="1:4">
      <c r="A5950" s="261">
        <v>5914621</v>
      </c>
      <c r="B5950" s="265" t="s">
        <v>17250</v>
      </c>
      <c r="C5950" s="261" t="s">
        <v>17115</v>
      </c>
      <c r="D5950" s="266">
        <v>2.2000000000000002</v>
      </c>
    </row>
    <row r="5951" spans="1:4">
      <c r="A5951" s="261">
        <v>5914622</v>
      </c>
      <c r="B5951" s="265" t="s">
        <v>17251</v>
      </c>
      <c r="C5951" s="261" t="s">
        <v>17115</v>
      </c>
      <c r="D5951" s="266">
        <v>1.78</v>
      </c>
    </row>
    <row r="5952" spans="1:4">
      <c r="A5952" s="261">
        <v>5901695</v>
      </c>
      <c r="B5952" s="265" t="s">
        <v>17252</v>
      </c>
      <c r="C5952" s="261" t="s">
        <v>17167</v>
      </c>
      <c r="D5952" s="266">
        <v>0.76</v>
      </c>
    </row>
    <row r="5953" spans="1:4">
      <c r="A5953" s="261">
        <v>5901696</v>
      </c>
      <c r="B5953" s="265" t="s">
        <v>17253</v>
      </c>
      <c r="C5953" s="261" t="s">
        <v>17167</v>
      </c>
      <c r="D5953" s="266">
        <v>0.56999999999999995</v>
      </c>
    </row>
    <row r="5954" spans="1:4">
      <c r="A5954" s="261">
        <v>5901697</v>
      </c>
      <c r="B5954" s="265" t="s">
        <v>17254</v>
      </c>
      <c r="C5954" s="261" t="s">
        <v>17167</v>
      </c>
      <c r="D5954" s="266">
        <v>2.3199999999999998</v>
      </c>
    </row>
    <row r="5955" spans="1:4">
      <c r="A5955" s="261">
        <v>5901698</v>
      </c>
      <c r="B5955" s="265" t="s">
        <v>17255</v>
      </c>
      <c r="C5955" s="261" t="s">
        <v>17167</v>
      </c>
      <c r="D5955" s="266">
        <v>2.3199999999999998</v>
      </c>
    </row>
    <row r="5956" spans="1:4">
      <c r="A5956" s="261">
        <v>5916654</v>
      </c>
      <c r="B5956" s="265" t="s">
        <v>17256</v>
      </c>
      <c r="C5956" s="261" t="s">
        <v>17167</v>
      </c>
      <c r="D5956" s="266">
        <v>1.38</v>
      </c>
    </row>
    <row r="5957" spans="1:4">
      <c r="A5957" s="261">
        <v>5916637</v>
      </c>
      <c r="B5957" s="265" t="s">
        <v>17257</v>
      </c>
      <c r="C5957" s="261" t="s">
        <v>17167</v>
      </c>
      <c r="D5957" s="266">
        <v>6.88</v>
      </c>
    </row>
    <row r="5958" spans="1:4">
      <c r="A5958" s="261">
        <v>5916618</v>
      </c>
      <c r="B5958" s="265" t="s">
        <v>17258</v>
      </c>
      <c r="C5958" s="261" t="s">
        <v>17167</v>
      </c>
      <c r="D5958" s="266">
        <v>6.88</v>
      </c>
    </row>
    <row r="5959" spans="1:4">
      <c r="A5959" s="261">
        <v>5914334</v>
      </c>
      <c r="B5959" s="265" t="s">
        <v>17259</v>
      </c>
      <c r="C5959" s="261" t="s">
        <v>17115</v>
      </c>
      <c r="D5959" s="266">
        <v>1.1599999999999999</v>
      </c>
    </row>
    <row r="5960" spans="1:4">
      <c r="A5960" s="261">
        <v>5914335</v>
      </c>
      <c r="B5960" s="265" t="s">
        <v>17260</v>
      </c>
      <c r="C5960" s="261" t="s">
        <v>17115</v>
      </c>
      <c r="D5960" s="266">
        <v>0.93</v>
      </c>
    </row>
    <row r="5961" spans="1:4">
      <c r="A5961" s="261">
        <v>5914336</v>
      </c>
      <c r="B5961" s="265" t="s">
        <v>17261</v>
      </c>
      <c r="C5961" s="261" t="s">
        <v>17115</v>
      </c>
      <c r="D5961" s="266">
        <v>0.75</v>
      </c>
    </row>
    <row r="5962" spans="1:4">
      <c r="A5962" s="261">
        <v>5914346</v>
      </c>
      <c r="B5962" s="265" t="s">
        <v>17262</v>
      </c>
      <c r="C5962" s="261" t="s">
        <v>17115</v>
      </c>
      <c r="D5962" s="266">
        <v>1.76</v>
      </c>
    </row>
    <row r="5963" spans="1:4">
      <c r="A5963" s="261">
        <v>5914347</v>
      </c>
      <c r="B5963" s="265" t="s">
        <v>17263</v>
      </c>
      <c r="C5963" s="261" t="s">
        <v>17115</v>
      </c>
      <c r="D5963" s="266">
        <v>1.41</v>
      </c>
    </row>
    <row r="5964" spans="1:4">
      <c r="A5964" s="261">
        <v>5914348</v>
      </c>
      <c r="B5964" s="265" t="s">
        <v>17264</v>
      </c>
      <c r="C5964" s="261" t="s">
        <v>17115</v>
      </c>
      <c r="D5964" s="266">
        <v>1.1399999999999999</v>
      </c>
    </row>
    <row r="5965" spans="1:4">
      <c r="A5965" s="261">
        <v>5914611</v>
      </c>
      <c r="B5965" s="265" t="s">
        <v>17265</v>
      </c>
      <c r="C5965" s="261" t="s">
        <v>17115</v>
      </c>
      <c r="D5965" s="266">
        <v>1.91</v>
      </c>
    </row>
    <row r="5966" spans="1:4">
      <c r="A5966" s="261">
        <v>5914613</v>
      </c>
      <c r="B5966" s="265" t="s">
        <v>17266</v>
      </c>
      <c r="C5966" s="261" t="s">
        <v>17115</v>
      </c>
      <c r="D5966" s="266">
        <v>1.53</v>
      </c>
    </row>
    <row r="5967" spans="1:4">
      <c r="A5967" s="261">
        <v>5914612</v>
      </c>
      <c r="B5967" s="265" t="s">
        <v>17267</v>
      </c>
      <c r="C5967" s="261" t="s">
        <v>17115</v>
      </c>
      <c r="D5967" s="266">
        <v>1.23</v>
      </c>
    </row>
    <row r="5968" spans="1:4">
      <c r="A5968" s="261">
        <v>5901686</v>
      </c>
      <c r="B5968" s="265" t="s">
        <v>17268</v>
      </c>
      <c r="C5968" s="261" t="s">
        <v>17167</v>
      </c>
      <c r="D5968" s="266">
        <v>2.63</v>
      </c>
    </row>
    <row r="5969" spans="1:4">
      <c r="A5969" s="261">
        <v>5901687</v>
      </c>
      <c r="B5969" s="265" t="s">
        <v>17269</v>
      </c>
      <c r="C5969" s="261" t="s">
        <v>17167</v>
      </c>
      <c r="D5969" s="266">
        <v>0.79</v>
      </c>
    </row>
    <row r="5970" spans="1:4">
      <c r="A5970" s="261">
        <v>5901688</v>
      </c>
      <c r="B5970" s="265" t="s">
        <v>17270</v>
      </c>
      <c r="C5970" s="261" t="s">
        <v>17167</v>
      </c>
      <c r="D5970" s="266">
        <v>0.75</v>
      </c>
    </row>
    <row r="5971" spans="1:4">
      <c r="A5971" s="261">
        <v>5901689</v>
      </c>
      <c r="B5971" s="265" t="s">
        <v>17271</v>
      </c>
      <c r="C5971" s="261" t="s">
        <v>17167</v>
      </c>
      <c r="D5971" s="266">
        <v>1.64</v>
      </c>
    </row>
    <row r="5972" spans="1:4">
      <c r="A5972" s="261">
        <v>5901690</v>
      </c>
      <c r="B5972" s="265" t="s">
        <v>17272</v>
      </c>
      <c r="C5972" s="261" t="s">
        <v>17167</v>
      </c>
      <c r="D5972" s="266">
        <v>0.73</v>
      </c>
    </row>
    <row r="5973" spans="1:4">
      <c r="A5973" s="261">
        <v>5901691</v>
      </c>
      <c r="B5973" s="265" t="s">
        <v>17273</v>
      </c>
      <c r="C5973" s="261" t="s">
        <v>17167</v>
      </c>
      <c r="D5973" s="266">
        <v>1.34</v>
      </c>
    </row>
    <row r="5974" spans="1:4">
      <c r="A5974" s="261">
        <v>5901692</v>
      </c>
      <c r="B5974" s="265" t="s">
        <v>17274</v>
      </c>
      <c r="C5974" s="261" t="s">
        <v>17167</v>
      </c>
      <c r="D5974" s="266">
        <v>1.19</v>
      </c>
    </row>
    <row r="5975" spans="1:4">
      <c r="A5975" s="261">
        <v>5901693</v>
      </c>
      <c r="B5975" s="265" t="s">
        <v>17275</v>
      </c>
      <c r="C5975" s="261" t="s">
        <v>17167</v>
      </c>
      <c r="D5975" s="266">
        <v>1.06</v>
      </c>
    </row>
    <row r="5976" spans="1:4">
      <c r="A5976" s="261">
        <v>5901694</v>
      </c>
      <c r="B5976" s="265" t="s">
        <v>17276</v>
      </c>
      <c r="C5976" s="261" t="s">
        <v>17167</v>
      </c>
      <c r="D5976" s="266">
        <v>3.74</v>
      </c>
    </row>
    <row r="5977" spans="1:4">
      <c r="A5977" s="261">
        <v>5914512</v>
      </c>
      <c r="B5977" s="265" t="s">
        <v>17277</v>
      </c>
      <c r="C5977" s="261" t="s">
        <v>17115</v>
      </c>
      <c r="D5977" s="266">
        <v>1.48</v>
      </c>
    </row>
    <row r="5978" spans="1:4">
      <c r="A5978" s="261">
        <v>5914496</v>
      </c>
      <c r="B5978" s="265" t="s">
        <v>17278</v>
      </c>
      <c r="C5978" s="261" t="s">
        <v>17115</v>
      </c>
      <c r="D5978" s="266">
        <v>1.1399999999999999</v>
      </c>
    </row>
    <row r="5979" spans="1:4">
      <c r="A5979" s="261">
        <v>5914513</v>
      </c>
      <c r="B5979" s="265" t="s">
        <v>17279</v>
      </c>
      <c r="C5979" s="261" t="s">
        <v>17115</v>
      </c>
      <c r="D5979" s="266">
        <v>0.82</v>
      </c>
    </row>
    <row r="5980" spans="1:4">
      <c r="A5980" s="261">
        <v>5914497</v>
      </c>
      <c r="B5980" s="265" t="s">
        <v>17280</v>
      </c>
      <c r="C5980" s="261" t="s">
        <v>17115</v>
      </c>
      <c r="D5980" s="266">
        <v>0.62</v>
      </c>
    </row>
    <row r="5981" spans="1:4">
      <c r="A5981" s="261">
        <v>5914500</v>
      </c>
      <c r="B5981" s="265" t="s">
        <v>17281</v>
      </c>
      <c r="C5981" s="261" t="s">
        <v>17115</v>
      </c>
      <c r="D5981" s="266">
        <v>1.17</v>
      </c>
    </row>
    <row r="5982" spans="1:4">
      <c r="A5982" s="261">
        <v>5914498</v>
      </c>
      <c r="B5982" s="265" t="s">
        <v>17282</v>
      </c>
      <c r="C5982" s="261" t="s">
        <v>17115</v>
      </c>
      <c r="D5982" s="266">
        <v>0.89</v>
      </c>
    </row>
    <row r="5983" spans="1:4">
      <c r="A5983" s="261">
        <v>5914501</v>
      </c>
      <c r="B5983" s="265" t="s">
        <v>17283</v>
      </c>
      <c r="C5983" s="261" t="s">
        <v>17115</v>
      </c>
      <c r="D5983" s="266">
        <v>0.65</v>
      </c>
    </row>
    <row r="5984" spans="1:4">
      <c r="A5984" s="261">
        <v>5914499</v>
      </c>
      <c r="B5984" s="265" t="s">
        <v>17284</v>
      </c>
      <c r="C5984" s="261" t="s">
        <v>17115</v>
      </c>
      <c r="D5984" s="266">
        <v>0.48</v>
      </c>
    </row>
    <row r="5985" spans="1:4">
      <c r="A5985" s="261">
        <v>5914504</v>
      </c>
      <c r="B5985" s="265" t="s">
        <v>17285</v>
      </c>
      <c r="C5985" s="261" t="s">
        <v>17115</v>
      </c>
      <c r="D5985" s="266">
        <v>0.98</v>
      </c>
    </row>
    <row r="5986" spans="1:4">
      <c r="A5986" s="261">
        <v>5914502</v>
      </c>
      <c r="B5986" s="265" t="s">
        <v>17286</v>
      </c>
      <c r="C5986" s="261" t="s">
        <v>17115</v>
      </c>
      <c r="D5986" s="266">
        <v>0.76</v>
      </c>
    </row>
    <row r="5987" spans="1:4">
      <c r="A5987" s="261">
        <v>5914505</v>
      </c>
      <c r="B5987" s="265" t="s">
        <v>17287</v>
      </c>
      <c r="C5987" s="261" t="s">
        <v>17115</v>
      </c>
      <c r="D5987" s="266">
        <v>0.55000000000000004</v>
      </c>
    </row>
    <row r="5988" spans="1:4">
      <c r="A5988" s="261">
        <v>5914503</v>
      </c>
      <c r="B5988" s="265" t="s">
        <v>17288</v>
      </c>
      <c r="C5988" s="261" t="s">
        <v>17115</v>
      </c>
      <c r="D5988" s="266">
        <v>0.41</v>
      </c>
    </row>
    <row r="5989" spans="1:4">
      <c r="A5989" s="261">
        <v>5914508</v>
      </c>
      <c r="B5989" s="265" t="s">
        <v>17289</v>
      </c>
      <c r="C5989" s="261" t="s">
        <v>17115</v>
      </c>
      <c r="D5989" s="266">
        <v>1.1000000000000001</v>
      </c>
    </row>
    <row r="5990" spans="1:4">
      <c r="A5990" s="261">
        <v>5914506</v>
      </c>
      <c r="B5990" s="265" t="s">
        <v>17290</v>
      </c>
      <c r="C5990" s="261" t="s">
        <v>17115</v>
      </c>
      <c r="D5990" s="266">
        <v>0.85</v>
      </c>
    </row>
    <row r="5991" spans="1:4">
      <c r="A5991" s="261">
        <v>5914509</v>
      </c>
      <c r="B5991" s="265" t="s">
        <v>17291</v>
      </c>
      <c r="C5991" s="261" t="s">
        <v>17115</v>
      </c>
      <c r="D5991" s="266">
        <v>0.61</v>
      </c>
    </row>
    <row r="5992" spans="1:4">
      <c r="A5992" s="261">
        <v>5914507</v>
      </c>
      <c r="B5992" s="265" t="s">
        <v>17292</v>
      </c>
      <c r="C5992" s="261" t="s">
        <v>17115</v>
      </c>
      <c r="D5992" s="266">
        <v>0.46</v>
      </c>
    </row>
    <row r="5993" spans="1:4">
      <c r="A5993" s="261">
        <v>5915491</v>
      </c>
      <c r="B5993" s="265" t="s">
        <v>17293</v>
      </c>
      <c r="C5993" s="261" t="s">
        <v>13117</v>
      </c>
      <c r="D5993" s="266">
        <v>18.239999999999998</v>
      </c>
    </row>
    <row r="5994" spans="1:4">
      <c r="A5994" s="261">
        <v>5915492</v>
      </c>
      <c r="B5994" s="265" t="s">
        <v>17294</v>
      </c>
      <c r="C5994" s="261" t="s">
        <v>13117</v>
      </c>
      <c r="D5994" s="266">
        <v>14.59</v>
      </c>
    </row>
    <row r="5995" spans="1:4">
      <c r="A5995" s="261">
        <v>5915493</v>
      </c>
      <c r="B5995" s="265" t="s">
        <v>17295</v>
      </c>
      <c r="C5995" s="261" t="s">
        <v>13117</v>
      </c>
      <c r="D5995" s="266">
        <v>11.79</v>
      </c>
    </row>
    <row r="5996" spans="1:4">
      <c r="A5996" s="261">
        <v>5915488</v>
      </c>
      <c r="B5996" s="265" t="s">
        <v>17296</v>
      </c>
      <c r="C5996" s="261" t="s">
        <v>13117</v>
      </c>
      <c r="D5996" s="266">
        <v>13.34</v>
      </c>
    </row>
    <row r="5997" spans="1:4">
      <c r="A5997" s="261">
        <v>5915489</v>
      </c>
      <c r="B5997" s="265" t="s">
        <v>17297</v>
      </c>
      <c r="C5997" s="261" t="s">
        <v>13117</v>
      </c>
      <c r="D5997" s="266">
        <v>10.67</v>
      </c>
    </row>
    <row r="5998" spans="1:4">
      <c r="A5998" s="261">
        <v>5915490</v>
      </c>
      <c r="B5998" s="265" t="s">
        <v>17298</v>
      </c>
      <c r="C5998" s="261" t="s">
        <v>13117</v>
      </c>
      <c r="D5998" s="266">
        <v>8.6199999999999992</v>
      </c>
    </row>
    <row r="5999" spans="1:4">
      <c r="A5999" s="261">
        <v>5915494</v>
      </c>
      <c r="B5999" s="265" t="s">
        <v>17299</v>
      </c>
      <c r="C5999" s="261" t="s">
        <v>13117</v>
      </c>
      <c r="D5999" s="266">
        <v>30.53</v>
      </c>
    </row>
    <row r="6000" spans="1:4">
      <c r="A6000" s="261">
        <v>5915495</v>
      </c>
      <c r="B6000" s="265" t="s">
        <v>17300</v>
      </c>
      <c r="C6000" s="261" t="s">
        <v>13117</v>
      </c>
      <c r="D6000" s="266">
        <v>24.42</v>
      </c>
    </row>
    <row r="6001" spans="1:4">
      <c r="A6001" s="261">
        <v>5915496</v>
      </c>
      <c r="B6001" s="265" t="s">
        <v>17301</v>
      </c>
      <c r="C6001" s="261" t="s">
        <v>13117</v>
      </c>
      <c r="D6001" s="266">
        <v>19.73</v>
      </c>
    </row>
    <row r="6002" spans="1:4">
      <c r="A6002" s="261">
        <v>5915325</v>
      </c>
      <c r="B6002" s="265" t="s">
        <v>17302</v>
      </c>
      <c r="C6002" s="261" t="s">
        <v>13117</v>
      </c>
      <c r="D6002" s="266">
        <v>68.599999999999994</v>
      </c>
    </row>
    <row r="6003" spans="1:4">
      <c r="A6003" s="261">
        <v>5915326</v>
      </c>
      <c r="B6003" s="265" t="s">
        <v>17303</v>
      </c>
      <c r="C6003" s="261" t="s">
        <v>13117</v>
      </c>
      <c r="D6003" s="266">
        <v>54.85</v>
      </c>
    </row>
    <row r="6004" spans="1:4">
      <c r="A6004" s="261">
        <v>5915327</v>
      </c>
      <c r="B6004" s="265" t="s">
        <v>17304</v>
      </c>
      <c r="C6004" s="261" t="s">
        <v>13117</v>
      </c>
      <c r="D6004" s="266">
        <v>44.34</v>
      </c>
    </row>
    <row r="6005" spans="1:4">
      <c r="A6005" s="261">
        <v>5915328</v>
      </c>
      <c r="B6005" s="265" t="s">
        <v>17305</v>
      </c>
      <c r="C6005" s="261" t="s">
        <v>13117</v>
      </c>
      <c r="D6005" s="266">
        <v>81.86</v>
      </c>
    </row>
    <row r="6006" spans="1:4">
      <c r="A6006" s="261">
        <v>5915329</v>
      </c>
      <c r="B6006" s="265" t="s">
        <v>17306</v>
      </c>
      <c r="C6006" s="261" t="s">
        <v>13117</v>
      </c>
      <c r="D6006" s="266">
        <v>65.459999999999994</v>
      </c>
    </row>
    <row r="6007" spans="1:4">
      <c r="A6007" s="261">
        <v>5915330</v>
      </c>
      <c r="B6007" s="265" t="s">
        <v>17307</v>
      </c>
      <c r="C6007" s="261" t="s">
        <v>13117</v>
      </c>
      <c r="D6007" s="266">
        <v>52.91</v>
      </c>
    </row>
    <row r="6008" spans="1:4">
      <c r="A6008" s="261">
        <v>5915331</v>
      </c>
      <c r="B6008" s="265" t="s">
        <v>17308</v>
      </c>
      <c r="C6008" s="261" t="s">
        <v>13117</v>
      </c>
      <c r="D6008" s="266">
        <v>155.85</v>
      </c>
    </row>
    <row r="6009" spans="1:4">
      <c r="A6009" s="261">
        <v>5915332</v>
      </c>
      <c r="B6009" s="265" t="s">
        <v>17309</v>
      </c>
      <c r="C6009" s="261" t="s">
        <v>13117</v>
      </c>
      <c r="D6009" s="266">
        <v>124.62</v>
      </c>
    </row>
    <row r="6010" spans="1:4">
      <c r="A6010" s="261">
        <v>5915333</v>
      </c>
      <c r="B6010" s="265" t="s">
        <v>17310</v>
      </c>
      <c r="C6010" s="261" t="s">
        <v>13117</v>
      </c>
      <c r="D6010" s="266">
        <v>100.74</v>
      </c>
    </row>
    <row r="6011" spans="1:4">
      <c r="A6011" s="261">
        <v>5915364</v>
      </c>
      <c r="B6011" s="265" t="s">
        <v>17311</v>
      </c>
      <c r="C6011" s="261" t="s">
        <v>13117</v>
      </c>
      <c r="D6011" s="266">
        <v>176.45</v>
      </c>
    </row>
    <row r="6012" spans="1:4">
      <c r="A6012" s="261">
        <v>5915365</v>
      </c>
      <c r="B6012" s="265" t="s">
        <v>17312</v>
      </c>
      <c r="C6012" s="261" t="s">
        <v>13117</v>
      </c>
      <c r="D6012" s="266">
        <v>141.09</v>
      </c>
    </row>
    <row r="6013" spans="1:4">
      <c r="A6013" s="261">
        <v>5915361</v>
      </c>
      <c r="B6013" s="265" t="s">
        <v>17313</v>
      </c>
      <c r="C6013" s="261" t="s">
        <v>13117</v>
      </c>
      <c r="D6013" s="266">
        <v>114.05</v>
      </c>
    </row>
    <row r="6014" spans="1:4">
      <c r="A6014" s="261">
        <v>5919716</v>
      </c>
      <c r="B6014" s="265" t="s">
        <v>17314</v>
      </c>
      <c r="C6014" s="261" t="s">
        <v>13117</v>
      </c>
      <c r="D6014" s="266">
        <v>203.36</v>
      </c>
    </row>
    <row r="6015" spans="1:4">
      <c r="A6015" s="261">
        <v>5919717</v>
      </c>
      <c r="B6015" s="265" t="s">
        <v>17315</v>
      </c>
      <c r="C6015" s="261" t="s">
        <v>13117</v>
      </c>
      <c r="D6015" s="266">
        <v>175.99</v>
      </c>
    </row>
    <row r="6016" spans="1:4">
      <c r="A6016" s="261">
        <v>6106220</v>
      </c>
      <c r="B6016" s="265" t="s">
        <v>17316</v>
      </c>
      <c r="C6016" s="261" t="s">
        <v>10</v>
      </c>
      <c r="D6016" s="266">
        <v>12.22</v>
      </c>
    </row>
    <row r="6017" spans="1:4">
      <c r="A6017" s="261">
        <v>6106183</v>
      </c>
      <c r="B6017" s="265" t="s">
        <v>17317</v>
      </c>
      <c r="C6017" s="261" t="s">
        <v>5</v>
      </c>
      <c r="D6017" s="266">
        <v>356.27</v>
      </c>
    </row>
    <row r="6018" spans="1:4">
      <c r="A6018" s="261">
        <v>6106182</v>
      </c>
      <c r="B6018" s="265" t="s">
        <v>17318</v>
      </c>
      <c r="C6018" s="261" t="s">
        <v>5</v>
      </c>
      <c r="D6018" s="266">
        <v>305.37</v>
      </c>
    </row>
    <row r="6019" spans="1:4">
      <c r="A6019" s="261">
        <v>6106194</v>
      </c>
      <c r="B6019" s="265" t="s">
        <v>17319</v>
      </c>
      <c r="C6019" s="261" t="s">
        <v>5</v>
      </c>
      <c r="D6019" s="266">
        <v>747.5</v>
      </c>
    </row>
    <row r="6020" spans="1:4">
      <c r="A6020" s="261">
        <v>6106195</v>
      </c>
      <c r="B6020" s="265" t="s">
        <v>17320</v>
      </c>
      <c r="C6020" s="261" t="s">
        <v>5</v>
      </c>
      <c r="D6020" s="266">
        <v>828.68</v>
      </c>
    </row>
    <row r="6021" spans="1:4">
      <c r="A6021" s="261">
        <v>6106331</v>
      </c>
      <c r="B6021" s="265" t="s">
        <v>17321</v>
      </c>
      <c r="C6021" s="261" t="s">
        <v>5</v>
      </c>
      <c r="D6021" s="266">
        <v>1928.4</v>
      </c>
    </row>
    <row r="6022" spans="1:4">
      <c r="A6022" s="261">
        <v>6106332</v>
      </c>
      <c r="B6022" s="265" t="s">
        <v>17322</v>
      </c>
      <c r="C6022" s="261" t="s">
        <v>5</v>
      </c>
      <c r="D6022" s="266">
        <v>2054.41</v>
      </c>
    </row>
    <row r="6023" spans="1:4">
      <c r="A6023" s="261">
        <v>6106206</v>
      </c>
      <c r="B6023" s="265" t="s">
        <v>17323</v>
      </c>
      <c r="C6023" s="261" t="s">
        <v>5</v>
      </c>
      <c r="D6023" s="266">
        <v>2104.98</v>
      </c>
    </row>
    <row r="6024" spans="1:4">
      <c r="A6024" s="261">
        <v>6106207</v>
      </c>
      <c r="B6024" s="265" t="s">
        <v>17324</v>
      </c>
      <c r="C6024" s="261" t="s">
        <v>5</v>
      </c>
      <c r="D6024" s="266">
        <v>2243.62</v>
      </c>
    </row>
    <row r="6025" spans="1:4">
      <c r="A6025" s="261">
        <v>6106222</v>
      </c>
      <c r="B6025" s="265" t="s">
        <v>17325</v>
      </c>
      <c r="C6025" s="261" t="s">
        <v>5</v>
      </c>
      <c r="D6025" s="266">
        <v>356.27</v>
      </c>
    </row>
    <row r="6026" spans="1:4">
      <c r="A6026" s="261">
        <v>6106221</v>
      </c>
      <c r="B6026" s="265" t="s">
        <v>17326</v>
      </c>
      <c r="C6026" s="261" t="s">
        <v>5</v>
      </c>
      <c r="D6026" s="266">
        <v>305.37</v>
      </c>
    </row>
    <row r="6027" spans="1:4">
      <c r="A6027" s="261">
        <v>6106224</v>
      </c>
      <c r="B6027" s="265" t="s">
        <v>17327</v>
      </c>
      <c r="C6027" s="261" t="s">
        <v>5</v>
      </c>
      <c r="D6027" s="266">
        <v>747.5</v>
      </c>
    </row>
    <row r="6028" spans="1:4">
      <c r="A6028" s="261">
        <v>6106225</v>
      </c>
      <c r="B6028" s="265" t="s">
        <v>17328</v>
      </c>
      <c r="C6028" s="261" t="s">
        <v>5</v>
      </c>
      <c r="D6028" s="266">
        <v>828.68</v>
      </c>
    </row>
    <row r="6029" spans="1:4">
      <c r="A6029" s="261">
        <v>6106228</v>
      </c>
      <c r="B6029" s="265" t="s">
        <v>17329</v>
      </c>
      <c r="C6029" s="261" t="s">
        <v>5</v>
      </c>
      <c r="D6029" s="266">
        <v>1833.24</v>
      </c>
    </row>
    <row r="6030" spans="1:4">
      <c r="A6030" s="261">
        <v>6106229</v>
      </c>
      <c r="B6030" s="265" t="s">
        <v>17330</v>
      </c>
      <c r="C6030" s="261" t="s">
        <v>5</v>
      </c>
      <c r="D6030" s="266">
        <v>1952.48</v>
      </c>
    </row>
    <row r="6031" spans="1:4">
      <c r="A6031" s="261">
        <v>6106328</v>
      </c>
      <c r="B6031" s="265" t="s">
        <v>17331</v>
      </c>
      <c r="C6031" s="261" t="s">
        <v>5</v>
      </c>
      <c r="D6031" s="266">
        <v>137.47</v>
      </c>
    </row>
    <row r="6032" spans="1:4">
      <c r="A6032" s="261">
        <v>6106330</v>
      </c>
      <c r="B6032" s="265" t="s">
        <v>17332</v>
      </c>
      <c r="C6032" s="261" t="s">
        <v>5</v>
      </c>
      <c r="D6032" s="266">
        <v>683.39</v>
      </c>
    </row>
    <row r="6033" spans="1:4">
      <c r="A6033" s="261">
        <v>6106326</v>
      </c>
      <c r="B6033" s="265" t="s">
        <v>17333</v>
      </c>
      <c r="C6033" s="261" t="s">
        <v>5</v>
      </c>
      <c r="D6033" s="266">
        <v>56.73</v>
      </c>
    </row>
    <row r="6034" spans="1:4">
      <c r="A6034" s="261">
        <v>6106324</v>
      </c>
      <c r="B6034" s="265" t="s">
        <v>17334</v>
      </c>
      <c r="C6034" s="261" t="s">
        <v>5</v>
      </c>
      <c r="D6034" s="266">
        <v>35.72</v>
      </c>
    </row>
    <row r="6035" spans="1:4">
      <c r="A6035" s="261">
        <v>6106327</v>
      </c>
      <c r="B6035" s="265" t="s">
        <v>17335</v>
      </c>
      <c r="C6035" s="261" t="s">
        <v>5</v>
      </c>
      <c r="D6035" s="266">
        <v>137.44</v>
      </c>
    </row>
    <row r="6036" spans="1:4">
      <c r="A6036" s="261">
        <v>6106329</v>
      </c>
      <c r="B6036" s="265" t="s">
        <v>17336</v>
      </c>
      <c r="C6036" s="261" t="s">
        <v>5</v>
      </c>
      <c r="D6036" s="266">
        <v>684.36</v>
      </c>
    </row>
    <row r="6037" spans="1:4">
      <c r="A6037" s="261">
        <v>6106325</v>
      </c>
      <c r="B6037" s="265" t="s">
        <v>17337</v>
      </c>
      <c r="C6037" s="261" t="s">
        <v>5</v>
      </c>
      <c r="D6037" s="266">
        <v>56.87</v>
      </c>
    </row>
    <row r="6038" spans="1:4">
      <c r="A6038" s="261">
        <v>6208126</v>
      </c>
      <c r="B6038" s="265" t="s">
        <v>17338</v>
      </c>
      <c r="C6038" s="261" t="s">
        <v>10</v>
      </c>
      <c r="D6038" s="266">
        <v>21.86</v>
      </c>
    </row>
    <row r="6039" spans="1:4">
      <c r="A6039" s="261">
        <v>6205797</v>
      </c>
      <c r="B6039" s="265" t="s">
        <v>17339</v>
      </c>
      <c r="C6039" s="261" t="s">
        <v>10</v>
      </c>
      <c r="D6039" s="266">
        <v>13.33</v>
      </c>
    </row>
    <row r="6040" spans="1:4">
      <c r="A6040" s="261">
        <v>6205791</v>
      </c>
      <c r="B6040" s="265" t="s">
        <v>17340</v>
      </c>
      <c r="C6040" s="261" t="s">
        <v>6</v>
      </c>
      <c r="D6040" s="266">
        <v>320.58999999999997</v>
      </c>
    </row>
    <row r="6041" spans="1:4">
      <c r="A6041" s="261">
        <v>6205792</v>
      </c>
      <c r="B6041" s="265" t="s">
        <v>17341</v>
      </c>
      <c r="C6041" s="261" t="s">
        <v>6</v>
      </c>
      <c r="D6041" s="266">
        <v>385.04</v>
      </c>
    </row>
    <row r="6042" spans="1:4">
      <c r="A6042" s="261">
        <v>6205793</v>
      </c>
      <c r="B6042" s="265" t="s">
        <v>17342</v>
      </c>
      <c r="C6042" s="261" t="s">
        <v>6</v>
      </c>
      <c r="D6042" s="266">
        <v>453.13</v>
      </c>
    </row>
    <row r="6043" spans="1:4">
      <c r="A6043" s="261">
        <v>6205796</v>
      </c>
      <c r="B6043" s="265" t="s">
        <v>17343</v>
      </c>
      <c r="C6043" s="261" t="s">
        <v>6</v>
      </c>
      <c r="D6043" s="266">
        <v>809.33</v>
      </c>
    </row>
    <row r="6044" spans="1:4">
      <c r="A6044" s="261">
        <v>6219451</v>
      </c>
      <c r="B6044" s="265" t="s">
        <v>17344</v>
      </c>
      <c r="C6044" s="261" t="s">
        <v>6</v>
      </c>
      <c r="D6044" s="266">
        <v>871.62</v>
      </c>
    </row>
    <row r="6045" spans="1:4">
      <c r="A6045" s="261">
        <v>6219452</v>
      </c>
      <c r="B6045" s="265" t="s">
        <v>17345</v>
      </c>
      <c r="C6045" s="261" t="s">
        <v>6</v>
      </c>
      <c r="D6045" s="266">
        <v>937.54</v>
      </c>
    </row>
    <row r="6046" spans="1:4">
      <c r="A6046" s="261">
        <v>6205794</v>
      </c>
      <c r="B6046" s="265" t="s">
        <v>17346</v>
      </c>
      <c r="C6046" s="261" t="s">
        <v>6</v>
      </c>
      <c r="D6046" s="266">
        <v>695.71</v>
      </c>
    </row>
    <row r="6047" spans="1:4">
      <c r="A6047" s="261">
        <v>6205795</v>
      </c>
      <c r="B6047" s="265" t="s">
        <v>17347</v>
      </c>
      <c r="C6047" s="261" t="s">
        <v>6</v>
      </c>
      <c r="D6047" s="266">
        <v>750.7</v>
      </c>
    </row>
    <row r="6048" spans="1:4">
      <c r="A6048" s="261">
        <v>6219521</v>
      </c>
      <c r="B6048" s="265" t="s">
        <v>17348</v>
      </c>
      <c r="C6048" s="261" t="s">
        <v>5</v>
      </c>
      <c r="D6048" s="266">
        <v>168.16</v>
      </c>
    </row>
    <row r="6049" spans="1:4" ht="31.5">
      <c r="A6049" s="261">
        <v>6219527</v>
      </c>
      <c r="B6049" s="265" t="s">
        <v>17349</v>
      </c>
      <c r="C6049" s="261" t="s">
        <v>3</v>
      </c>
      <c r="D6049" s="266">
        <v>398.6</v>
      </c>
    </row>
    <row r="6050" spans="1:4">
      <c r="A6050" s="261">
        <v>6219526</v>
      </c>
      <c r="B6050" s="265" t="s">
        <v>17350</v>
      </c>
      <c r="C6050" s="261" t="s">
        <v>6</v>
      </c>
      <c r="D6050" s="266">
        <v>55.53</v>
      </c>
    </row>
    <row r="6051" spans="1:4">
      <c r="A6051" s="261">
        <v>6219525</v>
      </c>
      <c r="B6051" s="265" t="s">
        <v>17351</v>
      </c>
      <c r="C6051" s="261" t="s">
        <v>6</v>
      </c>
      <c r="D6051" s="266">
        <v>51.26</v>
      </c>
    </row>
    <row r="6052" spans="1:4">
      <c r="A6052" s="261">
        <v>6219508</v>
      </c>
      <c r="B6052" s="265" t="s">
        <v>17352</v>
      </c>
      <c r="C6052" s="261" t="s">
        <v>6</v>
      </c>
      <c r="D6052" s="266">
        <v>357.72</v>
      </c>
    </row>
    <row r="6053" spans="1:4">
      <c r="A6053" s="261">
        <v>6219511</v>
      </c>
      <c r="B6053" s="265" t="s">
        <v>17353</v>
      </c>
      <c r="C6053" s="261" t="s">
        <v>6</v>
      </c>
      <c r="D6053" s="266">
        <v>271.60000000000002</v>
      </c>
    </row>
    <row r="6054" spans="1:4">
      <c r="A6054" s="261">
        <v>6219500</v>
      </c>
      <c r="B6054" s="265" t="s">
        <v>17354</v>
      </c>
      <c r="C6054" s="261" t="s">
        <v>5</v>
      </c>
      <c r="D6054" s="266">
        <v>142.02000000000001</v>
      </c>
    </row>
    <row r="6055" spans="1:4">
      <c r="A6055" s="261">
        <v>6219418</v>
      </c>
      <c r="B6055" s="265" t="s">
        <v>17355</v>
      </c>
      <c r="C6055" s="261" t="s">
        <v>5</v>
      </c>
      <c r="D6055" s="266">
        <v>306.93</v>
      </c>
    </row>
    <row r="6056" spans="1:4">
      <c r="A6056" s="261">
        <v>6219412</v>
      </c>
      <c r="B6056" s="265" t="s">
        <v>17356</v>
      </c>
      <c r="C6056" s="261" t="s">
        <v>5</v>
      </c>
      <c r="D6056" s="266">
        <v>215.99</v>
      </c>
    </row>
    <row r="6057" spans="1:4">
      <c r="A6057" s="261">
        <v>6219406</v>
      </c>
      <c r="B6057" s="265" t="s">
        <v>17357</v>
      </c>
      <c r="C6057" s="261" t="s">
        <v>5</v>
      </c>
      <c r="D6057" s="266">
        <v>152.44</v>
      </c>
    </row>
    <row r="6058" spans="1:4">
      <c r="A6058" s="261">
        <v>6219501</v>
      </c>
      <c r="B6058" s="265" t="s">
        <v>17358</v>
      </c>
      <c r="C6058" s="261" t="s">
        <v>5</v>
      </c>
      <c r="D6058" s="266">
        <v>153.66</v>
      </c>
    </row>
    <row r="6059" spans="1:4">
      <c r="A6059" s="261">
        <v>6219419</v>
      </c>
      <c r="B6059" s="265" t="s">
        <v>17359</v>
      </c>
      <c r="C6059" s="261" t="s">
        <v>5</v>
      </c>
      <c r="D6059" s="266">
        <v>337.81</v>
      </c>
    </row>
    <row r="6060" spans="1:4">
      <c r="A6060" s="261">
        <v>6219413</v>
      </c>
      <c r="B6060" s="265" t="s">
        <v>17360</v>
      </c>
      <c r="C6060" s="261" t="s">
        <v>5</v>
      </c>
      <c r="D6060" s="266">
        <v>235.8</v>
      </c>
    </row>
    <row r="6061" spans="1:4">
      <c r="A6061" s="261">
        <v>6219407</v>
      </c>
      <c r="B6061" s="265" t="s">
        <v>17361</v>
      </c>
      <c r="C6061" s="261" t="s">
        <v>5</v>
      </c>
      <c r="D6061" s="266">
        <v>165.15</v>
      </c>
    </row>
    <row r="6062" spans="1:4">
      <c r="A6062" s="261">
        <v>6219502</v>
      </c>
      <c r="B6062" s="265" t="s">
        <v>17362</v>
      </c>
      <c r="C6062" s="261" t="s">
        <v>5</v>
      </c>
      <c r="D6062" s="266">
        <v>165.57</v>
      </c>
    </row>
    <row r="6063" spans="1:4">
      <c r="A6063" s="261">
        <v>6219420</v>
      </c>
      <c r="B6063" s="265" t="s">
        <v>17363</v>
      </c>
      <c r="C6063" s="261" t="s">
        <v>5</v>
      </c>
      <c r="D6063" s="266">
        <v>377.87</v>
      </c>
    </row>
    <row r="6064" spans="1:4">
      <c r="A6064" s="261">
        <v>6219414</v>
      </c>
      <c r="B6064" s="265" t="s">
        <v>17364</v>
      </c>
      <c r="C6064" s="261" t="s">
        <v>5</v>
      </c>
      <c r="D6064" s="266">
        <v>259.02999999999997</v>
      </c>
    </row>
    <row r="6065" spans="1:4">
      <c r="A6065" s="261">
        <v>6219408</v>
      </c>
      <c r="B6065" s="265" t="s">
        <v>17365</v>
      </c>
      <c r="C6065" s="261" t="s">
        <v>5</v>
      </c>
      <c r="D6065" s="266">
        <v>178</v>
      </c>
    </row>
    <row r="6066" spans="1:4">
      <c r="A6066" s="261">
        <v>6219503</v>
      </c>
      <c r="B6066" s="265" t="s">
        <v>17366</v>
      </c>
      <c r="C6066" s="261" t="s">
        <v>5</v>
      </c>
      <c r="D6066" s="266">
        <v>191.47</v>
      </c>
    </row>
    <row r="6067" spans="1:4">
      <c r="A6067" s="261">
        <v>6219421</v>
      </c>
      <c r="B6067" s="265" t="s">
        <v>17367</v>
      </c>
      <c r="C6067" s="261" t="s">
        <v>5</v>
      </c>
      <c r="D6067" s="266">
        <v>448.96</v>
      </c>
    </row>
    <row r="6068" spans="1:4">
      <c r="A6068" s="261">
        <v>6219415</v>
      </c>
      <c r="B6068" s="265" t="s">
        <v>17368</v>
      </c>
      <c r="C6068" s="261" t="s">
        <v>5</v>
      </c>
      <c r="D6068" s="266">
        <v>302.24</v>
      </c>
    </row>
    <row r="6069" spans="1:4">
      <c r="A6069" s="261">
        <v>6219409</v>
      </c>
      <c r="B6069" s="265" t="s">
        <v>17369</v>
      </c>
      <c r="C6069" s="261" t="s">
        <v>5</v>
      </c>
      <c r="D6069" s="266">
        <v>207.34</v>
      </c>
    </row>
    <row r="6070" spans="1:4">
      <c r="A6070" s="261">
        <v>6219518</v>
      </c>
      <c r="B6070" s="265" t="s">
        <v>17370</v>
      </c>
      <c r="C6070" s="261" t="s">
        <v>5</v>
      </c>
      <c r="D6070" s="266">
        <v>53.28</v>
      </c>
    </row>
    <row r="6071" spans="1:4">
      <c r="A6071" s="261">
        <v>6219504</v>
      </c>
      <c r="B6071" s="265" t="s">
        <v>17371</v>
      </c>
      <c r="C6071" s="261" t="s">
        <v>5</v>
      </c>
      <c r="D6071" s="266">
        <v>123.86</v>
      </c>
    </row>
    <row r="6072" spans="1:4">
      <c r="A6072" s="261">
        <v>6219422</v>
      </c>
      <c r="B6072" s="265" t="s">
        <v>17372</v>
      </c>
      <c r="C6072" s="261" t="s">
        <v>5</v>
      </c>
      <c r="D6072" s="266">
        <v>277.18</v>
      </c>
    </row>
    <row r="6073" spans="1:4">
      <c r="A6073" s="261">
        <v>6219416</v>
      </c>
      <c r="B6073" s="265" t="s">
        <v>17373</v>
      </c>
      <c r="C6073" s="261" t="s">
        <v>5</v>
      </c>
      <c r="D6073" s="266">
        <v>212.63</v>
      </c>
    </row>
    <row r="6074" spans="1:4">
      <c r="A6074" s="261">
        <v>6219410</v>
      </c>
      <c r="B6074" s="265" t="s">
        <v>17374</v>
      </c>
      <c r="C6074" s="261" t="s">
        <v>5</v>
      </c>
      <c r="D6074" s="266">
        <v>147.97</v>
      </c>
    </row>
    <row r="6075" spans="1:4">
      <c r="A6075" s="261">
        <v>6219505</v>
      </c>
      <c r="B6075" s="265" t="s">
        <v>17375</v>
      </c>
      <c r="C6075" s="261" t="s">
        <v>5</v>
      </c>
      <c r="D6075" s="266">
        <v>106.14</v>
      </c>
    </row>
    <row r="6076" spans="1:4">
      <c r="A6076" s="261">
        <v>6219423</v>
      </c>
      <c r="B6076" s="265" t="s">
        <v>17376</v>
      </c>
      <c r="C6076" s="261" t="s">
        <v>5</v>
      </c>
      <c r="D6076" s="266">
        <v>250.1</v>
      </c>
    </row>
    <row r="6077" spans="1:4">
      <c r="A6077" s="261">
        <v>6219417</v>
      </c>
      <c r="B6077" s="265" t="s">
        <v>17377</v>
      </c>
      <c r="C6077" s="261" t="s">
        <v>5</v>
      </c>
      <c r="D6077" s="266">
        <v>189.34</v>
      </c>
    </row>
    <row r="6078" spans="1:4">
      <c r="A6078" s="261">
        <v>6219411</v>
      </c>
      <c r="B6078" s="265" t="s">
        <v>17378</v>
      </c>
      <c r="C6078" s="261" t="s">
        <v>5</v>
      </c>
      <c r="D6078" s="266">
        <v>128.6</v>
      </c>
    </row>
    <row r="6079" spans="1:4">
      <c r="A6079" s="261">
        <v>6219520</v>
      </c>
      <c r="B6079" s="265" t="s">
        <v>17379</v>
      </c>
      <c r="C6079" s="261" t="s">
        <v>3</v>
      </c>
      <c r="D6079" s="266">
        <v>60.78</v>
      </c>
    </row>
    <row r="6080" spans="1:4">
      <c r="A6080" s="261">
        <v>6219433</v>
      </c>
      <c r="B6080" s="265" t="s">
        <v>17380</v>
      </c>
      <c r="C6080" s="261" t="s">
        <v>6</v>
      </c>
      <c r="D6080" s="266">
        <v>111.14</v>
      </c>
    </row>
    <row r="6081" spans="1:4">
      <c r="A6081" s="261">
        <v>6205801</v>
      </c>
      <c r="B6081" s="265" t="s">
        <v>17381</v>
      </c>
      <c r="C6081" s="261" t="s">
        <v>6</v>
      </c>
      <c r="D6081" s="266">
        <v>73.180000000000007</v>
      </c>
    </row>
    <row r="6082" spans="1:4">
      <c r="A6082" s="261">
        <v>6219524</v>
      </c>
      <c r="B6082" s="265" t="s">
        <v>17382</v>
      </c>
      <c r="C6082" s="261" t="s">
        <v>97</v>
      </c>
      <c r="D6082" s="266">
        <v>11.65</v>
      </c>
    </row>
    <row r="6083" spans="1:4">
      <c r="A6083" s="261">
        <v>6416036</v>
      </c>
      <c r="B6083" s="265" t="s">
        <v>17383</v>
      </c>
      <c r="C6083" s="261" t="s">
        <v>5</v>
      </c>
      <c r="D6083" s="266">
        <v>109.9</v>
      </c>
    </row>
    <row r="6084" spans="1:4">
      <c r="A6084" s="261">
        <v>6416038</v>
      </c>
      <c r="B6084" s="265" t="s">
        <v>17384</v>
      </c>
      <c r="C6084" s="261" t="s">
        <v>5</v>
      </c>
      <c r="D6084" s="266">
        <v>69.45</v>
      </c>
    </row>
    <row r="6085" spans="1:4">
      <c r="A6085" s="261">
        <v>6416037</v>
      </c>
      <c r="B6085" s="265" t="s">
        <v>17385</v>
      </c>
      <c r="C6085" s="261" t="s">
        <v>5</v>
      </c>
      <c r="D6085" s="266">
        <v>119.41</v>
      </c>
    </row>
    <row r="6086" spans="1:4">
      <c r="A6086" s="261">
        <v>6416035</v>
      </c>
      <c r="B6086" s="265" t="s">
        <v>17386</v>
      </c>
      <c r="C6086" s="261" t="s">
        <v>5</v>
      </c>
      <c r="D6086" s="266">
        <v>78.459999999999994</v>
      </c>
    </row>
    <row r="6087" spans="1:4">
      <c r="A6087" s="261">
        <v>6416076</v>
      </c>
      <c r="B6087" s="265" t="s">
        <v>17387</v>
      </c>
      <c r="C6087" s="261" t="s">
        <v>18</v>
      </c>
      <c r="D6087" s="266">
        <v>152.53</v>
      </c>
    </row>
    <row r="6088" spans="1:4">
      <c r="A6088" s="261">
        <v>6416075</v>
      </c>
      <c r="B6088" s="265" t="s">
        <v>17388</v>
      </c>
      <c r="C6088" s="261" t="s">
        <v>18</v>
      </c>
      <c r="D6088" s="266">
        <v>98.76</v>
      </c>
    </row>
    <row r="6089" spans="1:4">
      <c r="A6089" s="261">
        <v>6416226</v>
      </c>
      <c r="B6089" s="265" t="s">
        <v>17389</v>
      </c>
      <c r="C6089" s="261" t="s">
        <v>18</v>
      </c>
      <c r="D6089" s="266">
        <v>143.11000000000001</v>
      </c>
    </row>
    <row r="6090" spans="1:4">
      <c r="A6090" s="261">
        <v>6416225</v>
      </c>
      <c r="B6090" s="265" t="s">
        <v>17390</v>
      </c>
      <c r="C6090" s="261" t="s">
        <v>18</v>
      </c>
      <c r="D6090" s="266">
        <v>88.16</v>
      </c>
    </row>
    <row r="6091" spans="1:4">
      <c r="A6091" s="261">
        <v>6416084</v>
      </c>
      <c r="B6091" s="265" t="s">
        <v>17391</v>
      </c>
      <c r="C6091" s="261" t="s">
        <v>18</v>
      </c>
      <c r="D6091" s="266">
        <v>145.37</v>
      </c>
    </row>
    <row r="6092" spans="1:4">
      <c r="A6092" s="261">
        <v>6416083</v>
      </c>
      <c r="B6092" s="265" t="s">
        <v>17392</v>
      </c>
      <c r="C6092" s="261" t="s">
        <v>18</v>
      </c>
      <c r="D6092" s="266">
        <v>88.87</v>
      </c>
    </row>
    <row r="6093" spans="1:4">
      <c r="A6093" s="261">
        <v>6416234</v>
      </c>
      <c r="B6093" s="265" t="s">
        <v>17393</v>
      </c>
      <c r="C6093" s="261" t="s">
        <v>18</v>
      </c>
      <c r="D6093" s="266">
        <v>150.72</v>
      </c>
    </row>
    <row r="6094" spans="1:4">
      <c r="A6094" s="261">
        <v>6416233</v>
      </c>
      <c r="B6094" s="265" t="s">
        <v>17394</v>
      </c>
      <c r="C6094" s="261" t="s">
        <v>18</v>
      </c>
      <c r="D6094" s="266">
        <v>95.22</v>
      </c>
    </row>
    <row r="6095" spans="1:4">
      <c r="A6095" s="261">
        <v>6416236</v>
      </c>
      <c r="B6095" s="265" t="s">
        <v>17395</v>
      </c>
      <c r="C6095" s="261" t="s">
        <v>18</v>
      </c>
      <c r="D6095" s="266">
        <v>154.19999999999999</v>
      </c>
    </row>
    <row r="6096" spans="1:4">
      <c r="A6096" s="261">
        <v>6416235</v>
      </c>
      <c r="B6096" s="265" t="s">
        <v>17396</v>
      </c>
      <c r="C6096" s="261" t="s">
        <v>18</v>
      </c>
      <c r="D6096" s="266">
        <v>99.42</v>
      </c>
    </row>
    <row r="6097" spans="1:4">
      <c r="A6097" s="261">
        <v>6416040</v>
      </c>
      <c r="B6097" s="265" t="s">
        <v>17397</v>
      </c>
      <c r="C6097" s="261" t="s">
        <v>5</v>
      </c>
      <c r="D6097" s="266">
        <v>159.78</v>
      </c>
    </row>
    <row r="6098" spans="1:4">
      <c r="A6098" s="261">
        <v>6416039</v>
      </c>
      <c r="B6098" s="265" t="s">
        <v>17398</v>
      </c>
      <c r="C6098" s="261" t="s">
        <v>5</v>
      </c>
      <c r="D6098" s="266">
        <v>95.71</v>
      </c>
    </row>
    <row r="6099" spans="1:4">
      <c r="A6099" s="261">
        <v>6416042</v>
      </c>
      <c r="B6099" s="265" t="s">
        <v>17399</v>
      </c>
      <c r="C6099" s="261" t="s">
        <v>5</v>
      </c>
      <c r="D6099" s="266">
        <v>202.38</v>
      </c>
    </row>
    <row r="6100" spans="1:4">
      <c r="A6100" s="261">
        <v>6416041</v>
      </c>
      <c r="B6100" s="265" t="s">
        <v>17400</v>
      </c>
      <c r="C6100" s="261" t="s">
        <v>5</v>
      </c>
      <c r="D6100" s="266">
        <v>140.44</v>
      </c>
    </row>
    <row r="6101" spans="1:4">
      <c r="A6101" s="261">
        <v>6416080</v>
      </c>
      <c r="B6101" s="265" t="s">
        <v>17401</v>
      </c>
      <c r="C6101" s="261" t="s">
        <v>18</v>
      </c>
      <c r="D6101" s="266">
        <v>148.19999999999999</v>
      </c>
    </row>
    <row r="6102" spans="1:4">
      <c r="A6102" s="261">
        <v>6416079</v>
      </c>
      <c r="B6102" s="265" t="s">
        <v>17402</v>
      </c>
      <c r="C6102" s="261" t="s">
        <v>18</v>
      </c>
      <c r="D6102" s="266">
        <v>110.35</v>
      </c>
    </row>
    <row r="6103" spans="1:4">
      <c r="A6103" s="261">
        <v>6416143</v>
      </c>
      <c r="B6103" s="265" t="s">
        <v>17403</v>
      </c>
      <c r="C6103" s="261" t="s">
        <v>18</v>
      </c>
      <c r="D6103" s="266">
        <v>151.82</v>
      </c>
    </row>
    <row r="6104" spans="1:4">
      <c r="A6104" s="261">
        <v>6416262</v>
      </c>
      <c r="B6104" s="265" t="s">
        <v>17404</v>
      </c>
      <c r="C6104" s="261" t="s">
        <v>18</v>
      </c>
      <c r="D6104" s="266">
        <v>112.69</v>
      </c>
    </row>
    <row r="6105" spans="1:4">
      <c r="A6105" s="261">
        <v>6416078</v>
      </c>
      <c r="B6105" s="265" t="s">
        <v>17405</v>
      </c>
      <c r="C6105" s="261" t="s">
        <v>18</v>
      </c>
      <c r="D6105" s="266">
        <v>153.41</v>
      </c>
    </row>
    <row r="6106" spans="1:4">
      <c r="A6106" s="261">
        <v>6416077</v>
      </c>
      <c r="B6106" s="265" t="s">
        <v>17406</v>
      </c>
      <c r="C6106" s="261" t="s">
        <v>18</v>
      </c>
      <c r="D6106" s="266">
        <v>110.74</v>
      </c>
    </row>
    <row r="6107" spans="1:4">
      <c r="A6107" s="261">
        <v>6416088</v>
      </c>
      <c r="B6107" s="265" t="s">
        <v>17407</v>
      </c>
      <c r="C6107" s="261" t="s">
        <v>18</v>
      </c>
      <c r="D6107" s="266">
        <v>148.63999999999999</v>
      </c>
    </row>
    <row r="6108" spans="1:4">
      <c r="A6108" s="261">
        <v>6416087</v>
      </c>
      <c r="B6108" s="265" t="s">
        <v>17408</v>
      </c>
      <c r="C6108" s="261" t="s">
        <v>18</v>
      </c>
      <c r="D6108" s="266">
        <v>110.58</v>
      </c>
    </row>
    <row r="6109" spans="1:4">
      <c r="A6109" s="261">
        <v>6416246</v>
      </c>
      <c r="B6109" s="265" t="s">
        <v>17409</v>
      </c>
      <c r="C6109" s="261" t="s">
        <v>18</v>
      </c>
      <c r="D6109" s="266">
        <v>152.24</v>
      </c>
    </row>
    <row r="6110" spans="1:4">
      <c r="A6110" s="261">
        <v>6416245</v>
      </c>
      <c r="B6110" s="265" t="s">
        <v>17410</v>
      </c>
      <c r="C6110" s="261" t="s">
        <v>18</v>
      </c>
      <c r="D6110" s="266">
        <v>112.93</v>
      </c>
    </row>
    <row r="6111" spans="1:4">
      <c r="A6111" s="261">
        <v>6416248</v>
      </c>
      <c r="B6111" s="265" t="s">
        <v>17411</v>
      </c>
      <c r="C6111" s="261" t="s">
        <v>18</v>
      </c>
      <c r="D6111" s="266">
        <v>159.63999999999999</v>
      </c>
    </row>
    <row r="6112" spans="1:4">
      <c r="A6112" s="261">
        <v>6416247</v>
      </c>
      <c r="B6112" s="265" t="s">
        <v>17412</v>
      </c>
      <c r="C6112" s="261" t="s">
        <v>18</v>
      </c>
      <c r="D6112" s="266">
        <v>114.87</v>
      </c>
    </row>
    <row r="6113" spans="1:4">
      <c r="A6113" s="261">
        <v>6416214</v>
      </c>
      <c r="B6113" s="265" t="s">
        <v>17413</v>
      </c>
      <c r="C6113" s="261" t="s">
        <v>18</v>
      </c>
      <c r="D6113" s="266">
        <v>181.73</v>
      </c>
    </row>
    <row r="6114" spans="1:4">
      <c r="A6114" s="261">
        <v>6416218</v>
      </c>
      <c r="B6114" s="265" t="s">
        <v>17414</v>
      </c>
      <c r="C6114" s="261" t="s">
        <v>18</v>
      </c>
      <c r="D6114" s="266">
        <v>155.22</v>
      </c>
    </row>
    <row r="6115" spans="1:4">
      <c r="A6115" s="261">
        <v>6416211</v>
      </c>
      <c r="B6115" s="265" t="s">
        <v>17415</v>
      </c>
      <c r="C6115" s="261" t="s">
        <v>18</v>
      </c>
      <c r="D6115" s="266">
        <v>182.2</v>
      </c>
    </row>
    <row r="6116" spans="1:4">
      <c r="A6116" s="261">
        <v>6416215</v>
      </c>
      <c r="B6116" s="265" t="s">
        <v>17416</v>
      </c>
      <c r="C6116" s="261" t="s">
        <v>18</v>
      </c>
      <c r="D6116" s="266">
        <v>155.76</v>
      </c>
    </row>
    <row r="6117" spans="1:4">
      <c r="A6117" s="261">
        <v>6416212</v>
      </c>
      <c r="B6117" s="265" t="s">
        <v>17417</v>
      </c>
      <c r="C6117" s="261" t="s">
        <v>18</v>
      </c>
      <c r="D6117" s="266">
        <v>185.41</v>
      </c>
    </row>
    <row r="6118" spans="1:4">
      <c r="A6118" s="261">
        <v>6416216</v>
      </c>
      <c r="B6118" s="265" t="s">
        <v>17418</v>
      </c>
      <c r="C6118" s="261" t="s">
        <v>18</v>
      </c>
      <c r="D6118" s="266">
        <v>159.54</v>
      </c>
    </row>
    <row r="6119" spans="1:4">
      <c r="A6119" s="261">
        <v>6416213</v>
      </c>
      <c r="B6119" s="265" t="s">
        <v>17419</v>
      </c>
      <c r="C6119" s="261" t="s">
        <v>18</v>
      </c>
      <c r="D6119" s="266">
        <v>186.43</v>
      </c>
    </row>
    <row r="6120" spans="1:4">
      <c r="A6120" s="261">
        <v>6416217</v>
      </c>
      <c r="B6120" s="265" t="s">
        <v>17420</v>
      </c>
      <c r="C6120" s="261" t="s">
        <v>18</v>
      </c>
      <c r="D6120" s="266">
        <v>161.41</v>
      </c>
    </row>
    <row r="6121" spans="1:4">
      <c r="A6121" s="261">
        <v>6416289</v>
      </c>
      <c r="B6121" s="265" t="s">
        <v>17421</v>
      </c>
      <c r="C6121" s="261" t="s">
        <v>5</v>
      </c>
      <c r="D6121" s="266">
        <v>97.55</v>
      </c>
    </row>
    <row r="6122" spans="1:4">
      <c r="A6122" s="261">
        <v>6416098</v>
      </c>
      <c r="B6122" s="265" t="s">
        <v>17422</v>
      </c>
      <c r="C6122" s="261" t="s">
        <v>18</v>
      </c>
      <c r="D6122" s="266">
        <v>134.78</v>
      </c>
    </row>
    <row r="6123" spans="1:4">
      <c r="A6123" s="261">
        <v>6416097</v>
      </c>
      <c r="B6123" s="265" t="s">
        <v>17423</v>
      </c>
      <c r="C6123" s="261" t="s">
        <v>18</v>
      </c>
      <c r="D6123" s="266">
        <v>116.53</v>
      </c>
    </row>
    <row r="6124" spans="1:4">
      <c r="A6124" s="261">
        <v>6416258</v>
      </c>
      <c r="B6124" s="265" t="s">
        <v>17424</v>
      </c>
      <c r="C6124" s="261" t="s">
        <v>18</v>
      </c>
      <c r="D6124" s="266">
        <v>138.77000000000001</v>
      </c>
    </row>
    <row r="6125" spans="1:4">
      <c r="A6125" s="261">
        <v>6416259</v>
      </c>
      <c r="B6125" s="265" t="s">
        <v>17425</v>
      </c>
      <c r="C6125" s="261" t="s">
        <v>18</v>
      </c>
      <c r="D6125" s="266">
        <v>113.69</v>
      </c>
    </row>
    <row r="6126" spans="1:4">
      <c r="A6126" s="261">
        <v>6416074</v>
      </c>
      <c r="B6126" s="265" t="s">
        <v>17426</v>
      </c>
      <c r="C6126" s="261" t="s">
        <v>5</v>
      </c>
      <c r="D6126" s="266">
        <v>198.29</v>
      </c>
    </row>
    <row r="6127" spans="1:4">
      <c r="A6127" s="261">
        <v>6416073</v>
      </c>
      <c r="B6127" s="265" t="s">
        <v>17427</v>
      </c>
      <c r="C6127" s="261" t="s">
        <v>5</v>
      </c>
      <c r="D6127" s="266">
        <v>118.04</v>
      </c>
    </row>
    <row r="6128" spans="1:4">
      <c r="A6128" s="261">
        <v>6416220</v>
      </c>
      <c r="B6128" s="265" t="s">
        <v>17428</v>
      </c>
      <c r="C6128" s="261" t="s">
        <v>5</v>
      </c>
      <c r="D6128" s="266">
        <v>198.72</v>
      </c>
    </row>
    <row r="6129" spans="1:4">
      <c r="A6129" s="261">
        <v>6416219</v>
      </c>
      <c r="B6129" s="265" t="s">
        <v>17429</v>
      </c>
      <c r="C6129" s="261" t="s">
        <v>5</v>
      </c>
      <c r="D6129" s="266">
        <v>114.92</v>
      </c>
    </row>
    <row r="6130" spans="1:4">
      <c r="A6130" s="261">
        <v>6416222</v>
      </c>
      <c r="B6130" s="265" t="s">
        <v>17430</v>
      </c>
      <c r="C6130" s="261" t="s">
        <v>5</v>
      </c>
      <c r="D6130" s="266">
        <v>211.71</v>
      </c>
    </row>
    <row r="6131" spans="1:4">
      <c r="A6131" s="261">
        <v>6416221</v>
      </c>
      <c r="B6131" s="265" t="s">
        <v>17431</v>
      </c>
      <c r="C6131" s="261" t="s">
        <v>5</v>
      </c>
      <c r="D6131" s="266">
        <v>128.36000000000001</v>
      </c>
    </row>
    <row r="6132" spans="1:4">
      <c r="A6132" s="261">
        <v>6416224</v>
      </c>
      <c r="B6132" s="265" t="s">
        <v>17432</v>
      </c>
      <c r="C6132" s="261" t="s">
        <v>5</v>
      </c>
      <c r="D6132" s="266">
        <v>212.15</v>
      </c>
    </row>
    <row r="6133" spans="1:4">
      <c r="A6133" s="261">
        <v>6416223</v>
      </c>
      <c r="B6133" s="265" t="s">
        <v>17433</v>
      </c>
      <c r="C6133" s="261" t="s">
        <v>5</v>
      </c>
      <c r="D6133" s="266">
        <v>125.24</v>
      </c>
    </row>
    <row r="6134" spans="1:4">
      <c r="A6134" s="261">
        <v>6416082</v>
      </c>
      <c r="B6134" s="265" t="s">
        <v>17434</v>
      </c>
      <c r="C6134" s="261" t="s">
        <v>5</v>
      </c>
      <c r="D6134" s="266">
        <v>198.29</v>
      </c>
    </row>
    <row r="6135" spans="1:4">
      <c r="A6135" s="261">
        <v>6416081</v>
      </c>
      <c r="B6135" s="265" t="s">
        <v>17435</v>
      </c>
      <c r="C6135" s="261" t="s">
        <v>5</v>
      </c>
      <c r="D6135" s="266">
        <v>118.04</v>
      </c>
    </row>
    <row r="6136" spans="1:4">
      <c r="A6136" s="261">
        <v>6416228</v>
      </c>
      <c r="B6136" s="265" t="s">
        <v>17436</v>
      </c>
      <c r="C6136" s="261" t="s">
        <v>5</v>
      </c>
      <c r="D6136" s="266">
        <v>198.72</v>
      </c>
    </row>
    <row r="6137" spans="1:4">
      <c r="A6137" s="261">
        <v>6416227</v>
      </c>
      <c r="B6137" s="265" t="s">
        <v>17437</v>
      </c>
      <c r="C6137" s="261" t="s">
        <v>5</v>
      </c>
      <c r="D6137" s="266">
        <v>114.92</v>
      </c>
    </row>
    <row r="6138" spans="1:4">
      <c r="A6138" s="261">
        <v>6416230</v>
      </c>
      <c r="B6138" s="265" t="s">
        <v>17438</v>
      </c>
      <c r="C6138" s="261" t="s">
        <v>5</v>
      </c>
      <c r="D6138" s="266">
        <v>210.8</v>
      </c>
    </row>
    <row r="6139" spans="1:4">
      <c r="A6139" s="261">
        <v>6416229</v>
      </c>
      <c r="B6139" s="265" t="s">
        <v>17439</v>
      </c>
      <c r="C6139" s="261" t="s">
        <v>5</v>
      </c>
      <c r="D6139" s="266">
        <v>127.84</v>
      </c>
    </row>
    <row r="6140" spans="1:4">
      <c r="A6140" s="261">
        <v>6416232</v>
      </c>
      <c r="B6140" s="265" t="s">
        <v>17440</v>
      </c>
      <c r="C6140" s="261" t="s">
        <v>5</v>
      </c>
      <c r="D6140" s="266">
        <v>211.23</v>
      </c>
    </row>
    <row r="6141" spans="1:4">
      <c r="A6141" s="261">
        <v>6416231</v>
      </c>
      <c r="B6141" s="265" t="s">
        <v>17441</v>
      </c>
      <c r="C6141" s="261" t="s">
        <v>5</v>
      </c>
      <c r="D6141" s="266">
        <v>124.73</v>
      </c>
    </row>
    <row r="6142" spans="1:4">
      <c r="A6142" s="261">
        <v>6416086</v>
      </c>
      <c r="B6142" s="265" t="s">
        <v>17442</v>
      </c>
      <c r="C6142" s="261" t="s">
        <v>18</v>
      </c>
      <c r="D6142" s="266">
        <v>146.76</v>
      </c>
    </row>
    <row r="6143" spans="1:4">
      <c r="A6143" s="261">
        <v>6416085</v>
      </c>
      <c r="B6143" s="265" t="s">
        <v>17443</v>
      </c>
      <c r="C6143" s="261" t="s">
        <v>18</v>
      </c>
      <c r="D6143" s="266">
        <v>110.45</v>
      </c>
    </row>
    <row r="6144" spans="1:4">
      <c r="A6144" s="261">
        <v>6416238</v>
      </c>
      <c r="B6144" s="265" t="s">
        <v>17444</v>
      </c>
      <c r="C6144" s="261" t="s">
        <v>18</v>
      </c>
      <c r="D6144" s="266">
        <v>139.22999999999999</v>
      </c>
    </row>
    <row r="6145" spans="1:4">
      <c r="A6145" s="261">
        <v>6416237</v>
      </c>
      <c r="B6145" s="265" t="s">
        <v>17445</v>
      </c>
      <c r="C6145" s="261" t="s">
        <v>18</v>
      </c>
      <c r="D6145" s="266">
        <v>101.73</v>
      </c>
    </row>
    <row r="6146" spans="1:4">
      <c r="A6146" s="261">
        <v>6416240</v>
      </c>
      <c r="B6146" s="265" t="s">
        <v>17446</v>
      </c>
      <c r="C6146" s="261" t="s">
        <v>18</v>
      </c>
      <c r="D6146" s="266">
        <v>148.99</v>
      </c>
    </row>
    <row r="6147" spans="1:4">
      <c r="A6147" s="261">
        <v>6416239</v>
      </c>
      <c r="B6147" s="265" t="s">
        <v>17447</v>
      </c>
      <c r="C6147" s="261" t="s">
        <v>18</v>
      </c>
      <c r="D6147" s="266">
        <v>108.54</v>
      </c>
    </row>
    <row r="6148" spans="1:4">
      <c r="A6148" s="261">
        <v>6416242</v>
      </c>
      <c r="B6148" s="265" t="s">
        <v>17448</v>
      </c>
      <c r="C6148" s="261" t="s">
        <v>18</v>
      </c>
      <c r="D6148" s="266">
        <v>148.44999999999999</v>
      </c>
    </row>
    <row r="6149" spans="1:4">
      <c r="A6149" s="261">
        <v>6416241</v>
      </c>
      <c r="B6149" s="265" t="s">
        <v>17449</v>
      </c>
      <c r="C6149" s="261" t="s">
        <v>18</v>
      </c>
      <c r="D6149" s="266">
        <v>114.66</v>
      </c>
    </row>
    <row r="6150" spans="1:4">
      <c r="A6150" s="261">
        <v>6416244</v>
      </c>
      <c r="B6150" s="265" t="s">
        <v>17450</v>
      </c>
      <c r="C6150" s="261" t="s">
        <v>18</v>
      </c>
      <c r="D6150" s="266">
        <v>148.44999999999999</v>
      </c>
    </row>
    <row r="6151" spans="1:4">
      <c r="A6151" s="261">
        <v>6416243</v>
      </c>
      <c r="B6151" s="265" t="s">
        <v>17451</v>
      </c>
      <c r="C6151" s="261" t="s">
        <v>18</v>
      </c>
      <c r="D6151" s="266">
        <v>114.25</v>
      </c>
    </row>
    <row r="6152" spans="1:4">
      <c r="A6152" s="261">
        <v>6416250</v>
      </c>
      <c r="B6152" s="265" t="s">
        <v>17452</v>
      </c>
      <c r="C6152" s="261" t="s">
        <v>5</v>
      </c>
      <c r="D6152" s="266">
        <v>55.7</v>
      </c>
    </row>
    <row r="6153" spans="1:4">
      <c r="A6153" s="261">
        <v>6416153</v>
      </c>
      <c r="B6153" s="265" t="s">
        <v>17453</v>
      </c>
      <c r="C6153" s="261" t="s">
        <v>5</v>
      </c>
      <c r="D6153" s="266">
        <v>17.11</v>
      </c>
    </row>
    <row r="6154" spans="1:4">
      <c r="A6154" s="261">
        <v>6416185</v>
      </c>
      <c r="B6154" s="265" t="s">
        <v>17454</v>
      </c>
      <c r="C6154" s="261" t="s">
        <v>5</v>
      </c>
      <c r="D6154" s="266">
        <v>88.45</v>
      </c>
    </row>
    <row r="6155" spans="1:4">
      <c r="A6155" s="261">
        <v>6416184</v>
      </c>
      <c r="B6155" s="265" t="s">
        <v>17455</v>
      </c>
      <c r="C6155" s="261" t="s">
        <v>5</v>
      </c>
      <c r="D6155" s="266">
        <v>69.8</v>
      </c>
    </row>
    <row r="6156" spans="1:4">
      <c r="A6156" s="261">
        <v>6416030</v>
      </c>
      <c r="B6156" s="265" t="s">
        <v>17456</v>
      </c>
      <c r="C6156" s="261" t="s">
        <v>5</v>
      </c>
      <c r="D6156" s="266">
        <v>54</v>
      </c>
    </row>
    <row r="6157" spans="1:4">
      <c r="A6157" s="261">
        <v>6416029</v>
      </c>
      <c r="B6157" s="265" t="s">
        <v>17457</v>
      </c>
      <c r="C6157" s="261" t="s">
        <v>5</v>
      </c>
      <c r="D6157" s="266">
        <v>34.770000000000003</v>
      </c>
    </row>
    <row r="6158" spans="1:4">
      <c r="A6158" s="261">
        <v>6416056</v>
      </c>
      <c r="B6158" s="265" t="s">
        <v>17458</v>
      </c>
      <c r="C6158" s="261" t="s">
        <v>5</v>
      </c>
      <c r="D6158" s="266">
        <v>90.61</v>
      </c>
    </row>
    <row r="6159" spans="1:4">
      <c r="A6159" s="261">
        <v>6416278</v>
      </c>
      <c r="B6159" s="265" t="s">
        <v>17459</v>
      </c>
      <c r="C6159" s="261" t="s">
        <v>5</v>
      </c>
      <c r="D6159" s="266">
        <v>22.67</v>
      </c>
    </row>
    <row r="6160" spans="1:4">
      <c r="A6160" s="261">
        <v>6416047</v>
      </c>
      <c r="B6160" s="265" t="s">
        <v>17460</v>
      </c>
      <c r="C6160" s="261" t="s">
        <v>5</v>
      </c>
      <c r="D6160" s="266">
        <v>45.64</v>
      </c>
    </row>
    <row r="6161" spans="1:4">
      <c r="A6161" s="261">
        <v>6416090</v>
      </c>
      <c r="B6161" s="265" t="s">
        <v>17461</v>
      </c>
      <c r="C6161" s="261" t="s">
        <v>5</v>
      </c>
      <c r="D6161" s="266">
        <v>345.65</v>
      </c>
    </row>
    <row r="6162" spans="1:4">
      <c r="A6162" s="261">
        <v>6416089</v>
      </c>
      <c r="B6162" s="265" t="s">
        <v>17462</v>
      </c>
      <c r="C6162" s="261" t="s">
        <v>5</v>
      </c>
      <c r="D6162" s="266">
        <v>264.48</v>
      </c>
    </row>
    <row r="6163" spans="1:4">
      <c r="A6163" s="261">
        <v>6416094</v>
      </c>
      <c r="B6163" s="265" t="s">
        <v>17463</v>
      </c>
      <c r="C6163" s="261" t="s">
        <v>5</v>
      </c>
      <c r="D6163" s="266">
        <v>272.3</v>
      </c>
    </row>
    <row r="6164" spans="1:4">
      <c r="A6164" s="261">
        <v>6416093</v>
      </c>
      <c r="B6164" s="265" t="s">
        <v>17464</v>
      </c>
      <c r="C6164" s="261" t="s">
        <v>5</v>
      </c>
      <c r="D6164" s="266">
        <v>209</v>
      </c>
    </row>
    <row r="6165" spans="1:4">
      <c r="A6165" s="261">
        <v>6416092</v>
      </c>
      <c r="B6165" s="265" t="s">
        <v>17465</v>
      </c>
      <c r="C6165" s="261" t="s">
        <v>5</v>
      </c>
      <c r="D6165" s="266">
        <v>224.37</v>
      </c>
    </row>
    <row r="6166" spans="1:4">
      <c r="A6166" s="261">
        <v>6416091</v>
      </c>
      <c r="B6166" s="265" t="s">
        <v>17466</v>
      </c>
      <c r="C6166" s="261" t="s">
        <v>5</v>
      </c>
      <c r="D6166" s="266">
        <v>158.19</v>
      </c>
    </row>
    <row r="6167" spans="1:4">
      <c r="A6167" s="261">
        <v>6817809</v>
      </c>
      <c r="B6167" s="265" t="s">
        <v>17467</v>
      </c>
      <c r="C6167" s="261" t="s">
        <v>6</v>
      </c>
      <c r="D6167" s="266">
        <v>1042.47</v>
      </c>
    </row>
    <row r="6168" spans="1:4">
      <c r="A6168" s="261">
        <v>6817810</v>
      </c>
      <c r="B6168" s="265" t="s">
        <v>17468</v>
      </c>
      <c r="C6168" s="261" t="s">
        <v>6</v>
      </c>
      <c r="D6168" s="266">
        <v>962.97</v>
      </c>
    </row>
    <row r="6169" spans="1:4">
      <c r="A6169" s="261">
        <v>6817811</v>
      </c>
      <c r="B6169" s="265" t="s">
        <v>17469</v>
      </c>
      <c r="C6169" s="261" t="s">
        <v>6</v>
      </c>
      <c r="D6169" s="266">
        <v>1113.07</v>
      </c>
    </row>
    <row r="6170" spans="1:4">
      <c r="A6170" s="261">
        <v>6817812</v>
      </c>
      <c r="B6170" s="265" t="s">
        <v>17470</v>
      </c>
      <c r="C6170" s="261" t="s">
        <v>6</v>
      </c>
      <c r="D6170" s="266">
        <v>1025.2</v>
      </c>
    </row>
    <row r="6171" spans="1:4">
      <c r="A6171" s="261">
        <v>6817813</v>
      </c>
      <c r="B6171" s="265" t="s">
        <v>17471</v>
      </c>
      <c r="C6171" s="261" t="s">
        <v>6</v>
      </c>
      <c r="D6171" s="266">
        <v>1736.06</v>
      </c>
    </row>
    <row r="6172" spans="1:4">
      <c r="A6172" s="261">
        <v>6817814</v>
      </c>
      <c r="B6172" s="265" t="s">
        <v>17472</v>
      </c>
      <c r="C6172" s="261" t="s">
        <v>6</v>
      </c>
      <c r="D6172" s="266">
        <v>1597.99</v>
      </c>
    </row>
    <row r="6173" spans="1:4">
      <c r="A6173" s="261">
        <v>6817815</v>
      </c>
      <c r="B6173" s="265" t="s">
        <v>17473</v>
      </c>
      <c r="C6173" s="261" t="s">
        <v>6</v>
      </c>
      <c r="D6173" s="266">
        <v>1453.84</v>
      </c>
    </row>
    <row r="6174" spans="1:4">
      <c r="A6174" s="261">
        <v>6817816</v>
      </c>
      <c r="B6174" s="265" t="s">
        <v>17474</v>
      </c>
      <c r="C6174" s="261" t="s">
        <v>6</v>
      </c>
      <c r="D6174" s="266">
        <v>1315.76</v>
      </c>
    </row>
    <row r="6175" spans="1:4">
      <c r="A6175" s="261">
        <v>6817817</v>
      </c>
      <c r="B6175" s="265" t="s">
        <v>17475</v>
      </c>
      <c r="C6175" s="261" t="s">
        <v>6</v>
      </c>
      <c r="D6175" s="266">
        <v>1195.81</v>
      </c>
    </row>
    <row r="6176" spans="1:4">
      <c r="A6176" s="261">
        <v>6817818</v>
      </c>
      <c r="B6176" s="265" t="s">
        <v>17476</v>
      </c>
      <c r="C6176" s="261" t="s">
        <v>6</v>
      </c>
      <c r="D6176" s="266">
        <v>1100.6199999999999</v>
      </c>
    </row>
    <row r="6177" spans="1:4">
      <c r="A6177" s="261">
        <v>6817819</v>
      </c>
      <c r="B6177" s="265" t="s">
        <v>17477</v>
      </c>
      <c r="C6177" s="261" t="s">
        <v>6</v>
      </c>
      <c r="D6177" s="266">
        <v>1822.11</v>
      </c>
    </row>
    <row r="6178" spans="1:4">
      <c r="A6178" s="261">
        <v>6817820</v>
      </c>
      <c r="B6178" s="265" t="s">
        <v>17478</v>
      </c>
      <c r="C6178" s="261" t="s">
        <v>6</v>
      </c>
      <c r="D6178" s="266">
        <v>1673.58</v>
      </c>
    </row>
    <row r="6179" spans="1:4">
      <c r="A6179" s="261">
        <v>6817821</v>
      </c>
      <c r="B6179" s="265" t="s">
        <v>17479</v>
      </c>
      <c r="C6179" s="261" t="s">
        <v>6</v>
      </c>
      <c r="D6179" s="266">
        <v>1549.22</v>
      </c>
    </row>
    <row r="6180" spans="1:4">
      <c r="A6180" s="261">
        <v>6817822</v>
      </c>
      <c r="B6180" s="265" t="s">
        <v>17480</v>
      </c>
      <c r="C6180" s="261" t="s">
        <v>6</v>
      </c>
      <c r="D6180" s="266">
        <v>1400.68</v>
      </c>
    </row>
    <row r="6181" spans="1:4">
      <c r="A6181" s="261">
        <v>6817823</v>
      </c>
      <c r="B6181" s="265" t="s">
        <v>17481</v>
      </c>
      <c r="C6181" s="261" t="s">
        <v>6</v>
      </c>
      <c r="D6181" s="266">
        <v>1282.52</v>
      </c>
    </row>
    <row r="6182" spans="1:4">
      <c r="A6182" s="261">
        <v>6817824</v>
      </c>
      <c r="B6182" s="265" t="s">
        <v>17482</v>
      </c>
      <c r="C6182" s="261" t="s">
        <v>6</v>
      </c>
      <c r="D6182" s="266">
        <v>1178.97</v>
      </c>
    </row>
    <row r="6183" spans="1:4">
      <c r="A6183" s="261">
        <v>6817825</v>
      </c>
      <c r="B6183" s="265" t="s">
        <v>17483</v>
      </c>
      <c r="C6183" s="261" t="s">
        <v>6</v>
      </c>
      <c r="D6183" s="266">
        <v>1846.35</v>
      </c>
    </row>
    <row r="6184" spans="1:4">
      <c r="A6184" s="261">
        <v>6817826</v>
      </c>
      <c r="B6184" s="265" t="s">
        <v>17484</v>
      </c>
      <c r="C6184" s="261" t="s">
        <v>6</v>
      </c>
      <c r="D6184" s="266">
        <v>1687.35</v>
      </c>
    </row>
    <row r="6185" spans="1:4">
      <c r="A6185" s="261">
        <v>6817827</v>
      </c>
      <c r="B6185" s="265" t="s">
        <v>17485</v>
      </c>
      <c r="C6185" s="261" t="s">
        <v>6</v>
      </c>
      <c r="D6185" s="266">
        <v>1644.59</v>
      </c>
    </row>
    <row r="6186" spans="1:4">
      <c r="A6186" s="261">
        <v>6817828</v>
      </c>
      <c r="B6186" s="265" t="s">
        <v>17486</v>
      </c>
      <c r="C6186" s="261" t="s">
        <v>6</v>
      </c>
      <c r="D6186" s="266">
        <v>1485.59</v>
      </c>
    </row>
    <row r="6187" spans="1:4">
      <c r="A6187" s="261">
        <v>6817753</v>
      </c>
      <c r="B6187" s="265" t="s">
        <v>17487</v>
      </c>
      <c r="C6187" s="261" t="s">
        <v>6</v>
      </c>
      <c r="D6187" s="266">
        <v>1410.87</v>
      </c>
    </row>
    <row r="6188" spans="1:4">
      <c r="A6188" s="261">
        <v>6817754</v>
      </c>
      <c r="B6188" s="265" t="s">
        <v>17488</v>
      </c>
      <c r="C6188" s="261" t="s">
        <v>6</v>
      </c>
      <c r="D6188" s="266">
        <v>1298.95</v>
      </c>
    </row>
    <row r="6189" spans="1:4">
      <c r="A6189" s="261">
        <v>6817755</v>
      </c>
      <c r="B6189" s="265" t="s">
        <v>17489</v>
      </c>
      <c r="C6189" s="261" t="s">
        <v>6</v>
      </c>
      <c r="D6189" s="266">
        <v>1348.52</v>
      </c>
    </row>
    <row r="6190" spans="1:4">
      <c r="A6190" s="261">
        <v>6817756</v>
      </c>
      <c r="B6190" s="265" t="s">
        <v>17490</v>
      </c>
      <c r="C6190" s="261" t="s">
        <v>6</v>
      </c>
      <c r="D6190" s="266">
        <v>1236.5999999999999</v>
      </c>
    </row>
    <row r="6191" spans="1:4">
      <c r="A6191" s="261">
        <v>6817763</v>
      </c>
      <c r="B6191" s="265" t="s">
        <v>17491</v>
      </c>
      <c r="C6191" s="261" t="s">
        <v>6</v>
      </c>
      <c r="D6191" s="266">
        <v>1684.34</v>
      </c>
    </row>
    <row r="6192" spans="1:4">
      <c r="A6192" s="261">
        <v>6817764</v>
      </c>
      <c r="B6192" s="265" t="s">
        <v>17492</v>
      </c>
      <c r="C6192" s="261" t="s">
        <v>6</v>
      </c>
      <c r="D6192" s="266">
        <v>1536.48</v>
      </c>
    </row>
    <row r="6193" spans="1:4">
      <c r="A6193" s="261">
        <v>6817765</v>
      </c>
      <c r="B6193" s="265" t="s">
        <v>17493</v>
      </c>
      <c r="C6193" s="261" t="s">
        <v>6</v>
      </c>
      <c r="D6193" s="266">
        <v>1955.46</v>
      </c>
    </row>
    <row r="6194" spans="1:4">
      <c r="A6194" s="261">
        <v>6817766</v>
      </c>
      <c r="B6194" s="265" t="s">
        <v>17494</v>
      </c>
      <c r="C6194" s="261" t="s">
        <v>6</v>
      </c>
      <c r="D6194" s="266">
        <v>1819.81</v>
      </c>
    </row>
    <row r="6195" spans="1:4">
      <c r="A6195" s="261">
        <v>6817757</v>
      </c>
      <c r="B6195" s="265" t="s">
        <v>17495</v>
      </c>
      <c r="C6195" s="261" t="s">
        <v>6</v>
      </c>
      <c r="D6195" s="266">
        <v>1348.52</v>
      </c>
    </row>
    <row r="6196" spans="1:4">
      <c r="A6196" s="261">
        <v>6817758</v>
      </c>
      <c r="B6196" s="265" t="s">
        <v>17496</v>
      </c>
      <c r="C6196" s="261" t="s">
        <v>6</v>
      </c>
      <c r="D6196" s="266">
        <v>1236.5999999999999</v>
      </c>
    </row>
    <row r="6197" spans="1:4">
      <c r="A6197" s="261">
        <v>6817759</v>
      </c>
      <c r="B6197" s="265" t="s">
        <v>17497</v>
      </c>
      <c r="C6197" s="261" t="s">
        <v>6</v>
      </c>
      <c r="D6197" s="266">
        <v>1468.92</v>
      </c>
    </row>
    <row r="6198" spans="1:4">
      <c r="A6198" s="261">
        <v>6817760</v>
      </c>
      <c r="B6198" s="265" t="s">
        <v>17498</v>
      </c>
      <c r="C6198" s="261" t="s">
        <v>6</v>
      </c>
      <c r="D6198" s="266">
        <v>1359.05</v>
      </c>
    </row>
    <row r="6199" spans="1:4">
      <c r="A6199" s="261">
        <v>6817761</v>
      </c>
      <c r="B6199" s="265" t="s">
        <v>17499</v>
      </c>
      <c r="C6199" s="261" t="s">
        <v>6</v>
      </c>
      <c r="D6199" s="266">
        <v>1787.82</v>
      </c>
    </row>
    <row r="6200" spans="1:4">
      <c r="A6200" s="261">
        <v>6817762</v>
      </c>
      <c r="B6200" s="265" t="s">
        <v>17500</v>
      </c>
      <c r="C6200" s="261" t="s">
        <v>6</v>
      </c>
      <c r="D6200" s="266">
        <v>1639.96</v>
      </c>
    </row>
    <row r="6201" spans="1:4">
      <c r="A6201" s="261">
        <v>6817767</v>
      </c>
      <c r="B6201" s="265" t="s">
        <v>17501</v>
      </c>
      <c r="C6201" s="261" t="s">
        <v>6</v>
      </c>
      <c r="D6201" s="266">
        <v>2067.3200000000002</v>
      </c>
    </row>
    <row r="6202" spans="1:4">
      <c r="A6202" s="261">
        <v>6817768</v>
      </c>
      <c r="B6202" s="265" t="s">
        <v>17502</v>
      </c>
      <c r="C6202" s="261" t="s">
        <v>6</v>
      </c>
      <c r="D6202" s="266">
        <v>1924.02</v>
      </c>
    </row>
    <row r="6203" spans="1:4">
      <c r="A6203" s="261">
        <v>6817769</v>
      </c>
      <c r="B6203" s="265" t="s">
        <v>17503</v>
      </c>
      <c r="C6203" s="261" t="s">
        <v>6</v>
      </c>
      <c r="D6203" s="266">
        <v>1732.34</v>
      </c>
    </row>
    <row r="6204" spans="1:4">
      <c r="A6204" s="261">
        <v>6817770</v>
      </c>
      <c r="B6204" s="265" t="s">
        <v>17504</v>
      </c>
      <c r="C6204" s="261" t="s">
        <v>6</v>
      </c>
      <c r="D6204" s="266">
        <v>1589.04</v>
      </c>
    </row>
    <row r="6205" spans="1:4">
      <c r="A6205" s="261">
        <v>6817777</v>
      </c>
      <c r="B6205" s="265" t="s">
        <v>17505</v>
      </c>
      <c r="C6205" s="261" t="s">
        <v>6</v>
      </c>
      <c r="D6205" s="266">
        <v>2824.24</v>
      </c>
    </row>
    <row r="6206" spans="1:4">
      <c r="A6206" s="261">
        <v>6817778</v>
      </c>
      <c r="B6206" s="265" t="s">
        <v>17506</v>
      </c>
      <c r="C6206" s="261" t="s">
        <v>6</v>
      </c>
      <c r="D6206" s="266">
        <v>2656.82</v>
      </c>
    </row>
    <row r="6207" spans="1:4">
      <c r="A6207" s="261">
        <v>6817779</v>
      </c>
      <c r="B6207" s="265" t="s">
        <v>17507</v>
      </c>
      <c r="C6207" s="261" t="s">
        <v>6</v>
      </c>
      <c r="D6207" s="266">
        <v>3317.64</v>
      </c>
    </row>
    <row r="6208" spans="1:4">
      <c r="A6208" s="261">
        <v>6817780</v>
      </c>
      <c r="B6208" s="265" t="s">
        <v>17508</v>
      </c>
      <c r="C6208" s="261" t="s">
        <v>6</v>
      </c>
      <c r="D6208" s="266">
        <v>3105.64</v>
      </c>
    </row>
    <row r="6209" spans="1:4">
      <c r="A6209" s="261">
        <v>6817771</v>
      </c>
      <c r="B6209" s="265" t="s">
        <v>17509</v>
      </c>
      <c r="C6209" s="261" t="s">
        <v>6</v>
      </c>
      <c r="D6209" s="266">
        <v>1990.76</v>
      </c>
    </row>
    <row r="6210" spans="1:4">
      <c r="A6210" s="261">
        <v>6817772</v>
      </c>
      <c r="B6210" s="265" t="s">
        <v>17510</v>
      </c>
      <c r="C6210" s="261" t="s">
        <v>6</v>
      </c>
      <c r="D6210" s="266">
        <v>1850.09</v>
      </c>
    </row>
    <row r="6211" spans="1:4">
      <c r="A6211" s="261">
        <v>6817773</v>
      </c>
      <c r="B6211" s="265" t="s">
        <v>17511</v>
      </c>
      <c r="C6211" s="261" t="s">
        <v>6</v>
      </c>
      <c r="D6211" s="266">
        <v>2373.17</v>
      </c>
    </row>
    <row r="6212" spans="1:4">
      <c r="A6212" s="261">
        <v>6817774</v>
      </c>
      <c r="B6212" s="265" t="s">
        <v>17512</v>
      </c>
      <c r="C6212" s="261" t="s">
        <v>6</v>
      </c>
      <c r="D6212" s="266">
        <v>2184.2399999999998</v>
      </c>
    </row>
    <row r="6213" spans="1:4">
      <c r="A6213" s="261">
        <v>6817775</v>
      </c>
      <c r="B6213" s="265" t="s">
        <v>17513</v>
      </c>
      <c r="C6213" s="261" t="s">
        <v>6</v>
      </c>
      <c r="D6213" s="266">
        <v>2596.02</v>
      </c>
    </row>
    <row r="6214" spans="1:4">
      <c r="A6214" s="261">
        <v>6817776</v>
      </c>
      <c r="B6214" s="265" t="s">
        <v>17514</v>
      </c>
      <c r="C6214" s="261" t="s">
        <v>6</v>
      </c>
      <c r="D6214" s="266">
        <v>2422.69</v>
      </c>
    </row>
    <row r="6215" spans="1:4">
      <c r="A6215" s="261">
        <v>6817781</v>
      </c>
      <c r="B6215" s="265" t="s">
        <v>17515</v>
      </c>
      <c r="C6215" s="261" t="s">
        <v>6</v>
      </c>
      <c r="D6215" s="266">
        <v>2832.13</v>
      </c>
    </row>
    <row r="6216" spans="1:4">
      <c r="A6216" s="261">
        <v>6817782</v>
      </c>
      <c r="B6216" s="265" t="s">
        <v>17516</v>
      </c>
      <c r="C6216" s="261" t="s">
        <v>6</v>
      </c>
      <c r="D6216" s="266">
        <v>2657.44</v>
      </c>
    </row>
    <row r="6217" spans="1:4">
      <c r="A6217" s="261">
        <v>6817783</v>
      </c>
      <c r="B6217" s="265" t="s">
        <v>17517</v>
      </c>
      <c r="C6217" s="261" t="s">
        <v>6</v>
      </c>
      <c r="D6217" s="266">
        <v>2299.4299999999998</v>
      </c>
    </row>
    <row r="6218" spans="1:4">
      <c r="A6218" s="261">
        <v>6817784</v>
      </c>
      <c r="B6218" s="265" t="s">
        <v>17518</v>
      </c>
      <c r="C6218" s="261" t="s">
        <v>6</v>
      </c>
      <c r="D6218" s="266">
        <v>2124.75</v>
      </c>
    </row>
    <row r="6219" spans="1:4">
      <c r="A6219" s="261">
        <v>6817791</v>
      </c>
      <c r="B6219" s="265" t="s">
        <v>17519</v>
      </c>
      <c r="C6219" s="261" t="s">
        <v>6</v>
      </c>
      <c r="D6219" s="266">
        <v>4114.75</v>
      </c>
    </row>
    <row r="6220" spans="1:4">
      <c r="A6220" s="261">
        <v>6817792</v>
      </c>
      <c r="B6220" s="265" t="s">
        <v>17520</v>
      </c>
      <c r="C6220" s="261" t="s">
        <v>6</v>
      </c>
      <c r="D6220" s="266">
        <v>3857.25</v>
      </c>
    </row>
    <row r="6221" spans="1:4">
      <c r="A6221" s="261">
        <v>6817793</v>
      </c>
      <c r="B6221" s="265" t="s">
        <v>17521</v>
      </c>
      <c r="C6221" s="261" t="s">
        <v>6</v>
      </c>
      <c r="D6221" s="266">
        <v>4701.87</v>
      </c>
    </row>
    <row r="6222" spans="1:4">
      <c r="A6222" s="261">
        <v>6817794</v>
      </c>
      <c r="B6222" s="265" t="s">
        <v>17522</v>
      </c>
      <c r="C6222" s="261" t="s">
        <v>6</v>
      </c>
      <c r="D6222" s="266">
        <v>4444.3599999999997</v>
      </c>
    </row>
    <row r="6223" spans="1:4">
      <c r="A6223" s="261">
        <v>6817785</v>
      </c>
      <c r="B6223" s="265" t="s">
        <v>17523</v>
      </c>
      <c r="C6223" s="261" t="s">
        <v>6</v>
      </c>
      <c r="D6223" s="266">
        <v>2908.59</v>
      </c>
    </row>
    <row r="6224" spans="1:4">
      <c r="A6224" s="261">
        <v>6817786</v>
      </c>
      <c r="B6224" s="265" t="s">
        <v>17524</v>
      </c>
      <c r="C6224" s="261" t="s">
        <v>6</v>
      </c>
      <c r="D6224" s="266">
        <v>2678.59</v>
      </c>
    </row>
    <row r="6225" spans="1:4">
      <c r="A6225" s="261">
        <v>6817787</v>
      </c>
      <c r="B6225" s="265" t="s">
        <v>17525</v>
      </c>
      <c r="C6225" s="261" t="s">
        <v>6</v>
      </c>
      <c r="D6225" s="266">
        <v>3365.45</v>
      </c>
    </row>
    <row r="6226" spans="1:4">
      <c r="A6226" s="261">
        <v>6817788</v>
      </c>
      <c r="B6226" s="265" t="s">
        <v>17526</v>
      </c>
      <c r="C6226" s="261" t="s">
        <v>6</v>
      </c>
      <c r="D6226" s="266">
        <v>3154.44</v>
      </c>
    </row>
    <row r="6227" spans="1:4">
      <c r="A6227" s="261">
        <v>6817789</v>
      </c>
      <c r="B6227" s="265" t="s">
        <v>17527</v>
      </c>
      <c r="C6227" s="261" t="s">
        <v>6</v>
      </c>
      <c r="D6227" s="266">
        <v>3766.43</v>
      </c>
    </row>
    <row r="6228" spans="1:4">
      <c r="A6228" s="261">
        <v>6817790</v>
      </c>
      <c r="B6228" s="265" t="s">
        <v>17528</v>
      </c>
      <c r="C6228" s="261" t="s">
        <v>6</v>
      </c>
      <c r="D6228" s="266">
        <v>3562.61</v>
      </c>
    </row>
    <row r="6229" spans="1:4">
      <c r="A6229" s="261">
        <v>6817795</v>
      </c>
      <c r="B6229" s="265" t="s">
        <v>17529</v>
      </c>
      <c r="C6229" s="261" t="s">
        <v>6</v>
      </c>
      <c r="D6229" s="266">
        <v>3648.94</v>
      </c>
    </row>
    <row r="6230" spans="1:4">
      <c r="A6230" s="261">
        <v>6817796</v>
      </c>
      <c r="B6230" s="265" t="s">
        <v>17530</v>
      </c>
      <c r="C6230" s="261" t="s">
        <v>6</v>
      </c>
      <c r="D6230" s="266">
        <v>3446.66</v>
      </c>
    </row>
    <row r="6231" spans="1:4">
      <c r="A6231" s="261">
        <v>6817797</v>
      </c>
      <c r="B6231" s="265" t="s">
        <v>17531</v>
      </c>
      <c r="C6231" s="261" t="s">
        <v>6</v>
      </c>
      <c r="D6231" s="266">
        <v>3094.67</v>
      </c>
    </row>
    <row r="6232" spans="1:4">
      <c r="A6232" s="261">
        <v>6817798</v>
      </c>
      <c r="B6232" s="265" t="s">
        <v>17532</v>
      </c>
      <c r="C6232" s="261" t="s">
        <v>6</v>
      </c>
      <c r="D6232" s="266">
        <v>2892.39</v>
      </c>
    </row>
    <row r="6233" spans="1:4">
      <c r="A6233" s="261">
        <v>6817805</v>
      </c>
      <c r="B6233" s="265" t="s">
        <v>17533</v>
      </c>
      <c r="C6233" s="261" t="s">
        <v>6</v>
      </c>
      <c r="D6233" s="266">
        <v>5834.42</v>
      </c>
    </row>
    <row r="6234" spans="1:4">
      <c r="A6234" s="261">
        <v>6817806</v>
      </c>
      <c r="B6234" s="265" t="s">
        <v>17534</v>
      </c>
      <c r="C6234" s="261" t="s">
        <v>6</v>
      </c>
      <c r="D6234" s="266">
        <v>5531.43</v>
      </c>
    </row>
    <row r="6235" spans="1:4">
      <c r="A6235" s="261">
        <v>6817807</v>
      </c>
      <c r="B6235" s="265" t="s">
        <v>17535</v>
      </c>
      <c r="C6235" s="261" t="s">
        <v>6</v>
      </c>
      <c r="D6235" s="266">
        <v>6484.75</v>
      </c>
    </row>
    <row r="6236" spans="1:4">
      <c r="A6236" s="261">
        <v>6817808</v>
      </c>
      <c r="B6236" s="265" t="s">
        <v>17536</v>
      </c>
      <c r="C6236" s="261" t="s">
        <v>6</v>
      </c>
      <c r="D6236" s="266">
        <v>6181.75</v>
      </c>
    </row>
    <row r="6237" spans="1:4">
      <c r="A6237" s="261">
        <v>6817799</v>
      </c>
      <c r="B6237" s="265" t="s">
        <v>17537</v>
      </c>
      <c r="C6237" s="261" t="s">
        <v>6</v>
      </c>
      <c r="D6237" s="266">
        <v>3849.45</v>
      </c>
    </row>
    <row r="6238" spans="1:4">
      <c r="A6238" s="261">
        <v>6817800</v>
      </c>
      <c r="B6238" s="265" t="s">
        <v>17538</v>
      </c>
      <c r="C6238" s="261" t="s">
        <v>6</v>
      </c>
      <c r="D6238" s="266">
        <v>3578.38</v>
      </c>
    </row>
    <row r="6239" spans="1:4">
      <c r="A6239" s="261">
        <v>6817801</v>
      </c>
      <c r="B6239" s="265" t="s">
        <v>17539</v>
      </c>
      <c r="C6239" s="261" t="s">
        <v>6</v>
      </c>
      <c r="D6239" s="266">
        <v>4675.1899999999996</v>
      </c>
    </row>
    <row r="6240" spans="1:4">
      <c r="A6240" s="261">
        <v>6817802</v>
      </c>
      <c r="B6240" s="265" t="s">
        <v>17540</v>
      </c>
      <c r="C6240" s="261" t="s">
        <v>6</v>
      </c>
      <c r="D6240" s="266">
        <v>4434.97</v>
      </c>
    </row>
    <row r="6241" spans="1:4">
      <c r="A6241" s="261">
        <v>6817803</v>
      </c>
      <c r="B6241" s="265" t="s">
        <v>17541</v>
      </c>
      <c r="C6241" s="261" t="s">
        <v>6</v>
      </c>
      <c r="D6241" s="266">
        <v>5254.96</v>
      </c>
    </row>
    <row r="6242" spans="1:4">
      <c r="A6242" s="261">
        <v>6817804</v>
      </c>
      <c r="B6242" s="265" t="s">
        <v>17542</v>
      </c>
      <c r="C6242" s="261" t="s">
        <v>6</v>
      </c>
      <c r="D6242" s="266">
        <v>4951.97</v>
      </c>
    </row>
    <row r="6243" spans="1:4">
      <c r="A6243" s="261">
        <v>6817885</v>
      </c>
      <c r="B6243" s="265" t="s">
        <v>17543</v>
      </c>
      <c r="C6243" s="261" t="s">
        <v>6</v>
      </c>
      <c r="D6243" s="266">
        <v>1288.0899999999999</v>
      </c>
    </row>
    <row r="6244" spans="1:4">
      <c r="A6244" s="261">
        <v>6817886</v>
      </c>
      <c r="B6244" s="265" t="s">
        <v>17544</v>
      </c>
      <c r="C6244" s="261" t="s">
        <v>6</v>
      </c>
      <c r="D6244" s="266">
        <v>1177.3399999999999</v>
      </c>
    </row>
    <row r="6245" spans="1:4">
      <c r="A6245" s="261">
        <v>6817887</v>
      </c>
      <c r="B6245" s="265" t="s">
        <v>17545</v>
      </c>
      <c r="C6245" s="261" t="s">
        <v>6</v>
      </c>
      <c r="D6245" s="266">
        <v>1398.44</v>
      </c>
    </row>
    <row r="6246" spans="1:4">
      <c r="A6246" s="261">
        <v>6817888</v>
      </c>
      <c r="B6246" s="265" t="s">
        <v>17546</v>
      </c>
      <c r="C6246" s="261" t="s">
        <v>6</v>
      </c>
      <c r="D6246" s="266">
        <v>1271.92</v>
      </c>
    </row>
    <row r="6247" spans="1:4">
      <c r="A6247" s="261">
        <v>6817889</v>
      </c>
      <c r="B6247" s="265" t="s">
        <v>17547</v>
      </c>
      <c r="C6247" s="261" t="s">
        <v>6</v>
      </c>
      <c r="D6247" s="266">
        <v>2063.04</v>
      </c>
    </row>
    <row r="6248" spans="1:4">
      <c r="A6248" s="261">
        <v>6817890</v>
      </c>
      <c r="B6248" s="265" t="s">
        <v>17548</v>
      </c>
      <c r="C6248" s="261" t="s">
        <v>6</v>
      </c>
      <c r="D6248" s="266">
        <v>1885.07</v>
      </c>
    </row>
    <row r="6249" spans="1:4">
      <c r="A6249" s="261">
        <v>6817891</v>
      </c>
      <c r="B6249" s="265" t="s">
        <v>17549</v>
      </c>
      <c r="C6249" s="261" t="s">
        <v>6</v>
      </c>
      <c r="D6249" s="266">
        <v>1780.82</v>
      </c>
    </row>
    <row r="6250" spans="1:4">
      <c r="A6250" s="261">
        <v>6817892</v>
      </c>
      <c r="B6250" s="265" t="s">
        <v>17550</v>
      </c>
      <c r="C6250" s="261" t="s">
        <v>6</v>
      </c>
      <c r="D6250" s="266">
        <v>1602.84</v>
      </c>
    </row>
    <row r="6251" spans="1:4">
      <c r="A6251" s="261">
        <v>6817893</v>
      </c>
      <c r="B6251" s="265" t="s">
        <v>17551</v>
      </c>
      <c r="C6251" s="261" t="s">
        <v>6</v>
      </c>
      <c r="D6251" s="266">
        <v>1560.55</v>
      </c>
    </row>
    <row r="6252" spans="1:4">
      <c r="A6252" s="261">
        <v>6817894</v>
      </c>
      <c r="B6252" s="265" t="s">
        <v>17552</v>
      </c>
      <c r="C6252" s="261" t="s">
        <v>6</v>
      </c>
      <c r="D6252" s="266">
        <v>1417.17</v>
      </c>
    </row>
    <row r="6253" spans="1:4">
      <c r="A6253" s="261">
        <v>6817895</v>
      </c>
      <c r="B6253" s="265" t="s">
        <v>17553</v>
      </c>
      <c r="C6253" s="261" t="s">
        <v>6</v>
      </c>
      <c r="D6253" s="266">
        <v>2214.15</v>
      </c>
    </row>
    <row r="6254" spans="1:4">
      <c r="A6254" s="261">
        <v>6817896</v>
      </c>
      <c r="B6254" s="265" t="s">
        <v>17554</v>
      </c>
      <c r="C6254" s="261" t="s">
        <v>6</v>
      </c>
      <c r="D6254" s="266">
        <v>2017.18</v>
      </c>
    </row>
    <row r="6255" spans="1:4">
      <c r="A6255" s="261">
        <v>6817897</v>
      </c>
      <c r="B6255" s="265" t="s">
        <v>17555</v>
      </c>
      <c r="C6255" s="261" t="s">
        <v>6</v>
      </c>
      <c r="D6255" s="266">
        <v>1941.26</v>
      </c>
    </row>
    <row r="6256" spans="1:4">
      <c r="A6256" s="261">
        <v>6817898</v>
      </c>
      <c r="B6256" s="265" t="s">
        <v>17556</v>
      </c>
      <c r="C6256" s="261" t="s">
        <v>6</v>
      </c>
      <c r="D6256" s="266">
        <v>1744.28</v>
      </c>
    </row>
    <row r="6257" spans="1:4">
      <c r="A6257" s="261">
        <v>6817899</v>
      </c>
      <c r="B6257" s="265" t="s">
        <v>17557</v>
      </c>
      <c r="C6257" s="261" t="s">
        <v>6</v>
      </c>
      <c r="D6257" s="266">
        <v>1711.65</v>
      </c>
    </row>
    <row r="6258" spans="1:4">
      <c r="A6258" s="261">
        <v>6817900</v>
      </c>
      <c r="B6258" s="265" t="s">
        <v>17558</v>
      </c>
      <c r="C6258" s="261" t="s">
        <v>6</v>
      </c>
      <c r="D6258" s="266">
        <v>1551.5</v>
      </c>
    </row>
    <row r="6259" spans="1:4">
      <c r="A6259" s="261">
        <v>6817901</v>
      </c>
      <c r="B6259" s="265" t="s">
        <v>17559</v>
      </c>
      <c r="C6259" s="261" t="s">
        <v>6</v>
      </c>
      <c r="D6259" s="266">
        <v>2306.7600000000002</v>
      </c>
    </row>
    <row r="6260" spans="1:4">
      <c r="A6260" s="261">
        <v>6817902</v>
      </c>
      <c r="B6260" s="265" t="s">
        <v>17560</v>
      </c>
      <c r="C6260" s="261" t="s">
        <v>6</v>
      </c>
      <c r="D6260" s="266">
        <v>2089.9</v>
      </c>
    </row>
    <row r="6261" spans="1:4">
      <c r="A6261" s="261">
        <v>6817903</v>
      </c>
      <c r="B6261" s="265" t="s">
        <v>17561</v>
      </c>
      <c r="C6261" s="261" t="s">
        <v>6</v>
      </c>
      <c r="D6261" s="266">
        <v>2105</v>
      </c>
    </row>
    <row r="6262" spans="1:4">
      <c r="A6262" s="261">
        <v>6817904</v>
      </c>
      <c r="B6262" s="265" t="s">
        <v>17562</v>
      </c>
      <c r="C6262" s="261" t="s">
        <v>6</v>
      </c>
      <c r="D6262" s="266">
        <v>1888.14</v>
      </c>
    </row>
    <row r="6263" spans="1:4">
      <c r="A6263" s="261">
        <v>6817829</v>
      </c>
      <c r="B6263" s="265" t="s">
        <v>17563</v>
      </c>
      <c r="C6263" s="261" t="s">
        <v>6</v>
      </c>
      <c r="D6263" s="266">
        <v>1720.31</v>
      </c>
    </row>
    <row r="6264" spans="1:4">
      <c r="A6264" s="261">
        <v>6817830</v>
      </c>
      <c r="B6264" s="265" t="s">
        <v>17564</v>
      </c>
      <c r="C6264" s="261" t="s">
        <v>6</v>
      </c>
      <c r="D6264" s="266">
        <v>1576.8</v>
      </c>
    </row>
    <row r="6265" spans="1:4">
      <c r="A6265" s="261">
        <v>6817831</v>
      </c>
      <c r="B6265" s="265" t="s">
        <v>17565</v>
      </c>
      <c r="C6265" s="261" t="s">
        <v>6</v>
      </c>
      <c r="D6265" s="266">
        <v>1657.96</v>
      </c>
    </row>
    <row r="6266" spans="1:4">
      <c r="A6266" s="261">
        <v>6817832</v>
      </c>
      <c r="B6266" s="265" t="s">
        <v>17566</v>
      </c>
      <c r="C6266" s="261" t="s">
        <v>6</v>
      </c>
      <c r="D6266" s="266">
        <v>1514.45</v>
      </c>
    </row>
    <row r="6267" spans="1:4">
      <c r="A6267" s="261">
        <v>6817839</v>
      </c>
      <c r="B6267" s="265" t="s">
        <v>17567</v>
      </c>
      <c r="C6267" s="261" t="s">
        <v>6</v>
      </c>
      <c r="D6267" s="266">
        <v>1999.43</v>
      </c>
    </row>
    <row r="6268" spans="1:4" ht="31.5">
      <c r="A6268" s="261">
        <v>6817840</v>
      </c>
      <c r="B6268" s="265" t="s">
        <v>17568</v>
      </c>
      <c r="C6268" s="261" t="s">
        <v>6</v>
      </c>
      <c r="D6268" s="266">
        <v>1818.93</v>
      </c>
    </row>
    <row r="6269" spans="1:4">
      <c r="A6269" s="261">
        <v>6817841</v>
      </c>
      <c r="B6269" s="265" t="s">
        <v>17569</v>
      </c>
      <c r="C6269" s="261" t="s">
        <v>6</v>
      </c>
      <c r="D6269" s="266">
        <v>2270.5500000000002</v>
      </c>
    </row>
    <row r="6270" spans="1:4" ht="31.5">
      <c r="A6270" s="261">
        <v>6817842</v>
      </c>
      <c r="B6270" s="265" t="s">
        <v>17570</v>
      </c>
      <c r="C6270" s="261" t="s">
        <v>6</v>
      </c>
      <c r="D6270" s="266">
        <v>2102.2600000000002</v>
      </c>
    </row>
    <row r="6271" spans="1:4">
      <c r="A6271" s="261">
        <v>6817833</v>
      </c>
      <c r="B6271" s="265" t="s">
        <v>17571</v>
      </c>
      <c r="C6271" s="261" t="s">
        <v>6</v>
      </c>
      <c r="D6271" s="266">
        <v>1657.96</v>
      </c>
    </row>
    <row r="6272" spans="1:4">
      <c r="A6272" s="261">
        <v>6817834</v>
      </c>
      <c r="B6272" s="265" t="s">
        <v>17572</v>
      </c>
      <c r="C6272" s="261" t="s">
        <v>6</v>
      </c>
      <c r="D6272" s="266">
        <v>1514.45</v>
      </c>
    </row>
    <row r="6273" spans="1:4">
      <c r="A6273" s="261">
        <v>6817835</v>
      </c>
      <c r="B6273" s="265" t="s">
        <v>17573</v>
      </c>
      <c r="C6273" s="261" t="s">
        <v>6</v>
      </c>
      <c r="D6273" s="266">
        <v>1778.36</v>
      </c>
    </row>
    <row r="6274" spans="1:4">
      <c r="A6274" s="261">
        <v>6817836</v>
      </c>
      <c r="B6274" s="265" t="s">
        <v>17574</v>
      </c>
      <c r="C6274" s="261" t="s">
        <v>6</v>
      </c>
      <c r="D6274" s="266">
        <v>1636.9</v>
      </c>
    </row>
    <row r="6275" spans="1:4">
      <c r="A6275" s="261">
        <v>6817837</v>
      </c>
      <c r="B6275" s="265" t="s">
        <v>17575</v>
      </c>
      <c r="C6275" s="261" t="s">
        <v>6</v>
      </c>
      <c r="D6275" s="266">
        <v>2102.91</v>
      </c>
    </row>
    <row r="6276" spans="1:4">
      <c r="A6276" s="261">
        <v>6817838</v>
      </c>
      <c r="B6276" s="265" t="s">
        <v>17576</v>
      </c>
      <c r="C6276" s="261" t="s">
        <v>6</v>
      </c>
      <c r="D6276" s="266">
        <v>1922.41</v>
      </c>
    </row>
    <row r="6277" spans="1:4">
      <c r="A6277" s="261">
        <v>6817843</v>
      </c>
      <c r="B6277" s="265" t="s">
        <v>17577</v>
      </c>
      <c r="C6277" s="261" t="s">
        <v>6</v>
      </c>
      <c r="D6277" s="266">
        <v>2441.0500000000002</v>
      </c>
    </row>
    <row r="6278" spans="1:4">
      <c r="A6278" s="261">
        <v>6817844</v>
      </c>
      <c r="B6278" s="265" t="s">
        <v>17578</v>
      </c>
      <c r="C6278" s="261" t="s">
        <v>6</v>
      </c>
      <c r="D6278" s="266">
        <v>2258.4299999999998</v>
      </c>
    </row>
    <row r="6279" spans="1:4">
      <c r="A6279" s="261">
        <v>6817845</v>
      </c>
      <c r="B6279" s="265" t="s">
        <v>17579</v>
      </c>
      <c r="C6279" s="261" t="s">
        <v>6</v>
      </c>
      <c r="D6279" s="266">
        <v>2106.0700000000002</v>
      </c>
    </row>
    <row r="6280" spans="1:4">
      <c r="A6280" s="261">
        <v>6817846</v>
      </c>
      <c r="B6280" s="265" t="s">
        <v>17580</v>
      </c>
      <c r="C6280" s="261" t="s">
        <v>6</v>
      </c>
      <c r="D6280" s="266">
        <v>1923.45</v>
      </c>
    </row>
    <row r="6281" spans="1:4">
      <c r="A6281" s="261">
        <v>6817853</v>
      </c>
      <c r="B6281" s="265" t="s">
        <v>17581</v>
      </c>
      <c r="C6281" s="261" t="s">
        <v>6</v>
      </c>
      <c r="D6281" s="266">
        <v>3207.6</v>
      </c>
    </row>
    <row r="6282" spans="1:4" ht="31.5">
      <c r="A6282" s="261">
        <v>6817854</v>
      </c>
      <c r="B6282" s="265" t="s">
        <v>17582</v>
      </c>
      <c r="C6282" s="261" t="s">
        <v>6</v>
      </c>
      <c r="D6282" s="266">
        <v>2998.81</v>
      </c>
    </row>
    <row r="6283" spans="1:4">
      <c r="A6283" s="261">
        <v>6817855</v>
      </c>
      <c r="B6283" s="265" t="s">
        <v>17583</v>
      </c>
      <c r="C6283" s="261" t="s">
        <v>6</v>
      </c>
      <c r="D6283" s="266">
        <v>3702.68</v>
      </c>
    </row>
    <row r="6284" spans="1:4" ht="31.5">
      <c r="A6284" s="261">
        <v>6817856</v>
      </c>
      <c r="B6284" s="265" t="s">
        <v>17584</v>
      </c>
      <c r="C6284" s="261" t="s">
        <v>6</v>
      </c>
      <c r="D6284" s="266">
        <v>3449.27</v>
      </c>
    </row>
    <row r="6285" spans="1:4">
      <c r="A6285" s="261">
        <v>6817847</v>
      </c>
      <c r="B6285" s="265" t="s">
        <v>17585</v>
      </c>
      <c r="C6285" s="261" t="s">
        <v>6</v>
      </c>
      <c r="D6285" s="266">
        <v>2368.4699999999998</v>
      </c>
    </row>
    <row r="6286" spans="1:4">
      <c r="A6286" s="261">
        <v>6817848</v>
      </c>
      <c r="B6286" s="265" t="s">
        <v>17586</v>
      </c>
      <c r="C6286" s="261" t="s">
        <v>6</v>
      </c>
      <c r="D6286" s="266">
        <v>2187.4699999999998</v>
      </c>
    </row>
    <row r="6287" spans="1:4">
      <c r="A6287" s="261">
        <v>6817849</v>
      </c>
      <c r="B6287" s="265" t="s">
        <v>17587</v>
      </c>
      <c r="C6287" s="261" t="s">
        <v>6</v>
      </c>
      <c r="D6287" s="266">
        <v>2752.55</v>
      </c>
    </row>
    <row r="6288" spans="1:4">
      <c r="A6288" s="261">
        <v>6817850</v>
      </c>
      <c r="B6288" s="265" t="s">
        <v>17588</v>
      </c>
      <c r="C6288" s="261" t="s">
        <v>6</v>
      </c>
      <c r="D6288" s="266">
        <v>2523.2600000000002</v>
      </c>
    </row>
    <row r="6289" spans="1:4">
      <c r="A6289" s="261">
        <v>6817851</v>
      </c>
      <c r="B6289" s="265" t="s">
        <v>17589</v>
      </c>
      <c r="C6289" s="261" t="s">
        <v>6</v>
      </c>
      <c r="D6289" s="266">
        <v>2979.38</v>
      </c>
    </row>
    <row r="6290" spans="1:4">
      <c r="A6290" s="261">
        <v>6817852</v>
      </c>
      <c r="B6290" s="265" t="s">
        <v>17590</v>
      </c>
      <c r="C6290" s="261" t="s">
        <v>6</v>
      </c>
      <c r="D6290" s="266">
        <v>2764.68</v>
      </c>
    </row>
    <row r="6291" spans="1:4">
      <c r="A6291" s="261">
        <v>6817857</v>
      </c>
      <c r="B6291" s="265" t="s">
        <v>17591</v>
      </c>
      <c r="C6291" s="261" t="s">
        <v>6</v>
      </c>
      <c r="D6291" s="266">
        <v>3278.79</v>
      </c>
    </row>
    <row r="6292" spans="1:4">
      <c r="A6292" s="261">
        <v>6817858</v>
      </c>
      <c r="B6292" s="265" t="s">
        <v>17592</v>
      </c>
      <c r="C6292" s="261" t="s">
        <v>6</v>
      </c>
      <c r="D6292" s="266">
        <v>3054.9</v>
      </c>
    </row>
    <row r="6293" spans="1:4">
      <c r="A6293" s="261">
        <v>6817859</v>
      </c>
      <c r="B6293" s="265" t="s">
        <v>17593</v>
      </c>
      <c r="C6293" s="261" t="s">
        <v>6</v>
      </c>
      <c r="D6293" s="266">
        <v>2746.09</v>
      </c>
    </row>
    <row r="6294" spans="1:4">
      <c r="A6294" s="261">
        <v>6817860</v>
      </c>
      <c r="B6294" s="265" t="s">
        <v>17594</v>
      </c>
      <c r="C6294" s="261" t="s">
        <v>6</v>
      </c>
      <c r="D6294" s="266">
        <v>2522.21</v>
      </c>
    </row>
    <row r="6295" spans="1:4">
      <c r="A6295" s="261">
        <v>6817867</v>
      </c>
      <c r="B6295" s="265" t="s">
        <v>17595</v>
      </c>
      <c r="C6295" s="261" t="s">
        <v>6</v>
      </c>
      <c r="D6295" s="266">
        <v>4572.71</v>
      </c>
    </row>
    <row r="6296" spans="1:4" ht="31.5">
      <c r="A6296" s="261">
        <v>6817868</v>
      </c>
      <c r="B6296" s="265" t="s">
        <v>17596</v>
      </c>
      <c r="C6296" s="261" t="s">
        <v>6</v>
      </c>
      <c r="D6296" s="266">
        <v>4263.92</v>
      </c>
    </row>
    <row r="6297" spans="1:4">
      <c r="A6297" s="261">
        <v>6817869</v>
      </c>
      <c r="B6297" s="265" t="s">
        <v>17597</v>
      </c>
      <c r="C6297" s="261" t="s">
        <v>6</v>
      </c>
      <c r="D6297" s="266">
        <v>5163.8100000000004</v>
      </c>
    </row>
    <row r="6298" spans="1:4" ht="31.5">
      <c r="A6298" s="261">
        <v>6817870</v>
      </c>
      <c r="B6298" s="265" t="s">
        <v>17598</v>
      </c>
      <c r="C6298" s="261" t="s">
        <v>6</v>
      </c>
      <c r="D6298" s="266">
        <v>4854</v>
      </c>
    </row>
    <row r="6299" spans="1:4">
      <c r="A6299" s="261">
        <v>6817861</v>
      </c>
      <c r="B6299" s="265" t="s">
        <v>17599</v>
      </c>
      <c r="C6299" s="261" t="s">
        <v>6</v>
      </c>
      <c r="D6299" s="266">
        <v>3356.92</v>
      </c>
    </row>
    <row r="6300" spans="1:4">
      <c r="A6300" s="261">
        <v>6817862</v>
      </c>
      <c r="B6300" s="265" t="s">
        <v>17600</v>
      </c>
      <c r="C6300" s="261" t="s">
        <v>6</v>
      </c>
      <c r="D6300" s="266">
        <v>3077.69</v>
      </c>
    </row>
    <row r="6301" spans="1:4">
      <c r="A6301" s="261">
        <v>6817863</v>
      </c>
      <c r="B6301" s="265" t="s">
        <v>17601</v>
      </c>
      <c r="C6301" s="261" t="s">
        <v>6</v>
      </c>
      <c r="D6301" s="266">
        <v>3817.76</v>
      </c>
    </row>
    <row r="6302" spans="1:4">
      <c r="A6302" s="261">
        <v>6817864</v>
      </c>
      <c r="B6302" s="265" t="s">
        <v>17602</v>
      </c>
      <c r="C6302" s="261" t="s">
        <v>6</v>
      </c>
      <c r="D6302" s="266">
        <v>3556.51</v>
      </c>
    </row>
    <row r="6303" spans="1:4">
      <c r="A6303" s="261">
        <v>6817865</v>
      </c>
      <c r="B6303" s="265" t="s">
        <v>17603</v>
      </c>
      <c r="C6303" s="261" t="s">
        <v>6</v>
      </c>
      <c r="D6303" s="266">
        <v>4218.74</v>
      </c>
    </row>
    <row r="6304" spans="1:4">
      <c r="A6304" s="261">
        <v>6817866</v>
      </c>
      <c r="B6304" s="265" t="s">
        <v>17604</v>
      </c>
      <c r="C6304" s="261" t="s">
        <v>6</v>
      </c>
      <c r="D6304" s="266">
        <v>3964.68</v>
      </c>
    </row>
    <row r="6305" spans="1:4">
      <c r="A6305" s="261">
        <v>6817871</v>
      </c>
      <c r="B6305" s="265" t="s">
        <v>17605</v>
      </c>
      <c r="C6305" s="261" t="s">
        <v>6</v>
      </c>
      <c r="D6305" s="266">
        <v>4189.71</v>
      </c>
    </row>
    <row r="6306" spans="1:4">
      <c r="A6306" s="261">
        <v>6817872</v>
      </c>
      <c r="B6306" s="265" t="s">
        <v>17606</v>
      </c>
      <c r="C6306" s="261" t="s">
        <v>6</v>
      </c>
      <c r="D6306" s="266">
        <v>3929.48</v>
      </c>
    </row>
    <row r="6307" spans="1:4">
      <c r="A6307" s="261">
        <v>6817873</v>
      </c>
      <c r="B6307" s="265" t="s">
        <v>17607</v>
      </c>
      <c r="C6307" s="261" t="s">
        <v>6</v>
      </c>
      <c r="D6307" s="266">
        <v>3635.44</v>
      </c>
    </row>
    <row r="6308" spans="1:4">
      <c r="A6308" s="261">
        <v>6817874</v>
      </c>
      <c r="B6308" s="265" t="s">
        <v>17608</v>
      </c>
      <c r="C6308" s="261" t="s">
        <v>6</v>
      </c>
      <c r="D6308" s="266">
        <v>3375.21</v>
      </c>
    </row>
    <row r="6309" spans="1:4">
      <c r="A6309" s="261">
        <v>6817881</v>
      </c>
      <c r="B6309" s="265" t="s">
        <v>17609</v>
      </c>
      <c r="C6309" s="261" t="s">
        <v>6</v>
      </c>
      <c r="D6309" s="266">
        <v>6386.38</v>
      </c>
    </row>
    <row r="6310" spans="1:4" ht="31.5">
      <c r="A6310" s="261">
        <v>6817882</v>
      </c>
      <c r="B6310" s="265" t="s">
        <v>17610</v>
      </c>
      <c r="C6310" s="261" t="s">
        <v>6</v>
      </c>
      <c r="D6310" s="266">
        <v>6023.38</v>
      </c>
    </row>
    <row r="6311" spans="1:4">
      <c r="A6311" s="261">
        <v>6817883</v>
      </c>
      <c r="B6311" s="265" t="s">
        <v>17611</v>
      </c>
      <c r="C6311" s="261" t="s">
        <v>6</v>
      </c>
      <c r="D6311" s="266">
        <v>7040.69</v>
      </c>
    </row>
    <row r="6312" spans="1:4" ht="31.5">
      <c r="A6312" s="261">
        <v>6817884</v>
      </c>
      <c r="B6312" s="265" t="s">
        <v>17612</v>
      </c>
      <c r="C6312" s="261" t="s">
        <v>6</v>
      </c>
      <c r="D6312" s="266">
        <v>6676.67</v>
      </c>
    </row>
    <row r="6313" spans="1:4">
      <c r="A6313" s="261">
        <v>6817875</v>
      </c>
      <c r="B6313" s="265" t="s">
        <v>17613</v>
      </c>
      <c r="C6313" s="261" t="s">
        <v>6</v>
      </c>
      <c r="D6313" s="266">
        <v>4395.87</v>
      </c>
    </row>
    <row r="6314" spans="1:4">
      <c r="A6314" s="261">
        <v>6817876</v>
      </c>
      <c r="B6314" s="265" t="s">
        <v>17614</v>
      </c>
      <c r="C6314" s="261" t="s">
        <v>6</v>
      </c>
      <c r="D6314" s="266">
        <v>4065.81</v>
      </c>
    </row>
    <row r="6315" spans="1:4">
      <c r="A6315" s="261">
        <v>6817877</v>
      </c>
      <c r="B6315" s="265" t="s">
        <v>17615</v>
      </c>
      <c r="C6315" s="261" t="s">
        <v>6</v>
      </c>
      <c r="D6315" s="266">
        <v>5221.6099999999997</v>
      </c>
    </row>
    <row r="6316" spans="1:4">
      <c r="A6316" s="261">
        <v>6817878</v>
      </c>
      <c r="B6316" s="265" t="s">
        <v>17616</v>
      </c>
      <c r="C6316" s="261" t="s">
        <v>6</v>
      </c>
      <c r="D6316" s="266">
        <v>4922.3999999999996</v>
      </c>
    </row>
    <row r="6317" spans="1:4">
      <c r="A6317" s="261">
        <v>6817879</v>
      </c>
      <c r="B6317" s="265" t="s">
        <v>17617</v>
      </c>
      <c r="C6317" s="261" t="s">
        <v>6</v>
      </c>
      <c r="D6317" s="266">
        <v>5807.03</v>
      </c>
    </row>
    <row r="6318" spans="1:4">
      <c r="A6318" s="261">
        <v>6817880</v>
      </c>
      <c r="B6318" s="265" t="s">
        <v>17618</v>
      </c>
      <c r="C6318" s="261" t="s">
        <v>6</v>
      </c>
      <c r="D6318" s="266">
        <v>5444.01</v>
      </c>
    </row>
    <row r="6319" spans="1:4">
      <c r="A6319" s="261">
        <v>7119788</v>
      </c>
      <c r="B6319" s="265" t="s">
        <v>17619</v>
      </c>
      <c r="C6319" s="261" t="s">
        <v>99</v>
      </c>
      <c r="D6319" s="266">
        <v>279867.53000000003</v>
      </c>
    </row>
    <row r="6320" spans="1:4">
      <c r="A6320" s="261">
        <v>7119714</v>
      </c>
      <c r="B6320" s="265" t="s">
        <v>17620</v>
      </c>
      <c r="C6320" s="261" t="s">
        <v>97</v>
      </c>
      <c r="D6320" s="266">
        <v>1977.95</v>
      </c>
    </row>
    <row r="6321" spans="1:4">
      <c r="A6321" s="261">
        <v>7119715</v>
      </c>
      <c r="B6321" s="265" t="s">
        <v>17621</v>
      </c>
      <c r="C6321" s="261" t="s">
        <v>97</v>
      </c>
      <c r="D6321" s="266">
        <v>1661.2</v>
      </c>
    </row>
    <row r="6322" spans="1:4">
      <c r="A6322" s="261">
        <v>7119678</v>
      </c>
      <c r="B6322" s="265" t="s">
        <v>17622</v>
      </c>
      <c r="C6322" s="261" t="s">
        <v>18</v>
      </c>
      <c r="D6322" s="266">
        <v>9077.41</v>
      </c>
    </row>
    <row r="6323" spans="1:4">
      <c r="A6323" s="261">
        <v>7119712</v>
      </c>
      <c r="B6323" s="265" t="s">
        <v>17623</v>
      </c>
      <c r="C6323" s="261" t="s">
        <v>97</v>
      </c>
      <c r="D6323" s="266">
        <v>15784.33</v>
      </c>
    </row>
    <row r="6324" spans="1:4">
      <c r="A6324" s="261">
        <v>7119694</v>
      </c>
      <c r="B6324" s="265" t="s">
        <v>17624</v>
      </c>
      <c r="C6324" s="261" t="s">
        <v>97</v>
      </c>
      <c r="D6324" s="266">
        <v>7753.36</v>
      </c>
    </row>
    <row r="6325" spans="1:4">
      <c r="A6325" s="261">
        <v>7119695</v>
      </c>
      <c r="B6325" s="265" t="s">
        <v>17625</v>
      </c>
      <c r="C6325" s="261" t="s">
        <v>97</v>
      </c>
      <c r="D6325" s="266">
        <v>8433.1</v>
      </c>
    </row>
    <row r="6326" spans="1:4">
      <c r="A6326" s="261">
        <v>7119696</v>
      </c>
      <c r="B6326" s="265" t="s">
        <v>17626</v>
      </c>
      <c r="C6326" s="261" t="s">
        <v>97</v>
      </c>
      <c r="D6326" s="266">
        <v>13531.53</v>
      </c>
    </row>
    <row r="6327" spans="1:4">
      <c r="A6327" s="261">
        <v>7119697</v>
      </c>
      <c r="B6327" s="265" t="s">
        <v>17627</v>
      </c>
      <c r="C6327" s="261" t="s">
        <v>97</v>
      </c>
      <c r="D6327" s="266">
        <v>21563.27</v>
      </c>
    </row>
    <row r="6328" spans="1:4">
      <c r="A6328" s="261">
        <v>7119698</v>
      </c>
      <c r="B6328" s="265" t="s">
        <v>17628</v>
      </c>
      <c r="C6328" s="261" t="s">
        <v>97</v>
      </c>
      <c r="D6328" s="266">
        <v>27467.37</v>
      </c>
    </row>
    <row r="6329" spans="1:4">
      <c r="A6329" s="261">
        <v>7119688</v>
      </c>
      <c r="B6329" s="265" t="s">
        <v>17629</v>
      </c>
      <c r="C6329" s="261" t="s">
        <v>97</v>
      </c>
      <c r="D6329" s="266">
        <v>8070.83</v>
      </c>
    </row>
    <row r="6330" spans="1:4">
      <c r="A6330" s="261">
        <v>7119689</v>
      </c>
      <c r="B6330" s="265" t="s">
        <v>17630</v>
      </c>
      <c r="C6330" s="261" t="s">
        <v>97</v>
      </c>
      <c r="D6330" s="266">
        <v>15605.74</v>
      </c>
    </row>
    <row r="6331" spans="1:4">
      <c r="A6331" s="261">
        <v>7119690</v>
      </c>
      <c r="B6331" s="265" t="s">
        <v>17631</v>
      </c>
      <c r="C6331" s="261" t="s">
        <v>97</v>
      </c>
      <c r="D6331" s="266">
        <v>18609.71</v>
      </c>
    </row>
    <row r="6332" spans="1:4">
      <c r="A6332" s="261">
        <v>7119691</v>
      </c>
      <c r="B6332" s="265" t="s">
        <v>17632</v>
      </c>
      <c r="C6332" s="261" t="s">
        <v>97</v>
      </c>
      <c r="D6332" s="266">
        <v>25781.42</v>
      </c>
    </row>
    <row r="6333" spans="1:4">
      <c r="A6333" s="261">
        <v>7119692</v>
      </c>
      <c r="B6333" s="265" t="s">
        <v>17633</v>
      </c>
      <c r="C6333" s="261" t="s">
        <v>97</v>
      </c>
      <c r="D6333" s="266">
        <v>28340.37</v>
      </c>
    </row>
    <row r="6334" spans="1:4">
      <c r="A6334" s="261">
        <v>7119693</v>
      </c>
      <c r="B6334" s="265" t="s">
        <v>17634</v>
      </c>
      <c r="C6334" s="261" t="s">
        <v>97</v>
      </c>
      <c r="D6334" s="266">
        <v>36008.35</v>
      </c>
    </row>
    <row r="6335" spans="1:4">
      <c r="A6335" s="261">
        <v>7119687</v>
      </c>
      <c r="B6335" s="265" t="s">
        <v>17635</v>
      </c>
      <c r="C6335" s="261" t="s">
        <v>97</v>
      </c>
      <c r="D6335" s="266">
        <v>4281.43</v>
      </c>
    </row>
    <row r="6336" spans="1:4">
      <c r="A6336" s="261">
        <v>7119681</v>
      </c>
      <c r="B6336" s="265" t="s">
        <v>17636</v>
      </c>
      <c r="C6336" s="261" t="s">
        <v>97</v>
      </c>
      <c r="D6336" s="266">
        <v>9209.2199999999993</v>
      </c>
    </row>
    <row r="6337" spans="1:4">
      <c r="A6337" s="261">
        <v>7119682</v>
      </c>
      <c r="B6337" s="265" t="s">
        <v>17637</v>
      </c>
      <c r="C6337" s="261" t="s">
        <v>97</v>
      </c>
      <c r="D6337" s="266">
        <v>17692.5</v>
      </c>
    </row>
    <row r="6338" spans="1:4">
      <c r="A6338" s="261">
        <v>7119683</v>
      </c>
      <c r="B6338" s="265" t="s">
        <v>17638</v>
      </c>
      <c r="C6338" s="261" t="s">
        <v>97</v>
      </c>
      <c r="D6338" s="266">
        <v>21102.61</v>
      </c>
    </row>
    <row r="6339" spans="1:4">
      <c r="A6339" s="261">
        <v>7119684</v>
      </c>
      <c r="B6339" s="265" t="s">
        <v>17639</v>
      </c>
      <c r="C6339" s="261" t="s">
        <v>97</v>
      </c>
      <c r="D6339" s="266">
        <v>29212.36</v>
      </c>
    </row>
    <row r="6340" spans="1:4">
      <c r="A6340" s="261">
        <v>7119685</v>
      </c>
      <c r="B6340" s="265" t="s">
        <v>17640</v>
      </c>
      <c r="C6340" s="261" t="s">
        <v>97</v>
      </c>
      <c r="D6340" s="266">
        <v>32105.61</v>
      </c>
    </row>
    <row r="6341" spans="1:4">
      <c r="A6341" s="261">
        <v>7119686</v>
      </c>
      <c r="B6341" s="265" t="s">
        <v>17641</v>
      </c>
      <c r="C6341" s="261" t="s">
        <v>97</v>
      </c>
      <c r="D6341" s="266">
        <v>40779.83</v>
      </c>
    </row>
    <row r="6342" spans="1:4">
      <c r="A6342" s="261">
        <v>7119680</v>
      </c>
      <c r="B6342" s="265" t="s">
        <v>17642</v>
      </c>
      <c r="C6342" s="261" t="s">
        <v>97</v>
      </c>
      <c r="D6342" s="266">
        <v>4865.41</v>
      </c>
    </row>
    <row r="6343" spans="1:4">
      <c r="A6343" s="261">
        <v>7119710</v>
      </c>
      <c r="B6343" s="265" t="s">
        <v>17643</v>
      </c>
      <c r="C6343" s="261" t="s">
        <v>97</v>
      </c>
      <c r="D6343" s="266">
        <v>656.64</v>
      </c>
    </row>
    <row r="6344" spans="1:4" ht="31.5">
      <c r="A6344" s="261">
        <v>7107375</v>
      </c>
      <c r="B6344" s="265" t="s">
        <v>17644</v>
      </c>
      <c r="C6344" s="261" t="s">
        <v>97</v>
      </c>
      <c r="D6344" s="266">
        <v>26913.31</v>
      </c>
    </row>
    <row r="6345" spans="1:4" ht="31.5">
      <c r="A6345" s="261">
        <v>7107376</v>
      </c>
      <c r="B6345" s="265" t="s">
        <v>17645</v>
      </c>
      <c r="C6345" s="261" t="s">
        <v>97</v>
      </c>
      <c r="D6345" s="266">
        <v>46870.32</v>
      </c>
    </row>
    <row r="6346" spans="1:4" ht="31.5">
      <c r="A6346" s="261">
        <v>7107377</v>
      </c>
      <c r="B6346" s="265" t="s">
        <v>17646</v>
      </c>
      <c r="C6346" s="261" t="s">
        <v>97</v>
      </c>
      <c r="D6346" s="266">
        <v>66019.41</v>
      </c>
    </row>
    <row r="6347" spans="1:4" ht="31.5">
      <c r="A6347" s="261">
        <v>7107374</v>
      </c>
      <c r="B6347" s="265" t="s">
        <v>17647</v>
      </c>
      <c r="C6347" s="261" t="s">
        <v>97</v>
      </c>
      <c r="D6347" s="266">
        <v>21832.44</v>
      </c>
    </row>
    <row r="6348" spans="1:4">
      <c r="A6348" s="261">
        <v>7119708</v>
      </c>
      <c r="B6348" s="265" t="s">
        <v>17648</v>
      </c>
      <c r="C6348" s="261" t="s">
        <v>97</v>
      </c>
      <c r="D6348" s="266">
        <v>123695.69</v>
      </c>
    </row>
    <row r="6349" spans="1:4">
      <c r="A6349" s="261">
        <v>7119709</v>
      </c>
      <c r="B6349" s="265" t="s">
        <v>17649</v>
      </c>
      <c r="C6349" s="261" t="s">
        <v>97</v>
      </c>
      <c r="D6349" s="266">
        <v>171299.49</v>
      </c>
    </row>
    <row r="6350" spans="1:4">
      <c r="A6350" s="261">
        <v>7119706</v>
      </c>
      <c r="B6350" s="265" t="s">
        <v>17650</v>
      </c>
      <c r="C6350" s="261" t="s">
        <v>97</v>
      </c>
      <c r="D6350" s="266">
        <v>51852.1</v>
      </c>
    </row>
    <row r="6351" spans="1:4">
      <c r="A6351" s="261">
        <v>7119707</v>
      </c>
      <c r="B6351" s="265" t="s">
        <v>17651</v>
      </c>
      <c r="C6351" s="261" t="s">
        <v>97</v>
      </c>
      <c r="D6351" s="266">
        <v>124179.76</v>
      </c>
    </row>
    <row r="6352" spans="1:4" ht="31.5">
      <c r="A6352" s="261">
        <v>7119787</v>
      </c>
      <c r="B6352" s="265" t="s">
        <v>17652</v>
      </c>
      <c r="C6352" s="261" t="s">
        <v>3</v>
      </c>
      <c r="D6352" s="266">
        <v>370.9</v>
      </c>
    </row>
    <row r="6353" spans="1:4">
      <c r="A6353" s="261">
        <v>7119647</v>
      </c>
      <c r="B6353" s="265" t="s">
        <v>17653</v>
      </c>
      <c r="C6353" s="261" t="s">
        <v>97</v>
      </c>
      <c r="D6353" s="266">
        <v>2630.72</v>
      </c>
    </row>
    <row r="6354" spans="1:4">
      <c r="A6354" s="261">
        <v>7119679</v>
      </c>
      <c r="B6354" s="265" t="s">
        <v>17654</v>
      </c>
      <c r="C6354" s="261" t="s">
        <v>18</v>
      </c>
      <c r="D6354" s="266">
        <v>46.74</v>
      </c>
    </row>
    <row r="6355" spans="1:4">
      <c r="A6355" s="261">
        <v>7119711</v>
      </c>
      <c r="B6355" s="265" t="s">
        <v>17655</v>
      </c>
      <c r="C6355" s="261" t="s">
        <v>97</v>
      </c>
      <c r="D6355" s="266">
        <v>1027.54</v>
      </c>
    </row>
    <row r="6356" spans="1:4">
      <c r="A6356" s="261">
        <v>7119713</v>
      </c>
      <c r="B6356" s="265" t="s">
        <v>17656</v>
      </c>
      <c r="C6356" s="261" t="s">
        <v>97</v>
      </c>
      <c r="D6356" s="266">
        <v>188416.59</v>
      </c>
    </row>
    <row r="6357" spans="1:4">
      <c r="A6357" s="261">
        <v>7119646</v>
      </c>
      <c r="B6357" s="265" t="s">
        <v>17657</v>
      </c>
      <c r="C6357" s="261" t="s">
        <v>18</v>
      </c>
      <c r="D6357" s="266">
        <v>1111.83</v>
      </c>
    </row>
    <row r="6358" spans="1:4">
      <c r="A6358" s="261">
        <v>7119699</v>
      </c>
      <c r="B6358" s="265" t="s">
        <v>17658</v>
      </c>
      <c r="C6358" s="261" t="s">
        <v>3</v>
      </c>
      <c r="D6358" s="266">
        <v>19.600000000000001</v>
      </c>
    </row>
    <row r="6359" spans="1:4">
      <c r="A6359" s="261">
        <v>7119702</v>
      </c>
      <c r="B6359" s="265" t="s">
        <v>17659</v>
      </c>
      <c r="C6359" s="261" t="s">
        <v>3</v>
      </c>
      <c r="D6359" s="266">
        <v>59.73</v>
      </c>
    </row>
    <row r="6360" spans="1:4" ht="31.5">
      <c r="A6360" s="261">
        <v>7119701</v>
      </c>
      <c r="B6360" s="265" t="s">
        <v>17660</v>
      </c>
      <c r="C6360" s="261" t="s">
        <v>3</v>
      </c>
      <c r="D6360" s="266">
        <v>59.73</v>
      </c>
    </row>
    <row r="6361" spans="1:4">
      <c r="A6361" s="261">
        <v>7119700</v>
      </c>
      <c r="B6361" s="265" t="s">
        <v>17661</v>
      </c>
      <c r="C6361" s="261" t="s">
        <v>3</v>
      </c>
      <c r="D6361" s="266">
        <v>51.76</v>
      </c>
    </row>
  </sheetData>
  <autoFilter ref="A1:D6361"/>
  <mergeCells count="7">
    <mergeCell ref="A9:D9"/>
    <mergeCell ref="A2:D2"/>
    <mergeCell ref="A3:D3"/>
    <mergeCell ref="A4:D4"/>
    <mergeCell ref="A5:D5"/>
    <mergeCell ref="A6:C6"/>
    <mergeCell ref="B8:C8"/>
  </mergeCells>
  <printOptions horizontalCentered="1"/>
  <pageMargins left="0.70866141732283472" right="0.70866141732283472" top="0.74803149606299213" bottom="0.74803149606299213" header="0.31496062992125984" footer="0.31496062992125984"/>
  <pageSetup paperSize="9" scale="70" orientation="landscape" r:id="rId1"/>
  <headerFooter>
    <oddFooter>&amp;LAGÊNCIA DE ASSUNTOS METROPOLITANOS DO PARANÁ - AMEP
DIRETORIA DE OBRAS&amp;CENGª CIBELE CRISTINE MELLO FRANCZAK
DIRETORA DE OBRAS&amp;RPágina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2:E29"/>
  <sheetViews>
    <sheetView showGridLines="0" zoomScale="85" zoomScaleNormal="85" zoomScaleSheetLayoutView="115" workbookViewId="0">
      <selection activeCell="C33" sqref="C33"/>
    </sheetView>
  </sheetViews>
  <sheetFormatPr defaultRowHeight="15.75"/>
  <cols>
    <col min="1" max="1" width="8.7109375" style="8" customWidth="1"/>
    <col min="2" max="2" width="129" style="15" customWidth="1"/>
    <col min="3" max="3" width="19.5703125" style="16" bestFit="1" customWidth="1"/>
    <col min="4" max="4" width="15.7109375" style="16" bestFit="1" customWidth="1"/>
    <col min="5" max="5" width="26.5703125" style="8" customWidth="1"/>
    <col min="6" max="16384" width="9.140625" style="8"/>
  </cols>
  <sheetData>
    <row r="2" spans="1:4" s="6" customFormat="1">
      <c r="A2" s="495" t="s">
        <v>167</v>
      </c>
      <c r="B2" s="495"/>
      <c r="C2" s="495"/>
      <c r="D2" s="495"/>
    </row>
    <row r="3" spans="1:4" s="6" customFormat="1">
      <c r="A3" s="496" t="s">
        <v>165</v>
      </c>
      <c r="B3" s="496"/>
      <c r="C3" s="496"/>
      <c r="D3" s="496"/>
    </row>
    <row r="4" spans="1:4" s="6" customFormat="1">
      <c r="A4" s="2"/>
      <c r="B4" s="3"/>
      <c r="C4" s="17"/>
      <c r="D4" s="17"/>
    </row>
    <row r="5" spans="1:4" s="6" customFormat="1">
      <c r="A5" s="2" t="s">
        <v>25931</v>
      </c>
      <c r="B5" s="4"/>
      <c r="C5" s="22"/>
      <c r="D5" s="22"/>
    </row>
    <row r="6" spans="1:4" s="6" customFormat="1" ht="15" customHeight="1">
      <c r="A6" s="2"/>
      <c r="B6" s="4"/>
      <c r="C6" s="20"/>
      <c r="D6" s="20"/>
    </row>
    <row r="7" spans="1:4" s="6" customFormat="1">
      <c r="A7" s="2"/>
      <c r="B7" s="4"/>
      <c r="C7" s="20"/>
      <c r="D7" s="20"/>
    </row>
    <row r="8" spans="1:4" s="6" customFormat="1">
      <c r="A8" s="2"/>
      <c r="B8" s="4"/>
      <c r="C8" s="20"/>
      <c r="D8" s="20"/>
    </row>
    <row r="9" spans="1:4" s="6" customFormat="1" ht="15.75" customHeight="1">
      <c r="A9" s="501" t="s">
        <v>349</v>
      </c>
      <c r="B9" s="501"/>
      <c r="C9" s="501"/>
      <c r="D9" s="501"/>
    </row>
    <row r="10" spans="1:4" s="6" customFormat="1" ht="15.75" customHeight="1">
      <c r="A10" s="126" t="s">
        <v>154</v>
      </c>
      <c r="B10" s="126" t="s">
        <v>157</v>
      </c>
      <c r="C10" s="114" t="s">
        <v>163</v>
      </c>
      <c r="D10" s="114" t="s">
        <v>14</v>
      </c>
    </row>
    <row r="11" spans="1:4">
      <c r="A11" s="157" t="s">
        <v>333</v>
      </c>
      <c r="B11" s="155" t="str">
        <f>VLOOKUP(A11,'2. PLANILHA SINTÉTICA'!A:D,4,0)</f>
        <v>ADMINISTRAÇÃO LOCAL</v>
      </c>
      <c r="C11" s="154">
        <f>VLOOKUP(A11,'2. PLANILHA SINTÉTICA'!A:N,14,0)</f>
        <v>7517008.6199999992</v>
      </c>
      <c r="D11" s="158">
        <f t="shared" ref="D11:D26" si="0">C11/$C$27</f>
        <v>6.8303341622617128E-2</v>
      </c>
    </row>
    <row r="12" spans="1:4">
      <c r="A12" s="157" t="s">
        <v>334</v>
      </c>
      <c r="B12" s="155" t="str">
        <f>VLOOKUP(A12,'2. PLANILHA SINTÉTICA'!A:D,4,0)</f>
        <v>PROGRAMAS AMBIENTAIS</v>
      </c>
      <c r="C12" s="154">
        <f>VLOOKUP(A12,'2. PLANILHA SINTÉTICA'!A:N,14,0)</f>
        <v>2035936.8587000002</v>
      </c>
      <c r="D12" s="158">
        <f t="shared" si="0"/>
        <v>1.8499551857885738E-2</v>
      </c>
    </row>
    <row r="13" spans="1:4">
      <c r="A13" s="157" t="s">
        <v>335</v>
      </c>
      <c r="B13" s="155" t="str">
        <f>VLOOKUP(A13,'2. PLANILHA SINTÉTICA'!A:D,4,0)</f>
        <v>MOBILIZAÇÃO</v>
      </c>
      <c r="C13" s="154">
        <f>VLOOKUP(A13,'2. PLANILHA SINTÉTICA'!A:N,14,0)</f>
        <v>33270.32</v>
      </c>
      <c r="D13" s="158">
        <f t="shared" si="0"/>
        <v>3.0231095209969192E-4</v>
      </c>
    </row>
    <row r="14" spans="1:4">
      <c r="A14" s="157" t="s">
        <v>336</v>
      </c>
      <c r="B14" s="155" t="str">
        <f>VLOOKUP(A14,'2. PLANILHA SINTÉTICA'!A:D,4,0)</f>
        <v>CANTEIRO DE OBRAS</v>
      </c>
      <c r="C14" s="154">
        <f>VLOOKUP(A14,'2. PLANILHA SINTÉTICA'!A:N,14,0)</f>
        <v>1207978.2191000003</v>
      </c>
      <c r="D14" s="158">
        <f t="shared" si="0"/>
        <v>1.0976300965299142E-2</v>
      </c>
    </row>
    <row r="15" spans="1:4">
      <c r="A15" s="157" t="s">
        <v>337</v>
      </c>
      <c r="B15" s="155" t="str">
        <f>VLOOKUP(A15,'2. PLANILHA SINTÉTICA'!A:D,4,0)</f>
        <v>SINALIZAÇÃO DE OBRA</v>
      </c>
      <c r="C15" s="154">
        <f>VLOOKUP(A15,'2. PLANILHA SINTÉTICA'!A:N,14,0)</f>
        <v>28361.72</v>
      </c>
      <c r="D15" s="158">
        <f t="shared" si="0"/>
        <v>2.5770893025329708E-4</v>
      </c>
    </row>
    <row r="16" spans="1:4">
      <c r="A16" s="157" t="s">
        <v>338</v>
      </c>
      <c r="B16" s="155" t="str">
        <f>VLOOKUP(A16,'2. PLANILHA SINTÉTICA'!A:D,4,0)</f>
        <v>TERRAPLENAGEM</v>
      </c>
      <c r="C16" s="154">
        <f>VLOOKUP(A16,'2. PLANILHA SINTÉTICA'!A:N,14,0)</f>
        <v>22568133.918200001</v>
      </c>
      <c r="D16" s="158">
        <f t="shared" si="0"/>
        <v>0.20506547733608793</v>
      </c>
    </row>
    <row r="17" spans="1:5">
      <c r="A17" s="157" t="s">
        <v>339</v>
      </c>
      <c r="B17" s="155" t="str">
        <f>VLOOKUP(A17,'2. PLANILHA SINTÉTICA'!A:D,4,0)</f>
        <v xml:space="preserve">DRENAGEM </v>
      </c>
      <c r="C17" s="154">
        <f>VLOOKUP(A17,'2. PLANILHA SINTÉTICA'!A:N,14,0)</f>
        <v>12644511.840300001</v>
      </c>
      <c r="D17" s="158">
        <f t="shared" si="0"/>
        <v>0.11489442882656135</v>
      </c>
      <c r="E17" s="16"/>
    </row>
    <row r="18" spans="1:5">
      <c r="A18" s="157" t="s">
        <v>340</v>
      </c>
      <c r="B18" s="155" t="str">
        <f>VLOOKUP(A18,'2. PLANILHA SINTÉTICA'!A:D,4,0)</f>
        <v>OBRAS DE ARTES CORRENTES</v>
      </c>
      <c r="C18" s="154">
        <f>VLOOKUP(A18,'2. PLANILHA SINTÉTICA'!A:N,14,0)</f>
        <v>2706180.9954000004</v>
      </c>
      <c r="D18" s="158">
        <f t="shared" si="0"/>
        <v>2.458972902194707E-2</v>
      </c>
    </row>
    <row r="19" spans="1:5">
      <c r="A19" s="157" t="s">
        <v>341</v>
      </c>
      <c r="B19" s="155" t="str">
        <f>VLOOKUP(A19,'2. PLANILHA SINTÉTICA'!A:D,4,0)</f>
        <v xml:space="preserve">PAVIMENTAÇÃO </v>
      </c>
      <c r="C19" s="154">
        <f>VLOOKUP(A19,'2. PLANILHA SINTÉTICA'!A:N,14,0)</f>
        <v>48399383.141799994</v>
      </c>
      <c r="D19" s="158">
        <f t="shared" si="0"/>
        <v>0.43978127047276172</v>
      </c>
    </row>
    <row r="20" spans="1:5">
      <c r="A20" s="157" t="s">
        <v>342</v>
      </c>
      <c r="B20" s="155" t="str">
        <f>VLOOKUP(A20,'2. PLANILHA SINTÉTICA'!A:D,4,0)</f>
        <v>LIGANTES BETUMINOSOS</v>
      </c>
      <c r="C20" s="154">
        <f>VLOOKUP(A20,'2. PLANILHA SINTÉTICA'!A:N,14,0)</f>
        <v>476687.19130000006</v>
      </c>
      <c r="D20" s="158">
        <f t="shared" si="0"/>
        <v>4.3314208776961266E-3</v>
      </c>
    </row>
    <row r="21" spans="1:5">
      <c r="A21" s="157" t="s">
        <v>343</v>
      </c>
      <c r="B21" s="155" t="str">
        <f>VLOOKUP(A21,'2. PLANILHA SINTÉTICA'!A:D,4,0)</f>
        <v>CONTENÇÕES</v>
      </c>
      <c r="C21" s="154">
        <f>VLOOKUP(A21,'2. PLANILHA SINTÉTICA'!A:N,14,0)</f>
        <v>615405.49879999994</v>
      </c>
      <c r="D21" s="158">
        <f t="shared" si="0"/>
        <v>5.5918855685672337E-3</v>
      </c>
    </row>
    <row r="22" spans="1:5">
      <c r="A22" s="157" t="s">
        <v>344</v>
      </c>
      <c r="B22" s="155" t="str">
        <f>VLOOKUP(A22,'2. PLANILHA SINTÉTICA'!A:D,4,0)</f>
        <v>SINALIZAÇÃO VIÁRIA</v>
      </c>
      <c r="C22" s="154">
        <f>VLOOKUP(A22,'2. PLANILHA SINTÉTICA'!A:N,14,0)</f>
        <v>4084395.6009999998</v>
      </c>
      <c r="D22" s="158">
        <f t="shared" si="0"/>
        <v>3.7112883882394379E-2</v>
      </c>
    </row>
    <row r="23" spans="1:5">
      <c r="A23" s="157" t="s">
        <v>345</v>
      </c>
      <c r="B23" s="155" t="str">
        <f>VLOOKUP(A23,'2. PLANILHA SINTÉTICA'!A:D,4,0)</f>
        <v>SERVIÇOS COMPLEMENTARES</v>
      </c>
      <c r="C23" s="154">
        <f>VLOOKUP(A23,'2. PLANILHA SINTÉTICA'!A:N,14,0)</f>
        <v>4652585.8827000009</v>
      </c>
      <c r="D23" s="158">
        <f t="shared" si="0"/>
        <v>4.2275748111969554E-2</v>
      </c>
    </row>
    <row r="24" spans="1:5">
      <c r="A24" s="157" t="s">
        <v>346</v>
      </c>
      <c r="B24" s="155" t="str">
        <f>VLOOKUP(A24,'2. PLANILHA SINTÉTICA'!A:D,4,0)</f>
        <v xml:space="preserve">ILUMINAÇÃO PÚBLICA </v>
      </c>
      <c r="C24" s="154">
        <f>VLOOKUP(A24,'2. PLANILHA SINTÉTICA'!A:N,14,0)</f>
        <v>1447468.2736</v>
      </c>
      <c r="D24" s="158">
        <f t="shared" si="0"/>
        <v>1.3152428709014922E-2</v>
      </c>
    </row>
    <row r="25" spans="1:5">
      <c r="A25" s="157" t="s">
        <v>347</v>
      </c>
      <c r="B25" s="155" t="str">
        <f>VLOOKUP(A25,'2. PLANILHA SINTÉTICA'!A:D,4,0)</f>
        <v>INTERFERÊNCIAS</v>
      </c>
      <c r="C25" s="154">
        <f>VLOOKUP(A25,'2. PLANILHA SINTÉTICA'!A:N,14,0)</f>
        <v>1602728.53</v>
      </c>
      <c r="D25" s="158">
        <f t="shared" ref="D25" si="1">C25/$C$27</f>
        <v>1.4563201912745042E-2</v>
      </c>
    </row>
    <row r="26" spans="1:5">
      <c r="A26" s="157" t="s">
        <v>348</v>
      </c>
      <c r="B26" s="155" t="str">
        <f>VLOOKUP(A26,'2. PLANILHA SINTÉTICA'!A:D,4,0)</f>
        <v>DESMOBILIZAÇÃO</v>
      </c>
      <c r="C26" s="154">
        <f>VLOOKUP(A26,'2. PLANILHA SINTÉTICA'!A:N,14,0)</f>
        <v>33270.32</v>
      </c>
      <c r="D26" s="158">
        <f t="shared" si="0"/>
        <v>3.0231095209969192E-4</v>
      </c>
    </row>
    <row r="27" spans="1:5">
      <c r="A27" s="249"/>
      <c r="B27" s="250" t="s">
        <v>22656</v>
      </c>
      <c r="C27" s="251">
        <f>SUM(C11:C26)</f>
        <v>110053306.93089999</v>
      </c>
      <c r="D27" s="252">
        <f>SUM(D11:D26)</f>
        <v>1.0000000000000002</v>
      </c>
    </row>
    <row r="29" spans="1:5">
      <c r="C29" s="21"/>
      <c r="D29" s="21"/>
    </row>
  </sheetData>
  <autoFilter ref="A1:D87"/>
  <mergeCells count="3">
    <mergeCell ref="A2:D2"/>
    <mergeCell ref="A3:D3"/>
    <mergeCell ref="A9:D9"/>
  </mergeCells>
  <printOptions horizontalCentered="1"/>
  <pageMargins left="0.59055118110236227" right="0.31496062992125984" top="1.1811023622047245" bottom="0.98425196850393704" header="0.31496062992125984" footer="0.31496062992125984"/>
  <pageSetup paperSize="9" scale="75" fitToHeight="20" orientation="landscape" horizontalDpi="1200" verticalDpi="1200" r:id="rId1"/>
  <headerFooter>
    <oddFooter>&amp;L&amp;9AGÊNCIA DE ASSUNTOS METROPOLITANOS DO PARANÁ - AMEP
DIRETORIA DE OBRAS&amp;C&amp;9ENGª CIBELE CRISTINE MELLO FRANCZAK
DIRETORA DE OBRAS&amp;R&amp;9Página &amp;P de &amp;N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CC"/>
  </sheetPr>
  <dimension ref="A2:O1665"/>
  <sheetViews>
    <sheetView showGridLines="0" zoomScaleNormal="100" zoomScaleSheetLayoutView="115" workbookViewId="0">
      <selection activeCell="B30" sqref="B30"/>
    </sheetView>
  </sheetViews>
  <sheetFormatPr defaultRowHeight="15.75"/>
  <cols>
    <col min="1" max="1" width="11.85546875" style="229" customWidth="1"/>
    <col min="2" max="2" width="115.85546875" style="229" customWidth="1"/>
    <col min="3" max="3" width="11" style="229" bestFit="1" customWidth="1"/>
    <col min="4" max="4" width="17.28515625" style="229" customWidth="1"/>
    <col min="5" max="16384" width="9.140625" style="229"/>
  </cols>
  <sheetData>
    <row r="2" spans="1:15" s="45" customFormat="1" ht="15.75" customHeight="1">
      <c r="A2" s="495" t="s">
        <v>167</v>
      </c>
      <c r="B2" s="495"/>
      <c r="C2" s="495"/>
      <c r="D2" s="495"/>
      <c r="E2" s="60"/>
      <c r="F2" s="60"/>
    </row>
    <row r="3" spans="1:15" s="45" customFormat="1" ht="15.75" customHeight="1">
      <c r="A3" s="541" t="s">
        <v>165</v>
      </c>
      <c r="B3" s="541"/>
      <c r="C3" s="541"/>
      <c r="D3" s="541"/>
      <c r="E3" s="62"/>
      <c r="F3" s="62"/>
    </row>
    <row r="4" spans="1:15" s="45" customFormat="1">
      <c r="A4" s="541"/>
      <c r="B4" s="541"/>
      <c r="C4" s="541"/>
      <c r="D4" s="541"/>
      <c r="E4" s="62"/>
      <c r="F4" s="62"/>
    </row>
    <row r="5" spans="1:15" s="45" customFormat="1">
      <c r="A5" s="541" t="s">
        <v>25931</v>
      </c>
      <c r="B5" s="541"/>
      <c r="C5" s="541"/>
      <c r="D5" s="541"/>
      <c r="E5" s="62"/>
      <c r="F5" s="62"/>
    </row>
    <row r="6" spans="1:15" s="117" customFormat="1">
      <c r="A6" s="583"/>
      <c r="B6" s="583"/>
      <c r="C6" s="583"/>
      <c r="D6" s="115"/>
      <c r="E6" s="115"/>
      <c r="F6" s="115"/>
      <c r="G6" s="116"/>
      <c r="H6" s="115"/>
      <c r="I6" s="115"/>
      <c r="J6" s="115"/>
      <c r="K6" s="115"/>
      <c r="L6" s="115"/>
      <c r="M6" s="115"/>
      <c r="N6" s="115"/>
      <c r="O6" s="45"/>
    </row>
    <row r="7" spans="1:15" s="117" customFormat="1" ht="15.75" customHeight="1">
      <c r="A7" s="112"/>
      <c r="B7" s="106"/>
      <c r="C7" s="112"/>
      <c r="D7" s="122"/>
      <c r="E7" s="106"/>
      <c r="F7" s="106"/>
      <c r="G7" s="116"/>
      <c r="H7" s="115"/>
      <c r="I7" s="115"/>
      <c r="J7" s="115"/>
      <c r="K7" s="115"/>
      <c r="L7" s="115"/>
      <c r="M7" s="115"/>
      <c r="N7" s="115"/>
      <c r="O7" s="45"/>
    </row>
    <row r="8" spans="1:15">
      <c r="A8" s="588" t="s">
        <v>22697</v>
      </c>
      <c r="B8" s="588"/>
      <c r="C8" s="588"/>
      <c r="D8" s="588"/>
    </row>
    <row r="9" spans="1:15">
      <c r="A9" s="263" t="s">
        <v>22698</v>
      </c>
      <c r="B9" s="263" t="s">
        <v>1186</v>
      </c>
      <c r="C9" s="263" t="s">
        <v>158</v>
      </c>
      <c r="D9" s="264" t="s">
        <v>22699</v>
      </c>
    </row>
    <row r="10" spans="1:15">
      <c r="A10" s="261" t="s">
        <v>9135</v>
      </c>
      <c r="B10" s="262" t="s">
        <v>23739</v>
      </c>
      <c r="C10" s="261" t="s">
        <v>327</v>
      </c>
      <c r="D10" s="440">
        <v>7.2919</v>
      </c>
    </row>
    <row r="11" spans="1:15">
      <c r="A11" s="261" t="s">
        <v>9136</v>
      </c>
      <c r="B11" s="262" t="s">
        <v>23740</v>
      </c>
      <c r="C11" s="261" t="s">
        <v>327</v>
      </c>
      <c r="D11" s="440">
        <v>6.6492000000000004</v>
      </c>
    </row>
    <row r="12" spans="1:15">
      <c r="A12" s="261" t="s">
        <v>9137</v>
      </c>
      <c r="B12" s="262" t="s">
        <v>23741</v>
      </c>
      <c r="C12" s="261" t="s">
        <v>326</v>
      </c>
      <c r="D12" s="440">
        <v>103.5086</v>
      </c>
    </row>
    <row r="13" spans="1:15">
      <c r="A13" s="261" t="s">
        <v>9138</v>
      </c>
      <c r="B13" s="262" t="s">
        <v>23742</v>
      </c>
      <c r="C13" s="261" t="s">
        <v>327</v>
      </c>
      <c r="D13" s="440">
        <v>21.936199999999999</v>
      </c>
    </row>
    <row r="14" spans="1:15">
      <c r="A14" s="261" t="s">
        <v>9139</v>
      </c>
      <c r="B14" s="262" t="s">
        <v>23743</v>
      </c>
      <c r="C14" s="261" t="s">
        <v>327</v>
      </c>
      <c r="D14" s="440">
        <v>13.914899999999999</v>
      </c>
    </row>
    <row r="15" spans="1:15">
      <c r="A15" s="261" t="s">
        <v>9140</v>
      </c>
      <c r="B15" s="262" t="s">
        <v>23744</v>
      </c>
      <c r="C15" s="261" t="s">
        <v>954</v>
      </c>
      <c r="D15" s="440">
        <v>4.2069000000000001</v>
      </c>
    </row>
    <row r="16" spans="1:15">
      <c r="A16" s="261" t="s">
        <v>9141</v>
      </c>
      <c r="B16" s="262" t="s">
        <v>23745</v>
      </c>
      <c r="C16" s="261" t="s">
        <v>327</v>
      </c>
      <c r="D16" s="440">
        <v>10.8116</v>
      </c>
    </row>
    <row r="17" spans="1:4">
      <c r="A17" s="261" t="s">
        <v>9142</v>
      </c>
      <c r="B17" s="262" t="s">
        <v>23746</v>
      </c>
      <c r="C17" s="261" t="s">
        <v>327</v>
      </c>
      <c r="D17" s="440">
        <v>11.6571</v>
      </c>
    </row>
    <row r="18" spans="1:4">
      <c r="A18" s="261" t="s">
        <v>9143</v>
      </c>
      <c r="B18" s="262" t="s">
        <v>23747</v>
      </c>
      <c r="C18" s="261" t="s">
        <v>327</v>
      </c>
      <c r="D18" s="440">
        <v>9.1271000000000004</v>
      </c>
    </row>
    <row r="19" spans="1:4">
      <c r="A19" s="261" t="s">
        <v>9144</v>
      </c>
      <c r="B19" s="262" t="s">
        <v>23748</v>
      </c>
      <c r="C19" s="261" t="s">
        <v>327</v>
      </c>
      <c r="D19" s="440">
        <v>1.6005</v>
      </c>
    </row>
    <row r="20" spans="1:4">
      <c r="A20" s="261" t="s">
        <v>9145</v>
      </c>
      <c r="B20" s="262" t="s">
        <v>23749</v>
      </c>
      <c r="C20" s="261" t="s">
        <v>327</v>
      </c>
      <c r="D20" s="440">
        <v>6.6492000000000004</v>
      </c>
    </row>
    <row r="21" spans="1:4">
      <c r="A21" s="261" t="s">
        <v>9146</v>
      </c>
      <c r="B21" s="262" t="s">
        <v>23750</v>
      </c>
      <c r="C21" s="261" t="s">
        <v>327</v>
      </c>
      <c r="D21" s="440">
        <v>8.1157000000000004</v>
      </c>
    </row>
    <row r="22" spans="1:4">
      <c r="A22" s="261" t="s">
        <v>9147</v>
      </c>
      <c r="B22" s="262" t="s">
        <v>23751</v>
      </c>
      <c r="C22" s="261" t="s">
        <v>331</v>
      </c>
      <c r="D22" s="440">
        <v>23.330100000000002</v>
      </c>
    </row>
    <row r="23" spans="1:4">
      <c r="A23" s="261" t="s">
        <v>9148</v>
      </c>
      <c r="B23" s="262" t="s">
        <v>23752</v>
      </c>
      <c r="C23" s="261" t="s">
        <v>331</v>
      </c>
      <c r="D23" s="440">
        <v>55.585700000000003</v>
      </c>
    </row>
    <row r="24" spans="1:4">
      <c r="A24" s="261" t="s">
        <v>9149</v>
      </c>
      <c r="B24" s="262" t="s">
        <v>23753</v>
      </c>
      <c r="C24" s="261" t="s">
        <v>331</v>
      </c>
      <c r="D24" s="440">
        <v>2.6295000000000002</v>
      </c>
    </row>
    <row r="25" spans="1:4">
      <c r="A25" s="261" t="s">
        <v>9150</v>
      </c>
      <c r="B25" s="262" t="s">
        <v>23754</v>
      </c>
      <c r="C25" s="261" t="s">
        <v>331</v>
      </c>
      <c r="D25" s="440">
        <v>15.8642</v>
      </c>
    </row>
    <row r="26" spans="1:4">
      <c r="A26" s="261" t="s">
        <v>9151</v>
      </c>
      <c r="B26" s="262" t="s">
        <v>23755</v>
      </c>
      <c r="C26" s="261" t="s">
        <v>331</v>
      </c>
      <c r="D26" s="440">
        <v>135.96789999999999</v>
      </c>
    </row>
    <row r="27" spans="1:4">
      <c r="A27" s="261" t="s">
        <v>9152</v>
      </c>
      <c r="B27" s="262" t="s">
        <v>23756</v>
      </c>
      <c r="C27" s="261" t="s">
        <v>327</v>
      </c>
      <c r="D27" s="440">
        <v>7.9951999999999996</v>
      </c>
    </row>
    <row r="28" spans="1:4">
      <c r="A28" s="261" t="s">
        <v>9153</v>
      </c>
      <c r="B28" s="262" t="s">
        <v>23757</v>
      </c>
      <c r="C28" s="261" t="s">
        <v>954</v>
      </c>
      <c r="D28" s="440">
        <v>22.541699999999999</v>
      </c>
    </row>
    <row r="29" spans="1:4">
      <c r="A29" s="261" t="s">
        <v>9154</v>
      </c>
      <c r="B29" s="262" t="s">
        <v>23758</v>
      </c>
      <c r="C29" s="261" t="s">
        <v>327</v>
      </c>
      <c r="D29" s="440">
        <v>54.342500000000001</v>
      </c>
    </row>
    <row r="30" spans="1:4">
      <c r="A30" s="261" t="s">
        <v>9155</v>
      </c>
      <c r="B30" s="262" t="s">
        <v>23759</v>
      </c>
      <c r="C30" s="261" t="s">
        <v>954</v>
      </c>
      <c r="D30" s="440">
        <v>6.3958000000000004</v>
      </c>
    </row>
    <row r="31" spans="1:4">
      <c r="A31" s="261" t="s">
        <v>9156</v>
      </c>
      <c r="B31" s="262" t="s">
        <v>23760</v>
      </c>
      <c r="C31" s="261" t="s">
        <v>326</v>
      </c>
      <c r="D31" s="440">
        <v>107.28100000000001</v>
      </c>
    </row>
    <row r="32" spans="1:4">
      <c r="A32" s="261" t="s">
        <v>9157</v>
      </c>
      <c r="B32" s="262" t="s">
        <v>23761</v>
      </c>
      <c r="C32" s="261" t="s">
        <v>327</v>
      </c>
      <c r="D32" s="440">
        <v>1.5678000000000001</v>
      </c>
    </row>
    <row r="33" spans="1:4">
      <c r="A33" s="261" t="s">
        <v>9158</v>
      </c>
      <c r="B33" s="262" t="s">
        <v>23762</v>
      </c>
      <c r="C33" s="261" t="s">
        <v>327</v>
      </c>
      <c r="D33" s="440">
        <v>6.3094000000000001</v>
      </c>
    </row>
    <row r="34" spans="1:4">
      <c r="A34" s="261" t="s">
        <v>9159</v>
      </c>
      <c r="B34" s="262" t="s">
        <v>23763</v>
      </c>
      <c r="C34" s="261" t="s">
        <v>327</v>
      </c>
      <c r="D34" s="440">
        <v>35.619300000000003</v>
      </c>
    </row>
    <row r="35" spans="1:4">
      <c r="A35" s="261" t="s">
        <v>9160</v>
      </c>
      <c r="B35" s="262" t="s">
        <v>23764</v>
      </c>
      <c r="C35" s="261" t="s">
        <v>954</v>
      </c>
      <c r="D35" s="440">
        <v>13.714</v>
      </c>
    </row>
    <row r="36" spans="1:4">
      <c r="A36" s="261" t="s">
        <v>9161</v>
      </c>
      <c r="B36" s="262" t="s">
        <v>23765</v>
      </c>
      <c r="C36" s="261" t="s">
        <v>954</v>
      </c>
      <c r="D36" s="440">
        <v>4.3071999999999999</v>
      </c>
    </row>
    <row r="37" spans="1:4">
      <c r="A37" s="261" t="s">
        <v>9162</v>
      </c>
      <c r="B37" s="262" t="s">
        <v>23766</v>
      </c>
      <c r="C37" s="261" t="s">
        <v>331</v>
      </c>
      <c r="D37" s="440">
        <v>66913.7745</v>
      </c>
    </row>
    <row r="38" spans="1:4">
      <c r="A38" s="261" t="s">
        <v>9163</v>
      </c>
      <c r="B38" s="262" t="s">
        <v>23767</v>
      </c>
      <c r="C38" s="261" t="s">
        <v>331</v>
      </c>
      <c r="D38" s="440">
        <v>48993.515500000001</v>
      </c>
    </row>
    <row r="39" spans="1:4">
      <c r="A39" s="261" t="s">
        <v>9164</v>
      </c>
      <c r="B39" s="262" t="s">
        <v>23768</v>
      </c>
      <c r="C39" s="261" t="s">
        <v>954</v>
      </c>
      <c r="D39" s="440">
        <v>5.5449999999999999</v>
      </c>
    </row>
    <row r="40" spans="1:4">
      <c r="A40" s="261" t="s">
        <v>9165</v>
      </c>
      <c r="B40" s="262" t="s">
        <v>23769</v>
      </c>
      <c r="C40" s="261" t="s">
        <v>327</v>
      </c>
      <c r="D40" s="440">
        <v>8.0035000000000007</v>
      </c>
    </row>
    <row r="41" spans="1:4">
      <c r="A41" s="261" t="s">
        <v>9166</v>
      </c>
      <c r="B41" s="262" t="s">
        <v>23770</v>
      </c>
      <c r="C41" s="261" t="s">
        <v>331</v>
      </c>
      <c r="D41" s="440">
        <v>651.98879999999997</v>
      </c>
    </row>
    <row r="42" spans="1:4">
      <c r="A42" s="261" t="s">
        <v>9167</v>
      </c>
      <c r="B42" s="262" t="s">
        <v>23771</v>
      </c>
      <c r="C42" s="261" t="s">
        <v>331</v>
      </c>
      <c r="D42" s="440">
        <v>326.85239999999999</v>
      </c>
    </row>
    <row r="43" spans="1:4">
      <c r="A43" s="261" t="s">
        <v>95</v>
      </c>
      <c r="B43" s="262" t="s">
        <v>23772</v>
      </c>
      <c r="C43" s="261" t="s">
        <v>331</v>
      </c>
      <c r="D43" s="440">
        <v>94.757400000000004</v>
      </c>
    </row>
    <row r="44" spans="1:4">
      <c r="A44" s="261" t="s">
        <v>9168</v>
      </c>
      <c r="B44" s="262" t="s">
        <v>23773</v>
      </c>
      <c r="C44" s="261" t="s">
        <v>331</v>
      </c>
      <c r="D44" s="440">
        <v>139.55029999999999</v>
      </c>
    </row>
    <row r="45" spans="1:4">
      <c r="A45" s="261" t="s">
        <v>9169</v>
      </c>
      <c r="B45" s="262" t="s">
        <v>23774</v>
      </c>
      <c r="C45" s="261" t="s">
        <v>331</v>
      </c>
      <c r="D45" s="440">
        <v>186.9453</v>
      </c>
    </row>
    <row r="46" spans="1:4">
      <c r="A46" s="261" t="s">
        <v>9170</v>
      </c>
      <c r="B46" s="262" t="s">
        <v>23775</v>
      </c>
      <c r="C46" s="261" t="s">
        <v>327</v>
      </c>
      <c r="D46" s="440">
        <v>107.26090000000001</v>
      </c>
    </row>
    <row r="47" spans="1:4">
      <c r="A47" s="261" t="s">
        <v>96</v>
      </c>
      <c r="B47" s="262" t="s">
        <v>23776</v>
      </c>
      <c r="C47" s="261" t="s">
        <v>331</v>
      </c>
      <c r="D47" s="440">
        <v>193.29159999999999</v>
      </c>
    </row>
    <row r="48" spans="1:4">
      <c r="A48" s="261" t="s">
        <v>9171</v>
      </c>
      <c r="B48" s="262" t="s">
        <v>23777</v>
      </c>
      <c r="C48" s="261" t="s">
        <v>328</v>
      </c>
      <c r="D48" s="440">
        <v>0.1343</v>
      </c>
    </row>
    <row r="49" spans="1:4">
      <c r="A49" s="261" t="s">
        <v>9172</v>
      </c>
      <c r="B49" s="262" t="s">
        <v>23778</v>
      </c>
      <c r="C49" s="261" t="s">
        <v>328</v>
      </c>
      <c r="D49" s="440">
        <v>1.9575</v>
      </c>
    </row>
    <row r="50" spans="1:4">
      <c r="A50" s="261" t="s">
        <v>9173</v>
      </c>
      <c r="B50" s="262" t="s">
        <v>23779</v>
      </c>
      <c r="C50" s="261" t="s">
        <v>328</v>
      </c>
      <c r="D50" s="440">
        <v>7.1599999999999997E-2</v>
      </c>
    </row>
    <row r="51" spans="1:4">
      <c r="A51" s="261" t="s">
        <v>9174</v>
      </c>
      <c r="B51" s="262" t="s">
        <v>23780</v>
      </c>
      <c r="C51" s="261" t="s">
        <v>331</v>
      </c>
      <c r="D51" s="440">
        <v>1477.8955000000001</v>
      </c>
    </row>
    <row r="52" spans="1:4">
      <c r="A52" s="261" t="s">
        <v>9175</v>
      </c>
      <c r="B52" s="262" t="s">
        <v>23781</v>
      </c>
      <c r="C52" s="261" t="s">
        <v>331</v>
      </c>
      <c r="D52" s="440">
        <v>5162.1917999999996</v>
      </c>
    </row>
    <row r="53" spans="1:4">
      <c r="A53" s="261" t="s">
        <v>9176</v>
      </c>
      <c r="B53" s="262" t="s">
        <v>23782</v>
      </c>
      <c r="C53" s="261" t="s">
        <v>331</v>
      </c>
      <c r="D53" s="440">
        <v>93814.254499999995</v>
      </c>
    </row>
    <row r="54" spans="1:4">
      <c r="A54" s="261" t="s">
        <v>9177</v>
      </c>
      <c r="B54" s="262" t="s">
        <v>23783</v>
      </c>
      <c r="C54" s="261" t="s">
        <v>331</v>
      </c>
      <c r="D54" s="440">
        <v>97837.787500000006</v>
      </c>
    </row>
    <row r="55" spans="1:4">
      <c r="A55" s="261" t="s">
        <v>9178</v>
      </c>
      <c r="B55" s="262" t="s">
        <v>23784</v>
      </c>
      <c r="C55" s="261" t="s">
        <v>331</v>
      </c>
      <c r="D55" s="440">
        <v>63600.3534</v>
      </c>
    </row>
    <row r="56" spans="1:4">
      <c r="A56" s="261" t="s">
        <v>9179</v>
      </c>
      <c r="B56" s="262" t="s">
        <v>23785</v>
      </c>
      <c r="C56" s="261" t="s">
        <v>331</v>
      </c>
      <c r="D56" s="440">
        <v>41391.838499999998</v>
      </c>
    </row>
    <row r="57" spans="1:4">
      <c r="A57" s="261" t="s">
        <v>9180</v>
      </c>
      <c r="B57" s="262" t="s">
        <v>23786</v>
      </c>
      <c r="C57" s="261" t="s">
        <v>331</v>
      </c>
      <c r="D57" s="440">
        <v>42030.864000000001</v>
      </c>
    </row>
    <row r="58" spans="1:4">
      <c r="A58" s="261" t="s">
        <v>9181</v>
      </c>
      <c r="B58" s="262" t="s">
        <v>23787</v>
      </c>
      <c r="C58" s="261" t="s">
        <v>331</v>
      </c>
      <c r="D58" s="440">
        <v>69284.191900000005</v>
      </c>
    </row>
    <row r="59" spans="1:4">
      <c r="A59" s="261" t="s">
        <v>9182</v>
      </c>
      <c r="B59" s="262" t="s">
        <v>23788</v>
      </c>
      <c r="C59" s="261" t="s">
        <v>328</v>
      </c>
      <c r="D59" s="440">
        <v>164.42570000000001</v>
      </c>
    </row>
    <row r="60" spans="1:4">
      <c r="A60" s="261" t="s">
        <v>9183</v>
      </c>
      <c r="B60" s="262" t="s">
        <v>23789</v>
      </c>
      <c r="C60" s="261" t="s">
        <v>328</v>
      </c>
      <c r="D60" s="440">
        <v>15.7902</v>
      </c>
    </row>
    <row r="61" spans="1:4">
      <c r="A61" s="261" t="s">
        <v>9184</v>
      </c>
      <c r="B61" s="262" t="s">
        <v>23790</v>
      </c>
      <c r="C61" s="261" t="s">
        <v>328</v>
      </c>
      <c r="D61" s="440">
        <v>0.59640000000000004</v>
      </c>
    </row>
    <row r="62" spans="1:4">
      <c r="A62" s="261" t="s">
        <v>9185</v>
      </c>
      <c r="B62" s="262" t="s">
        <v>23791</v>
      </c>
      <c r="C62" s="261" t="s">
        <v>331</v>
      </c>
      <c r="D62" s="440">
        <v>24460.8128</v>
      </c>
    </row>
    <row r="63" spans="1:4">
      <c r="A63" s="261" t="s">
        <v>9186</v>
      </c>
      <c r="B63" s="262" t="s">
        <v>23792</v>
      </c>
      <c r="C63" s="261" t="s">
        <v>327</v>
      </c>
      <c r="D63" s="440">
        <v>15.962400000000001</v>
      </c>
    </row>
    <row r="64" spans="1:4">
      <c r="A64" s="261" t="s">
        <v>9187</v>
      </c>
      <c r="B64" s="262" t="s">
        <v>23793</v>
      </c>
      <c r="C64" s="261" t="s">
        <v>331</v>
      </c>
      <c r="D64" s="440">
        <v>10.629200000000001</v>
      </c>
    </row>
    <row r="65" spans="1:4">
      <c r="A65" s="261" t="s">
        <v>9188</v>
      </c>
      <c r="B65" s="262" t="s">
        <v>23794</v>
      </c>
      <c r="C65" s="261" t="s">
        <v>331</v>
      </c>
      <c r="D65" s="440">
        <v>19.7089</v>
      </c>
    </row>
    <row r="66" spans="1:4">
      <c r="A66" s="261" t="s">
        <v>9189</v>
      </c>
      <c r="B66" s="262" t="s">
        <v>23795</v>
      </c>
      <c r="C66" s="261" t="s">
        <v>327</v>
      </c>
      <c r="D66" s="440">
        <v>12.746700000000001</v>
      </c>
    </row>
    <row r="67" spans="1:4">
      <c r="A67" s="261" t="s">
        <v>9190</v>
      </c>
      <c r="B67" s="262" t="s">
        <v>23796</v>
      </c>
      <c r="C67" s="261" t="s">
        <v>331</v>
      </c>
      <c r="D67" s="440">
        <v>15.262</v>
      </c>
    </row>
    <row r="68" spans="1:4">
      <c r="A68" s="261" t="s">
        <v>9191</v>
      </c>
      <c r="B68" s="262" t="s">
        <v>23797</v>
      </c>
      <c r="C68" s="261" t="s">
        <v>326</v>
      </c>
      <c r="D68" s="440">
        <v>109.4986</v>
      </c>
    </row>
    <row r="69" spans="1:4">
      <c r="A69" s="261" t="s">
        <v>9192</v>
      </c>
      <c r="B69" s="262" t="s">
        <v>23798</v>
      </c>
      <c r="C69" s="261" t="s">
        <v>326</v>
      </c>
      <c r="D69" s="440">
        <v>107.1994</v>
      </c>
    </row>
    <row r="70" spans="1:4">
      <c r="A70" s="261" t="s">
        <v>9193</v>
      </c>
      <c r="B70" s="262" t="s">
        <v>23799</v>
      </c>
      <c r="C70" s="261" t="s">
        <v>326</v>
      </c>
      <c r="D70" s="440">
        <v>127.1867</v>
      </c>
    </row>
    <row r="71" spans="1:4">
      <c r="A71" s="261" t="s">
        <v>9194</v>
      </c>
      <c r="B71" s="262" t="s">
        <v>23800</v>
      </c>
      <c r="C71" s="261" t="s">
        <v>327</v>
      </c>
      <c r="D71" s="440">
        <v>1.3169999999999999</v>
      </c>
    </row>
    <row r="72" spans="1:4">
      <c r="A72" s="261" t="s">
        <v>9195</v>
      </c>
      <c r="B72" s="262" t="s">
        <v>23801</v>
      </c>
      <c r="C72" s="261" t="s">
        <v>327</v>
      </c>
      <c r="D72" s="440">
        <v>1.2365999999999999</v>
      </c>
    </row>
    <row r="73" spans="1:4">
      <c r="A73" s="261" t="s">
        <v>9196</v>
      </c>
      <c r="B73" s="262" t="s">
        <v>23802</v>
      </c>
      <c r="C73" s="261" t="s">
        <v>331</v>
      </c>
      <c r="D73" s="440">
        <v>340.46010000000001</v>
      </c>
    </row>
    <row r="74" spans="1:4">
      <c r="A74" s="261" t="s">
        <v>9197</v>
      </c>
      <c r="B74" s="262" t="s">
        <v>23803</v>
      </c>
      <c r="C74" s="261" t="s">
        <v>331</v>
      </c>
      <c r="D74" s="440">
        <v>504.09140000000002</v>
      </c>
    </row>
    <row r="75" spans="1:4">
      <c r="A75" s="261" t="s">
        <v>9198</v>
      </c>
      <c r="B75" s="262" t="s">
        <v>23804</v>
      </c>
      <c r="C75" s="261" t="s">
        <v>331</v>
      </c>
      <c r="D75" s="440">
        <v>584.66790000000003</v>
      </c>
    </row>
    <row r="76" spans="1:4">
      <c r="A76" s="261" t="s">
        <v>9199</v>
      </c>
      <c r="B76" s="262" t="s">
        <v>23805</v>
      </c>
      <c r="C76" s="261" t="s">
        <v>331</v>
      </c>
      <c r="D76" s="440">
        <v>685.72810000000004</v>
      </c>
    </row>
    <row r="77" spans="1:4">
      <c r="A77" s="261" t="s">
        <v>9200</v>
      </c>
      <c r="B77" s="262" t="s">
        <v>23806</v>
      </c>
      <c r="C77" s="261" t="s">
        <v>331</v>
      </c>
      <c r="D77" s="440">
        <v>776.50969999999995</v>
      </c>
    </row>
    <row r="78" spans="1:4">
      <c r="A78" s="261" t="s">
        <v>9201</v>
      </c>
      <c r="B78" s="262" t="s">
        <v>23807</v>
      </c>
      <c r="C78" s="261" t="s">
        <v>331</v>
      </c>
      <c r="D78" s="440">
        <v>843.94370000000004</v>
      </c>
    </row>
    <row r="79" spans="1:4">
      <c r="A79" s="261" t="s">
        <v>9202</v>
      </c>
      <c r="B79" s="262" t="s">
        <v>23808</v>
      </c>
      <c r="C79" s="261" t="s">
        <v>331</v>
      </c>
      <c r="D79" s="440">
        <v>1076.1212</v>
      </c>
    </row>
    <row r="80" spans="1:4">
      <c r="A80" s="261" t="s">
        <v>9203</v>
      </c>
      <c r="B80" s="262" t="s">
        <v>23809</v>
      </c>
      <c r="C80" s="261" t="s">
        <v>331</v>
      </c>
      <c r="D80" s="440">
        <v>1487.1749</v>
      </c>
    </row>
    <row r="81" spans="1:4">
      <c r="A81" s="261" t="s">
        <v>9204</v>
      </c>
      <c r="B81" s="262" t="s">
        <v>23810</v>
      </c>
      <c r="C81" s="261" t="s">
        <v>331</v>
      </c>
      <c r="D81" s="440">
        <v>1898.6039000000001</v>
      </c>
    </row>
    <row r="82" spans="1:4">
      <c r="A82" s="261" t="s">
        <v>9205</v>
      </c>
      <c r="B82" s="262" t="s">
        <v>23811</v>
      </c>
      <c r="C82" s="261" t="s">
        <v>328</v>
      </c>
      <c r="D82" s="440">
        <v>18.0855</v>
      </c>
    </row>
    <row r="83" spans="1:4">
      <c r="A83" s="261" t="s">
        <v>9206</v>
      </c>
      <c r="B83" s="262" t="s">
        <v>23812</v>
      </c>
      <c r="C83" s="261" t="s">
        <v>9207</v>
      </c>
      <c r="D83" s="440">
        <v>514.52099999999996</v>
      </c>
    </row>
    <row r="84" spans="1:4">
      <c r="A84" s="261" t="s">
        <v>9208</v>
      </c>
      <c r="B84" s="262" t="s">
        <v>23813</v>
      </c>
      <c r="C84" s="261" t="s">
        <v>331</v>
      </c>
      <c r="D84" s="440">
        <v>2445.8236999999999</v>
      </c>
    </row>
    <row r="85" spans="1:4">
      <c r="A85" s="261" t="s">
        <v>9209</v>
      </c>
      <c r="B85" s="262" t="s">
        <v>23814</v>
      </c>
      <c r="C85" s="261" t="s">
        <v>331</v>
      </c>
      <c r="D85" s="440">
        <v>2926.6190999999999</v>
      </c>
    </row>
    <row r="86" spans="1:4">
      <c r="A86" s="261" t="s">
        <v>9210</v>
      </c>
      <c r="B86" s="262" t="s">
        <v>23815</v>
      </c>
      <c r="C86" s="261" t="s">
        <v>331</v>
      </c>
      <c r="D86" s="440">
        <v>4038.8555999999999</v>
      </c>
    </row>
    <row r="87" spans="1:4">
      <c r="A87" s="261" t="s">
        <v>9211</v>
      </c>
      <c r="B87" s="262" t="s">
        <v>23816</v>
      </c>
      <c r="C87" s="261" t="s">
        <v>327</v>
      </c>
      <c r="D87" s="440">
        <v>6.8148999999999997</v>
      </c>
    </row>
    <row r="88" spans="1:4">
      <c r="A88" s="261" t="s">
        <v>9212</v>
      </c>
      <c r="B88" s="262" t="s">
        <v>23817</v>
      </c>
      <c r="C88" s="261" t="s">
        <v>34</v>
      </c>
      <c r="D88" s="440" t="s">
        <v>13</v>
      </c>
    </row>
    <row r="89" spans="1:4">
      <c r="A89" s="261" t="s">
        <v>9213</v>
      </c>
      <c r="B89" s="262" t="s">
        <v>23818</v>
      </c>
      <c r="C89" s="261" t="s">
        <v>331</v>
      </c>
      <c r="D89" s="440">
        <v>412.91390000000001</v>
      </c>
    </row>
    <row r="90" spans="1:4">
      <c r="A90" s="261" t="s">
        <v>9214</v>
      </c>
      <c r="B90" s="262" t="s">
        <v>23819</v>
      </c>
      <c r="C90" s="261" t="s">
        <v>331</v>
      </c>
      <c r="D90" s="440">
        <v>632.38819999999998</v>
      </c>
    </row>
    <row r="91" spans="1:4">
      <c r="A91" s="261" t="s">
        <v>9215</v>
      </c>
      <c r="B91" s="262" t="s">
        <v>23820</v>
      </c>
      <c r="C91" s="261" t="s">
        <v>325</v>
      </c>
      <c r="D91" s="440">
        <v>28.103200000000001</v>
      </c>
    </row>
    <row r="92" spans="1:4">
      <c r="A92" s="261" t="s">
        <v>9216</v>
      </c>
      <c r="B92" s="262" t="s">
        <v>23821</v>
      </c>
      <c r="C92" s="261" t="s">
        <v>331</v>
      </c>
      <c r="D92" s="440">
        <v>749.49850000000004</v>
      </c>
    </row>
    <row r="93" spans="1:4">
      <c r="A93" s="261" t="s">
        <v>9217</v>
      </c>
      <c r="B93" s="262" t="s">
        <v>23822</v>
      </c>
      <c r="C93" s="261" t="s">
        <v>328</v>
      </c>
      <c r="D93" s="440">
        <v>4.41</v>
      </c>
    </row>
    <row r="94" spans="1:4">
      <c r="A94" s="261" t="s">
        <v>9218</v>
      </c>
      <c r="B94" s="262" t="s">
        <v>23823</v>
      </c>
      <c r="C94" s="261" t="s">
        <v>331</v>
      </c>
      <c r="D94" s="440">
        <v>1148.6925000000001</v>
      </c>
    </row>
    <row r="95" spans="1:4">
      <c r="A95" s="261" t="s">
        <v>9219</v>
      </c>
      <c r="B95" s="262" t="s">
        <v>23824</v>
      </c>
      <c r="C95" s="261" t="s">
        <v>331</v>
      </c>
      <c r="D95" s="440">
        <v>1017.9123</v>
      </c>
    </row>
    <row r="96" spans="1:4">
      <c r="A96" s="261" t="s">
        <v>9220</v>
      </c>
      <c r="B96" s="262" t="s">
        <v>23825</v>
      </c>
      <c r="C96" s="261" t="s">
        <v>331</v>
      </c>
      <c r="D96" s="440">
        <v>5336.1611999999996</v>
      </c>
    </row>
    <row r="97" spans="1:4">
      <c r="A97" s="261" t="s">
        <v>9221</v>
      </c>
      <c r="B97" s="262" t="s">
        <v>23826</v>
      </c>
      <c r="C97" s="261" t="s">
        <v>331</v>
      </c>
      <c r="D97" s="440">
        <v>1415.6766</v>
      </c>
    </row>
    <row r="98" spans="1:4">
      <c r="A98" s="261" t="s">
        <v>9222</v>
      </c>
      <c r="B98" s="262" t="s">
        <v>23827</v>
      </c>
      <c r="C98" s="261" t="s">
        <v>331</v>
      </c>
      <c r="D98" s="440">
        <v>23740.610799999999</v>
      </c>
    </row>
    <row r="99" spans="1:4">
      <c r="A99" s="261" t="s">
        <v>9223</v>
      </c>
      <c r="B99" s="262" t="s">
        <v>23828</v>
      </c>
      <c r="C99" s="261" t="s">
        <v>325</v>
      </c>
      <c r="D99" s="440">
        <v>6.5</v>
      </c>
    </row>
    <row r="100" spans="1:4">
      <c r="A100" s="261" t="s">
        <v>9224</v>
      </c>
      <c r="B100" s="262" t="s">
        <v>23829</v>
      </c>
      <c r="C100" s="261" t="s">
        <v>331</v>
      </c>
      <c r="D100" s="440">
        <v>16777.1862</v>
      </c>
    </row>
    <row r="101" spans="1:4">
      <c r="A101" s="261" t="s">
        <v>9225</v>
      </c>
      <c r="B101" s="262" t="s">
        <v>23830</v>
      </c>
      <c r="C101" s="261" t="s">
        <v>331</v>
      </c>
      <c r="D101" s="440">
        <v>17600.3688</v>
      </c>
    </row>
    <row r="102" spans="1:4">
      <c r="A102" s="261" t="s">
        <v>9226</v>
      </c>
      <c r="B102" s="262" t="s">
        <v>23831</v>
      </c>
      <c r="C102" s="261" t="s">
        <v>331</v>
      </c>
      <c r="D102" s="440">
        <v>22999.8796</v>
      </c>
    </row>
    <row r="103" spans="1:4">
      <c r="A103" s="261" t="s">
        <v>9227</v>
      </c>
      <c r="B103" s="262" t="s">
        <v>23832</v>
      </c>
      <c r="C103" s="261" t="s">
        <v>331</v>
      </c>
      <c r="D103" s="440">
        <v>19691.168300000001</v>
      </c>
    </row>
    <row r="104" spans="1:4">
      <c r="A104" s="261" t="s">
        <v>9228</v>
      </c>
      <c r="B104" s="262" t="s">
        <v>23833</v>
      </c>
      <c r="C104" s="261" t="s">
        <v>328</v>
      </c>
      <c r="D104" s="440">
        <v>328.53820000000002</v>
      </c>
    </row>
    <row r="105" spans="1:4">
      <c r="A105" s="261" t="s">
        <v>9229</v>
      </c>
      <c r="B105" s="262" t="s">
        <v>23834</v>
      </c>
      <c r="C105" s="261" t="s">
        <v>328</v>
      </c>
      <c r="D105" s="440">
        <v>2122.6046000000001</v>
      </c>
    </row>
    <row r="106" spans="1:4">
      <c r="A106" s="261" t="s">
        <v>9230</v>
      </c>
      <c r="B106" s="262" t="s">
        <v>23835</v>
      </c>
      <c r="C106" s="261" t="s">
        <v>328</v>
      </c>
      <c r="D106" s="440">
        <v>2664.3006999999998</v>
      </c>
    </row>
    <row r="107" spans="1:4">
      <c r="A107" s="261" t="s">
        <v>9231</v>
      </c>
      <c r="B107" s="262" t="s">
        <v>23836</v>
      </c>
      <c r="C107" s="261" t="s">
        <v>328</v>
      </c>
      <c r="D107" s="440">
        <v>2982.2561000000001</v>
      </c>
    </row>
    <row r="108" spans="1:4">
      <c r="A108" s="261" t="s">
        <v>9232</v>
      </c>
      <c r="B108" s="262" t="s">
        <v>23837</v>
      </c>
      <c r="C108" s="261" t="s">
        <v>331</v>
      </c>
      <c r="D108" s="440">
        <v>3224.1592999999998</v>
      </c>
    </row>
    <row r="109" spans="1:4">
      <c r="A109" s="261" t="s">
        <v>9233</v>
      </c>
      <c r="B109" s="262" t="s">
        <v>23838</v>
      </c>
      <c r="C109" s="261" t="s">
        <v>331</v>
      </c>
      <c r="D109" s="440">
        <v>4384.7849999999999</v>
      </c>
    </row>
    <row r="110" spans="1:4">
      <c r="A110" s="261" t="s">
        <v>9234</v>
      </c>
      <c r="B110" s="262" t="s">
        <v>23839</v>
      </c>
      <c r="C110" s="261" t="s">
        <v>331</v>
      </c>
      <c r="D110" s="440">
        <v>5038.8892999999998</v>
      </c>
    </row>
    <row r="111" spans="1:4">
      <c r="A111" s="261" t="s">
        <v>9235</v>
      </c>
      <c r="B111" s="262" t="s">
        <v>23840</v>
      </c>
      <c r="C111" s="261" t="s">
        <v>331</v>
      </c>
      <c r="D111" s="440">
        <v>5418.3932000000004</v>
      </c>
    </row>
    <row r="112" spans="1:4">
      <c r="A112" s="261" t="s">
        <v>9236</v>
      </c>
      <c r="B112" s="262" t="s">
        <v>23841</v>
      </c>
      <c r="C112" s="261" t="s">
        <v>325</v>
      </c>
      <c r="D112" s="440">
        <v>5.2666000000000004</v>
      </c>
    </row>
    <row r="113" spans="1:4">
      <c r="A113" s="261" t="s">
        <v>9237</v>
      </c>
      <c r="B113" s="262" t="s">
        <v>23842</v>
      </c>
      <c r="C113" s="261" t="s">
        <v>328</v>
      </c>
      <c r="D113" s="440">
        <v>42.234200000000001</v>
      </c>
    </row>
    <row r="114" spans="1:4">
      <c r="A114" s="261" t="s">
        <v>9238</v>
      </c>
      <c r="B114" s="262" t="s">
        <v>23843</v>
      </c>
      <c r="C114" s="261" t="s">
        <v>331</v>
      </c>
      <c r="D114" s="440">
        <v>1843.7273</v>
      </c>
    </row>
    <row r="115" spans="1:4">
      <c r="A115" s="261" t="s">
        <v>9239</v>
      </c>
      <c r="B115" s="262" t="s">
        <v>23844</v>
      </c>
      <c r="C115" s="261" t="s">
        <v>328</v>
      </c>
      <c r="D115" s="440">
        <v>203.89400000000001</v>
      </c>
    </row>
    <row r="116" spans="1:4">
      <c r="A116" s="261" t="s">
        <v>9240</v>
      </c>
      <c r="B116" s="262" t="s">
        <v>23845</v>
      </c>
      <c r="C116" s="261" t="s">
        <v>328</v>
      </c>
      <c r="D116" s="440">
        <v>225.1087</v>
      </c>
    </row>
    <row r="117" spans="1:4">
      <c r="A117" s="261" t="s">
        <v>9241</v>
      </c>
      <c r="B117" s="262" t="s">
        <v>23846</v>
      </c>
      <c r="C117" s="261" t="s">
        <v>328</v>
      </c>
      <c r="D117" s="440">
        <v>334.99669999999998</v>
      </c>
    </row>
    <row r="118" spans="1:4">
      <c r="A118" s="261" t="s">
        <v>9242</v>
      </c>
      <c r="B118" s="262" t="s">
        <v>23847</v>
      </c>
      <c r="C118" s="261" t="s">
        <v>328</v>
      </c>
      <c r="D118" s="440">
        <v>489.1884</v>
      </c>
    </row>
    <row r="119" spans="1:4">
      <c r="A119" s="261" t="s">
        <v>9243</v>
      </c>
      <c r="B119" s="262" t="s">
        <v>23848</v>
      </c>
      <c r="C119" s="261" t="s">
        <v>328</v>
      </c>
      <c r="D119" s="440">
        <v>645.70439999999996</v>
      </c>
    </row>
    <row r="120" spans="1:4">
      <c r="A120" s="261" t="s">
        <v>9244</v>
      </c>
      <c r="B120" s="262" t="s">
        <v>23849</v>
      </c>
      <c r="C120" s="261" t="s">
        <v>328</v>
      </c>
      <c r="D120" s="440">
        <v>714.08019999999999</v>
      </c>
    </row>
    <row r="121" spans="1:4">
      <c r="A121" s="261" t="s">
        <v>9245</v>
      </c>
      <c r="B121" s="262" t="s">
        <v>23850</v>
      </c>
      <c r="C121" s="261" t="s">
        <v>328</v>
      </c>
      <c r="D121" s="440">
        <v>868.24950000000001</v>
      </c>
    </row>
    <row r="122" spans="1:4">
      <c r="A122" s="261" t="s">
        <v>9246</v>
      </c>
      <c r="B122" s="262" t="s">
        <v>23851</v>
      </c>
      <c r="C122" s="261" t="s">
        <v>331</v>
      </c>
      <c r="D122" s="440">
        <v>2413.078</v>
      </c>
    </row>
    <row r="123" spans="1:4">
      <c r="A123" s="261" t="s">
        <v>9247</v>
      </c>
      <c r="B123" s="262" t="s">
        <v>23852</v>
      </c>
      <c r="C123" s="261" t="s">
        <v>328</v>
      </c>
      <c r="D123" s="440">
        <v>1270.3471999999999</v>
      </c>
    </row>
    <row r="124" spans="1:4">
      <c r="A124" s="261" t="s">
        <v>9248</v>
      </c>
      <c r="B124" s="262" t="s">
        <v>23853</v>
      </c>
      <c r="C124" s="261" t="s">
        <v>327</v>
      </c>
      <c r="D124" s="440">
        <v>3.1246999999999998</v>
      </c>
    </row>
    <row r="125" spans="1:4">
      <c r="A125" s="261" t="s">
        <v>9249</v>
      </c>
      <c r="B125" s="262" t="s">
        <v>23854</v>
      </c>
      <c r="C125" s="261" t="s">
        <v>328</v>
      </c>
      <c r="D125" s="440">
        <v>1226.0209</v>
      </c>
    </row>
    <row r="126" spans="1:4">
      <c r="A126" s="261" t="s">
        <v>9250</v>
      </c>
      <c r="B126" s="262" t="s">
        <v>23855</v>
      </c>
      <c r="C126" s="261" t="s">
        <v>328</v>
      </c>
      <c r="D126" s="440">
        <v>1689.0418</v>
      </c>
    </row>
    <row r="127" spans="1:4">
      <c r="A127" s="261" t="s">
        <v>9251</v>
      </c>
      <c r="B127" s="262" t="s">
        <v>23856</v>
      </c>
      <c r="C127" s="261" t="s">
        <v>328</v>
      </c>
      <c r="D127" s="440">
        <v>2270.0843</v>
      </c>
    </row>
    <row r="128" spans="1:4">
      <c r="A128" s="261" t="s">
        <v>9252</v>
      </c>
      <c r="B128" s="262" t="s">
        <v>23857</v>
      </c>
      <c r="C128" s="261" t="s">
        <v>328</v>
      </c>
      <c r="D128" s="440">
        <v>6878.5150999999996</v>
      </c>
    </row>
    <row r="129" spans="1:4">
      <c r="A129" s="261" t="s">
        <v>9253</v>
      </c>
      <c r="B129" s="262" t="s">
        <v>23858</v>
      </c>
      <c r="C129" s="261" t="s">
        <v>331</v>
      </c>
      <c r="D129" s="440">
        <v>3089.3413</v>
      </c>
    </row>
    <row r="130" spans="1:4">
      <c r="A130" s="261" t="s">
        <v>9254</v>
      </c>
      <c r="B130" s="262" t="s">
        <v>23859</v>
      </c>
      <c r="C130" s="261" t="s">
        <v>331</v>
      </c>
      <c r="D130" s="440">
        <v>4070.0169000000001</v>
      </c>
    </row>
    <row r="131" spans="1:4">
      <c r="A131" s="261" t="s">
        <v>9255</v>
      </c>
      <c r="B131" s="262" t="s">
        <v>23860</v>
      </c>
      <c r="C131" s="261" t="s">
        <v>328</v>
      </c>
      <c r="D131" s="440">
        <v>8294.3019000000004</v>
      </c>
    </row>
    <row r="132" spans="1:4">
      <c r="A132" s="261" t="s">
        <v>9256</v>
      </c>
      <c r="B132" s="262" t="s">
        <v>23861</v>
      </c>
      <c r="C132" s="261" t="s">
        <v>331</v>
      </c>
      <c r="D132" s="440">
        <v>246.767</v>
      </c>
    </row>
    <row r="133" spans="1:4">
      <c r="A133" s="261" t="s">
        <v>9257</v>
      </c>
      <c r="B133" s="262" t="s">
        <v>23862</v>
      </c>
      <c r="C133" s="261" t="s">
        <v>328</v>
      </c>
      <c r="D133" s="440">
        <v>13759.5545</v>
      </c>
    </row>
    <row r="134" spans="1:4">
      <c r="A134" s="261" t="s">
        <v>9258</v>
      </c>
      <c r="B134" s="262" t="s">
        <v>23863</v>
      </c>
      <c r="C134" s="261" t="s">
        <v>328</v>
      </c>
      <c r="D134" s="440">
        <v>19163.841499999999</v>
      </c>
    </row>
    <row r="135" spans="1:4">
      <c r="A135" s="261" t="s">
        <v>9259</v>
      </c>
      <c r="B135" s="262" t="s">
        <v>23864</v>
      </c>
      <c r="C135" s="261" t="s">
        <v>331</v>
      </c>
      <c r="D135" s="440">
        <v>563.86530000000005</v>
      </c>
    </row>
    <row r="136" spans="1:4">
      <c r="A136" s="261" t="s">
        <v>9260</v>
      </c>
      <c r="B136" s="262" t="s">
        <v>23865</v>
      </c>
      <c r="C136" s="261" t="s">
        <v>331</v>
      </c>
      <c r="D136" s="440">
        <v>1127.5417</v>
      </c>
    </row>
    <row r="137" spans="1:4">
      <c r="A137" s="261" t="s">
        <v>9261</v>
      </c>
      <c r="B137" s="262" t="s">
        <v>23866</v>
      </c>
      <c r="C137" s="261" t="s">
        <v>331</v>
      </c>
      <c r="D137" s="440">
        <v>1233.4272000000001</v>
      </c>
    </row>
    <row r="138" spans="1:4">
      <c r="A138" s="261" t="s">
        <v>9262</v>
      </c>
      <c r="B138" s="262" t="s">
        <v>23867</v>
      </c>
      <c r="C138" s="261" t="s">
        <v>331</v>
      </c>
      <c r="D138" s="440">
        <v>3.9495</v>
      </c>
    </row>
    <row r="139" spans="1:4">
      <c r="A139" s="261" t="s">
        <v>9263</v>
      </c>
      <c r="B139" s="262" t="s">
        <v>23868</v>
      </c>
      <c r="C139" s="261" t="s">
        <v>331</v>
      </c>
      <c r="D139" s="440">
        <v>282.85629999999998</v>
      </c>
    </row>
    <row r="140" spans="1:4">
      <c r="A140" s="261" t="s">
        <v>9264</v>
      </c>
      <c r="B140" s="262" t="s">
        <v>23869</v>
      </c>
      <c r="C140" s="261" t="s">
        <v>331</v>
      </c>
      <c r="D140" s="440">
        <v>492.642</v>
      </c>
    </row>
    <row r="141" spans="1:4">
      <c r="A141" s="261" t="s">
        <v>9265</v>
      </c>
      <c r="B141" s="262" t="s">
        <v>23870</v>
      </c>
      <c r="C141" s="261" t="s">
        <v>328</v>
      </c>
      <c r="D141" s="440">
        <v>58.770699999999998</v>
      </c>
    </row>
    <row r="142" spans="1:4">
      <c r="A142" s="261" t="s">
        <v>9266</v>
      </c>
      <c r="B142" s="262" t="s">
        <v>23871</v>
      </c>
      <c r="C142" s="261" t="s">
        <v>328</v>
      </c>
      <c r="D142" s="440">
        <v>9.952</v>
      </c>
    </row>
    <row r="143" spans="1:4">
      <c r="A143" s="261" t="s">
        <v>9267</v>
      </c>
      <c r="B143" s="262" t="s">
        <v>23872</v>
      </c>
      <c r="C143" s="261" t="s">
        <v>331</v>
      </c>
      <c r="D143" s="440">
        <v>3.0164</v>
      </c>
    </row>
    <row r="144" spans="1:4">
      <c r="A144" s="261" t="s">
        <v>9268</v>
      </c>
      <c r="B144" s="262" t="s">
        <v>23873</v>
      </c>
      <c r="C144" s="261" t="s">
        <v>328</v>
      </c>
      <c r="D144" s="440">
        <v>15.2742</v>
      </c>
    </row>
    <row r="145" spans="1:4">
      <c r="A145" s="261" t="s">
        <v>9269</v>
      </c>
      <c r="B145" s="262" t="s">
        <v>23874</v>
      </c>
      <c r="C145" s="261" t="s">
        <v>328</v>
      </c>
      <c r="D145" s="440">
        <v>29.448899999999998</v>
      </c>
    </row>
    <row r="146" spans="1:4">
      <c r="A146" s="261" t="s">
        <v>9270</v>
      </c>
      <c r="B146" s="262" t="s">
        <v>23875</v>
      </c>
      <c r="C146" s="261" t="s">
        <v>325</v>
      </c>
      <c r="D146" s="440">
        <v>11.9253</v>
      </c>
    </row>
    <row r="147" spans="1:4">
      <c r="A147" s="261" t="s">
        <v>9271</v>
      </c>
      <c r="B147" s="262" t="s">
        <v>23876</v>
      </c>
      <c r="C147" s="261" t="s">
        <v>331</v>
      </c>
      <c r="D147" s="440">
        <v>0.20699999999999999</v>
      </c>
    </row>
    <row r="148" spans="1:4">
      <c r="A148" s="261" t="s">
        <v>9272</v>
      </c>
      <c r="B148" s="262" t="s">
        <v>23877</v>
      </c>
      <c r="C148" s="261" t="s">
        <v>331</v>
      </c>
      <c r="D148" s="440">
        <v>80.040000000000006</v>
      </c>
    </row>
    <row r="149" spans="1:4">
      <c r="A149" s="261" t="s">
        <v>9273</v>
      </c>
      <c r="B149" s="262" t="s">
        <v>23878</v>
      </c>
      <c r="C149" s="261" t="s">
        <v>331</v>
      </c>
      <c r="D149" s="440">
        <v>317.32560000000001</v>
      </c>
    </row>
    <row r="150" spans="1:4">
      <c r="A150" s="261" t="s">
        <v>9274</v>
      </c>
      <c r="B150" s="262" t="s">
        <v>23879</v>
      </c>
      <c r="C150" s="261" t="s">
        <v>331</v>
      </c>
      <c r="D150" s="440">
        <v>740.16759999999999</v>
      </c>
    </row>
    <row r="151" spans="1:4">
      <c r="A151" s="261" t="s">
        <v>9275</v>
      </c>
      <c r="B151" s="262" t="s">
        <v>23880</v>
      </c>
      <c r="C151" s="261" t="s">
        <v>331</v>
      </c>
      <c r="D151" s="440">
        <v>1409.654</v>
      </c>
    </row>
    <row r="152" spans="1:4">
      <c r="A152" s="261" t="s">
        <v>9276</v>
      </c>
      <c r="B152" s="262" t="s">
        <v>23881</v>
      </c>
      <c r="C152" s="261" t="s">
        <v>331</v>
      </c>
      <c r="D152" s="440">
        <v>1515.4077</v>
      </c>
    </row>
    <row r="153" spans="1:4">
      <c r="A153" s="261" t="s">
        <v>9277</v>
      </c>
      <c r="B153" s="262" t="s">
        <v>23882</v>
      </c>
      <c r="C153" s="261" t="s">
        <v>326</v>
      </c>
      <c r="D153" s="440">
        <v>103.1448</v>
      </c>
    </row>
    <row r="154" spans="1:4">
      <c r="A154" s="261" t="s">
        <v>9278</v>
      </c>
      <c r="B154" s="262" t="s">
        <v>23883</v>
      </c>
      <c r="C154" s="261" t="s">
        <v>326</v>
      </c>
      <c r="D154" s="440">
        <v>101.7766</v>
      </c>
    </row>
    <row r="155" spans="1:4">
      <c r="A155" s="261" t="s">
        <v>9279</v>
      </c>
      <c r="B155" s="262" t="s">
        <v>23884</v>
      </c>
      <c r="C155" s="261" t="s">
        <v>326</v>
      </c>
      <c r="D155" s="440">
        <v>99.020700000000005</v>
      </c>
    </row>
    <row r="156" spans="1:4">
      <c r="A156" s="261" t="s">
        <v>9280</v>
      </c>
      <c r="B156" s="262" t="s">
        <v>23885</v>
      </c>
      <c r="C156" s="261" t="s">
        <v>326</v>
      </c>
      <c r="D156" s="440">
        <v>13.158099999999999</v>
      </c>
    </row>
    <row r="157" spans="1:4">
      <c r="A157" s="261" t="s">
        <v>9281</v>
      </c>
      <c r="B157" s="262" t="s">
        <v>23886</v>
      </c>
      <c r="C157" s="261" t="s">
        <v>331</v>
      </c>
      <c r="D157" s="440">
        <v>0.35099999999999998</v>
      </c>
    </row>
    <row r="158" spans="1:4">
      <c r="A158" s="261" t="s">
        <v>9282</v>
      </c>
      <c r="B158" s="262" t="s">
        <v>23887</v>
      </c>
      <c r="C158" s="261" t="s">
        <v>331</v>
      </c>
      <c r="D158" s="440">
        <v>352.79340000000002</v>
      </c>
    </row>
    <row r="159" spans="1:4">
      <c r="A159" s="261" t="s">
        <v>9283</v>
      </c>
      <c r="B159" s="262" t="s">
        <v>23888</v>
      </c>
      <c r="C159" s="261" t="s">
        <v>331</v>
      </c>
      <c r="D159" s="440">
        <v>1026.5533</v>
      </c>
    </row>
    <row r="160" spans="1:4">
      <c r="A160" s="261" t="s">
        <v>9284</v>
      </c>
      <c r="B160" s="262" t="s">
        <v>23889</v>
      </c>
      <c r="C160" s="261" t="s">
        <v>331</v>
      </c>
      <c r="D160" s="440">
        <v>673.07560000000001</v>
      </c>
    </row>
    <row r="161" spans="1:4">
      <c r="A161" s="261" t="s">
        <v>9285</v>
      </c>
      <c r="B161" s="262" t="s">
        <v>23890</v>
      </c>
      <c r="C161" s="261" t="s">
        <v>9286</v>
      </c>
      <c r="D161" s="440">
        <v>1855.08</v>
      </c>
    </row>
    <row r="162" spans="1:4">
      <c r="A162" s="261" t="s">
        <v>9287</v>
      </c>
      <c r="B162" s="262" t="s">
        <v>23891</v>
      </c>
      <c r="C162" s="261" t="s">
        <v>327</v>
      </c>
      <c r="D162" s="440">
        <v>4.4523000000000001</v>
      </c>
    </row>
    <row r="163" spans="1:4">
      <c r="A163" s="261" t="s">
        <v>9288</v>
      </c>
      <c r="B163" s="262" t="s">
        <v>23892</v>
      </c>
      <c r="C163" s="261" t="s">
        <v>327</v>
      </c>
      <c r="D163" s="440">
        <v>3.9085000000000001</v>
      </c>
    </row>
    <row r="164" spans="1:4">
      <c r="A164" s="261" t="s">
        <v>9289</v>
      </c>
      <c r="B164" s="262" t="s">
        <v>23893</v>
      </c>
      <c r="C164" s="261" t="s">
        <v>327</v>
      </c>
      <c r="D164" s="440">
        <v>0.15190000000000001</v>
      </c>
    </row>
    <row r="165" spans="1:4">
      <c r="A165" s="261" t="s">
        <v>9290</v>
      </c>
      <c r="B165" s="262" t="s">
        <v>23894</v>
      </c>
      <c r="C165" s="261" t="s">
        <v>327</v>
      </c>
      <c r="D165" s="440">
        <v>33.5</v>
      </c>
    </row>
    <row r="166" spans="1:4">
      <c r="A166" s="261" t="s">
        <v>9291</v>
      </c>
      <c r="B166" s="262" t="s">
        <v>23895</v>
      </c>
      <c r="C166" s="261" t="s">
        <v>331</v>
      </c>
      <c r="D166" s="440">
        <v>87.797300000000007</v>
      </c>
    </row>
    <row r="167" spans="1:4">
      <c r="A167" s="261" t="s">
        <v>9292</v>
      </c>
      <c r="B167" s="262" t="s">
        <v>23896</v>
      </c>
      <c r="C167" s="261" t="s">
        <v>327</v>
      </c>
      <c r="D167" s="440">
        <v>0.18179999999999999</v>
      </c>
    </row>
    <row r="168" spans="1:4">
      <c r="A168" s="261" t="s">
        <v>9293</v>
      </c>
      <c r="B168" s="262" t="s">
        <v>23897</v>
      </c>
      <c r="C168" s="261" t="s">
        <v>325</v>
      </c>
      <c r="D168" s="440">
        <v>205.42310000000001</v>
      </c>
    </row>
    <row r="169" spans="1:4">
      <c r="A169" s="261" t="s">
        <v>9294</v>
      </c>
      <c r="B169" s="262" t="s">
        <v>23898</v>
      </c>
      <c r="C169" s="261" t="s">
        <v>331</v>
      </c>
      <c r="D169" s="440">
        <v>600.47619999999995</v>
      </c>
    </row>
    <row r="170" spans="1:4">
      <c r="A170" s="261" t="s">
        <v>9295</v>
      </c>
      <c r="B170" s="262" t="s">
        <v>23899</v>
      </c>
      <c r="C170" s="261" t="s">
        <v>331</v>
      </c>
      <c r="D170" s="440">
        <v>1010.2178</v>
      </c>
    </row>
    <row r="171" spans="1:4">
      <c r="A171" s="261" t="s">
        <v>9296</v>
      </c>
      <c r="B171" s="262" t="s">
        <v>23900</v>
      </c>
      <c r="C171" s="261" t="s">
        <v>331</v>
      </c>
      <c r="D171" s="440">
        <v>754.01499999999999</v>
      </c>
    </row>
    <row r="172" spans="1:4">
      <c r="A172" s="261" t="s">
        <v>9297</v>
      </c>
      <c r="B172" s="262" t="s">
        <v>23901</v>
      </c>
      <c r="C172" s="261" t="s">
        <v>331</v>
      </c>
      <c r="D172" s="440">
        <v>1054.5609999999999</v>
      </c>
    </row>
    <row r="173" spans="1:4">
      <c r="A173" s="261" t="s">
        <v>9298</v>
      </c>
      <c r="B173" s="262" t="s">
        <v>23902</v>
      </c>
      <c r="C173" s="261" t="s">
        <v>326</v>
      </c>
      <c r="D173" s="440">
        <v>551.59230000000002</v>
      </c>
    </row>
    <row r="174" spans="1:4">
      <c r="A174" s="261" t="s">
        <v>9299</v>
      </c>
      <c r="B174" s="262" t="s">
        <v>23903</v>
      </c>
      <c r="C174" s="261" t="s">
        <v>325</v>
      </c>
      <c r="D174" s="440">
        <v>219.85079999999999</v>
      </c>
    </row>
    <row r="175" spans="1:4">
      <c r="A175" s="261" t="s">
        <v>9300</v>
      </c>
      <c r="B175" s="262" t="s">
        <v>23904</v>
      </c>
      <c r="C175" s="261" t="s">
        <v>325</v>
      </c>
      <c r="D175" s="440">
        <v>242.6386</v>
      </c>
    </row>
    <row r="176" spans="1:4">
      <c r="A176" s="261" t="s">
        <v>9301</v>
      </c>
      <c r="B176" s="262" t="s">
        <v>23905</v>
      </c>
      <c r="C176" s="261" t="s">
        <v>23906</v>
      </c>
      <c r="D176" s="440">
        <v>0.70389999999999997</v>
      </c>
    </row>
    <row r="177" spans="1:4">
      <c r="A177" s="261" t="s">
        <v>9302</v>
      </c>
      <c r="B177" s="262" t="s">
        <v>23907</v>
      </c>
      <c r="C177" s="261" t="s">
        <v>328</v>
      </c>
      <c r="D177" s="440">
        <v>12.61</v>
      </c>
    </row>
    <row r="178" spans="1:4">
      <c r="A178" s="261" t="s">
        <v>9303</v>
      </c>
      <c r="B178" s="262" t="s">
        <v>23908</v>
      </c>
      <c r="C178" s="261" t="s">
        <v>326</v>
      </c>
      <c r="D178" s="440">
        <v>35.708399999999997</v>
      </c>
    </row>
    <row r="179" spans="1:4">
      <c r="A179" s="261" t="s">
        <v>9304</v>
      </c>
      <c r="B179" s="262" t="s">
        <v>23909</v>
      </c>
      <c r="C179" s="261" t="s">
        <v>954</v>
      </c>
      <c r="D179" s="440">
        <v>69.561999999999998</v>
      </c>
    </row>
    <row r="180" spans="1:4">
      <c r="A180" s="261" t="s">
        <v>9305</v>
      </c>
      <c r="B180" s="262" t="s">
        <v>23910</v>
      </c>
      <c r="C180" s="261" t="s">
        <v>954</v>
      </c>
      <c r="D180" s="440">
        <v>25.945599999999999</v>
      </c>
    </row>
    <row r="181" spans="1:4">
      <c r="A181" s="261" t="s">
        <v>9306</v>
      </c>
      <c r="B181" s="262" t="s">
        <v>23911</v>
      </c>
      <c r="C181" s="261" t="s">
        <v>328</v>
      </c>
      <c r="D181" s="440">
        <v>3.9262999999999999</v>
      </c>
    </row>
    <row r="182" spans="1:4">
      <c r="A182" s="261" t="s">
        <v>9307</v>
      </c>
      <c r="B182" s="262" t="s">
        <v>23912</v>
      </c>
      <c r="C182" s="261" t="s">
        <v>331</v>
      </c>
      <c r="D182" s="440">
        <v>23967.5147</v>
      </c>
    </row>
    <row r="183" spans="1:4">
      <c r="A183" s="261" t="s">
        <v>9308</v>
      </c>
      <c r="B183" s="262" t="s">
        <v>23913</v>
      </c>
      <c r="C183" s="261" t="s">
        <v>331</v>
      </c>
      <c r="D183" s="440">
        <v>19254.627700000001</v>
      </c>
    </row>
    <row r="184" spans="1:4">
      <c r="A184" s="261" t="s">
        <v>9309</v>
      </c>
      <c r="B184" s="262" t="s">
        <v>23914</v>
      </c>
      <c r="C184" s="261" t="s">
        <v>328</v>
      </c>
      <c r="D184" s="440">
        <v>142.6773</v>
      </c>
    </row>
    <row r="185" spans="1:4">
      <c r="A185" s="261" t="s">
        <v>9310</v>
      </c>
      <c r="B185" s="262" t="s">
        <v>23915</v>
      </c>
      <c r="C185" s="261" t="s">
        <v>331</v>
      </c>
      <c r="D185" s="440">
        <v>3690.4724000000001</v>
      </c>
    </row>
    <row r="186" spans="1:4">
      <c r="A186" s="261" t="s">
        <v>9311</v>
      </c>
      <c r="B186" s="262" t="s">
        <v>23916</v>
      </c>
      <c r="C186" s="261" t="s">
        <v>331</v>
      </c>
      <c r="D186" s="440">
        <v>2784.0817999999999</v>
      </c>
    </row>
    <row r="187" spans="1:4">
      <c r="A187" s="261" t="s">
        <v>9312</v>
      </c>
      <c r="B187" s="262" t="s">
        <v>23917</v>
      </c>
      <c r="C187" s="261" t="s">
        <v>328</v>
      </c>
      <c r="D187" s="440">
        <v>34.1006</v>
      </c>
    </row>
    <row r="188" spans="1:4">
      <c r="A188" s="261" t="s">
        <v>9313</v>
      </c>
      <c r="B188" s="262" t="s">
        <v>23918</v>
      </c>
      <c r="C188" s="261" t="s">
        <v>328</v>
      </c>
      <c r="D188" s="440">
        <v>12.746499999999999</v>
      </c>
    </row>
    <row r="189" spans="1:4">
      <c r="A189" s="261" t="s">
        <v>9314</v>
      </c>
      <c r="B189" s="262" t="s">
        <v>23919</v>
      </c>
      <c r="C189" s="261" t="s">
        <v>328</v>
      </c>
      <c r="D189" s="440">
        <v>11.450699999999999</v>
      </c>
    </row>
    <row r="190" spans="1:4">
      <c r="A190" s="261" t="s">
        <v>9315</v>
      </c>
      <c r="B190" s="262" t="s">
        <v>23920</v>
      </c>
      <c r="C190" s="261" t="s">
        <v>328</v>
      </c>
      <c r="D190" s="440">
        <v>14.0375</v>
      </c>
    </row>
    <row r="191" spans="1:4">
      <c r="A191" s="261" t="s">
        <v>9316</v>
      </c>
      <c r="B191" s="262" t="s">
        <v>23921</v>
      </c>
      <c r="C191" s="261" t="s">
        <v>328</v>
      </c>
      <c r="D191" s="440">
        <v>5.8582999999999998</v>
      </c>
    </row>
    <row r="192" spans="1:4">
      <c r="A192" s="261" t="s">
        <v>9317</v>
      </c>
      <c r="B192" s="262" t="s">
        <v>23922</v>
      </c>
      <c r="C192" s="261" t="s">
        <v>328</v>
      </c>
      <c r="D192" s="440">
        <v>3.7627000000000002</v>
      </c>
    </row>
    <row r="193" spans="1:4">
      <c r="A193" s="261" t="s">
        <v>9318</v>
      </c>
      <c r="B193" s="262" t="s">
        <v>23923</v>
      </c>
      <c r="C193" s="261" t="s">
        <v>328</v>
      </c>
      <c r="D193" s="440">
        <v>6.5692000000000004</v>
      </c>
    </row>
    <row r="194" spans="1:4">
      <c r="A194" s="261" t="s">
        <v>9319</v>
      </c>
      <c r="B194" s="262" t="s">
        <v>23924</v>
      </c>
      <c r="C194" s="261" t="s">
        <v>328</v>
      </c>
      <c r="D194" s="440">
        <v>3.2559</v>
      </c>
    </row>
    <row r="195" spans="1:4">
      <c r="A195" s="261" t="s">
        <v>9320</v>
      </c>
      <c r="B195" s="262" t="s">
        <v>23925</v>
      </c>
      <c r="C195" s="261" t="s">
        <v>331</v>
      </c>
      <c r="D195" s="440">
        <v>188.58760000000001</v>
      </c>
    </row>
    <row r="196" spans="1:4">
      <c r="A196" s="261" t="s">
        <v>9321</v>
      </c>
      <c r="B196" s="262" t="s">
        <v>23926</v>
      </c>
      <c r="C196" s="261" t="s">
        <v>331</v>
      </c>
      <c r="D196" s="440">
        <v>193.62899999999999</v>
      </c>
    </row>
    <row r="197" spans="1:4">
      <c r="A197" s="261" t="s">
        <v>9322</v>
      </c>
      <c r="B197" s="262" t="s">
        <v>23927</v>
      </c>
      <c r="C197" s="261" t="s">
        <v>327</v>
      </c>
      <c r="D197" s="440">
        <v>0.45129999999999998</v>
      </c>
    </row>
    <row r="198" spans="1:4">
      <c r="A198" s="261" t="s">
        <v>9323</v>
      </c>
      <c r="B198" s="262" t="s">
        <v>23928</v>
      </c>
      <c r="C198" s="261" t="s">
        <v>327</v>
      </c>
      <c r="D198" s="440">
        <v>0.53749999999999998</v>
      </c>
    </row>
    <row r="199" spans="1:4">
      <c r="A199" s="261" t="s">
        <v>9324</v>
      </c>
      <c r="B199" s="262" t="s">
        <v>23929</v>
      </c>
      <c r="C199" s="261" t="s">
        <v>331</v>
      </c>
      <c r="D199" s="440">
        <v>290</v>
      </c>
    </row>
    <row r="200" spans="1:4">
      <c r="A200" s="261" t="s">
        <v>9325</v>
      </c>
      <c r="B200" s="262" t="s">
        <v>23930</v>
      </c>
      <c r="C200" s="261" t="s">
        <v>331</v>
      </c>
      <c r="D200" s="440">
        <v>809.96690000000001</v>
      </c>
    </row>
    <row r="201" spans="1:4">
      <c r="A201" s="261" t="s">
        <v>9326</v>
      </c>
      <c r="B201" s="262" t="s">
        <v>23931</v>
      </c>
      <c r="C201" s="261" t="s">
        <v>331</v>
      </c>
      <c r="D201" s="440">
        <v>247.12960000000001</v>
      </c>
    </row>
    <row r="202" spans="1:4">
      <c r="A202" s="261" t="s">
        <v>9327</v>
      </c>
      <c r="B202" s="262" t="s">
        <v>23932</v>
      </c>
      <c r="C202" s="261" t="s">
        <v>331</v>
      </c>
      <c r="D202" s="440">
        <v>574.13480000000004</v>
      </c>
    </row>
    <row r="203" spans="1:4">
      <c r="A203" s="261" t="s">
        <v>9328</v>
      </c>
      <c r="B203" s="262" t="s">
        <v>23933</v>
      </c>
      <c r="C203" s="261" t="s">
        <v>331</v>
      </c>
      <c r="D203" s="440">
        <v>290</v>
      </c>
    </row>
    <row r="204" spans="1:4">
      <c r="A204" s="261" t="s">
        <v>9329</v>
      </c>
      <c r="B204" s="262" t="s">
        <v>23934</v>
      </c>
      <c r="C204" s="261" t="s">
        <v>328</v>
      </c>
      <c r="D204" s="440">
        <v>226.57990000000001</v>
      </c>
    </row>
    <row r="205" spans="1:4">
      <c r="A205" s="261" t="s">
        <v>9330</v>
      </c>
      <c r="B205" s="262" t="s">
        <v>23935</v>
      </c>
      <c r="C205" s="261" t="s">
        <v>327</v>
      </c>
      <c r="D205" s="440">
        <v>10.9156</v>
      </c>
    </row>
    <row r="206" spans="1:4">
      <c r="A206" s="261" t="s">
        <v>9331</v>
      </c>
      <c r="B206" s="262" t="s">
        <v>23936</v>
      </c>
      <c r="C206" s="261" t="s">
        <v>327</v>
      </c>
      <c r="D206" s="440">
        <v>10.518700000000001</v>
      </c>
    </row>
    <row r="207" spans="1:4">
      <c r="A207" s="261" t="s">
        <v>9332</v>
      </c>
      <c r="B207" s="262" t="s">
        <v>23937</v>
      </c>
      <c r="C207" s="261" t="s">
        <v>325</v>
      </c>
      <c r="D207" s="440">
        <v>191.5598</v>
      </c>
    </row>
    <row r="208" spans="1:4">
      <c r="A208" s="261" t="s">
        <v>9333</v>
      </c>
      <c r="B208" s="262" t="s">
        <v>23938</v>
      </c>
      <c r="C208" s="261" t="s">
        <v>331</v>
      </c>
      <c r="D208" s="440">
        <v>10.035399999999999</v>
      </c>
    </row>
    <row r="209" spans="1:4">
      <c r="A209" s="261" t="s">
        <v>9334</v>
      </c>
      <c r="B209" s="262" t="s">
        <v>23939</v>
      </c>
      <c r="C209" s="261" t="s">
        <v>331</v>
      </c>
      <c r="D209" s="440">
        <v>1.4393</v>
      </c>
    </row>
    <row r="210" spans="1:4">
      <c r="A210" s="261" t="s">
        <v>9335</v>
      </c>
      <c r="B210" s="262" t="s">
        <v>23940</v>
      </c>
      <c r="C210" s="261" t="s">
        <v>331</v>
      </c>
      <c r="D210" s="440">
        <v>25.971699999999998</v>
      </c>
    </row>
    <row r="211" spans="1:4">
      <c r="A211" s="261" t="s">
        <v>9336</v>
      </c>
      <c r="B211" s="262" t="s">
        <v>23941</v>
      </c>
      <c r="C211" s="261" t="s">
        <v>331</v>
      </c>
      <c r="D211" s="440">
        <v>4.4802</v>
      </c>
    </row>
    <row r="212" spans="1:4">
      <c r="A212" s="261" t="s">
        <v>9337</v>
      </c>
      <c r="B212" s="262" t="s">
        <v>23942</v>
      </c>
      <c r="C212" s="261" t="s">
        <v>331</v>
      </c>
      <c r="D212" s="440">
        <v>15.918799999999999</v>
      </c>
    </row>
    <row r="213" spans="1:4">
      <c r="A213" s="261" t="s">
        <v>9338</v>
      </c>
      <c r="B213" s="262" t="s">
        <v>23943</v>
      </c>
      <c r="C213" s="261" t="s">
        <v>331</v>
      </c>
      <c r="D213" s="440">
        <v>37.362900000000003</v>
      </c>
    </row>
    <row r="214" spans="1:4">
      <c r="A214" s="261" t="s">
        <v>9339</v>
      </c>
      <c r="B214" s="262" t="s">
        <v>23944</v>
      </c>
      <c r="C214" s="261" t="s">
        <v>327</v>
      </c>
      <c r="D214" s="440">
        <v>10.1571</v>
      </c>
    </row>
    <row r="215" spans="1:4">
      <c r="A215" s="261" t="s">
        <v>9340</v>
      </c>
      <c r="B215" s="262" t="s">
        <v>23945</v>
      </c>
      <c r="C215" s="261" t="s">
        <v>327</v>
      </c>
      <c r="D215" s="440">
        <v>0.54479999999999995</v>
      </c>
    </row>
    <row r="216" spans="1:4">
      <c r="A216" s="261" t="s">
        <v>9341</v>
      </c>
      <c r="B216" s="262" t="s">
        <v>23946</v>
      </c>
      <c r="C216" s="261" t="s">
        <v>327</v>
      </c>
      <c r="D216" s="440">
        <v>12.499700000000001</v>
      </c>
    </row>
    <row r="217" spans="1:4">
      <c r="A217" s="261" t="s">
        <v>9342</v>
      </c>
      <c r="B217" s="262" t="s">
        <v>23947</v>
      </c>
      <c r="C217" s="261" t="s">
        <v>327</v>
      </c>
      <c r="D217" s="440">
        <v>12.499700000000001</v>
      </c>
    </row>
    <row r="218" spans="1:4">
      <c r="A218" s="261" t="s">
        <v>9343</v>
      </c>
      <c r="B218" s="262" t="s">
        <v>23948</v>
      </c>
      <c r="C218" s="261" t="s">
        <v>328</v>
      </c>
      <c r="D218" s="440">
        <v>16.407599999999999</v>
      </c>
    </row>
    <row r="219" spans="1:4">
      <c r="A219" s="261" t="s">
        <v>9344</v>
      </c>
      <c r="B219" s="262" t="s">
        <v>23949</v>
      </c>
      <c r="C219" s="261" t="s">
        <v>328</v>
      </c>
      <c r="D219" s="440">
        <v>260.61790000000002</v>
      </c>
    </row>
    <row r="220" spans="1:4">
      <c r="A220" s="261" t="s">
        <v>9345</v>
      </c>
      <c r="B220" s="262" t="s">
        <v>23950</v>
      </c>
      <c r="C220" s="261" t="s">
        <v>325</v>
      </c>
      <c r="D220" s="440">
        <v>36.368899999999996</v>
      </c>
    </row>
    <row r="221" spans="1:4">
      <c r="A221" s="261" t="s">
        <v>9346</v>
      </c>
      <c r="B221" s="262" t="s">
        <v>23951</v>
      </c>
      <c r="C221" s="261" t="s">
        <v>325</v>
      </c>
      <c r="D221" s="440">
        <v>44.902900000000002</v>
      </c>
    </row>
    <row r="222" spans="1:4">
      <c r="A222" s="261" t="s">
        <v>9347</v>
      </c>
      <c r="B222" s="262" t="s">
        <v>23952</v>
      </c>
      <c r="C222" s="261" t="s">
        <v>331</v>
      </c>
      <c r="D222" s="440">
        <v>17.303999999999998</v>
      </c>
    </row>
    <row r="223" spans="1:4">
      <c r="A223" s="261" t="s">
        <v>9348</v>
      </c>
      <c r="B223" s="262" t="s">
        <v>23953</v>
      </c>
      <c r="C223" s="261" t="s">
        <v>331</v>
      </c>
      <c r="D223" s="440">
        <v>24.767600000000002</v>
      </c>
    </row>
    <row r="224" spans="1:4">
      <c r="A224" s="261" t="s">
        <v>9349</v>
      </c>
      <c r="B224" s="262" t="s">
        <v>23954</v>
      </c>
      <c r="C224" s="261" t="s">
        <v>325</v>
      </c>
      <c r="D224" s="440">
        <v>28.0991</v>
      </c>
    </row>
    <row r="225" spans="1:4">
      <c r="A225" s="261" t="s">
        <v>9350</v>
      </c>
      <c r="B225" s="262" t="s">
        <v>23955</v>
      </c>
      <c r="C225" s="261" t="s">
        <v>325</v>
      </c>
      <c r="D225" s="440">
        <v>34.297499999999999</v>
      </c>
    </row>
    <row r="226" spans="1:4">
      <c r="A226" s="261" t="s">
        <v>9351</v>
      </c>
      <c r="B226" s="262" t="s">
        <v>23956</v>
      </c>
      <c r="C226" s="261" t="s">
        <v>325</v>
      </c>
      <c r="D226" s="440">
        <v>38.972099999999998</v>
      </c>
    </row>
    <row r="227" spans="1:4">
      <c r="A227" s="261" t="s">
        <v>9352</v>
      </c>
      <c r="B227" s="262" t="s">
        <v>23957</v>
      </c>
      <c r="C227" s="261" t="s">
        <v>325</v>
      </c>
      <c r="D227" s="440">
        <v>42.231499999999997</v>
      </c>
    </row>
    <row r="228" spans="1:4">
      <c r="A228" s="261" t="s">
        <v>9353</v>
      </c>
      <c r="B228" s="262" t="s">
        <v>23958</v>
      </c>
      <c r="C228" s="261" t="s">
        <v>326</v>
      </c>
      <c r="D228" s="440" t="s">
        <v>13</v>
      </c>
    </row>
    <row r="229" spans="1:4">
      <c r="A229" s="261" t="s">
        <v>9354</v>
      </c>
      <c r="B229" s="262" t="s">
        <v>23959</v>
      </c>
      <c r="C229" s="261" t="s">
        <v>326</v>
      </c>
      <c r="D229" s="440" t="s">
        <v>13</v>
      </c>
    </row>
    <row r="230" spans="1:4">
      <c r="A230" s="261" t="s">
        <v>9355</v>
      </c>
      <c r="B230" s="262" t="s">
        <v>23960</v>
      </c>
      <c r="C230" s="261" t="s">
        <v>326</v>
      </c>
      <c r="D230" s="440" t="s">
        <v>13</v>
      </c>
    </row>
    <row r="231" spans="1:4">
      <c r="A231" s="261" t="s">
        <v>9356</v>
      </c>
      <c r="B231" s="262" t="s">
        <v>23961</v>
      </c>
      <c r="C231" s="261" t="s">
        <v>326</v>
      </c>
      <c r="D231" s="440" t="s">
        <v>13</v>
      </c>
    </row>
    <row r="232" spans="1:4">
      <c r="A232" s="261" t="s">
        <v>9357</v>
      </c>
      <c r="B232" s="262" t="s">
        <v>23962</v>
      </c>
      <c r="C232" s="261" t="s">
        <v>325</v>
      </c>
      <c r="D232" s="440">
        <v>54.545400000000001</v>
      </c>
    </row>
    <row r="233" spans="1:4">
      <c r="A233" s="261" t="s">
        <v>9358</v>
      </c>
      <c r="B233" s="262" t="s">
        <v>23963</v>
      </c>
      <c r="C233" s="261" t="s">
        <v>331</v>
      </c>
      <c r="D233" s="440">
        <v>36.6676</v>
      </c>
    </row>
    <row r="234" spans="1:4">
      <c r="A234" s="261" t="s">
        <v>9359</v>
      </c>
      <c r="B234" s="262" t="s">
        <v>23964</v>
      </c>
      <c r="C234" s="261" t="s">
        <v>331</v>
      </c>
      <c r="D234" s="440">
        <v>65.442899999999995</v>
      </c>
    </row>
    <row r="235" spans="1:4">
      <c r="A235" s="261" t="s">
        <v>9360</v>
      </c>
      <c r="B235" s="262" t="s">
        <v>23965</v>
      </c>
      <c r="C235" s="261" t="s">
        <v>331</v>
      </c>
      <c r="D235" s="440">
        <v>135.27260000000001</v>
      </c>
    </row>
    <row r="236" spans="1:4">
      <c r="A236" s="261" t="s">
        <v>9361</v>
      </c>
      <c r="B236" s="262" t="s">
        <v>23966</v>
      </c>
      <c r="C236" s="261" t="s">
        <v>331</v>
      </c>
      <c r="D236" s="440">
        <v>17.539200000000001</v>
      </c>
    </row>
    <row r="237" spans="1:4">
      <c r="A237" s="261" t="s">
        <v>9362</v>
      </c>
      <c r="B237" s="262" t="s">
        <v>23967</v>
      </c>
      <c r="C237" s="261" t="s">
        <v>331</v>
      </c>
      <c r="D237" s="440">
        <v>25.056799999999999</v>
      </c>
    </row>
    <row r="238" spans="1:4">
      <c r="A238" s="261" t="s">
        <v>9363</v>
      </c>
      <c r="B238" s="262" t="s">
        <v>23968</v>
      </c>
      <c r="C238" s="261" t="s">
        <v>331</v>
      </c>
      <c r="D238" s="440">
        <v>33.643599999999999</v>
      </c>
    </row>
    <row r="239" spans="1:4">
      <c r="A239" s="261" t="s">
        <v>9364</v>
      </c>
      <c r="B239" s="262" t="s">
        <v>23969</v>
      </c>
      <c r="C239" s="261" t="s">
        <v>331</v>
      </c>
      <c r="D239" s="440">
        <v>49.7821</v>
      </c>
    </row>
    <row r="240" spans="1:4">
      <c r="A240" s="261" t="s">
        <v>9365</v>
      </c>
      <c r="B240" s="262" t="s">
        <v>23970</v>
      </c>
      <c r="C240" s="261" t="s">
        <v>331</v>
      </c>
      <c r="D240" s="440">
        <v>76.610900000000001</v>
      </c>
    </row>
    <row r="241" spans="1:4">
      <c r="A241" s="261" t="s">
        <v>9366</v>
      </c>
      <c r="B241" s="262" t="s">
        <v>23971</v>
      </c>
      <c r="C241" s="261" t="s">
        <v>331</v>
      </c>
      <c r="D241" s="440">
        <v>4.7728000000000002</v>
      </c>
    </row>
    <row r="242" spans="1:4">
      <c r="A242" s="261" t="s">
        <v>9367</v>
      </c>
      <c r="B242" s="262" t="s">
        <v>23972</v>
      </c>
      <c r="C242" s="261" t="s">
        <v>331</v>
      </c>
      <c r="D242" s="440">
        <v>8.5427999999999997</v>
      </c>
    </row>
    <row r="243" spans="1:4">
      <c r="A243" s="261" t="s">
        <v>9368</v>
      </c>
      <c r="B243" s="262" t="s">
        <v>23973</v>
      </c>
      <c r="C243" s="261" t="s">
        <v>327</v>
      </c>
      <c r="D243" s="440">
        <v>10.280099999999999</v>
      </c>
    </row>
    <row r="244" spans="1:4">
      <c r="A244" s="261" t="s">
        <v>9369</v>
      </c>
      <c r="B244" s="262" t="s">
        <v>23974</v>
      </c>
      <c r="C244" s="261" t="s">
        <v>331</v>
      </c>
      <c r="D244" s="440">
        <v>505.07260000000002</v>
      </c>
    </row>
    <row r="245" spans="1:4">
      <c r="A245" s="261" t="s">
        <v>9370</v>
      </c>
      <c r="B245" s="262" t="s">
        <v>23975</v>
      </c>
      <c r="C245" s="261" t="s">
        <v>325</v>
      </c>
      <c r="D245" s="440">
        <v>277.64890000000003</v>
      </c>
    </row>
    <row r="246" spans="1:4">
      <c r="A246" s="261" t="s">
        <v>9371</v>
      </c>
      <c r="B246" s="262" t="s">
        <v>23976</v>
      </c>
      <c r="C246" s="261" t="s">
        <v>327</v>
      </c>
      <c r="D246" s="440">
        <v>18.596299999999999</v>
      </c>
    </row>
    <row r="247" spans="1:4">
      <c r="A247" s="261" t="s">
        <v>9372</v>
      </c>
      <c r="B247" s="262" t="s">
        <v>23977</v>
      </c>
      <c r="C247" s="261" t="s">
        <v>331</v>
      </c>
      <c r="D247" s="440">
        <v>184.9051</v>
      </c>
    </row>
    <row r="248" spans="1:4">
      <c r="A248" s="261" t="s">
        <v>9373</v>
      </c>
      <c r="B248" s="262" t="s">
        <v>23978</v>
      </c>
      <c r="C248" s="261" t="s">
        <v>331</v>
      </c>
      <c r="D248" s="440">
        <v>129.16380000000001</v>
      </c>
    </row>
    <row r="249" spans="1:4">
      <c r="A249" s="261" t="s">
        <v>9374</v>
      </c>
      <c r="B249" s="262" t="s">
        <v>23979</v>
      </c>
      <c r="C249" s="261" t="s">
        <v>331</v>
      </c>
      <c r="D249" s="440">
        <v>383.41649999999998</v>
      </c>
    </row>
    <row r="250" spans="1:4">
      <c r="A250" s="261" t="s">
        <v>9375</v>
      </c>
      <c r="B250" s="262" t="s">
        <v>23980</v>
      </c>
      <c r="C250" s="261" t="s">
        <v>331</v>
      </c>
      <c r="D250" s="440">
        <v>81.208699999999993</v>
      </c>
    </row>
    <row r="251" spans="1:4">
      <c r="A251" s="261" t="s">
        <v>9376</v>
      </c>
      <c r="B251" s="262" t="s">
        <v>23981</v>
      </c>
      <c r="C251" s="261" t="s">
        <v>328</v>
      </c>
      <c r="D251" s="440">
        <v>123.92959999999999</v>
      </c>
    </row>
    <row r="252" spans="1:4">
      <c r="A252" s="261" t="s">
        <v>9377</v>
      </c>
      <c r="B252" s="262" t="s">
        <v>23982</v>
      </c>
      <c r="C252" s="261" t="s">
        <v>331</v>
      </c>
      <c r="D252" s="440">
        <v>166</v>
      </c>
    </row>
    <row r="253" spans="1:4">
      <c r="A253" s="261" t="s">
        <v>9378</v>
      </c>
      <c r="B253" s="262" t="s">
        <v>23983</v>
      </c>
      <c r="C253" s="261" t="s">
        <v>331</v>
      </c>
      <c r="D253" s="440">
        <v>230.27670000000001</v>
      </c>
    </row>
    <row r="254" spans="1:4">
      <c r="A254" s="261" t="s">
        <v>9379</v>
      </c>
      <c r="B254" s="262" t="s">
        <v>23984</v>
      </c>
      <c r="C254" s="261" t="s">
        <v>331</v>
      </c>
      <c r="D254" s="440">
        <v>285.73039999999997</v>
      </c>
    </row>
    <row r="255" spans="1:4">
      <c r="A255" s="261" t="s">
        <v>9380</v>
      </c>
      <c r="B255" s="262" t="s">
        <v>23985</v>
      </c>
      <c r="C255" s="261" t="s">
        <v>331</v>
      </c>
      <c r="D255" s="440">
        <v>62.5122</v>
      </c>
    </row>
    <row r="256" spans="1:4">
      <c r="A256" s="261" t="s">
        <v>9381</v>
      </c>
      <c r="B256" s="262" t="s">
        <v>23986</v>
      </c>
      <c r="C256" s="261" t="s">
        <v>331</v>
      </c>
      <c r="D256" s="440">
        <v>67.849999999999994</v>
      </c>
    </row>
    <row r="257" spans="1:4">
      <c r="A257" s="261" t="s">
        <v>9382</v>
      </c>
      <c r="B257" s="262" t="s">
        <v>23987</v>
      </c>
      <c r="C257" s="261" t="s">
        <v>331</v>
      </c>
      <c r="D257" s="440">
        <v>69.940600000000003</v>
      </c>
    </row>
    <row r="258" spans="1:4">
      <c r="A258" s="261" t="s">
        <v>9383</v>
      </c>
      <c r="B258" s="262" t="s">
        <v>23988</v>
      </c>
      <c r="C258" s="261" t="s">
        <v>331</v>
      </c>
      <c r="D258" s="440">
        <v>243.33330000000001</v>
      </c>
    </row>
    <row r="259" spans="1:4">
      <c r="A259" s="261" t="s">
        <v>9384</v>
      </c>
      <c r="B259" s="262" t="s">
        <v>23989</v>
      </c>
      <c r="C259" s="261" t="s">
        <v>331</v>
      </c>
      <c r="D259" s="440">
        <v>228.88929999999999</v>
      </c>
    </row>
    <row r="260" spans="1:4">
      <c r="A260" s="261" t="s">
        <v>9385</v>
      </c>
      <c r="B260" s="262" t="s">
        <v>23990</v>
      </c>
      <c r="C260" s="261" t="s">
        <v>331</v>
      </c>
      <c r="D260" s="440">
        <v>286.88249999999999</v>
      </c>
    </row>
    <row r="261" spans="1:4">
      <c r="A261" s="261" t="s">
        <v>9386</v>
      </c>
      <c r="B261" s="262" t="s">
        <v>23991</v>
      </c>
      <c r="C261" s="261" t="s">
        <v>331</v>
      </c>
      <c r="D261" s="440">
        <v>172.25569999999999</v>
      </c>
    </row>
    <row r="262" spans="1:4">
      <c r="A262" s="261" t="s">
        <v>9387</v>
      </c>
      <c r="B262" s="262" t="s">
        <v>23992</v>
      </c>
      <c r="C262" s="261" t="s">
        <v>331</v>
      </c>
      <c r="D262" s="440">
        <v>288.47160000000002</v>
      </c>
    </row>
    <row r="263" spans="1:4">
      <c r="A263" s="261" t="s">
        <v>9388</v>
      </c>
      <c r="B263" s="262" t="s">
        <v>23993</v>
      </c>
      <c r="C263" s="261" t="s">
        <v>331</v>
      </c>
      <c r="D263" s="440">
        <v>360.84629999999999</v>
      </c>
    </row>
    <row r="264" spans="1:4">
      <c r="A264" s="261" t="s">
        <v>9389</v>
      </c>
      <c r="B264" s="262" t="s">
        <v>23994</v>
      </c>
      <c r="C264" s="261" t="s">
        <v>954</v>
      </c>
      <c r="D264" s="440">
        <v>8.6069999999999993</v>
      </c>
    </row>
    <row r="265" spans="1:4">
      <c r="A265" s="261" t="s">
        <v>9390</v>
      </c>
      <c r="B265" s="262" t="s">
        <v>23995</v>
      </c>
      <c r="C265" s="261" t="s">
        <v>331</v>
      </c>
      <c r="D265" s="440">
        <v>71.288499999999999</v>
      </c>
    </row>
    <row r="266" spans="1:4">
      <c r="A266" s="261" t="s">
        <v>9391</v>
      </c>
      <c r="B266" s="262" t="s">
        <v>23996</v>
      </c>
      <c r="C266" s="261" t="s">
        <v>331</v>
      </c>
      <c r="D266" s="440">
        <v>109.46</v>
      </c>
    </row>
    <row r="267" spans="1:4">
      <c r="A267" s="261" t="s">
        <v>9392</v>
      </c>
      <c r="B267" s="262" t="s">
        <v>23997</v>
      </c>
      <c r="C267" s="261" t="s">
        <v>331</v>
      </c>
      <c r="D267" s="440">
        <v>165.77680000000001</v>
      </c>
    </row>
    <row r="268" spans="1:4">
      <c r="A268" s="261" t="s">
        <v>9393</v>
      </c>
      <c r="B268" s="262" t="s">
        <v>23998</v>
      </c>
      <c r="C268" s="261" t="s">
        <v>331</v>
      </c>
      <c r="D268" s="440">
        <v>296.26859999999999</v>
      </c>
    </row>
    <row r="269" spans="1:4">
      <c r="A269" s="261" t="s">
        <v>9394</v>
      </c>
      <c r="B269" s="262" t="s">
        <v>23999</v>
      </c>
      <c r="C269" s="261" t="s">
        <v>331</v>
      </c>
      <c r="D269" s="440">
        <v>482.82440000000003</v>
      </c>
    </row>
    <row r="270" spans="1:4">
      <c r="A270" s="261" t="s">
        <v>9395</v>
      </c>
      <c r="B270" s="262" t="s">
        <v>24000</v>
      </c>
      <c r="C270" s="261" t="s">
        <v>331</v>
      </c>
      <c r="D270" s="440">
        <v>224.83349999999999</v>
      </c>
    </row>
    <row r="271" spans="1:4">
      <c r="A271" s="261" t="s">
        <v>9396</v>
      </c>
      <c r="B271" s="262" t="s">
        <v>24001</v>
      </c>
      <c r="C271" s="261" t="s">
        <v>331</v>
      </c>
      <c r="D271" s="440">
        <v>357.17270000000002</v>
      </c>
    </row>
    <row r="272" spans="1:4">
      <c r="A272" s="261" t="s">
        <v>9397</v>
      </c>
      <c r="B272" s="262" t="s">
        <v>24002</v>
      </c>
      <c r="C272" s="261" t="s">
        <v>331</v>
      </c>
      <c r="D272" s="440">
        <v>447.30329999999998</v>
      </c>
    </row>
    <row r="273" spans="1:4">
      <c r="A273" s="261" t="s">
        <v>9398</v>
      </c>
      <c r="B273" s="262" t="s">
        <v>24003</v>
      </c>
      <c r="C273" s="261" t="s">
        <v>331</v>
      </c>
      <c r="D273" s="440">
        <v>355.1832</v>
      </c>
    </row>
    <row r="274" spans="1:4">
      <c r="A274" s="261" t="s">
        <v>9399</v>
      </c>
      <c r="B274" s="262" t="s">
        <v>24004</v>
      </c>
      <c r="C274" s="261" t="s">
        <v>331</v>
      </c>
      <c r="D274" s="440">
        <v>391.77210000000002</v>
      </c>
    </row>
    <row r="275" spans="1:4">
      <c r="A275" s="261" t="s">
        <v>9400</v>
      </c>
      <c r="B275" s="262" t="s">
        <v>24005</v>
      </c>
      <c r="C275" s="261" t="s">
        <v>331</v>
      </c>
      <c r="D275" s="440">
        <v>791.7663</v>
      </c>
    </row>
    <row r="276" spans="1:4">
      <c r="A276" s="261" t="s">
        <v>9401</v>
      </c>
      <c r="B276" s="262" t="s">
        <v>24006</v>
      </c>
      <c r="C276" s="261" t="s">
        <v>331</v>
      </c>
      <c r="D276" s="440">
        <v>6442.3975</v>
      </c>
    </row>
    <row r="277" spans="1:4">
      <c r="A277" s="261" t="s">
        <v>9402</v>
      </c>
      <c r="B277" s="262" t="s">
        <v>24007</v>
      </c>
      <c r="C277" s="261" t="s">
        <v>331</v>
      </c>
      <c r="D277" s="440">
        <v>1066.0576000000001</v>
      </c>
    </row>
    <row r="278" spans="1:4">
      <c r="A278" s="261" t="s">
        <v>9403</v>
      </c>
      <c r="B278" s="262" t="s">
        <v>24008</v>
      </c>
      <c r="C278" s="261" t="s">
        <v>331</v>
      </c>
      <c r="D278" s="440">
        <v>1610.5948000000001</v>
      </c>
    </row>
    <row r="279" spans="1:4">
      <c r="A279" s="261" t="s">
        <v>9404</v>
      </c>
      <c r="B279" s="262" t="s">
        <v>24009</v>
      </c>
      <c r="C279" s="261" t="s">
        <v>331</v>
      </c>
      <c r="D279" s="440">
        <v>346.63580000000002</v>
      </c>
    </row>
    <row r="280" spans="1:4">
      <c r="A280" s="261" t="s">
        <v>9405</v>
      </c>
      <c r="B280" s="262" t="s">
        <v>24010</v>
      </c>
      <c r="C280" s="261" t="s">
        <v>331</v>
      </c>
      <c r="D280" s="440">
        <v>753.3143</v>
      </c>
    </row>
    <row r="281" spans="1:4">
      <c r="A281" s="261" t="s">
        <v>9406</v>
      </c>
      <c r="B281" s="262" t="s">
        <v>24011</v>
      </c>
      <c r="C281" s="261" t="s">
        <v>331</v>
      </c>
      <c r="D281" s="440">
        <v>6776.7915000000003</v>
      </c>
    </row>
    <row r="282" spans="1:4">
      <c r="A282" s="261" t="s">
        <v>9407</v>
      </c>
      <c r="B282" s="262" t="s">
        <v>24012</v>
      </c>
      <c r="C282" s="261" t="s">
        <v>331</v>
      </c>
      <c r="D282" s="440">
        <v>5565.8098</v>
      </c>
    </row>
    <row r="283" spans="1:4">
      <c r="A283" s="261" t="s">
        <v>9408</v>
      </c>
      <c r="B283" s="262" t="s">
        <v>24013</v>
      </c>
      <c r="C283" s="261" t="s">
        <v>326</v>
      </c>
      <c r="D283" s="440" t="s">
        <v>13</v>
      </c>
    </row>
    <row r="284" spans="1:4">
      <c r="A284" s="261" t="s">
        <v>9409</v>
      </c>
      <c r="B284" s="262" t="s">
        <v>24014</v>
      </c>
      <c r="C284" s="261" t="s">
        <v>327</v>
      </c>
      <c r="D284" s="440">
        <v>6.2310999999999996</v>
      </c>
    </row>
    <row r="285" spans="1:4">
      <c r="A285" s="261" t="s">
        <v>9410</v>
      </c>
      <c r="B285" s="262" t="s">
        <v>24015</v>
      </c>
      <c r="C285" s="261" t="s">
        <v>331</v>
      </c>
      <c r="D285" s="440">
        <v>161.19999999999999</v>
      </c>
    </row>
    <row r="286" spans="1:4">
      <c r="A286" s="261" t="s">
        <v>9411</v>
      </c>
      <c r="B286" s="262" t="s">
        <v>24016</v>
      </c>
      <c r="C286" s="261" t="s">
        <v>331</v>
      </c>
      <c r="D286" s="440">
        <v>109.09</v>
      </c>
    </row>
    <row r="287" spans="1:4">
      <c r="A287" s="261" t="s">
        <v>9412</v>
      </c>
      <c r="B287" s="262" t="s">
        <v>24017</v>
      </c>
      <c r="C287" s="261" t="s">
        <v>331</v>
      </c>
      <c r="D287" s="440">
        <v>1319</v>
      </c>
    </row>
    <row r="288" spans="1:4">
      <c r="A288" s="261" t="s">
        <v>9413</v>
      </c>
      <c r="B288" s="262" t="s">
        <v>24018</v>
      </c>
      <c r="C288" s="261" t="s">
        <v>331</v>
      </c>
      <c r="D288" s="440">
        <v>640.70000000000005</v>
      </c>
    </row>
    <row r="289" spans="1:4">
      <c r="A289" s="261" t="s">
        <v>9414</v>
      </c>
      <c r="B289" s="262" t="s">
        <v>24019</v>
      </c>
      <c r="C289" s="261" t="s">
        <v>331</v>
      </c>
      <c r="D289" s="440">
        <v>184.42</v>
      </c>
    </row>
    <row r="290" spans="1:4">
      <c r="A290" s="261" t="s">
        <v>9415</v>
      </c>
      <c r="B290" s="262" t="s">
        <v>24020</v>
      </c>
      <c r="C290" s="261" t="s">
        <v>331</v>
      </c>
      <c r="D290" s="440">
        <v>119.6</v>
      </c>
    </row>
    <row r="291" spans="1:4">
      <c r="A291" s="261" t="s">
        <v>9416</v>
      </c>
      <c r="B291" s="262" t="s">
        <v>24021</v>
      </c>
      <c r="C291" s="261" t="s">
        <v>331</v>
      </c>
      <c r="D291" s="440">
        <v>187.15</v>
      </c>
    </row>
    <row r="292" spans="1:4">
      <c r="A292" s="261" t="s">
        <v>9417</v>
      </c>
      <c r="B292" s="262" t="s">
        <v>24022</v>
      </c>
      <c r="C292" s="261" t="s">
        <v>328</v>
      </c>
      <c r="D292" s="440">
        <v>185.50059999999999</v>
      </c>
    </row>
    <row r="293" spans="1:4">
      <c r="A293" s="261" t="s">
        <v>9418</v>
      </c>
      <c r="B293" s="262" t="s">
        <v>24023</v>
      </c>
      <c r="C293" s="261" t="s">
        <v>328</v>
      </c>
      <c r="D293" s="440">
        <v>68.826099999999997</v>
      </c>
    </row>
    <row r="294" spans="1:4">
      <c r="A294" s="261" t="s">
        <v>9419</v>
      </c>
      <c r="B294" s="262" t="s">
        <v>24024</v>
      </c>
      <c r="C294" s="261" t="s">
        <v>328</v>
      </c>
      <c r="D294" s="440">
        <v>84.845100000000002</v>
      </c>
    </row>
    <row r="295" spans="1:4">
      <c r="A295" s="261" t="s">
        <v>9420</v>
      </c>
      <c r="B295" s="262" t="s">
        <v>24025</v>
      </c>
      <c r="C295" s="261" t="s">
        <v>328</v>
      </c>
      <c r="D295" s="440">
        <v>113.825</v>
      </c>
    </row>
    <row r="296" spans="1:4">
      <c r="A296" s="261" t="s">
        <v>9421</v>
      </c>
      <c r="B296" s="262" t="s">
        <v>24026</v>
      </c>
      <c r="C296" s="261" t="s">
        <v>328</v>
      </c>
      <c r="D296" s="440">
        <v>145.98050000000001</v>
      </c>
    </row>
    <row r="297" spans="1:4">
      <c r="A297" s="261" t="s">
        <v>9422</v>
      </c>
      <c r="B297" s="262" t="s">
        <v>24027</v>
      </c>
      <c r="C297" s="261" t="s">
        <v>331</v>
      </c>
      <c r="D297" s="440">
        <v>8679.5180999999993</v>
      </c>
    </row>
    <row r="298" spans="1:4">
      <c r="A298" s="261" t="s">
        <v>9423</v>
      </c>
      <c r="B298" s="262" t="s">
        <v>24028</v>
      </c>
      <c r="C298" s="261" t="s">
        <v>331</v>
      </c>
      <c r="D298" s="440">
        <v>12403.181200000001</v>
      </c>
    </row>
    <row r="299" spans="1:4">
      <c r="A299" s="261" t="s">
        <v>9424</v>
      </c>
      <c r="B299" s="262" t="s">
        <v>24029</v>
      </c>
      <c r="C299" s="261" t="s">
        <v>331</v>
      </c>
      <c r="D299" s="440">
        <v>17642.596399999999</v>
      </c>
    </row>
    <row r="300" spans="1:4">
      <c r="A300" s="261" t="s">
        <v>9425</v>
      </c>
      <c r="B300" s="262" t="s">
        <v>24030</v>
      </c>
      <c r="C300" s="261" t="s">
        <v>331</v>
      </c>
      <c r="D300" s="440">
        <v>31006.963100000001</v>
      </c>
    </row>
    <row r="301" spans="1:4">
      <c r="A301" s="261" t="s">
        <v>9426</v>
      </c>
      <c r="B301" s="262" t="s">
        <v>24031</v>
      </c>
      <c r="C301" s="261" t="s">
        <v>328</v>
      </c>
      <c r="D301" s="440">
        <v>155.6215</v>
      </c>
    </row>
    <row r="302" spans="1:4">
      <c r="A302" s="261" t="s">
        <v>9427</v>
      </c>
      <c r="B302" s="262" t="s">
        <v>24032</v>
      </c>
      <c r="C302" s="261" t="s">
        <v>328</v>
      </c>
      <c r="D302" s="440">
        <v>218.4485</v>
      </c>
    </row>
    <row r="303" spans="1:4">
      <c r="A303" s="261" t="s">
        <v>9428</v>
      </c>
      <c r="B303" s="262" t="s">
        <v>24033</v>
      </c>
      <c r="C303" s="261" t="s">
        <v>327</v>
      </c>
      <c r="D303" s="440">
        <v>8.2341999999999995</v>
      </c>
    </row>
    <row r="304" spans="1:4">
      <c r="A304" s="261" t="s">
        <v>9429</v>
      </c>
      <c r="B304" s="262" t="s">
        <v>24034</v>
      </c>
      <c r="C304" s="261" t="s">
        <v>328</v>
      </c>
      <c r="D304" s="440">
        <v>254.44579999999999</v>
      </c>
    </row>
    <row r="305" spans="1:4">
      <c r="A305" s="261" t="s">
        <v>9430</v>
      </c>
      <c r="B305" s="262" t="s">
        <v>24035</v>
      </c>
      <c r="C305" s="261" t="s">
        <v>954</v>
      </c>
      <c r="D305" s="440">
        <v>203.6199</v>
      </c>
    </row>
    <row r="306" spans="1:4">
      <c r="A306" s="261" t="s">
        <v>9431</v>
      </c>
      <c r="B306" s="262" t="s">
        <v>24036</v>
      </c>
      <c r="C306" s="261" t="s">
        <v>954</v>
      </c>
      <c r="D306" s="440">
        <v>55.515799999999999</v>
      </c>
    </row>
    <row r="307" spans="1:4">
      <c r="A307" s="261" t="s">
        <v>9432</v>
      </c>
      <c r="B307" s="262" t="s">
        <v>24037</v>
      </c>
      <c r="C307" s="261" t="s">
        <v>954</v>
      </c>
      <c r="D307" s="440">
        <v>34.984299999999998</v>
      </c>
    </row>
    <row r="308" spans="1:4">
      <c r="A308" s="261" t="s">
        <v>9433</v>
      </c>
      <c r="B308" s="262" t="s">
        <v>24038</v>
      </c>
      <c r="C308" s="261" t="s">
        <v>954</v>
      </c>
      <c r="D308" s="440">
        <v>35.0959</v>
      </c>
    </row>
    <row r="309" spans="1:4">
      <c r="A309" s="261" t="s">
        <v>9434</v>
      </c>
      <c r="B309" s="262" t="s">
        <v>24039</v>
      </c>
      <c r="C309" s="261" t="s">
        <v>328</v>
      </c>
      <c r="D309" s="440">
        <v>301.24599999999998</v>
      </c>
    </row>
    <row r="310" spans="1:4">
      <c r="A310" s="261" t="s">
        <v>9435</v>
      </c>
      <c r="B310" s="262" t="s">
        <v>24040</v>
      </c>
      <c r="C310" s="261" t="s">
        <v>954</v>
      </c>
      <c r="D310" s="440">
        <v>4.2347000000000001</v>
      </c>
    </row>
    <row r="311" spans="1:4">
      <c r="A311" s="261" t="s">
        <v>9436</v>
      </c>
      <c r="B311" s="262" t="s">
        <v>24041</v>
      </c>
      <c r="C311" s="261" t="s">
        <v>328</v>
      </c>
      <c r="D311" s="440">
        <v>479.03199999999998</v>
      </c>
    </row>
    <row r="312" spans="1:4">
      <c r="A312" s="261" t="s">
        <v>9437</v>
      </c>
      <c r="B312" s="262" t="s">
        <v>24042</v>
      </c>
      <c r="C312" s="261" t="s">
        <v>325</v>
      </c>
      <c r="D312" s="440">
        <v>3.0141</v>
      </c>
    </row>
    <row r="313" spans="1:4">
      <c r="A313" s="261" t="s">
        <v>9438</v>
      </c>
      <c r="B313" s="262" t="s">
        <v>24043</v>
      </c>
      <c r="C313" s="261" t="s">
        <v>327</v>
      </c>
      <c r="D313" s="440">
        <v>8.5427999999999997</v>
      </c>
    </row>
    <row r="314" spans="1:4">
      <c r="A314" s="261" t="s">
        <v>9439</v>
      </c>
      <c r="B314" s="262" t="s">
        <v>24044</v>
      </c>
      <c r="C314" s="261" t="s">
        <v>328</v>
      </c>
      <c r="D314" s="440">
        <v>501.89240000000001</v>
      </c>
    </row>
    <row r="315" spans="1:4">
      <c r="A315" s="261" t="s">
        <v>9440</v>
      </c>
      <c r="B315" s="262" t="s">
        <v>24045</v>
      </c>
      <c r="C315" s="261" t="s">
        <v>328</v>
      </c>
      <c r="D315" s="440">
        <v>753.19150000000002</v>
      </c>
    </row>
    <row r="316" spans="1:4">
      <c r="A316" s="261" t="s">
        <v>98</v>
      </c>
      <c r="B316" s="262" t="s">
        <v>24046</v>
      </c>
      <c r="C316" s="261" t="s">
        <v>331</v>
      </c>
      <c r="D316" s="440">
        <v>205.58240000000001</v>
      </c>
    </row>
    <row r="317" spans="1:4">
      <c r="A317" s="261" t="s">
        <v>9441</v>
      </c>
      <c r="B317" s="262" t="s">
        <v>24047</v>
      </c>
      <c r="C317" s="261" t="s">
        <v>325</v>
      </c>
      <c r="D317" s="440">
        <v>1.5315000000000001</v>
      </c>
    </row>
    <row r="318" spans="1:4">
      <c r="A318" s="261" t="s">
        <v>9442</v>
      </c>
      <c r="B318" s="262" t="s">
        <v>24048</v>
      </c>
      <c r="C318" s="261" t="s">
        <v>331</v>
      </c>
      <c r="D318" s="440">
        <v>358.38659999999999</v>
      </c>
    </row>
    <row r="319" spans="1:4">
      <c r="A319" s="261" t="s">
        <v>9443</v>
      </c>
      <c r="B319" s="262" t="s">
        <v>24049</v>
      </c>
      <c r="C319" s="261" t="s">
        <v>328</v>
      </c>
      <c r="D319" s="440">
        <v>58.211399999999998</v>
      </c>
    </row>
    <row r="320" spans="1:4">
      <c r="A320" s="261" t="s">
        <v>9444</v>
      </c>
      <c r="B320" s="262" t="s">
        <v>24050</v>
      </c>
      <c r="C320" s="261" t="s">
        <v>34</v>
      </c>
      <c r="D320" s="440" t="s">
        <v>13</v>
      </c>
    </row>
    <row r="321" spans="1:4">
      <c r="A321" s="261" t="s">
        <v>9445</v>
      </c>
      <c r="B321" s="262" t="s">
        <v>24051</v>
      </c>
      <c r="C321" s="261" t="s">
        <v>34</v>
      </c>
      <c r="D321" s="440" t="s">
        <v>13</v>
      </c>
    </row>
    <row r="322" spans="1:4">
      <c r="A322" s="261" t="s">
        <v>9446</v>
      </c>
      <c r="B322" s="262" t="s">
        <v>24052</v>
      </c>
      <c r="C322" s="261" t="s">
        <v>326</v>
      </c>
      <c r="D322" s="440">
        <v>411.57260000000002</v>
      </c>
    </row>
    <row r="323" spans="1:4">
      <c r="A323" s="261" t="s">
        <v>9447</v>
      </c>
      <c r="B323" s="262" t="s">
        <v>24053</v>
      </c>
      <c r="C323" s="261" t="s">
        <v>327</v>
      </c>
      <c r="D323" s="440">
        <v>29.9023</v>
      </c>
    </row>
    <row r="324" spans="1:4">
      <c r="A324" s="261" t="s">
        <v>9448</v>
      </c>
      <c r="B324" s="262" t="s">
        <v>24054</v>
      </c>
      <c r="C324" s="261" t="s">
        <v>327</v>
      </c>
      <c r="D324" s="440">
        <v>24.589300000000001</v>
      </c>
    </row>
    <row r="325" spans="1:4">
      <c r="A325" s="261" t="s">
        <v>9449</v>
      </c>
      <c r="B325" s="262" t="s">
        <v>24055</v>
      </c>
      <c r="C325" s="261" t="s">
        <v>331</v>
      </c>
      <c r="D325" s="440">
        <v>50464.0455</v>
      </c>
    </row>
    <row r="326" spans="1:4">
      <c r="A326" s="261" t="s">
        <v>9450</v>
      </c>
      <c r="B326" s="262" t="s">
        <v>24056</v>
      </c>
      <c r="C326" s="261" t="s">
        <v>23733</v>
      </c>
      <c r="D326" s="440">
        <v>82.781700000000001</v>
      </c>
    </row>
    <row r="327" spans="1:4">
      <c r="A327" s="261" t="s">
        <v>9452</v>
      </c>
      <c r="B327" s="262" t="s">
        <v>24057</v>
      </c>
      <c r="C327" s="261" t="s">
        <v>328</v>
      </c>
      <c r="D327" s="440">
        <v>28.638100000000001</v>
      </c>
    </row>
    <row r="328" spans="1:4">
      <c r="A328" s="261" t="s">
        <v>9453</v>
      </c>
      <c r="B328" s="262" t="s">
        <v>24058</v>
      </c>
      <c r="C328" s="261" t="s">
        <v>331</v>
      </c>
      <c r="D328" s="440">
        <v>85150.153399999996</v>
      </c>
    </row>
    <row r="329" spans="1:4">
      <c r="A329" s="261" t="s">
        <v>9454</v>
      </c>
      <c r="B329" s="262" t="s">
        <v>24059</v>
      </c>
      <c r="C329" s="261" t="s">
        <v>326</v>
      </c>
      <c r="D329" s="440">
        <v>96.690799999999996</v>
      </c>
    </row>
    <row r="330" spans="1:4">
      <c r="A330" s="261" t="s">
        <v>9455</v>
      </c>
      <c r="B330" s="262" t="s">
        <v>24060</v>
      </c>
      <c r="C330" s="261" t="s">
        <v>328</v>
      </c>
      <c r="D330" s="440">
        <v>10.574999999999999</v>
      </c>
    </row>
    <row r="331" spans="1:4">
      <c r="A331" s="261" t="s">
        <v>9456</v>
      </c>
      <c r="B331" s="262" t="s">
        <v>24061</v>
      </c>
      <c r="C331" s="261" t="s">
        <v>328</v>
      </c>
      <c r="D331" s="440">
        <v>926.81380000000001</v>
      </c>
    </row>
    <row r="332" spans="1:4">
      <c r="A332" s="261" t="s">
        <v>9457</v>
      </c>
      <c r="B332" s="262" t="s">
        <v>24062</v>
      </c>
      <c r="C332" s="261" t="s">
        <v>331</v>
      </c>
      <c r="D332" s="440">
        <v>3.1202999999999999</v>
      </c>
    </row>
    <row r="333" spans="1:4">
      <c r="A333" s="261" t="s">
        <v>9458</v>
      </c>
      <c r="B333" s="262" t="s">
        <v>24063</v>
      </c>
      <c r="C333" s="261" t="s">
        <v>331</v>
      </c>
      <c r="D333" s="440">
        <v>56283.106699999997</v>
      </c>
    </row>
    <row r="334" spans="1:4">
      <c r="A334" s="261" t="s">
        <v>9459</v>
      </c>
      <c r="B334" s="262" t="s">
        <v>24064</v>
      </c>
      <c r="C334" s="261" t="s">
        <v>331</v>
      </c>
      <c r="D334" s="440">
        <v>94589.69</v>
      </c>
    </row>
    <row r="335" spans="1:4">
      <c r="A335" s="261" t="s">
        <v>9460</v>
      </c>
      <c r="B335" s="262" t="s">
        <v>24065</v>
      </c>
      <c r="C335" s="261" t="s">
        <v>331</v>
      </c>
      <c r="D335" s="440">
        <v>102894.47</v>
      </c>
    </row>
    <row r="336" spans="1:4">
      <c r="A336" s="261" t="s">
        <v>9461</v>
      </c>
      <c r="B336" s="262" t="s">
        <v>24066</v>
      </c>
      <c r="C336" s="261" t="s">
        <v>331</v>
      </c>
      <c r="D336" s="440">
        <v>61635.094799999999</v>
      </c>
    </row>
    <row r="337" spans="1:4">
      <c r="A337" s="261" t="s">
        <v>9462</v>
      </c>
      <c r="B337" s="262" t="s">
        <v>24067</v>
      </c>
      <c r="C337" s="261" t="s">
        <v>328</v>
      </c>
      <c r="D337" s="440">
        <v>2.2610999999999999</v>
      </c>
    </row>
    <row r="338" spans="1:4">
      <c r="A338" s="261" t="s">
        <v>9463</v>
      </c>
      <c r="B338" s="262" t="s">
        <v>24068</v>
      </c>
      <c r="C338" s="261" t="s">
        <v>331</v>
      </c>
      <c r="D338" s="440">
        <v>0.97570000000000001</v>
      </c>
    </row>
    <row r="339" spans="1:4">
      <c r="A339" s="261" t="s">
        <v>9464</v>
      </c>
      <c r="B339" s="262" t="s">
        <v>24069</v>
      </c>
      <c r="C339" s="261" t="s">
        <v>331</v>
      </c>
      <c r="D339" s="440">
        <v>5727</v>
      </c>
    </row>
    <row r="340" spans="1:4">
      <c r="A340" s="261" t="s">
        <v>9465</v>
      </c>
      <c r="B340" s="262" t="s">
        <v>24070</v>
      </c>
      <c r="C340" s="261" t="s">
        <v>331</v>
      </c>
      <c r="D340" s="440">
        <v>104029.2267</v>
      </c>
    </row>
    <row r="341" spans="1:4">
      <c r="A341" s="261" t="s">
        <v>9466</v>
      </c>
      <c r="B341" s="262" t="s">
        <v>24071</v>
      </c>
      <c r="C341" s="261" t="s">
        <v>331</v>
      </c>
      <c r="D341" s="440">
        <v>113145.0523</v>
      </c>
    </row>
    <row r="342" spans="1:4">
      <c r="A342" s="261" t="s">
        <v>9467</v>
      </c>
      <c r="B342" s="262" t="s">
        <v>24072</v>
      </c>
      <c r="C342" s="261" t="s">
        <v>331</v>
      </c>
      <c r="D342" s="440">
        <v>11.3187</v>
      </c>
    </row>
    <row r="343" spans="1:4">
      <c r="A343" s="261" t="s">
        <v>9468</v>
      </c>
      <c r="B343" s="262" t="s">
        <v>24073</v>
      </c>
      <c r="C343" s="261" t="s">
        <v>325</v>
      </c>
      <c r="D343" s="440">
        <v>33.44</v>
      </c>
    </row>
    <row r="344" spans="1:4">
      <c r="A344" s="261" t="s">
        <v>9469</v>
      </c>
      <c r="B344" s="262" t="s">
        <v>24074</v>
      </c>
      <c r="C344" s="261" t="s">
        <v>325</v>
      </c>
      <c r="D344" s="440">
        <v>41.182400000000001</v>
      </c>
    </row>
    <row r="345" spans="1:4">
      <c r="A345" s="261" t="s">
        <v>9470</v>
      </c>
      <c r="B345" s="262" t="s">
        <v>24075</v>
      </c>
      <c r="C345" s="261" t="s">
        <v>331</v>
      </c>
      <c r="D345" s="440">
        <v>3.0916000000000001</v>
      </c>
    </row>
    <row r="346" spans="1:4">
      <c r="A346" s="261" t="s">
        <v>9471</v>
      </c>
      <c r="B346" s="262" t="s">
        <v>24076</v>
      </c>
      <c r="C346" s="261" t="s">
        <v>327</v>
      </c>
      <c r="D346" s="440">
        <v>15.8687</v>
      </c>
    </row>
    <row r="347" spans="1:4">
      <c r="A347" s="261" t="s">
        <v>9472</v>
      </c>
      <c r="B347" s="262" t="s">
        <v>24077</v>
      </c>
      <c r="C347" s="261" t="s">
        <v>24078</v>
      </c>
      <c r="D347" s="440">
        <v>0.54100000000000004</v>
      </c>
    </row>
    <row r="348" spans="1:4">
      <c r="A348" s="261" t="s">
        <v>9473</v>
      </c>
      <c r="B348" s="262" t="s">
        <v>24079</v>
      </c>
      <c r="C348" s="261" t="s">
        <v>327</v>
      </c>
      <c r="D348" s="440">
        <v>12.5905</v>
      </c>
    </row>
    <row r="349" spans="1:4">
      <c r="A349" s="261" t="s">
        <v>9474</v>
      </c>
      <c r="B349" s="262" t="s">
        <v>24080</v>
      </c>
      <c r="C349" s="261" t="s">
        <v>24078</v>
      </c>
      <c r="D349" s="440">
        <v>1.6286</v>
      </c>
    </row>
    <row r="350" spans="1:4">
      <c r="A350" s="261" t="s">
        <v>9475</v>
      </c>
      <c r="B350" s="262" t="s">
        <v>24081</v>
      </c>
      <c r="C350" s="261" t="s">
        <v>331</v>
      </c>
      <c r="D350" s="440">
        <v>1.1301000000000001</v>
      </c>
    </row>
    <row r="351" spans="1:4">
      <c r="A351" s="261" t="s">
        <v>9476</v>
      </c>
      <c r="B351" s="262" t="s">
        <v>24082</v>
      </c>
      <c r="C351" s="261" t="s">
        <v>331</v>
      </c>
      <c r="D351" s="440">
        <v>1.6096999999999999</v>
      </c>
    </row>
    <row r="352" spans="1:4">
      <c r="A352" s="261" t="s">
        <v>9477</v>
      </c>
      <c r="B352" s="262" t="s">
        <v>24083</v>
      </c>
      <c r="C352" s="261" t="s">
        <v>331</v>
      </c>
      <c r="D352" s="440">
        <v>2.2700999999999998</v>
      </c>
    </row>
    <row r="353" spans="1:4">
      <c r="A353" s="261" t="s">
        <v>9478</v>
      </c>
      <c r="B353" s="262" t="s">
        <v>24084</v>
      </c>
      <c r="C353" s="261" t="s">
        <v>331</v>
      </c>
      <c r="D353" s="440">
        <v>2.8079999999999998</v>
      </c>
    </row>
    <row r="354" spans="1:4">
      <c r="A354" s="261" t="s">
        <v>9479</v>
      </c>
      <c r="B354" s="262" t="s">
        <v>24085</v>
      </c>
      <c r="C354" s="261" t="s">
        <v>331</v>
      </c>
      <c r="D354" s="440">
        <v>3.1288</v>
      </c>
    </row>
    <row r="355" spans="1:4">
      <c r="A355" s="261" t="s">
        <v>9480</v>
      </c>
      <c r="B355" s="262" t="s">
        <v>24086</v>
      </c>
      <c r="C355" s="261" t="s">
        <v>331</v>
      </c>
      <c r="D355" s="440">
        <v>3.4802</v>
      </c>
    </row>
    <row r="356" spans="1:4">
      <c r="A356" s="261" t="s">
        <v>9481</v>
      </c>
      <c r="B356" s="262" t="s">
        <v>24087</v>
      </c>
      <c r="C356" s="261" t="s">
        <v>331</v>
      </c>
      <c r="D356" s="440">
        <v>3.7098</v>
      </c>
    </row>
    <row r="357" spans="1:4">
      <c r="A357" s="261" t="s">
        <v>9482</v>
      </c>
      <c r="B357" s="262" t="s">
        <v>24088</v>
      </c>
      <c r="C357" s="261" t="s">
        <v>331</v>
      </c>
      <c r="D357" s="440">
        <v>5.1383999999999999</v>
      </c>
    </row>
    <row r="358" spans="1:4">
      <c r="A358" s="261" t="s">
        <v>9483</v>
      </c>
      <c r="B358" s="262" t="s">
        <v>24089</v>
      </c>
      <c r="C358" s="261" t="s">
        <v>331</v>
      </c>
      <c r="D358" s="440">
        <v>5.6308999999999996</v>
      </c>
    </row>
    <row r="359" spans="1:4">
      <c r="A359" s="261" t="s">
        <v>9484</v>
      </c>
      <c r="B359" s="262" t="s">
        <v>24090</v>
      </c>
      <c r="C359" s="261" t="s">
        <v>331</v>
      </c>
      <c r="D359" s="440">
        <v>7.0113000000000003</v>
      </c>
    </row>
    <row r="360" spans="1:4">
      <c r="A360" s="261" t="s">
        <v>9485</v>
      </c>
      <c r="B360" s="262" t="s">
        <v>24091</v>
      </c>
      <c r="C360" s="261" t="s">
        <v>331</v>
      </c>
      <c r="D360" s="440">
        <v>7.8</v>
      </c>
    </row>
    <row r="361" spans="1:4">
      <c r="A361" s="261" t="s">
        <v>9486</v>
      </c>
      <c r="B361" s="262" t="s">
        <v>24092</v>
      </c>
      <c r="C361" s="261" t="s">
        <v>331</v>
      </c>
      <c r="D361" s="440">
        <v>8.5009999999999994</v>
      </c>
    </row>
    <row r="362" spans="1:4">
      <c r="A362" s="261" t="s">
        <v>9487</v>
      </c>
      <c r="B362" s="262" t="s">
        <v>24093</v>
      </c>
      <c r="C362" s="261" t="s">
        <v>331</v>
      </c>
      <c r="D362" s="440">
        <v>11.401199999999999</v>
      </c>
    </row>
    <row r="363" spans="1:4">
      <c r="A363" s="261" t="s">
        <v>9488</v>
      </c>
      <c r="B363" s="262" t="s">
        <v>24094</v>
      </c>
      <c r="C363" s="261" t="s">
        <v>331</v>
      </c>
      <c r="D363" s="440">
        <v>10.2821</v>
      </c>
    </row>
    <row r="364" spans="1:4">
      <c r="A364" s="261" t="s">
        <v>9489</v>
      </c>
      <c r="B364" s="262" t="s">
        <v>24095</v>
      </c>
      <c r="C364" s="261" t="s">
        <v>328</v>
      </c>
      <c r="D364" s="440">
        <v>23.339400000000001</v>
      </c>
    </row>
    <row r="365" spans="1:4">
      <c r="A365" s="261" t="s">
        <v>9490</v>
      </c>
      <c r="B365" s="262" t="s">
        <v>24096</v>
      </c>
      <c r="C365" s="261" t="s">
        <v>328</v>
      </c>
      <c r="D365" s="440">
        <v>70.1982</v>
      </c>
    </row>
    <row r="366" spans="1:4">
      <c r="A366" s="261" t="s">
        <v>9491</v>
      </c>
      <c r="B366" s="262" t="s">
        <v>24097</v>
      </c>
      <c r="C366" s="261" t="s">
        <v>327</v>
      </c>
      <c r="D366" s="440">
        <v>13.172000000000001</v>
      </c>
    </row>
    <row r="367" spans="1:4">
      <c r="A367" s="261" t="s">
        <v>9492</v>
      </c>
      <c r="B367" s="262" t="s">
        <v>24098</v>
      </c>
      <c r="C367" s="261" t="s">
        <v>331</v>
      </c>
      <c r="D367" s="440">
        <v>7.8028000000000004</v>
      </c>
    </row>
    <row r="368" spans="1:4">
      <c r="A368" s="261" t="s">
        <v>9493</v>
      </c>
      <c r="B368" s="262" t="s">
        <v>24099</v>
      </c>
      <c r="C368" s="261" t="s">
        <v>331</v>
      </c>
      <c r="D368" s="440">
        <v>1.2633000000000001</v>
      </c>
    </row>
    <row r="369" spans="1:4">
      <c r="A369" s="261" t="s">
        <v>9494</v>
      </c>
      <c r="B369" s="262" t="s">
        <v>24100</v>
      </c>
      <c r="C369" s="261" t="s">
        <v>331</v>
      </c>
      <c r="D369" s="440">
        <v>3.0668000000000002</v>
      </c>
    </row>
    <row r="370" spans="1:4">
      <c r="A370" s="261" t="s">
        <v>9495</v>
      </c>
      <c r="B370" s="262" t="s">
        <v>24101</v>
      </c>
      <c r="C370" s="261" t="s">
        <v>331</v>
      </c>
      <c r="D370" s="440">
        <v>4.8479999999999999</v>
      </c>
    </row>
    <row r="371" spans="1:4">
      <c r="A371" s="261" t="s">
        <v>9496</v>
      </c>
      <c r="B371" s="262" t="s">
        <v>24102</v>
      </c>
      <c r="C371" s="261" t="s">
        <v>325</v>
      </c>
      <c r="D371" s="440">
        <v>220.6593</v>
      </c>
    </row>
    <row r="372" spans="1:4">
      <c r="A372" s="261" t="s">
        <v>9497</v>
      </c>
      <c r="B372" s="262" t="s">
        <v>24103</v>
      </c>
      <c r="C372" s="261" t="s">
        <v>327</v>
      </c>
      <c r="D372" s="440">
        <v>19.081099999999999</v>
      </c>
    </row>
    <row r="373" spans="1:4">
      <c r="A373" s="261" t="s">
        <v>9498</v>
      </c>
      <c r="B373" s="262" t="s">
        <v>24104</v>
      </c>
      <c r="C373" s="261" t="s">
        <v>331</v>
      </c>
      <c r="D373" s="440">
        <v>23.5473</v>
      </c>
    </row>
    <row r="374" spans="1:4">
      <c r="A374" s="261" t="s">
        <v>9499</v>
      </c>
      <c r="B374" s="262" t="s">
        <v>24105</v>
      </c>
      <c r="C374" s="261" t="s">
        <v>954</v>
      </c>
      <c r="D374" s="440">
        <v>16.783000000000001</v>
      </c>
    </row>
    <row r="375" spans="1:4">
      <c r="A375" s="261" t="s">
        <v>9500</v>
      </c>
      <c r="B375" s="262" t="s">
        <v>24106</v>
      </c>
      <c r="C375" s="261" t="s">
        <v>326</v>
      </c>
      <c r="D375" s="440">
        <v>1605.1829</v>
      </c>
    </row>
    <row r="376" spans="1:4">
      <c r="A376" s="261" t="s">
        <v>9501</v>
      </c>
      <c r="B376" s="262" t="s">
        <v>24107</v>
      </c>
      <c r="C376" s="261" t="s">
        <v>327</v>
      </c>
      <c r="D376" s="440">
        <v>9.8984000000000005</v>
      </c>
    </row>
    <row r="377" spans="1:4">
      <c r="A377" s="261" t="s">
        <v>9502</v>
      </c>
      <c r="B377" s="262" t="s">
        <v>24108</v>
      </c>
      <c r="C377" s="261" t="s">
        <v>325</v>
      </c>
      <c r="D377" s="440">
        <v>18.691800000000001</v>
      </c>
    </row>
    <row r="378" spans="1:4">
      <c r="A378" s="261" t="s">
        <v>9503</v>
      </c>
      <c r="B378" s="262" t="s">
        <v>24109</v>
      </c>
      <c r="C378" s="261" t="s">
        <v>325</v>
      </c>
      <c r="D378" s="440">
        <v>76.405500000000004</v>
      </c>
    </row>
    <row r="379" spans="1:4">
      <c r="A379" s="261" t="s">
        <v>9504</v>
      </c>
      <c r="B379" s="262" t="s">
        <v>24110</v>
      </c>
      <c r="C379" s="261" t="s">
        <v>325</v>
      </c>
      <c r="D379" s="440">
        <v>116.2842</v>
      </c>
    </row>
    <row r="380" spans="1:4">
      <c r="A380" s="261" t="s">
        <v>9505</v>
      </c>
      <c r="B380" s="262" t="s">
        <v>24111</v>
      </c>
      <c r="C380" s="261" t="s">
        <v>325</v>
      </c>
      <c r="D380" s="440">
        <v>132.7713</v>
      </c>
    </row>
    <row r="381" spans="1:4">
      <c r="A381" s="261" t="s">
        <v>9506</v>
      </c>
      <c r="B381" s="262" t="s">
        <v>20663</v>
      </c>
      <c r="C381" s="261" t="s">
        <v>327</v>
      </c>
      <c r="D381" s="440">
        <v>4.2855999999999996</v>
      </c>
    </row>
    <row r="382" spans="1:4">
      <c r="A382" s="261" t="s">
        <v>9507</v>
      </c>
      <c r="B382" s="262" t="s">
        <v>24112</v>
      </c>
      <c r="C382" s="261" t="s">
        <v>327</v>
      </c>
      <c r="D382" s="440">
        <v>33.706600000000002</v>
      </c>
    </row>
    <row r="383" spans="1:4">
      <c r="A383" s="261" t="s">
        <v>9508</v>
      </c>
      <c r="B383" s="262" t="s">
        <v>24113</v>
      </c>
      <c r="C383" s="261" t="s">
        <v>331</v>
      </c>
      <c r="D383" s="440">
        <v>4.4363000000000001</v>
      </c>
    </row>
    <row r="384" spans="1:4">
      <c r="A384" s="261" t="s">
        <v>9509</v>
      </c>
      <c r="B384" s="262" t="s">
        <v>24114</v>
      </c>
      <c r="C384" s="261" t="s">
        <v>331</v>
      </c>
      <c r="D384" s="440">
        <v>0.49080000000000001</v>
      </c>
    </row>
    <row r="385" spans="1:4">
      <c r="A385" s="261" t="s">
        <v>9510</v>
      </c>
      <c r="B385" s="262" t="s">
        <v>24115</v>
      </c>
      <c r="C385" s="261" t="s">
        <v>326</v>
      </c>
      <c r="D385" s="440">
        <v>96.0886</v>
      </c>
    </row>
    <row r="386" spans="1:4">
      <c r="A386" s="261" t="s">
        <v>9511</v>
      </c>
      <c r="B386" s="262" t="s">
        <v>24116</v>
      </c>
      <c r="C386" s="261" t="s">
        <v>326</v>
      </c>
      <c r="D386" s="440">
        <v>103.5086</v>
      </c>
    </row>
    <row r="387" spans="1:4">
      <c r="A387" s="261" t="s">
        <v>9512</v>
      </c>
      <c r="B387" s="262" t="s">
        <v>24117</v>
      </c>
      <c r="C387" s="261" t="s">
        <v>331</v>
      </c>
      <c r="D387" s="440">
        <v>159.08420000000001</v>
      </c>
    </row>
    <row r="388" spans="1:4">
      <c r="A388" s="261" t="s">
        <v>9513</v>
      </c>
      <c r="B388" s="262" t="s">
        <v>23734</v>
      </c>
      <c r="C388" s="261" t="s">
        <v>328</v>
      </c>
      <c r="D388" s="440" t="s">
        <v>13</v>
      </c>
    </row>
    <row r="389" spans="1:4">
      <c r="A389" s="261" t="s">
        <v>9515</v>
      </c>
      <c r="B389" s="262" t="s">
        <v>24118</v>
      </c>
      <c r="C389" s="261" t="s">
        <v>327</v>
      </c>
      <c r="D389" s="440">
        <v>91.675799999999995</v>
      </c>
    </row>
    <row r="390" spans="1:4">
      <c r="A390" s="261" t="s">
        <v>9516</v>
      </c>
      <c r="B390" s="262" t="s">
        <v>24119</v>
      </c>
      <c r="C390" s="261" t="s">
        <v>328</v>
      </c>
      <c r="D390" s="440">
        <v>0.2142</v>
      </c>
    </row>
    <row r="391" spans="1:4">
      <c r="A391" s="261" t="s">
        <v>9517</v>
      </c>
      <c r="B391" s="262" t="s">
        <v>24120</v>
      </c>
      <c r="C391" s="261" t="s">
        <v>328</v>
      </c>
      <c r="D391" s="440">
        <v>357.08</v>
      </c>
    </row>
    <row r="392" spans="1:4">
      <c r="A392" s="261" t="s">
        <v>9518</v>
      </c>
      <c r="B392" s="262" t="s">
        <v>24121</v>
      </c>
      <c r="C392" s="261" t="s">
        <v>328</v>
      </c>
      <c r="D392" s="440">
        <v>461.34840000000003</v>
      </c>
    </row>
    <row r="393" spans="1:4">
      <c r="A393" s="261" t="s">
        <v>9519</v>
      </c>
      <c r="B393" s="262" t="s">
        <v>24122</v>
      </c>
      <c r="C393" s="261" t="s">
        <v>326</v>
      </c>
      <c r="D393" s="440">
        <v>95.370699999999999</v>
      </c>
    </row>
    <row r="394" spans="1:4">
      <c r="A394" s="261" t="s">
        <v>9520</v>
      </c>
      <c r="B394" s="262" t="s">
        <v>24123</v>
      </c>
      <c r="C394" s="261" t="s">
        <v>328</v>
      </c>
      <c r="D394" s="440">
        <v>0.2109</v>
      </c>
    </row>
    <row r="395" spans="1:4">
      <c r="A395" s="261" t="s">
        <v>9521</v>
      </c>
      <c r="B395" s="262" t="s">
        <v>24124</v>
      </c>
      <c r="C395" s="261" t="s">
        <v>328</v>
      </c>
      <c r="D395" s="440">
        <v>816.35450000000003</v>
      </c>
    </row>
    <row r="396" spans="1:4">
      <c r="A396" s="261" t="s">
        <v>9522</v>
      </c>
      <c r="B396" s="262" t="s">
        <v>24125</v>
      </c>
      <c r="C396" s="261" t="s">
        <v>327</v>
      </c>
      <c r="D396" s="440">
        <v>127.3486</v>
      </c>
    </row>
    <row r="397" spans="1:4">
      <c r="A397" s="261" t="s">
        <v>9523</v>
      </c>
      <c r="B397" s="262" t="s">
        <v>24126</v>
      </c>
      <c r="C397" s="261" t="s">
        <v>328</v>
      </c>
      <c r="D397" s="440">
        <v>1128.8678</v>
      </c>
    </row>
    <row r="398" spans="1:4">
      <c r="A398" s="261" t="s">
        <v>9524</v>
      </c>
      <c r="B398" s="262" t="s">
        <v>24127</v>
      </c>
      <c r="C398" s="261" t="s">
        <v>328</v>
      </c>
      <c r="D398" s="440">
        <v>1402.4323999999999</v>
      </c>
    </row>
    <row r="399" spans="1:4">
      <c r="A399" s="261" t="s">
        <v>9525</v>
      </c>
      <c r="B399" s="262" t="s">
        <v>24128</v>
      </c>
      <c r="C399" s="261" t="s">
        <v>327</v>
      </c>
      <c r="D399" s="440">
        <v>17.595099999999999</v>
      </c>
    </row>
    <row r="400" spans="1:4">
      <c r="A400" s="261" t="s">
        <v>9526</v>
      </c>
      <c r="B400" s="262" t="s">
        <v>24129</v>
      </c>
      <c r="C400" s="261" t="s">
        <v>327</v>
      </c>
      <c r="D400" s="440">
        <v>14.927300000000001</v>
      </c>
    </row>
    <row r="401" spans="1:4">
      <c r="A401" s="261" t="s">
        <v>9527</v>
      </c>
      <c r="B401" s="262" t="s">
        <v>24130</v>
      </c>
      <c r="C401" s="261" t="s">
        <v>331</v>
      </c>
      <c r="D401" s="440">
        <v>92643.887799999997</v>
      </c>
    </row>
    <row r="402" spans="1:4">
      <c r="A402" s="261" t="s">
        <v>9528</v>
      </c>
      <c r="B402" s="262" t="s">
        <v>24131</v>
      </c>
      <c r="C402" s="261" t="s">
        <v>331</v>
      </c>
      <c r="D402" s="440">
        <v>405.86</v>
      </c>
    </row>
    <row r="403" spans="1:4">
      <c r="A403" s="261" t="s">
        <v>9529</v>
      </c>
      <c r="B403" s="262" t="s">
        <v>24132</v>
      </c>
      <c r="C403" s="261" t="s">
        <v>331</v>
      </c>
      <c r="D403" s="440">
        <v>538.3931</v>
      </c>
    </row>
    <row r="404" spans="1:4">
      <c r="A404" s="261" t="s">
        <v>9530</v>
      </c>
      <c r="B404" s="262" t="s">
        <v>24133</v>
      </c>
      <c r="C404" s="261" t="s">
        <v>331</v>
      </c>
      <c r="D404" s="440">
        <v>549.7201</v>
      </c>
    </row>
    <row r="405" spans="1:4">
      <c r="A405" s="261" t="s">
        <v>9531</v>
      </c>
      <c r="B405" s="262" t="s">
        <v>24134</v>
      </c>
      <c r="C405" s="261" t="s">
        <v>331</v>
      </c>
      <c r="D405" s="440">
        <v>688.28740000000005</v>
      </c>
    </row>
    <row r="406" spans="1:4">
      <c r="A406" s="261" t="s">
        <v>9532</v>
      </c>
      <c r="B406" s="262" t="s">
        <v>24135</v>
      </c>
      <c r="C406" s="261" t="s">
        <v>328</v>
      </c>
      <c r="D406" s="440">
        <v>12.605</v>
      </c>
    </row>
    <row r="407" spans="1:4">
      <c r="A407" s="261" t="s">
        <v>9533</v>
      </c>
      <c r="B407" s="262" t="s">
        <v>24136</v>
      </c>
      <c r="C407" s="261" t="s">
        <v>331</v>
      </c>
      <c r="D407" s="440">
        <v>216255.2691</v>
      </c>
    </row>
    <row r="408" spans="1:4">
      <c r="A408" s="261" t="s">
        <v>9534</v>
      </c>
      <c r="B408" s="262" t="s">
        <v>24137</v>
      </c>
      <c r="C408" s="261" t="s">
        <v>331</v>
      </c>
      <c r="D408" s="440">
        <v>232415.6991</v>
      </c>
    </row>
    <row r="409" spans="1:4">
      <c r="A409" s="261" t="s">
        <v>9535</v>
      </c>
      <c r="B409" s="262" t="s">
        <v>24138</v>
      </c>
      <c r="C409" s="261" t="s">
        <v>331</v>
      </c>
      <c r="D409" s="440">
        <v>248632.67739999999</v>
      </c>
    </row>
    <row r="410" spans="1:4">
      <c r="A410" s="261" t="s">
        <v>9536</v>
      </c>
      <c r="B410" s="262" t="s">
        <v>24139</v>
      </c>
      <c r="C410" s="261" t="s">
        <v>331</v>
      </c>
      <c r="D410" s="440">
        <v>277228.50880000001</v>
      </c>
    </row>
    <row r="411" spans="1:4">
      <c r="A411" s="261" t="s">
        <v>9537</v>
      </c>
      <c r="B411" s="262" t="s">
        <v>24140</v>
      </c>
      <c r="C411" s="261" t="s">
        <v>331</v>
      </c>
      <c r="D411" s="440">
        <v>306795.72749999998</v>
      </c>
    </row>
    <row r="412" spans="1:4">
      <c r="A412" s="261" t="s">
        <v>9538</v>
      </c>
      <c r="B412" s="262" t="s">
        <v>24141</v>
      </c>
      <c r="C412" s="261" t="s">
        <v>331</v>
      </c>
      <c r="D412" s="440">
        <v>311559.2941</v>
      </c>
    </row>
    <row r="413" spans="1:4">
      <c r="A413" s="261" t="s">
        <v>9539</v>
      </c>
      <c r="B413" s="262" t="s">
        <v>24142</v>
      </c>
      <c r="C413" s="261" t="s">
        <v>331</v>
      </c>
      <c r="D413" s="440">
        <v>400861.15669999999</v>
      </c>
    </row>
    <row r="414" spans="1:4">
      <c r="A414" s="261" t="s">
        <v>9540</v>
      </c>
      <c r="B414" s="262" t="s">
        <v>24143</v>
      </c>
      <c r="C414" s="261" t="s">
        <v>331</v>
      </c>
      <c r="D414" s="440">
        <v>407344.27399999998</v>
      </c>
    </row>
    <row r="415" spans="1:4">
      <c r="A415" s="261" t="s">
        <v>9541</v>
      </c>
      <c r="B415" s="262" t="s">
        <v>24144</v>
      </c>
      <c r="C415" s="261" t="s">
        <v>331</v>
      </c>
      <c r="D415" s="440">
        <v>456589.01630000002</v>
      </c>
    </row>
    <row r="416" spans="1:4">
      <c r="A416" s="261" t="s">
        <v>9542</v>
      </c>
      <c r="B416" s="262" t="s">
        <v>24145</v>
      </c>
      <c r="C416" s="261" t="s">
        <v>331</v>
      </c>
      <c r="D416" s="440">
        <v>500312.41239999997</v>
      </c>
    </row>
    <row r="417" spans="1:4">
      <c r="A417" s="261" t="s">
        <v>9543</v>
      </c>
      <c r="B417" s="262" t="s">
        <v>24146</v>
      </c>
      <c r="C417" s="261" t="s">
        <v>331</v>
      </c>
      <c r="D417" s="440">
        <v>513690.05050000001</v>
      </c>
    </row>
    <row r="418" spans="1:4">
      <c r="A418" s="261" t="s">
        <v>9544</v>
      </c>
      <c r="B418" s="262" t="s">
        <v>24147</v>
      </c>
      <c r="C418" s="261" t="s">
        <v>331</v>
      </c>
      <c r="D418" s="440">
        <v>556044.52159999998</v>
      </c>
    </row>
    <row r="419" spans="1:4">
      <c r="A419" s="261" t="s">
        <v>9545</v>
      </c>
      <c r="B419" s="262" t="s">
        <v>24148</v>
      </c>
      <c r="C419" s="261" t="s">
        <v>331</v>
      </c>
      <c r="D419" s="440">
        <v>184415.44010000001</v>
      </c>
    </row>
    <row r="420" spans="1:4">
      <c r="A420" s="261" t="s">
        <v>9546</v>
      </c>
      <c r="B420" s="262" t="s">
        <v>24149</v>
      </c>
      <c r="C420" s="261" t="s">
        <v>331</v>
      </c>
      <c r="D420" s="440">
        <v>189253.3695</v>
      </c>
    </row>
    <row r="421" spans="1:4">
      <c r="A421" s="261" t="s">
        <v>9547</v>
      </c>
      <c r="B421" s="262" t="s">
        <v>24150</v>
      </c>
      <c r="C421" s="261" t="s">
        <v>331</v>
      </c>
      <c r="D421" s="440">
        <v>203688.44829999999</v>
      </c>
    </row>
    <row r="422" spans="1:4">
      <c r="A422" s="261" t="s">
        <v>9548</v>
      </c>
      <c r="B422" s="262" t="s">
        <v>24151</v>
      </c>
      <c r="C422" s="261" t="s">
        <v>331</v>
      </c>
      <c r="D422" s="440">
        <v>218121.89230000001</v>
      </c>
    </row>
    <row r="423" spans="1:4">
      <c r="A423" s="261" t="s">
        <v>9549</v>
      </c>
      <c r="B423" s="262" t="s">
        <v>24152</v>
      </c>
      <c r="C423" s="261" t="s">
        <v>331</v>
      </c>
      <c r="D423" s="440">
        <v>232565.8456</v>
      </c>
    </row>
    <row r="424" spans="1:4">
      <c r="A424" s="261" t="s">
        <v>9550</v>
      </c>
      <c r="B424" s="262" t="s">
        <v>24153</v>
      </c>
      <c r="C424" s="261" t="s">
        <v>331</v>
      </c>
      <c r="D424" s="440">
        <v>257726.30309999999</v>
      </c>
    </row>
    <row r="425" spans="1:4">
      <c r="A425" s="261" t="s">
        <v>9551</v>
      </c>
      <c r="B425" s="262" t="s">
        <v>24154</v>
      </c>
      <c r="C425" s="261" t="s">
        <v>331</v>
      </c>
      <c r="D425" s="440">
        <v>283841.3898</v>
      </c>
    </row>
    <row r="426" spans="1:4">
      <c r="A426" s="261" t="s">
        <v>9552</v>
      </c>
      <c r="B426" s="262" t="s">
        <v>24155</v>
      </c>
      <c r="C426" s="261" t="s">
        <v>331</v>
      </c>
      <c r="D426" s="440">
        <v>288525.15769999998</v>
      </c>
    </row>
    <row r="427" spans="1:4">
      <c r="A427" s="261" t="s">
        <v>9553</v>
      </c>
      <c r="B427" s="262" t="s">
        <v>24156</v>
      </c>
      <c r="C427" s="261" t="s">
        <v>331</v>
      </c>
      <c r="D427" s="440">
        <v>309504.98989999999</v>
      </c>
    </row>
    <row r="428" spans="1:4">
      <c r="A428" s="261" t="s">
        <v>9554</v>
      </c>
      <c r="B428" s="262" t="s">
        <v>24157</v>
      </c>
      <c r="C428" s="261" t="s">
        <v>331</v>
      </c>
      <c r="D428" s="440">
        <v>315876.38900000002</v>
      </c>
    </row>
    <row r="429" spans="1:4">
      <c r="A429" s="261" t="s">
        <v>9555</v>
      </c>
      <c r="B429" s="262" t="s">
        <v>24158</v>
      </c>
      <c r="C429" s="261" t="s">
        <v>331</v>
      </c>
      <c r="D429" s="440">
        <v>336900.87270000001</v>
      </c>
    </row>
    <row r="430" spans="1:4">
      <c r="A430" s="261" t="s">
        <v>9556</v>
      </c>
      <c r="B430" s="262" t="s">
        <v>24159</v>
      </c>
      <c r="C430" s="261" t="s">
        <v>331</v>
      </c>
      <c r="D430" s="440">
        <v>386112.53840000002</v>
      </c>
    </row>
    <row r="431" spans="1:4">
      <c r="A431" s="261" t="s">
        <v>9557</v>
      </c>
      <c r="B431" s="262" t="s">
        <v>24160</v>
      </c>
      <c r="C431" s="261" t="s">
        <v>331</v>
      </c>
      <c r="D431" s="440">
        <v>399262.74969999999</v>
      </c>
    </row>
    <row r="432" spans="1:4">
      <c r="A432" s="261" t="s">
        <v>9558</v>
      </c>
      <c r="B432" s="262" t="s">
        <v>24161</v>
      </c>
      <c r="C432" s="261" t="s">
        <v>331</v>
      </c>
      <c r="D432" s="440">
        <v>430345.26659999997</v>
      </c>
    </row>
    <row r="433" spans="1:4">
      <c r="A433" s="261" t="s">
        <v>9559</v>
      </c>
      <c r="B433" s="262" t="s">
        <v>24162</v>
      </c>
      <c r="C433" s="261" t="s">
        <v>328</v>
      </c>
      <c r="D433" s="440">
        <v>2.5779999999999998</v>
      </c>
    </row>
    <row r="434" spans="1:4">
      <c r="A434" s="261" t="s">
        <v>9560</v>
      </c>
      <c r="B434" s="262" t="s">
        <v>24163</v>
      </c>
      <c r="C434" s="261" t="s">
        <v>331</v>
      </c>
      <c r="D434" s="440">
        <v>727.67150000000004</v>
      </c>
    </row>
    <row r="435" spans="1:4">
      <c r="A435" s="261" t="s">
        <v>9561</v>
      </c>
      <c r="B435" s="262" t="s">
        <v>24164</v>
      </c>
      <c r="C435" s="261" t="s">
        <v>331</v>
      </c>
      <c r="D435" s="440">
        <v>4.9486999999999997</v>
      </c>
    </row>
    <row r="436" spans="1:4">
      <c r="A436" s="261" t="s">
        <v>9562</v>
      </c>
      <c r="B436" s="262" t="s">
        <v>24165</v>
      </c>
      <c r="C436" s="261" t="s">
        <v>331</v>
      </c>
      <c r="D436" s="440">
        <v>92.363699999999994</v>
      </c>
    </row>
    <row r="437" spans="1:4">
      <c r="A437" s="261" t="s">
        <v>9563</v>
      </c>
      <c r="B437" s="262" t="s">
        <v>24166</v>
      </c>
      <c r="C437" s="261" t="s">
        <v>331</v>
      </c>
      <c r="D437" s="440">
        <v>72.724500000000006</v>
      </c>
    </row>
    <row r="438" spans="1:4">
      <c r="A438" s="261" t="s">
        <v>9564</v>
      </c>
      <c r="B438" s="262" t="s">
        <v>24167</v>
      </c>
      <c r="C438" s="261" t="s">
        <v>331</v>
      </c>
      <c r="D438" s="440">
        <v>38.493299999999998</v>
      </c>
    </row>
    <row r="439" spans="1:4">
      <c r="A439" s="261" t="s">
        <v>9565</v>
      </c>
      <c r="B439" s="262" t="s">
        <v>24168</v>
      </c>
      <c r="C439" s="261" t="s">
        <v>328</v>
      </c>
      <c r="D439" s="440">
        <v>1.8391</v>
      </c>
    </row>
    <row r="440" spans="1:4">
      <c r="A440" s="261" t="s">
        <v>9566</v>
      </c>
      <c r="B440" s="262" t="s">
        <v>24169</v>
      </c>
      <c r="C440" s="261" t="s">
        <v>331</v>
      </c>
      <c r="D440" s="440">
        <v>180.7833</v>
      </c>
    </row>
    <row r="441" spans="1:4">
      <c r="A441" s="261" t="s">
        <v>9567</v>
      </c>
      <c r="B441" s="262" t="s">
        <v>24170</v>
      </c>
      <c r="C441" s="261" t="s">
        <v>331</v>
      </c>
      <c r="D441" s="440">
        <v>100.6628</v>
      </c>
    </row>
    <row r="442" spans="1:4">
      <c r="A442" s="261" t="s">
        <v>9568</v>
      </c>
      <c r="B442" s="262" t="s">
        <v>24171</v>
      </c>
      <c r="C442" s="261" t="s">
        <v>331</v>
      </c>
      <c r="D442" s="440">
        <v>50.439599999999999</v>
      </c>
    </row>
    <row r="443" spans="1:4">
      <c r="A443" s="261" t="s">
        <v>9569</v>
      </c>
      <c r="B443" s="262" t="s">
        <v>24172</v>
      </c>
      <c r="C443" s="261" t="s">
        <v>325</v>
      </c>
      <c r="D443" s="440">
        <v>59.764800000000001</v>
      </c>
    </row>
    <row r="444" spans="1:4">
      <c r="A444" s="261" t="s">
        <v>9570</v>
      </c>
      <c r="B444" s="262" t="s">
        <v>24173</v>
      </c>
      <c r="C444" s="261" t="s">
        <v>954</v>
      </c>
      <c r="D444" s="440">
        <v>24.490600000000001</v>
      </c>
    </row>
    <row r="445" spans="1:4">
      <c r="A445" s="261" t="s">
        <v>9571</v>
      </c>
      <c r="B445" s="262" t="s">
        <v>24174</v>
      </c>
      <c r="C445" s="261" t="s">
        <v>954</v>
      </c>
      <c r="D445" s="440">
        <v>28.1555</v>
      </c>
    </row>
    <row r="446" spans="1:4">
      <c r="A446" s="261" t="s">
        <v>9572</v>
      </c>
      <c r="B446" s="262" t="s">
        <v>24175</v>
      </c>
      <c r="C446" s="261" t="s">
        <v>327</v>
      </c>
      <c r="D446" s="440">
        <v>12.5747</v>
      </c>
    </row>
    <row r="447" spans="1:4">
      <c r="A447" s="261" t="s">
        <v>9573</v>
      </c>
      <c r="B447" s="262" t="s">
        <v>24176</v>
      </c>
      <c r="C447" s="261" t="s">
        <v>328</v>
      </c>
      <c r="D447" s="440">
        <v>164.95230000000001</v>
      </c>
    </row>
    <row r="448" spans="1:4">
      <c r="A448" s="261" t="s">
        <v>9574</v>
      </c>
      <c r="B448" s="262" t="s">
        <v>24177</v>
      </c>
      <c r="C448" s="261" t="s">
        <v>954</v>
      </c>
      <c r="D448" s="440">
        <v>8.2294999999999998</v>
      </c>
    </row>
    <row r="449" spans="1:4">
      <c r="A449" s="261" t="s">
        <v>9575</v>
      </c>
      <c r="B449" s="262" t="s">
        <v>24178</v>
      </c>
      <c r="C449" s="261" t="s">
        <v>954</v>
      </c>
      <c r="D449" s="440">
        <v>6.7663000000000002</v>
      </c>
    </row>
    <row r="450" spans="1:4">
      <c r="A450" s="261" t="s">
        <v>9576</v>
      </c>
      <c r="B450" s="262" t="s">
        <v>24179</v>
      </c>
      <c r="C450" s="261" t="s">
        <v>327</v>
      </c>
      <c r="D450" s="440">
        <v>12.151999999999999</v>
      </c>
    </row>
    <row r="451" spans="1:4">
      <c r="A451" s="261" t="s">
        <v>9577</v>
      </c>
      <c r="B451" s="262" t="s">
        <v>24180</v>
      </c>
      <c r="C451" s="261" t="s">
        <v>327</v>
      </c>
      <c r="D451" s="440">
        <v>12.2912</v>
      </c>
    </row>
    <row r="452" spans="1:4">
      <c r="A452" s="261" t="s">
        <v>9578</v>
      </c>
      <c r="B452" s="262" t="s">
        <v>24181</v>
      </c>
      <c r="C452" s="261" t="s">
        <v>327</v>
      </c>
      <c r="D452" s="440">
        <v>11.517300000000001</v>
      </c>
    </row>
    <row r="453" spans="1:4">
      <c r="A453" s="261" t="s">
        <v>9579</v>
      </c>
      <c r="B453" s="262" t="s">
        <v>24182</v>
      </c>
      <c r="C453" s="261" t="s">
        <v>327</v>
      </c>
      <c r="D453" s="440">
        <v>4.7499000000000002</v>
      </c>
    </row>
    <row r="454" spans="1:4">
      <c r="A454" s="261" t="s">
        <v>9580</v>
      </c>
      <c r="B454" s="262" t="s">
        <v>24183</v>
      </c>
      <c r="C454" s="261" t="s">
        <v>326</v>
      </c>
      <c r="D454" s="440">
        <v>126.2681</v>
      </c>
    </row>
    <row r="455" spans="1:4">
      <c r="A455" s="261" t="s">
        <v>9581</v>
      </c>
      <c r="B455" s="262" t="s">
        <v>24184</v>
      </c>
      <c r="C455" s="261" t="s">
        <v>326</v>
      </c>
      <c r="D455" s="440">
        <v>136.46629999999999</v>
      </c>
    </row>
    <row r="456" spans="1:4">
      <c r="A456" s="261" t="s">
        <v>9582</v>
      </c>
      <c r="B456" s="262" t="s">
        <v>24185</v>
      </c>
      <c r="C456" s="261" t="s">
        <v>327</v>
      </c>
      <c r="D456" s="440">
        <v>16.756399999999999</v>
      </c>
    </row>
    <row r="457" spans="1:4">
      <c r="A457" s="261" t="s">
        <v>9583</v>
      </c>
      <c r="B457" s="262" t="s">
        <v>24186</v>
      </c>
      <c r="C457" s="261" t="s">
        <v>331</v>
      </c>
      <c r="D457" s="440">
        <v>427.98649999999998</v>
      </c>
    </row>
    <row r="458" spans="1:4">
      <c r="A458" s="261" t="s">
        <v>9584</v>
      </c>
      <c r="B458" s="262" t="s">
        <v>24187</v>
      </c>
      <c r="C458" s="261" t="s">
        <v>327</v>
      </c>
      <c r="D458" s="440">
        <v>51.433</v>
      </c>
    </row>
    <row r="459" spans="1:4">
      <c r="A459" s="261" t="s">
        <v>9585</v>
      </c>
      <c r="B459" s="262" t="s">
        <v>24188</v>
      </c>
      <c r="C459" s="261" t="s">
        <v>327</v>
      </c>
      <c r="D459" s="440">
        <v>24.1769</v>
      </c>
    </row>
    <row r="460" spans="1:4">
      <c r="A460" s="261" t="s">
        <v>9586</v>
      </c>
      <c r="B460" s="262" t="s">
        <v>24189</v>
      </c>
      <c r="C460" s="261" t="s">
        <v>327</v>
      </c>
      <c r="D460" s="440">
        <v>247.7191</v>
      </c>
    </row>
    <row r="461" spans="1:4">
      <c r="A461" s="261" t="s">
        <v>9587</v>
      </c>
      <c r="B461" s="262" t="s">
        <v>24190</v>
      </c>
      <c r="C461" s="261" t="s">
        <v>331</v>
      </c>
      <c r="D461" s="440">
        <v>421.30739999999997</v>
      </c>
    </row>
    <row r="462" spans="1:4">
      <c r="A462" s="261" t="s">
        <v>9588</v>
      </c>
      <c r="B462" s="262" t="s">
        <v>24191</v>
      </c>
      <c r="C462" s="261" t="s">
        <v>327</v>
      </c>
      <c r="D462" s="440">
        <v>31.270399999999999</v>
      </c>
    </row>
    <row r="463" spans="1:4">
      <c r="A463" s="261" t="s">
        <v>9589</v>
      </c>
      <c r="B463" s="262" t="s">
        <v>24192</v>
      </c>
      <c r="C463" s="261" t="s">
        <v>327</v>
      </c>
      <c r="D463" s="440">
        <v>37.3217</v>
      </c>
    </row>
    <row r="464" spans="1:4">
      <c r="A464" s="261" t="s">
        <v>9590</v>
      </c>
      <c r="B464" s="262" t="s">
        <v>24193</v>
      </c>
      <c r="C464" s="261" t="s">
        <v>331</v>
      </c>
      <c r="D464" s="440">
        <v>29.5486</v>
      </c>
    </row>
    <row r="465" spans="1:4">
      <c r="A465" s="261" t="s">
        <v>9591</v>
      </c>
      <c r="B465" s="262" t="s">
        <v>24194</v>
      </c>
      <c r="C465" s="261" t="s">
        <v>327</v>
      </c>
      <c r="D465" s="440">
        <v>58.792999999999999</v>
      </c>
    </row>
    <row r="466" spans="1:4">
      <c r="A466" s="261" t="s">
        <v>9592</v>
      </c>
      <c r="B466" s="262" t="s">
        <v>24195</v>
      </c>
      <c r="C466" s="261" t="s">
        <v>331</v>
      </c>
      <c r="D466" s="440">
        <v>7.2119999999999997</v>
      </c>
    </row>
    <row r="467" spans="1:4">
      <c r="A467" s="261" t="s">
        <v>9593</v>
      </c>
      <c r="B467" s="262" t="s">
        <v>24196</v>
      </c>
      <c r="C467" s="261" t="s">
        <v>331</v>
      </c>
      <c r="D467" s="440">
        <v>5.0999999999999996</v>
      </c>
    </row>
    <row r="468" spans="1:4">
      <c r="A468" s="261" t="s">
        <v>9594</v>
      </c>
      <c r="B468" s="262" t="s">
        <v>24197</v>
      </c>
      <c r="C468" s="261" t="s">
        <v>331</v>
      </c>
      <c r="D468" s="440">
        <v>2775.4938000000002</v>
      </c>
    </row>
    <row r="469" spans="1:4">
      <c r="A469" s="261" t="s">
        <v>9595</v>
      </c>
      <c r="B469" s="262" t="s">
        <v>24198</v>
      </c>
      <c r="C469" s="261" t="s">
        <v>331</v>
      </c>
      <c r="D469" s="440">
        <v>484.30560000000003</v>
      </c>
    </row>
    <row r="470" spans="1:4">
      <c r="A470" s="261" t="s">
        <v>9596</v>
      </c>
      <c r="B470" s="262" t="s">
        <v>24199</v>
      </c>
      <c r="C470" s="261" t="s">
        <v>331</v>
      </c>
      <c r="D470" s="440">
        <v>35.841999999999999</v>
      </c>
    </row>
    <row r="471" spans="1:4">
      <c r="A471" s="261" t="s">
        <v>9597</v>
      </c>
      <c r="B471" s="262" t="s">
        <v>24200</v>
      </c>
      <c r="C471" s="261" t="s">
        <v>331</v>
      </c>
      <c r="D471" s="440">
        <v>389.76949999999999</v>
      </c>
    </row>
    <row r="472" spans="1:4">
      <c r="A472" s="261" t="s">
        <v>9598</v>
      </c>
      <c r="B472" s="262" t="s">
        <v>24201</v>
      </c>
      <c r="C472" s="261" t="s">
        <v>328</v>
      </c>
      <c r="D472" s="440">
        <v>104.92570000000001</v>
      </c>
    </row>
    <row r="473" spans="1:4">
      <c r="A473" s="261" t="s">
        <v>9599</v>
      </c>
      <c r="B473" s="262" t="s">
        <v>24202</v>
      </c>
      <c r="C473" s="261" t="s">
        <v>325</v>
      </c>
      <c r="D473" s="440">
        <v>41.810699999999997</v>
      </c>
    </row>
    <row r="474" spans="1:4">
      <c r="A474" s="261" t="s">
        <v>9600</v>
      </c>
      <c r="B474" s="262" t="s">
        <v>24203</v>
      </c>
      <c r="C474" s="261" t="s">
        <v>331</v>
      </c>
      <c r="D474" s="440">
        <v>587.89049999999997</v>
      </c>
    </row>
    <row r="475" spans="1:4">
      <c r="A475" s="261" t="s">
        <v>9601</v>
      </c>
      <c r="B475" s="262" t="s">
        <v>24204</v>
      </c>
      <c r="C475" s="261" t="s">
        <v>331</v>
      </c>
      <c r="D475" s="440">
        <v>271.34440000000001</v>
      </c>
    </row>
    <row r="476" spans="1:4">
      <c r="A476" s="261" t="s">
        <v>9602</v>
      </c>
      <c r="B476" s="262" t="s">
        <v>24205</v>
      </c>
      <c r="C476" s="261" t="s">
        <v>328</v>
      </c>
      <c r="D476" s="440">
        <v>162.10319999999999</v>
      </c>
    </row>
    <row r="477" spans="1:4">
      <c r="A477" s="261" t="s">
        <v>9603</v>
      </c>
      <c r="B477" s="262" t="s">
        <v>24206</v>
      </c>
      <c r="C477" s="261" t="s">
        <v>325</v>
      </c>
      <c r="D477" s="440">
        <v>36.613599999999998</v>
      </c>
    </row>
    <row r="478" spans="1:4">
      <c r="A478" s="261" t="s">
        <v>9604</v>
      </c>
      <c r="B478" s="262" t="s">
        <v>24207</v>
      </c>
      <c r="C478" s="261" t="s">
        <v>325</v>
      </c>
      <c r="D478" s="440">
        <v>19.466999999999999</v>
      </c>
    </row>
    <row r="479" spans="1:4">
      <c r="A479" s="261" t="s">
        <v>9605</v>
      </c>
      <c r="B479" s="262" t="s">
        <v>24208</v>
      </c>
      <c r="C479" s="261" t="s">
        <v>325</v>
      </c>
      <c r="D479" s="440">
        <v>25.461600000000001</v>
      </c>
    </row>
    <row r="480" spans="1:4">
      <c r="A480" s="261" t="s">
        <v>9606</v>
      </c>
      <c r="B480" s="262" t="s">
        <v>24209</v>
      </c>
      <c r="C480" s="261" t="s">
        <v>325</v>
      </c>
      <c r="D480" s="440">
        <v>26.409199999999998</v>
      </c>
    </row>
    <row r="481" spans="1:4">
      <c r="A481" s="261" t="s">
        <v>9607</v>
      </c>
      <c r="B481" s="262" t="s">
        <v>24210</v>
      </c>
      <c r="C481" s="261" t="s">
        <v>325</v>
      </c>
      <c r="D481" s="440">
        <v>29.6829</v>
      </c>
    </row>
    <row r="482" spans="1:4">
      <c r="A482" s="261" t="s">
        <v>9608</v>
      </c>
      <c r="B482" s="262" t="s">
        <v>24211</v>
      </c>
      <c r="C482" s="261" t="s">
        <v>325</v>
      </c>
      <c r="D482" s="440">
        <v>39.197600000000001</v>
      </c>
    </row>
    <row r="483" spans="1:4">
      <c r="A483" s="261" t="s">
        <v>9609</v>
      </c>
      <c r="B483" s="262" t="s">
        <v>24212</v>
      </c>
      <c r="C483" s="261" t="s">
        <v>325</v>
      </c>
      <c r="D483" s="440">
        <v>58.196100000000001</v>
      </c>
    </row>
    <row r="484" spans="1:4">
      <c r="A484" s="261" t="s">
        <v>9610</v>
      </c>
      <c r="B484" s="262" t="s">
        <v>24213</v>
      </c>
      <c r="C484" s="261" t="s">
        <v>325</v>
      </c>
      <c r="D484" s="440">
        <v>77.184299999999993</v>
      </c>
    </row>
    <row r="485" spans="1:4">
      <c r="A485" s="261" t="s">
        <v>9611</v>
      </c>
      <c r="B485" s="262" t="s">
        <v>24214</v>
      </c>
      <c r="C485" s="261" t="s">
        <v>325</v>
      </c>
      <c r="D485" s="440">
        <v>39.8797</v>
      </c>
    </row>
    <row r="486" spans="1:4">
      <c r="A486" s="261" t="s">
        <v>9612</v>
      </c>
      <c r="B486" s="262" t="s">
        <v>24215</v>
      </c>
      <c r="C486" s="261" t="s">
        <v>325</v>
      </c>
      <c r="D486" s="440">
        <v>49.904200000000003</v>
      </c>
    </row>
    <row r="487" spans="1:4">
      <c r="A487" s="261" t="s">
        <v>9613</v>
      </c>
      <c r="B487" s="262" t="s">
        <v>24216</v>
      </c>
      <c r="C487" s="261" t="s">
        <v>325</v>
      </c>
      <c r="D487" s="440">
        <v>59.8628</v>
      </c>
    </row>
    <row r="488" spans="1:4">
      <c r="A488" s="261" t="s">
        <v>9614</v>
      </c>
      <c r="B488" s="262" t="s">
        <v>24217</v>
      </c>
      <c r="C488" s="261" t="s">
        <v>325</v>
      </c>
      <c r="D488" s="440">
        <v>70.019400000000005</v>
      </c>
    </row>
    <row r="489" spans="1:4">
      <c r="A489" s="261" t="s">
        <v>9615</v>
      </c>
      <c r="B489" s="262" t="s">
        <v>24218</v>
      </c>
      <c r="C489" s="261" t="s">
        <v>325</v>
      </c>
      <c r="D489" s="440">
        <v>32.986400000000003</v>
      </c>
    </row>
    <row r="490" spans="1:4">
      <c r="A490" s="261" t="s">
        <v>9616</v>
      </c>
      <c r="B490" s="262" t="s">
        <v>24219</v>
      </c>
      <c r="C490" s="261" t="s">
        <v>325</v>
      </c>
      <c r="D490" s="440">
        <v>41.2</v>
      </c>
    </row>
    <row r="491" spans="1:4">
      <c r="A491" s="261" t="s">
        <v>9617</v>
      </c>
      <c r="B491" s="262" t="s">
        <v>24220</v>
      </c>
      <c r="C491" s="261" t="s">
        <v>325</v>
      </c>
      <c r="D491" s="440">
        <v>48.902799999999999</v>
      </c>
    </row>
    <row r="492" spans="1:4">
      <c r="A492" s="261" t="s">
        <v>9618</v>
      </c>
      <c r="B492" s="262" t="s">
        <v>24221</v>
      </c>
      <c r="C492" s="261" t="s">
        <v>325</v>
      </c>
      <c r="D492" s="440">
        <v>56.908700000000003</v>
      </c>
    </row>
    <row r="493" spans="1:4">
      <c r="A493" s="261" t="s">
        <v>9619</v>
      </c>
      <c r="B493" s="262" t="s">
        <v>24222</v>
      </c>
      <c r="C493" s="261" t="s">
        <v>325</v>
      </c>
      <c r="D493" s="440">
        <v>29.9556</v>
      </c>
    </row>
    <row r="494" spans="1:4">
      <c r="A494" s="261" t="s">
        <v>9620</v>
      </c>
      <c r="B494" s="262" t="s">
        <v>24223</v>
      </c>
      <c r="C494" s="261" t="s">
        <v>325</v>
      </c>
      <c r="D494" s="440">
        <v>39.063699999999997</v>
      </c>
    </row>
    <row r="495" spans="1:4">
      <c r="A495" s="261" t="s">
        <v>9621</v>
      </c>
      <c r="B495" s="262" t="s">
        <v>24224</v>
      </c>
      <c r="C495" s="261" t="s">
        <v>325</v>
      </c>
      <c r="D495" s="440">
        <v>46.407400000000003</v>
      </c>
    </row>
    <row r="496" spans="1:4">
      <c r="A496" s="261" t="s">
        <v>9622</v>
      </c>
      <c r="B496" s="262" t="s">
        <v>24225</v>
      </c>
      <c r="C496" s="261" t="s">
        <v>325</v>
      </c>
      <c r="D496" s="440">
        <v>53.7896</v>
      </c>
    </row>
    <row r="497" spans="1:4">
      <c r="A497" s="261" t="s">
        <v>9623</v>
      </c>
      <c r="B497" s="262" t="s">
        <v>24226</v>
      </c>
      <c r="C497" s="261" t="s">
        <v>328</v>
      </c>
      <c r="D497" s="440">
        <v>84.931600000000003</v>
      </c>
    </row>
    <row r="498" spans="1:4">
      <c r="A498" s="261" t="s">
        <v>9624</v>
      </c>
      <c r="B498" s="262" t="s">
        <v>24227</v>
      </c>
      <c r="C498" s="261" t="s">
        <v>331</v>
      </c>
      <c r="D498" s="440">
        <v>828.26070000000004</v>
      </c>
    </row>
    <row r="499" spans="1:4">
      <c r="A499" s="261" t="s">
        <v>9625</v>
      </c>
      <c r="B499" s="262" t="s">
        <v>24228</v>
      </c>
      <c r="C499" s="261" t="s">
        <v>331</v>
      </c>
      <c r="D499" s="440">
        <v>828.87869999999998</v>
      </c>
    </row>
    <row r="500" spans="1:4">
      <c r="A500" s="261" t="s">
        <v>9626</v>
      </c>
      <c r="B500" s="262" t="s">
        <v>24229</v>
      </c>
      <c r="C500" s="261" t="s">
        <v>331</v>
      </c>
      <c r="D500" s="440">
        <v>895.92359999999996</v>
      </c>
    </row>
    <row r="501" spans="1:4">
      <c r="A501" s="261" t="s">
        <v>9627</v>
      </c>
      <c r="B501" s="262" t="s">
        <v>24230</v>
      </c>
      <c r="C501" s="261" t="s">
        <v>331</v>
      </c>
      <c r="D501" s="440">
        <v>1020.864</v>
      </c>
    </row>
    <row r="502" spans="1:4">
      <c r="A502" s="261" t="s">
        <v>9628</v>
      </c>
      <c r="B502" s="262" t="s">
        <v>24231</v>
      </c>
      <c r="C502" s="261" t="s">
        <v>331</v>
      </c>
      <c r="D502" s="440">
        <v>1047.4729</v>
      </c>
    </row>
    <row r="503" spans="1:4">
      <c r="A503" s="261" t="s">
        <v>9629</v>
      </c>
      <c r="B503" s="262" t="s">
        <v>24232</v>
      </c>
      <c r="C503" s="261" t="s">
        <v>331</v>
      </c>
      <c r="D503" s="440">
        <v>1528.2013999999999</v>
      </c>
    </row>
    <row r="504" spans="1:4">
      <c r="A504" s="261" t="s">
        <v>9630</v>
      </c>
      <c r="B504" s="262" t="s">
        <v>24233</v>
      </c>
      <c r="C504" s="261" t="s">
        <v>331</v>
      </c>
      <c r="D504" s="440">
        <v>2110.1212999999998</v>
      </c>
    </row>
    <row r="505" spans="1:4">
      <c r="A505" s="261" t="s">
        <v>9631</v>
      </c>
      <c r="B505" s="262" t="s">
        <v>24234</v>
      </c>
      <c r="C505" s="261" t="s">
        <v>331</v>
      </c>
      <c r="D505" s="440">
        <v>11.8969</v>
      </c>
    </row>
    <row r="506" spans="1:4">
      <c r="A506" s="261" t="s">
        <v>9632</v>
      </c>
      <c r="B506" s="262" t="s">
        <v>24235</v>
      </c>
      <c r="C506" s="261" t="s">
        <v>331</v>
      </c>
      <c r="D506" s="440">
        <v>22.425699999999999</v>
      </c>
    </row>
    <row r="507" spans="1:4">
      <c r="A507" s="261" t="s">
        <v>9633</v>
      </c>
      <c r="B507" s="262" t="s">
        <v>24236</v>
      </c>
      <c r="C507" s="261" t="s">
        <v>325</v>
      </c>
      <c r="D507" s="440">
        <v>61.698099999999997</v>
      </c>
    </row>
    <row r="508" spans="1:4">
      <c r="A508" s="261" t="s">
        <v>9634</v>
      </c>
      <c r="B508" s="262" t="s">
        <v>24237</v>
      </c>
      <c r="C508" s="261" t="s">
        <v>325</v>
      </c>
      <c r="D508" s="440">
        <v>15.851100000000001</v>
      </c>
    </row>
    <row r="509" spans="1:4">
      <c r="A509" s="261" t="s">
        <v>9635</v>
      </c>
      <c r="B509" s="262" t="s">
        <v>24238</v>
      </c>
      <c r="C509" s="261" t="s">
        <v>326</v>
      </c>
      <c r="D509" s="440" t="s">
        <v>13</v>
      </c>
    </row>
    <row r="510" spans="1:4">
      <c r="A510" s="261" t="s">
        <v>9636</v>
      </c>
      <c r="B510" s="262" t="s">
        <v>24239</v>
      </c>
      <c r="C510" s="261" t="s">
        <v>954</v>
      </c>
      <c r="D510" s="440">
        <v>14.1661</v>
      </c>
    </row>
    <row r="511" spans="1:4">
      <c r="A511" s="261" t="s">
        <v>9637</v>
      </c>
      <c r="B511" s="262" t="s">
        <v>24240</v>
      </c>
      <c r="C511" s="261" t="s">
        <v>327</v>
      </c>
      <c r="D511" s="440">
        <v>36.624400000000001</v>
      </c>
    </row>
    <row r="512" spans="1:4">
      <c r="A512" s="261" t="s">
        <v>9638</v>
      </c>
      <c r="B512" s="262" t="s">
        <v>24241</v>
      </c>
      <c r="C512" s="261" t="s">
        <v>327</v>
      </c>
      <c r="D512" s="440">
        <v>10.745100000000001</v>
      </c>
    </row>
    <row r="513" spans="1:4">
      <c r="A513" s="261" t="s">
        <v>9639</v>
      </c>
      <c r="B513" s="262" t="s">
        <v>24242</v>
      </c>
      <c r="C513" s="261" t="s">
        <v>328</v>
      </c>
      <c r="D513" s="440">
        <v>170.13030000000001</v>
      </c>
    </row>
    <row r="514" spans="1:4">
      <c r="A514" s="261" t="s">
        <v>9640</v>
      </c>
      <c r="B514" s="262" t="s">
        <v>24243</v>
      </c>
      <c r="C514" s="261" t="s">
        <v>327</v>
      </c>
      <c r="D514" s="440">
        <v>5.0780000000000003</v>
      </c>
    </row>
    <row r="515" spans="1:4">
      <c r="A515" s="261" t="s">
        <v>9641</v>
      </c>
      <c r="B515" s="262" t="s">
        <v>24244</v>
      </c>
      <c r="C515" s="261" t="s">
        <v>327</v>
      </c>
      <c r="D515" s="440">
        <v>5.0780000000000003</v>
      </c>
    </row>
    <row r="516" spans="1:4">
      <c r="A516" s="261" t="s">
        <v>9642</v>
      </c>
      <c r="B516" s="262" t="s">
        <v>24245</v>
      </c>
      <c r="C516" s="261" t="s">
        <v>327</v>
      </c>
      <c r="D516" s="440">
        <v>5.0780000000000003</v>
      </c>
    </row>
    <row r="517" spans="1:4">
      <c r="A517" s="261" t="s">
        <v>9643</v>
      </c>
      <c r="B517" s="262" t="s">
        <v>24246</v>
      </c>
      <c r="C517" s="261" t="s">
        <v>327</v>
      </c>
      <c r="D517" s="440">
        <v>5.0780000000000003</v>
      </c>
    </row>
    <row r="518" spans="1:4">
      <c r="A518" s="261" t="s">
        <v>9644</v>
      </c>
      <c r="B518" s="262" t="s">
        <v>24247</v>
      </c>
      <c r="C518" s="261" t="s">
        <v>327</v>
      </c>
      <c r="D518" s="440">
        <v>5.0780000000000003</v>
      </c>
    </row>
    <row r="519" spans="1:4">
      <c r="A519" s="261" t="s">
        <v>9645</v>
      </c>
      <c r="B519" s="262" t="s">
        <v>24248</v>
      </c>
      <c r="C519" s="261" t="s">
        <v>328</v>
      </c>
      <c r="D519" s="440">
        <v>54.226599999999998</v>
      </c>
    </row>
    <row r="520" spans="1:4">
      <c r="A520" s="261" t="s">
        <v>9646</v>
      </c>
      <c r="B520" s="262" t="s">
        <v>24249</v>
      </c>
      <c r="C520" s="261" t="s">
        <v>328</v>
      </c>
      <c r="D520" s="440">
        <v>10.9483</v>
      </c>
    </row>
    <row r="521" spans="1:4">
      <c r="A521" s="261" t="s">
        <v>9647</v>
      </c>
      <c r="B521" s="262" t="s">
        <v>24250</v>
      </c>
      <c r="C521" s="261" t="s">
        <v>328</v>
      </c>
      <c r="D521" s="440">
        <v>113.72580000000001</v>
      </c>
    </row>
    <row r="522" spans="1:4">
      <c r="A522" s="261" t="s">
        <v>9648</v>
      </c>
      <c r="B522" s="262" t="s">
        <v>24251</v>
      </c>
      <c r="C522" s="261" t="s">
        <v>328</v>
      </c>
      <c r="D522" s="440">
        <v>144.04390000000001</v>
      </c>
    </row>
    <row r="523" spans="1:4">
      <c r="A523" s="261" t="s">
        <v>9649</v>
      </c>
      <c r="B523" s="262" t="s">
        <v>24252</v>
      </c>
      <c r="C523" s="261" t="s">
        <v>328</v>
      </c>
      <c r="D523" s="440">
        <v>213.2379</v>
      </c>
    </row>
    <row r="524" spans="1:4">
      <c r="A524" s="261" t="s">
        <v>9650</v>
      </c>
      <c r="B524" s="262" t="s">
        <v>24253</v>
      </c>
      <c r="C524" s="261" t="s">
        <v>328</v>
      </c>
      <c r="D524" s="440">
        <v>441.90559999999999</v>
      </c>
    </row>
    <row r="525" spans="1:4">
      <c r="A525" s="261" t="s">
        <v>9651</v>
      </c>
      <c r="B525" s="262" t="s">
        <v>24254</v>
      </c>
      <c r="C525" s="261" t="s">
        <v>331</v>
      </c>
      <c r="D525" s="440">
        <v>24.769500000000001</v>
      </c>
    </row>
    <row r="526" spans="1:4">
      <c r="A526" s="261" t="s">
        <v>9652</v>
      </c>
      <c r="B526" s="262" t="s">
        <v>24255</v>
      </c>
      <c r="C526" s="261" t="s">
        <v>331</v>
      </c>
      <c r="D526" s="440">
        <v>47.538200000000003</v>
      </c>
    </row>
    <row r="527" spans="1:4">
      <c r="A527" s="261" t="s">
        <v>9653</v>
      </c>
      <c r="B527" s="262" t="s">
        <v>24256</v>
      </c>
      <c r="C527" s="261" t="s">
        <v>331</v>
      </c>
      <c r="D527" s="440">
        <v>287.69310000000002</v>
      </c>
    </row>
    <row r="528" spans="1:4">
      <c r="A528" s="261" t="s">
        <v>9654</v>
      </c>
      <c r="B528" s="262" t="s">
        <v>24257</v>
      </c>
      <c r="C528" s="261" t="s">
        <v>331</v>
      </c>
      <c r="D528" s="440">
        <v>3322.4929000000002</v>
      </c>
    </row>
    <row r="529" spans="1:4">
      <c r="A529" s="261" t="s">
        <v>9655</v>
      </c>
      <c r="B529" s="262" t="s">
        <v>24258</v>
      </c>
      <c r="C529" s="261" t="s">
        <v>331</v>
      </c>
      <c r="D529" s="440">
        <v>7671.3571000000002</v>
      </c>
    </row>
    <row r="530" spans="1:4">
      <c r="A530" s="261" t="s">
        <v>9656</v>
      </c>
      <c r="B530" s="262" t="s">
        <v>24259</v>
      </c>
      <c r="C530" s="261" t="s">
        <v>331</v>
      </c>
      <c r="D530" s="440">
        <v>9215.5779999999995</v>
      </c>
    </row>
    <row r="531" spans="1:4">
      <c r="A531" s="261" t="s">
        <v>9657</v>
      </c>
      <c r="B531" s="262" t="s">
        <v>24260</v>
      </c>
      <c r="C531" s="261" t="s">
        <v>331</v>
      </c>
      <c r="D531" s="440">
        <v>13708.626899999999</v>
      </c>
    </row>
    <row r="532" spans="1:4">
      <c r="A532" s="261" t="s">
        <v>9658</v>
      </c>
      <c r="B532" s="262" t="s">
        <v>24261</v>
      </c>
      <c r="C532" s="261" t="s">
        <v>331</v>
      </c>
      <c r="D532" s="440">
        <v>6798.87</v>
      </c>
    </row>
    <row r="533" spans="1:4">
      <c r="A533" s="261" t="s">
        <v>9659</v>
      </c>
      <c r="B533" s="262" t="s">
        <v>24262</v>
      </c>
      <c r="C533" s="261" t="s">
        <v>331</v>
      </c>
      <c r="D533" s="440">
        <v>32.454900000000002</v>
      </c>
    </row>
    <row r="534" spans="1:4">
      <c r="A534" s="261" t="s">
        <v>9660</v>
      </c>
      <c r="B534" s="262" t="s">
        <v>24263</v>
      </c>
      <c r="C534" s="261" t="s">
        <v>331</v>
      </c>
      <c r="D534" s="440">
        <v>3158.7860000000001</v>
      </c>
    </row>
    <row r="535" spans="1:4">
      <c r="A535" s="261" t="s">
        <v>9661</v>
      </c>
      <c r="B535" s="262" t="s">
        <v>24264</v>
      </c>
      <c r="C535" s="261" t="s">
        <v>331</v>
      </c>
      <c r="D535" s="440">
        <v>564.35149999999999</v>
      </c>
    </row>
    <row r="536" spans="1:4">
      <c r="A536" s="261" t="s">
        <v>9662</v>
      </c>
      <c r="B536" s="262" t="s">
        <v>24265</v>
      </c>
      <c r="C536" s="261" t="s">
        <v>331</v>
      </c>
      <c r="D536" s="440">
        <v>211.1891</v>
      </c>
    </row>
    <row r="537" spans="1:4">
      <c r="A537" s="261" t="s">
        <v>9663</v>
      </c>
      <c r="B537" s="262" t="s">
        <v>24266</v>
      </c>
      <c r="C537" s="261" t="s">
        <v>331</v>
      </c>
      <c r="D537" s="440">
        <v>1218.8193000000001</v>
      </c>
    </row>
    <row r="538" spans="1:4">
      <c r="A538" s="261" t="s">
        <v>9664</v>
      </c>
      <c r="B538" s="262" t="s">
        <v>24267</v>
      </c>
      <c r="C538" s="261" t="s">
        <v>328</v>
      </c>
      <c r="D538" s="440">
        <v>8.7797999999999998</v>
      </c>
    </row>
    <row r="539" spans="1:4">
      <c r="A539" s="261" t="s">
        <v>9665</v>
      </c>
      <c r="B539" s="262" t="s">
        <v>24268</v>
      </c>
      <c r="C539" s="261" t="s">
        <v>328</v>
      </c>
      <c r="D539" s="440">
        <v>13.3178</v>
      </c>
    </row>
    <row r="540" spans="1:4">
      <c r="A540" s="261" t="s">
        <v>9666</v>
      </c>
      <c r="B540" s="262" t="s">
        <v>24269</v>
      </c>
      <c r="C540" s="261" t="s">
        <v>328</v>
      </c>
      <c r="D540" s="440">
        <v>25.247900000000001</v>
      </c>
    </row>
    <row r="541" spans="1:4">
      <c r="A541" s="261" t="s">
        <v>9667</v>
      </c>
      <c r="B541" s="262" t="s">
        <v>24270</v>
      </c>
      <c r="C541" s="261" t="s">
        <v>328</v>
      </c>
      <c r="D541" s="440">
        <v>39.567700000000002</v>
      </c>
    </row>
    <row r="542" spans="1:4">
      <c r="A542" s="261" t="s">
        <v>9668</v>
      </c>
      <c r="B542" s="262" t="s">
        <v>24271</v>
      </c>
      <c r="C542" s="261" t="s">
        <v>328</v>
      </c>
      <c r="D542" s="440">
        <v>16.754200000000001</v>
      </c>
    </row>
    <row r="543" spans="1:4">
      <c r="A543" s="261" t="s">
        <v>9669</v>
      </c>
      <c r="B543" s="262" t="s">
        <v>24272</v>
      </c>
      <c r="C543" s="261" t="s">
        <v>328</v>
      </c>
      <c r="D543" s="440">
        <v>20.9023</v>
      </c>
    </row>
    <row r="544" spans="1:4">
      <c r="A544" s="261" t="s">
        <v>9670</v>
      </c>
      <c r="B544" s="262" t="s">
        <v>24273</v>
      </c>
      <c r="C544" s="261" t="s">
        <v>328</v>
      </c>
      <c r="D544" s="440">
        <v>90.636600000000001</v>
      </c>
    </row>
    <row r="545" spans="1:4">
      <c r="A545" s="261" t="s">
        <v>9671</v>
      </c>
      <c r="B545" s="262" t="s">
        <v>24274</v>
      </c>
      <c r="C545" s="261" t="s">
        <v>328</v>
      </c>
      <c r="D545" s="440">
        <v>104.70959999999999</v>
      </c>
    </row>
    <row r="546" spans="1:4">
      <c r="A546" s="261" t="s">
        <v>9672</v>
      </c>
      <c r="B546" s="262" t="s">
        <v>24275</v>
      </c>
      <c r="C546" s="261" t="s">
        <v>328</v>
      </c>
      <c r="D546" s="440">
        <v>140.88130000000001</v>
      </c>
    </row>
    <row r="547" spans="1:4">
      <c r="A547" s="261" t="s">
        <v>9673</v>
      </c>
      <c r="B547" s="262" t="s">
        <v>24276</v>
      </c>
      <c r="C547" s="261" t="s">
        <v>331</v>
      </c>
      <c r="D547" s="440">
        <v>460.32350000000002</v>
      </c>
    </row>
    <row r="548" spans="1:4">
      <c r="A548" s="261" t="s">
        <v>9674</v>
      </c>
      <c r="B548" s="262" t="s">
        <v>24277</v>
      </c>
      <c r="C548" s="261" t="s">
        <v>325</v>
      </c>
      <c r="D548" s="440">
        <v>5.7455999999999996</v>
      </c>
    </row>
    <row r="549" spans="1:4">
      <c r="A549" s="261" t="s">
        <v>9675</v>
      </c>
      <c r="B549" s="262" t="s">
        <v>24278</v>
      </c>
      <c r="C549" s="261" t="s">
        <v>331</v>
      </c>
      <c r="D549" s="440">
        <v>2301.7772</v>
      </c>
    </row>
    <row r="550" spans="1:4">
      <c r="A550" s="261" t="s">
        <v>9676</v>
      </c>
      <c r="B550" s="262" t="s">
        <v>24279</v>
      </c>
      <c r="C550" s="261" t="s">
        <v>331</v>
      </c>
      <c r="D550" s="440">
        <v>11.7834</v>
      </c>
    </row>
    <row r="551" spans="1:4">
      <c r="A551" s="261" t="s">
        <v>9677</v>
      </c>
      <c r="B551" s="262" t="s">
        <v>24280</v>
      </c>
      <c r="C551" s="261" t="s">
        <v>325</v>
      </c>
      <c r="D551" s="440">
        <v>41.621499999999997</v>
      </c>
    </row>
    <row r="552" spans="1:4">
      <c r="A552" s="261" t="s">
        <v>9678</v>
      </c>
      <c r="B552" s="262" t="s">
        <v>24281</v>
      </c>
      <c r="C552" s="261" t="s">
        <v>331</v>
      </c>
      <c r="D552" s="440">
        <v>6686.0621000000001</v>
      </c>
    </row>
    <row r="553" spans="1:4">
      <c r="A553" s="261" t="s">
        <v>9679</v>
      </c>
      <c r="B553" s="262" t="s">
        <v>24282</v>
      </c>
      <c r="C553" s="261" t="s">
        <v>327</v>
      </c>
      <c r="D553" s="440">
        <v>52.08</v>
      </c>
    </row>
    <row r="554" spans="1:4">
      <c r="A554" s="261" t="s">
        <v>9680</v>
      </c>
      <c r="B554" s="262" t="s">
        <v>24283</v>
      </c>
      <c r="C554" s="261" t="s">
        <v>328</v>
      </c>
      <c r="D554" s="440">
        <v>167.1737</v>
      </c>
    </row>
    <row r="555" spans="1:4">
      <c r="A555" s="261" t="s">
        <v>9681</v>
      </c>
      <c r="B555" s="262" t="s">
        <v>24284</v>
      </c>
      <c r="C555" s="261" t="s">
        <v>331</v>
      </c>
      <c r="D555" s="440">
        <v>4600.5879000000004</v>
      </c>
    </row>
    <row r="556" spans="1:4">
      <c r="A556" s="261" t="s">
        <v>9682</v>
      </c>
      <c r="B556" s="262" t="s">
        <v>24285</v>
      </c>
      <c r="C556" s="261" t="s">
        <v>331</v>
      </c>
      <c r="D556" s="440">
        <v>2407.1999999999998</v>
      </c>
    </row>
    <row r="557" spans="1:4">
      <c r="A557" s="261" t="s">
        <v>9683</v>
      </c>
      <c r="B557" s="262" t="s">
        <v>24286</v>
      </c>
      <c r="C557" s="261" t="s">
        <v>331</v>
      </c>
      <c r="D557" s="440">
        <v>518.88750000000005</v>
      </c>
    </row>
    <row r="558" spans="1:4">
      <c r="A558" s="261" t="s">
        <v>9684</v>
      </c>
      <c r="B558" s="262" t="s">
        <v>24287</v>
      </c>
      <c r="C558" s="261" t="s">
        <v>331</v>
      </c>
      <c r="D558" s="440">
        <v>1443.8784000000001</v>
      </c>
    </row>
    <row r="559" spans="1:4">
      <c r="A559" s="261" t="s">
        <v>9685</v>
      </c>
      <c r="B559" s="262" t="s">
        <v>24288</v>
      </c>
      <c r="C559" s="261" t="s">
        <v>328</v>
      </c>
      <c r="D559" s="440">
        <v>135.2876</v>
      </c>
    </row>
    <row r="560" spans="1:4">
      <c r="A560" s="261" t="s">
        <v>9686</v>
      </c>
      <c r="B560" s="262" t="s">
        <v>24289</v>
      </c>
      <c r="C560" s="261" t="s">
        <v>331</v>
      </c>
      <c r="D560" s="440">
        <v>1115.7073</v>
      </c>
    </row>
    <row r="561" spans="1:4">
      <c r="A561" s="261" t="s">
        <v>9687</v>
      </c>
      <c r="B561" s="262" t="s">
        <v>24290</v>
      </c>
      <c r="C561" s="261" t="s">
        <v>331</v>
      </c>
      <c r="D561" s="440">
        <v>10841.108099999999</v>
      </c>
    </row>
    <row r="562" spans="1:4">
      <c r="A562" s="261" t="s">
        <v>9688</v>
      </c>
      <c r="B562" s="262" t="s">
        <v>24291</v>
      </c>
      <c r="C562" s="261" t="s">
        <v>331</v>
      </c>
      <c r="D562" s="440">
        <v>9780.393</v>
      </c>
    </row>
    <row r="563" spans="1:4">
      <c r="A563" s="261" t="s">
        <v>9689</v>
      </c>
      <c r="B563" s="262" t="s">
        <v>24292</v>
      </c>
      <c r="C563" s="261" t="s">
        <v>331</v>
      </c>
      <c r="D563" s="440">
        <v>4.9493999999999998</v>
      </c>
    </row>
    <row r="564" spans="1:4">
      <c r="A564" s="261" t="s">
        <v>9690</v>
      </c>
      <c r="B564" s="262" t="s">
        <v>24293</v>
      </c>
      <c r="C564" s="261" t="s">
        <v>331</v>
      </c>
      <c r="D564" s="440">
        <v>389</v>
      </c>
    </row>
    <row r="565" spans="1:4">
      <c r="A565" s="261" t="s">
        <v>9691</v>
      </c>
      <c r="B565" s="262" t="s">
        <v>24294</v>
      </c>
      <c r="C565" s="261" t="s">
        <v>331</v>
      </c>
      <c r="D565" s="440">
        <v>39.137700000000002</v>
      </c>
    </row>
    <row r="566" spans="1:4">
      <c r="A566" s="261" t="s">
        <v>9692</v>
      </c>
      <c r="B566" s="262" t="s">
        <v>24295</v>
      </c>
      <c r="C566" s="261" t="s">
        <v>331</v>
      </c>
      <c r="D566" s="440">
        <v>3522.0612999999998</v>
      </c>
    </row>
    <row r="567" spans="1:4">
      <c r="A567" s="261" t="s">
        <v>9693</v>
      </c>
      <c r="B567" s="262" t="s">
        <v>24296</v>
      </c>
      <c r="C567" s="261" t="s">
        <v>327</v>
      </c>
      <c r="D567" s="440">
        <v>0.1042</v>
      </c>
    </row>
    <row r="568" spans="1:4">
      <c r="A568" s="261" t="s">
        <v>9694</v>
      </c>
      <c r="B568" s="262" t="s">
        <v>24297</v>
      </c>
      <c r="C568" s="261" t="s">
        <v>327</v>
      </c>
      <c r="D568" s="440">
        <v>2.4670000000000001</v>
      </c>
    </row>
    <row r="569" spans="1:4">
      <c r="A569" s="261" t="s">
        <v>9695</v>
      </c>
      <c r="B569" s="262" t="s">
        <v>24298</v>
      </c>
      <c r="C569" s="261" t="s">
        <v>328</v>
      </c>
      <c r="D569" s="440">
        <v>118.9008</v>
      </c>
    </row>
    <row r="570" spans="1:4">
      <c r="A570" s="261" t="s">
        <v>9696</v>
      </c>
      <c r="B570" s="262" t="s">
        <v>24299</v>
      </c>
      <c r="C570" s="261" t="s">
        <v>331</v>
      </c>
      <c r="D570" s="440">
        <v>21208.607499999998</v>
      </c>
    </row>
    <row r="571" spans="1:4">
      <c r="A571" s="261" t="s">
        <v>9697</v>
      </c>
      <c r="B571" s="262" t="s">
        <v>24300</v>
      </c>
      <c r="C571" s="261" t="s">
        <v>331</v>
      </c>
      <c r="D571" s="440">
        <v>34618.228499999997</v>
      </c>
    </row>
    <row r="572" spans="1:4">
      <c r="A572" s="261" t="s">
        <v>9698</v>
      </c>
      <c r="B572" s="262" t="s">
        <v>24301</v>
      </c>
      <c r="C572" s="261" t="s">
        <v>331</v>
      </c>
      <c r="D572" s="440">
        <v>41319.885999999999</v>
      </c>
    </row>
    <row r="573" spans="1:4">
      <c r="A573" s="261" t="s">
        <v>9699</v>
      </c>
      <c r="B573" s="262" t="s">
        <v>24302</v>
      </c>
      <c r="C573" s="261" t="s">
        <v>331</v>
      </c>
      <c r="D573" s="440">
        <v>61431.443200000002</v>
      </c>
    </row>
    <row r="574" spans="1:4">
      <c r="A574" s="261" t="s">
        <v>9700</v>
      </c>
      <c r="B574" s="262" t="s">
        <v>24303</v>
      </c>
      <c r="C574" s="261" t="s">
        <v>331</v>
      </c>
      <c r="D574" s="440">
        <v>70431.485100000005</v>
      </c>
    </row>
    <row r="575" spans="1:4">
      <c r="A575" s="261" t="s">
        <v>9701</v>
      </c>
      <c r="B575" s="262" t="s">
        <v>24304</v>
      </c>
      <c r="C575" s="261" t="s">
        <v>331</v>
      </c>
      <c r="D575" s="440">
        <v>87532.603300000002</v>
      </c>
    </row>
    <row r="576" spans="1:4">
      <c r="A576" s="261" t="s">
        <v>9702</v>
      </c>
      <c r="B576" s="262" t="s">
        <v>24305</v>
      </c>
      <c r="C576" s="261" t="s">
        <v>331</v>
      </c>
      <c r="D576" s="440">
        <v>124103.1287</v>
      </c>
    </row>
    <row r="577" spans="1:4">
      <c r="A577" s="261" t="s">
        <v>9703</v>
      </c>
      <c r="B577" s="262" t="s">
        <v>24306</v>
      </c>
      <c r="C577" s="261" t="s">
        <v>331</v>
      </c>
      <c r="D577" s="440">
        <v>18254.664700000001</v>
      </c>
    </row>
    <row r="578" spans="1:4">
      <c r="A578" s="261" t="s">
        <v>9704</v>
      </c>
      <c r="B578" s="262" t="s">
        <v>24307</v>
      </c>
      <c r="C578" s="261" t="s">
        <v>331</v>
      </c>
      <c r="D578" s="440">
        <v>29785.930199999999</v>
      </c>
    </row>
    <row r="579" spans="1:4">
      <c r="A579" s="261" t="s">
        <v>9705</v>
      </c>
      <c r="B579" s="262" t="s">
        <v>24308</v>
      </c>
      <c r="C579" s="261" t="s">
        <v>331</v>
      </c>
      <c r="D579" s="440">
        <v>35548.257799999999</v>
      </c>
    </row>
    <row r="580" spans="1:4">
      <c r="A580" s="261" t="s">
        <v>9706</v>
      </c>
      <c r="B580" s="262" t="s">
        <v>24309</v>
      </c>
      <c r="C580" s="261" t="s">
        <v>331</v>
      </c>
      <c r="D580" s="440">
        <v>52847.094599999997</v>
      </c>
    </row>
    <row r="581" spans="1:4">
      <c r="A581" s="261" t="s">
        <v>9707</v>
      </c>
      <c r="B581" s="262" t="s">
        <v>24310</v>
      </c>
      <c r="C581" s="261" t="s">
        <v>331</v>
      </c>
      <c r="D581" s="440">
        <v>59168.812599999997</v>
      </c>
    </row>
    <row r="582" spans="1:4">
      <c r="A582" s="261" t="s">
        <v>9708</v>
      </c>
      <c r="B582" s="262" t="s">
        <v>24311</v>
      </c>
      <c r="C582" s="261" t="s">
        <v>331</v>
      </c>
      <c r="D582" s="440">
        <v>77141.289000000004</v>
      </c>
    </row>
    <row r="583" spans="1:4">
      <c r="A583" s="261" t="s">
        <v>9709</v>
      </c>
      <c r="B583" s="262" t="s">
        <v>24312</v>
      </c>
      <c r="C583" s="261" t="s">
        <v>331</v>
      </c>
      <c r="D583" s="440">
        <v>103990.8985</v>
      </c>
    </row>
    <row r="584" spans="1:4">
      <c r="A584" s="261" t="s">
        <v>9710</v>
      </c>
      <c r="B584" s="262" t="s">
        <v>24313</v>
      </c>
      <c r="C584" s="261" t="s">
        <v>331</v>
      </c>
      <c r="D584" s="440">
        <v>11.6296</v>
      </c>
    </row>
    <row r="585" spans="1:4">
      <c r="A585" s="261" t="s">
        <v>9711</v>
      </c>
      <c r="B585" s="262" t="s">
        <v>24314</v>
      </c>
      <c r="C585" s="261" t="s">
        <v>331</v>
      </c>
      <c r="D585" s="440">
        <v>5568.3684999999996</v>
      </c>
    </row>
    <row r="586" spans="1:4">
      <c r="A586" s="261" t="s">
        <v>9712</v>
      </c>
      <c r="B586" s="262" t="s">
        <v>24315</v>
      </c>
      <c r="C586" s="261" t="s">
        <v>327</v>
      </c>
      <c r="D586" s="440">
        <v>9.4149999999999991</v>
      </c>
    </row>
    <row r="587" spans="1:4">
      <c r="A587" s="261" t="s">
        <v>9713</v>
      </c>
      <c r="B587" s="262" t="s">
        <v>24316</v>
      </c>
      <c r="C587" s="261" t="s">
        <v>326</v>
      </c>
      <c r="D587" s="440">
        <v>14.045199999999999</v>
      </c>
    </row>
    <row r="588" spans="1:4">
      <c r="A588" s="261" t="s">
        <v>9714</v>
      </c>
      <c r="B588" s="262" t="s">
        <v>24317</v>
      </c>
      <c r="C588" s="261" t="s">
        <v>327</v>
      </c>
      <c r="D588" s="440">
        <v>57.276400000000002</v>
      </c>
    </row>
    <row r="589" spans="1:4">
      <c r="A589" s="261" t="s">
        <v>9715</v>
      </c>
      <c r="B589" s="262" t="s">
        <v>24318</v>
      </c>
      <c r="C589" s="261" t="s">
        <v>328</v>
      </c>
      <c r="D589" s="440">
        <v>3.1911</v>
      </c>
    </row>
    <row r="590" spans="1:4">
      <c r="A590" s="261" t="s">
        <v>9716</v>
      </c>
      <c r="B590" s="262" t="s">
        <v>24319</v>
      </c>
      <c r="C590" s="261" t="s">
        <v>325</v>
      </c>
      <c r="D590" s="440">
        <v>37.495100000000001</v>
      </c>
    </row>
    <row r="591" spans="1:4">
      <c r="A591" s="261" t="s">
        <v>9717</v>
      </c>
      <c r="B591" s="262" t="s">
        <v>24320</v>
      </c>
      <c r="C591" s="261" t="s">
        <v>328</v>
      </c>
      <c r="D591" s="440">
        <v>36.571399999999997</v>
      </c>
    </row>
    <row r="592" spans="1:4">
      <c r="A592" s="261" t="s">
        <v>9718</v>
      </c>
      <c r="B592" s="262" t="s">
        <v>24321</v>
      </c>
      <c r="C592" s="261" t="s">
        <v>328</v>
      </c>
      <c r="D592" s="440">
        <v>26.081600000000002</v>
      </c>
    </row>
    <row r="593" spans="1:4">
      <c r="A593" s="261" t="s">
        <v>9719</v>
      </c>
      <c r="B593" s="262" t="s">
        <v>24322</v>
      </c>
      <c r="C593" s="261" t="s">
        <v>331</v>
      </c>
      <c r="D593" s="440">
        <v>558.45150000000001</v>
      </c>
    </row>
    <row r="594" spans="1:4">
      <c r="A594" s="261" t="s">
        <v>9720</v>
      </c>
      <c r="B594" s="262" t="s">
        <v>24323</v>
      </c>
      <c r="C594" s="261" t="s">
        <v>325</v>
      </c>
      <c r="D594" s="440">
        <v>67.148200000000003</v>
      </c>
    </row>
    <row r="595" spans="1:4">
      <c r="A595" s="261" t="s">
        <v>9721</v>
      </c>
      <c r="B595" s="262" t="s">
        <v>24324</v>
      </c>
      <c r="C595" s="261" t="s">
        <v>331</v>
      </c>
      <c r="D595" s="440">
        <v>2.8555999999999999</v>
      </c>
    </row>
    <row r="596" spans="1:4">
      <c r="A596" s="261" t="s">
        <v>9722</v>
      </c>
      <c r="B596" s="262" t="s">
        <v>24325</v>
      </c>
      <c r="C596" s="261" t="s">
        <v>331</v>
      </c>
      <c r="D596" s="440">
        <v>11.8504</v>
      </c>
    </row>
    <row r="597" spans="1:4">
      <c r="A597" s="261" t="s">
        <v>9723</v>
      </c>
      <c r="B597" s="262" t="s">
        <v>24326</v>
      </c>
      <c r="C597" s="261" t="s">
        <v>331</v>
      </c>
      <c r="D597" s="440">
        <v>866.38760000000002</v>
      </c>
    </row>
    <row r="598" spans="1:4">
      <c r="A598" s="261" t="s">
        <v>9724</v>
      </c>
      <c r="B598" s="262" t="s">
        <v>24327</v>
      </c>
      <c r="C598" s="261" t="s">
        <v>331</v>
      </c>
      <c r="D598" s="440">
        <v>496.78129999999999</v>
      </c>
    </row>
    <row r="599" spans="1:4">
      <c r="A599" s="261" t="s">
        <v>9725</v>
      </c>
      <c r="B599" s="262" t="s">
        <v>24328</v>
      </c>
      <c r="C599" s="261" t="s">
        <v>327</v>
      </c>
      <c r="D599" s="440">
        <v>84.2119</v>
      </c>
    </row>
    <row r="600" spans="1:4">
      <c r="A600" s="261" t="s">
        <v>9726</v>
      </c>
      <c r="B600" s="262" t="s">
        <v>24329</v>
      </c>
      <c r="C600" s="261" t="s">
        <v>331</v>
      </c>
      <c r="D600" s="440">
        <v>1893.7702999999999</v>
      </c>
    </row>
    <row r="601" spans="1:4">
      <c r="A601" s="261" t="s">
        <v>9727</v>
      </c>
      <c r="B601" s="262" t="s">
        <v>24330</v>
      </c>
      <c r="C601" s="261" t="s">
        <v>331</v>
      </c>
      <c r="D601" s="440">
        <v>12.6539</v>
      </c>
    </row>
    <row r="602" spans="1:4">
      <c r="A602" s="261" t="s">
        <v>9728</v>
      </c>
      <c r="B602" s="262" t="s">
        <v>24331</v>
      </c>
      <c r="C602" s="261" t="s">
        <v>331</v>
      </c>
      <c r="D602" s="440">
        <v>9945.6344000000008</v>
      </c>
    </row>
    <row r="603" spans="1:4">
      <c r="A603" s="261" t="s">
        <v>9729</v>
      </c>
      <c r="B603" s="262" t="s">
        <v>24332</v>
      </c>
      <c r="C603" s="261" t="s">
        <v>328</v>
      </c>
      <c r="D603" s="440">
        <v>1512.181</v>
      </c>
    </row>
    <row r="604" spans="1:4">
      <c r="A604" s="261" t="s">
        <v>9730</v>
      </c>
      <c r="B604" s="262" t="s">
        <v>24333</v>
      </c>
      <c r="C604" s="261" t="s">
        <v>331</v>
      </c>
      <c r="D604" s="440">
        <v>2.4173</v>
      </c>
    </row>
    <row r="605" spans="1:4">
      <c r="A605" s="261" t="s">
        <v>9731</v>
      </c>
      <c r="B605" s="262" t="s">
        <v>24334</v>
      </c>
      <c r="C605" s="261" t="s">
        <v>331</v>
      </c>
      <c r="D605" s="440">
        <v>3.6901999999999999</v>
      </c>
    </row>
    <row r="606" spans="1:4">
      <c r="A606" s="261" t="s">
        <v>9732</v>
      </c>
      <c r="B606" s="262" t="s">
        <v>24335</v>
      </c>
      <c r="C606" s="261" t="s">
        <v>328</v>
      </c>
      <c r="D606" s="440">
        <v>11.3902</v>
      </c>
    </row>
    <row r="607" spans="1:4">
      <c r="A607" s="261" t="s">
        <v>9733</v>
      </c>
      <c r="B607" s="262" t="s">
        <v>24336</v>
      </c>
      <c r="C607" s="261" t="s">
        <v>328</v>
      </c>
      <c r="D607" s="440">
        <v>4.1243999999999996</v>
      </c>
    </row>
    <row r="608" spans="1:4">
      <c r="A608" s="261" t="s">
        <v>9734</v>
      </c>
      <c r="B608" s="262" t="s">
        <v>24337</v>
      </c>
      <c r="C608" s="261" t="s">
        <v>328</v>
      </c>
      <c r="D608" s="440">
        <v>4.9359999999999999</v>
      </c>
    </row>
    <row r="609" spans="1:4">
      <c r="A609" s="261" t="s">
        <v>9735</v>
      </c>
      <c r="B609" s="262" t="s">
        <v>24338</v>
      </c>
      <c r="C609" s="261" t="s">
        <v>328</v>
      </c>
      <c r="D609" s="440">
        <v>8.4564000000000004</v>
      </c>
    </row>
    <row r="610" spans="1:4">
      <c r="A610" s="261" t="s">
        <v>9736</v>
      </c>
      <c r="B610" s="262" t="s">
        <v>24339</v>
      </c>
      <c r="C610" s="261" t="s">
        <v>328</v>
      </c>
      <c r="D610" s="440">
        <v>12.912699999999999</v>
      </c>
    </row>
    <row r="611" spans="1:4">
      <c r="A611" s="261" t="s">
        <v>9737</v>
      </c>
      <c r="B611" s="262" t="s">
        <v>24340</v>
      </c>
      <c r="C611" s="261" t="s">
        <v>328</v>
      </c>
      <c r="D611" s="440">
        <v>18.3384</v>
      </c>
    </row>
    <row r="612" spans="1:4">
      <c r="A612" s="261" t="s">
        <v>9738</v>
      </c>
      <c r="B612" s="262" t="s">
        <v>24341</v>
      </c>
      <c r="C612" s="261" t="s">
        <v>328</v>
      </c>
      <c r="D612" s="440">
        <v>24.0702</v>
      </c>
    </row>
    <row r="613" spans="1:4">
      <c r="A613" s="261" t="s">
        <v>9739</v>
      </c>
      <c r="B613" s="262" t="s">
        <v>24342</v>
      </c>
      <c r="C613" s="261" t="s">
        <v>328</v>
      </c>
      <c r="D613" s="440">
        <v>83.560199999999995</v>
      </c>
    </row>
    <row r="614" spans="1:4">
      <c r="A614" s="261" t="s">
        <v>9740</v>
      </c>
      <c r="B614" s="262" t="s">
        <v>24343</v>
      </c>
      <c r="C614" s="261" t="s">
        <v>328</v>
      </c>
      <c r="D614" s="440">
        <v>1.4222999999999999</v>
      </c>
    </row>
    <row r="615" spans="1:4">
      <c r="A615" s="261" t="s">
        <v>9741</v>
      </c>
      <c r="B615" s="262" t="s">
        <v>24344</v>
      </c>
      <c r="C615" s="261" t="s">
        <v>327</v>
      </c>
      <c r="D615" s="440">
        <v>16.420400000000001</v>
      </c>
    </row>
    <row r="616" spans="1:4">
      <c r="A616" s="261" t="s">
        <v>9742</v>
      </c>
      <c r="B616" s="262" t="s">
        <v>24345</v>
      </c>
      <c r="C616" s="261" t="s">
        <v>331</v>
      </c>
      <c r="D616" s="440">
        <v>0.90780000000000005</v>
      </c>
    </row>
    <row r="617" spans="1:4">
      <c r="A617" s="261" t="s">
        <v>9743</v>
      </c>
      <c r="B617" s="262" t="s">
        <v>24346</v>
      </c>
      <c r="C617" s="261" t="s">
        <v>331</v>
      </c>
      <c r="D617" s="440">
        <v>0.90780000000000005</v>
      </c>
    </row>
    <row r="618" spans="1:4">
      <c r="A618" s="261" t="s">
        <v>9744</v>
      </c>
      <c r="B618" s="262" t="s">
        <v>24347</v>
      </c>
      <c r="C618" s="261" t="s">
        <v>331</v>
      </c>
      <c r="D618" s="440">
        <v>0.90780000000000005</v>
      </c>
    </row>
    <row r="619" spans="1:4">
      <c r="A619" s="261" t="s">
        <v>9745</v>
      </c>
      <c r="B619" s="262" t="s">
        <v>24348</v>
      </c>
      <c r="C619" s="261" t="s">
        <v>331</v>
      </c>
      <c r="D619" s="440">
        <v>0.90780000000000005</v>
      </c>
    </row>
    <row r="620" spans="1:4">
      <c r="A620" s="261" t="s">
        <v>9746</v>
      </c>
      <c r="B620" s="262" t="s">
        <v>24349</v>
      </c>
      <c r="C620" s="261" t="s">
        <v>331</v>
      </c>
      <c r="D620" s="440">
        <v>9.4544999999999995</v>
      </c>
    </row>
    <row r="621" spans="1:4">
      <c r="A621" s="261" t="s">
        <v>9747</v>
      </c>
      <c r="B621" s="262" t="s">
        <v>24350</v>
      </c>
      <c r="C621" s="261" t="s">
        <v>331</v>
      </c>
      <c r="D621" s="440">
        <v>9.4536999999999995</v>
      </c>
    </row>
    <row r="622" spans="1:4">
      <c r="A622" s="261" t="s">
        <v>9748</v>
      </c>
      <c r="B622" s="262" t="s">
        <v>24351</v>
      </c>
      <c r="C622" s="261" t="s">
        <v>331</v>
      </c>
      <c r="D622" s="440">
        <v>9.4578000000000007</v>
      </c>
    </row>
    <row r="623" spans="1:4">
      <c r="A623" s="261" t="s">
        <v>9749</v>
      </c>
      <c r="B623" s="262" t="s">
        <v>24352</v>
      </c>
      <c r="C623" s="261" t="s">
        <v>954</v>
      </c>
      <c r="D623" s="440">
        <v>5.4667000000000003</v>
      </c>
    </row>
    <row r="624" spans="1:4">
      <c r="A624" s="261" t="s">
        <v>9750</v>
      </c>
      <c r="B624" s="262" t="s">
        <v>24353</v>
      </c>
      <c r="C624" s="261" t="s">
        <v>331</v>
      </c>
      <c r="D624" s="440">
        <v>10.273899999999999</v>
      </c>
    </row>
    <row r="625" spans="1:4">
      <c r="A625" s="261" t="s">
        <v>9751</v>
      </c>
      <c r="B625" s="262" t="s">
        <v>24354</v>
      </c>
      <c r="C625" s="261" t="s">
        <v>34</v>
      </c>
      <c r="D625" s="440" t="s">
        <v>13</v>
      </c>
    </row>
    <row r="626" spans="1:4">
      <c r="A626" s="261" t="s">
        <v>9752</v>
      </c>
      <c r="B626" s="262" t="s">
        <v>24355</v>
      </c>
      <c r="C626" s="261" t="s">
        <v>34</v>
      </c>
      <c r="D626" s="440" t="s">
        <v>13</v>
      </c>
    </row>
    <row r="627" spans="1:4">
      <c r="A627" s="261" t="s">
        <v>9753</v>
      </c>
      <c r="B627" s="262" t="s">
        <v>24356</v>
      </c>
      <c r="C627" s="261" t="s">
        <v>34</v>
      </c>
      <c r="D627" s="440" t="s">
        <v>13</v>
      </c>
    </row>
    <row r="628" spans="1:4">
      <c r="A628" s="261" t="s">
        <v>9754</v>
      </c>
      <c r="B628" s="262" t="s">
        <v>24357</v>
      </c>
      <c r="C628" s="261" t="s">
        <v>34</v>
      </c>
      <c r="D628" s="440" t="s">
        <v>13</v>
      </c>
    </row>
    <row r="629" spans="1:4">
      <c r="A629" s="261" t="s">
        <v>9755</v>
      </c>
      <c r="B629" s="262" t="s">
        <v>24358</v>
      </c>
      <c r="C629" s="261" t="s">
        <v>34</v>
      </c>
      <c r="D629" s="440" t="s">
        <v>13</v>
      </c>
    </row>
    <row r="630" spans="1:4">
      <c r="A630" s="261" t="s">
        <v>9756</v>
      </c>
      <c r="B630" s="262" t="s">
        <v>24359</v>
      </c>
      <c r="C630" s="261" t="s">
        <v>331</v>
      </c>
      <c r="D630" s="440">
        <v>10.2752</v>
      </c>
    </row>
    <row r="631" spans="1:4">
      <c r="A631" s="261" t="s">
        <v>9757</v>
      </c>
      <c r="B631" s="262" t="s">
        <v>24360</v>
      </c>
      <c r="C631" s="261" t="s">
        <v>34</v>
      </c>
      <c r="D631" s="440" t="s">
        <v>13</v>
      </c>
    </row>
    <row r="632" spans="1:4">
      <c r="A632" s="261" t="s">
        <v>9758</v>
      </c>
      <c r="B632" s="262" t="s">
        <v>24361</v>
      </c>
      <c r="C632" s="261" t="s">
        <v>34</v>
      </c>
      <c r="D632" s="440" t="s">
        <v>13</v>
      </c>
    </row>
    <row r="633" spans="1:4">
      <c r="A633" s="261" t="s">
        <v>9759</v>
      </c>
      <c r="B633" s="262" t="s">
        <v>24362</v>
      </c>
      <c r="C633" s="261" t="s">
        <v>34</v>
      </c>
      <c r="D633" s="440" t="s">
        <v>13</v>
      </c>
    </row>
    <row r="634" spans="1:4">
      <c r="A634" s="261" t="s">
        <v>9760</v>
      </c>
      <c r="B634" s="262" t="s">
        <v>24363</v>
      </c>
      <c r="C634" s="261" t="s">
        <v>34</v>
      </c>
      <c r="D634" s="440">
        <v>9367.4037000000008</v>
      </c>
    </row>
    <row r="635" spans="1:4">
      <c r="A635" s="261" t="s">
        <v>9761</v>
      </c>
      <c r="B635" s="262" t="s">
        <v>24364</v>
      </c>
      <c r="C635" s="261" t="s">
        <v>327</v>
      </c>
      <c r="D635" s="440">
        <v>0.53090000000000004</v>
      </c>
    </row>
    <row r="636" spans="1:4">
      <c r="A636" s="261" t="s">
        <v>9762</v>
      </c>
      <c r="B636" s="262" t="s">
        <v>24365</v>
      </c>
      <c r="C636" s="261" t="s">
        <v>34</v>
      </c>
      <c r="D636" s="440" t="s">
        <v>13</v>
      </c>
    </row>
    <row r="637" spans="1:4">
      <c r="A637" s="261" t="s">
        <v>9763</v>
      </c>
      <c r="B637" s="262" t="s">
        <v>24366</v>
      </c>
      <c r="C637" s="261" t="s">
        <v>34</v>
      </c>
      <c r="D637" s="440" t="s">
        <v>13</v>
      </c>
    </row>
    <row r="638" spans="1:4">
      <c r="A638" s="261" t="s">
        <v>9764</v>
      </c>
      <c r="B638" s="262" t="s">
        <v>24367</v>
      </c>
      <c r="C638" s="261" t="s">
        <v>34</v>
      </c>
      <c r="D638" s="440" t="s">
        <v>13</v>
      </c>
    </row>
    <row r="639" spans="1:4">
      <c r="A639" s="261" t="s">
        <v>9765</v>
      </c>
      <c r="B639" s="262" t="s">
        <v>24368</v>
      </c>
      <c r="C639" s="261" t="s">
        <v>331</v>
      </c>
      <c r="D639" s="440">
        <v>12.2113</v>
      </c>
    </row>
    <row r="640" spans="1:4">
      <c r="A640" s="261" t="s">
        <v>9766</v>
      </c>
      <c r="B640" s="262" t="s">
        <v>24369</v>
      </c>
      <c r="C640" s="261" t="s">
        <v>331</v>
      </c>
      <c r="D640" s="440">
        <v>25.441400000000002</v>
      </c>
    </row>
    <row r="641" spans="1:4">
      <c r="A641" s="261" t="s">
        <v>9767</v>
      </c>
      <c r="B641" s="262" t="s">
        <v>24370</v>
      </c>
      <c r="C641" s="261" t="s">
        <v>331</v>
      </c>
      <c r="D641" s="440">
        <v>26.104700000000001</v>
      </c>
    </row>
    <row r="642" spans="1:4">
      <c r="A642" s="261" t="s">
        <v>9768</v>
      </c>
      <c r="B642" s="262" t="s">
        <v>24371</v>
      </c>
      <c r="C642" s="261" t="s">
        <v>331</v>
      </c>
      <c r="D642" s="440">
        <v>26.106300000000001</v>
      </c>
    </row>
    <row r="643" spans="1:4">
      <c r="A643" s="261" t="s">
        <v>9769</v>
      </c>
      <c r="B643" s="262" t="s">
        <v>24372</v>
      </c>
      <c r="C643" s="261" t="s">
        <v>327</v>
      </c>
      <c r="D643" s="440">
        <v>11.491199999999999</v>
      </c>
    </row>
    <row r="644" spans="1:4">
      <c r="A644" s="261" t="s">
        <v>9770</v>
      </c>
      <c r="B644" s="262" t="s">
        <v>24373</v>
      </c>
      <c r="C644" s="261" t="s">
        <v>331</v>
      </c>
      <c r="D644" s="440">
        <v>2977.4056</v>
      </c>
    </row>
    <row r="645" spans="1:4">
      <c r="A645" s="261" t="s">
        <v>9771</v>
      </c>
      <c r="B645" s="262" t="s">
        <v>24374</v>
      </c>
      <c r="C645" s="261" t="s">
        <v>331</v>
      </c>
      <c r="D645" s="440">
        <v>3688.8937000000001</v>
      </c>
    </row>
    <row r="646" spans="1:4">
      <c r="A646" s="261" t="s">
        <v>9772</v>
      </c>
      <c r="B646" s="262" t="s">
        <v>24375</v>
      </c>
      <c r="C646" s="261" t="s">
        <v>331</v>
      </c>
      <c r="D646" s="440">
        <v>1951.5372</v>
      </c>
    </row>
    <row r="647" spans="1:4">
      <c r="A647" s="261" t="s">
        <v>9773</v>
      </c>
      <c r="B647" s="262" t="s">
        <v>24376</v>
      </c>
      <c r="C647" s="261" t="s">
        <v>331</v>
      </c>
      <c r="D647" s="440">
        <v>2691.9517999999998</v>
      </c>
    </row>
    <row r="648" spans="1:4">
      <c r="A648" s="261" t="s">
        <v>9774</v>
      </c>
      <c r="B648" s="262" t="s">
        <v>24377</v>
      </c>
      <c r="C648" s="261" t="s">
        <v>331</v>
      </c>
      <c r="D648" s="440">
        <v>38.297899999999998</v>
      </c>
    </row>
    <row r="649" spans="1:4">
      <c r="A649" s="261" t="s">
        <v>9775</v>
      </c>
      <c r="B649" s="262" t="s">
        <v>24378</v>
      </c>
      <c r="C649" s="261" t="s">
        <v>331</v>
      </c>
      <c r="D649" s="440">
        <v>6708.6671999999999</v>
      </c>
    </row>
    <row r="650" spans="1:4">
      <c r="A650" s="261" t="s">
        <v>9776</v>
      </c>
      <c r="B650" s="262" t="s">
        <v>24379</v>
      </c>
      <c r="C650" s="261" t="s">
        <v>331</v>
      </c>
      <c r="D650" s="440">
        <v>40.053100000000001</v>
      </c>
    </row>
    <row r="651" spans="1:4">
      <c r="A651" s="261" t="s">
        <v>9777</v>
      </c>
      <c r="B651" s="262" t="s">
        <v>24380</v>
      </c>
      <c r="C651" s="261" t="s">
        <v>331</v>
      </c>
      <c r="D651" s="440">
        <v>398.26170000000002</v>
      </c>
    </row>
    <row r="652" spans="1:4">
      <c r="A652" s="261" t="s">
        <v>9778</v>
      </c>
      <c r="B652" s="262" t="s">
        <v>24381</v>
      </c>
      <c r="C652" s="261" t="s">
        <v>331</v>
      </c>
      <c r="D652" s="440">
        <v>398.26170000000002</v>
      </c>
    </row>
    <row r="653" spans="1:4">
      <c r="A653" s="261" t="s">
        <v>9779</v>
      </c>
      <c r="B653" s="262" t="s">
        <v>24382</v>
      </c>
      <c r="C653" s="261" t="s">
        <v>331</v>
      </c>
      <c r="D653" s="440">
        <v>59.895899999999997</v>
      </c>
    </row>
    <row r="654" spans="1:4">
      <c r="A654" s="261" t="s">
        <v>9780</v>
      </c>
      <c r="B654" s="262" t="s">
        <v>24383</v>
      </c>
      <c r="C654" s="261" t="s">
        <v>331</v>
      </c>
      <c r="D654" s="440">
        <v>79.630700000000004</v>
      </c>
    </row>
    <row r="655" spans="1:4">
      <c r="A655" s="261" t="s">
        <v>9781</v>
      </c>
      <c r="B655" s="262" t="s">
        <v>24384</v>
      </c>
      <c r="C655" s="261" t="s">
        <v>331</v>
      </c>
      <c r="D655" s="440">
        <v>111.3514</v>
      </c>
    </row>
    <row r="656" spans="1:4">
      <c r="A656" s="261" t="s">
        <v>9782</v>
      </c>
      <c r="B656" s="262" t="s">
        <v>24385</v>
      </c>
      <c r="C656" s="261" t="s">
        <v>331</v>
      </c>
      <c r="D656" s="440">
        <v>87.676400000000001</v>
      </c>
    </row>
    <row r="657" spans="1:4">
      <c r="A657" s="261" t="s">
        <v>9783</v>
      </c>
      <c r="B657" s="262" t="s">
        <v>24386</v>
      </c>
      <c r="C657" s="261" t="s">
        <v>331</v>
      </c>
      <c r="D657" s="440">
        <v>113.45869999999999</v>
      </c>
    </row>
    <row r="658" spans="1:4">
      <c r="A658" s="261" t="s">
        <v>9784</v>
      </c>
      <c r="B658" s="262" t="s">
        <v>24387</v>
      </c>
      <c r="C658" s="261" t="s">
        <v>331</v>
      </c>
      <c r="D658" s="440">
        <v>169.7337</v>
      </c>
    </row>
    <row r="659" spans="1:4">
      <c r="A659" s="261" t="s">
        <v>9785</v>
      </c>
      <c r="B659" s="262" t="s">
        <v>24388</v>
      </c>
      <c r="C659" s="261" t="s">
        <v>331</v>
      </c>
      <c r="D659" s="440">
        <v>181.7834</v>
      </c>
    </row>
    <row r="660" spans="1:4">
      <c r="A660" s="261" t="s">
        <v>9786</v>
      </c>
      <c r="B660" s="262" t="s">
        <v>24389</v>
      </c>
      <c r="C660" s="261" t="s">
        <v>331</v>
      </c>
      <c r="D660" s="440">
        <v>212.9554</v>
      </c>
    </row>
    <row r="661" spans="1:4">
      <c r="A661" s="261" t="s">
        <v>9787</v>
      </c>
      <c r="B661" s="262" t="s">
        <v>24390</v>
      </c>
      <c r="C661" s="261" t="s">
        <v>331</v>
      </c>
      <c r="D661" s="440">
        <v>237.27699999999999</v>
      </c>
    </row>
    <row r="662" spans="1:4">
      <c r="A662" s="261" t="s">
        <v>9788</v>
      </c>
      <c r="B662" s="262" t="s">
        <v>24391</v>
      </c>
      <c r="C662" s="261" t="s">
        <v>331</v>
      </c>
      <c r="D662" s="440">
        <v>319.2749</v>
      </c>
    </row>
    <row r="663" spans="1:4">
      <c r="A663" s="261" t="s">
        <v>9789</v>
      </c>
      <c r="B663" s="262" t="s">
        <v>24392</v>
      </c>
      <c r="C663" s="261" t="s">
        <v>331</v>
      </c>
      <c r="D663" s="440">
        <v>99.627399999999994</v>
      </c>
    </row>
    <row r="664" spans="1:4">
      <c r="A664" s="261" t="s">
        <v>9790</v>
      </c>
      <c r="B664" s="262" t="s">
        <v>24393</v>
      </c>
      <c r="C664" s="261" t="s">
        <v>331</v>
      </c>
      <c r="D664" s="440">
        <v>164.8963</v>
      </c>
    </row>
    <row r="665" spans="1:4">
      <c r="A665" s="261" t="s">
        <v>9791</v>
      </c>
      <c r="B665" s="262" t="s">
        <v>24394</v>
      </c>
      <c r="C665" s="261" t="s">
        <v>331</v>
      </c>
      <c r="D665" s="440">
        <v>237.09700000000001</v>
      </c>
    </row>
    <row r="666" spans="1:4">
      <c r="A666" s="261" t="s">
        <v>9792</v>
      </c>
      <c r="B666" s="262" t="s">
        <v>24395</v>
      </c>
      <c r="C666" s="261" t="s">
        <v>331</v>
      </c>
      <c r="D666" s="440">
        <v>160950.9025</v>
      </c>
    </row>
    <row r="667" spans="1:4">
      <c r="A667" s="261" t="s">
        <v>9793</v>
      </c>
      <c r="B667" s="262" t="s">
        <v>24396</v>
      </c>
      <c r="C667" s="261" t="s">
        <v>331</v>
      </c>
      <c r="D667" s="440">
        <v>204828.70610000001</v>
      </c>
    </row>
    <row r="668" spans="1:4">
      <c r="A668" s="261" t="s">
        <v>9794</v>
      </c>
      <c r="B668" s="262" t="s">
        <v>24397</v>
      </c>
      <c r="C668" s="261" t="s">
        <v>331</v>
      </c>
      <c r="D668" s="440">
        <v>213417.02309999999</v>
      </c>
    </row>
    <row r="669" spans="1:4">
      <c r="A669" s="261" t="s">
        <v>9795</v>
      </c>
      <c r="B669" s="262" t="s">
        <v>24398</v>
      </c>
      <c r="C669" s="261" t="s">
        <v>331</v>
      </c>
      <c r="D669" s="440">
        <v>225004.64379999999</v>
      </c>
    </row>
    <row r="670" spans="1:4">
      <c r="A670" s="261" t="s">
        <v>9796</v>
      </c>
      <c r="B670" s="262" t="s">
        <v>24399</v>
      </c>
      <c r="C670" s="261" t="s">
        <v>331</v>
      </c>
      <c r="D670" s="440">
        <v>235655.04149999999</v>
      </c>
    </row>
    <row r="671" spans="1:4">
      <c r="A671" s="261" t="s">
        <v>9797</v>
      </c>
      <c r="B671" s="262" t="s">
        <v>24400</v>
      </c>
      <c r="C671" s="261" t="s">
        <v>331</v>
      </c>
      <c r="D671" s="440">
        <v>14.111700000000001</v>
      </c>
    </row>
    <row r="672" spans="1:4">
      <c r="A672" s="261" t="s">
        <v>9798</v>
      </c>
      <c r="B672" s="262" t="s">
        <v>24401</v>
      </c>
      <c r="C672" s="261" t="s">
        <v>331</v>
      </c>
      <c r="D672" s="440">
        <v>249736.0814</v>
      </c>
    </row>
    <row r="673" spans="1:4">
      <c r="A673" s="261" t="s">
        <v>9799</v>
      </c>
      <c r="B673" s="262" t="s">
        <v>24402</v>
      </c>
      <c r="C673" s="261" t="s">
        <v>331</v>
      </c>
      <c r="D673" s="440">
        <v>233206.62710000001</v>
      </c>
    </row>
    <row r="674" spans="1:4">
      <c r="A674" s="261" t="s">
        <v>9800</v>
      </c>
      <c r="B674" s="262" t="s">
        <v>24403</v>
      </c>
      <c r="C674" s="261" t="s">
        <v>331</v>
      </c>
      <c r="D674" s="440">
        <v>248123.07120000001</v>
      </c>
    </row>
    <row r="675" spans="1:4">
      <c r="A675" s="261" t="s">
        <v>9801</v>
      </c>
      <c r="B675" s="262" t="s">
        <v>24404</v>
      </c>
      <c r="C675" s="261" t="s">
        <v>331</v>
      </c>
      <c r="D675" s="440">
        <v>524.20870000000002</v>
      </c>
    </row>
    <row r="676" spans="1:4">
      <c r="A676" s="261" t="s">
        <v>9802</v>
      </c>
      <c r="B676" s="262" t="s">
        <v>24405</v>
      </c>
      <c r="C676" s="261" t="s">
        <v>331</v>
      </c>
      <c r="D676" s="440">
        <v>613.31949999999995</v>
      </c>
    </row>
    <row r="677" spans="1:4">
      <c r="A677" s="261" t="s">
        <v>9803</v>
      </c>
      <c r="B677" s="262" t="s">
        <v>24406</v>
      </c>
      <c r="C677" s="261" t="s">
        <v>331</v>
      </c>
      <c r="D677" s="440">
        <v>1177.0978</v>
      </c>
    </row>
    <row r="678" spans="1:4">
      <c r="A678" s="261" t="s">
        <v>9804</v>
      </c>
      <c r="B678" s="262" t="s">
        <v>24407</v>
      </c>
      <c r="C678" s="261" t="s">
        <v>331</v>
      </c>
      <c r="D678" s="440">
        <v>2003.5286000000001</v>
      </c>
    </row>
    <row r="679" spans="1:4">
      <c r="A679" s="261" t="s">
        <v>9805</v>
      </c>
      <c r="B679" s="262" t="s">
        <v>24408</v>
      </c>
      <c r="C679" s="261" t="s">
        <v>331</v>
      </c>
      <c r="D679" s="440">
        <v>165.7936</v>
      </c>
    </row>
    <row r="680" spans="1:4">
      <c r="A680" s="261" t="s">
        <v>9806</v>
      </c>
      <c r="B680" s="262" t="s">
        <v>24409</v>
      </c>
      <c r="C680" s="261" t="s">
        <v>331</v>
      </c>
      <c r="D680" s="440">
        <v>218.0856</v>
      </c>
    </row>
    <row r="681" spans="1:4">
      <c r="A681" s="261" t="s">
        <v>9807</v>
      </c>
      <c r="B681" s="262" t="s">
        <v>24410</v>
      </c>
      <c r="C681" s="261" t="s">
        <v>331</v>
      </c>
      <c r="D681" s="440">
        <v>265.66120000000001</v>
      </c>
    </row>
    <row r="682" spans="1:4">
      <c r="A682" s="261" t="s">
        <v>9808</v>
      </c>
      <c r="B682" s="262" t="s">
        <v>24411</v>
      </c>
      <c r="C682" s="261" t="s">
        <v>331</v>
      </c>
      <c r="D682" s="440">
        <v>337.94779999999997</v>
      </c>
    </row>
    <row r="683" spans="1:4">
      <c r="A683" s="261" t="s">
        <v>9809</v>
      </c>
      <c r="B683" s="262" t="s">
        <v>24412</v>
      </c>
      <c r="C683" s="261" t="s">
        <v>331</v>
      </c>
      <c r="D683" s="440">
        <v>25.200399999999998</v>
      </c>
    </row>
    <row r="684" spans="1:4">
      <c r="A684" s="261" t="s">
        <v>9810</v>
      </c>
      <c r="B684" s="262" t="s">
        <v>24413</v>
      </c>
      <c r="C684" s="261" t="s">
        <v>331</v>
      </c>
      <c r="D684" s="440">
        <v>254591.6053</v>
      </c>
    </row>
    <row r="685" spans="1:4">
      <c r="A685" s="261" t="s">
        <v>9811</v>
      </c>
      <c r="B685" s="262" t="s">
        <v>24414</v>
      </c>
      <c r="C685" s="261" t="s">
        <v>331</v>
      </c>
      <c r="D685" s="440">
        <v>35.251300000000001</v>
      </c>
    </row>
    <row r="686" spans="1:4">
      <c r="A686" s="261" t="s">
        <v>9812</v>
      </c>
      <c r="B686" s="262" t="s">
        <v>24415</v>
      </c>
      <c r="C686" s="261" t="s">
        <v>328</v>
      </c>
      <c r="D686" s="440">
        <v>4.3703000000000003</v>
      </c>
    </row>
    <row r="687" spans="1:4">
      <c r="A687" s="261" t="s">
        <v>9813</v>
      </c>
      <c r="B687" s="262" t="s">
        <v>24416</v>
      </c>
      <c r="C687" s="261" t="s">
        <v>331</v>
      </c>
      <c r="D687" s="440">
        <v>53.446899999999999</v>
      </c>
    </row>
    <row r="688" spans="1:4">
      <c r="A688" s="261" t="s">
        <v>9814</v>
      </c>
      <c r="B688" s="262" t="s">
        <v>24417</v>
      </c>
      <c r="C688" s="261" t="s">
        <v>331</v>
      </c>
      <c r="D688" s="440">
        <v>60.133299999999998</v>
      </c>
    </row>
    <row r="689" spans="1:4">
      <c r="A689" s="261" t="s">
        <v>9815</v>
      </c>
      <c r="B689" s="262" t="s">
        <v>24418</v>
      </c>
      <c r="C689" s="261" t="s">
        <v>331</v>
      </c>
      <c r="D689" s="440">
        <v>258340.19209999999</v>
      </c>
    </row>
    <row r="690" spans="1:4">
      <c r="A690" s="261" t="s">
        <v>9816</v>
      </c>
      <c r="B690" s="262" t="s">
        <v>24419</v>
      </c>
      <c r="C690" s="261" t="s">
        <v>328</v>
      </c>
      <c r="D690" s="440">
        <v>1.9933000000000001</v>
      </c>
    </row>
    <row r="691" spans="1:4">
      <c r="A691" s="261" t="s">
        <v>9817</v>
      </c>
      <c r="B691" s="262" t="s">
        <v>24420</v>
      </c>
      <c r="C691" s="261" t="s">
        <v>331</v>
      </c>
      <c r="D691" s="440">
        <v>23.546500000000002</v>
      </c>
    </row>
    <row r="692" spans="1:4">
      <c r="A692" s="261" t="s">
        <v>9818</v>
      </c>
      <c r="B692" s="262" t="s">
        <v>24421</v>
      </c>
      <c r="C692" s="261" t="s">
        <v>328</v>
      </c>
      <c r="D692" s="440">
        <v>2.4836</v>
      </c>
    </row>
    <row r="693" spans="1:4">
      <c r="A693" s="261" t="s">
        <v>9819</v>
      </c>
      <c r="B693" s="262" t="s">
        <v>24422</v>
      </c>
      <c r="C693" s="261" t="s">
        <v>954</v>
      </c>
      <c r="D693" s="440">
        <v>53.027099999999997</v>
      </c>
    </row>
    <row r="694" spans="1:4">
      <c r="A694" s="261" t="s">
        <v>9820</v>
      </c>
      <c r="B694" s="262" t="s">
        <v>24423</v>
      </c>
      <c r="C694" s="261" t="s">
        <v>331</v>
      </c>
      <c r="D694" s="440">
        <v>1102.3288</v>
      </c>
    </row>
    <row r="695" spans="1:4">
      <c r="A695" s="261" t="s">
        <v>9821</v>
      </c>
      <c r="B695" s="262" t="s">
        <v>24424</v>
      </c>
      <c r="C695" s="261" t="s">
        <v>331</v>
      </c>
      <c r="D695" s="440">
        <v>76.514799999999994</v>
      </c>
    </row>
    <row r="696" spans="1:4">
      <c r="A696" s="261" t="s">
        <v>9822</v>
      </c>
      <c r="B696" s="262" t="s">
        <v>24425</v>
      </c>
      <c r="C696" s="261" t="s">
        <v>331</v>
      </c>
      <c r="D696" s="440">
        <v>121.49890000000001</v>
      </c>
    </row>
    <row r="697" spans="1:4">
      <c r="A697" s="261" t="s">
        <v>9823</v>
      </c>
      <c r="B697" s="262" t="s">
        <v>24426</v>
      </c>
      <c r="C697" s="261" t="s">
        <v>331</v>
      </c>
      <c r="D697" s="440">
        <v>141.89490000000001</v>
      </c>
    </row>
    <row r="698" spans="1:4">
      <c r="A698" s="261" t="s">
        <v>9824</v>
      </c>
      <c r="B698" s="262" t="s">
        <v>24427</v>
      </c>
      <c r="C698" s="261" t="s">
        <v>331</v>
      </c>
      <c r="D698" s="440">
        <v>166.12370000000001</v>
      </c>
    </row>
    <row r="699" spans="1:4">
      <c r="A699" s="261" t="s">
        <v>9825</v>
      </c>
      <c r="B699" s="262" t="s">
        <v>24428</v>
      </c>
      <c r="C699" s="261" t="s">
        <v>331</v>
      </c>
      <c r="D699" s="440">
        <v>179.24420000000001</v>
      </c>
    </row>
    <row r="700" spans="1:4">
      <c r="A700" s="261" t="s">
        <v>9826</v>
      </c>
      <c r="B700" s="262" t="s">
        <v>24429</v>
      </c>
      <c r="C700" s="261" t="s">
        <v>954</v>
      </c>
      <c r="D700" s="440">
        <v>14.569100000000001</v>
      </c>
    </row>
    <row r="701" spans="1:4">
      <c r="A701" s="261" t="s">
        <v>9827</v>
      </c>
      <c r="B701" s="262" t="s">
        <v>24430</v>
      </c>
      <c r="C701" s="261" t="s">
        <v>331</v>
      </c>
      <c r="D701" s="440">
        <v>249.203</v>
      </c>
    </row>
    <row r="702" spans="1:4">
      <c r="A702" s="261" t="s">
        <v>9828</v>
      </c>
      <c r="B702" s="262" t="s">
        <v>24431</v>
      </c>
      <c r="C702" s="261" t="s">
        <v>954</v>
      </c>
      <c r="D702" s="440">
        <v>21.825800000000001</v>
      </c>
    </row>
    <row r="703" spans="1:4">
      <c r="A703" s="261" t="s">
        <v>9829</v>
      </c>
      <c r="B703" s="262" t="s">
        <v>24432</v>
      </c>
      <c r="C703" s="261" t="s">
        <v>327</v>
      </c>
      <c r="D703" s="440">
        <v>10.1289</v>
      </c>
    </row>
    <row r="704" spans="1:4">
      <c r="A704" s="261" t="s">
        <v>9830</v>
      </c>
      <c r="B704" s="262" t="s">
        <v>24433</v>
      </c>
      <c r="C704" s="261" t="s">
        <v>327</v>
      </c>
      <c r="D704" s="440">
        <v>10.258699999999999</v>
      </c>
    </row>
    <row r="705" spans="1:4">
      <c r="A705" s="261" t="s">
        <v>9831</v>
      </c>
      <c r="B705" s="262" t="s">
        <v>24434</v>
      </c>
      <c r="C705" s="261" t="s">
        <v>327</v>
      </c>
      <c r="D705" s="440">
        <v>12.0747</v>
      </c>
    </row>
    <row r="706" spans="1:4">
      <c r="A706" s="261" t="s">
        <v>9832</v>
      </c>
      <c r="B706" s="262" t="s">
        <v>24435</v>
      </c>
      <c r="C706" s="261" t="s">
        <v>327</v>
      </c>
      <c r="D706" s="440">
        <v>31.279299999999999</v>
      </c>
    </row>
    <row r="707" spans="1:4">
      <c r="A707" s="261" t="s">
        <v>9833</v>
      </c>
      <c r="B707" s="262" t="s">
        <v>24436</v>
      </c>
      <c r="C707" s="261" t="s">
        <v>327</v>
      </c>
      <c r="D707" s="440">
        <v>13.9724</v>
      </c>
    </row>
    <row r="708" spans="1:4">
      <c r="A708" s="261" t="s">
        <v>9834</v>
      </c>
      <c r="B708" s="262" t="s">
        <v>24437</v>
      </c>
      <c r="C708" s="261" t="s">
        <v>954</v>
      </c>
      <c r="D708" s="440">
        <v>21.825800000000001</v>
      </c>
    </row>
    <row r="709" spans="1:4">
      <c r="A709" s="261" t="s">
        <v>9835</v>
      </c>
      <c r="B709" s="262" t="s">
        <v>24438</v>
      </c>
      <c r="C709" s="261" t="s">
        <v>327</v>
      </c>
      <c r="D709" s="440">
        <v>10.075699999999999</v>
      </c>
    </row>
    <row r="710" spans="1:4">
      <c r="A710" s="261" t="s">
        <v>9836</v>
      </c>
      <c r="B710" s="262" t="s">
        <v>24439</v>
      </c>
      <c r="C710" s="261" t="s">
        <v>331</v>
      </c>
      <c r="D710" s="440">
        <v>1609.8693000000001</v>
      </c>
    </row>
    <row r="711" spans="1:4">
      <c r="A711" s="261" t="s">
        <v>9837</v>
      </c>
      <c r="B711" s="262" t="s">
        <v>24440</v>
      </c>
      <c r="C711" s="261" t="s">
        <v>328</v>
      </c>
      <c r="D711" s="440">
        <v>127.00579999999999</v>
      </c>
    </row>
    <row r="712" spans="1:4">
      <c r="A712" s="261" t="s">
        <v>9838</v>
      </c>
      <c r="B712" s="262" t="s">
        <v>24441</v>
      </c>
      <c r="C712" s="261" t="s">
        <v>328</v>
      </c>
      <c r="D712" s="440">
        <v>150.48929999999999</v>
      </c>
    </row>
    <row r="713" spans="1:4">
      <c r="A713" s="261" t="s">
        <v>9839</v>
      </c>
      <c r="B713" s="262" t="s">
        <v>24442</v>
      </c>
      <c r="C713" s="261" t="s">
        <v>328</v>
      </c>
      <c r="D713" s="440">
        <v>185.04409999999999</v>
      </c>
    </row>
    <row r="714" spans="1:4">
      <c r="A714" s="261" t="s">
        <v>9840</v>
      </c>
      <c r="B714" s="262" t="s">
        <v>24443</v>
      </c>
      <c r="C714" s="261" t="s">
        <v>325</v>
      </c>
      <c r="D714" s="440">
        <v>5.3636999999999997</v>
      </c>
    </row>
    <row r="715" spans="1:4">
      <c r="A715" s="261" t="s">
        <v>9841</v>
      </c>
      <c r="B715" s="262" t="s">
        <v>24444</v>
      </c>
      <c r="C715" s="261" t="s">
        <v>325</v>
      </c>
      <c r="D715" s="440">
        <v>7.3696999999999999</v>
      </c>
    </row>
    <row r="716" spans="1:4">
      <c r="A716" s="261" t="s">
        <v>9842</v>
      </c>
      <c r="B716" s="262" t="s">
        <v>24445</v>
      </c>
      <c r="C716" s="261" t="s">
        <v>328</v>
      </c>
      <c r="D716" s="440">
        <v>208.71950000000001</v>
      </c>
    </row>
    <row r="717" spans="1:4">
      <c r="A717" s="261" t="s">
        <v>9843</v>
      </c>
      <c r="B717" s="262" t="s">
        <v>24446</v>
      </c>
      <c r="C717" s="261" t="s">
        <v>328</v>
      </c>
      <c r="D717" s="440">
        <v>318.56209999999999</v>
      </c>
    </row>
    <row r="718" spans="1:4">
      <c r="A718" s="261" t="s">
        <v>9844</v>
      </c>
      <c r="B718" s="262" t="s">
        <v>24447</v>
      </c>
      <c r="C718" s="261" t="s">
        <v>328</v>
      </c>
      <c r="D718" s="440">
        <v>111.8476</v>
      </c>
    </row>
    <row r="719" spans="1:4">
      <c r="A719" s="261" t="s">
        <v>9845</v>
      </c>
      <c r="B719" s="262" t="s">
        <v>24448</v>
      </c>
      <c r="C719" s="261" t="s">
        <v>328</v>
      </c>
      <c r="D719" s="440">
        <v>185.03120000000001</v>
      </c>
    </row>
    <row r="720" spans="1:4">
      <c r="A720" s="261" t="s">
        <v>9846</v>
      </c>
      <c r="B720" s="262" t="s">
        <v>24449</v>
      </c>
      <c r="C720" s="261" t="s">
        <v>328</v>
      </c>
      <c r="D720" s="440">
        <v>205.86240000000001</v>
      </c>
    </row>
    <row r="721" spans="1:4">
      <c r="A721" s="261" t="s">
        <v>9847</v>
      </c>
      <c r="B721" s="262" t="s">
        <v>24450</v>
      </c>
      <c r="C721" s="261" t="s">
        <v>328</v>
      </c>
      <c r="D721" s="440">
        <v>235.55690000000001</v>
      </c>
    </row>
    <row r="722" spans="1:4">
      <c r="A722" s="261" t="s">
        <v>9848</v>
      </c>
      <c r="B722" s="262" t="s">
        <v>24451</v>
      </c>
      <c r="C722" s="261" t="s">
        <v>328</v>
      </c>
      <c r="D722" s="440">
        <v>328.63069999999999</v>
      </c>
    </row>
    <row r="723" spans="1:4">
      <c r="A723" s="261" t="s">
        <v>9849</v>
      </c>
      <c r="B723" s="262" t="s">
        <v>24452</v>
      </c>
      <c r="C723" s="261" t="s">
        <v>328</v>
      </c>
      <c r="D723" s="440">
        <v>369.82889999999998</v>
      </c>
    </row>
    <row r="724" spans="1:4">
      <c r="A724" s="261" t="s">
        <v>9850</v>
      </c>
      <c r="B724" s="262" t="s">
        <v>24453</v>
      </c>
      <c r="C724" s="261" t="s">
        <v>331</v>
      </c>
      <c r="D724" s="440">
        <v>263247.48369999998</v>
      </c>
    </row>
    <row r="725" spans="1:4">
      <c r="A725" s="261" t="s">
        <v>9851</v>
      </c>
      <c r="B725" s="262" t="s">
        <v>24454</v>
      </c>
      <c r="C725" s="261" t="s">
        <v>331</v>
      </c>
      <c r="D725" s="440">
        <v>268905.58899999998</v>
      </c>
    </row>
    <row r="726" spans="1:4">
      <c r="A726" s="261" t="s">
        <v>9852</v>
      </c>
      <c r="B726" s="262" t="s">
        <v>24455</v>
      </c>
      <c r="C726" s="261" t="s">
        <v>331</v>
      </c>
      <c r="D726" s="440">
        <v>721.0317</v>
      </c>
    </row>
    <row r="727" spans="1:4">
      <c r="A727" s="261" t="s">
        <v>9853</v>
      </c>
      <c r="B727" s="262" t="s">
        <v>24456</v>
      </c>
      <c r="C727" s="261" t="s">
        <v>328</v>
      </c>
      <c r="D727" s="440">
        <v>460.55619999999999</v>
      </c>
    </row>
    <row r="728" spans="1:4">
      <c r="A728" s="261" t="s">
        <v>9854</v>
      </c>
      <c r="B728" s="262" t="s">
        <v>24457</v>
      </c>
      <c r="C728" s="261" t="s">
        <v>325</v>
      </c>
      <c r="D728" s="440">
        <v>315.72000000000003</v>
      </c>
    </row>
    <row r="729" spans="1:4">
      <c r="A729" s="261" t="s">
        <v>9855</v>
      </c>
      <c r="B729" s="262" t="s">
        <v>24458</v>
      </c>
      <c r="C729" s="261" t="s">
        <v>331</v>
      </c>
      <c r="D729" s="440">
        <v>1805.7442000000001</v>
      </c>
    </row>
    <row r="730" spans="1:4">
      <c r="A730" s="261" t="s">
        <v>9856</v>
      </c>
      <c r="B730" s="262" t="s">
        <v>24459</v>
      </c>
      <c r="C730" s="261" t="s">
        <v>331</v>
      </c>
      <c r="D730" s="440">
        <v>366.05650000000003</v>
      </c>
    </row>
    <row r="731" spans="1:4">
      <c r="A731" s="261" t="s">
        <v>9857</v>
      </c>
      <c r="B731" s="262" t="s">
        <v>24460</v>
      </c>
      <c r="C731" s="261" t="s">
        <v>331</v>
      </c>
      <c r="D731" s="440">
        <v>1007.3136</v>
      </c>
    </row>
    <row r="732" spans="1:4">
      <c r="A732" s="261" t="s">
        <v>9858</v>
      </c>
      <c r="B732" s="262" t="s">
        <v>24461</v>
      </c>
      <c r="C732" s="261" t="s">
        <v>328</v>
      </c>
      <c r="D732" s="440">
        <v>496.02300000000002</v>
      </c>
    </row>
    <row r="733" spans="1:4">
      <c r="A733" s="261" t="s">
        <v>9859</v>
      </c>
      <c r="B733" s="262" t="s">
        <v>24462</v>
      </c>
      <c r="C733" s="261" t="s">
        <v>331</v>
      </c>
      <c r="D733" s="440">
        <v>4173.4164000000001</v>
      </c>
    </row>
    <row r="734" spans="1:4">
      <c r="A734" s="261" t="s">
        <v>9860</v>
      </c>
      <c r="B734" s="262" t="s">
        <v>24463</v>
      </c>
      <c r="C734" s="261" t="s">
        <v>331</v>
      </c>
      <c r="D734" s="440">
        <v>610.75919999999996</v>
      </c>
    </row>
    <row r="735" spans="1:4">
      <c r="A735" s="261" t="s">
        <v>9861</v>
      </c>
      <c r="B735" s="262" t="s">
        <v>24464</v>
      </c>
      <c r="C735" s="261" t="s">
        <v>331</v>
      </c>
      <c r="D735" s="440">
        <v>282.43349999999998</v>
      </c>
    </row>
    <row r="736" spans="1:4">
      <c r="A736" s="261" t="s">
        <v>9862</v>
      </c>
      <c r="B736" s="262" t="s">
        <v>24465</v>
      </c>
      <c r="C736" s="261" t="s">
        <v>331</v>
      </c>
      <c r="D736" s="440">
        <v>1437.5741</v>
      </c>
    </row>
    <row r="737" spans="1:4">
      <c r="A737" s="261" t="s">
        <v>9863</v>
      </c>
      <c r="B737" s="262" t="s">
        <v>24466</v>
      </c>
      <c r="C737" s="261" t="s">
        <v>331</v>
      </c>
      <c r="D737" s="440">
        <v>5576.9566000000004</v>
      </c>
    </row>
    <row r="738" spans="1:4">
      <c r="A738" s="261" t="s">
        <v>9864</v>
      </c>
      <c r="B738" s="262" t="s">
        <v>24467</v>
      </c>
      <c r="C738" s="261" t="s">
        <v>331</v>
      </c>
      <c r="D738" s="440">
        <v>5456.9978000000001</v>
      </c>
    </row>
    <row r="739" spans="1:4">
      <c r="A739" s="261" t="s">
        <v>9865</v>
      </c>
      <c r="B739" s="262" t="s">
        <v>24468</v>
      </c>
      <c r="C739" s="261" t="s">
        <v>328</v>
      </c>
      <c r="D739" s="440">
        <v>8.5500000000000007E-2</v>
      </c>
    </row>
    <row r="740" spans="1:4">
      <c r="A740" s="261" t="s">
        <v>9866</v>
      </c>
      <c r="B740" s="262" t="s">
        <v>24469</v>
      </c>
      <c r="C740" s="261" t="s">
        <v>331</v>
      </c>
      <c r="D740" s="440">
        <v>240.6473</v>
      </c>
    </row>
    <row r="741" spans="1:4">
      <c r="A741" s="261" t="s">
        <v>9867</v>
      </c>
      <c r="B741" s="262" t="s">
        <v>24470</v>
      </c>
      <c r="C741" s="261" t="s">
        <v>331</v>
      </c>
      <c r="D741" s="440">
        <v>167.6258</v>
      </c>
    </row>
    <row r="742" spans="1:4">
      <c r="A742" s="261" t="s">
        <v>9868</v>
      </c>
      <c r="B742" s="262" t="s">
        <v>24471</v>
      </c>
      <c r="C742" s="261" t="s">
        <v>331</v>
      </c>
      <c r="D742" s="440">
        <v>86.173000000000002</v>
      </c>
    </row>
    <row r="743" spans="1:4">
      <c r="A743" s="261" t="s">
        <v>9869</v>
      </c>
      <c r="B743" s="262" t="s">
        <v>24472</v>
      </c>
      <c r="C743" s="261" t="s">
        <v>331</v>
      </c>
      <c r="D743" s="440">
        <v>74.5077</v>
      </c>
    </row>
    <row r="744" spans="1:4">
      <c r="A744" s="261" t="s">
        <v>9870</v>
      </c>
      <c r="B744" s="262" t="s">
        <v>24473</v>
      </c>
      <c r="C744" s="261" t="s">
        <v>331</v>
      </c>
      <c r="D744" s="440">
        <v>60.752099999999999</v>
      </c>
    </row>
    <row r="745" spans="1:4">
      <c r="A745" s="261" t="s">
        <v>9871</v>
      </c>
      <c r="B745" s="262" t="s">
        <v>24474</v>
      </c>
      <c r="C745" s="261" t="s">
        <v>34</v>
      </c>
      <c r="D745" s="440" t="s">
        <v>13</v>
      </c>
    </row>
    <row r="746" spans="1:4">
      <c r="A746" s="261" t="s">
        <v>9872</v>
      </c>
      <c r="B746" s="262" t="s">
        <v>24475</v>
      </c>
      <c r="C746" s="261" t="s">
        <v>326</v>
      </c>
      <c r="D746" s="440" t="s">
        <v>13</v>
      </c>
    </row>
    <row r="747" spans="1:4">
      <c r="A747" s="261" t="s">
        <v>9873</v>
      </c>
      <c r="B747" s="262" t="s">
        <v>24476</v>
      </c>
      <c r="C747" s="261" t="s">
        <v>331</v>
      </c>
      <c r="D747" s="440">
        <v>44.624099999999999</v>
      </c>
    </row>
    <row r="748" spans="1:4">
      <c r="A748" s="261" t="s">
        <v>9874</v>
      </c>
      <c r="B748" s="262" t="s">
        <v>24477</v>
      </c>
      <c r="C748" s="261" t="s">
        <v>331</v>
      </c>
      <c r="D748" s="440">
        <v>64.425700000000006</v>
      </c>
    </row>
    <row r="749" spans="1:4">
      <c r="A749" s="261" t="s">
        <v>9875</v>
      </c>
      <c r="B749" s="262" t="s">
        <v>24478</v>
      </c>
      <c r="C749" s="261" t="s">
        <v>331</v>
      </c>
      <c r="D749" s="440">
        <v>119.83150000000001</v>
      </c>
    </row>
    <row r="750" spans="1:4">
      <c r="A750" s="261" t="s">
        <v>9876</v>
      </c>
      <c r="B750" s="262" t="s">
        <v>24479</v>
      </c>
      <c r="C750" s="261" t="s">
        <v>34</v>
      </c>
      <c r="D750" s="440" t="s">
        <v>13</v>
      </c>
    </row>
    <row r="751" spans="1:4">
      <c r="A751" s="261" t="s">
        <v>9877</v>
      </c>
      <c r="B751" s="262" t="s">
        <v>24480</v>
      </c>
      <c r="C751" s="261" t="s">
        <v>331</v>
      </c>
      <c r="D751" s="440">
        <v>77.589699999999993</v>
      </c>
    </row>
    <row r="752" spans="1:4">
      <c r="A752" s="261" t="s">
        <v>9878</v>
      </c>
      <c r="B752" s="262" t="s">
        <v>24481</v>
      </c>
      <c r="C752" s="261" t="s">
        <v>331</v>
      </c>
      <c r="D752" s="440">
        <v>44.825699999999998</v>
      </c>
    </row>
    <row r="753" spans="1:4">
      <c r="A753" s="261" t="s">
        <v>9879</v>
      </c>
      <c r="B753" s="262" t="s">
        <v>24482</v>
      </c>
      <c r="C753" s="261" t="s">
        <v>327</v>
      </c>
      <c r="D753" s="440">
        <v>12.0284</v>
      </c>
    </row>
    <row r="754" spans="1:4">
      <c r="A754" s="261" t="s">
        <v>9880</v>
      </c>
      <c r="B754" s="262" t="s">
        <v>24483</v>
      </c>
      <c r="C754" s="261" t="s">
        <v>327</v>
      </c>
      <c r="D754" s="440">
        <v>12.4801</v>
      </c>
    </row>
    <row r="755" spans="1:4">
      <c r="A755" s="261" t="s">
        <v>9881</v>
      </c>
      <c r="B755" s="262" t="s">
        <v>24484</v>
      </c>
      <c r="C755" s="261" t="s">
        <v>327</v>
      </c>
      <c r="D755" s="440">
        <v>12.5947</v>
      </c>
    </row>
    <row r="756" spans="1:4">
      <c r="A756" s="261" t="s">
        <v>9882</v>
      </c>
      <c r="B756" s="262" t="s">
        <v>24485</v>
      </c>
      <c r="C756" s="261" t="s">
        <v>327</v>
      </c>
      <c r="D756" s="440">
        <v>12.825100000000001</v>
      </c>
    </row>
    <row r="757" spans="1:4">
      <c r="A757" s="261" t="s">
        <v>9883</v>
      </c>
      <c r="B757" s="262" t="s">
        <v>24486</v>
      </c>
      <c r="C757" s="261" t="s">
        <v>327</v>
      </c>
      <c r="D757" s="440">
        <v>12.897399999999999</v>
      </c>
    </row>
    <row r="758" spans="1:4">
      <c r="A758" s="261" t="s">
        <v>9884</v>
      </c>
      <c r="B758" s="262" t="s">
        <v>24487</v>
      </c>
      <c r="C758" s="261" t="s">
        <v>327</v>
      </c>
      <c r="D758" s="440">
        <v>13.103</v>
      </c>
    </row>
    <row r="759" spans="1:4">
      <c r="A759" s="261" t="s">
        <v>9885</v>
      </c>
      <c r="B759" s="262" t="s">
        <v>24488</v>
      </c>
      <c r="C759" s="261" t="s">
        <v>331</v>
      </c>
      <c r="D759" s="440">
        <v>24276.706999999999</v>
      </c>
    </row>
    <row r="760" spans="1:4">
      <c r="A760" s="261" t="s">
        <v>9886</v>
      </c>
      <c r="B760" s="262" t="s">
        <v>24489</v>
      </c>
      <c r="C760" s="261" t="s">
        <v>331</v>
      </c>
      <c r="D760" s="440">
        <v>31452.362700000001</v>
      </c>
    </row>
    <row r="761" spans="1:4">
      <c r="A761" s="261" t="s">
        <v>9887</v>
      </c>
      <c r="B761" s="262" t="s">
        <v>24490</v>
      </c>
      <c r="C761" s="261" t="s">
        <v>331</v>
      </c>
      <c r="D761" s="440">
        <v>21887.576000000001</v>
      </c>
    </row>
    <row r="762" spans="1:4">
      <c r="A762" s="261" t="s">
        <v>9888</v>
      </c>
      <c r="B762" s="262" t="s">
        <v>24491</v>
      </c>
      <c r="C762" s="261" t="s">
        <v>331</v>
      </c>
      <c r="D762" s="440">
        <v>23954.570100000001</v>
      </c>
    </row>
    <row r="763" spans="1:4">
      <c r="A763" s="261" t="s">
        <v>9889</v>
      </c>
      <c r="B763" s="262" t="s">
        <v>24492</v>
      </c>
      <c r="C763" s="261" t="s">
        <v>331</v>
      </c>
      <c r="D763" s="440">
        <v>2889.0671000000002</v>
      </c>
    </row>
    <row r="764" spans="1:4">
      <c r="A764" s="261" t="s">
        <v>9890</v>
      </c>
      <c r="B764" s="262" t="s">
        <v>24493</v>
      </c>
      <c r="C764" s="261" t="s">
        <v>331</v>
      </c>
      <c r="D764" s="440">
        <v>2151.2721999999999</v>
      </c>
    </row>
    <row r="765" spans="1:4">
      <c r="A765" s="261" t="s">
        <v>9891</v>
      </c>
      <c r="B765" s="262" t="s">
        <v>24494</v>
      </c>
      <c r="C765" s="261" t="s">
        <v>328</v>
      </c>
      <c r="D765" s="440">
        <v>39.0852</v>
      </c>
    </row>
    <row r="766" spans="1:4">
      <c r="A766" s="261" t="s">
        <v>9892</v>
      </c>
      <c r="B766" s="262" t="s">
        <v>24495</v>
      </c>
      <c r="C766" s="261" t="s">
        <v>328</v>
      </c>
      <c r="D766" s="440">
        <v>595.4</v>
      </c>
    </row>
    <row r="767" spans="1:4">
      <c r="A767" s="261" t="s">
        <v>9893</v>
      </c>
      <c r="B767" s="262" t="s">
        <v>24496</v>
      </c>
      <c r="C767" s="261" t="s">
        <v>331</v>
      </c>
      <c r="D767" s="440">
        <v>64.918300000000002</v>
      </c>
    </row>
    <row r="768" spans="1:4">
      <c r="A768" s="261" t="s">
        <v>9894</v>
      </c>
      <c r="B768" s="262" t="s">
        <v>24497</v>
      </c>
      <c r="C768" s="261" t="s">
        <v>954</v>
      </c>
      <c r="D768" s="440">
        <v>30.9892</v>
      </c>
    </row>
    <row r="769" spans="1:4">
      <c r="A769" s="261" t="s">
        <v>9895</v>
      </c>
      <c r="B769" s="262" t="s">
        <v>24498</v>
      </c>
      <c r="C769" s="261" t="s">
        <v>327</v>
      </c>
      <c r="D769" s="440">
        <v>31.983699999999999</v>
      </c>
    </row>
    <row r="770" spans="1:4">
      <c r="A770" s="261" t="s">
        <v>9896</v>
      </c>
      <c r="B770" s="262" t="s">
        <v>24499</v>
      </c>
      <c r="C770" s="261" t="s">
        <v>331</v>
      </c>
      <c r="D770" s="440">
        <v>24.0778</v>
      </c>
    </row>
    <row r="771" spans="1:4">
      <c r="A771" s="261" t="s">
        <v>9897</v>
      </c>
      <c r="B771" s="262" t="s">
        <v>24500</v>
      </c>
      <c r="C771" s="261" t="s">
        <v>328</v>
      </c>
      <c r="D771" s="440">
        <v>13.8392</v>
      </c>
    </row>
    <row r="772" spans="1:4">
      <c r="A772" s="261" t="s">
        <v>9898</v>
      </c>
      <c r="B772" s="262" t="s">
        <v>24501</v>
      </c>
      <c r="C772" s="261" t="s">
        <v>331</v>
      </c>
      <c r="D772" s="440">
        <v>20.898099999999999</v>
      </c>
    </row>
    <row r="773" spans="1:4">
      <c r="A773" s="261" t="s">
        <v>9899</v>
      </c>
      <c r="B773" s="262" t="s">
        <v>24502</v>
      </c>
      <c r="C773" s="261" t="s">
        <v>331</v>
      </c>
      <c r="D773" s="440">
        <v>1106.7011</v>
      </c>
    </row>
    <row r="774" spans="1:4">
      <c r="A774" s="261" t="s">
        <v>9900</v>
      </c>
      <c r="B774" s="262" t="s">
        <v>24503</v>
      </c>
      <c r="C774" s="261" t="s">
        <v>331</v>
      </c>
      <c r="D774" s="440">
        <v>15.3752</v>
      </c>
    </row>
    <row r="775" spans="1:4">
      <c r="A775" s="261" t="s">
        <v>9901</v>
      </c>
      <c r="B775" s="262" t="s">
        <v>24504</v>
      </c>
      <c r="C775" s="261" t="s">
        <v>331</v>
      </c>
      <c r="D775" s="440">
        <v>17.9559</v>
      </c>
    </row>
    <row r="776" spans="1:4">
      <c r="A776" s="261" t="s">
        <v>9902</v>
      </c>
      <c r="B776" s="262" t="s">
        <v>24505</v>
      </c>
      <c r="C776" s="261" t="s">
        <v>331</v>
      </c>
      <c r="D776" s="440">
        <v>19.899999999999999</v>
      </c>
    </row>
    <row r="777" spans="1:4">
      <c r="A777" s="261" t="s">
        <v>9903</v>
      </c>
      <c r="B777" s="262" t="s">
        <v>24506</v>
      </c>
      <c r="C777" s="261" t="s">
        <v>331</v>
      </c>
      <c r="D777" s="440">
        <v>16.8</v>
      </c>
    </row>
    <row r="778" spans="1:4">
      <c r="A778" s="261" t="s">
        <v>9904</v>
      </c>
      <c r="B778" s="262" t="s">
        <v>24507</v>
      </c>
      <c r="C778" s="261" t="s">
        <v>331</v>
      </c>
      <c r="D778" s="440">
        <v>926.40269999999998</v>
      </c>
    </row>
    <row r="779" spans="1:4">
      <c r="A779" s="261" t="s">
        <v>9905</v>
      </c>
      <c r="B779" s="262" t="s">
        <v>24508</v>
      </c>
      <c r="C779" s="261" t="s">
        <v>331</v>
      </c>
      <c r="D779" s="440">
        <v>221.9761</v>
      </c>
    </row>
    <row r="780" spans="1:4">
      <c r="A780" s="261" t="s">
        <v>9906</v>
      </c>
      <c r="B780" s="262" t="s">
        <v>24509</v>
      </c>
      <c r="C780" s="261" t="s">
        <v>331</v>
      </c>
      <c r="D780" s="440">
        <v>51.778199999999998</v>
      </c>
    </row>
    <row r="781" spans="1:4">
      <c r="A781" s="261" t="s">
        <v>9907</v>
      </c>
      <c r="B781" s="262" t="s">
        <v>24510</v>
      </c>
      <c r="C781" s="261" t="s">
        <v>331</v>
      </c>
      <c r="D781" s="440">
        <v>411.40870000000001</v>
      </c>
    </row>
    <row r="782" spans="1:4">
      <c r="A782" s="261" t="s">
        <v>9908</v>
      </c>
      <c r="B782" s="262" t="s">
        <v>24511</v>
      </c>
      <c r="C782" s="261" t="s">
        <v>327</v>
      </c>
      <c r="D782" s="440">
        <v>45.478099999999998</v>
      </c>
    </row>
    <row r="783" spans="1:4">
      <c r="A783" s="261" t="s">
        <v>9909</v>
      </c>
      <c r="B783" s="262" t="s">
        <v>24512</v>
      </c>
      <c r="C783" s="261" t="s">
        <v>327</v>
      </c>
      <c r="D783" s="440">
        <v>12.472799999999999</v>
      </c>
    </row>
    <row r="784" spans="1:4">
      <c r="A784" s="261" t="s">
        <v>9910</v>
      </c>
      <c r="B784" s="262" t="s">
        <v>24513</v>
      </c>
      <c r="C784" s="261" t="s">
        <v>331</v>
      </c>
      <c r="D784" s="440">
        <v>2076.9258</v>
      </c>
    </row>
    <row r="785" spans="1:4">
      <c r="A785" s="261" t="s">
        <v>9911</v>
      </c>
      <c r="B785" s="262" t="s">
        <v>24514</v>
      </c>
      <c r="C785" s="261" t="s">
        <v>331</v>
      </c>
      <c r="D785" s="440">
        <v>1795.0606</v>
      </c>
    </row>
    <row r="786" spans="1:4">
      <c r="A786" s="261" t="s">
        <v>9912</v>
      </c>
      <c r="B786" s="262" t="s">
        <v>24515</v>
      </c>
      <c r="C786" s="261" t="s">
        <v>327</v>
      </c>
      <c r="D786" s="440">
        <v>22.47</v>
      </c>
    </row>
    <row r="787" spans="1:4">
      <c r="A787" s="261" t="s">
        <v>9913</v>
      </c>
      <c r="B787" s="262" t="s">
        <v>24516</v>
      </c>
      <c r="C787" s="261" t="s">
        <v>328</v>
      </c>
      <c r="D787" s="440">
        <v>19.413799999999998</v>
      </c>
    </row>
    <row r="788" spans="1:4">
      <c r="A788" s="261" t="s">
        <v>9914</v>
      </c>
      <c r="B788" s="262" t="s">
        <v>24517</v>
      </c>
      <c r="C788" s="261" t="s">
        <v>331</v>
      </c>
      <c r="D788" s="440">
        <v>478.05110000000002</v>
      </c>
    </row>
    <row r="789" spans="1:4">
      <c r="A789" s="261" t="s">
        <v>9915</v>
      </c>
      <c r="B789" s="262" t="s">
        <v>24518</v>
      </c>
      <c r="C789" s="261" t="s">
        <v>328</v>
      </c>
      <c r="D789" s="440">
        <v>124.0784</v>
      </c>
    </row>
    <row r="790" spans="1:4">
      <c r="A790" s="261" t="s">
        <v>9916</v>
      </c>
      <c r="B790" s="262" t="s">
        <v>24519</v>
      </c>
      <c r="C790" s="261" t="s">
        <v>328</v>
      </c>
      <c r="D790" s="440">
        <v>138.61600000000001</v>
      </c>
    </row>
    <row r="791" spans="1:4">
      <c r="A791" s="261" t="s">
        <v>9917</v>
      </c>
      <c r="B791" s="262" t="s">
        <v>24520</v>
      </c>
      <c r="C791" s="261" t="s">
        <v>328</v>
      </c>
      <c r="D791" s="440">
        <v>142.27809999999999</v>
      </c>
    </row>
    <row r="792" spans="1:4">
      <c r="A792" s="261" t="s">
        <v>9918</v>
      </c>
      <c r="B792" s="262" t="s">
        <v>24521</v>
      </c>
      <c r="C792" s="261" t="s">
        <v>328</v>
      </c>
      <c r="D792" s="440">
        <v>181.0941</v>
      </c>
    </row>
    <row r="793" spans="1:4">
      <c r="A793" s="261" t="s">
        <v>9919</v>
      </c>
      <c r="B793" s="262" t="s">
        <v>24522</v>
      </c>
      <c r="C793" s="261" t="s">
        <v>328</v>
      </c>
      <c r="D793" s="440">
        <v>188</v>
      </c>
    </row>
    <row r="794" spans="1:4">
      <c r="A794" s="261" t="s">
        <v>9920</v>
      </c>
      <c r="B794" s="262" t="s">
        <v>24523</v>
      </c>
      <c r="C794" s="261" t="s">
        <v>328</v>
      </c>
      <c r="D794" s="440">
        <v>217.84620000000001</v>
      </c>
    </row>
    <row r="795" spans="1:4">
      <c r="A795" s="261" t="s">
        <v>9921</v>
      </c>
      <c r="B795" s="262" t="s">
        <v>24524</v>
      </c>
      <c r="C795" s="261" t="s">
        <v>328</v>
      </c>
      <c r="D795" s="440">
        <v>255.60120000000001</v>
      </c>
    </row>
    <row r="796" spans="1:4">
      <c r="A796" s="261" t="s">
        <v>9922</v>
      </c>
      <c r="B796" s="262" t="s">
        <v>24525</v>
      </c>
      <c r="C796" s="261" t="s">
        <v>328</v>
      </c>
      <c r="D796" s="440">
        <v>326.67309999999998</v>
      </c>
    </row>
    <row r="797" spans="1:4">
      <c r="A797" s="261" t="s">
        <v>9923</v>
      </c>
      <c r="B797" s="262" t="s">
        <v>24526</v>
      </c>
      <c r="C797" s="261" t="s">
        <v>328</v>
      </c>
      <c r="D797" s="440">
        <v>369.55549999999999</v>
      </c>
    </row>
    <row r="798" spans="1:4">
      <c r="A798" s="261" t="s">
        <v>9924</v>
      </c>
      <c r="B798" s="262" t="s">
        <v>24527</v>
      </c>
      <c r="C798" s="261" t="s">
        <v>328</v>
      </c>
      <c r="D798" s="440">
        <v>404.73070000000001</v>
      </c>
    </row>
    <row r="799" spans="1:4">
      <c r="A799" s="261" t="s">
        <v>9925</v>
      </c>
      <c r="B799" s="262" t="s">
        <v>24528</v>
      </c>
      <c r="C799" s="261" t="s">
        <v>328</v>
      </c>
      <c r="D799" s="440">
        <v>439.58210000000003</v>
      </c>
    </row>
    <row r="800" spans="1:4">
      <c r="A800" s="261" t="s">
        <v>9926</v>
      </c>
      <c r="B800" s="262" t="s">
        <v>24529</v>
      </c>
      <c r="C800" s="261" t="s">
        <v>328</v>
      </c>
      <c r="D800" s="440">
        <v>456.9051</v>
      </c>
    </row>
    <row r="801" spans="1:4">
      <c r="A801" s="261" t="s">
        <v>9927</v>
      </c>
      <c r="B801" s="262" t="s">
        <v>24530</v>
      </c>
      <c r="C801" s="261" t="s">
        <v>328</v>
      </c>
      <c r="D801" s="440">
        <v>456.46660000000003</v>
      </c>
    </row>
    <row r="802" spans="1:4">
      <c r="A802" s="261" t="s">
        <v>9928</v>
      </c>
      <c r="B802" s="262" t="s">
        <v>24531</v>
      </c>
      <c r="C802" s="261" t="s">
        <v>328</v>
      </c>
      <c r="D802" s="440">
        <v>534.58569999999997</v>
      </c>
    </row>
    <row r="803" spans="1:4">
      <c r="A803" s="261" t="s">
        <v>9929</v>
      </c>
      <c r="B803" s="262" t="s">
        <v>24532</v>
      </c>
      <c r="C803" s="261" t="s">
        <v>328</v>
      </c>
      <c r="D803" s="440">
        <v>588.18259999999998</v>
      </c>
    </row>
    <row r="804" spans="1:4">
      <c r="A804" s="261" t="s">
        <v>9930</v>
      </c>
      <c r="B804" s="262" t="s">
        <v>24533</v>
      </c>
      <c r="C804" s="261" t="s">
        <v>328</v>
      </c>
      <c r="D804" s="440">
        <v>646.10260000000005</v>
      </c>
    </row>
    <row r="805" spans="1:4">
      <c r="A805" s="261" t="s">
        <v>9931</v>
      </c>
      <c r="B805" s="262" t="s">
        <v>24534</v>
      </c>
      <c r="C805" s="261" t="s">
        <v>328</v>
      </c>
      <c r="D805" s="440">
        <v>634.81110000000001</v>
      </c>
    </row>
    <row r="806" spans="1:4">
      <c r="A806" s="261" t="s">
        <v>9932</v>
      </c>
      <c r="B806" s="262" t="s">
        <v>24535</v>
      </c>
      <c r="C806" s="261" t="s">
        <v>328</v>
      </c>
      <c r="D806" s="440">
        <v>645.71299999999997</v>
      </c>
    </row>
    <row r="807" spans="1:4">
      <c r="A807" s="261" t="s">
        <v>9933</v>
      </c>
      <c r="B807" s="262" t="s">
        <v>24536</v>
      </c>
      <c r="C807" s="261" t="s">
        <v>328</v>
      </c>
      <c r="D807" s="440">
        <v>731.32619999999997</v>
      </c>
    </row>
    <row r="808" spans="1:4">
      <c r="A808" s="261" t="s">
        <v>9934</v>
      </c>
      <c r="B808" s="262" t="s">
        <v>24537</v>
      </c>
      <c r="C808" s="261" t="s">
        <v>328</v>
      </c>
      <c r="D808" s="440">
        <v>822.3057</v>
      </c>
    </row>
    <row r="809" spans="1:4">
      <c r="A809" s="261" t="s">
        <v>9935</v>
      </c>
      <c r="B809" s="262" t="s">
        <v>24538</v>
      </c>
      <c r="C809" s="261" t="s">
        <v>328</v>
      </c>
      <c r="D809" s="440">
        <v>852.29480000000001</v>
      </c>
    </row>
    <row r="810" spans="1:4">
      <c r="A810" s="261" t="s">
        <v>9936</v>
      </c>
      <c r="B810" s="262" t="s">
        <v>24539</v>
      </c>
      <c r="C810" s="261" t="s">
        <v>328</v>
      </c>
      <c r="D810" s="440">
        <v>950.86090000000002</v>
      </c>
    </row>
    <row r="811" spans="1:4">
      <c r="A811" s="261" t="s">
        <v>9937</v>
      </c>
      <c r="B811" s="262" t="s">
        <v>24540</v>
      </c>
      <c r="C811" s="261" t="s">
        <v>328</v>
      </c>
      <c r="D811" s="440">
        <v>1175.0417</v>
      </c>
    </row>
    <row r="812" spans="1:4">
      <c r="A812" s="261" t="s">
        <v>9938</v>
      </c>
      <c r="B812" s="262" t="s">
        <v>24541</v>
      </c>
      <c r="C812" s="261" t="s">
        <v>328</v>
      </c>
      <c r="D812" s="440">
        <v>1178.6158</v>
      </c>
    </row>
    <row r="813" spans="1:4">
      <c r="A813" s="261" t="s">
        <v>9939</v>
      </c>
      <c r="B813" s="262" t="s">
        <v>24542</v>
      </c>
      <c r="C813" s="261" t="s">
        <v>328</v>
      </c>
      <c r="D813" s="440">
        <v>138.57480000000001</v>
      </c>
    </row>
    <row r="814" spans="1:4">
      <c r="A814" s="261" t="s">
        <v>9940</v>
      </c>
      <c r="B814" s="262" t="s">
        <v>24543</v>
      </c>
      <c r="C814" s="261" t="s">
        <v>328</v>
      </c>
      <c r="D814" s="440">
        <v>164.6378</v>
      </c>
    </row>
    <row r="815" spans="1:4">
      <c r="A815" s="261" t="s">
        <v>9941</v>
      </c>
      <c r="B815" s="262" t="s">
        <v>24544</v>
      </c>
      <c r="C815" s="261" t="s">
        <v>328</v>
      </c>
      <c r="D815" s="440">
        <v>169.31899999999999</v>
      </c>
    </row>
    <row r="816" spans="1:4">
      <c r="A816" s="261" t="s">
        <v>9942</v>
      </c>
      <c r="B816" s="262" t="s">
        <v>24545</v>
      </c>
      <c r="C816" s="261" t="s">
        <v>328</v>
      </c>
      <c r="D816" s="440">
        <v>272.791</v>
      </c>
    </row>
    <row r="817" spans="1:4">
      <c r="A817" s="261" t="s">
        <v>9943</v>
      </c>
      <c r="B817" s="262" t="s">
        <v>24546</v>
      </c>
      <c r="C817" s="261" t="s">
        <v>331</v>
      </c>
      <c r="D817" s="440">
        <v>859.77520000000004</v>
      </c>
    </row>
    <row r="818" spans="1:4">
      <c r="A818" s="261" t="s">
        <v>9944</v>
      </c>
      <c r="B818" s="262" t="s">
        <v>24547</v>
      </c>
      <c r="C818" s="261" t="s">
        <v>331</v>
      </c>
      <c r="D818" s="440">
        <v>822.3021</v>
      </c>
    </row>
    <row r="819" spans="1:4">
      <c r="A819" s="261" t="s">
        <v>9945</v>
      </c>
      <c r="B819" s="262" t="s">
        <v>24548</v>
      </c>
      <c r="C819" s="261" t="s">
        <v>328</v>
      </c>
      <c r="D819" s="440">
        <v>639.95550000000003</v>
      </c>
    </row>
    <row r="820" spans="1:4">
      <c r="A820" s="261" t="s">
        <v>9946</v>
      </c>
      <c r="B820" s="262" t="s">
        <v>24549</v>
      </c>
      <c r="C820" s="261" t="s">
        <v>34</v>
      </c>
      <c r="D820" s="440">
        <v>15078.035900000001</v>
      </c>
    </row>
    <row r="821" spans="1:4">
      <c r="A821" s="261" t="s">
        <v>9947</v>
      </c>
      <c r="B821" s="262" t="s">
        <v>24550</v>
      </c>
      <c r="C821" s="261" t="s">
        <v>34</v>
      </c>
      <c r="D821" s="440">
        <v>14178.742200000001</v>
      </c>
    </row>
    <row r="822" spans="1:4">
      <c r="A822" s="261" t="s">
        <v>9948</v>
      </c>
      <c r="B822" s="262" t="s">
        <v>24551</v>
      </c>
      <c r="C822" s="261" t="s">
        <v>34</v>
      </c>
      <c r="D822" s="440">
        <v>14190.036599999999</v>
      </c>
    </row>
    <row r="823" spans="1:4">
      <c r="A823" s="261" t="s">
        <v>9949</v>
      </c>
      <c r="B823" s="262" t="s">
        <v>24552</v>
      </c>
      <c r="C823" s="261" t="s">
        <v>34</v>
      </c>
      <c r="D823" s="440">
        <v>14202.2291</v>
      </c>
    </row>
    <row r="824" spans="1:4">
      <c r="A824" s="261" t="s">
        <v>9950</v>
      </c>
      <c r="B824" s="262" t="s">
        <v>23736</v>
      </c>
      <c r="C824" s="261" t="s">
        <v>331</v>
      </c>
      <c r="D824" s="440">
        <v>91410.463799999998</v>
      </c>
    </row>
    <row r="825" spans="1:4">
      <c r="A825" s="261" t="s">
        <v>9952</v>
      </c>
      <c r="B825" s="262" t="s">
        <v>24553</v>
      </c>
      <c r="C825" s="261" t="s">
        <v>331</v>
      </c>
      <c r="D825" s="440">
        <v>14.919700000000001</v>
      </c>
    </row>
    <row r="826" spans="1:4">
      <c r="A826" s="261" t="s">
        <v>9953</v>
      </c>
      <c r="B826" s="262" t="s">
        <v>24554</v>
      </c>
      <c r="C826" s="261" t="s">
        <v>331</v>
      </c>
      <c r="D826" s="440">
        <v>8.5099</v>
      </c>
    </row>
    <row r="827" spans="1:4">
      <c r="A827" s="261" t="s">
        <v>9954</v>
      </c>
      <c r="B827" s="262" t="s">
        <v>24555</v>
      </c>
      <c r="C827" s="261" t="s">
        <v>331</v>
      </c>
      <c r="D827" s="440">
        <v>33.399700000000003</v>
      </c>
    </row>
    <row r="828" spans="1:4">
      <c r="A828" s="261" t="s">
        <v>9955</v>
      </c>
      <c r="B828" s="262" t="s">
        <v>24556</v>
      </c>
      <c r="C828" s="261" t="s">
        <v>331</v>
      </c>
      <c r="D828" s="440">
        <v>34.691099999999999</v>
      </c>
    </row>
    <row r="829" spans="1:4">
      <c r="A829" s="261" t="s">
        <v>9956</v>
      </c>
      <c r="B829" s="262" t="s">
        <v>24557</v>
      </c>
      <c r="C829" s="261" t="s">
        <v>331</v>
      </c>
      <c r="D829" s="440">
        <v>34.700899999999997</v>
      </c>
    </row>
    <row r="830" spans="1:4">
      <c r="A830" s="261" t="s">
        <v>9957</v>
      </c>
      <c r="B830" s="262" t="s">
        <v>24558</v>
      </c>
      <c r="C830" s="261" t="s">
        <v>331</v>
      </c>
      <c r="D830" s="440">
        <v>147.78989999999999</v>
      </c>
    </row>
    <row r="831" spans="1:4">
      <c r="A831" s="261" t="s">
        <v>9958</v>
      </c>
      <c r="B831" s="262" t="s">
        <v>24559</v>
      </c>
      <c r="C831" s="261" t="s">
        <v>331</v>
      </c>
      <c r="D831" s="440">
        <v>14.051500000000001</v>
      </c>
    </row>
    <row r="832" spans="1:4">
      <c r="A832" s="261" t="s">
        <v>9959</v>
      </c>
      <c r="B832" s="262" t="s">
        <v>24560</v>
      </c>
      <c r="C832" s="261" t="s">
        <v>331</v>
      </c>
      <c r="D832" s="440">
        <v>81.479200000000006</v>
      </c>
    </row>
    <row r="833" spans="1:4">
      <c r="A833" s="261" t="s">
        <v>9960</v>
      </c>
      <c r="B833" s="262" t="s">
        <v>24561</v>
      </c>
      <c r="C833" s="261" t="s">
        <v>331</v>
      </c>
      <c r="D833" s="440">
        <v>97.869600000000005</v>
      </c>
    </row>
    <row r="834" spans="1:4">
      <c r="A834" s="261" t="s">
        <v>9961</v>
      </c>
      <c r="B834" s="262" t="s">
        <v>24562</v>
      </c>
      <c r="C834" s="261" t="s">
        <v>331</v>
      </c>
      <c r="D834" s="440">
        <v>148.7801</v>
      </c>
    </row>
    <row r="835" spans="1:4">
      <c r="A835" s="261" t="s">
        <v>9962</v>
      </c>
      <c r="B835" s="262" t="s">
        <v>24563</v>
      </c>
      <c r="C835" s="261" t="s">
        <v>331</v>
      </c>
      <c r="D835" s="440">
        <v>65.608800000000002</v>
      </c>
    </row>
    <row r="836" spans="1:4">
      <c r="A836" s="261" t="s">
        <v>9963</v>
      </c>
      <c r="B836" s="262" t="s">
        <v>24564</v>
      </c>
      <c r="C836" s="261" t="s">
        <v>331</v>
      </c>
      <c r="D836" s="440">
        <v>137.15199999999999</v>
      </c>
    </row>
    <row r="837" spans="1:4">
      <c r="A837" s="261" t="s">
        <v>9964</v>
      </c>
      <c r="B837" s="262" t="s">
        <v>24565</v>
      </c>
      <c r="C837" s="261" t="s">
        <v>331</v>
      </c>
      <c r="D837" s="440">
        <v>145.35210000000001</v>
      </c>
    </row>
    <row r="838" spans="1:4">
      <c r="A838" s="261" t="s">
        <v>9965</v>
      </c>
      <c r="B838" s="262" t="s">
        <v>24566</v>
      </c>
      <c r="C838" s="261" t="s">
        <v>331</v>
      </c>
      <c r="D838" s="440">
        <v>35.176099999999998</v>
      </c>
    </row>
    <row r="839" spans="1:4">
      <c r="A839" s="261" t="s">
        <v>9966</v>
      </c>
      <c r="B839" s="262" t="s">
        <v>24567</v>
      </c>
      <c r="C839" s="261" t="s">
        <v>331</v>
      </c>
      <c r="D839" s="440">
        <v>124.72839999999999</v>
      </c>
    </row>
    <row r="840" spans="1:4">
      <c r="A840" s="261" t="s">
        <v>9967</v>
      </c>
      <c r="B840" s="262" t="s">
        <v>24568</v>
      </c>
      <c r="C840" s="261" t="s">
        <v>24569</v>
      </c>
      <c r="D840" s="440">
        <v>675.16219999999998</v>
      </c>
    </row>
    <row r="841" spans="1:4">
      <c r="A841" s="261" t="s">
        <v>9968</v>
      </c>
      <c r="B841" s="262" t="s">
        <v>24570</v>
      </c>
      <c r="C841" s="261" t="s">
        <v>24569</v>
      </c>
      <c r="D841" s="440">
        <v>769.59829999999999</v>
      </c>
    </row>
    <row r="842" spans="1:4">
      <c r="A842" s="261" t="s">
        <v>9969</v>
      </c>
      <c r="B842" s="262" t="s">
        <v>24571</v>
      </c>
      <c r="C842" s="261" t="s">
        <v>24569</v>
      </c>
      <c r="D842" s="440">
        <v>981.62080000000003</v>
      </c>
    </row>
    <row r="843" spans="1:4">
      <c r="A843" s="261" t="s">
        <v>9970</v>
      </c>
      <c r="B843" s="262" t="s">
        <v>24572</v>
      </c>
      <c r="C843" s="261" t="s">
        <v>331</v>
      </c>
      <c r="D843" s="440">
        <v>45.298400000000001</v>
      </c>
    </row>
    <row r="844" spans="1:4">
      <c r="A844" s="261" t="s">
        <v>9971</v>
      </c>
      <c r="B844" s="262" t="s">
        <v>24573</v>
      </c>
      <c r="C844" s="261" t="s">
        <v>24569</v>
      </c>
      <c r="D844" s="440">
        <v>843.01300000000003</v>
      </c>
    </row>
    <row r="845" spans="1:4">
      <c r="A845" s="261" t="s">
        <v>9972</v>
      </c>
      <c r="B845" s="262" t="s">
        <v>24574</v>
      </c>
      <c r="C845" s="261" t="s">
        <v>331</v>
      </c>
      <c r="D845" s="440">
        <v>198498.6416</v>
      </c>
    </row>
    <row r="846" spans="1:4">
      <c r="A846" s="261" t="s">
        <v>9973</v>
      </c>
      <c r="B846" s="262" t="s">
        <v>24575</v>
      </c>
      <c r="C846" s="261" t="s">
        <v>331</v>
      </c>
      <c r="D846" s="440">
        <v>218192.98860000001</v>
      </c>
    </row>
    <row r="847" spans="1:4">
      <c r="A847" s="261" t="s">
        <v>9974</v>
      </c>
      <c r="B847" s="262" t="s">
        <v>24576</v>
      </c>
      <c r="C847" s="261" t="s">
        <v>331</v>
      </c>
      <c r="D847" s="440">
        <v>239856.97440000001</v>
      </c>
    </row>
    <row r="848" spans="1:4">
      <c r="A848" s="261" t="s">
        <v>9975</v>
      </c>
      <c r="B848" s="262" t="s">
        <v>24577</v>
      </c>
      <c r="C848" s="261" t="s">
        <v>331</v>
      </c>
      <c r="D848" s="440">
        <v>263687.12520000001</v>
      </c>
    </row>
    <row r="849" spans="1:4">
      <c r="A849" s="261" t="s">
        <v>9976</v>
      </c>
      <c r="B849" s="262" t="s">
        <v>24578</v>
      </c>
      <c r="C849" s="261" t="s">
        <v>331</v>
      </c>
      <c r="D849" s="440">
        <v>250965.97020000001</v>
      </c>
    </row>
    <row r="850" spans="1:4">
      <c r="A850" s="261" t="s">
        <v>9977</v>
      </c>
      <c r="B850" s="262" t="s">
        <v>24579</v>
      </c>
      <c r="C850" s="261" t="s">
        <v>331</v>
      </c>
      <c r="D850" s="440">
        <v>275907.04979999998</v>
      </c>
    </row>
    <row r="851" spans="1:4">
      <c r="A851" s="261" t="s">
        <v>9978</v>
      </c>
      <c r="B851" s="262" t="s">
        <v>24580</v>
      </c>
      <c r="C851" s="261" t="s">
        <v>331</v>
      </c>
      <c r="D851" s="440">
        <v>303342.32490000001</v>
      </c>
    </row>
    <row r="852" spans="1:4">
      <c r="A852" s="261" t="s">
        <v>9979</v>
      </c>
      <c r="B852" s="262" t="s">
        <v>24581</v>
      </c>
      <c r="C852" s="261" t="s">
        <v>331</v>
      </c>
      <c r="D852" s="440">
        <v>333521.09840000002</v>
      </c>
    </row>
    <row r="853" spans="1:4">
      <c r="A853" s="261" t="s">
        <v>9980</v>
      </c>
      <c r="B853" s="262" t="s">
        <v>24582</v>
      </c>
      <c r="C853" s="261" t="s">
        <v>331</v>
      </c>
      <c r="D853" s="440">
        <v>400691.69549999997</v>
      </c>
    </row>
    <row r="854" spans="1:4">
      <c r="A854" s="261" t="s">
        <v>9981</v>
      </c>
      <c r="B854" s="262" t="s">
        <v>24583</v>
      </c>
      <c r="C854" s="261" t="s">
        <v>331</v>
      </c>
      <c r="D854" s="440">
        <v>328861.75809999998</v>
      </c>
    </row>
    <row r="855" spans="1:4">
      <c r="A855" s="261" t="s">
        <v>9982</v>
      </c>
      <c r="B855" s="262" t="s">
        <v>24584</v>
      </c>
      <c r="C855" s="261" t="s">
        <v>331</v>
      </c>
      <c r="D855" s="440">
        <v>362369.90159999998</v>
      </c>
    </row>
    <row r="856" spans="1:4">
      <c r="A856" s="261" t="s">
        <v>9983</v>
      </c>
      <c r="B856" s="262" t="s">
        <v>24585</v>
      </c>
      <c r="C856" s="261" t="s">
        <v>331</v>
      </c>
      <c r="D856" s="440">
        <v>398373.61599999998</v>
      </c>
    </row>
    <row r="857" spans="1:4">
      <c r="A857" s="261" t="s">
        <v>9984</v>
      </c>
      <c r="B857" s="262" t="s">
        <v>24586</v>
      </c>
      <c r="C857" s="261" t="s">
        <v>331</v>
      </c>
      <c r="D857" s="440">
        <v>290365.74410000001</v>
      </c>
    </row>
    <row r="858" spans="1:4">
      <c r="A858" s="261" t="s">
        <v>9985</v>
      </c>
      <c r="B858" s="262" t="s">
        <v>24587</v>
      </c>
      <c r="C858" s="261" t="s">
        <v>331</v>
      </c>
      <c r="D858" s="440">
        <v>477581.96179999999</v>
      </c>
    </row>
    <row r="859" spans="1:4">
      <c r="A859" s="261" t="s">
        <v>9986</v>
      </c>
      <c r="B859" s="262" t="s">
        <v>24588</v>
      </c>
      <c r="C859" s="261" t="s">
        <v>331</v>
      </c>
      <c r="D859" s="440">
        <v>227996.42449999999</v>
      </c>
    </row>
    <row r="860" spans="1:4">
      <c r="A860" s="261" t="s">
        <v>9987</v>
      </c>
      <c r="B860" s="262" t="s">
        <v>24589</v>
      </c>
      <c r="C860" s="261" t="s">
        <v>331</v>
      </c>
      <c r="D860" s="440">
        <v>250640.5644</v>
      </c>
    </row>
    <row r="861" spans="1:4">
      <c r="A861" s="261" t="s">
        <v>9988</v>
      </c>
      <c r="B861" s="262" t="s">
        <v>24590</v>
      </c>
      <c r="C861" s="261" t="s">
        <v>331</v>
      </c>
      <c r="D861" s="440">
        <v>275549.27840000001</v>
      </c>
    </row>
    <row r="862" spans="1:4">
      <c r="A862" s="261" t="s">
        <v>9989</v>
      </c>
      <c r="B862" s="262" t="s">
        <v>24591</v>
      </c>
      <c r="C862" s="261" t="s">
        <v>331</v>
      </c>
      <c r="D862" s="440">
        <v>302948.68890000001</v>
      </c>
    </row>
    <row r="863" spans="1:4">
      <c r="A863" s="261" t="s">
        <v>9990</v>
      </c>
      <c r="B863" s="262" t="s">
        <v>24592</v>
      </c>
      <c r="C863" s="261" t="s">
        <v>331</v>
      </c>
      <c r="D863" s="440">
        <v>288351.78450000001</v>
      </c>
    </row>
    <row r="864" spans="1:4">
      <c r="A864" s="261" t="s">
        <v>9991</v>
      </c>
      <c r="B864" s="262" t="s">
        <v>24593</v>
      </c>
      <c r="C864" s="261" t="s">
        <v>331</v>
      </c>
      <c r="D864" s="440">
        <v>317053.9853</v>
      </c>
    </row>
    <row r="865" spans="1:4">
      <c r="A865" s="261" t="s">
        <v>9992</v>
      </c>
      <c r="B865" s="262" t="s">
        <v>24594</v>
      </c>
      <c r="C865" s="261" t="s">
        <v>331</v>
      </c>
      <c r="D865" s="440">
        <v>348603.92469999997</v>
      </c>
    </row>
    <row r="866" spans="1:4">
      <c r="A866" s="261" t="s">
        <v>9993</v>
      </c>
      <c r="B866" s="262" t="s">
        <v>24595</v>
      </c>
      <c r="C866" s="261" t="s">
        <v>331</v>
      </c>
      <c r="D866" s="440">
        <v>384086.08069999999</v>
      </c>
    </row>
    <row r="867" spans="1:4">
      <c r="A867" s="261" t="s">
        <v>9994</v>
      </c>
      <c r="B867" s="262" t="s">
        <v>24596</v>
      </c>
      <c r="C867" s="261" t="s">
        <v>331</v>
      </c>
      <c r="D867" s="440">
        <v>460436.91970000003</v>
      </c>
    </row>
    <row r="868" spans="1:4">
      <c r="A868" s="261" t="s">
        <v>9995</v>
      </c>
      <c r="B868" s="262" t="s">
        <v>24597</v>
      </c>
      <c r="C868" s="261" t="s">
        <v>331</v>
      </c>
      <c r="D868" s="440">
        <v>378738.16869999998</v>
      </c>
    </row>
    <row r="869" spans="1:4">
      <c r="A869" s="261" t="s">
        <v>9996</v>
      </c>
      <c r="B869" s="262" t="s">
        <v>24598</v>
      </c>
      <c r="C869" s="261" t="s">
        <v>331</v>
      </c>
      <c r="D869" s="440">
        <v>416378.82620000001</v>
      </c>
    </row>
    <row r="870" spans="1:4">
      <c r="A870" s="261" t="s">
        <v>9997</v>
      </c>
      <c r="B870" s="262" t="s">
        <v>24599</v>
      </c>
      <c r="C870" s="261" t="s">
        <v>331</v>
      </c>
      <c r="D870" s="440">
        <v>457783.52010000002</v>
      </c>
    </row>
    <row r="871" spans="1:4">
      <c r="A871" s="261" t="s">
        <v>9998</v>
      </c>
      <c r="B871" s="262" t="s">
        <v>24600</v>
      </c>
      <c r="C871" s="261" t="s">
        <v>331</v>
      </c>
      <c r="D871" s="440">
        <v>333669.36790000001</v>
      </c>
    </row>
    <row r="872" spans="1:4">
      <c r="A872" s="261" t="s">
        <v>9999</v>
      </c>
      <c r="B872" s="262" t="s">
        <v>24601</v>
      </c>
      <c r="C872" s="261" t="s">
        <v>331</v>
      </c>
      <c r="D872" s="440">
        <v>551205.73419999995</v>
      </c>
    </row>
    <row r="873" spans="1:4">
      <c r="A873" s="261" t="s">
        <v>10000</v>
      </c>
      <c r="B873" s="262" t="s">
        <v>24602</v>
      </c>
      <c r="C873" s="261" t="s">
        <v>331</v>
      </c>
      <c r="D873" s="440">
        <v>273201.60310000001</v>
      </c>
    </row>
    <row r="874" spans="1:4">
      <c r="A874" s="261" t="s">
        <v>10001</v>
      </c>
      <c r="B874" s="262" t="s">
        <v>24603</v>
      </c>
      <c r="C874" s="261" t="s">
        <v>331</v>
      </c>
      <c r="D874" s="440">
        <v>300366.28989999997</v>
      </c>
    </row>
    <row r="875" spans="1:4">
      <c r="A875" s="261" t="s">
        <v>10002</v>
      </c>
      <c r="B875" s="262" t="s">
        <v>24604</v>
      </c>
      <c r="C875" s="261" t="s">
        <v>331</v>
      </c>
      <c r="D875" s="440">
        <v>330247.50329999998</v>
      </c>
    </row>
    <row r="876" spans="1:4">
      <c r="A876" s="261" t="s">
        <v>10003</v>
      </c>
      <c r="B876" s="262" t="s">
        <v>24605</v>
      </c>
      <c r="C876" s="261" t="s">
        <v>331</v>
      </c>
      <c r="D876" s="440">
        <v>363894.00280000002</v>
      </c>
    </row>
    <row r="877" spans="1:4">
      <c r="A877" s="261" t="s">
        <v>10004</v>
      </c>
      <c r="B877" s="262" t="s">
        <v>24606</v>
      </c>
      <c r="C877" s="261" t="s">
        <v>331</v>
      </c>
      <c r="D877" s="440">
        <v>345768.57750000001</v>
      </c>
    </row>
    <row r="878" spans="1:4">
      <c r="A878" s="261" t="s">
        <v>10005</v>
      </c>
      <c r="B878" s="262" t="s">
        <v>24607</v>
      </c>
      <c r="C878" s="261" t="s">
        <v>331</v>
      </c>
      <c r="D878" s="440">
        <v>380967.1703</v>
      </c>
    </row>
    <row r="879" spans="1:4">
      <c r="A879" s="261" t="s">
        <v>10006</v>
      </c>
      <c r="B879" s="262" t="s">
        <v>24608</v>
      </c>
      <c r="C879" s="261" t="s">
        <v>331</v>
      </c>
      <c r="D879" s="440">
        <v>418830.74190000002</v>
      </c>
    </row>
    <row r="880" spans="1:4">
      <c r="A880" s="261" t="s">
        <v>10007</v>
      </c>
      <c r="B880" s="262" t="s">
        <v>24609</v>
      </c>
      <c r="C880" s="261" t="s">
        <v>331</v>
      </c>
      <c r="D880" s="440">
        <v>460480.6569</v>
      </c>
    </row>
    <row r="881" spans="1:4">
      <c r="A881" s="261" t="s">
        <v>10008</v>
      </c>
      <c r="B881" s="262" t="s">
        <v>24610</v>
      </c>
      <c r="C881" s="261" t="s">
        <v>331</v>
      </c>
      <c r="D881" s="440">
        <v>554442.29810000001</v>
      </c>
    </row>
    <row r="882" spans="1:4">
      <c r="A882" s="261" t="s">
        <v>10009</v>
      </c>
      <c r="B882" s="262" t="s">
        <v>24611</v>
      </c>
      <c r="C882" s="261" t="s">
        <v>331</v>
      </c>
      <c r="D882" s="440">
        <v>454043.53889999999</v>
      </c>
    </row>
    <row r="883" spans="1:4">
      <c r="A883" s="261" t="s">
        <v>10010</v>
      </c>
      <c r="B883" s="262" t="s">
        <v>24612</v>
      </c>
      <c r="C883" s="261" t="s">
        <v>331</v>
      </c>
      <c r="D883" s="440">
        <v>499214.74800000002</v>
      </c>
    </row>
    <row r="884" spans="1:4">
      <c r="A884" s="261" t="s">
        <v>10011</v>
      </c>
      <c r="B884" s="262" t="s">
        <v>24613</v>
      </c>
      <c r="C884" s="261" t="s">
        <v>331</v>
      </c>
      <c r="D884" s="440">
        <v>551234.89229999995</v>
      </c>
    </row>
    <row r="885" spans="1:4">
      <c r="A885" s="261" t="s">
        <v>10012</v>
      </c>
      <c r="B885" s="262" t="s">
        <v>24614</v>
      </c>
      <c r="C885" s="261" t="s">
        <v>328</v>
      </c>
      <c r="D885" s="440">
        <v>281.73880000000003</v>
      </c>
    </row>
    <row r="886" spans="1:4">
      <c r="A886" s="261" t="s">
        <v>10013</v>
      </c>
      <c r="B886" s="262" t="s">
        <v>24615</v>
      </c>
      <c r="C886" s="261" t="s">
        <v>331</v>
      </c>
      <c r="D886" s="440">
        <v>660549.11600000004</v>
      </c>
    </row>
    <row r="887" spans="1:4">
      <c r="A887" s="261" t="s">
        <v>10014</v>
      </c>
      <c r="B887" s="262" t="s">
        <v>24616</v>
      </c>
      <c r="C887" s="261" t="s">
        <v>331</v>
      </c>
      <c r="D887" s="440">
        <v>375.5804</v>
      </c>
    </row>
    <row r="888" spans="1:4">
      <c r="A888" s="261" t="s">
        <v>10015</v>
      </c>
      <c r="B888" s="262" t="s">
        <v>24617</v>
      </c>
      <c r="C888" s="261" t="s">
        <v>331</v>
      </c>
      <c r="D888" s="440">
        <v>229.0761</v>
      </c>
    </row>
    <row r="889" spans="1:4">
      <c r="A889" s="261" t="s">
        <v>10016</v>
      </c>
      <c r="B889" s="262" t="s">
        <v>24618</v>
      </c>
      <c r="C889" s="261" t="s">
        <v>328</v>
      </c>
      <c r="D889" s="440">
        <v>544.52380000000005</v>
      </c>
    </row>
    <row r="890" spans="1:4">
      <c r="A890" s="261" t="s">
        <v>10017</v>
      </c>
      <c r="B890" s="262" t="s">
        <v>24619</v>
      </c>
      <c r="C890" s="261" t="s">
        <v>328</v>
      </c>
      <c r="D890" s="440">
        <v>443.20280000000002</v>
      </c>
    </row>
    <row r="891" spans="1:4">
      <c r="A891" s="261" t="s">
        <v>10018</v>
      </c>
      <c r="B891" s="262" t="s">
        <v>24620</v>
      </c>
      <c r="C891" s="261" t="s">
        <v>331</v>
      </c>
      <c r="D891" s="440">
        <v>319246.83029999997</v>
      </c>
    </row>
    <row r="892" spans="1:4">
      <c r="A892" s="261" t="s">
        <v>10019</v>
      </c>
      <c r="B892" s="262" t="s">
        <v>24621</v>
      </c>
      <c r="C892" s="261" t="s">
        <v>331</v>
      </c>
      <c r="D892" s="440">
        <v>351016.03960000002</v>
      </c>
    </row>
    <row r="893" spans="1:4">
      <c r="A893" s="261" t="s">
        <v>10020</v>
      </c>
      <c r="B893" s="262" t="s">
        <v>24622</v>
      </c>
      <c r="C893" s="261" t="s">
        <v>331</v>
      </c>
      <c r="D893" s="440">
        <v>421685.625</v>
      </c>
    </row>
    <row r="894" spans="1:4">
      <c r="A894" s="261" t="s">
        <v>10021</v>
      </c>
      <c r="B894" s="262" t="s">
        <v>24623</v>
      </c>
      <c r="C894" s="261" t="s">
        <v>331</v>
      </c>
      <c r="D894" s="440">
        <v>400908.04979999998</v>
      </c>
    </row>
    <row r="895" spans="1:4">
      <c r="A895" s="261" t="s">
        <v>10022</v>
      </c>
      <c r="B895" s="262" t="s">
        <v>24624</v>
      </c>
      <c r="C895" s="261" t="s">
        <v>331</v>
      </c>
      <c r="D895" s="440">
        <v>440765.75349999999</v>
      </c>
    </row>
    <row r="896" spans="1:4">
      <c r="A896" s="261" t="s">
        <v>10023</v>
      </c>
      <c r="B896" s="262" t="s">
        <v>24625</v>
      </c>
      <c r="C896" s="261" t="s">
        <v>331</v>
      </c>
      <c r="D896" s="440">
        <v>484609.09620000003</v>
      </c>
    </row>
    <row r="897" spans="1:4">
      <c r="A897" s="261" t="s">
        <v>10024</v>
      </c>
      <c r="B897" s="262" t="s">
        <v>24626</v>
      </c>
      <c r="C897" s="261" t="s">
        <v>331</v>
      </c>
      <c r="D897" s="440">
        <v>583396.42559999996</v>
      </c>
    </row>
    <row r="898" spans="1:4">
      <c r="A898" s="261" t="s">
        <v>10025</v>
      </c>
      <c r="B898" s="262" t="s">
        <v>24627</v>
      </c>
      <c r="C898" s="261" t="s">
        <v>331</v>
      </c>
      <c r="D898" s="440">
        <v>572.59069999999997</v>
      </c>
    </row>
    <row r="899" spans="1:4">
      <c r="A899" s="261" t="s">
        <v>10026</v>
      </c>
      <c r="B899" s="262" t="s">
        <v>24628</v>
      </c>
      <c r="C899" s="261" t="s">
        <v>331</v>
      </c>
      <c r="D899" s="440">
        <v>1681.6041</v>
      </c>
    </row>
    <row r="900" spans="1:4">
      <c r="A900" s="261" t="s">
        <v>10027</v>
      </c>
      <c r="B900" s="262" t="s">
        <v>24629</v>
      </c>
      <c r="C900" s="261" t="s">
        <v>331</v>
      </c>
      <c r="D900" s="440">
        <v>493.137</v>
      </c>
    </row>
    <row r="901" spans="1:4">
      <c r="A901" s="261" t="s">
        <v>10028</v>
      </c>
      <c r="B901" s="262" t="s">
        <v>24630</v>
      </c>
      <c r="C901" s="261" t="s">
        <v>331</v>
      </c>
      <c r="D901" s="440">
        <v>367658.03950000001</v>
      </c>
    </row>
    <row r="902" spans="1:4">
      <c r="A902" s="261" t="s">
        <v>10029</v>
      </c>
      <c r="B902" s="262" t="s">
        <v>24631</v>
      </c>
      <c r="C902" s="261" t="s">
        <v>331</v>
      </c>
      <c r="D902" s="440">
        <v>404190.68369999999</v>
      </c>
    </row>
    <row r="903" spans="1:4">
      <c r="A903" s="261" t="s">
        <v>10030</v>
      </c>
      <c r="B903" s="262" t="s">
        <v>24632</v>
      </c>
      <c r="C903" s="261" t="s">
        <v>331</v>
      </c>
      <c r="D903" s="440">
        <v>484562.44319999998</v>
      </c>
    </row>
    <row r="904" spans="1:4">
      <c r="A904" s="261" t="s">
        <v>10031</v>
      </c>
      <c r="B904" s="262" t="s">
        <v>24633</v>
      </c>
      <c r="C904" s="261" t="s">
        <v>328</v>
      </c>
      <c r="D904" s="440">
        <v>675.56240000000003</v>
      </c>
    </row>
    <row r="905" spans="1:4">
      <c r="A905" s="261" t="s">
        <v>10032</v>
      </c>
      <c r="B905" s="262" t="s">
        <v>24634</v>
      </c>
      <c r="C905" s="261" t="s">
        <v>328</v>
      </c>
      <c r="D905" s="440">
        <v>1483.2532000000001</v>
      </c>
    </row>
    <row r="906" spans="1:4">
      <c r="A906" s="261" t="s">
        <v>10033</v>
      </c>
      <c r="B906" s="262" t="s">
        <v>24635</v>
      </c>
      <c r="C906" s="261" t="s">
        <v>328</v>
      </c>
      <c r="D906" s="440">
        <v>2293.6821</v>
      </c>
    </row>
    <row r="907" spans="1:4">
      <c r="A907" s="261" t="s">
        <v>10034</v>
      </c>
      <c r="B907" s="262" t="s">
        <v>24636</v>
      </c>
      <c r="C907" s="261" t="s">
        <v>328</v>
      </c>
      <c r="D907" s="440">
        <v>2696.3557000000001</v>
      </c>
    </row>
    <row r="908" spans="1:4">
      <c r="A908" s="261" t="s">
        <v>10035</v>
      </c>
      <c r="B908" s="262" t="s">
        <v>24637</v>
      </c>
      <c r="C908" s="261" t="s">
        <v>328</v>
      </c>
      <c r="D908" s="440">
        <v>3319.8481999999999</v>
      </c>
    </row>
    <row r="909" spans="1:4">
      <c r="A909" s="261" t="s">
        <v>10036</v>
      </c>
      <c r="B909" s="262" t="s">
        <v>24638</v>
      </c>
      <c r="C909" s="261" t="s">
        <v>328</v>
      </c>
      <c r="D909" s="440">
        <v>3339.1405</v>
      </c>
    </row>
    <row r="910" spans="1:4">
      <c r="A910" s="261" t="s">
        <v>10037</v>
      </c>
      <c r="B910" s="262" t="s">
        <v>24639</v>
      </c>
      <c r="C910" s="261" t="s">
        <v>331</v>
      </c>
      <c r="D910" s="440">
        <v>53.855800000000002</v>
      </c>
    </row>
    <row r="911" spans="1:4">
      <c r="A911" s="261" t="s">
        <v>10038</v>
      </c>
      <c r="B911" s="262" t="s">
        <v>24640</v>
      </c>
      <c r="C911" s="261" t="s">
        <v>331</v>
      </c>
      <c r="D911" s="440">
        <v>78.145600000000002</v>
      </c>
    </row>
    <row r="912" spans="1:4">
      <c r="A912" s="261" t="s">
        <v>10039</v>
      </c>
      <c r="B912" s="262" t="s">
        <v>24641</v>
      </c>
      <c r="C912" s="261" t="s">
        <v>331</v>
      </c>
      <c r="D912" s="440">
        <v>84.385800000000003</v>
      </c>
    </row>
    <row r="913" spans="1:4">
      <c r="A913" s="261" t="s">
        <v>10040</v>
      </c>
      <c r="B913" s="262" t="s">
        <v>24642</v>
      </c>
      <c r="C913" s="261" t="s">
        <v>331</v>
      </c>
      <c r="D913" s="440">
        <v>95.635800000000003</v>
      </c>
    </row>
    <row r="914" spans="1:4">
      <c r="A914" s="261" t="s">
        <v>10041</v>
      </c>
      <c r="B914" s="262" t="s">
        <v>24643</v>
      </c>
      <c r="C914" s="261" t="s">
        <v>331</v>
      </c>
      <c r="D914" s="440">
        <v>105.44159999999999</v>
      </c>
    </row>
    <row r="915" spans="1:4">
      <c r="A915" s="261" t="s">
        <v>10042</v>
      </c>
      <c r="B915" s="262" t="s">
        <v>24644</v>
      </c>
      <c r="C915" s="261" t="s">
        <v>331</v>
      </c>
      <c r="D915" s="440">
        <v>107.9462</v>
      </c>
    </row>
    <row r="916" spans="1:4">
      <c r="A916" s="261" t="s">
        <v>10043</v>
      </c>
      <c r="B916" s="262" t="s">
        <v>24645</v>
      </c>
      <c r="C916" s="261" t="s">
        <v>331</v>
      </c>
      <c r="D916" s="440">
        <v>108.8409</v>
      </c>
    </row>
    <row r="917" spans="1:4">
      <c r="A917" s="261" t="s">
        <v>10044</v>
      </c>
      <c r="B917" s="262" t="s">
        <v>24646</v>
      </c>
      <c r="C917" s="261" t="s">
        <v>331</v>
      </c>
      <c r="D917" s="440">
        <v>126.1742</v>
      </c>
    </row>
    <row r="918" spans="1:4">
      <c r="A918" s="261" t="s">
        <v>10045</v>
      </c>
      <c r="B918" s="262" t="s">
        <v>24647</v>
      </c>
      <c r="C918" s="261" t="s">
        <v>331</v>
      </c>
      <c r="D918" s="440">
        <v>159.0377</v>
      </c>
    </row>
    <row r="919" spans="1:4">
      <c r="A919" s="261" t="s">
        <v>10046</v>
      </c>
      <c r="B919" s="262" t="s">
        <v>24648</v>
      </c>
      <c r="C919" s="261" t="s">
        <v>331</v>
      </c>
      <c r="D919" s="440">
        <v>668.88189999999997</v>
      </c>
    </row>
    <row r="920" spans="1:4">
      <c r="A920" s="261" t="s">
        <v>10047</v>
      </c>
      <c r="B920" s="262" t="s">
        <v>24649</v>
      </c>
      <c r="C920" s="261" t="s">
        <v>331</v>
      </c>
      <c r="D920" s="440">
        <v>1297.5442</v>
      </c>
    </row>
    <row r="921" spans="1:4">
      <c r="A921" s="261" t="s">
        <v>10048</v>
      </c>
      <c r="B921" s="262" t="s">
        <v>24650</v>
      </c>
      <c r="C921" s="261" t="s">
        <v>331</v>
      </c>
      <c r="D921" s="440">
        <v>1298.3438000000001</v>
      </c>
    </row>
    <row r="922" spans="1:4">
      <c r="A922" s="261" t="s">
        <v>10049</v>
      </c>
      <c r="B922" s="262" t="s">
        <v>24651</v>
      </c>
      <c r="C922" s="261" t="s">
        <v>331</v>
      </c>
      <c r="D922" s="440">
        <v>1376.9812999999999</v>
      </c>
    </row>
    <row r="923" spans="1:4">
      <c r="A923" s="261" t="s">
        <v>10050</v>
      </c>
      <c r="B923" s="262" t="s">
        <v>24652</v>
      </c>
      <c r="C923" s="261" t="s">
        <v>331</v>
      </c>
      <c r="D923" s="440">
        <v>1312.1992</v>
      </c>
    </row>
    <row r="924" spans="1:4">
      <c r="A924" s="261" t="s">
        <v>10051</v>
      </c>
      <c r="B924" s="262" t="s">
        <v>24653</v>
      </c>
      <c r="C924" s="261" t="s">
        <v>326</v>
      </c>
      <c r="D924" s="440">
        <v>99.935100000000006</v>
      </c>
    </row>
    <row r="925" spans="1:4">
      <c r="A925" s="261" t="s">
        <v>10052</v>
      </c>
      <c r="B925" s="262" t="s">
        <v>24654</v>
      </c>
      <c r="C925" s="261" t="s">
        <v>331</v>
      </c>
      <c r="D925" s="440">
        <v>16.008500000000002</v>
      </c>
    </row>
    <row r="926" spans="1:4">
      <c r="A926" s="261" t="s">
        <v>10053</v>
      </c>
      <c r="B926" s="262" t="s">
        <v>24655</v>
      </c>
      <c r="C926" s="261" t="s">
        <v>331</v>
      </c>
      <c r="D926" s="440">
        <v>976.53449999999998</v>
      </c>
    </row>
    <row r="927" spans="1:4">
      <c r="A927" s="261" t="s">
        <v>10054</v>
      </c>
      <c r="B927" s="262" t="s">
        <v>24656</v>
      </c>
      <c r="C927" s="261" t="s">
        <v>331</v>
      </c>
      <c r="D927" s="440">
        <v>24.325399999999998</v>
      </c>
    </row>
    <row r="928" spans="1:4">
      <c r="A928" s="261" t="s">
        <v>10055</v>
      </c>
      <c r="B928" s="262" t="s">
        <v>24657</v>
      </c>
      <c r="C928" s="261" t="s">
        <v>326</v>
      </c>
      <c r="D928" s="440">
        <v>3287.643</v>
      </c>
    </row>
    <row r="929" spans="1:4">
      <c r="A929" s="261" t="s">
        <v>10056</v>
      </c>
      <c r="B929" s="262" t="s">
        <v>24658</v>
      </c>
      <c r="C929" s="261" t="s">
        <v>331</v>
      </c>
      <c r="D929" s="440">
        <v>1382.9811</v>
      </c>
    </row>
    <row r="930" spans="1:4">
      <c r="A930" s="261" t="s">
        <v>10057</v>
      </c>
      <c r="B930" s="262" t="s">
        <v>24659</v>
      </c>
      <c r="C930" s="261" t="s">
        <v>328</v>
      </c>
      <c r="D930" s="440">
        <v>406.84809999999999</v>
      </c>
    </row>
    <row r="931" spans="1:4">
      <c r="A931" s="261" t="s">
        <v>10058</v>
      </c>
      <c r="B931" s="262" t="s">
        <v>24660</v>
      </c>
      <c r="C931" s="261" t="s">
        <v>328</v>
      </c>
      <c r="D931" s="440">
        <v>7.5335999999999999</v>
      </c>
    </row>
    <row r="932" spans="1:4">
      <c r="A932" s="261" t="s">
        <v>10059</v>
      </c>
      <c r="B932" s="262" t="s">
        <v>24661</v>
      </c>
      <c r="C932" s="261" t="s">
        <v>331</v>
      </c>
      <c r="D932" s="440">
        <v>45.116</v>
      </c>
    </row>
    <row r="933" spans="1:4">
      <c r="A933" s="261" t="s">
        <v>10060</v>
      </c>
      <c r="B933" s="262" t="s">
        <v>24662</v>
      </c>
      <c r="C933" s="261" t="s">
        <v>331</v>
      </c>
      <c r="D933" s="440">
        <v>74.254400000000004</v>
      </c>
    </row>
    <row r="934" spans="1:4">
      <c r="A934" s="261" t="s">
        <v>10061</v>
      </c>
      <c r="B934" s="262" t="s">
        <v>24663</v>
      </c>
      <c r="C934" s="261" t="s">
        <v>331</v>
      </c>
      <c r="D934" s="440">
        <v>1.389</v>
      </c>
    </row>
    <row r="935" spans="1:4">
      <c r="A935" s="261" t="s">
        <v>10062</v>
      </c>
      <c r="B935" s="262" t="s">
        <v>24664</v>
      </c>
      <c r="C935" s="261" t="s">
        <v>331</v>
      </c>
      <c r="D935" s="440">
        <v>2.8142999999999998</v>
      </c>
    </row>
    <row r="936" spans="1:4">
      <c r="A936" s="261" t="s">
        <v>10063</v>
      </c>
      <c r="B936" s="262" t="s">
        <v>24665</v>
      </c>
      <c r="C936" s="261" t="s">
        <v>328</v>
      </c>
      <c r="D936" s="440">
        <v>4.0133000000000001</v>
      </c>
    </row>
    <row r="937" spans="1:4">
      <c r="A937" s="261" t="s">
        <v>10064</v>
      </c>
      <c r="B937" s="262" t="s">
        <v>24666</v>
      </c>
      <c r="C937" s="261" t="s">
        <v>331</v>
      </c>
      <c r="D937" s="440">
        <v>2.0924</v>
      </c>
    </row>
    <row r="938" spans="1:4">
      <c r="A938" s="261" t="s">
        <v>10065</v>
      </c>
      <c r="B938" s="262" t="s">
        <v>24667</v>
      </c>
      <c r="C938" s="261" t="s">
        <v>331</v>
      </c>
      <c r="D938" s="440">
        <v>0.98560000000000003</v>
      </c>
    </row>
    <row r="939" spans="1:4">
      <c r="A939" s="261" t="s">
        <v>10066</v>
      </c>
      <c r="B939" s="262" t="s">
        <v>24668</v>
      </c>
      <c r="C939" s="261" t="s">
        <v>327</v>
      </c>
      <c r="D939" s="440">
        <v>14.276999999999999</v>
      </c>
    </row>
    <row r="940" spans="1:4">
      <c r="A940" s="261" t="s">
        <v>10067</v>
      </c>
      <c r="B940" s="262" t="s">
        <v>24669</v>
      </c>
      <c r="C940" s="261" t="s">
        <v>327</v>
      </c>
      <c r="D940" s="440">
        <v>14.276999999999999</v>
      </c>
    </row>
    <row r="941" spans="1:4">
      <c r="A941" s="261" t="s">
        <v>10068</v>
      </c>
      <c r="B941" s="262" t="s">
        <v>24670</v>
      </c>
      <c r="C941" s="261" t="s">
        <v>328</v>
      </c>
      <c r="D941" s="440">
        <v>36.472900000000003</v>
      </c>
    </row>
    <row r="942" spans="1:4">
      <c r="A942" s="261" t="s">
        <v>10069</v>
      </c>
      <c r="B942" s="262" t="s">
        <v>24671</v>
      </c>
      <c r="C942" s="261" t="s">
        <v>328</v>
      </c>
      <c r="D942" s="440">
        <v>33.862699999999997</v>
      </c>
    </row>
    <row r="943" spans="1:4">
      <c r="A943" s="261" t="s">
        <v>10070</v>
      </c>
      <c r="B943" s="262" t="s">
        <v>24672</v>
      </c>
      <c r="C943" s="261" t="s">
        <v>331</v>
      </c>
      <c r="D943" s="440">
        <v>441.85719999999998</v>
      </c>
    </row>
    <row r="944" spans="1:4">
      <c r="A944" s="261" t="s">
        <v>10071</v>
      </c>
      <c r="B944" s="262" t="s">
        <v>24673</v>
      </c>
      <c r="C944" s="261" t="s">
        <v>331</v>
      </c>
      <c r="D944" s="440">
        <v>1659.1397999999999</v>
      </c>
    </row>
    <row r="945" spans="1:4">
      <c r="A945" s="261" t="s">
        <v>10072</v>
      </c>
      <c r="B945" s="262" t="s">
        <v>24674</v>
      </c>
      <c r="C945" s="261" t="s">
        <v>331</v>
      </c>
      <c r="D945" s="440">
        <v>68.793599999999998</v>
      </c>
    </row>
    <row r="946" spans="1:4">
      <c r="A946" s="261" t="s">
        <v>10073</v>
      </c>
      <c r="B946" s="262" t="s">
        <v>24675</v>
      </c>
      <c r="C946" s="261" t="s">
        <v>331</v>
      </c>
      <c r="D946" s="440">
        <v>100.21420000000001</v>
      </c>
    </row>
    <row r="947" spans="1:4">
      <c r="A947" s="261" t="s">
        <v>10074</v>
      </c>
      <c r="B947" s="262" t="s">
        <v>24676</v>
      </c>
      <c r="C947" s="261" t="s">
        <v>331</v>
      </c>
      <c r="D947" s="440">
        <v>354.38740000000001</v>
      </c>
    </row>
    <row r="948" spans="1:4">
      <c r="A948" s="261" t="s">
        <v>10075</v>
      </c>
      <c r="B948" s="262" t="s">
        <v>24677</v>
      </c>
      <c r="C948" s="261" t="s">
        <v>331</v>
      </c>
      <c r="D948" s="440">
        <v>424.81420000000003</v>
      </c>
    </row>
    <row r="949" spans="1:4">
      <c r="A949" s="261" t="s">
        <v>10076</v>
      </c>
      <c r="B949" s="262" t="s">
        <v>24678</v>
      </c>
      <c r="C949" s="261" t="s">
        <v>331</v>
      </c>
      <c r="D949" s="440">
        <v>602.43949999999995</v>
      </c>
    </row>
    <row r="950" spans="1:4">
      <c r="A950" s="261" t="s">
        <v>10077</v>
      </c>
      <c r="B950" s="262" t="s">
        <v>24679</v>
      </c>
      <c r="C950" s="261" t="s">
        <v>331</v>
      </c>
      <c r="D950" s="440">
        <v>637.84469999999999</v>
      </c>
    </row>
    <row r="951" spans="1:4">
      <c r="A951" s="261" t="s">
        <v>10078</v>
      </c>
      <c r="B951" s="262" t="s">
        <v>24680</v>
      </c>
      <c r="C951" s="261" t="s">
        <v>331</v>
      </c>
      <c r="D951" s="440">
        <v>781.83109999999999</v>
      </c>
    </row>
    <row r="952" spans="1:4">
      <c r="A952" s="261" t="s">
        <v>10079</v>
      </c>
      <c r="B952" s="262" t="s">
        <v>24681</v>
      </c>
      <c r="C952" s="261" t="s">
        <v>331</v>
      </c>
      <c r="D952" s="440">
        <v>814.48749999999995</v>
      </c>
    </row>
    <row r="953" spans="1:4">
      <c r="A953" s="261" t="s">
        <v>10080</v>
      </c>
      <c r="B953" s="262" t="s">
        <v>24682</v>
      </c>
      <c r="C953" s="261" t="s">
        <v>331</v>
      </c>
      <c r="D953" s="440">
        <v>994.52739999999994</v>
      </c>
    </row>
    <row r="954" spans="1:4">
      <c r="A954" s="261" t="s">
        <v>10081</v>
      </c>
      <c r="B954" s="262" t="s">
        <v>24683</v>
      </c>
      <c r="C954" s="261" t="s">
        <v>331</v>
      </c>
      <c r="D954" s="440">
        <v>959.37030000000004</v>
      </c>
    </row>
    <row r="955" spans="1:4">
      <c r="A955" s="261" t="s">
        <v>10082</v>
      </c>
      <c r="B955" s="262" t="s">
        <v>24684</v>
      </c>
      <c r="C955" s="261" t="s">
        <v>331</v>
      </c>
      <c r="D955" s="440">
        <v>1158.6291000000001</v>
      </c>
    </row>
    <row r="956" spans="1:4">
      <c r="A956" s="261" t="s">
        <v>10083</v>
      </c>
      <c r="B956" s="262" t="s">
        <v>24685</v>
      </c>
      <c r="C956" s="261" t="s">
        <v>331</v>
      </c>
      <c r="D956" s="440">
        <v>1197.8997999999999</v>
      </c>
    </row>
    <row r="957" spans="1:4">
      <c r="A957" s="261" t="s">
        <v>10084</v>
      </c>
      <c r="B957" s="262" t="s">
        <v>24686</v>
      </c>
      <c r="C957" s="261" t="s">
        <v>331</v>
      </c>
      <c r="D957" s="440">
        <v>1437.1938</v>
      </c>
    </row>
    <row r="958" spans="1:4">
      <c r="A958" s="261" t="s">
        <v>10085</v>
      </c>
      <c r="B958" s="262" t="s">
        <v>24687</v>
      </c>
      <c r="C958" s="261" t="s">
        <v>331</v>
      </c>
      <c r="D958" s="440">
        <v>1377.3024</v>
      </c>
    </row>
    <row r="959" spans="1:4">
      <c r="A959" s="261" t="s">
        <v>10086</v>
      </c>
      <c r="B959" s="262" t="s">
        <v>24688</v>
      </c>
      <c r="C959" s="261" t="s">
        <v>331</v>
      </c>
      <c r="D959" s="440">
        <v>176.17490000000001</v>
      </c>
    </row>
    <row r="960" spans="1:4">
      <c r="A960" s="261" t="s">
        <v>10087</v>
      </c>
      <c r="B960" s="262" t="s">
        <v>24689</v>
      </c>
      <c r="C960" s="261" t="s">
        <v>331</v>
      </c>
      <c r="D960" s="440">
        <v>247.04050000000001</v>
      </c>
    </row>
    <row r="961" spans="1:4">
      <c r="A961" s="261" t="s">
        <v>10088</v>
      </c>
      <c r="B961" s="262" t="s">
        <v>24690</v>
      </c>
      <c r="C961" s="261" t="s">
        <v>331</v>
      </c>
      <c r="D961" s="440">
        <v>266.7013</v>
      </c>
    </row>
    <row r="962" spans="1:4">
      <c r="A962" s="261" t="s">
        <v>10089</v>
      </c>
      <c r="B962" s="262" t="s">
        <v>24691</v>
      </c>
      <c r="C962" s="261" t="s">
        <v>331</v>
      </c>
      <c r="D962" s="440">
        <v>371.41239999999999</v>
      </c>
    </row>
    <row r="963" spans="1:4">
      <c r="A963" s="261" t="s">
        <v>10090</v>
      </c>
      <c r="B963" s="262" t="s">
        <v>24692</v>
      </c>
      <c r="C963" s="261" t="s">
        <v>331</v>
      </c>
      <c r="D963" s="440">
        <v>282.7627</v>
      </c>
    </row>
    <row r="964" spans="1:4">
      <c r="A964" s="261" t="s">
        <v>10091</v>
      </c>
      <c r="B964" s="262" t="s">
        <v>24693</v>
      </c>
      <c r="C964" s="261" t="s">
        <v>331</v>
      </c>
      <c r="D964" s="440">
        <v>388.98590000000002</v>
      </c>
    </row>
    <row r="965" spans="1:4">
      <c r="A965" s="261" t="s">
        <v>10092</v>
      </c>
      <c r="B965" s="262" t="s">
        <v>24694</v>
      </c>
      <c r="C965" s="261" t="s">
        <v>331</v>
      </c>
      <c r="D965" s="440">
        <v>317.99610000000001</v>
      </c>
    </row>
    <row r="966" spans="1:4">
      <c r="A966" s="261" t="s">
        <v>10093</v>
      </c>
      <c r="B966" s="262" t="s">
        <v>24695</v>
      </c>
      <c r="C966" s="261" t="s">
        <v>331</v>
      </c>
      <c r="D966" s="440">
        <v>353.68110000000001</v>
      </c>
    </row>
    <row r="967" spans="1:4">
      <c r="A967" s="261" t="s">
        <v>10094</v>
      </c>
      <c r="B967" s="262" t="s">
        <v>24696</v>
      </c>
      <c r="C967" s="261" t="s">
        <v>331</v>
      </c>
      <c r="D967" s="440">
        <v>495.4932</v>
      </c>
    </row>
    <row r="968" spans="1:4">
      <c r="A968" s="261" t="s">
        <v>10095</v>
      </c>
      <c r="B968" s="262" t="s">
        <v>24697</v>
      </c>
      <c r="C968" s="261" t="s">
        <v>331</v>
      </c>
      <c r="D968" s="440">
        <v>17.885100000000001</v>
      </c>
    </row>
    <row r="969" spans="1:4">
      <c r="A969" s="261" t="s">
        <v>10096</v>
      </c>
      <c r="B969" s="262" t="s">
        <v>24698</v>
      </c>
      <c r="C969" s="261" t="s">
        <v>331</v>
      </c>
      <c r="D969" s="440">
        <v>23.9315</v>
      </c>
    </row>
    <row r="970" spans="1:4">
      <c r="A970" s="261" t="s">
        <v>10097</v>
      </c>
      <c r="B970" s="262" t="s">
        <v>24699</v>
      </c>
      <c r="C970" s="261" t="s">
        <v>331</v>
      </c>
      <c r="D970" s="440">
        <v>22.535699999999999</v>
      </c>
    </row>
    <row r="971" spans="1:4">
      <c r="A971" s="261" t="s">
        <v>10098</v>
      </c>
      <c r="B971" s="262" t="s">
        <v>24700</v>
      </c>
      <c r="C971" s="261" t="s">
        <v>331</v>
      </c>
      <c r="D971" s="440">
        <v>31.1755</v>
      </c>
    </row>
    <row r="972" spans="1:4">
      <c r="A972" s="261" t="s">
        <v>10099</v>
      </c>
      <c r="B972" s="262" t="s">
        <v>24701</v>
      </c>
      <c r="C972" s="261" t="s">
        <v>331</v>
      </c>
      <c r="D972" s="440">
        <v>39.913699999999999</v>
      </c>
    </row>
    <row r="973" spans="1:4">
      <c r="A973" s="261" t="s">
        <v>10100</v>
      </c>
      <c r="B973" s="262" t="s">
        <v>24702</v>
      </c>
      <c r="C973" s="261" t="s">
        <v>331</v>
      </c>
      <c r="D973" s="440">
        <v>39.913699999999999</v>
      </c>
    </row>
    <row r="974" spans="1:4">
      <c r="A974" s="261" t="s">
        <v>10101</v>
      </c>
      <c r="B974" s="262" t="s">
        <v>24703</v>
      </c>
      <c r="C974" s="261" t="s">
        <v>331</v>
      </c>
      <c r="D974" s="440">
        <v>50.313099999999999</v>
      </c>
    </row>
    <row r="975" spans="1:4">
      <c r="A975" s="261" t="s">
        <v>10102</v>
      </c>
      <c r="B975" s="262" t="s">
        <v>24704</v>
      </c>
      <c r="C975" s="261" t="s">
        <v>331</v>
      </c>
      <c r="D975" s="440">
        <v>69.875500000000002</v>
      </c>
    </row>
    <row r="976" spans="1:4">
      <c r="A976" s="261" t="s">
        <v>10103</v>
      </c>
      <c r="B976" s="262" t="s">
        <v>24705</v>
      </c>
      <c r="C976" s="261" t="s">
        <v>328</v>
      </c>
      <c r="D976" s="440">
        <v>9.3701000000000008</v>
      </c>
    </row>
    <row r="977" spans="1:4">
      <c r="A977" s="261" t="s">
        <v>10104</v>
      </c>
      <c r="B977" s="262" t="s">
        <v>24706</v>
      </c>
      <c r="C977" s="261" t="s">
        <v>328</v>
      </c>
      <c r="D977" s="440">
        <v>43.6434</v>
      </c>
    </row>
    <row r="978" spans="1:4">
      <c r="A978" s="261" t="s">
        <v>10105</v>
      </c>
      <c r="B978" s="262" t="s">
        <v>24707</v>
      </c>
      <c r="C978" s="261" t="s">
        <v>328</v>
      </c>
      <c r="D978" s="440">
        <v>46.11</v>
      </c>
    </row>
    <row r="979" spans="1:4">
      <c r="A979" s="261" t="s">
        <v>10106</v>
      </c>
      <c r="B979" s="262" t="s">
        <v>24708</v>
      </c>
      <c r="C979" s="261" t="s">
        <v>328</v>
      </c>
      <c r="D979" s="440">
        <v>50.532299999999999</v>
      </c>
    </row>
    <row r="980" spans="1:4">
      <c r="A980" s="261" t="s">
        <v>10107</v>
      </c>
      <c r="B980" s="262" t="s">
        <v>24709</v>
      </c>
      <c r="C980" s="261" t="s">
        <v>328</v>
      </c>
      <c r="D980" s="440">
        <v>55.3459</v>
      </c>
    </row>
    <row r="981" spans="1:4">
      <c r="A981" s="261" t="s">
        <v>10108</v>
      </c>
      <c r="B981" s="262" t="s">
        <v>24710</v>
      </c>
      <c r="C981" s="261" t="s">
        <v>328</v>
      </c>
      <c r="D981" s="440">
        <v>76.989699999999999</v>
      </c>
    </row>
    <row r="982" spans="1:4">
      <c r="A982" s="261" t="s">
        <v>10109</v>
      </c>
      <c r="B982" s="262" t="s">
        <v>24711</v>
      </c>
      <c r="C982" s="261" t="s">
        <v>328</v>
      </c>
      <c r="D982" s="440">
        <v>87.109200000000001</v>
      </c>
    </row>
    <row r="983" spans="1:4">
      <c r="A983" s="261" t="s">
        <v>10110</v>
      </c>
      <c r="B983" s="262" t="s">
        <v>24712</v>
      </c>
      <c r="C983" s="261" t="s">
        <v>328</v>
      </c>
      <c r="D983" s="440">
        <v>91.872399999999999</v>
      </c>
    </row>
    <row r="984" spans="1:4">
      <c r="A984" s="261" t="s">
        <v>10111</v>
      </c>
      <c r="B984" s="262" t="s">
        <v>24713</v>
      </c>
      <c r="C984" s="261" t="s">
        <v>328</v>
      </c>
      <c r="D984" s="440">
        <v>98.371200000000002</v>
      </c>
    </row>
    <row r="985" spans="1:4">
      <c r="A985" s="261" t="s">
        <v>10112</v>
      </c>
      <c r="B985" s="262" t="s">
        <v>24714</v>
      </c>
      <c r="C985" s="261" t="s">
        <v>328</v>
      </c>
      <c r="D985" s="440">
        <v>99.836299999999994</v>
      </c>
    </row>
    <row r="986" spans="1:4">
      <c r="A986" s="261" t="s">
        <v>10113</v>
      </c>
      <c r="B986" s="262" t="s">
        <v>24715</v>
      </c>
      <c r="C986" s="261" t="s">
        <v>328</v>
      </c>
      <c r="D986" s="440">
        <v>128.10820000000001</v>
      </c>
    </row>
    <row r="987" spans="1:4">
      <c r="A987" s="261" t="s">
        <v>10114</v>
      </c>
      <c r="B987" s="262" t="s">
        <v>24716</v>
      </c>
      <c r="C987" s="261" t="s">
        <v>328</v>
      </c>
      <c r="D987" s="440">
        <v>136.4323</v>
      </c>
    </row>
    <row r="988" spans="1:4">
      <c r="A988" s="261" t="s">
        <v>10115</v>
      </c>
      <c r="B988" s="262" t="s">
        <v>24717</v>
      </c>
      <c r="C988" s="261" t="s">
        <v>328</v>
      </c>
      <c r="D988" s="440">
        <v>146.82259999999999</v>
      </c>
    </row>
    <row r="989" spans="1:4">
      <c r="A989" s="261" t="s">
        <v>10116</v>
      </c>
      <c r="B989" s="262" t="s">
        <v>24718</v>
      </c>
      <c r="C989" s="261" t="s">
        <v>328</v>
      </c>
      <c r="D989" s="440">
        <v>160.3622</v>
      </c>
    </row>
    <row r="990" spans="1:4">
      <c r="A990" s="261" t="s">
        <v>10117</v>
      </c>
      <c r="B990" s="262" t="s">
        <v>24719</v>
      </c>
      <c r="C990" s="261" t="s">
        <v>328</v>
      </c>
      <c r="D990" s="440">
        <v>170.80189999999999</v>
      </c>
    </row>
    <row r="991" spans="1:4">
      <c r="A991" s="261" t="s">
        <v>10118</v>
      </c>
      <c r="B991" s="262" t="s">
        <v>24720</v>
      </c>
      <c r="C991" s="261" t="s">
        <v>328</v>
      </c>
      <c r="D991" s="440">
        <v>179.44560000000001</v>
      </c>
    </row>
    <row r="992" spans="1:4">
      <c r="A992" s="261" t="s">
        <v>10119</v>
      </c>
      <c r="B992" s="262" t="s">
        <v>24721</v>
      </c>
      <c r="C992" s="261" t="s">
        <v>328</v>
      </c>
      <c r="D992" s="440">
        <v>183.82730000000001</v>
      </c>
    </row>
    <row r="993" spans="1:4">
      <c r="A993" s="261" t="s">
        <v>10120</v>
      </c>
      <c r="B993" s="262" t="s">
        <v>24722</v>
      </c>
      <c r="C993" s="261" t="s">
        <v>328</v>
      </c>
      <c r="D993" s="440">
        <v>38.273499999999999</v>
      </c>
    </row>
    <row r="994" spans="1:4">
      <c r="A994" s="261" t="s">
        <v>10121</v>
      </c>
      <c r="B994" s="262" t="s">
        <v>24723</v>
      </c>
      <c r="C994" s="261" t="s">
        <v>328</v>
      </c>
      <c r="D994" s="440">
        <v>44.655700000000003</v>
      </c>
    </row>
    <row r="995" spans="1:4">
      <c r="A995" s="261" t="s">
        <v>10122</v>
      </c>
      <c r="B995" s="262" t="s">
        <v>24724</v>
      </c>
      <c r="C995" s="261" t="s">
        <v>328</v>
      </c>
      <c r="D995" s="440">
        <v>51.118600000000001</v>
      </c>
    </row>
    <row r="996" spans="1:4">
      <c r="A996" s="261" t="s">
        <v>10123</v>
      </c>
      <c r="B996" s="262" t="s">
        <v>24725</v>
      </c>
      <c r="C996" s="261" t="s">
        <v>328</v>
      </c>
      <c r="D996" s="440">
        <v>38.269100000000002</v>
      </c>
    </row>
    <row r="997" spans="1:4">
      <c r="A997" s="261" t="s">
        <v>10124</v>
      </c>
      <c r="B997" s="262" t="s">
        <v>24726</v>
      </c>
      <c r="C997" s="261" t="s">
        <v>328</v>
      </c>
      <c r="D997" s="440">
        <v>46.904800000000002</v>
      </c>
    </row>
    <row r="998" spans="1:4">
      <c r="A998" s="261" t="s">
        <v>10125</v>
      </c>
      <c r="B998" s="262" t="s">
        <v>24727</v>
      </c>
      <c r="C998" s="261" t="s">
        <v>328</v>
      </c>
      <c r="D998" s="440">
        <v>55.469900000000003</v>
      </c>
    </row>
    <row r="999" spans="1:4">
      <c r="A999" s="261" t="s">
        <v>10126</v>
      </c>
      <c r="B999" s="262" t="s">
        <v>24728</v>
      </c>
      <c r="C999" s="261" t="s">
        <v>331</v>
      </c>
      <c r="D999" s="440">
        <v>0.42170000000000002</v>
      </c>
    </row>
    <row r="1000" spans="1:4">
      <c r="A1000" s="261" t="s">
        <v>10127</v>
      </c>
      <c r="B1000" s="262" t="s">
        <v>24729</v>
      </c>
      <c r="C1000" s="261" t="s">
        <v>331</v>
      </c>
      <c r="D1000" s="440">
        <v>1025.3556000000001</v>
      </c>
    </row>
    <row r="1001" spans="1:4">
      <c r="A1001" s="261" t="s">
        <v>10128</v>
      </c>
      <c r="B1001" s="262" t="s">
        <v>24730</v>
      </c>
      <c r="C1001" s="261" t="s">
        <v>331</v>
      </c>
      <c r="D1001" s="440">
        <v>2306.7530999999999</v>
      </c>
    </row>
    <row r="1002" spans="1:4">
      <c r="A1002" s="261" t="s">
        <v>10129</v>
      </c>
      <c r="B1002" s="262" t="s">
        <v>24731</v>
      </c>
      <c r="C1002" s="261" t="s">
        <v>328</v>
      </c>
      <c r="D1002" s="440">
        <v>4237.3298999999997</v>
      </c>
    </row>
    <row r="1003" spans="1:4">
      <c r="A1003" s="261" t="s">
        <v>10130</v>
      </c>
      <c r="B1003" s="262" t="s">
        <v>24732</v>
      </c>
      <c r="C1003" s="261" t="s">
        <v>328</v>
      </c>
      <c r="D1003" s="440">
        <v>4811.1495999999997</v>
      </c>
    </row>
    <row r="1004" spans="1:4">
      <c r="A1004" s="261" t="s">
        <v>10131</v>
      </c>
      <c r="B1004" s="262" t="s">
        <v>24733</v>
      </c>
      <c r="C1004" s="261" t="s">
        <v>328</v>
      </c>
      <c r="D1004" s="440">
        <v>5693.93</v>
      </c>
    </row>
    <row r="1005" spans="1:4">
      <c r="A1005" s="261" t="s">
        <v>10132</v>
      </c>
      <c r="B1005" s="262" t="s">
        <v>24734</v>
      </c>
      <c r="C1005" s="261" t="s">
        <v>328</v>
      </c>
      <c r="D1005" s="440">
        <v>6495.2442000000001</v>
      </c>
    </row>
    <row r="1006" spans="1:4">
      <c r="A1006" s="261" t="s">
        <v>10133</v>
      </c>
      <c r="B1006" s="262" t="s">
        <v>24735</v>
      </c>
      <c r="C1006" s="261" t="s">
        <v>328</v>
      </c>
      <c r="D1006" s="440">
        <v>7158.1127999999999</v>
      </c>
    </row>
    <row r="1007" spans="1:4">
      <c r="A1007" s="261" t="s">
        <v>10134</v>
      </c>
      <c r="B1007" s="262" t="s">
        <v>24736</v>
      </c>
      <c r="C1007" s="261" t="s">
        <v>328</v>
      </c>
      <c r="D1007" s="440">
        <v>7909.5463</v>
      </c>
    </row>
    <row r="1008" spans="1:4">
      <c r="A1008" s="261" t="s">
        <v>10135</v>
      </c>
      <c r="B1008" s="262" t="s">
        <v>24737</v>
      </c>
      <c r="C1008" s="261" t="s">
        <v>328</v>
      </c>
      <c r="D1008" s="440">
        <v>8528.1705000000002</v>
      </c>
    </row>
    <row r="1009" spans="1:4">
      <c r="A1009" s="261" t="s">
        <v>10136</v>
      </c>
      <c r="B1009" s="262" t="s">
        <v>24738</v>
      </c>
      <c r="C1009" s="261" t="s">
        <v>328</v>
      </c>
      <c r="D1009" s="440">
        <v>9279.1756999999998</v>
      </c>
    </row>
    <row r="1010" spans="1:4">
      <c r="A1010" s="261" t="s">
        <v>10137</v>
      </c>
      <c r="B1010" s="262" t="s">
        <v>24739</v>
      </c>
      <c r="C1010" s="261" t="s">
        <v>328</v>
      </c>
      <c r="D1010" s="440">
        <v>9941.6700999999994</v>
      </c>
    </row>
    <row r="1011" spans="1:4">
      <c r="A1011" s="261" t="s">
        <v>10138</v>
      </c>
      <c r="B1011" s="262" t="s">
        <v>24740</v>
      </c>
      <c r="C1011" s="261" t="s">
        <v>328</v>
      </c>
      <c r="D1011" s="440">
        <v>10737.3102</v>
      </c>
    </row>
    <row r="1012" spans="1:4">
      <c r="A1012" s="261" t="s">
        <v>10139</v>
      </c>
      <c r="B1012" s="262" t="s">
        <v>24741</v>
      </c>
      <c r="C1012" s="261" t="s">
        <v>328</v>
      </c>
      <c r="D1012" s="440">
        <v>13436.8768</v>
      </c>
    </row>
    <row r="1013" spans="1:4">
      <c r="A1013" s="261" t="s">
        <v>10140</v>
      </c>
      <c r="B1013" s="262" t="s">
        <v>24742</v>
      </c>
      <c r="C1013" s="261" t="s">
        <v>328</v>
      </c>
      <c r="D1013" s="440">
        <v>14387.1088</v>
      </c>
    </row>
    <row r="1014" spans="1:4">
      <c r="A1014" s="261" t="s">
        <v>10141</v>
      </c>
      <c r="B1014" s="262" t="s">
        <v>24743</v>
      </c>
      <c r="C1014" s="261" t="s">
        <v>328</v>
      </c>
      <c r="D1014" s="440">
        <v>15121.863799999999</v>
      </c>
    </row>
    <row r="1015" spans="1:4">
      <c r="A1015" s="261" t="s">
        <v>10142</v>
      </c>
      <c r="B1015" s="262" t="s">
        <v>24744</v>
      </c>
      <c r="C1015" s="261" t="s">
        <v>328</v>
      </c>
      <c r="D1015" s="440">
        <v>15986.0257</v>
      </c>
    </row>
    <row r="1016" spans="1:4">
      <c r="A1016" s="261" t="s">
        <v>10143</v>
      </c>
      <c r="B1016" s="262" t="s">
        <v>24745</v>
      </c>
      <c r="C1016" s="261" t="s">
        <v>328</v>
      </c>
      <c r="D1016" s="440">
        <v>16742.171600000001</v>
      </c>
    </row>
    <row r="1017" spans="1:4">
      <c r="A1017" s="261" t="s">
        <v>10144</v>
      </c>
      <c r="B1017" s="262" t="s">
        <v>24746</v>
      </c>
      <c r="C1017" s="261" t="s">
        <v>328</v>
      </c>
      <c r="D1017" s="440">
        <v>20890.273499999999</v>
      </c>
    </row>
    <row r="1018" spans="1:4">
      <c r="A1018" s="261" t="s">
        <v>10145</v>
      </c>
      <c r="B1018" s="262" t="s">
        <v>24747</v>
      </c>
      <c r="C1018" s="261" t="s">
        <v>328</v>
      </c>
      <c r="D1018" s="440">
        <v>21795.471000000001</v>
      </c>
    </row>
    <row r="1019" spans="1:4">
      <c r="A1019" s="261" t="s">
        <v>10146</v>
      </c>
      <c r="B1019" s="262" t="s">
        <v>24748</v>
      </c>
      <c r="C1019" s="261" t="s">
        <v>328</v>
      </c>
      <c r="D1019" s="440">
        <v>22864.803400000001</v>
      </c>
    </row>
    <row r="1020" spans="1:4">
      <c r="A1020" s="261" t="s">
        <v>10147</v>
      </c>
      <c r="B1020" s="262" t="s">
        <v>24749</v>
      </c>
      <c r="C1020" s="261" t="s">
        <v>328</v>
      </c>
      <c r="D1020" s="440">
        <v>27143.3904</v>
      </c>
    </row>
    <row r="1021" spans="1:4">
      <c r="A1021" s="261" t="s">
        <v>10148</v>
      </c>
      <c r="B1021" s="262" t="s">
        <v>24750</v>
      </c>
      <c r="C1021" s="261" t="s">
        <v>328</v>
      </c>
      <c r="D1021" s="440">
        <v>28434.038499999999</v>
      </c>
    </row>
    <row r="1022" spans="1:4">
      <c r="A1022" s="261" t="s">
        <v>10149</v>
      </c>
      <c r="B1022" s="262" t="s">
        <v>24751</v>
      </c>
      <c r="C1022" s="261" t="s">
        <v>328</v>
      </c>
      <c r="D1022" s="440">
        <v>4539.8948</v>
      </c>
    </row>
    <row r="1023" spans="1:4">
      <c r="A1023" s="261" t="s">
        <v>10150</v>
      </c>
      <c r="B1023" s="262" t="s">
        <v>24752</v>
      </c>
      <c r="C1023" s="261" t="s">
        <v>328</v>
      </c>
      <c r="D1023" s="440">
        <v>5154.6770999999999</v>
      </c>
    </row>
    <row r="1024" spans="1:4">
      <c r="A1024" s="261" t="s">
        <v>10151</v>
      </c>
      <c r="B1024" s="262" t="s">
        <v>24753</v>
      </c>
      <c r="C1024" s="261" t="s">
        <v>328</v>
      </c>
      <c r="D1024" s="440">
        <v>6100.5060999999996</v>
      </c>
    </row>
    <row r="1025" spans="1:4">
      <c r="A1025" s="261" t="s">
        <v>10152</v>
      </c>
      <c r="B1025" s="262" t="s">
        <v>24754</v>
      </c>
      <c r="C1025" s="261" t="s">
        <v>328</v>
      </c>
      <c r="D1025" s="440">
        <v>6958.54</v>
      </c>
    </row>
    <row r="1026" spans="1:4">
      <c r="A1026" s="261" t="s">
        <v>10153</v>
      </c>
      <c r="B1026" s="262" t="s">
        <v>24755</v>
      </c>
      <c r="C1026" s="261" t="s">
        <v>328</v>
      </c>
      <c r="D1026" s="440">
        <v>7668.68</v>
      </c>
    </row>
    <row r="1027" spans="1:4">
      <c r="A1027" s="261" t="s">
        <v>10154</v>
      </c>
      <c r="B1027" s="262" t="s">
        <v>24756</v>
      </c>
      <c r="C1027" s="261" t="s">
        <v>328</v>
      </c>
      <c r="D1027" s="440">
        <v>8473.7037</v>
      </c>
    </row>
    <row r="1028" spans="1:4">
      <c r="A1028" s="261" t="s">
        <v>10155</v>
      </c>
      <c r="B1028" s="262" t="s">
        <v>24757</v>
      </c>
      <c r="C1028" s="261" t="s">
        <v>328</v>
      </c>
      <c r="D1028" s="440">
        <v>9136.4398999999994</v>
      </c>
    </row>
    <row r="1029" spans="1:4">
      <c r="A1029" s="261" t="s">
        <v>10156</v>
      </c>
      <c r="B1029" s="262" t="s">
        <v>24758</v>
      </c>
      <c r="C1029" s="261" t="s">
        <v>328</v>
      </c>
      <c r="D1029" s="440">
        <v>9941.0252999999993</v>
      </c>
    </row>
    <row r="1030" spans="1:4">
      <c r="A1030" s="261" t="s">
        <v>10157</v>
      </c>
      <c r="B1030" s="262" t="s">
        <v>24759</v>
      </c>
      <c r="C1030" s="261" t="s">
        <v>328</v>
      </c>
      <c r="D1030" s="440">
        <v>10650.801100000001</v>
      </c>
    </row>
    <row r="1031" spans="1:4">
      <c r="A1031" s="261" t="s">
        <v>10158</v>
      </c>
      <c r="B1031" s="262" t="s">
        <v>24760</v>
      </c>
      <c r="C1031" s="261" t="s">
        <v>328</v>
      </c>
      <c r="D1031" s="440">
        <v>11503.170899999999</v>
      </c>
    </row>
    <row r="1032" spans="1:4">
      <c r="A1032" s="261" t="s">
        <v>10159</v>
      </c>
      <c r="B1032" s="262" t="s">
        <v>24761</v>
      </c>
      <c r="C1032" s="261" t="s">
        <v>328</v>
      </c>
      <c r="D1032" s="440">
        <v>14104.533799999999</v>
      </c>
    </row>
    <row r="1033" spans="1:4">
      <c r="A1033" s="261" t="s">
        <v>10160</v>
      </c>
      <c r="B1033" s="262" t="s">
        <v>24762</v>
      </c>
      <c r="C1033" s="261" t="s">
        <v>328</v>
      </c>
      <c r="D1033" s="440">
        <v>1424.7831000000001</v>
      </c>
    </row>
    <row r="1034" spans="1:4">
      <c r="A1034" s="261" t="s">
        <v>10161</v>
      </c>
      <c r="B1034" s="262" t="s">
        <v>24763</v>
      </c>
      <c r="C1034" s="261" t="s">
        <v>328</v>
      </c>
      <c r="D1034" s="440">
        <v>1647.4067</v>
      </c>
    </row>
    <row r="1035" spans="1:4">
      <c r="A1035" s="261" t="s">
        <v>10162</v>
      </c>
      <c r="B1035" s="262" t="s">
        <v>24764</v>
      </c>
      <c r="C1035" s="261" t="s">
        <v>328</v>
      </c>
      <c r="D1035" s="440">
        <v>1870.0325</v>
      </c>
    </row>
    <row r="1036" spans="1:4">
      <c r="A1036" s="261" t="s">
        <v>10163</v>
      </c>
      <c r="B1036" s="262" t="s">
        <v>24765</v>
      </c>
      <c r="C1036" s="261" t="s">
        <v>328</v>
      </c>
      <c r="D1036" s="440">
        <v>2048.1342</v>
      </c>
    </row>
    <row r="1037" spans="1:4">
      <c r="A1037" s="261" t="s">
        <v>10164</v>
      </c>
      <c r="B1037" s="262" t="s">
        <v>24766</v>
      </c>
      <c r="C1037" s="261" t="s">
        <v>328</v>
      </c>
      <c r="D1037" s="440">
        <v>2270.7595000000001</v>
      </c>
    </row>
    <row r="1038" spans="1:4">
      <c r="A1038" s="261" t="s">
        <v>10165</v>
      </c>
      <c r="B1038" s="262" t="s">
        <v>24767</v>
      </c>
      <c r="C1038" s="261" t="s">
        <v>328</v>
      </c>
      <c r="D1038" s="440">
        <v>2582.4342999999999</v>
      </c>
    </row>
    <row r="1039" spans="1:4">
      <c r="A1039" s="261" t="s">
        <v>10166</v>
      </c>
      <c r="B1039" s="262" t="s">
        <v>24768</v>
      </c>
      <c r="C1039" s="261" t="s">
        <v>328</v>
      </c>
      <c r="D1039" s="440">
        <v>2760.5381000000002</v>
      </c>
    </row>
    <row r="1040" spans="1:4">
      <c r="A1040" s="261" t="s">
        <v>10167</v>
      </c>
      <c r="B1040" s="262" t="s">
        <v>24769</v>
      </c>
      <c r="C1040" s="261" t="s">
        <v>328</v>
      </c>
      <c r="D1040" s="440">
        <v>2983.1604000000002</v>
      </c>
    </row>
    <row r="1041" spans="1:4">
      <c r="A1041" s="261" t="s">
        <v>10168</v>
      </c>
      <c r="B1041" s="262" t="s">
        <v>24770</v>
      </c>
      <c r="C1041" s="261" t="s">
        <v>328</v>
      </c>
      <c r="D1041" s="440">
        <v>3161.259</v>
      </c>
    </row>
    <row r="1042" spans="1:4">
      <c r="A1042" s="261" t="s">
        <v>10169</v>
      </c>
      <c r="B1042" s="262" t="s">
        <v>24771</v>
      </c>
      <c r="C1042" s="261" t="s">
        <v>328</v>
      </c>
      <c r="D1042" s="440">
        <v>3383.8649999999998</v>
      </c>
    </row>
    <row r="1043" spans="1:4">
      <c r="A1043" s="261" t="s">
        <v>10170</v>
      </c>
      <c r="B1043" s="262" t="s">
        <v>24772</v>
      </c>
      <c r="C1043" s="261" t="s">
        <v>328</v>
      </c>
      <c r="D1043" s="440">
        <v>3606.5038</v>
      </c>
    </row>
    <row r="1044" spans="1:4">
      <c r="A1044" s="261" t="s">
        <v>10171</v>
      </c>
      <c r="B1044" s="262" t="s">
        <v>24773</v>
      </c>
      <c r="C1044" s="261" t="s">
        <v>328</v>
      </c>
      <c r="D1044" s="440">
        <v>3784.6032</v>
      </c>
    </row>
    <row r="1045" spans="1:4">
      <c r="A1045" s="261" t="s">
        <v>10172</v>
      </c>
      <c r="B1045" s="262" t="s">
        <v>24774</v>
      </c>
      <c r="C1045" s="261" t="s">
        <v>328</v>
      </c>
      <c r="D1045" s="440">
        <v>4007.2114999999999</v>
      </c>
    </row>
    <row r="1046" spans="1:4">
      <c r="A1046" s="261" t="s">
        <v>10173</v>
      </c>
      <c r="B1046" s="262" t="s">
        <v>24775</v>
      </c>
      <c r="C1046" s="261" t="s">
        <v>328</v>
      </c>
      <c r="D1046" s="440">
        <v>4705.2121999999999</v>
      </c>
    </row>
    <row r="1047" spans="1:4">
      <c r="A1047" s="261" t="s">
        <v>10174</v>
      </c>
      <c r="B1047" s="262" t="s">
        <v>24776</v>
      </c>
      <c r="C1047" s="261" t="s">
        <v>328</v>
      </c>
      <c r="D1047" s="440">
        <v>4959.5654000000004</v>
      </c>
    </row>
    <row r="1048" spans="1:4">
      <c r="A1048" s="261" t="s">
        <v>10175</v>
      </c>
      <c r="B1048" s="262" t="s">
        <v>24777</v>
      </c>
      <c r="C1048" s="261" t="s">
        <v>328</v>
      </c>
      <c r="D1048" s="440">
        <v>5298.6369999999997</v>
      </c>
    </row>
    <row r="1049" spans="1:4">
      <c r="A1049" s="261" t="s">
        <v>10176</v>
      </c>
      <c r="B1049" s="262" t="s">
        <v>24778</v>
      </c>
      <c r="C1049" s="261" t="s">
        <v>328</v>
      </c>
      <c r="D1049" s="440">
        <v>5425.8467000000001</v>
      </c>
    </row>
    <row r="1050" spans="1:4">
      <c r="A1050" s="261" t="s">
        <v>10177</v>
      </c>
      <c r="B1050" s="262" t="s">
        <v>24779</v>
      </c>
      <c r="C1050" s="261" t="s">
        <v>328</v>
      </c>
      <c r="D1050" s="440">
        <v>5637.7825000000003</v>
      </c>
    </row>
    <row r="1051" spans="1:4">
      <c r="A1051" s="261" t="s">
        <v>10178</v>
      </c>
      <c r="B1051" s="262" t="s">
        <v>24780</v>
      </c>
      <c r="C1051" s="261" t="s">
        <v>328</v>
      </c>
      <c r="D1051" s="440">
        <v>7499.7484999999997</v>
      </c>
    </row>
    <row r="1052" spans="1:4">
      <c r="A1052" s="261" t="s">
        <v>10179</v>
      </c>
      <c r="B1052" s="262" t="s">
        <v>24781</v>
      </c>
      <c r="C1052" s="261" t="s">
        <v>328</v>
      </c>
      <c r="D1052" s="440">
        <v>9508.4123</v>
      </c>
    </row>
    <row r="1053" spans="1:4">
      <c r="A1053" s="261" t="s">
        <v>10180</v>
      </c>
      <c r="B1053" s="262" t="s">
        <v>24782</v>
      </c>
      <c r="C1053" s="261" t="s">
        <v>328</v>
      </c>
      <c r="D1053" s="440">
        <v>10049.2664</v>
      </c>
    </row>
    <row r="1054" spans="1:4">
      <c r="A1054" s="261" t="s">
        <v>10181</v>
      </c>
      <c r="B1054" s="262" t="s">
        <v>24783</v>
      </c>
      <c r="C1054" s="261" t="s">
        <v>328</v>
      </c>
      <c r="D1054" s="440">
        <v>10242.775900000001</v>
      </c>
    </row>
    <row r="1055" spans="1:4">
      <c r="A1055" s="261" t="s">
        <v>10182</v>
      </c>
      <c r="B1055" s="262" t="s">
        <v>24784</v>
      </c>
      <c r="C1055" s="261" t="s">
        <v>328</v>
      </c>
      <c r="D1055" s="440">
        <v>10745.2991</v>
      </c>
    </row>
    <row r="1056" spans="1:4">
      <c r="A1056" s="261" t="s">
        <v>10183</v>
      </c>
      <c r="B1056" s="262" t="s">
        <v>24785</v>
      </c>
      <c r="C1056" s="261" t="s">
        <v>328</v>
      </c>
      <c r="D1056" s="440">
        <v>7091.0623999999998</v>
      </c>
    </row>
    <row r="1057" spans="1:4">
      <c r="A1057" s="261" t="s">
        <v>10184</v>
      </c>
      <c r="B1057" s="262" t="s">
        <v>24786</v>
      </c>
      <c r="C1057" s="261" t="s">
        <v>328</v>
      </c>
      <c r="D1057" s="440">
        <v>8574.1869999999999</v>
      </c>
    </row>
    <row r="1058" spans="1:4">
      <c r="A1058" s="261" t="s">
        <v>10185</v>
      </c>
      <c r="B1058" s="262" t="s">
        <v>24787</v>
      </c>
      <c r="C1058" s="261" t="s">
        <v>328</v>
      </c>
      <c r="D1058" s="440">
        <v>8852.3331999999991</v>
      </c>
    </row>
    <row r="1059" spans="1:4">
      <c r="A1059" s="261" t="s">
        <v>10186</v>
      </c>
      <c r="B1059" s="262" t="s">
        <v>24788</v>
      </c>
      <c r="C1059" s="261" t="s">
        <v>328</v>
      </c>
      <c r="D1059" s="440">
        <v>10057.3303</v>
      </c>
    </row>
    <row r="1060" spans="1:4">
      <c r="A1060" s="261" t="s">
        <v>10187</v>
      </c>
      <c r="B1060" s="262" t="s">
        <v>24789</v>
      </c>
      <c r="C1060" s="261" t="s">
        <v>328</v>
      </c>
      <c r="D1060" s="440">
        <v>10613.529699999999</v>
      </c>
    </row>
    <row r="1061" spans="1:4">
      <c r="A1061" s="261" t="s">
        <v>10188</v>
      </c>
      <c r="B1061" s="262" t="s">
        <v>24790</v>
      </c>
      <c r="C1061" s="261" t="s">
        <v>328</v>
      </c>
      <c r="D1061" s="440">
        <v>12421.257299999999</v>
      </c>
    </row>
    <row r="1062" spans="1:4">
      <c r="A1062" s="261" t="s">
        <v>10189</v>
      </c>
      <c r="B1062" s="262" t="s">
        <v>24791</v>
      </c>
      <c r="C1062" s="261" t="s">
        <v>328</v>
      </c>
      <c r="D1062" s="440">
        <v>14182.124900000001</v>
      </c>
    </row>
    <row r="1063" spans="1:4">
      <c r="A1063" s="261" t="s">
        <v>10190</v>
      </c>
      <c r="B1063" s="262" t="s">
        <v>24792</v>
      </c>
      <c r="C1063" s="261" t="s">
        <v>328</v>
      </c>
      <c r="D1063" s="440">
        <v>15062.9316</v>
      </c>
    </row>
    <row r="1064" spans="1:4">
      <c r="A1064" s="261" t="s">
        <v>10191</v>
      </c>
      <c r="B1064" s="262" t="s">
        <v>24793</v>
      </c>
      <c r="C1064" s="261" t="s">
        <v>328</v>
      </c>
      <c r="D1064" s="440">
        <v>15943.7616</v>
      </c>
    </row>
    <row r="1065" spans="1:4">
      <c r="A1065" s="261" t="s">
        <v>10192</v>
      </c>
      <c r="B1065" s="262" t="s">
        <v>24794</v>
      </c>
      <c r="C1065" s="261" t="s">
        <v>328</v>
      </c>
      <c r="D1065" s="440">
        <v>17102.6054</v>
      </c>
    </row>
    <row r="1066" spans="1:4">
      <c r="A1066" s="261" t="s">
        <v>10193</v>
      </c>
      <c r="B1066" s="262" t="s">
        <v>24795</v>
      </c>
      <c r="C1066" s="261" t="s">
        <v>328</v>
      </c>
      <c r="D1066" s="440">
        <v>17705.04</v>
      </c>
    </row>
    <row r="1067" spans="1:4">
      <c r="A1067" s="261" t="s">
        <v>10194</v>
      </c>
      <c r="B1067" s="262" t="s">
        <v>24796</v>
      </c>
      <c r="C1067" s="261" t="s">
        <v>328</v>
      </c>
      <c r="D1067" s="440">
        <v>19512.7775</v>
      </c>
    </row>
    <row r="1068" spans="1:4">
      <c r="A1068" s="261" t="s">
        <v>10195</v>
      </c>
      <c r="B1068" s="262" t="s">
        <v>24797</v>
      </c>
      <c r="C1068" s="261" t="s">
        <v>328</v>
      </c>
      <c r="D1068" s="440">
        <v>21273.187399999999</v>
      </c>
    </row>
    <row r="1069" spans="1:4">
      <c r="A1069" s="261" t="s">
        <v>10196</v>
      </c>
      <c r="B1069" s="262" t="s">
        <v>24798</v>
      </c>
      <c r="C1069" s="261" t="s">
        <v>328</v>
      </c>
      <c r="D1069" s="440">
        <v>24317.474699999999</v>
      </c>
    </row>
    <row r="1070" spans="1:4">
      <c r="A1070" s="261" t="s">
        <v>10197</v>
      </c>
      <c r="B1070" s="262" t="s">
        <v>24799</v>
      </c>
      <c r="C1070" s="261" t="s">
        <v>328</v>
      </c>
      <c r="D1070" s="440">
        <v>25004.111499999999</v>
      </c>
    </row>
    <row r="1071" spans="1:4">
      <c r="A1071" s="261" t="s">
        <v>10198</v>
      </c>
      <c r="B1071" s="262" t="s">
        <v>24800</v>
      </c>
      <c r="C1071" s="261" t="s">
        <v>328</v>
      </c>
      <c r="D1071" s="440">
        <v>31555.730200000002</v>
      </c>
    </row>
    <row r="1072" spans="1:4">
      <c r="A1072" s="261" t="s">
        <v>10199</v>
      </c>
      <c r="B1072" s="262" t="s">
        <v>24801</v>
      </c>
      <c r="C1072" s="261" t="s">
        <v>328</v>
      </c>
      <c r="D1072" s="440">
        <v>33813.097300000001</v>
      </c>
    </row>
    <row r="1073" spans="1:4">
      <c r="A1073" s="261" t="s">
        <v>10200</v>
      </c>
      <c r="B1073" s="262" t="s">
        <v>24802</v>
      </c>
      <c r="C1073" s="261" t="s">
        <v>328</v>
      </c>
      <c r="D1073" s="440">
        <v>41649.335800000001</v>
      </c>
    </row>
    <row r="1074" spans="1:4">
      <c r="A1074" s="261" t="s">
        <v>10201</v>
      </c>
      <c r="B1074" s="262" t="s">
        <v>24803</v>
      </c>
      <c r="C1074" s="261" t="s">
        <v>328</v>
      </c>
      <c r="D1074" s="440">
        <v>49859.021999999997</v>
      </c>
    </row>
    <row r="1075" spans="1:4">
      <c r="A1075" s="261" t="s">
        <v>10202</v>
      </c>
      <c r="B1075" s="262" t="s">
        <v>24804</v>
      </c>
      <c r="C1075" s="261" t="s">
        <v>328</v>
      </c>
      <c r="D1075" s="440">
        <v>52785.796600000001</v>
      </c>
    </row>
    <row r="1076" spans="1:4">
      <c r="A1076" s="261" t="s">
        <v>10203</v>
      </c>
      <c r="B1076" s="262" t="s">
        <v>24805</v>
      </c>
      <c r="C1076" s="261" t="s">
        <v>328</v>
      </c>
      <c r="D1076" s="440">
        <v>55700.98</v>
      </c>
    </row>
    <row r="1077" spans="1:4">
      <c r="A1077" s="261" t="s">
        <v>10204</v>
      </c>
      <c r="B1077" s="262" t="s">
        <v>24806</v>
      </c>
      <c r="C1077" s="261" t="s">
        <v>24078</v>
      </c>
      <c r="D1077" s="440">
        <v>0.73499999999999999</v>
      </c>
    </row>
    <row r="1078" spans="1:4">
      <c r="A1078" s="261" t="s">
        <v>10205</v>
      </c>
      <c r="B1078" s="262" t="s">
        <v>24807</v>
      </c>
      <c r="C1078" s="261" t="s">
        <v>326</v>
      </c>
      <c r="D1078" s="440" t="s">
        <v>13</v>
      </c>
    </row>
    <row r="1079" spans="1:4">
      <c r="A1079" s="261" t="s">
        <v>10206</v>
      </c>
      <c r="B1079" s="262" t="s">
        <v>24808</v>
      </c>
      <c r="C1079" s="261" t="s">
        <v>326</v>
      </c>
      <c r="D1079" s="440" t="s">
        <v>13</v>
      </c>
    </row>
    <row r="1080" spans="1:4">
      <c r="A1080" s="261" t="s">
        <v>10207</v>
      </c>
      <c r="B1080" s="262" t="s">
        <v>24809</v>
      </c>
      <c r="C1080" s="261" t="s">
        <v>326</v>
      </c>
      <c r="D1080" s="440" t="s">
        <v>13</v>
      </c>
    </row>
    <row r="1081" spans="1:4">
      <c r="A1081" s="261" t="s">
        <v>10208</v>
      </c>
      <c r="B1081" s="262" t="s">
        <v>24810</v>
      </c>
      <c r="C1081" s="261" t="s">
        <v>331</v>
      </c>
      <c r="D1081" s="440">
        <v>5538.0050000000001</v>
      </c>
    </row>
    <row r="1082" spans="1:4">
      <c r="A1082" s="261" t="s">
        <v>10209</v>
      </c>
      <c r="B1082" s="262" t="s">
        <v>24811</v>
      </c>
      <c r="C1082" s="261" t="s">
        <v>331</v>
      </c>
      <c r="D1082" s="440">
        <v>9554.8966</v>
      </c>
    </row>
    <row r="1083" spans="1:4">
      <c r="A1083" s="261" t="s">
        <v>10210</v>
      </c>
      <c r="B1083" s="262" t="s">
        <v>24812</v>
      </c>
      <c r="C1083" s="261" t="s">
        <v>331</v>
      </c>
      <c r="D1083" s="440">
        <v>8354.4079999999994</v>
      </c>
    </row>
    <row r="1084" spans="1:4">
      <c r="A1084" s="261" t="s">
        <v>10211</v>
      </c>
      <c r="B1084" s="262" t="s">
        <v>24813</v>
      </c>
      <c r="C1084" s="261" t="s">
        <v>331</v>
      </c>
      <c r="D1084" s="440">
        <v>10620.744000000001</v>
      </c>
    </row>
    <row r="1085" spans="1:4">
      <c r="A1085" s="261" t="s">
        <v>10212</v>
      </c>
      <c r="B1085" s="262" t="s">
        <v>24814</v>
      </c>
      <c r="C1085" s="261" t="s">
        <v>331</v>
      </c>
      <c r="D1085" s="440">
        <v>13444.989</v>
      </c>
    </row>
    <row r="1086" spans="1:4">
      <c r="A1086" s="261" t="s">
        <v>10213</v>
      </c>
      <c r="B1086" s="262" t="s">
        <v>24815</v>
      </c>
      <c r="C1086" s="261" t="s">
        <v>331</v>
      </c>
      <c r="D1086" s="440">
        <v>15471.7703</v>
      </c>
    </row>
    <row r="1087" spans="1:4">
      <c r="A1087" s="261" t="s">
        <v>10214</v>
      </c>
      <c r="B1087" s="262" t="s">
        <v>24816</v>
      </c>
      <c r="C1087" s="261" t="s">
        <v>331</v>
      </c>
      <c r="D1087" s="440">
        <v>18739.784500000002</v>
      </c>
    </row>
    <row r="1088" spans="1:4">
      <c r="A1088" s="261" t="s">
        <v>10215</v>
      </c>
      <c r="B1088" s="262" t="s">
        <v>24817</v>
      </c>
      <c r="C1088" s="261" t="s">
        <v>331</v>
      </c>
      <c r="D1088" s="440">
        <v>22132.190500000001</v>
      </c>
    </row>
    <row r="1089" spans="1:4">
      <c r="A1089" s="261" t="s">
        <v>10216</v>
      </c>
      <c r="B1089" s="262" t="s">
        <v>24818</v>
      </c>
      <c r="C1089" s="261" t="s">
        <v>331</v>
      </c>
      <c r="D1089" s="440">
        <v>6055.3388000000004</v>
      </c>
    </row>
    <row r="1090" spans="1:4">
      <c r="A1090" s="261" t="s">
        <v>10217</v>
      </c>
      <c r="B1090" s="262" t="s">
        <v>24819</v>
      </c>
      <c r="C1090" s="261" t="s">
        <v>331</v>
      </c>
      <c r="D1090" s="440">
        <v>11643.3163</v>
      </c>
    </row>
    <row r="1091" spans="1:4">
      <c r="A1091" s="261" t="s">
        <v>10218</v>
      </c>
      <c r="B1091" s="262" t="s">
        <v>24820</v>
      </c>
      <c r="C1091" s="261" t="s">
        <v>331</v>
      </c>
      <c r="D1091" s="440">
        <v>14537.877500000001</v>
      </c>
    </row>
    <row r="1092" spans="1:4">
      <c r="A1092" s="261" t="s">
        <v>10219</v>
      </c>
      <c r="B1092" s="262" t="s">
        <v>24821</v>
      </c>
      <c r="C1092" s="261" t="s">
        <v>331</v>
      </c>
      <c r="D1092" s="440">
        <v>17955.300899999998</v>
      </c>
    </row>
    <row r="1093" spans="1:4">
      <c r="A1093" s="261" t="s">
        <v>10220</v>
      </c>
      <c r="B1093" s="262" t="s">
        <v>24822</v>
      </c>
      <c r="C1093" s="261" t="s">
        <v>331</v>
      </c>
      <c r="D1093" s="440">
        <v>20363.569299999999</v>
      </c>
    </row>
    <row r="1094" spans="1:4">
      <c r="A1094" s="261" t="s">
        <v>10221</v>
      </c>
      <c r="B1094" s="262" t="s">
        <v>24823</v>
      </c>
      <c r="C1094" s="261" t="s">
        <v>331</v>
      </c>
      <c r="D1094" s="440">
        <v>30693.869900000002</v>
      </c>
    </row>
    <row r="1095" spans="1:4">
      <c r="A1095" s="261" t="s">
        <v>10222</v>
      </c>
      <c r="B1095" s="262" t="s">
        <v>24824</v>
      </c>
      <c r="C1095" s="261" t="s">
        <v>331</v>
      </c>
      <c r="D1095" s="440">
        <v>56568.584600000002</v>
      </c>
    </row>
    <row r="1096" spans="1:4">
      <c r="A1096" s="261" t="s">
        <v>10223</v>
      </c>
      <c r="B1096" s="262" t="s">
        <v>24825</v>
      </c>
      <c r="C1096" s="261" t="s">
        <v>331</v>
      </c>
      <c r="D1096" s="440">
        <v>62921.0746</v>
      </c>
    </row>
    <row r="1097" spans="1:4">
      <c r="A1097" s="261" t="s">
        <v>10224</v>
      </c>
      <c r="B1097" s="262" t="s">
        <v>24826</v>
      </c>
      <c r="C1097" s="261" t="s">
        <v>331</v>
      </c>
      <c r="D1097" s="440">
        <v>68270.997399999993</v>
      </c>
    </row>
    <row r="1098" spans="1:4">
      <c r="A1098" s="261" t="s">
        <v>10225</v>
      </c>
      <c r="B1098" s="262" t="s">
        <v>24827</v>
      </c>
      <c r="C1098" s="261" t="s">
        <v>331</v>
      </c>
      <c r="D1098" s="440">
        <v>73661.455799999996</v>
      </c>
    </row>
    <row r="1099" spans="1:4">
      <c r="A1099" s="261" t="s">
        <v>10226</v>
      </c>
      <c r="B1099" s="262" t="s">
        <v>24828</v>
      </c>
      <c r="C1099" s="261" t="s">
        <v>331</v>
      </c>
      <c r="D1099" s="440">
        <v>83756.537299999996</v>
      </c>
    </row>
    <row r="1100" spans="1:4">
      <c r="A1100" s="261" t="s">
        <v>10227</v>
      </c>
      <c r="B1100" s="262" t="s">
        <v>24829</v>
      </c>
      <c r="C1100" s="261" t="s">
        <v>331</v>
      </c>
      <c r="D1100" s="440">
        <v>86422.500100000005</v>
      </c>
    </row>
    <row r="1101" spans="1:4">
      <c r="A1101" s="261" t="s">
        <v>10228</v>
      </c>
      <c r="B1101" s="262" t="s">
        <v>24830</v>
      </c>
      <c r="C1101" s="261" t="s">
        <v>331</v>
      </c>
      <c r="D1101" s="440">
        <v>96591.625400000004</v>
      </c>
    </row>
    <row r="1102" spans="1:4">
      <c r="A1102" s="261" t="s">
        <v>10229</v>
      </c>
      <c r="B1102" s="262" t="s">
        <v>24831</v>
      </c>
      <c r="C1102" s="261" t="s">
        <v>331</v>
      </c>
      <c r="D1102" s="440">
        <v>103253.3891</v>
      </c>
    </row>
    <row r="1103" spans="1:4">
      <c r="A1103" s="261" t="s">
        <v>10230</v>
      </c>
      <c r="B1103" s="262" t="s">
        <v>24832</v>
      </c>
      <c r="C1103" s="261" t="s">
        <v>331</v>
      </c>
      <c r="D1103" s="440">
        <v>560.47519999999997</v>
      </c>
    </row>
    <row r="1104" spans="1:4">
      <c r="A1104" s="261" t="s">
        <v>10231</v>
      </c>
      <c r="B1104" s="262" t="s">
        <v>24833</v>
      </c>
      <c r="C1104" s="261" t="s">
        <v>331</v>
      </c>
      <c r="D1104" s="440">
        <v>75.193299999999994</v>
      </c>
    </row>
    <row r="1105" spans="1:4">
      <c r="A1105" s="261" t="s">
        <v>10232</v>
      </c>
      <c r="B1105" s="262" t="s">
        <v>24834</v>
      </c>
      <c r="C1105" s="261" t="s">
        <v>331</v>
      </c>
      <c r="D1105" s="440">
        <v>71.058899999999994</v>
      </c>
    </row>
    <row r="1106" spans="1:4">
      <c r="A1106" s="261" t="s">
        <v>10233</v>
      </c>
      <c r="B1106" s="262" t="s">
        <v>24835</v>
      </c>
      <c r="C1106" s="261" t="s">
        <v>331</v>
      </c>
      <c r="D1106" s="440">
        <v>98.925299999999993</v>
      </c>
    </row>
    <row r="1107" spans="1:4">
      <c r="A1107" s="261" t="s">
        <v>10234</v>
      </c>
      <c r="B1107" s="262" t="s">
        <v>24836</v>
      </c>
      <c r="C1107" s="261" t="s">
        <v>331</v>
      </c>
      <c r="D1107" s="440">
        <v>130.142</v>
      </c>
    </row>
    <row r="1108" spans="1:4">
      <c r="A1108" s="261" t="s">
        <v>10235</v>
      </c>
      <c r="B1108" s="262" t="s">
        <v>24837</v>
      </c>
      <c r="C1108" s="261" t="s">
        <v>331</v>
      </c>
      <c r="D1108" s="440">
        <v>123.5402</v>
      </c>
    </row>
    <row r="1109" spans="1:4">
      <c r="A1109" s="261" t="s">
        <v>10236</v>
      </c>
      <c r="B1109" s="262" t="s">
        <v>24838</v>
      </c>
      <c r="C1109" s="261" t="s">
        <v>331</v>
      </c>
      <c r="D1109" s="440">
        <v>150.2902</v>
      </c>
    </row>
    <row r="1110" spans="1:4">
      <c r="A1110" s="261" t="s">
        <v>10237</v>
      </c>
      <c r="B1110" s="262" t="s">
        <v>24839</v>
      </c>
      <c r="C1110" s="261" t="s">
        <v>331</v>
      </c>
      <c r="D1110" s="440">
        <v>64.974299999999999</v>
      </c>
    </row>
    <row r="1111" spans="1:4">
      <c r="A1111" s="261" t="s">
        <v>10238</v>
      </c>
      <c r="B1111" s="262" t="s">
        <v>24840</v>
      </c>
      <c r="C1111" s="261" t="s">
        <v>331</v>
      </c>
      <c r="D1111" s="440">
        <v>130.39060000000001</v>
      </c>
    </row>
    <row r="1112" spans="1:4">
      <c r="A1112" s="261" t="s">
        <v>10239</v>
      </c>
      <c r="B1112" s="262" t="s">
        <v>24841</v>
      </c>
      <c r="C1112" s="261" t="s">
        <v>328</v>
      </c>
      <c r="D1112" s="440">
        <v>91.341899999999995</v>
      </c>
    </row>
    <row r="1113" spans="1:4">
      <c r="A1113" s="261" t="s">
        <v>10240</v>
      </c>
      <c r="B1113" s="262" t="s">
        <v>24842</v>
      </c>
      <c r="C1113" s="261" t="s">
        <v>331</v>
      </c>
      <c r="D1113" s="440">
        <v>284.85250000000002</v>
      </c>
    </row>
    <row r="1114" spans="1:4">
      <c r="A1114" s="261" t="s">
        <v>10241</v>
      </c>
      <c r="B1114" s="262" t="s">
        <v>24843</v>
      </c>
      <c r="C1114" s="261" t="s">
        <v>328</v>
      </c>
      <c r="D1114" s="440">
        <v>90.7898</v>
      </c>
    </row>
    <row r="1115" spans="1:4">
      <c r="A1115" s="261" t="s">
        <v>10242</v>
      </c>
      <c r="B1115" s="262" t="s">
        <v>24844</v>
      </c>
      <c r="C1115" s="261" t="s">
        <v>328</v>
      </c>
      <c r="D1115" s="440">
        <v>72.937600000000003</v>
      </c>
    </row>
    <row r="1116" spans="1:4">
      <c r="A1116" s="261" t="s">
        <v>10243</v>
      </c>
      <c r="B1116" s="262" t="s">
        <v>24845</v>
      </c>
      <c r="C1116" s="261" t="s">
        <v>331</v>
      </c>
      <c r="D1116" s="440">
        <v>105744.97530000001</v>
      </c>
    </row>
    <row r="1117" spans="1:4">
      <c r="A1117" s="261" t="s">
        <v>10244</v>
      </c>
      <c r="B1117" s="262" t="s">
        <v>24846</v>
      </c>
      <c r="C1117" s="261" t="s">
        <v>331</v>
      </c>
      <c r="D1117" s="440">
        <v>114303.3567</v>
      </c>
    </row>
    <row r="1118" spans="1:4">
      <c r="A1118" s="261" t="s">
        <v>10245</v>
      </c>
      <c r="B1118" s="262" t="s">
        <v>24847</v>
      </c>
      <c r="C1118" s="261" t="s">
        <v>331</v>
      </c>
      <c r="D1118" s="440">
        <v>120544.53780000001</v>
      </c>
    </row>
    <row r="1119" spans="1:4">
      <c r="A1119" s="261" t="s">
        <v>10246</v>
      </c>
      <c r="B1119" s="262" t="s">
        <v>24848</v>
      </c>
      <c r="C1119" s="261" t="s">
        <v>331</v>
      </c>
      <c r="D1119" s="440">
        <v>128150.02860000001</v>
      </c>
    </row>
    <row r="1120" spans="1:4">
      <c r="A1120" s="261" t="s">
        <v>10247</v>
      </c>
      <c r="B1120" s="262" t="s">
        <v>24849</v>
      </c>
      <c r="C1120" s="261" t="s">
        <v>331</v>
      </c>
      <c r="D1120" s="440">
        <v>50859.824999999997</v>
      </c>
    </row>
    <row r="1121" spans="1:4">
      <c r="A1121" s="261" t="s">
        <v>10248</v>
      </c>
      <c r="B1121" s="262" t="s">
        <v>24850</v>
      </c>
      <c r="C1121" s="261" t="s">
        <v>331</v>
      </c>
      <c r="D1121" s="440">
        <v>56287.679499999998</v>
      </c>
    </row>
    <row r="1122" spans="1:4">
      <c r="A1122" s="261" t="s">
        <v>10249</v>
      </c>
      <c r="B1122" s="262" t="s">
        <v>24851</v>
      </c>
      <c r="C1122" s="261" t="s">
        <v>331</v>
      </c>
      <c r="D1122" s="440">
        <v>61315.786500000002</v>
      </c>
    </row>
    <row r="1123" spans="1:4">
      <c r="A1123" s="261" t="s">
        <v>10250</v>
      </c>
      <c r="B1123" s="262" t="s">
        <v>24852</v>
      </c>
      <c r="C1123" s="261" t="s">
        <v>331</v>
      </c>
      <c r="D1123" s="440">
        <v>66273.764200000005</v>
      </c>
    </row>
    <row r="1124" spans="1:4">
      <c r="A1124" s="261" t="s">
        <v>10251</v>
      </c>
      <c r="B1124" s="262" t="s">
        <v>24853</v>
      </c>
      <c r="C1124" s="261" t="s">
        <v>331</v>
      </c>
      <c r="D1124" s="440">
        <v>73418.561600000001</v>
      </c>
    </row>
    <row r="1125" spans="1:4">
      <c r="A1125" s="261" t="s">
        <v>10252</v>
      </c>
      <c r="B1125" s="262" t="s">
        <v>24854</v>
      </c>
      <c r="C1125" s="261" t="s">
        <v>331</v>
      </c>
      <c r="D1125" s="440">
        <v>78966.724400000006</v>
      </c>
    </row>
    <row r="1126" spans="1:4">
      <c r="A1126" s="261" t="s">
        <v>10253</v>
      </c>
      <c r="B1126" s="262" t="s">
        <v>24855</v>
      </c>
      <c r="C1126" s="261" t="s">
        <v>331</v>
      </c>
      <c r="D1126" s="440">
        <v>85488.202799999999</v>
      </c>
    </row>
    <row r="1127" spans="1:4">
      <c r="A1127" s="261" t="s">
        <v>10254</v>
      </c>
      <c r="B1127" s="262" t="s">
        <v>24856</v>
      </c>
      <c r="C1127" s="261" t="s">
        <v>331</v>
      </c>
      <c r="D1127" s="440">
        <v>1.9392</v>
      </c>
    </row>
    <row r="1128" spans="1:4">
      <c r="A1128" s="261" t="s">
        <v>10255</v>
      </c>
      <c r="B1128" s="262" t="s">
        <v>24857</v>
      </c>
      <c r="C1128" s="261" t="s">
        <v>331</v>
      </c>
      <c r="D1128" s="440">
        <v>90149.784100000004</v>
      </c>
    </row>
    <row r="1129" spans="1:4">
      <c r="A1129" s="261" t="s">
        <v>10256</v>
      </c>
      <c r="B1129" s="262" t="s">
        <v>24858</v>
      </c>
      <c r="C1129" s="261" t="s">
        <v>331</v>
      </c>
      <c r="D1129" s="440">
        <v>97511.368000000002</v>
      </c>
    </row>
    <row r="1130" spans="1:4">
      <c r="A1130" s="261" t="s">
        <v>10257</v>
      </c>
      <c r="B1130" s="262" t="s">
        <v>24859</v>
      </c>
      <c r="C1130" s="261" t="s">
        <v>328</v>
      </c>
      <c r="D1130" s="440">
        <v>1513.8996999999999</v>
      </c>
    </row>
    <row r="1131" spans="1:4">
      <c r="A1131" s="261" t="s">
        <v>10258</v>
      </c>
      <c r="B1131" s="262" t="s">
        <v>24860</v>
      </c>
      <c r="C1131" s="261" t="s">
        <v>328</v>
      </c>
      <c r="D1131" s="440">
        <v>1750.4449</v>
      </c>
    </row>
    <row r="1132" spans="1:4">
      <c r="A1132" s="261" t="s">
        <v>10259</v>
      </c>
      <c r="B1132" s="262" t="s">
        <v>24861</v>
      </c>
      <c r="C1132" s="261" t="s">
        <v>328</v>
      </c>
      <c r="D1132" s="440">
        <v>1986.9922999999999</v>
      </c>
    </row>
    <row r="1133" spans="1:4">
      <c r="A1133" s="261" t="s">
        <v>10260</v>
      </c>
      <c r="B1133" s="262" t="s">
        <v>24862</v>
      </c>
      <c r="C1133" s="261" t="s">
        <v>328</v>
      </c>
      <c r="D1133" s="440">
        <v>2176.2273</v>
      </c>
    </row>
    <row r="1134" spans="1:4">
      <c r="A1134" s="261" t="s">
        <v>10261</v>
      </c>
      <c r="B1134" s="262" t="s">
        <v>24863</v>
      </c>
      <c r="C1134" s="261" t="s">
        <v>328</v>
      </c>
      <c r="D1134" s="440">
        <v>2412.7842999999998</v>
      </c>
    </row>
    <row r="1135" spans="1:4">
      <c r="A1135" s="261" t="s">
        <v>10262</v>
      </c>
      <c r="B1135" s="262" t="s">
        <v>24864</v>
      </c>
      <c r="C1135" s="261" t="s">
        <v>328</v>
      </c>
      <c r="D1135" s="440">
        <v>2743.9573999999998</v>
      </c>
    </row>
    <row r="1136" spans="1:4">
      <c r="A1136" s="261" t="s">
        <v>10263</v>
      </c>
      <c r="B1136" s="262" t="s">
        <v>24865</v>
      </c>
      <c r="C1136" s="261" t="s">
        <v>328</v>
      </c>
      <c r="D1136" s="440">
        <v>2933.1945000000001</v>
      </c>
    </row>
    <row r="1137" spans="1:4">
      <c r="A1137" s="261" t="s">
        <v>10264</v>
      </c>
      <c r="B1137" s="262" t="s">
        <v>24866</v>
      </c>
      <c r="C1137" s="261" t="s">
        <v>328</v>
      </c>
      <c r="D1137" s="440">
        <v>3169.7384999999999</v>
      </c>
    </row>
    <row r="1138" spans="1:4">
      <c r="A1138" s="261" t="s">
        <v>10265</v>
      </c>
      <c r="B1138" s="262" t="s">
        <v>24867</v>
      </c>
      <c r="C1138" s="261" t="s">
        <v>328</v>
      </c>
      <c r="D1138" s="440">
        <v>3358.9803999999999</v>
      </c>
    </row>
    <row r="1139" spans="1:4">
      <c r="A1139" s="261" t="s">
        <v>10266</v>
      </c>
      <c r="B1139" s="262" t="s">
        <v>24868</v>
      </c>
      <c r="C1139" s="261" t="s">
        <v>328</v>
      </c>
      <c r="D1139" s="440">
        <v>3595.5079999999998</v>
      </c>
    </row>
    <row r="1140" spans="1:4">
      <c r="A1140" s="261" t="s">
        <v>10267</v>
      </c>
      <c r="B1140" s="262" t="s">
        <v>24869</v>
      </c>
      <c r="C1140" s="261" t="s">
        <v>328</v>
      </c>
      <c r="D1140" s="440">
        <v>3832.0684999999999</v>
      </c>
    </row>
    <row r="1141" spans="1:4">
      <c r="A1141" s="261" t="s">
        <v>10268</v>
      </c>
      <c r="B1141" s="262" t="s">
        <v>24870</v>
      </c>
      <c r="C1141" s="261" t="s">
        <v>328</v>
      </c>
      <c r="D1141" s="440">
        <v>4021.3112000000001</v>
      </c>
    </row>
    <row r="1142" spans="1:4">
      <c r="A1142" s="261" t="s">
        <v>10269</v>
      </c>
      <c r="B1142" s="262" t="s">
        <v>24871</v>
      </c>
      <c r="C1142" s="261" t="s">
        <v>328</v>
      </c>
      <c r="D1142" s="440">
        <v>4257.8410999999996</v>
      </c>
    </row>
    <row r="1143" spans="1:4">
      <c r="A1143" s="261" t="s">
        <v>10270</v>
      </c>
      <c r="B1143" s="262" t="s">
        <v>24872</v>
      </c>
      <c r="C1143" s="261" t="s">
        <v>328</v>
      </c>
      <c r="D1143" s="440">
        <v>5005.5605999999998</v>
      </c>
    </row>
    <row r="1144" spans="1:4">
      <c r="A1144" s="261" t="s">
        <v>10271</v>
      </c>
      <c r="B1144" s="262" t="s">
        <v>24873</v>
      </c>
      <c r="C1144" s="261" t="s">
        <v>328</v>
      </c>
      <c r="D1144" s="440">
        <v>5276.1423000000004</v>
      </c>
    </row>
    <row r="1145" spans="1:4">
      <c r="A1145" s="261" t="s">
        <v>10272</v>
      </c>
      <c r="B1145" s="262" t="s">
        <v>24874</v>
      </c>
      <c r="C1145" s="261" t="s">
        <v>328</v>
      </c>
      <c r="D1145" s="440">
        <v>5636.8586999999998</v>
      </c>
    </row>
    <row r="1146" spans="1:4">
      <c r="A1146" s="261" t="s">
        <v>10273</v>
      </c>
      <c r="B1146" s="262" t="s">
        <v>24875</v>
      </c>
      <c r="C1146" s="261" t="s">
        <v>328</v>
      </c>
      <c r="D1146" s="440">
        <v>5772.1926999999996</v>
      </c>
    </row>
    <row r="1147" spans="1:4">
      <c r="A1147" s="261" t="s">
        <v>10274</v>
      </c>
      <c r="B1147" s="262" t="s">
        <v>24876</v>
      </c>
      <c r="C1147" s="261" t="s">
        <v>328</v>
      </c>
      <c r="D1147" s="440">
        <v>5997.6487999999999</v>
      </c>
    </row>
    <row r="1148" spans="1:4">
      <c r="A1148" s="261" t="s">
        <v>10275</v>
      </c>
      <c r="B1148" s="262" t="s">
        <v>24877</v>
      </c>
      <c r="C1148" s="261" t="s">
        <v>328</v>
      </c>
      <c r="D1148" s="440">
        <v>8167.3453</v>
      </c>
    </row>
    <row r="1149" spans="1:4">
      <c r="A1149" s="261" t="s">
        <v>10276</v>
      </c>
      <c r="B1149" s="262" t="s">
        <v>24878</v>
      </c>
      <c r="C1149" s="261" t="s">
        <v>328</v>
      </c>
      <c r="D1149" s="440">
        <v>10349.6986</v>
      </c>
    </row>
    <row r="1150" spans="1:4">
      <c r="A1150" s="261" t="s">
        <v>10277</v>
      </c>
      <c r="B1150" s="262" t="s">
        <v>24879</v>
      </c>
      <c r="C1150" s="261" t="s">
        <v>328</v>
      </c>
      <c r="D1150" s="440">
        <v>10938.4359</v>
      </c>
    </row>
    <row r="1151" spans="1:4">
      <c r="A1151" s="261" t="s">
        <v>10278</v>
      </c>
      <c r="B1151" s="262" t="s">
        <v>24880</v>
      </c>
      <c r="C1151" s="261" t="s">
        <v>328</v>
      </c>
      <c r="D1151" s="440">
        <v>11149.0566</v>
      </c>
    </row>
    <row r="1152" spans="1:4">
      <c r="A1152" s="261" t="s">
        <v>10279</v>
      </c>
      <c r="B1152" s="262" t="s">
        <v>24881</v>
      </c>
      <c r="C1152" s="261" t="s">
        <v>328</v>
      </c>
      <c r="D1152" s="440">
        <v>11696.022800000001</v>
      </c>
    </row>
    <row r="1153" spans="1:4">
      <c r="A1153" s="261" t="s">
        <v>10280</v>
      </c>
      <c r="B1153" s="262" t="s">
        <v>24882</v>
      </c>
      <c r="C1153" s="261" t="s">
        <v>328</v>
      </c>
      <c r="D1153" s="440">
        <v>7345.8044</v>
      </c>
    </row>
    <row r="1154" spans="1:4">
      <c r="A1154" s="261" t="s">
        <v>10281</v>
      </c>
      <c r="B1154" s="262" t="s">
        <v>24883</v>
      </c>
      <c r="C1154" s="261" t="s">
        <v>328</v>
      </c>
      <c r="D1154" s="440">
        <v>8882.2083000000002</v>
      </c>
    </row>
    <row r="1155" spans="1:4">
      <c r="A1155" s="261" t="s">
        <v>10282</v>
      </c>
      <c r="B1155" s="262" t="s">
        <v>24884</v>
      </c>
      <c r="C1155" s="261" t="s">
        <v>328</v>
      </c>
      <c r="D1155" s="440">
        <v>9170.3444</v>
      </c>
    </row>
    <row r="1156" spans="1:4">
      <c r="A1156" s="261" t="s">
        <v>10283</v>
      </c>
      <c r="B1156" s="262" t="s">
        <v>24885</v>
      </c>
      <c r="C1156" s="261" t="s">
        <v>328</v>
      </c>
      <c r="D1156" s="440">
        <v>10418.630999999999</v>
      </c>
    </row>
    <row r="1157" spans="1:4">
      <c r="A1157" s="261" t="s">
        <v>10284</v>
      </c>
      <c r="B1157" s="262" t="s">
        <v>24886</v>
      </c>
      <c r="C1157" s="261" t="s">
        <v>328</v>
      </c>
      <c r="D1157" s="440">
        <v>10994.820100000001</v>
      </c>
    </row>
    <row r="1158" spans="1:4">
      <c r="A1158" s="261" t="s">
        <v>10285</v>
      </c>
      <c r="B1158" s="262" t="s">
        <v>24887</v>
      </c>
      <c r="C1158" s="261" t="s">
        <v>328</v>
      </c>
      <c r="D1158" s="440">
        <v>12867.4719</v>
      </c>
    </row>
    <row r="1159" spans="1:4">
      <c r="A1159" s="261" t="s">
        <v>10286</v>
      </c>
      <c r="B1159" s="262" t="s">
        <v>24888</v>
      </c>
      <c r="C1159" s="261" t="s">
        <v>328</v>
      </c>
      <c r="D1159" s="440">
        <v>14691.6088</v>
      </c>
    </row>
    <row r="1160" spans="1:4">
      <c r="A1160" s="261" t="s">
        <v>10287</v>
      </c>
      <c r="B1160" s="262" t="s">
        <v>24889</v>
      </c>
      <c r="C1160" s="261" t="s">
        <v>328</v>
      </c>
      <c r="D1160" s="440">
        <v>15604.0501</v>
      </c>
    </row>
    <row r="1161" spans="1:4">
      <c r="A1161" s="261" t="s">
        <v>10288</v>
      </c>
      <c r="B1161" s="262" t="s">
        <v>24890</v>
      </c>
      <c r="C1161" s="261" t="s">
        <v>328</v>
      </c>
      <c r="D1161" s="440">
        <v>16516.5147</v>
      </c>
    </row>
    <row r="1162" spans="1:4">
      <c r="A1162" s="261" t="s">
        <v>10289</v>
      </c>
      <c r="B1162" s="262" t="s">
        <v>24891</v>
      </c>
      <c r="C1162" s="261" t="s">
        <v>328</v>
      </c>
      <c r="D1162" s="440">
        <v>17716.983</v>
      </c>
    </row>
    <row r="1163" spans="1:4">
      <c r="A1163" s="261" t="s">
        <v>10290</v>
      </c>
      <c r="B1163" s="262" t="s">
        <v>24892</v>
      </c>
      <c r="C1163" s="261" t="s">
        <v>328</v>
      </c>
      <c r="D1163" s="440">
        <v>18341.0723</v>
      </c>
    </row>
    <row r="1164" spans="1:4">
      <c r="A1164" s="261" t="s">
        <v>10291</v>
      </c>
      <c r="B1164" s="262" t="s">
        <v>24893</v>
      </c>
      <c r="C1164" s="261" t="s">
        <v>328</v>
      </c>
      <c r="D1164" s="440">
        <v>20213.734100000001</v>
      </c>
    </row>
    <row r="1165" spans="1:4">
      <c r="A1165" s="261" t="s">
        <v>10292</v>
      </c>
      <c r="B1165" s="262" t="s">
        <v>24894</v>
      </c>
      <c r="C1165" s="261" t="s">
        <v>328</v>
      </c>
      <c r="D1165" s="440">
        <v>22037.413199999999</v>
      </c>
    </row>
    <row r="1166" spans="1:4">
      <c r="A1166" s="261" t="s">
        <v>10293</v>
      </c>
      <c r="B1166" s="262" t="s">
        <v>24895</v>
      </c>
      <c r="C1166" s="261" t="s">
        <v>328</v>
      </c>
      <c r="D1166" s="440">
        <v>28093.6594</v>
      </c>
    </row>
    <row r="1167" spans="1:4">
      <c r="A1167" s="261" t="s">
        <v>10294</v>
      </c>
      <c r="B1167" s="262" t="s">
        <v>24896</v>
      </c>
      <c r="C1167" s="261" t="s">
        <v>328</v>
      </c>
      <c r="D1167" s="440">
        <v>28886.9352</v>
      </c>
    </row>
    <row r="1168" spans="1:4">
      <c r="A1168" s="261" t="s">
        <v>10295</v>
      </c>
      <c r="B1168" s="262" t="s">
        <v>24897</v>
      </c>
      <c r="C1168" s="261" t="s">
        <v>328</v>
      </c>
      <c r="D1168" s="440">
        <v>35321.092499999999</v>
      </c>
    </row>
    <row r="1169" spans="1:4">
      <c r="A1169" s="261" t="s">
        <v>10296</v>
      </c>
      <c r="B1169" s="262" t="s">
        <v>24898</v>
      </c>
      <c r="C1169" s="261" t="s">
        <v>328</v>
      </c>
      <c r="D1169" s="440">
        <v>37847.755100000002</v>
      </c>
    </row>
    <row r="1170" spans="1:4">
      <c r="A1170" s="261" t="s">
        <v>10297</v>
      </c>
      <c r="B1170" s="262" t="s">
        <v>24899</v>
      </c>
      <c r="C1170" s="261" t="s">
        <v>328</v>
      </c>
      <c r="D1170" s="440">
        <v>46783.933599999997</v>
      </c>
    </row>
    <row r="1171" spans="1:4">
      <c r="A1171" s="261" t="s">
        <v>10298</v>
      </c>
      <c r="B1171" s="262" t="s">
        <v>24900</v>
      </c>
      <c r="C1171" s="261" t="s">
        <v>328</v>
      </c>
      <c r="D1171" s="440">
        <v>59933.505100000002</v>
      </c>
    </row>
    <row r="1172" spans="1:4">
      <c r="A1172" s="261" t="s">
        <v>10299</v>
      </c>
      <c r="B1172" s="262" t="s">
        <v>24901</v>
      </c>
      <c r="C1172" s="261" t="s">
        <v>328</v>
      </c>
      <c r="D1172" s="440">
        <v>63450.565199999997</v>
      </c>
    </row>
    <row r="1173" spans="1:4">
      <c r="A1173" s="261" t="s">
        <v>10300</v>
      </c>
      <c r="B1173" s="262" t="s">
        <v>24902</v>
      </c>
      <c r="C1173" s="261" t="s">
        <v>328</v>
      </c>
      <c r="D1173" s="440">
        <v>66956.0141</v>
      </c>
    </row>
    <row r="1174" spans="1:4">
      <c r="A1174" s="261" t="s">
        <v>10301</v>
      </c>
      <c r="B1174" s="262" t="s">
        <v>24903</v>
      </c>
      <c r="C1174" s="261" t="s">
        <v>331</v>
      </c>
      <c r="D1174" s="440">
        <v>103376.30869999999</v>
      </c>
    </row>
    <row r="1175" spans="1:4">
      <c r="A1175" s="261" t="s">
        <v>10302</v>
      </c>
      <c r="B1175" s="262" t="s">
        <v>24904</v>
      </c>
      <c r="C1175" s="261" t="s">
        <v>331</v>
      </c>
      <c r="D1175" s="440">
        <v>109155.732</v>
      </c>
    </row>
    <row r="1176" spans="1:4">
      <c r="A1176" s="261" t="s">
        <v>10303</v>
      </c>
      <c r="B1176" s="262" t="s">
        <v>24905</v>
      </c>
      <c r="C1176" s="261" t="s">
        <v>331</v>
      </c>
      <c r="D1176" s="440">
        <v>113550.66160000001</v>
      </c>
    </row>
    <row r="1177" spans="1:4">
      <c r="A1177" s="261" t="s">
        <v>10304</v>
      </c>
      <c r="B1177" s="262" t="s">
        <v>24906</v>
      </c>
      <c r="C1177" s="261" t="s">
        <v>331</v>
      </c>
      <c r="D1177" s="440">
        <v>0.57709999999999995</v>
      </c>
    </row>
    <row r="1178" spans="1:4">
      <c r="A1178" s="261" t="s">
        <v>83</v>
      </c>
      <c r="B1178" s="262" t="s">
        <v>24907</v>
      </c>
      <c r="C1178" s="261" t="s">
        <v>328</v>
      </c>
      <c r="D1178" s="440">
        <v>1961.5920000000001</v>
      </c>
    </row>
    <row r="1179" spans="1:4">
      <c r="A1179" s="261" t="s">
        <v>10305</v>
      </c>
      <c r="B1179" s="262" t="s">
        <v>24908</v>
      </c>
      <c r="C1179" s="261" t="s">
        <v>328</v>
      </c>
      <c r="D1179" s="440">
        <v>2036.51</v>
      </c>
    </row>
    <row r="1180" spans="1:4">
      <c r="A1180" s="261" t="s">
        <v>10306</v>
      </c>
      <c r="B1180" s="262" t="s">
        <v>24909</v>
      </c>
      <c r="C1180" s="261" t="s">
        <v>328</v>
      </c>
      <c r="D1180" s="440">
        <v>2094.1945999999998</v>
      </c>
    </row>
    <row r="1181" spans="1:4">
      <c r="A1181" s="261" t="s">
        <v>10307</v>
      </c>
      <c r="B1181" s="262" t="s">
        <v>24910</v>
      </c>
      <c r="C1181" s="261" t="s">
        <v>328</v>
      </c>
      <c r="D1181" s="440">
        <v>2325.7229000000002</v>
      </c>
    </row>
    <row r="1182" spans="1:4">
      <c r="A1182" s="261" t="s">
        <v>10308</v>
      </c>
      <c r="B1182" s="262" t="s">
        <v>24911</v>
      </c>
      <c r="C1182" s="261" t="s">
        <v>328</v>
      </c>
      <c r="D1182" s="440">
        <v>2696.1329999999998</v>
      </c>
    </row>
    <row r="1183" spans="1:4">
      <c r="A1183" s="261" t="s">
        <v>10309</v>
      </c>
      <c r="B1183" s="262" t="s">
        <v>24912</v>
      </c>
      <c r="C1183" s="261" t="s">
        <v>328</v>
      </c>
      <c r="D1183" s="440">
        <v>2828.1842000000001</v>
      </c>
    </row>
    <row r="1184" spans="1:4">
      <c r="A1184" s="261" t="s">
        <v>10310</v>
      </c>
      <c r="B1184" s="262" t="s">
        <v>24913</v>
      </c>
      <c r="C1184" s="261" t="s">
        <v>328</v>
      </c>
      <c r="D1184" s="440">
        <v>2943.3029000000001</v>
      </c>
    </row>
    <row r="1185" spans="1:4">
      <c r="A1185" s="261" t="s">
        <v>10311</v>
      </c>
      <c r="B1185" s="262" t="s">
        <v>24914</v>
      </c>
      <c r="C1185" s="261" t="s">
        <v>328</v>
      </c>
      <c r="D1185" s="440">
        <v>2926.4769000000001</v>
      </c>
    </row>
    <row r="1186" spans="1:4">
      <c r="A1186" s="261" t="s">
        <v>10312</v>
      </c>
      <c r="B1186" s="262" t="s">
        <v>24915</v>
      </c>
      <c r="C1186" s="261" t="s">
        <v>328</v>
      </c>
      <c r="D1186" s="440">
        <v>2964.2837</v>
      </c>
    </row>
    <row r="1187" spans="1:4">
      <c r="A1187" s="261" t="s">
        <v>10313</v>
      </c>
      <c r="B1187" s="262" t="s">
        <v>24916</v>
      </c>
      <c r="C1187" s="261" t="s">
        <v>328</v>
      </c>
      <c r="D1187" s="440">
        <v>2978.2020000000002</v>
      </c>
    </row>
    <row r="1188" spans="1:4">
      <c r="A1188" s="261" t="s">
        <v>10314</v>
      </c>
      <c r="B1188" s="262" t="s">
        <v>24917</v>
      </c>
      <c r="C1188" s="261" t="s">
        <v>328</v>
      </c>
      <c r="D1188" s="440">
        <v>3396.8216000000002</v>
      </c>
    </row>
    <row r="1189" spans="1:4">
      <c r="A1189" s="261" t="s">
        <v>85</v>
      </c>
      <c r="B1189" s="262" t="s">
        <v>24918</v>
      </c>
      <c r="C1189" s="261" t="s">
        <v>328</v>
      </c>
      <c r="D1189" s="440">
        <v>3706.0252</v>
      </c>
    </row>
    <row r="1190" spans="1:4">
      <c r="A1190" s="261" t="s">
        <v>10315</v>
      </c>
      <c r="B1190" s="262" t="s">
        <v>24919</v>
      </c>
      <c r="C1190" s="261" t="s">
        <v>328</v>
      </c>
      <c r="D1190" s="440">
        <v>3747.1408000000001</v>
      </c>
    </row>
    <row r="1191" spans="1:4">
      <c r="A1191" s="261" t="s">
        <v>10316</v>
      </c>
      <c r="B1191" s="262" t="s">
        <v>24920</v>
      </c>
      <c r="C1191" s="261" t="s">
        <v>328</v>
      </c>
      <c r="D1191" s="440">
        <v>4058.5621999999998</v>
      </c>
    </row>
    <row r="1192" spans="1:4">
      <c r="A1192" s="261" t="s">
        <v>86</v>
      </c>
      <c r="B1192" s="262" t="s">
        <v>24921</v>
      </c>
      <c r="C1192" s="261" t="s">
        <v>328</v>
      </c>
      <c r="D1192" s="440">
        <v>3500.2654000000002</v>
      </c>
    </row>
    <row r="1193" spans="1:4">
      <c r="A1193" s="261" t="s">
        <v>10317</v>
      </c>
      <c r="B1193" s="262" t="s">
        <v>24922</v>
      </c>
      <c r="C1193" s="261" t="s">
        <v>328</v>
      </c>
      <c r="D1193" s="440">
        <v>3717.2926000000002</v>
      </c>
    </row>
    <row r="1194" spans="1:4">
      <c r="A1194" s="261" t="s">
        <v>10318</v>
      </c>
      <c r="B1194" s="262" t="s">
        <v>24923</v>
      </c>
      <c r="C1194" s="261" t="s">
        <v>328</v>
      </c>
      <c r="D1194" s="440">
        <v>4501.8229000000001</v>
      </c>
    </row>
    <row r="1195" spans="1:4">
      <c r="A1195" s="261" t="s">
        <v>10319</v>
      </c>
      <c r="B1195" s="262" t="s">
        <v>24924</v>
      </c>
      <c r="C1195" s="261" t="s">
        <v>328</v>
      </c>
      <c r="D1195" s="440">
        <v>4690.4934000000003</v>
      </c>
    </row>
    <row r="1196" spans="1:4">
      <c r="A1196" s="261" t="s">
        <v>10320</v>
      </c>
      <c r="B1196" s="262" t="s">
        <v>24925</v>
      </c>
      <c r="C1196" s="261" t="s">
        <v>328</v>
      </c>
      <c r="D1196" s="440">
        <v>4796.8262000000004</v>
      </c>
    </row>
    <row r="1197" spans="1:4">
      <c r="A1197" s="261" t="s">
        <v>10321</v>
      </c>
      <c r="B1197" s="262" t="s">
        <v>24926</v>
      </c>
      <c r="C1197" s="261" t="s">
        <v>328</v>
      </c>
      <c r="D1197" s="440">
        <v>5220.3714</v>
      </c>
    </row>
    <row r="1198" spans="1:4">
      <c r="A1198" s="261" t="s">
        <v>10322</v>
      </c>
      <c r="B1198" s="262" t="s">
        <v>24927</v>
      </c>
      <c r="C1198" s="261" t="s">
        <v>328</v>
      </c>
      <c r="D1198" s="440">
        <v>5294.4872999999998</v>
      </c>
    </row>
    <row r="1199" spans="1:4">
      <c r="A1199" s="261" t="s">
        <v>10323</v>
      </c>
      <c r="B1199" s="262" t="s">
        <v>24928</v>
      </c>
      <c r="C1199" s="261" t="s">
        <v>328</v>
      </c>
      <c r="D1199" s="440">
        <v>4642.0457999999999</v>
      </c>
    </row>
    <row r="1200" spans="1:4">
      <c r="A1200" s="261" t="s">
        <v>10324</v>
      </c>
      <c r="B1200" s="262" t="s">
        <v>24929</v>
      </c>
      <c r="C1200" s="261" t="s">
        <v>328</v>
      </c>
      <c r="D1200" s="440">
        <v>5619.3011999999999</v>
      </c>
    </row>
    <row r="1201" spans="1:4">
      <c r="A1201" s="261" t="s">
        <v>10325</v>
      </c>
      <c r="B1201" s="262" t="s">
        <v>24930</v>
      </c>
      <c r="C1201" s="261" t="s">
        <v>328</v>
      </c>
      <c r="D1201" s="440">
        <v>5866.9974000000002</v>
      </c>
    </row>
    <row r="1202" spans="1:4">
      <c r="A1202" s="261" t="s">
        <v>10326</v>
      </c>
      <c r="B1202" s="262" t="s">
        <v>24931</v>
      </c>
      <c r="C1202" s="261" t="s">
        <v>328</v>
      </c>
      <c r="D1202" s="440">
        <v>6274.1866</v>
      </c>
    </row>
    <row r="1203" spans="1:4">
      <c r="A1203" s="261" t="s">
        <v>10327</v>
      </c>
      <c r="B1203" s="262" t="s">
        <v>24932</v>
      </c>
      <c r="C1203" s="261" t="s">
        <v>328</v>
      </c>
      <c r="D1203" s="440">
        <v>6522.5847999999996</v>
      </c>
    </row>
    <row r="1204" spans="1:4">
      <c r="A1204" s="261" t="s">
        <v>10328</v>
      </c>
      <c r="B1204" s="262" t="s">
        <v>24933</v>
      </c>
      <c r="C1204" s="261" t="s">
        <v>328</v>
      </c>
      <c r="D1204" s="440">
        <v>6654.2412000000004</v>
      </c>
    </row>
    <row r="1205" spans="1:4">
      <c r="A1205" s="261" t="s">
        <v>10329</v>
      </c>
      <c r="B1205" s="262" t="s">
        <v>24934</v>
      </c>
      <c r="C1205" s="261" t="s">
        <v>328</v>
      </c>
      <c r="D1205" s="440">
        <v>6844.7979999999998</v>
      </c>
    </row>
    <row r="1206" spans="1:4">
      <c r="A1206" s="261" t="s">
        <v>10330</v>
      </c>
      <c r="B1206" s="262" t="s">
        <v>24935</v>
      </c>
      <c r="C1206" s="261" t="s">
        <v>328</v>
      </c>
      <c r="D1206" s="440">
        <v>2008.3914</v>
      </c>
    </row>
    <row r="1207" spans="1:4">
      <c r="A1207" s="261" t="s">
        <v>10331</v>
      </c>
      <c r="B1207" s="262" t="s">
        <v>24936</v>
      </c>
      <c r="C1207" s="261" t="s">
        <v>328</v>
      </c>
      <c r="D1207" s="440">
        <v>2121.9308999999998</v>
      </c>
    </row>
    <row r="1208" spans="1:4">
      <c r="A1208" s="261" t="s">
        <v>10332</v>
      </c>
      <c r="B1208" s="262" t="s">
        <v>24937</v>
      </c>
      <c r="C1208" s="261" t="s">
        <v>328</v>
      </c>
      <c r="D1208" s="440">
        <v>2837.2896999999998</v>
      </c>
    </row>
    <row r="1209" spans="1:4">
      <c r="A1209" s="261" t="s">
        <v>10333</v>
      </c>
      <c r="B1209" s="262" t="s">
        <v>24938</v>
      </c>
      <c r="C1209" s="261" t="s">
        <v>328</v>
      </c>
      <c r="D1209" s="440">
        <v>2992.2141999999999</v>
      </c>
    </row>
    <row r="1210" spans="1:4">
      <c r="A1210" s="261" t="s">
        <v>10334</v>
      </c>
      <c r="B1210" s="262" t="s">
        <v>24939</v>
      </c>
      <c r="C1210" s="261" t="s">
        <v>328</v>
      </c>
      <c r="D1210" s="440">
        <v>2571.5830000000001</v>
      </c>
    </row>
    <row r="1211" spans="1:4">
      <c r="A1211" s="261" t="s">
        <v>10335</v>
      </c>
      <c r="B1211" s="262" t="s">
        <v>24940</v>
      </c>
      <c r="C1211" s="261" t="s">
        <v>328</v>
      </c>
      <c r="D1211" s="440">
        <v>3416.9438</v>
      </c>
    </row>
    <row r="1212" spans="1:4">
      <c r="A1212" s="261" t="s">
        <v>10336</v>
      </c>
      <c r="B1212" s="262" t="s">
        <v>24941</v>
      </c>
      <c r="C1212" s="261" t="s">
        <v>328</v>
      </c>
      <c r="D1212" s="440">
        <v>3926.7121000000002</v>
      </c>
    </row>
    <row r="1213" spans="1:4">
      <c r="A1213" s="261" t="s">
        <v>10337</v>
      </c>
      <c r="B1213" s="262" t="s">
        <v>24942</v>
      </c>
      <c r="C1213" s="261" t="s">
        <v>328</v>
      </c>
      <c r="D1213" s="440">
        <v>3095.0183999999999</v>
      </c>
    </row>
    <row r="1214" spans="1:4">
      <c r="A1214" s="261" t="s">
        <v>10338</v>
      </c>
      <c r="B1214" s="262" t="s">
        <v>24943</v>
      </c>
      <c r="C1214" s="261" t="s">
        <v>328</v>
      </c>
      <c r="D1214" s="440">
        <v>3909.0025000000001</v>
      </c>
    </row>
    <row r="1215" spans="1:4">
      <c r="A1215" s="261" t="s">
        <v>10339</v>
      </c>
      <c r="B1215" s="262" t="s">
        <v>24944</v>
      </c>
      <c r="C1215" s="261" t="s">
        <v>328</v>
      </c>
      <c r="D1215" s="440">
        <v>4247.9602000000004</v>
      </c>
    </row>
    <row r="1216" spans="1:4">
      <c r="A1216" s="261" t="s">
        <v>10340</v>
      </c>
      <c r="B1216" s="262" t="s">
        <v>24945</v>
      </c>
      <c r="C1216" s="261" t="s">
        <v>331</v>
      </c>
      <c r="D1216" s="440">
        <v>11057.608700000001</v>
      </c>
    </row>
    <row r="1217" spans="1:4">
      <c r="A1217" s="261" t="s">
        <v>10341</v>
      </c>
      <c r="B1217" s="262" t="s">
        <v>24946</v>
      </c>
      <c r="C1217" s="261" t="s">
        <v>331</v>
      </c>
      <c r="D1217" s="440">
        <v>15341.164500000001</v>
      </c>
    </row>
    <row r="1218" spans="1:4">
      <c r="A1218" s="261" t="s">
        <v>10342</v>
      </c>
      <c r="B1218" s="262" t="s">
        <v>24947</v>
      </c>
      <c r="C1218" s="261" t="s">
        <v>331</v>
      </c>
      <c r="D1218" s="440">
        <v>20185.441800000001</v>
      </c>
    </row>
    <row r="1219" spans="1:4">
      <c r="A1219" s="261" t="s">
        <v>10343</v>
      </c>
      <c r="B1219" s="262" t="s">
        <v>24948</v>
      </c>
      <c r="C1219" s="261" t="s">
        <v>331</v>
      </c>
      <c r="D1219" s="440">
        <v>24815.9162</v>
      </c>
    </row>
    <row r="1220" spans="1:4">
      <c r="A1220" s="261" t="s">
        <v>10344</v>
      </c>
      <c r="B1220" s="262" t="s">
        <v>24949</v>
      </c>
      <c r="C1220" s="261" t="s">
        <v>331</v>
      </c>
      <c r="D1220" s="440">
        <v>28887.784500000002</v>
      </c>
    </row>
    <row r="1221" spans="1:4">
      <c r="A1221" s="261" t="s">
        <v>10345</v>
      </c>
      <c r="B1221" s="262" t="s">
        <v>24950</v>
      </c>
      <c r="C1221" s="261" t="s">
        <v>331</v>
      </c>
      <c r="D1221" s="440">
        <v>33131.376400000001</v>
      </c>
    </row>
    <row r="1222" spans="1:4">
      <c r="A1222" s="261" t="s">
        <v>10346</v>
      </c>
      <c r="B1222" s="262" t="s">
        <v>24951</v>
      </c>
      <c r="C1222" s="261" t="s">
        <v>331</v>
      </c>
      <c r="D1222" s="440">
        <v>38106.597900000001</v>
      </c>
    </row>
    <row r="1223" spans="1:4">
      <c r="A1223" s="261" t="s">
        <v>10347</v>
      </c>
      <c r="B1223" s="262" t="s">
        <v>24952</v>
      </c>
      <c r="C1223" s="261" t="s">
        <v>331</v>
      </c>
      <c r="D1223" s="440">
        <v>43592.172599999998</v>
      </c>
    </row>
    <row r="1224" spans="1:4">
      <c r="A1224" s="261" t="s">
        <v>10348</v>
      </c>
      <c r="B1224" s="262" t="s">
        <v>24953</v>
      </c>
      <c r="C1224" s="261" t="s">
        <v>331</v>
      </c>
      <c r="D1224" s="440">
        <v>48890.399799999999</v>
      </c>
    </row>
    <row r="1225" spans="1:4">
      <c r="A1225" s="261" t="s">
        <v>10349</v>
      </c>
      <c r="B1225" s="262" t="s">
        <v>24954</v>
      </c>
      <c r="C1225" s="261" t="s">
        <v>331</v>
      </c>
      <c r="D1225" s="440">
        <v>52883.018400000001</v>
      </c>
    </row>
    <row r="1226" spans="1:4">
      <c r="A1226" s="261" t="s">
        <v>10350</v>
      </c>
      <c r="B1226" s="262" t="s">
        <v>24955</v>
      </c>
      <c r="C1226" s="261" t="s">
        <v>331</v>
      </c>
      <c r="D1226" s="440">
        <v>60458.657099999997</v>
      </c>
    </row>
    <row r="1227" spans="1:4">
      <c r="A1227" s="261" t="s">
        <v>10351</v>
      </c>
      <c r="B1227" s="262" t="s">
        <v>24956</v>
      </c>
      <c r="C1227" s="261" t="s">
        <v>331</v>
      </c>
      <c r="D1227" s="440">
        <v>65247.874600000003</v>
      </c>
    </row>
    <row r="1228" spans="1:4">
      <c r="A1228" s="261" t="s">
        <v>10352</v>
      </c>
      <c r="B1228" s="262" t="s">
        <v>24957</v>
      </c>
      <c r="C1228" s="261" t="s">
        <v>331</v>
      </c>
      <c r="D1228" s="440">
        <v>70116.271500000003</v>
      </c>
    </row>
    <row r="1229" spans="1:4">
      <c r="A1229" s="261" t="s">
        <v>10353</v>
      </c>
      <c r="B1229" s="262" t="s">
        <v>24958</v>
      </c>
      <c r="C1229" s="261" t="s">
        <v>331</v>
      </c>
      <c r="D1229" s="440">
        <v>74635.482099999994</v>
      </c>
    </row>
    <row r="1230" spans="1:4">
      <c r="A1230" s="261" t="s">
        <v>10354</v>
      </c>
      <c r="B1230" s="262" t="s">
        <v>24959</v>
      </c>
      <c r="C1230" s="261" t="s">
        <v>331</v>
      </c>
      <c r="D1230" s="440">
        <v>80442.857399999994</v>
      </c>
    </row>
    <row r="1231" spans="1:4">
      <c r="A1231" s="261" t="s">
        <v>10355</v>
      </c>
      <c r="B1231" s="262" t="s">
        <v>24960</v>
      </c>
      <c r="C1231" s="261" t="s">
        <v>331</v>
      </c>
      <c r="D1231" s="440">
        <v>86909.490399999995</v>
      </c>
    </row>
    <row r="1232" spans="1:4">
      <c r="A1232" s="261" t="s">
        <v>10356</v>
      </c>
      <c r="B1232" s="262" t="s">
        <v>24961</v>
      </c>
      <c r="C1232" s="261" t="s">
        <v>331</v>
      </c>
      <c r="D1232" s="440">
        <v>91606.063800000004</v>
      </c>
    </row>
    <row r="1233" spans="1:4">
      <c r="A1233" s="261" t="s">
        <v>10357</v>
      </c>
      <c r="B1233" s="262" t="s">
        <v>24962</v>
      </c>
      <c r="C1233" s="261" t="s">
        <v>331</v>
      </c>
      <c r="D1233" s="440">
        <v>97827.070399999997</v>
      </c>
    </row>
    <row r="1234" spans="1:4">
      <c r="A1234" s="261" t="s">
        <v>10358</v>
      </c>
      <c r="B1234" s="262" t="s">
        <v>24963</v>
      </c>
      <c r="C1234" s="261" t="s">
        <v>331</v>
      </c>
      <c r="D1234" s="440">
        <v>103098.0901</v>
      </c>
    </row>
    <row r="1235" spans="1:4">
      <c r="A1235" s="261" t="s">
        <v>10359</v>
      </c>
      <c r="B1235" s="262" t="s">
        <v>24964</v>
      </c>
      <c r="C1235" s="261" t="s">
        <v>331</v>
      </c>
      <c r="D1235" s="440">
        <v>9297.1738999999998</v>
      </c>
    </row>
    <row r="1236" spans="1:4">
      <c r="A1236" s="261" t="s">
        <v>10360</v>
      </c>
      <c r="B1236" s="262" t="s">
        <v>24965</v>
      </c>
      <c r="C1236" s="261" t="s">
        <v>331</v>
      </c>
      <c r="D1236" s="440">
        <v>13974.8889</v>
      </c>
    </row>
    <row r="1237" spans="1:4">
      <c r="A1237" s="261" t="s">
        <v>10361</v>
      </c>
      <c r="B1237" s="262" t="s">
        <v>24966</v>
      </c>
      <c r="C1237" s="261" t="s">
        <v>331</v>
      </c>
      <c r="D1237" s="440">
        <v>22948.644400000001</v>
      </c>
    </row>
    <row r="1238" spans="1:4">
      <c r="A1238" s="261" t="s">
        <v>10362</v>
      </c>
      <c r="B1238" s="262" t="s">
        <v>24967</v>
      </c>
      <c r="C1238" s="261" t="s">
        <v>331</v>
      </c>
      <c r="D1238" s="440">
        <v>37100.264999999999</v>
      </c>
    </row>
    <row r="1239" spans="1:4">
      <c r="A1239" s="261" t="s">
        <v>10363</v>
      </c>
      <c r="B1239" s="262" t="s">
        <v>24968</v>
      </c>
      <c r="C1239" s="261" t="s">
        <v>331</v>
      </c>
      <c r="D1239" s="440">
        <v>49856.841099999998</v>
      </c>
    </row>
    <row r="1240" spans="1:4">
      <c r="A1240" s="261" t="s">
        <v>10364</v>
      </c>
      <c r="B1240" s="262" t="s">
        <v>24969</v>
      </c>
      <c r="C1240" s="261" t="s">
        <v>331</v>
      </c>
      <c r="D1240" s="440">
        <v>68467.691699999996</v>
      </c>
    </row>
    <row r="1241" spans="1:4">
      <c r="A1241" s="261" t="s">
        <v>10365</v>
      </c>
      <c r="B1241" s="262" t="s">
        <v>24970</v>
      </c>
      <c r="C1241" s="261" t="s">
        <v>331</v>
      </c>
      <c r="D1241" s="440">
        <v>92663.786999999997</v>
      </c>
    </row>
    <row r="1242" spans="1:4">
      <c r="A1242" s="261" t="s">
        <v>10366</v>
      </c>
      <c r="B1242" s="262" t="s">
        <v>24971</v>
      </c>
      <c r="C1242" s="261" t="s">
        <v>331</v>
      </c>
      <c r="D1242" s="440">
        <v>6910.1151</v>
      </c>
    </row>
    <row r="1243" spans="1:4">
      <c r="A1243" s="261" t="s">
        <v>10367</v>
      </c>
      <c r="B1243" s="262" t="s">
        <v>24972</v>
      </c>
      <c r="C1243" s="261" t="s">
        <v>331</v>
      </c>
      <c r="D1243" s="440">
        <v>9948.8269</v>
      </c>
    </row>
    <row r="1244" spans="1:4">
      <c r="A1244" s="261" t="s">
        <v>10368</v>
      </c>
      <c r="B1244" s="262" t="s">
        <v>24973</v>
      </c>
      <c r="C1244" s="261" t="s">
        <v>331</v>
      </c>
      <c r="D1244" s="440">
        <v>15229.17</v>
      </c>
    </row>
    <row r="1245" spans="1:4">
      <c r="A1245" s="261" t="s">
        <v>10369</v>
      </c>
      <c r="B1245" s="262" t="s">
        <v>24974</v>
      </c>
      <c r="C1245" s="261" t="s">
        <v>331</v>
      </c>
      <c r="D1245" s="440">
        <v>24681.814600000002</v>
      </c>
    </row>
    <row r="1246" spans="1:4">
      <c r="A1246" s="261" t="s">
        <v>10370</v>
      </c>
      <c r="B1246" s="262" t="s">
        <v>24975</v>
      </c>
      <c r="C1246" s="261" t="s">
        <v>331</v>
      </c>
      <c r="D1246" s="440">
        <v>32133.765800000001</v>
      </c>
    </row>
    <row r="1247" spans="1:4">
      <c r="A1247" s="261" t="s">
        <v>10371</v>
      </c>
      <c r="B1247" s="262" t="s">
        <v>24976</v>
      </c>
      <c r="C1247" s="261" t="s">
        <v>331</v>
      </c>
      <c r="D1247" s="440">
        <v>44667.522499999999</v>
      </c>
    </row>
    <row r="1248" spans="1:4">
      <c r="A1248" s="261" t="s">
        <v>10372</v>
      </c>
      <c r="B1248" s="262" t="s">
        <v>24977</v>
      </c>
      <c r="C1248" s="261" t="s">
        <v>331</v>
      </c>
      <c r="D1248" s="440">
        <v>58184.4755</v>
      </c>
    </row>
    <row r="1249" spans="1:4">
      <c r="A1249" s="261" t="s">
        <v>10373</v>
      </c>
      <c r="B1249" s="262" t="s">
        <v>24978</v>
      </c>
      <c r="C1249" s="261" t="s">
        <v>331</v>
      </c>
      <c r="D1249" s="440">
        <v>4764.2269999999999</v>
      </c>
    </row>
    <row r="1250" spans="1:4">
      <c r="A1250" s="261" t="s">
        <v>10374</v>
      </c>
      <c r="B1250" s="262" t="s">
        <v>24979</v>
      </c>
      <c r="C1250" s="261" t="s">
        <v>331</v>
      </c>
      <c r="D1250" s="440">
        <v>8376.1317999999992</v>
      </c>
    </row>
    <row r="1251" spans="1:4">
      <c r="A1251" s="261" t="s">
        <v>10375</v>
      </c>
      <c r="B1251" s="262" t="s">
        <v>24980</v>
      </c>
      <c r="C1251" s="261" t="s">
        <v>331</v>
      </c>
      <c r="D1251" s="440">
        <v>11709.5888</v>
      </c>
    </row>
    <row r="1252" spans="1:4">
      <c r="A1252" s="261" t="s">
        <v>10376</v>
      </c>
      <c r="B1252" s="262" t="s">
        <v>24981</v>
      </c>
      <c r="C1252" s="261" t="s">
        <v>331</v>
      </c>
      <c r="D1252" s="440">
        <v>19652.0969</v>
      </c>
    </row>
    <row r="1253" spans="1:4">
      <c r="A1253" s="261" t="s">
        <v>10377</v>
      </c>
      <c r="B1253" s="262" t="s">
        <v>24982</v>
      </c>
      <c r="C1253" s="261" t="s">
        <v>331</v>
      </c>
      <c r="D1253" s="440">
        <v>28301.7739</v>
      </c>
    </row>
    <row r="1254" spans="1:4">
      <c r="A1254" s="261" t="s">
        <v>10378</v>
      </c>
      <c r="B1254" s="262" t="s">
        <v>24983</v>
      </c>
      <c r="C1254" s="261" t="s">
        <v>331</v>
      </c>
      <c r="D1254" s="440">
        <v>40112.510699999999</v>
      </c>
    </row>
    <row r="1255" spans="1:4">
      <c r="A1255" s="261" t="s">
        <v>10379</v>
      </c>
      <c r="B1255" s="262" t="s">
        <v>24984</v>
      </c>
      <c r="C1255" s="261" t="s">
        <v>331</v>
      </c>
      <c r="D1255" s="440">
        <v>55575.175300000003</v>
      </c>
    </row>
    <row r="1256" spans="1:4">
      <c r="A1256" s="261" t="s">
        <v>10380</v>
      </c>
      <c r="B1256" s="262" t="s">
        <v>24985</v>
      </c>
      <c r="C1256" s="261" t="s">
        <v>328</v>
      </c>
      <c r="D1256" s="440">
        <v>5098.1297999999997</v>
      </c>
    </row>
    <row r="1257" spans="1:4">
      <c r="A1257" s="261" t="s">
        <v>10381</v>
      </c>
      <c r="B1257" s="262" t="s">
        <v>24986</v>
      </c>
      <c r="C1257" s="261" t="s">
        <v>328</v>
      </c>
      <c r="D1257" s="440">
        <v>5746.2067999999999</v>
      </c>
    </row>
    <row r="1258" spans="1:4">
      <c r="A1258" s="261" t="s">
        <v>10382</v>
      </c>
      <c r="B1258" s="262" t="s">
        <v>24987</v>
      </c>
      <c r="C1258" s="261" t="s">
        <v>328</v>
      </c>
      <c r="D1258" s="440">
        <v>6696.7031999999999</v>
      </c>
    </row>
    <row r="1259" spans="1:4">
      <c r="A1259" s="261" t="s">
        <v>10383</v>
      </c>
      <c r="B1259" s="262" t="s">
        <v>24988</v>
      </c>
      <c r="C1259" s="261" t="s">
        <v>328</v>
      </c>
      <c r="D1259" s="440">
        <v>7647.1998000000003</v>
      </c>
    </row>
    <row r="1260" spans="1:4">
      <c r="A1260" s="261" t="s">
        <v>10384</v>
      </c>
      <c r="B1260" s="262" t="s">
        <v>24989</v>
      </c>
      <c r="C1260" s="261" t="s">
        <v>328</v>
      </c>
      <c r="D1260" s="440">
        <v>8424.9920999999995</v>
      </c>
    </row>
    <row r="1261" spans="1:4">
      <c r="A1261" s="261" t="s">
        <v>10385</v>
      </c>
      <c r="B1261" s="262" t="s">
        <v>24990</v>
      </c>
      <c r="C1261" s="261" t="s">
        <v>328</v>
      </c>
      <c r="D1261" s="440">
        <v>10979.5201</v>
      </c>
    </row>
    <row r="1262" spans="1:4">
      <c r="A1262" s="261" t="s">
        <v>10386</v>
      </c>
      <c r="B1262" s="262" t="s">
        <v>24991</v>
      </c>
      <c r="C1262" s="261" t="s">
        <v>328</v>
      </c>
      <c r="D1262" s="440">
        <v>11884.287399999999</v>
      </c>
    </row>
    <row r="1263" spans="1:4">
      <c r="A1263" s="261" t="s">
        <v>10387</v>
      </c>
      <c r="B1263" s="262" t="s">
        <v>24992</v>
      </c>
      <c r="C1263" s="261" t="s">
        <v>328</v>
      </c>
      <c r="D1263" s="440">
        <v>12953.5726</v>
      </c>
    </row>
    <row r="1264" spans="1:4">
      <c r="A1264" s="261" t="s">
        <v>10388</v>
      </c>
      <c r="B1264" s="262" t="s">
        <v>24993</v>
      </c>
      <c r="C1264" s="261" t="s">
        <v>328</v>
      </c>
      <c r="D1264" s="440">
        <v>13858.106900000001</v>
      </c>
    </row>
    <row r="1265" spans="1:4">
      <c r="A1265" s="261" t="s">
        <v>10389</v>
      </c>
      <c r="B1265" s="262" t="s">
        <v>24994</v>
      </c>
      <c r="C1265" s="261" t="s">
        <v>328</v>
      </c>
      <c r="D1265" s="440">
        <v>14927.6041</v>
      </c>
    </row>
    <row r="1266" spans="1:4">
      <c r="A1266" s="261" t="s">
        <v>10390</v>
      </c>
      <c r="B1266" s="262" t="s">
        <v>24995</v>
      </c>
      <c r="C1266" s="261" t="s">
        <v>328</v>
      </c>
      <c r="D1266" s="440">
        <v>15832.282800000001</v>
      </c>
    </row>
    <row r="1267" spans="1:4">
      <c r="A1267" s="261" t="s">
        <v>10391</v>
      </c>
      <c r="B1267" s="262" t="s">
        <v>24996</v>
      </c>
      <c r="C1267" s="261" t="s">
        <v>328</v>
      </c>
      <c r="D1267" s="440">
        <v>18876.724999999999</v>
      </c>
    </row>
    <row r="1268" spans="1:4">
      <c r="A1268" s="261" t="s">
        <v>10392</v>
      </c>
      <c r="B1268" s="262" t="s">
        <v>24997</v>
      </c>
      <c r="C1268" s="261" t="s">
        <v>328</v>
      </c>
      <c r="D1268" s="440">
        <v>19910.134699999999</v>
      </c>
    </row>
    <row r="1269" spans="1:4">
      <c r="A1269" s="261" t="s">
        <v>10393</v>
      </c>
      <c r="B1269" s="262" t="s">
        <v>24998</v>
      </c>
      <c r="C1269" s="261" t="s">
        <v>328</v>
      </c>
      <c r="D1269" s="440">
        <v>21141.826000000001</v>
      </c>
    </row>
    <row r="1270" spans="1:4">
      <c r="A1270" s="261" t="s">
        <v>10394</v>
      </c>
      <c r="B1270" s="262" t="s">
        <v>24999</v>
      </c>
      <c r="C1270" s="261" t="s">
        <v>328</v>
      </c>
      <c r="D1270" s="440">
        <v>22096.194500000001</v>
      </c>
    </row>
    <row r="1271" spans="1:4">
      <c r="A1271" s="261" t="s">
        <v>10395</v>
      </c>
      <c r="B1271" s="262" t="s">
        <v>25000</v>
      </c>
      <c r="C1271" s="261" t="s">
        <v>328</v>
      </c>
      <c r="D1271" s="440">
        <v>23288.265500000001</v>
      </c>
    </row>
    <row r="1272" spans="1:4">
      <c r="A1272" s="261" t="s">
        <v>10396</v>
      </c>
      <c r="B1272" s="262" t="s">
        <v>25001</v>
      </c>
      <c r="C1272" s="261" t="s">
        <v>328</v>
      </c>
      <c r="D1272" s="440">
        <v>24360.598900000001</v>
      </c>
    </row>
    <row r="1273" spans="1:4">
      <c r="A1273" s="261" t="s">
        <v>10397</v>
      </c>
      <c r="B1273" s="262" t="s">
        <v>25002</v>
      </c>
      <c r="C1273" s="261" t="s">
        <v>328</v>
      </c>
      <c r="D1273" s="440">
        <v>25472.916399999998</v>
      </c>
    </row>
    <row r="1274" spans="1:4">
      <c r="A1274" s="261" t="s">
        <v>10398</v>
      </c>
      <c r="B1274" s="262" t="s">
        <v>25003</v>
      </c>
      <c r="C1274" s="261" t="s">
        <v>328</v>
      </c>
      <c r="D1274" s="440">
        <v>29390.3148</v>
      </c>
    </row>
    <row r="1275" spans="1:4">
      <c r="A1275" s="261" t="s">
        <v>10399</v>
      </c>
      <c r="B1275" s="262" t="s">
        <v>25004</v>
      </c>
      <c r="C1275" s="261" t="s">
        <v>328</v>
      </c>
      <c r="D1275" s="440">
        <v>32296.420900000001</v>
      </c>
    </row>
    <row r="1276" spans="1:4">
      <c r="A1276" s="261" t="s">
        <v>10400</v>
      </c>
      <c r="B1276" s="262" t="s">
        <v>25005</v>
      </c>
      <c r="C1276" s="261" t="s">
        <v>328</v>
      </c>
      <c r="D1276" s="440">
        <v>5351.4575000000004</v>
      </c>
    </row>
    <row r="1277" spans="1:4">
      <c r="A1277" s="261" t="s">
        <v>10401</v>
      </c>
      <c r="B1277" s="262" t="s">
        <v>25006</v>
      </c>
      <c r="C1277" s="261" t="s">
        <v>328</v>
      </c>
      <c r="D1277" s="440">
        <v>6031.7308000000003</v>
      </c>
    </row>
    <row r="1278" spans="1:4">
      <c r="A1278" s="261" t="s">
        <v>10402</v>
      </c>
      <c r="B1278" s="262" t="s">
        <v>25007</v>
      </c>
      <c r="C1278" s="261" t="s">
        <v>328</v>
      </c>
      <c r="D1278" s="440">
        <v>7029.4584999999997</v>
      </c>
    </row>
    <row r="1279" spans="1:4">
      <c r="A1279" s="261" t="s">
        <v>10403</v>
      </c>
      <c r="B1279" s="262" t="s">
        <v>25008</v>
      </c>
      <c r="C1279" s="261" t="s">
        <v>328</v>
      </c>
      <c r="D1279" s="440">
        <v>8027.1863000000003</v>
      </c>
    </row>
    <row r="1280" spans="1:4">
      <c r="A1280" s="261" t="s">
        <v>10404</v>
      </c>
      <c r="B1280" s="262" t="s">
        <v>25009</v>
      </c>
      <c r="C1280" s="261" t="s">
        <v>328</v>
      </c>
      <c r="D1280" s="440">
        <v>8843.6142</v>
      </c>
    </row>
    <row r="1281" spans="1:4">
      <c r="A1281" s="261" t="s">
        <v>10405</v>
      </c>
      <c r="B1281" s="262" t="s">
        <v>25010</v>
      </c>
      <c r="C1281" s="261" t="s">
        <v>328</v>
      </c>
      <c r="D1281" s="440">
        <v>11861.6486</v>
      </c>
    </row>
    <row r="1282" spans="1:4">
      <c r="A1282" s="261" t="s">
        <v>10406</v>
      </c>
      <c r="B1282" s="262" t="s">
        <v>25011</v>
      </c>
      <c r="C1282" s="261" t="s">
        <v>328</v>
      </c>
      <c r="D1282" s="440">
        <v>12839.103300000001</v>
      </c>
    </row>
    <row r="1283" spans="1:4">
      <c r="A1283" s="261" t="s">
        <v>10407</v>
      </c>
      <c r="B1283" s="262" t="s">
        <v>25012</v>
      </c>
      <c r="C1283" s="261" t="s">
        <v>328</v>
      </c>
      <c r="D1283" s="440">
        <v>13994.285400000001</v>
      </c>
    </row>
    <row r="1284" spans="1:4">
      <c r="A1284" s="261" t="s">
        <v>10408</v>
      </c>
      <c r="B1284" s="262" t="s">
        <v>25013</v>
      </c>
      <c r="C1284" s="261" t="s">
        <v>328</v>
      </c>
      <c r="D1284" s="440">
        <v>14971.507100000001</v>
      </c>
    </row>
    <row r="1285" spans="1:4">
      <c r="A1285" s="261" t="s">
        <v>10409</v>
      </c>
      <c r="B1285" s="262" t="s">
        <v>25014</v>
      </c>
      <c r="C1285" s="261" t="s">
        <v>328</v>
      </c>
      <c r="D1285" s="440">
        <v>16126.9012</v>
      </c>
    </row>
    <row r="1286" spans="1:4">
      <c r="A1286" s="261" t="s">
        <v>10410</v>
      </c>
      <c r="B1286" s="262" t="s">
        <v>25015</v>
      </c>
      <c r="C1286" s="261" t="s">
        <v>328</v>
      </c>
      <c r="D1286" s="440">
        <v>17104.267400000001</v>
      </c>
    </row>
    <row r="1287" spans="1:4">
      <c r="A1287" s="261" t="s">
        <v>10411</v>
      </c>
      <c r="B1287" s="262" t="s">
        <v>25016</v>
      </c>
      <c r="C1287" s="261" t="s">
        <v>328</v>
      </c>
      <c r="D1287" s="440">
        <v>8502.6283000000003</v>
      </c>
    </row>
    <row r="1288" spans="1:4">
      <c r="A1288" s="261" t="s">
        <v>10412</v>
      </c>
      <c r="B1288" s="262" t="s">
        <v>25017</v>
      </c>
      <c r="C1288" s="261" t="s">
        <v>328</v>
      </c>
      <c r="D1288" s="440">
        <v>9395.1844000000001</v>
      </c>
    </row>
    <row r="1289" spans="1:4">
      <c r="A1289" s="261" t="s">
        <v>10413</v>
      </c>
      <c r="B1289" s="262" t="s">
        <v>25018</v>
      </c>
      <c r="C1289" s="261" t="s">
        <v>328</v>
      </c>
      <c r="D1289" s="440">
        <v>10021.4753</v>
      </c>
    </row>
    <row r="1290" spans="1:4">
      <c r="A1290" s="261" t="s">
        <v>10414</v>
      </c>
      <c r="B1290" s="262" t="s">
        <v>25019</v>
      </c>
      <c r="C1290" s="261" t="s">
        <v>328</v>
      </c>
      <c r="D1290" s="440">
        <v>10632.336600000001</v>
      </c>
    </row>
    <row r="1291" spans="1:4">
      <c r="A1291" s="261" t="s">
        <v>10415</v>
      </c>
      <c r="B1291" s="262" t="s">
        <v>25020</v>
      </c>
      <c r="C1291" s="261" t="s">
        <v>328</v>
      </c>
      <c r="D1291" s="440">
        <v>11524.723400000001</v>
      </c>
    </row>
    <row r="1292" spans="1:4">
      <c r="A1292" s="261" t="s">
        <v>10416</v>
      </c>
      <c r="B1292" s="262" t="s">
        <v>25021</v>
      </c>
      <c r="C1292" s="261" t="s">
        <v>328</v>
      </c>
      <c r="D1292" s="440">
        <v>11837.920700000001</v>
      </c>
    </row>
    <row r="1293" spans="1:4">
      <c r="A1293" s="261" t="s">
        <v>10417</v>
      </c>
      <c r="B1293" s="262" t="s">
        <v>25022</v>
      </c>
      <c r="C1293" s="261" t="s">
        <v>328</v>
      </c>
      <c r="D1293" s="440">
        <v>12448.6471</v>
      </c>
    </row>
    <row r="1294" spans="1:4">
      <c r="A1294" s="261" t="s">
        <v>10418</v>
      </c>
      <c r="B1294" s="262" t="s">
        <v>25023</v>
      </c>
      <c r="C1294" s="261" t="s">
        <v>328</v>
      </c>
      <c r="D1294" s="440">
        <v>13059.3172</v>
      </c>
    </row>
    <row r="1295" spans="1:4">
      <c r="A1295" s="261" t="s">
        <v>10419</v>
      </c>
      <c r="B1295" s="262" t="s">
        <v>25024</v>
      </c>
      <c r="C1295" s="261" t="s">
        <v>328</v>
      </c>
      <c r="D1295" s="440">
        <v>13669.876700000001</v>
      </c>
    </row>
    <row r="1296" spans="1:4">
      <c r="A1296" s="261" t="s">
        <v>10420</v>
      </c>
      <c r="B1296" s="262" t="s">
        <v>25025</v>
      </c>
      <c r="C1296" s="261" t="s">
        <v>328</v>
      </c>
      <c r="D1296" s="440">
        <v>14280.686799999999</v>
      </c>
    </row>
    <row r="1297" spans="1:4">
      <c r="A1297" s="261" t="s">
        <v>10421</v>
      </c>
      <c r="B1297" s="262" t="s">
        <v>25026</v>
      </c>
      <c r="C1297" s="261" t="s">
        <v>328</v>
      </c>
      <c r="D1297" s="440">
        <v>15173.313200000001</v>
      </c>
    </row>
    <row r="1298" spans="1:4">
      <c r="A1298" s="261" t="s">
        <v>10422</v>
      </c>
      <c r="B1298" s="262" t="s">
        <v>25027</v>
      </c>
      <c r="C1298" s="261" t="s">
        <v>328</v>
      </c>
      <c r="D1298" s="440">
        <v>15799.894399999999</v>
      </c>
    </row>
    <row r="1299" spans="1:4">
      <c r="A1299" s="261" t="s">
        <v>10423</v>
      </c>
      <c r="B1299" s="262" t="s">
        <v>25028</v>
      </c>
      <c r="C1299" s="261" t="s">
        <v>328</v>
      </c>
      <c r="D1299" s="440">
        <v>16410.577799999999</v>
      </c>
    </row>
    <row r="1300" spans="1:4">
      <c r="A1300" s="261" t="s">
        <v>10424</v>
      </c>
      <c r="B1300" s="262" t="s">
        <v>25029</v>
      </c>
      <c r="C1300" s="261" t="s">
        <v>328</v>
      </c>
      <c r="D1300" s="440">
        <v>17020.853299999999</v>
      </c>
    </row>
    <row r="1301" spans="1:4">
      <c r="A1301" s="261" t="s">
        <v>10425</v>
      </c>
      <c r="B1301" s="262" t="s">
        <v>25030</v>
      </c>
      <c r="C1301" s="261" t="s">
        <v>328</v>
      </c>
      <c r="D1301" s="440">
        <v>17631.9787</v>
      </c>
    </row>
    <row r="1302" spans="1:4">
      <c r="A1302" s="261" t="s">
        <v>10426</v>
      </c>
      <c r="B1302" s="262" t="s">
        <v>25031</v>
      </c>
      <c r="C1302" s="261" t="s">
        <v>328</v>
      </c>
      <c r="D1302" s="440">
        <v>18540.249899999999</v>
      </c>
    </row>
    <row r="1303" spans="1:4">
      <c r="A1303" s="261" t="s">
        <v>10427</v>
      </c>
      <c r="B1303" s="262" t="s">
        <v>25032</v>
      </c>
      <c r="C1303" s="261" t="s">
        <v>328</v>
      </c>
      <c r="D1303" s="440">
        <v>23043.568800000001</v>
      </c>
    </row>
    <row r="1304" spans="1:4">
      <c r="A1304" s="261" t="s">
        <v>10428</v>
      </c>
      <c r="B1304" s="262" t="s">
        <v>25033</v>
      </c>
      <c r="C1304" s="261" t="s">
        <v>328</v>
      </c>
      <c r="D1304" s="440">
        <v>24119.217000000001</v>
      </c>
    </row>
    <row r="1305" spans="1:4">
      <c r="A1305" s="261" t="s">
        <v>10429</v>
      </c>
      <c r="B1305" s="262" t="s">
        <v>25034</v>
      </c>
      <c r="C1305" s="261" t="s">
        <v>328</v>
      </c>
      <c r="D1305" s="440">
        <v>24877.297299999998</v>
      </c>
    </row>
    <row r="1306" spans="1:4">
      <c r="A1306" s="261" t="s">
        <v>10430</v>
      </c>
      <c r="B1306" s="262" t="s">
        <v>25035</v>
      </c>
      <c r="C1306" s="261" t="s">
        <v>328</v>
      </c>
      <c r="D1306" s="440">
        <v>28473.340800000002</v>
      </c>
    </row>
    <row r="1307" spans="1:4">
      <c r="A1307" s="261" t="s">
        <v>10431</v>
      </c>
      <c r="B1307" s="262" t="s">
        <v>25036</v>
      </c>
      <c r="C1307" s="261" t="s">
        <v>328</v>
      </c>
      <c r="D1307" s="440">
        <v>28896.2955</v>
      </c>
    </row>
    <row r="1308" spans="1:4">
      <c r="A1308" s="261" t="s">
        <v>10432</v>
      </c>
      <c r="B1308" s="262" t="s">
        <v>25037</v>
      </c>
      <c r="C1308" s="261" t="s">
        <v>328</v>
      </c>
      <c r="D1308" s="440">
        <v>34692.787400000001</v>
      </c>
    </row>
    <row r="1309" spans="1:4">
      <c r="A1309" s="261" t="s">
        <v>10433</v>
      </c>
      <c r="B1309" s="262" t="s">
        <v>25038</v>
      </c>
      <c r="C1309" s="261" t="s">
        <v>328</v>
      </c>
      <c r="D1309" s="440">
        <v>35177.581400000003</v>
      </c>
    </row>
    <row r="1310" spans="1:4">
      <c r="A1310" s="261" t="s">
        <v>10434</v>
      </c>
      <c r="B1310" s="262" t="s">
        <v>25039</v>
      </c>
      <c r="C1310" s="261" t="s">
        <v>328</v>
      </c>
      <c r="D1310" s="440">
        <v>36529.880499999999</v>
      </c>
    </row>
    <row r="1311" spans="1:4">
      <c r="A1311" s="261" t="s">
        <v>10435</v>
      </c>
      <c r="B1311" s="262" t="s">
        <v>25040</v>
      </c>
      <c r="C1311" s="261" t="s">
        <v>328</v>
      </c>
      <c r="D1311" s="440">
        <v>37015.066500000001</v>
      </c>
    </row>
    <row r="1312" spans="1:4">
      <c r="A1312" s="261" t="s">
        <v>10436</v>
      </c>
      <c r="B1312" s="262" t="s">
        <v>25041</v>
      </c>
      <c r="C1312" s="261" t="s">
        <v>328</v>
      </c>
      <c r="D1312" s="440">
        <v>50734.569499999998</v>
      </c>
    </row>
    <row r="1313" spans="1:4">
      <c r="A1313" s="261" t="s">
        <v>10437</v>
      </c>
      <c r="B1313" s="262" t="s">
        <v>25042</v>
      </c>
      <c r="C1313" s="261" t="s">
        <v>328</v>
      </c>
      <c r="D1313" s="440">
        <v>52516.796300000002</v>
      </c>
    </row>
    <row r="1314" spans="1:4">
      <c r="A1314" s="261" t="s">
        <v>10438</v>
      </c>
      <c r="B1314" s="262" t="s">
        <v>25043</v>
      </c>
      <c r="C1314" s="261" t="s">
        <v>328</v>
      </c>
      <c r="D1314" s="440">
        <v>11556.184999999999</v>
      </c>
    </row>
    <row r="1315" spans="1:4">
      <c r="A1315" s="261" t="s">
        <v>10439</v>
      </c>
      <c r="B1315" s="262" t="s">
        <v>25044</v>
      </c>
      <c r="C1315" s="261" t="s">
        <v>328</v>
      </c>
      <c r="D1315" s="440">
        <v>15173.313200000001</v>
      </c>
    </row>
    <row r="1316" spans="1:4">
      <c r="A1316" s="261" t="s">
        <v>10440</v>
      </c>
      <c r="B1316" s="262" t="s">
        <v>25045</v>
      </c>
      <c r="C1316" s="261" t="s">
        <v>328</v>
      </c>
      <c r="D1316" s="440">
        <v>17616.392100000001</v>
      </c>
    </row>
    <row r="1317" spans="1:4">
      <c r="A1317" s="261" t="s">
        <v>10441</v>
      </c>
      <c r="B1317" s="262" t="s">
        <v>25046</v>
      </c>
      <c r="C1317" s="261" t="s">
        <v>328</v>
      </c>
      <c r="D1317" s="440">
        <v>18524.673299999999</v>
      </c>
    </row>
    <row r="1318" spans="1:4">
      <c r="A1318" s="261" t="s">
        <v>10442</v>
      </c>
      <c r="B1318" s="262" t="s">
        <v>25047</v>
      </c>
      <c r="C1318" s="261" t="s">
        <v>328</v>
      </c>
      <c r="D1318" s="440">
        <v>19134.822899999999</v>
      </c>
    </row>
    <row r="1319" spans="1:4">
      <c r="A1319" s="261" t="s">
        <v>10443</v>
      </c>
      <c r="B1319" s="262" t="s">
        <v>25048</v>
      </c>
      <c r="C1319" s="261" t="s">
        <v>328</v>
      </c>
      <c r="D1319" s="440">
        <v>19745.9764</v>
      </c>
    </row>
    <row r="1320" spans="1:4">
      <c r="A1320" s="261" t="s">
        <v>10444</v>
      </c>
      <c r="B1320" s="262" t="s">
        <v>25049</v>
      </c>
      <c r="C1320" s="261" t="s">
        <v>328</v>
      </c>
      <c r="D1320" s="440">
        <v>20356.450799999999</v>
      </c>
    </row>
    <row r="1321" spans="1:4">
      <c r="A1321" s="261" t="s">
        <v>10445</v>
      </c>
      <c r="B1321" s="262" t="s">
        <v>25050</v>
      </c>
      <c r="C1321" s="261" t="s">
        <v>328</v>
      </c>
      <c r="D1321" s="440">
        <v>21265.194100000001</v>
      </c>
    </row>
    <row r="1322" spans="1:4">
      <c r="A1322" s="261" t="s">
        <v>10446</v>
      </c>
      <c r="B1322" s="262" t="s">
        <v>25051</v>
      </c>
      <c r="C1322" s="261" t="s">
        <v>328</v>
      </c>
      <c r="D1322" s="440">
        <v>21875.047600000002</v>
      </c>
    </row>
    <row r="1323" spans="1:4">
      <c r="A1323" s="261" t="s">
        <v>10447</v>
      </c>
      <c r="B1323" s="262" t="s">
        <v>25052</v>
      </c>
      <c r="C1323" s="261" t="s">
        <v>328</v>
      </c>
      <c r="D1323" s="440">
        <v>27074.6005</v>
      </c>
    </row>
    <row r="1324" spans="1:4">
      <c r="A1324" s="261" t="s">
        <v>10448</v>
      </c>
      <c r="B1324" s="262" t="s">
        <v>25053</v>
      </c>
      <c r="C1324" s="261" t="s">
        <v>328</v>
      </c>
      <c r="D1324" s="440">
        <v>28452.006399999998</v>
      </c>
    </row>
    <row r="1325" spans="1:4">
      <c r="A1325" s="261" t="s">
        <v>10449</v>
      </c>
      <c r="B1325" s="262" t="s">
        <v>25054</v>
      </c>
      <c r="C1325" s="261" t="s">
        <v>328</v>
      </c>
      <c r="D1325" s="440">
        <v>29209.723300000001</v>
      </c>
    </row>
    <row r="1326" spans="1:4">
      <c r="A1326" s="261" t="s">
        <v>10450</v>
      </c>
      <c r="B1326" s="262" t="s">
        <v>25055</v>
      </c>
      <c r="C1326" s="261" t="s">
        <v>328</v>
      </c>
      <c r="D1326" s="440">
        <v>29967.68</v>
      </c>
    </row>
    <row r="1327" spans="1:4">
      <c r="A1327" s="261" t="s">
        <v>10451</v>
      </c>
      <c r="B1327" s="262" t="s">
        <v>25056</v>
      </c>
      <c r="C1327" s="261" t="s">
        <v>328</v>
      </c>
      <c r="D1327" s="440">
        <v>30331.680799999998</v>
      </c>
    </row>
    <row r="1328" spans="1:4">
      <c r="A1328" s="261" t="s">
        <v>10452</v>
      </c>
      <c r="B1328" s="262" t="s">
        <v>25057</v>
      </c>
      <c r="C1328" s="261" t="s">
        <v>328</v>
      </c>
      <c r="D1328" s="440">
        <v>31725.5687</v>
      </c>
    </row>
    <row r="1329" spans="1:4">
      <c r="A1329" s="261" t="s">
        <v>10453</v>
      </c>
      <c r="B1329" s="262" t="s">
        <v>25058</v>
      </c>
      <c r="C1329" s="261" t="s">
        <v>328</v>
      </c>
      <c r="D1329" s="440">
        <v>36396.604599999999</v>
      </c>
    </row>
    <row r="1330" spans="1:4">
      <c r="A1330" s="261" t="s">
        <v>10454</v>
      </c>
      <c r="B1330" s="262" t="s">
        <v>25059</v>
      </c>
      <c r="C1330" s="261" t="s">
        <v>328</v>
      </c>
      <c r="D1330" s="440">
        <v>43276.460800000001</v>
      </c>
    </row>
    <row r="1331" spans="1:4">
      <c r="A1331" s="261" t="s">
        <v>10455</v>
      </c>
      <c r="B1331" s="262" t="s">
        <v>25060</v>
      </c>
      <c r="C1331" s="261" t="s">
        <v>328</v>
      </c>
      <c r="D1331" s="440">
        <v>44244.5671</v>
      </c>
    </row>
    <row r="1332" spans="1:4">
      <c r="A1332" s="261" t="s">
        <v>10456</v>
      </c>
      <c r="B1332" s="262" t="s">
        <v>25061</v>
      </c>
      <c r="C1332" s="261" t="s">
        <v>328</v>
      </c>
      <c r="D1332" s="440">
        <v>45227.076999999997</v>
      </c>
    </row>
    <row r="1333" spans="1:4">
      <c r="A1333" s="261" t="s">
        <v>10457</v>
      </c>
      <c r="B1333" s="262" t="s">
        <v>25062</v>
      </c>
      <c r="C1333" s="261" t="s">
        <v>328</v>
      </c>
      <c r="D1333" s="440">
        <v>26435.261399999999</v>
      </c>
    </row>
    <row r="1334" spans="1:4">
      <c r="A1334" s="261" t="s">
        <v>10458</v>
      </c>
      <c r="B1334" s="262" t="s">
        <v>25063</v>
      </c>
      <c r="C1334" s="261" t="s">
        <v>328</v>
      </c>
      <c r="D1334" s="440">
        <v>30785.471099999999</v>
      </c>
    </row>
    <row r="1335" spans="1:4">
      <c r="A1335" s="261" t="s">
        <v>10459</v>
      </c>
      <c r="B1335" s="262" t="s">
        <v>25064</v>
      </c>
      <c r="C1335" s="261" t="s">
        <v>328</v>
      </c>
      <c r="D1335" s="440">
        <v>30831.8887</v>
      </c>
    </row>
    <row r="1336" spans="1:4">
      <c r="A1336" s="261" t="s">
        <v>10460</v>
      </c>
      <c r="B1336" s="262" t="s">
        <v>25065</v>
      </c>
      <c r="C1336" s="261" t="s">
        <v>328</v>
      </c>
      <c r="D1336" s="440">
        <v>36821.3079</v>
      </c>
    </row>
    <row r="1337" spans="1:4">
      <c r="A1337" s="261" t="s">
        <v>10461</v>
      </c>
      <c r="B1337" s="262" t="s">
        <v>25066</v>
      </c>
      <c r="C1337" s="261" t="s">
        <v>328</v>
      </c>
      <c r="D1337" s="440">
        <v>32582.6057</v>
      </c>
    </row>
    <row r="1338" spans="1:4">
      <c r="A1338" s="261" t="s">
        <v>10462</v>
      </c>
      <c r="B1338" s="262" t="s">
        <v>25067</v>
      </c>
      <c r="C1338" s="261" t="s">
        <v>328</v>
      </c>
      <c r="D1338" s="440">
        <v>36694.859700000001</v>
      </c>
    </row>
    <row r="1339" spans="1:4">
      <c r="A1339" s="261" t="s">
        <v>10463</v>
      </c>
      <c r="B1339" s="262" t="s">
        <v>25068</v>
      </c>
      <c r="C1339" s="261" t="s">
        <v>328</v>
      </c>
      <c r="D1339" s="440">
        <v>33138.214</v>
      </c>
    </row>
    <row r="1340" spans="1:4">
      <c r="A1340" s="261" t="s">
        <v>10464</v>
      </c>
      <c r="B1340" s="262" t="s">
        <v>25069</v>
      </c>
      <c r="C1340" s="261" t="s">
        <v>328</v>
      </c>
      <c r="D1340" s="440">
        <v>38332.213000000003</v>
      </c>
    </row>
    <row r="1341" spans="1:4">
      <c r="A1341" s="261" t="s">
        <v>10465</v>
      </c>
      <c r="B1341" s="262" t="s">
        <v>25070</v>
      </c>
      <c r="C1341" s="261" t="s">
        <v>328</v>
      </c>
      <c r="D1341" s="440">
        <v>33678.089800000002</v>
      </c>
    </row>
    <row r="1342" spans="1:4">
      <c r="A1342" s="261" t="s">
        <v>10466</v>
      </c>
      <c r="B1342" s="262" t="s">
        <v>25071</v>
      </c>
      <c r="C1342" s="261" t="s">
        <v>328</v>
      </c>
      <c r="D1342" s="440">
        <v>36410.348700000002</v>
      </c>
    </row>
    <row r="1343" spans="1:4">
      <c r="A1343" s="261" t="s">
        <v>10467</v>
      </c>
      <c r="B1343" s="262" t="s">
        <v>25072</v>
      </c>
      <c r="C1343" s="261" t="s">
        <v>328</v>
      </c>
      <c r="D1343" s="440">
        <v>39426.169000000002</v>
      </c>
    </row>
    <row r="1344" spans="1:4">
      <c r="A1344" s="261" t="s">
        <v>10468</v>
      </c>
      <c r="B1344" s="262" t="s">
        <v>25073</v>
      </c>
      <c r="C1344" s="261" t="s">
        <v>328</v>
      </c>
      <c r="D1344" s="440">
        <v>35870.030500000001</v>
      </c>
    </row>
    <row r="1345" spans="1:4">
      <c r="A1345" s="261" t="s">
        <v>10469</v>
      </c>
      <c r="B1345" s="262" t="s">
        <v>25074</v>
      </c>
      <c r="C1345" s="261" t="s">
        <v>328</v>
      </c>
      <c r="D1345" s="440">
        <v>39967.033900000002</v>
      </c>
    </row>
    <row r="1346" spans="1:4">
      <c r="A1346" s="261" t="s">
        <v>10470</v>
      </c>
      <c r="B1346" s="262" t="s">
        <v>25075</v>
      </c>
      <c r="C1346" s="261" t="s">
        <v>328</v>
      </c>
      <c r="D1346" s="440">
        <v>36821.3079</v>
      </c>
    </row>
    <row r="1347" spans="1:4">
      <c r="A1347" s="261" t="s">
        <v>10471</v>
      </c>
      <c r="B1347" s="262" t="s">
        <v>25076</v>
      </c>
      <c r="C1347" s="261" t="s">
        <v>328</v>
      </c>
      <c r="D1347" s="440">
        <v>40934.795700000002</v>
      </c>
    </row>
    <row r="1348" spans="1:4">
      <c r="A1348" s="261" t="s">
        <v>10472</v>
      </c>
      <c r="B1348" s="262" t="s">
        <v>25077</v>
      </c>
      <c r="C1348" s="261" t="s">
        <v>328</v>
      </c>
      <c r="D1348" s="440">
        <v>37918.036800000002</v>
      </c>
    </row>
    <row r="1349" spans="1:4">
      <c r="A1349" s="261" t="s">
        <v>10473</v>
      </c>
      <c r="B1349" s="262" t="s">
        <v>25078</v>
      </c>
      <c r="C1349" s="261" t="s">
        <v>328</v>
      </c>
      <c r="D1349" s="440">
        <v>43111.8675</v>
      </c>
    </row>
    <row r="1350" spans="1:4">
      <c r="A1350" s="261" t="s">
        <v>10474</v>
      </c>
      <c r="B1350" s="262" t="s">
        <v>25079</v>
      </c>
      <c r="C1350" s="261" t="s">
        <v>328</v>
      </c>
      <c r="D1350" s="440">
        <v>39552.617200000001</v>
      </c>
    </row>
    <row r="1351" spans="1:4">
      <c r="A1351" s="261" t="s">
        <v>10475</v>
      </c>
      <c r="B1351" s="262" t="s">
        <v>25080</v>
      </c>
      <c r="C1351" s="261" t="s">
        <v>328</v>
      </c>
      <c r="D1351" s="440">
        <v>45843.637999999999</v>
      </c>
    </row>
    <row r="1352" spans="1:4">
      <c r="A1352" s="261" t="s">
        <v>10476</v>
      </c>
      <c r="B1352" s="262" t="s">
        <v>25081</v>
      </c>
      <c r="C1352" s="261" t="s">
        <v>328</v>
      </c>
      <c r="D1352" s="440">
        <v>42985.419300000001</v>
      </c>
    </row>
    <row r="1353" spans="1:4">
      <c r="A1353" s="261" t="s">
        <v>10477</v>
      </c>
      <c r="B1353" s="262" t="s">
        <v>25082</v>
      </c>
      <c r="C1353" s="261" t="s">
        <v>328</v>
      </c>
      <c r="D1353" s="440">
        <v>47349.9689</v>
      </c>
    </row>
    <row r="1354" spans="1:4">
      <c r="A1354" s="261" t="s">
        <v>10478</v>
      </c>
      <c r="B1354" s="262" t="s">
        <v>25083</v>
      </c>
      <c r="C1354" s="261" t="s">
        <v>328</v>
      </c>
      <c r="D1354" s="440">
        <v>43522.826699999998</v>
      </c>
    </row>
    <row r="1355" spans="1:4">
      <c r="A1355" s="261" t="s">
        <v>10479</v>
      </c>
      <c r="B1355" s="262" t="s">
        <v>25084</v>
      </c>
      <c r="C1355" s="261" t="s">
        <v>328</v>
      </c>
      <c r="D1355" s="440">
        <v>46812.561500000003</v>
      </c>
    </row>
    <row r="1356" spans="1:4">
      <c r="A1356" s="261" t="s">
        <v>10480</v>
      </c>
      <c r="B1356" s="262" t="s">
        <v>25085</v>
      </c>
      <c r="C1356" s="261" t="s">
        <v>328</v>
      </c>
      <c r="D1356" s="440">
        <v>50911.809000000001</v>
      </c>
    </row>
    <row r="1357" spans="1:4">
      <c r="A1357" s="261" t="s">
        <v>10481</v>
      </c>
      <c r="B1357" s="262" t="s">
        <v>25086</v>
      </c>
      <c r="C1357" s="261" t="s">
        <v>328</v>
      </c>
      <c r="D1357" s="440">
        <v>46254.597199999997</v>
      </c>
    </row>
    <row r="1358" spans="1:4">
      <c r="A1358" s="261" t="s">
        <v>10482</v>
      </c>
      <c r="B1358" s="262" t="s">
        <v>25087</v>
      </c>
      <c r="C1358" s="261" t="s">
        <v>328</v>
      </c>
      <c r="D1358" s="440">
        <v>51449.216399999998</v>
      </c>
    </row>
    <row r="1359" spans="1:4">
      <c r="A1359" s="261" t="s">
        <v>10483</v>
      </c>
      <c r="B1359" s="262" t="s">
        <v>25088</v>
      </c>
      <c r="C1359" s="261" t="s">
        <v>328</v>
      </c>
      <c r="D1359" s="440">
        <v>46812.561500000003</v>
      </c>
    </row>
    <row r="1360" spans="1:4">
      <c r="A1360" s="261" t="s">
        <v>10484</v>
      </c>
      <c r="B1360" s="262" t="s">
        <v>25089</v>
      </c>
      <c r="C1360" s="261" t="s">
        <v>328</v>
      </c>
      <c r="D1360" s="440">
        <v>52008.3943</v>
      </c>
    </row>
    <row r="1361" spans="1:4">
      <c r="A1361" s="261" t="s">
        <v>10485</v>
      </c>
      <c r="B1361" s="262" t="s">
        <v>25090</v>
      </c>
      <c r="C1361" s="261" t="s">
        <v>328</v>
      </c>
      <c r="D1361" s="440">
        <v>48303.296199999997</v>
      </c>
    </row>
    <row r="1362" spans="1:4">
      <c r="A1362" s="261" t="s">
        <v>10486</v>
      </c>
      <c r="B1362" s="262" t="s">
        <v>25091</v>
      </c>
      <c r="C1362" s="261" t="s">
        <v>328</v>
      </c>
      <c r="D1362" s="440">
        <v>52419.353499999997</v>
      </c>
    </row>
    <row r="1363" spans="1:4">
      <c r="A1363" s="261" t="s">
        <v>10487</v>
      </c>
      <c r="B1363" s="262" t="s">
        <v>25092</v>
      </c>
      <c r="C1363" s="261" t="s">
        <v>328</v>
      </c>
      <c r="D1363" s="440">
        <v>54597.6342</v>
      </c>
    </row>
    <row r="1364" spans="1:4">
      <c r="A1364" s="261" t="s">
        <v>10488</v>
      </c>
      <c r="B1364" s="262" t="s">
        <v>25093</v>
      </c>
      <c r="C1364" s="261" t="s">
        <v>328</v>
      </c>
      <c r="D1364" s="440">
        <v>58705.661200000002</v>
      </c>
    </row>
    <row r="1365" spans="1:4">
      <c r="A1365" s="261" t="s">
        <v>10489</v>
      </c>
      <c r="B1365" s="262" t="s">
        <v>25094</v>
      </c>
      <c r="C1365" s="261" t="s">
        <v>328</v>
      </c>
      <c r="D1365" s="440">
        <v>64679.563900000001</v>
      </c>
    </row>
    <row r="1366" spans="1:4">
      <c r="A1366" s="261" t="s">
        <v>10490</v>
      </c>
      <c r="B1366" s="262" t="s">
        <v>25095</v>
      </c>
      <c r="C1366" s="261" t="s">
        <v>328</v>
      </c>
      <c r="D1366" s="440">
        <v>70121.068599999999</v>
      </c>
    </row>
    <row r="1367" spans="1:4">
      <c r="A1367" s="261" t="s">
        <v>10491</v>
      </c>
      <c r="B1367" s="262" t="s">
        <v>25096</v>
      </c>
      <c r="C1367" s="261" t="s">
        <v>328</v>
      </c>
      <c r="D1367" s="440">
        <v>73078.199500000002</v>
      </c>
    </row>
    <row r="1368" spans="1:4">
      <c r="A1368" s="261" t="s">
        <v>10492</v>
      </c>
      <c r="B1368" s="262" t="s">
        <v>25097</v>
      </c>
      <c r="C1368" s="261" t="s">
        <v>328</v>
      </c>
      <c r="D1368" s="440">
        <v>78526.521800000002</v>
      </c>
    </row>
    <row r="1369" spans="1:4">
      <c r="A1369" s="261" t="s">
        <v>10493</v>
      </c>
      <c r="B1369" s="262" t="s">
        <v>25098</v>
      </c>
      <c r="C1369" s="261" t="s">
        <v>328</v>
      </c>
      <c r="D1369" s="440">
        <v>62325.412799999998</v>
      </c>
    </row>
    <row r="1370" spans="1:4">
      <c r="A1370" s="261" t="s">
        <v>10494</v>
      </c>
      <c r="B1370" s="262" t="s">
        <v>25099</v>
      </c>
      <c r="C1370" s="261" t="s">
        <v>328</v>
      </c>
      <c r="D1370" s="440">
        <v>64642.2673</v>
      </c>
    </row>
    <row r="1371" spans="1:4">
      <c r="A1371" s="261" t="s">
        <v>10495</v>
      </c>
      <c r="B1371" s="262" t="s">
        <v>25100</v>
      </c>
      <c r="C1371" s="261" t="s">
        <v>328</v>
      </c>
      <c r="D1371" s="440">
        <v>65732.8894</v>
      </c>
    </row>
    <row r="1372" spans="1:4">
      <c r="A1372" s="261" t="s">
        <v>10496</v>
      </c>
      <c r="B1372" s="262" t="s">
        <v>25101</v>
      </c>
      <c r="C1372" s="261" t="s">
        <v>328</v>
      </c>
      <c r="D1372" s="440">
        <v>66975.491099999999</v>
      </c>
    </row>
    <row r="1373" spans="1:4">
      <c r="A1373" s="261" t="s">
        <v>10497</v>
      </c>
      <c r="B1373" s="262" t="s">
        <v>25102</v>
      </c>
      <c r="C1373" s="261" t="s">
        <v>328</v>
      </c>
      <c r="D1373" s="440">
        <v>70382.748399999997</v>
      </c>
    </row>
    <row r="1374" spans="1:4">
      <c r="A1374" s="261" t="s">
        <v>10498</v>
      </c>
      <c r="B1374" s="262" t="s">
        <v>25103</v>
      </c>
      <c r="C1374" s="261" t="s">
        <v>328</v>
      </c>
      <c r="D1374" s="440">
        <v>70115.463300000003</v>
      </c>
    </row>
    <row r="1375" spans="1:4">
      <c r="A1375" s="261" t="s">
        <v>10499</v>
      </c>
      <c r="B1375" s="262" t="s">
        <v>25104</v>
      </c>
      <c r="C1375" s="261" t="s">
        <v>328</v>
      </c>
      <c r="D1375" s="440">
        <v>70207.486600000004</v>
      </c>
    </row>
    <row r="1376" spans="1:4">
      <c r="A1376" s="261" t="s">
        <v>10500</v>
      </c>
      <c r="B1376" s="262" t="s">
        <v>25105</v>
      </c>
      <c r="C1376" s="261" t="s">
        <v>328</v>
      </c>
      <c r="D1376" s="440">
        <v>75730.522700000001</v>
      </c>
    </row>
    <row r="1377" spans="1:4">
      <c r="A1377" s="261" t="s">
        <v>10501</v>
      </c>
      <c r="B1377" s="262" t="s">
        <v>25106</v>
      </c>
      <c r="C1377" s="261" t="s">
        <v>328</v>
      </c>
      <c r="D1377" s="440">
        <v>76267.930099999998</v>
      </c>
    </row>
    <row r="1378" spans="1:4">
      <c r="A1378" s="261" t="s">
        <v>10502</v>
      </c>
      <c r="B1378" s="262" t="s">
        <v>25107</v>
      </c>
      <c r="C1378" s="261" t="s">
        <v>328</v>
      </c>
      <c r="D1378" s="440">
        <v>76341.755900000004</v>
      </c>
    </row>
    <row r="1379" spans="1:4">
      <c r="A1379" s="261" t="s">
        <v>10503</v>
      </c>
      <c r="B1379" s="262" t="s">
        <v>25108</v>
      </c>
      <c r="C1379" s="261" t="s">
        <v>331</v>
      </c>
      <c r="D1379" s="440">
        <v>31827.496999999999</v>
      </c>
    </row>
    <row r="1380" spans="1:4">
      <c r="A1380" s="261" t="s">
        <v>10504</v>
      </c>
      <c r="B1380" s="262" t="s">
        <v>25109</v>
      </c>
      <c r="C1380" s="261" t="s">
        <v>331</v>
      </c>
      <c r="D1380" s="440">
        <v>57451.757100000003</v>
      </c>
    </row>
    <row r="1381" spans="1:4">
      <c r="A1381" s="261" t="s">
        <v>10505</v>
      </c>
      <c r="B1381" s="262" t="s">
        <v>25110</v>
      </c>
      <c r="C1381" s="261" t="s">
        <v>327</v>
      </c>
      <c r="D1381" s="440">
        <v>7.5076000000000001</v>
      </c>
    </row>
    <row r="1382" spans="1:4">
      <c r="A1382" s="261" t="s">
        <v>10506</v>
      </c>
      <c r="B1382" s="262" t="s">
        <v>25111</v>
      </c>
      <c r="C1382" s="261" t="s">
        <v>327</v>
      </c>
      <c r="D1382" s="440">
        <v>18.9085</v>
      </c>
    </row>
    <row r="1383" spans="1:4">
      <c r="A1383" s="261" t="s">
        <v>10507</v>
      </c>
      <c r="B1383" s="262" t="s">
        <v>25112</v>
      </c>
      <c r="C1383" s="261" t="s">
        <v>331</v>
      </c>
      <c r="D1383" s="440">
        <v>44.704900000000002</v>
      </c>
    </row>
    <row r="1384" spans="1:4">
      <c r="A1384" s="261" t="s">
        <v>10508</v>
      </c>
      <c r="B1384" s="262" t="s">
        <v>25113</v>
      </c>
      <c r="C1384" s="261" t="s">
        <v>325</v>
      </c>
      <c r="D1384" s="440">
        <v>18.895499999999998</v>
      </c>
    </row>
    <row r="1385" spans="1:4">
      <c r="A1385" s="261" t="s">
        <v>10509</v>
      </c>
      <c r="B1385" s="262" t="s">
        <v>25114</v>
      </c>
      <c r="C1385" s="261" t="s">
        <v>328</v>
      </c>
      <c r="D1385" s="440">
        <v>119.29</v>
      </c>
    </row>
    <row r="1386" spans="1:4">
      <c r="A1386" s="261" t="s">
        <v>10510</v>
      </c>
      <c r="B1386" s="262" t="s">
        <v>25115</v>
      </c>
      <c r="C1386" s="261" t="s">
        <v>331</v>
      </c>
      <c r="D1386" s="440">
        <v>2.3883000000000001</v>
      </c>
    </row>
    <row r="1387" spans="1:4">
      <c r="A1387" s="261" t="s">
        <v>10511</v>
      </c>
      <c r="B1387" s="262" t="s">
        <v>25116</v>
      </c>
      <c r="C1387" s="261" t="s">
        <v>327</v>
      </c>
      <c r="D1387" s="440">
        <v>11.173299999999999</v>
      </c>
    </row>
    <row r="1388" spans="1:4">
      <c r="A1388" s="261" t="s">
        <v>10512</v>
      </c>
      <c r="B1388" s="262" t="s">
        <v>25117</v>
      </c>
      <c r="C1388" s="261" t="s">
        <v>331</v>
      </c>
      <c r="D1388" s="440">
        <v>3.5417000000000001</v>
      </c>
    </row>
    <row r="1389" spans="1:4">
      <c r="A1389" s="261" t="s">
        <v>10513</v>
      </c>
      <c r="B1389" s="262" t="s">
        <v>25118</v>
      </c>
      <c r="C1389" s="261" t="s">
        <v>331</v>
      </c>
      <c r="D1389" s="440">
        <v>3.69</v>
      </c>
    </row>
    <row r="1390" spans="1:4">
      <c r="A1390" s="261" t="s">
        <v>10514</v>
      </c>
      <c r="B1390" s="262" t="s">
        <v>25119</v>
      </c>
      <c r="C1390" s="261" t="s">
        <v>331</v>
      </c>
      <c r="D1390" s="440">
        <v>4.0599999999999996</v>
      </c>
    </row>
    <row r="1391" spans="1:4">
      <c r="A1391" s="261" t="s">
        <v>10515</v>
      </c>
      <c r="B1391" s="262" t="s">
        <v>25120</v>
      </c>
      <c r="C1391" s="261" t="s">
        <v>331</v>
      </c>
      <c r="D1391" s="440">
        <v>5.133</v>
      </c>
    </row>
    <row r="1392" spans="1:4">
      <c r="A1392" s="261" t="s">
        <v>10516</v>
      </c>
      <c r="B1392" s="262" t="s">
        <v>25121</v>
      </c>
      <c r="C1392" s="261" t="s">
        <v>331</v>
      </c>
      <c r="D1392" s="440">
        <v>5.4752000000000001</v>
      </c>
    </row>
    <row r="1393" spans="1:4">
      <c r="A1393" s="261" t="s">
        <v>10517</v>
      </c>
      <c r="B1393" s="262" t="s">
        <v>25122</v>
      </c>
      <c r="C1393" s="261" t="s">
        <v>331</v>
      </c>
      <c r="D1393" s="440">
        <v>6.2422000000000004</v>
      </c>
    </row>
    <row r="1394" spans="1:4">
      <c r="A1394" s="261" t="s">
        <v>10518</v>
      </c>
      <c r="B1394" s="262" t="s">
        <v>25123</v>
      </c>
      <c r="C1394" s="261" t="s">
        <v>331</v>
      </c>
      <c r="D1394" s="440">
        <v>6.6315999999999997</v>
      </c>
    </row>
    <row r="1395" spans="1:4">
      <c r="A1395" s="261" t="s">
        <v>10519</v>
      </c>
      <c r="B1395" s="262" t="s">
        <v>25124</v>
      </c>
      <c r="C1395" s="261" t="s">
        <v>331</v>
      </c>
      <c r="D1395" s="440">
        <v>7.1508000000000003</v>
      </c>
    </row>
    <row r="1396" spans="1:4">
      <c r="A1396" s="261" t="s">
        <v>10520</v>
      </c>
      <c r="B1396" s="262" t="s">
        <v>25125</v>
      </c>
      <c r="C1396" s="261" t="s">
        <v>331</v>
      </c>
      <c r="D1396" s="440">
        <v>7.1508000000000003</v>
      </c>
    </row>
    <row r="1397" spans="1:4">
      <c r="A1397" s="261" t="s">
        <v>10521</v>
      </c>
      <c r="B1397" s="262" t="s">
        <v>25126</v>
      </c>
      <c r="C1397" s="261" t="s">
        <v>331</v>
      </c>
      <c r="D1397" s="440">
        <v>8.0122</v>
      </c>
    </row>
    <row r="1398" spans="1:4">
      <c r="A1398" s="261" t="s">
        <v>10522</v>
      </c>
      <c r="B1398" s="262" t="s">
        <v>25127</v>
      </c>
      <c r="C1398" s="261" t="s">
        <v>331</v>
      </c>
      <c r="D1398" s="440">
        <v>8.2363999999999997</v>
      </c>
    </row>
    <row r="1399" spans="1:4">
      <c r="A1399" s="261" t="s">
        <v>10523</v>
      </c>
      <c r="B1399" s="262" t="s">
        <v>25128</v>
      </c>
      <c r="C1399" s="261" t="s">
        <v>331</v>
      </c>
      <c r="D1399" s="440">
        <v>8.4724000000000004</v>
      </c>
    </row>
    <row r="1400" spans="1:4">
      <c r="A1400" s="261" t="s">
        <v>10524</v>
      </c>
      <c r="B1400" s="262" t="s">
        <v>25129</v>
      </c>
      <c r="C1400" s="261" t="s">
        <v>331</v>
      </c>
      <c r="D1400" s="440">
        <v>9.3455999999999992</v>
      </c>
    </row>
    <row r="1401" spans="1:4">
      <c r="A1401" s="261" t="s">
        <v>10525</v>
      </c>
      <c r="B1401" s="262" t="s">
        <v>25130</v>
      </c>
      <c r="C1401" s="261" t="s">
        <v>331</v>
      </c>
      <c r="D1401" s="440">
        <v>9.8293999999999997</v>
      </c>
    </row>
    <row r="1402" spans="1:4">
      <c r="A1402" s="261" t="s">
        <v>10526</v>
      </c>
      <c r="B1402" s="262" t="s">
        <v>25131</v>
      </c>
      <c r="C1402" s="261" t="s">
        <v>331</v>
      </c>
      <c r="D1402" s="440">
        <v>10.254200000000001</v>
      </c>
    </row>
    <row r="1403" spans="1:4">
      <c r="A1403" s="261" t="s">
        <v>10527</v>
      </c>
      <c r="B1403" s="262" t="s">
        <v>25132</v>
      </c>
      <c r="C1403" s="261" t="s">
        <v>331</v>
      </c>
      <c r="D1403" s="440">
        <v>11.304399999999999</v>
      </c>
    </row>
    <row r="1404" spans="1:4">
      <c r="A1404" s="261" t="s">
        <v>10528</v>
      </c>
      <c r="B1404" s="262" t="s">
        <v>25133</v>
      </c>
      <c r="C1404" s="261" t="s">
        <v>331</v>
      </c>
      <c r="D1404" s="440">
        <v>12.307399999999999</v>
      </c>
    </row>
    <row r="1405" spans="1:4">
      <c r="A1405" s="261" t="s">
        <v>10529</v>
      </c>
      <c r="B1405" s="262" t="s">
        <v>25134</v>
      </c>
      <c r="C1405" s="261" t="s">
        <v>331</v>
      </c>
      <c r="D1405" s="440">
        <v>14.171799999999999</v>
      </c>
    </row>
    <row r="1406" spans="1:4">
      <c r="A1406" s="261" t="s">
        <v>10530</v>
      </c>
      <c r="B1406" s="262" t="s">
        <v>25135</v>
      </c>
      <c r="C1406" s="261" t="s">
        <v>331</v>
      </c>
      <c r="D1406" s="440">
        <v>8.8971999999999998</v>
      </c>
    </row>
    <row r="1407" spans="1:4">
      <c r="A1407" s="261" t="s">
        <v>10531</v>
      </c>
      <c r="B1407" s="262" t="s">
        <v>25136</v>
      </c>
      <c r="C1407" s="261" t="s">
        <v>331</v>
      </c>
      <c r="D1407" s="440">
        <v>9.4635999999999996</v>
      </c>
    </row>
    <row r="1408" spans="1:4">
      <c r="A1408" s="261" t="s">
        <v>10532</v>
      </c>
      <c r="B1408" s="262" t="s">
        <v>25137</v>
      </c>
      <c r="C1408" s="261" t="s">
        <v>331</v>
      </c>
      <c r="D1408" s="440">
        <v>9.8884000000000007</v>
      </c>
    </row>
    <row r="1409" spans="1:4">
      <c r="A1409" s="261" t="s">
        <v>10533</v>
      </c>
      <c r="B1409" s="262" t="s">
        <v>25138</v>
      </c>
      <c r="C1409" s="261" t="s">
        <v>331</v>
      </c>
      <c r="D1409" s="440">
        <v>10.5374</v>
      </c>
    </row>
    <row r="1410" spans="1:4">
      <c r="A1410" s="261" t="s">
        <v>10534</v>
      </c>
      <c r="B1410" s="262" t="s">
        <v>25139</v>
      </c>
      <c r="C1410" s="261" t="s">
        <v>331</v>
      </c>
      <c r="D1410" s="440">
        <v>10.8324</v>
      </c>
    </row>
    <row r="1411" spans="1:4">
      <c r="A1411" s="261" t="s">
        <v>10535</v>
      </c>
      <c r="B1411" s="262" t="s">
        <v>25140</v>
      </c>
      <c r="C1411" s="261" t="s">
        <v>331</v>
      </c>
      <c r="D1411" s="440">
        <v>11.5168</v>
      </c>
    </row>
    <row r="1412" spans="1:4">
      <c r="A1412" s="261" t="s">
        <v>10536</v>
      </c>
      <c r="B1412" s="262" t="s">
        <v>25141</v>
      </c>
      <c r="C1412" s="261" t="s">
        <v>327</v>
      </c>
      <c r="D1412" s="440">
        <v>61.750799999999998</v>
      </c>
    </row>
    <row r="1413" spans="1:4">
      <c r="A1413" s="261" t="s">
        <v>10537</v>
      </c>
      <c r="B1413" s="262" t="s">
        <v>25142</v>
      </c>
      <c r="C1413" s="261" t="s">
        <v>331</v>
      </c>
      <c r="D1413" s="440">
        <v>23.436699999999998</v>
      </c>
    </row>
    <row r="1414" spans="1:4">
      <c r="A1414" s="261" t="s">
        <v>10538</v>
      </c>
      <c r="B1414" s="262" t="s">
        <v>25143</v>
      </c>
      <c r="C1414" s="261" t="s">
        <v>331</v>
      </c>
      <c r="D1414" s="440">
        <v>0.373</v>
      </c>
    </row>
    <row r="1415" spans="1:4">
      <c r="A1415" s="261" t="s">
        <v>10539</v>
      </c>
      <c r="B1415" s="262" t="s">
        <v>25144</v>
      </c>
      <c r="C1415" s="261" t="s">
        <v>331</v>
      </c>
      <c r="D1415" s="440">
        <v>0.61580000000000001</v>
      </c>
    </row>
    <row r="1416" spans="1:4">
      <c r="A1416" s="261" t="s">
        <v>10540</v>
      </c>
      <c r="B1416" s="262" t="s">
        <v>25145</v>
      </c>
      <c r="C1416" s="261" t="s">
        <v>331</v>
      </c>
      <c r="D1416" s="440">
        <v>2.1427</v>
      </c>
    </row>
    <row r="1417" spans="1:4">
      <c r="A1417" s="261" t="s">
        <v>10541</v>
      </c>
      <c r="B1417" s="262" t="s">
        <v>25146</v>
      </c>
      <c r="C1417" s="261" t="s">
        <v>327</v>
      </c>
      <c r="D1417" s="440">
        <v>14.9434</v>
      </c>
    </row>
    <row r="1418" spans="1:4">
      <c r="A1418" s="261" t="s">
        <v>10542</v>
      </c>
      <c r="B1418" s="262" t="s">
        <v>25147</v>
      </c>
      <c r="C1418" s="261" t="s">
        <v>327</v>
      </c>
      <c r="D1418" s="440">
        <v>20.938199999999998</v>
      </c>
    </row>
    <row r="1419" spans="1:4">
      <c r="A1419" s="261" t="s">
        <v>10543</v>
      </c>
      <c r="B1419" s="262" t="s">
        <v>25148</v>
      </c>
      <c r="C1419" s="261" t="s">
        <v>326</v>
      </c>
      <c r="D1419" s="440" t="s">
        <v>13</v>
      </c>
    </row>
    <row r="1420" spans="1:4">
      <c r="A1420" s="261" t="s">
        <v>10544</v>
      </c>
      <c r="B1420" s="262" t="s">
        <v>25149</v>
      </c>
      <c r="C1420" s="261" t="s">
        <v>328</v>
      </c>
      <c r="D1420" s="440">
        <v>561.87419999999997</v>
      </c>
    </row>
    <row r="1421" spans="1:4">
      <c r="A1421" s="261" t="s">
        <v>10545</v>
      </c>
      <c r="B1421" s="262" t="s">
        <v>25150</v>
      </c>
      <c r="C1421" s="261" t="s">
        <v>328</v>
      </c>
      <c r="D1421" s="440">
        <v>749.18349999999998</v>
      </c>
    </row>
    <row r="1422" spans="1:4">
      <c r="A1422" s="261" t="s">
        <v>10546</v>
      </c>
      <c r="B1422" s="262" t="s">
        <v>25151</v>
      </c>
      <c r="C1422" s="261" t="s">
        <v>328</v>
      </c>
      <c r="D1422" s="440">
        <v>973.87519999999995</v>
      </c>
    </row>
    <row r="1423" spans="1:4">
      <c r="A1423" s="261" t="s">
        <v>10547</v>
      </c>
      <c r="B1423" s="262" t="s">
        <v>25152</v>
      </c>
      <c r="C1423" s="261" t="s">
        <v>328</v>
      </c>
      <c r="D1423" s="440">
        <v>1123.81</v>
      </c>
    </row>
    <row r="1424" spans="1:4">
      <c r="A1424" s="261" t="s">
        <v>10548</v>
      </c>
      <c r="B1424" s="262" t="s">
        <v>25153</v>
      </c>
      <c r="C1424" s="261" t="s">
        <v>328</v>
      </c>
      <c r="D1424" s="440">
        <v>1423.5039999999999</v>
      </c>
    </row>
    <row r="1425" spans="1:4">
      <c r="A1425" s="261" t="s">
        <v>10549</v>
      </c>
      <c r="B1425" s="262" t="s">
        <v>25154</v>
      </c>
      <c r="C1425" s="261" t="s">
        <v>328</v>
      </c>
      <c r="D1425" s="440">
        <v>1592.1668</v>
      </c>
    </row>
    <row r="1426" spans="1:4">
      <c r="A1426" s="261" t="s">
        <v>10550</v>
      </c>
      <c r="B1426" s="262" t="s">
        <v>25155</v>
      </c>
      <c r="C1426" s="261" t="s">
        <v>328</v>
      </c>
      <c r="D1426" s="440">
        <v>1854.1904</v>
      </c>
    </row>
    <row r="1427" spans="1:4">
      <c r="A1427" s="261" t="s">
        <v>10551</v>
      </c>
      <c r="B1427" s="262" t="s">
        <v>25156</v>
      </c>
      <c r="C1427" s="261" t="s">
        <v>328</v>
      </c>
      <c r="D1427" s="440">
        <v>2154.6711</v>
      </c>
    </row>
    <row r="1428" spans="1:4">
      <c r="A1428" s="261" t="s">
        <v>10552</v>
      </c>
      <c r="B1428" s="262" t="s">
        <v>25157</v>
      </c>
      <c r="C1428" s="261" t="s">
        <v>328</v>
      </c>
      <c r="D1428" s="440">
        <v>11212.271000000001</v>
      </c>
    </row>
    <row r="1429" spans="1:4">
      <c r="A1429" s="261" t="s">
        <v>10553</v>
      </c>
      <c r="B1429" s="262" t="s">
        <v>25158</v>
      </c>
      <c r="C1429" s="261" t="s">
        <v>328</v>
      </c>
      <c r="D1429" s="440">
        <v>13290.662</v>
      </c>
    </row>
    <row r="1430" spans="1:4">
      <c r="A1430" s="261" t="s">
        <v>10554</v>
      </c>
      <c r="B1430" s="262" t="s">
        <v>25159</v>
      </c>
      <c r="C1430" s="261" t="s">
        <v>328</v>
      </c>
      <c r="D1430" s="440">
        <v>15536.659799999999</v>
      </c>
    </row>
    <row r="1431" spans="1:4">
      <c r="A1431" s="261" t="s">
        <v>10555</v>
      </c>
      <c r="B1431" s="262" t="s">
        <v>25160</v>
      </c>
      <c r="C1431" s="261" t="s">
        <v>328</v>
      </c>
      <c r="D1431" s="440">
        <v>19467.588299999999</v>
      </c>
    </row>
    <row r="1432" spans="1:4">
      <c r="A1432" s="261" t="s">
        <v>10556</v>
      </c>
      <c r="B1432" s="262" t="s">
        <v>25161</v>
      </c>
      <c r="C1432" s="261" t="s">
        <v>328</v>
      </c>
      <c r="D1432" s="440">
        <v>22463.033299999999</v>
      </c>
    </row>
    <row r="1433" spans="1:4">
      <c r="A1433" s="261" t="s">
        <v>10557</v>
      </c>
      <c r="B1433" s="262" t="s">
        <v>25162</v>
      </c>
      <c r="C1433" s="261" t="s">
        <v>328</v>
      </c>
      <c r="D1433" s="440">
        <v>29388.8357</v>
      </c>
    </row>
    <row r="1434" spans="1:4">
      <c r="A1434" s="261" t="s">
        <v>10558</v>
      </c>
      <c r="B1434" s="262" t="s">
        <v>25163</v>
      </c>
      <c r="C1434" s="261" t="s">
        <v>328</v>
      </c>
      <c r="D1434" s="440">
        <v>33133.922500000001</v>
      </c>
    </row>
    <row r="1435" spans="1:4">
      <c r="A1435" s="261" t="s">
        <v>10559</v>
      </c>
      <c r="B1435" s="262" t="s">
        <v>25164</v>
      </c>
      <c r="C1435" s="261" t="s">
        <v>328</v>
      </c>
      <c r="D1435" s="440">
        <v>38000.107400000001</v>
      </c>
    </row>
    <row r="1436" spans="1:4">
      <c r="A1436" s="261" t="s">
        <v>10560</v>
      </c>
      <c r="B1436" s="262" t="s">
        <v>25165</v>
      </c>
      <c r="C1436" s="261" t="s">
        <v>328</v>
      </c>
      <c r="D1436" s="440">
        <v>48220.456599999998</v>
      </c>
    </row>
    <row r="1437" spans="1:4">
      <c r="A1437" s="261" t="s">
        <v>10561</v>
      </c>
      <c r="B1437" s="262" t="s">
        <v>25166</v>
      </c>
      <c r="C1437" s="261" t="s">
        <v>328</v>
      </c>
      <c r="D1437" s="440">
        <v>56156.0622</v>
      </c>
    </row>
    <row r="1438" spans="1:4">
      <c r="A1438" s="261" t="s">
        <v>10562</v>
      </c>
      <c r="B1438" s="262" t="s">
        <v>25167</v>
      </c>
      <c r="C1438" s="261" t="s">
        <v>328</v>
      </c>
      <c r="D1438" s="440">
        <v>74462.245699999999</v>
      </c>
    </row>
    <row r="1439" spans="1:4">
      <c r="A1439" s="261" t="s">
        <v>10563</v>
      </c>
      <c r="B1439" s="262" t="s">
        <v>25168</v>
      </c>
      <c r="C1439" s="261" t="s">
        <v>328</v>
      </c>
      <c r="D1439" s="440">
        <v>10485.3172</v>
      </c>
    </row>
    <row r="1440" spans="1:4">
      <c r="A1440" s="261" t="s">
        <v>10564</v>
      </c>
      <c r="B1440" s="262" t="s">
        <v>25169</v>
      </c>
      <c r="C1440" s="261" t="s">
        <v>328</v>
      </c>
      <c r="D1440" s="440">
        <v>12359.0844</v>
      </c>
    </row>
    <row r="1441" spans="1:4">
      <c r="A1441" s="261" t="s">
        <v>10565</v>
      </c>
      <c r="B1441" s="262" t="s">
        <v>25170</v>
      </c>
      <c r="C1441" s="261" t="s">
        <v>328</v>
      </c>
      <c r="D1441" s="440">
        <v>15167.8855</v>
      </c>
    </row>
    <row r="1442" spans="1:4">
      <c r="A1442" s="261" t="s">
        <v>10566</v>
      </c>
      <c r="B1442" s="262" t="s">
        <v>25171</v>
      </c>
      <c r="C1442" s="261" t="s">
        <v>328</v>
      </c>
      <c r="D1442" s="440">
        <v>18725.796399999999</v>
      </c>
    </row>
    <row r="1443" spans="1:4">
      <c r="A1443" s="261" t="s">
        <v>10567</v>
      </c>
      <c r="B1443" s="262" t="s">
        <v>25172</v>
      </c>
      <c r="C1443" s="261" t="s">
        <v>328</v>
      </c>
      <c r="D1443" s="440">
        <v>21910.104800000001</v>
      </c>
    </row>
    <row r="1444" spans="1:4">
      <c r="A1444" s="261" t="s">
        <v>10568</v>
      </c>
      <c r="B1444" s="262" t="s">
        <v>25173</v>
      </c>
      <c r="C1444" s="261" t="s">
        <v>328</v>
      </c>
      <c r="D1444" s="440">
        <v>28838.953300000001</v>
      </c>
    </row>
    <row r="1445" spans="1:4">
      <c r="A1445" s="261" t="s">
        <v>10569</v>
      </c>
      <c r="B1445" s="262" t="s">
        <v>25174</v>
      </c>
      <c r="C1445" s="261" t="s">
        <v>328</v>
      </c>
      <c r="D1445" s="440">
        <v>32210.1731</v>
      </c>
    </row>
    <row r="1446" spans="1:4">
      <c r="A1446" s="261" t="s">
        <v>10570</v>
      </c>
      <c r="B1446" s="262" t="s">
        <v>25175</v>
      </c>
      <c r="C1446" s="261" t="s">
        <v>328</v>
      </c>
      <c r="D1446" s="440">
        <v>37263.487699999998</v>
      </c>
    </row>
    <row r="1447" spans="1:4">
      <c r="A1447" s="261" t="s">
        <v>10571</v>
      </c>
      <c r="B1447" s="262" t="s">
        <v>25176</v>
      </c>
      <c r="C1447" s="261" t="s">
        <v>328</v>
      </c>
      <c r="D1447" s="440">
        <v>47377.569900000002</v>
      </c>
    </row>
    <row r="1448" spans="1:4">
      <c r="A1448" s="261" t="s">
        <v>10572</v>
      </c>
      <c r="B1448" s="262" t="s">
        <v>25177</v>
      </c>
      <c r="C1448" s="261" t="s">
        <v>328</v>
      </c>
      <c r="D1448" s="440">
        <v>55424.488400000002</v>
      </c>
    </row>
    <row r="1449" spans="1:4">
      <c r="A1449" s="261" t="s">
        <v>10573</v>
      </c>
      <c r="B1449" s="262" t="s">
        <v>25178</v>
      </c>
      <c r="C1449" s="261" t="s">
        <v>328</v>
      </c>
      <c r="D1449" s="440">
        <v>73405.827300000004</v>
      </c>
    </row>
    <row r="1450" spans="1:4">
      <c r="A1450" s="261" t="s">
        <v>10574</v>
      </c>
      <c r="B1450" s="262" t="s">
        <v>25179</v>
      </c>
      <c r="C1450" s="261" t="s">
        <v>328</v>
      </c>
      <c r="D1450" s="440">
        <v>10482.367</v>
      </c>
    </row>
    <row r="1451" spans="1:4">
      <c r="A1451" s="261" t="s">
        <v>10575</v>
      </c>
      <c r="B1451" s="262" t="s">
        <v>25180</v>
      </c>
      <c r="C1451" s="261" t="s">
        <v>328</v>
      </c>
      <c r="D1451" s="440">
        <v>12359.0844</v>
      </c>
    </row>
    <row r="1452" spans="1:4">
      <c r="A1452" s="261" t="s">
        <v>10576</v>
      </c>
      <c r="B1452" s="262" t="s">
        <v>25181</v>
      </c>
      <c r="C1452" s="261" t="s">
        <v>328</v>
      </c>
      <c r="D1452" s="440">
        <v>15167.8855</v>
      </c>
    </row>
    <row r="1453" spans="1:4">
      <c r="A1453" s="261" t="s">
        <v>10577</v>
      </c>
      <c r="B1453" s="262" t="s">
        <v>25182</v>
      </c>
      <c r="C1453" s="261" t="s">
        <v>328</v>
      </c>
      <c r="D1453" s="440">
        <v>18725.796399999999</v>
      </c>
    </row>
    <row r="1454" spans="1:4">
      <c r="A1454" s="261" t="s">
        <v>10578</v>
      </c>
      <c r="B1454" s="262" t="s">
        <v>25183</v>
      </c>
      <c r="C1454" s="261" t="s">
        <v>328</v>
      </c>
      <c r="D1454" s="440">
        <v>21910.104800000001</v>
      </c>
    </row>
    <row r="1455" spans="1:4">
      <c r="A1455" s="261" t="s">
        <v>10579</v>
      </c>
      <c r="B1455" s="262" t="s">
        <v>25184</v>
      </c>
      <c r="C1455" s="261" t="s">
        <v>328</v>
      </c>
      <c r="D1455" s="440">
        <v>28838.953300000001</v>
      </c>
    </row>
    <row r="1456" spans="1:4">
      <c r="A1456" s="261" t="s">
        <v>10580</v>
      </c>
      <c r="B1456" s="262" t="s">
        <v>25185</v>
      </c>
      <c r="C1456" s="261" t="s">
        <v>328</v>
      </c>
      <c r="D1456" s="440">
        <v>32210.1731</v>
      </c>
    </row>
    <row r="1457" spans="1:4">
      <c r="A1457" s="261" t="s">
        <v>10581</v>
      </c>
      <c r="B1457" s="262" t="s">
        <v>25186</v>
      </c>
      <c r="C1457" s="261" t="s">
        <v>328</v>
      </c>
      <c r="D1457" s="440">
        <v>37263.487699999998</v>
      </c>
    </row>
    <row r="1458" spans="1:4">
      <c r="A1458" s="261" t="s">
        <v>10582</v>
      </c>
      <c r="B1458" s="262" t="s">
        <v>25187</v>
      </c>
      <c r="C1458" s="261" t="s">
        <v>328</v>
      </c>
      <c r="D1458" s="440">
        <v>47377.569900000002</v>
      </c>
    </row>
    <row r="1459" spans="1:4">
      <c r="A1459" s="261" t="s">
        <v>10583</v>
      </c>
      <c r="B1459" s="262" t="s">
        <v>25188</v>
      </c>
      <c r="C1459" s="261" t="s">
        <v>328</v>
      </c>
      <c r="D1459" s="440">
        <v>55425.471400000002</v>
      </c>
    </row>
    <row r="1460" spans="1:4">
      <c r="A1460" s="261" t="s">
        <v>10584</v>
      </c>
      <c r="B1460" s="262" t="s">
        <v>25189</v>
      </c>
      <c r="C1460" s="261" t="s">
        <v>328</v>
      </c>
      <c r="D1460" s="440">
        <v>73405.827300000004</v>
      </c>
    </row>
    <row r="1461" spans="1:4">
      <c r="A1461" s="261" t="s">
        <v>10585</v>
      </c>
      <c r="B1461" s="262" t="s">
        <v>25190</v>
      </c>
      <c r="C1461" s="261" t="s">
        <v>331</v>
      </c>
      <c r="D1461" s="440">
        <v>1031.4808</v>
      </c>
    </row>
    <row r="1462" spans="1:4">
      <c r="A1462" s="261" t="s">
        <v>10586</v>
      </c>
      <c r="B1462" s="262" t="s">
        <v>25191</v>
      </c>
      <c r="C1462" s="261" t="s">
        <v>325</v>
      </c>
      <c r="D1462" s="440">
        <v>415.3571</v>
      </c>
    </row>
    <row r="1463" spans="1:4">
      <c r="A1463" s="261" t="s">
        <v>10587</v>
      </c>
      <c r="B1463" s="262" t="s">
        <v>25192</v>
      </c>
      <c r="C1463" s="261" t="s">
        <v>328</v>
      </c>
      <c r="D1463" s="440">
        <v>242.96090000000001</v>
      </c>
    </row>
    <row r="1464" spans="1:4">
      <c r="A1464" s="261" t="s">
        <v>10588</v>
      </c>
      <c r="B1464" s="262" t="s">
        <v>25193</v>
      </c>
      <c r="C1464" s="261" t="s">
        <v>34</v>
      </c>
      <c r="D1464" s="440" t="s">
        <v>13</v>
      </c>
    </row>
    <row r="1465" spans="1:4">
      <c r="A1465" s="261" t="s">
        <v>10589</v>
      </c>
      <c r="B1465" s="262" t="s">
        <v>25194</v>
      </c>
      <c r="C1465" s="261" t="s">
        <v>325</v>
      </c>
      <c r="D1465" s="440">
        <v>327.46629999999999</v>
      </c>
    </row>
    <row r="1466" spans="1:4">
      <c r="A1466" s="261" t="s">
        <v>10590</v>
      </c>
      <c r="B1466" s="262" t="s">
        <v>25195</v>
      </c>
      <c r="C1466" s="261" t="s">
        <v>325</v>
      </c>
      <c r="D1466" s="440">
        <v>108.70910000000001</v>
      </c>
    </row>
    <row r="1467" spans="1:4">
      <c r="A1467" s="261" t="s">
        <v>10591</v>
      </c>
      <c r="B1467" s="262" t="s">
        <v>25196</v>
      </c>
      <c r="C1467" s="261" t="s">
        <v>325</v>
      </c>
      <c r="D1467" s="440">
        <v>140.3192</v>
      </c>
    </row>
    <row r="1468" spans="1:4">
      <c r="A1468" s="261" t="s">
        <v>10592</v>
      </c>
      <c r="B1468" s="262" t="s">
        <v>25197</v>
      </c>
      <c r="C1468" s="261" t="s">
        <v>325</v>
      </c>
      <c r="D1468" s="440">
        <v>508.79660000000001</v>
      </c>
    </row>
    <row r="1469" spans="1:4">
      <c r="A1469" s="261" t="s">
        <v>10593</v>
      </c>
      <c r="B1469" s="262" t="s">
        <v>25198</v>
      </c>
      <c r="C1469" s="261" t="s">
        <v>328</v>
      </c>
      <c r="D1469" s="440">
        <v>9.6141000000000005</v>
      </c>
    </row>
    <row r="1470" spans="1:4">
      <c r="A1470" s="261" t="s">
        <v>10594</v>
      </c>
      <c r="B1470" s="262" t="s">
        <v>25199</v>
      </c>
      <c r="C1470" s="261" t="s">
        <v>325</v>
      </c>
      <c r="D1470" s="440">
        <v>148.75839999999999</v>
      </c>
    </row>
    <row r="1471" spans="1:4">
      <c r="A1471" s="261" t="s">
        <v>10595</v>
      </c>
      <c r="B1471" s="262" t="s">
        <v>25200</v>
      </c>
      <c r="C1471" s="261" t="s">
        <v>325</v>
      </c>
      <c r="D1471" s="440">
        <v>443.31779999999998</v>
      </c>
    </row>
    <row r="1472" spans="1:4">
      <c r="A1472" s="261" t="s">
        <v>10596</v>
      </c>
      <c r="B1472" s="262" t="s">
        <v>25201</v>
      </c>
      <c r="C1472" s="261" t="s">
        <v>325</v>
      </c>
      <c r="D1472" s="440">
        <v>230.04640000000001</v>
      </c>
    </row>
    <row r="1473" spans="1:4">
      <c r="A1473" s="261" t="s">
        <v>10597</v>
      </c>
      <c r="B1473" s="262" t="s">
        <v>25202</v>
      </c>
      <c r="C1473" s="261" t="s">
        <v>325</v>
      </c>
      <c r="D1473" s="440">
        <v>159.27600000000001</v>
      </c>
    </row>
    <row r="1474" spans="1:4">
      <c r="A1474" s="261" t="s">
        <v>10598</v>
      </c>
      <c r="B1474" s="262" t="s">
        <v>25203</v>
      </c>
      <c r="C1474" s="261" t="s">
        <v>325</v>
      </c>
      <c r="D1474" s="440">
        <v>380.46269999999998</v>
      </c>
    </row>
    <row r="1475" spans="1:4">
      <c r="A1475" s="261" t="s">
        <v>10599</v>
      </c>
      <c r="B1475" s="262" t="s">
        <v>25204</v>
      </c>
      <c r="C1475" s="261" t="s">
        <v>328</v>
      </c>
      <c r="D1475" s="440">
        <v>13.092599999999999</v>
      </c>
    </row>
    <row r="1476" spans="1:4">
      <c r="A1476" s="261" t="s">
        <v>10600</v>
      </c>
      <c r="B1476" s="262" t="s">
        <v>25205</v>
      </c>
      <c r="C1476" s="261" t="s">
        <v>328</v>
      </c>
      <c r="D1476" s="440">
        <v>12.9702</v>
      </c>
    </row>
    <row r="1477" spans="1:4">
      <c r="A1477" s="261" t="s">
        <v>10601</v>
      </c>
      <c r="B1477" s="262" t="s">
        <v>25206</v>
      </c>
      <c r="C1477" s="261" t="s">
        <v>328</v>
      </c>
      <c r="D1477" s="440">
        <v>23.180900000000001</v>
      </c>
    </row>
    <row r="1478" spans="1:4">
      <c r="A1478" s="261" t="s">
        <v>10602</v>
      </c>
      <c r="B1478" s="262" t="s">
        <v>25207</v>
      </c>
      <c r="C1478" s="261" t="s">
        <v>327</v>
      </c>
      <c r="D1478" s="440">
        <v>54.490200000000002</v>
      </c>
    </row>
    <row r="1479" spans="1:4">
      <c r="A1479" s="261" t="s">
        <v>10603</v>
      </c>
      <c r="B1479" s="262" t="s">
        <v>25208</v>
      </c>
      <c r="C1479" s="261" t="s">
        <v>331</v>
      </c>
      <c r="D1479" s="440">
        <v>13039.6839</v>
      </c>
    </row>
    <row r="1480" spans="1:4">
      <c r="A1480" s="261" t="s">
        <v>10604</v>
      </c>
      <c r="B1480" s="262" t="s">
        <v>25209</v>
      </c>
      <c r="C1480" s="261" t="s">
        <v>331</v>
      </c>
      <c r="D1480" s="440">
        <v>19668.666099999999</v>
      </c>
    </row>
    <row r="1481" spans="1:4">
      <c r="A1481" s="261" t="s">
        <v>10605</v>
      </c>
      <c r="B1481" s="262" t="s">
        <v>25210</v>
      </c>
      <c r="C1481" s="261" t="s">
        <v>331</v>
      </c>
      <c r="D1481" s="440">
        <v>41316.686399999999</v>
      </c>
    </row>
    <row r="1482" spans="1:4">
      <c r="A1482" s="261" t="s">
        <v>10606</v>
      </c>
      <c r="B1482" s="262" t="s">
        <v>25211</v>
      </c>
      <c r="C1482" s="261" t="s">
        <v>331</v>
      </c>
      <c r="D1482" s="440">
        <v>81707.892699999997</v>
      </c>
    </row>
    <row r="1483" spans="1:4">
      <c r="A1483" s="261" t="s">
        <v>10607</v>
      </c>
      <c r="B1483" s="262" t="s">
        <v>25212</v>
      </c>
      <c r="C1483" s="261" t="s">
        <v>331</v>
      </c>
      <c r="D1483" s="440">
        <v>13399.642099999999</v>
      </c>
    </row>
    <row r="1484" spans="1:4">
      <c r="A1484" s="261" t="s">
        <v>10608</v>
      </c>
      <c r="B1484" s="262" t="s">
        <v>25213</v>
      </c>
      <c r="C1484" s="261" t="s">
        <v>331</v>
      </c>
      <c r="D1484" s="440">
        <v>24567.269499999999</v>
      </c>
    </row>
    <row r="1485" spans="1:4">
      <c r="A1485" s="261" t="s">
        <v>10609</v>
      </c>
      <c r="B1485" s="262" t="s">
        <v>25214</v>
      </c>
      <c r="C1485" s="261" t="s">
        <v>331</v>
      </c>
      <c r="D1485" s="440">
        <v>48019.421699999999</v>
      </c>
    </row>
    <row r="1486" spans="1:4">
      <c r="A1486" s="261" t="s">
        <v>10610</v>
      </c>
      <c r="B1486" s="262" t="s">
        <v>25215</v>
      </c>
      <c r="C1486" s="261" t="s">
        <v>331</v>
      </c>
      <c r="D1486" s="440">
        <v>95610.81</v>
      </c>
    </row>
    <row r="1487" spans="1:4">
      <c r="A1487" s="261" t="s">
        <v>10611</v>
      </c>
      <c r="B1487" s="262" t="s">
        <v>25216</v>
      </c>
      <c r="C1487" s="261" t="s">
        <v>328</v>
      </c>
      <c r="D1487" s="440">
        <v>337.14440000000002</v>
      </c>
    </row>
    <row r="1488" spans="1:4">
      <c r="A1488" s="261" t="s">
        <v>10612</v>
      </c>
      <c r="B1488" s="262" t="s">
        <v>25217</v>
      </c>
      <c r="C1488" s="261" t="s">
        <v>331</v>
      </c>
      <c r="D1488" s="440">
        <v>0.2041</v>
      </c>
    </row>
    <row r="1489" spans="1:4">
      <c r="A1489" s="261" t="s">
        <v>10613</v>
      </c>
      <c r="B1489" s="262" t="s">
        <v>25218</v>
      </c>
      <c r="C1489" s="261" t="s">
        <v>328</v>
      </c>
      <c r="D1489" s="440">
        <v>16.908000000000001</v>
      </c>
    </row>
    <row r="1490" spans="1:4">
      <c r="A1490" s="261" t="s">
        <v>10614</v>
      </c>
      <c r="B1490" s="262" t="s">
        <v>25219</v>
      </c>
      <c r="C1490" s="261" t="s">
        <v>331</v>
      </c>
      <c r="D1490" s="440">
        <v>1.0803</v>
      </c>
    </row>
    <row r="1491" spans="1:4">
      <c r="A1491" s="261" t="s">
        <v>10615</v>
      </c>
      <c r="B1491" s="262" t="s">
        <v>25220</v>
      </c>
      <c r="C1491" s="261" t="s">
        <v>331</v>
      </c>
      <c r="D1491" s="440">
        <v>2.5832000000000002</v>
      </c>
    </row>
    <row r="1492" spans="1:4">
      <c r="A1492" s="261" t="s">
        <v>10616</v>
      </c>
      <c r="B1492" s="262" t="s">
        <v>25221</v>
      </c>
      <c r="C1492" s="261" t="s">
        <v>328</v>
      </c>
      <c r="D1492" s="440">
        <v>526.62099999999998</v>
      </c>
    </row>
    <row r="1493" spans="1:4">
      <c r="A1493" s="261" t="s">
        <v>10617</v>
      </c>
      <c r="B1493" s="262" t="s">
        <v>25222</v>
      </c>
      <c r="C1493" s="261" t="s">
        <v>328</v>
      </c>
      <c r="D1493" s="440">
        <v>134.7414</v>
      </c>
    </row>
    <row r="1494" spans="1:4">
      <c r="A1494" s="261" t="s">
        <v>10618</v>
      </c>
      <c r="B1494" s="262" t="s">
        <v>25223</v>
      </c>
      <c r="C1494" s="261" t="s">
        <v>328</v>
      </c>
      <c r="D1494" s="440">
        <v>369.38040000000001</v>
      </c>
    </row>
    <row r="1495" spans="1:4">
      <c r="A1495" s="261" t="s">
        <v>10619</v>
      </c>
      <c r="B1495" s="262" t="s">
        <v>25224</v>
      </c>
      <c r="C1495" s="261" t="s">
        <v>331</v>
      </c>
      <c r="D1495" s="440">
        <v>3200.5776000000001</v>
      </c>
    </row>
    <row r="1496" spans="1:4">
      <c r="A1496" s="261" t="s">
        <v>10620</v>
      </c>
      <c r="B1496" s="262" t="s">
        <v>25225</v>
      </c>
      <c r="C1496" s="261" t="s">
        <v>331</v>
      </c>
      <c r="D1496" s="440">
        <v>3632.7638000000002</v>
      </c>
    </row>
    <row r="1497" spans="1:4">
      <c r="A1497" s="261" t="s">
        <v>10621</v>
      </c>
      <c r="B1497" s="262" t="s">
        <v>25226</v>
      </c>
      <c r="C1497" s="261" t="s">
        <v>331</v>
      </c>
      <c r="D1497" s="440">
        <v>5804.3923000000004</v>
      </c>
    </row>
    <row r="1498" spans="1:4">
      <c r="A1498" s="261" t="s">
        <v>10622</v>
      </c>
      <c r="B1498" s="262" t="s">
        <v>25227</v>
      </c>
      <c r="C1498" s="261" t="s">
        <v>331</v>
      </c>
      <c r="D1498" s="440">
        <v>7271.7349000000004</v>
      </c>
    </row>
    <row r="1499" spans="1:4">
      <c r="A1499" s="261" t="s">
        <v>10623</v>
      </c>
      <c r="B1499" s="262" t="s">
        <v>25228</v>
      </c>
      <c r="C1499" s="261" t="s">
        <v>331</v>
      </c>
      <c r="D1499" s="440">
        <v>7899.8933999999999</v>
      </c>
    </row>
    <row r="1500" spans="1:4">
      <c r="A1500" s="261" t="s">
        <v>10624</v>
      </c>
      <c r="B1500" s="262" t="s">
        <v>25229</v>
      </c>
      <c r="C1500" s="261" t="s">
        <v>331</v>
      </c>
      <c r="D1500" s="440">
        <v>44.587400000000002</v>
      </c>
    </row>
    <row r="1501" spans="1:4">
      <c r="A1501" s="261" t="s">
        <v>10625</v>
      </c>
      <c r="B1501" s="262" t="s">
        <v>25230</v>
      </c>
      <c r="C1501" s="261" t="s">
        <v>331</v>
      </c>
      <c r="D1501" s="440">
        <v>469.79489999999998</v>
      </c>
    </row>
    <row r="1502" spans="1:4">
      <c r="A1502" s="261" t="s">
        <v>10626</v>
      </c>
      <c r="B1502" s="262" t="s">
        <v>25231</v>
      </c>
      <c r="C1502" s="261" t="s">
        <v>331</v>
      </c>
      <c r="D1502" s="440">
        <v>120.7697</v>
      </c>
    </row>
    <row r="1503" spans="1:4">
      <c r="A1503" s="261" t="s">
        <v>10627</v>
      </c>
      <c r="B1503" s="262" t="s">
        <v>25232</v>
      </c>
      <c r="C1503" s="261" t="s">
        <v>328</v>
      </c>
      <c r="D1503" s="440">
        <v>367.1438</v>
      </c>
    </row>
    <row r="1504" spans="1:4">
      <c r="A1504" s="261" t="s">
        <v>10628</v>
      </c>
      <c r="B1504" s="262" t="s">
        <v>25233</v>
      </c>
      <c r="C1504" s="261" t="s">
        <v>331</v>
      </c>
      <c r="D1504" s="440">
        <v>78.670299999999997</v>
      </c>
    </row>
    <row r="1505" spans="1:4">
      <c r="A1505" s="261" t="s">
        <v>10629</v>
      </c>
      <c r="B1505" s="262" t="s">
        <v>23738</v>
      </c>
      <c r="C1505" s="261" t="s">
        <v>326</v>
      </c>
      <c r="D1505" s="440" t="s">
        <v>13</v>
      </c>
    </row>
    <row r="1506" spans="1:4">
      <c r="A1506" s="261" t="s">
        <v>10631</v>
      </c>
      <c r="B1506" s="262" t="s">
        <v>23737</v>
      </c>
      <c r="C1506" s="261" t="s">
        <v>326</v>
      </c>
      <c r="D1506" s="440" t="s">
        <v>13</v>
      </c>
    </row>
    <row r="1507" spans="1:4">
      <c r="A1507" s="261" t="s">
        <v>10633</v>
      </c>
      <c r="B1507" s="262" t="s">
        <v>23735</v>
      </c>
      <c r="C1507" s="261" t="s">
        <v>326</v>
      </c>
      <c r="D1507" s="440" t="s">
        <v>13</v>
      </c>
    </row>
    <row r="1508" spans="1:4">
      <c r="A1508" s="261" t="s">
        <v>10635</v>
      </c>
      <c r="B1508" s="262" t="s">
        <v>25234</v>
      </c>
      <c r="C1508" s="261" t="s">
        <v>326</v>
      </c>
      <c r="D1508" s="440" t="s">
        <v>13</v>
      </c>
    </row>
    <row r="1509" spans="1:4">
      <c r="A1509" s="261" t="s">
        <v>10636</v>
      </c>
      <c r="B1509" s="262" t="s">
        <v>25235</v>
      </c>
      <c r="C1509" s="261" t="s">
        <v>326</v>
      </c>
      <c r="D1509" s="440" t="s">
        <v>13</v>
      </c>
    </row>
    <row r="1510" spans="1:4">
      <c r="A1510" s="261" t="s">
        <v>10637</v>
      </c>
      <c r="B1510" s="262" t="s">
        <v>25236</v>
      </c>
      <c r="C1510" s="261" t="s">
        <v>326</v>
      </c>
      <c r="D1510" s="440" t="s">
        <v>13</v>
      </c>
    </row>
    <row r="1511" spans="1:4">
      <c r="A1511" s="261" t="s">
        <v>10638</v>
      </c>
      <c r="B1511" s="262" t="s">
        <v>25237</v>
      </c>
      <c r="C1511" s="261" t="s">
        <v>326</v>
      </c>
      <c r="D1511" s="440" t="s">
        <v>13</v>
      </c>
    </row>
    <row r="1512" spans="1:4">
      <c r="A1512" s="261" t="s">
        <v>10639</v>
      </c>
      <c r="B1512" s="262" t="s">
        <v>25238</v>
      </c>
      <c r="C1512" s="261" t="s">
        <v>326</v>
      </c>
      <c r="D1512" s="440" t="s">
        <v>13</v>
      </c>
    </row>
    <row r="1513" spans="1:4">
      <c r="A1513" s="261" t="s">
        <v>10640</v>
      </c>
      <c r="B1513" s="262" t="s">
        <v>25239</v>
      </c>
      <c r="C1513" s="261" t="s">
        <v>326</v>
      </c>
      <c r="D1513" s="440" t="s">
        <v>13</v>
      </c>
    </row>
    <row r="1514" spans="1:4">
      <c r="A1514" s="261" t="s">
        <v>10641</v>
      </c>
      <c r="B1514" s="262" t="s">
        <v>25240</v>
      </c>
      <c r="C1514" s="261" t="s">
        <v>34</v>
      </c>
      <c r="D1514" s="440" t="s">
        <v>13</v>
      </c>
    </row>
    <row r="1515" spans="1:4">
      <c r="A1515" s="261" t="s">
        <v>10642</v>
      </c>
      <c r="B1515" s="262" t="s">
        <v>25241</v>
      </c>
      <c r="C1515" s="261" t="s">
        <v>326</v>
      </c>
      <c r="D1515" s="440" t="s">
        <v>13</v>
      </c>
    </row>
    <row r="1516" spans="1:4">
      <c r="A1516" s="261" t="s">
        <v>10643</v>
      </c>
      <c r="B1516" s="262" t="s">
        <v>25242</v>
      </c>
      <c r="C1516" s="261" t="s">
        <v>326</v>
      </c>
      <c r="D1516" s="440" t="s">
        <v>13</v>
      </c>
    </row>
    <row r="1517" spans="1:4">
      <c r="A1517" s="261" t="s">
        <v>10644</v>
      </c>
      <c r="B1517" s="262" t="s">
        <v>25243</v>
      </c>
      <c r="C1517" s="261" t="s">
        <v>326</v>
      </c>
      <c r="D1517" s="440" t="s">
        <v>13</v>
      </c>
    </row>
    <row r="1518" spans="1:4">
      <c r="A1518" s="261" t="s">
        <v>10645</v>
      </c>
      <c r="B1518" s="262" t="s">
        <v>25244</v>
      </c>
      <c r="C1518" s="261" t="s">
        <v>34</v>
      </c>
      <c r="D1518" s="440" t="s">
        <v>13</v>
      </c>
    </row>
    <row r="1519" spans="1:4">
      <c r="A1519" s="261" t="s">
        <v>10646</v>
      </c>
      <c r="B1519" s="262" t="s">
        <v>25245</v>
      </c>
      <c r="C1519" s="261" t="s">
        <v>331</v>
      </c>
      <c r="D1519" s="440" t="s">
        <v>13</v>
      </c>
    </row>
    <row r="1520" spans="1:4">
      <c r="A1520" s="261" t="s">
        <v>10647</v>
      </c>
      <c r="B1520" s="262" t="s">
        <v>25246</v>
      </c>
      <c r="C1520" s="261" t="s">
        <v>954</v>
      </c>
      <c r="D1520" s="440">
        <v>55.981400000000001</v>
      </c>
    </row>
    <row r="1521" spans="1:4">
      <c r="A1521" s="261" t="s">
        <v>10648</v>
      </c>
      <c r="B1521" s="262" t="s">
        <v>25247</v>
      </c>
      <c r="C1521" s="261" t="s">
        <v>954</v>
      </c>
      <c r="D1521" s="440">
        <v>94.685400000000001</v>
      </c>
    </row>
    <row r="1522" spans="1:4">
      <c r="A1522" s="261" t="s">
        <v>10649</v>
      </c>
      <c r="B1522" s="262" t="s">
        <v>25248</v>
      </c>
      <c r="C1522" s="261" t="s">
        <v>954</v>
      </c>
      <c r="D1522" s="440">
        <v>85.382900000000006</v>
      </c>
    </row>
    <row r="1523" spans="1:4">
      <c r="A1523" s="261" t="s">
        <v>10650</v>
      </c>
      <c r="B1523" s="262" t="s">
        <v>25249</v>
      </c>
      <c r="C1523" s="261" t="s">
        <v>331</v>
      </c>
      <c r="D1523" s="440">
        <v>123613.4103</v>
      </c>
    </row>
    <row r="1524" spans="1:4">
      <c r="A1524" s="261" t="s">
        <v>10651</v>
      </c>
      <c r="B1524" s="262" t="s">
        <v>25250</v>
      </c>
      <c r="C1524" s="261" t="s">
        <v>331</v>
      </c>
      <c r="D1524" s="440">
        <v>171209.66380000001</v>
      </c>
    </row>
    <row r="1525" spans="1:4">
      <c r="A1525" s="261" t="s">
        <v>10652</v>
      </c>
      <c r="B1525" s="262" t="s">
        <v>25251</v>
      </c>
      <c r="C1525" s="261" t="s">
        <v>331</v>
      </c>
      <c r="D1525" s="440">
        <v>61.552700000000002</v>
      </c>
    </row>
    <row r="1526" spans="1:4">
      <c r="A1526" s="261" t="s">
        <v>10653</v>
      </c>
      <c r="B1526" s="262" t="s">
        <v>25252</v>
      </c>
      <c r="C1526" s="261" t="s">
        <v>331</v>
      </c>
      <c r="D1526" s="440">
        <v>18.1234</v>
      </c>
    </row>
    <row r="1527" spans="1:4">
      <c r="A1527" s="261" t="s">
        <v>10654</v>
      </c>
      <c r="B1527" s="262" t="s">
        <v>25253</v>
      </c>
      <c r="C1527" s="261" t="s">
        <v>331</v>
      </c>
      <c r="D1527" s="440">
        <v>188331.7243</v>
      </c>
    </row>
    <row r="1528" spans="1:4">
      <c r="A1528" s="261" t="s">
        <v>10655</v>
      </c>
      <c r="B1528" s="262" t="s">
        <v>25254</v>
      </c>
      <c r="C1528" s="261" t="s">
        <v>331</v>
      </c>
      <c r="D1528" s="440">
        <v>1649.7037</v>
      </c>
    </row>
    <row r="1529" spans="1:4">
      <c r="A1529" s="261" t="s">
        <v>10656</v>
      </c>
      <c r="B1529" s="262" t="s">
        <v>25255</v>
      </c>
      <c r="C1529" s="261" t="s">
        <v>328</v>
      </c>
      <c r="D1529" s="440">
        <v>317</v>
      </c>
    </row>
    <row r="1530" spans="1:4">
      <c r="A1530" s="261" t="s">
        <v>10657</v>
      </c>
      <c r="B1530" s="262" t="s">
        <v>25256</v>
      </c>
      <c r="C1530" s="261" t="s">
        <v>331</v>
      </c>
      <c r="D1530" s="440">
        <v>5887.9040999999997</v>
      </c>
    </row>
    <row r="1531" spans="1:4">
      <c r="A1531" s="261" t="s">
        <v>10658</v>
      </c>
      <c r="B1531" s="262" t="s">
        <v>25257</v>
      </c>
      <c r="C1531" s="261" t="s">
        <v>331</v>
      </c>
      <c r="D1531" s="440">
        <v>1788.3965000000001</v>
      </c>
    </row>
    <row r="1532" spans="1:4">
      <c r="A1532" s="261" t="s">
        <v>10659</v>
      </c>
      <c r="B1532" s="262" t="s">
        <v>25258</v>
      </c>
      <c r="C1532" s="261" t="s">
        <v>327</v>
      </c>
      <c r="D1532" s="440">
        <v>37.714300000000001</v>
      </c>
    </row>
    <row r="1533" spans="1:4">
      <c r="A1533" s="261" t="s">
        <v>10660</v>
      </c>
      <c r="B1533" s="262" t="s">
        <v>25259</v>
      </c>
      <c r="C1533" s="261" t="s">
        <v>34</v>
      </c>
      <c r="D1533" s="440" t="s">
        <v>13</v>
      </c>
    </row>
    <row r="1534" spans="1:4">
      <c r="A1534" s="261" t="s">
        <v>10661</v>
      </c>
      <c r="B1534" s="262" t="s">
        <v>25260</v>
      </c>
      <c r="C1534" s="261" t="s">
        <v>326</v>
      </c>
      <c r="D1534" s="440" t="s">
        <v>13</v>
      </c>
    </row>
    <row r="1535" spans="1:4">
      <c r="A1535" s="261" t="s">
        <v>10662</v>
      </c>
      <c r="B1535" s="262" t="s">
        <v>25261</v>
      </c>
      <c r="C1535" s="261" t="s">
        <v>34</v>
      </c>
      <c r="D1535" s="440" t="s">
        <v>13</v>
      </c>
    </row>
    <row r="1536" spans="1:4">
      <c r="A1536" s="261" t="s">
        <v>10663</v>
      </c>
      <c r="B1536" s="262" t="s">
        <v>25262</v>
      </c>
      <c r="C1536" s="261" t="s">
        <v>331</v>
      </c>
      <c r="D1536" s="440" t="s">
        <v>13</v>
      </c>
    </row>
    <row r="1537" spans="1:4">
      <c r="A1537" s="261" t="s">
        <v>10664</v>
      </c>
      <c r="B1537" s="262" t="s">
        <v>25263</v>
      </c>
      <c r="C1537" s="261" t="s">
        <v>331</v>
      </c>
      <c r="D1537" s="440" t="s">
        <v>13</v>
      </c>
    </row>
    <row r="1538" spans="1:4">
      <c r="A1538" s="261" t="s">
        <v>10665</v>
      </c>
      <c r="B1538" s="262" t="s">
        <v>25264</v>
      </c>
      <c r="C1538" s="261" t="s">
        <v>331</v>
      </c>
      <c r="D1538" s="440" t="s">
        <v>13</v>
      </c>
    </row>
    <row r="1539" spans="1:4">
      <c r="A1539" s="261" t="s">
        <v>10666</v>
      </c>
      <c r="B1539" s="262" t="s">
        <v>25265</v>
      </c>
      <c r="C1539" s="261" t="s">
        <v>328</v>
      </c>
      <c r="D1539" s="440">
        <v>151.9735</v>
      </c>
    </row>
    <row r="1540" spans="1:4">
      <c r="A1540" s="261" t="s">
        <v>10667</v>
      </c>
      <c r="B1540" s="262" t="s">
        <v>25266</v>
      </c>
      <c r="C1540" s="261" t="s">
        <v>328</v>
      </c>
      <c r="D1540" s="440">
        <v>149.93799999999999</v>
      </c>
    </row>
    <row r="1541" spans="1:4">
      <c r="A1541" s="261" t="s">
        <v>10668</v>
      </c>
      <c r="B1541" s="262" t="s">
        <v>25267</v>
      </c>
      <c r="C1541" s="261" t="s">
        <v>326</v>
      </c>
      <c r="D1541" s="440" t="s">
        <v>13</v>
      </c>
    </row>
    <row r="1542" spans="1:4">
      <c r="A1542" s="261" t="s">
        <v>10669</v>
      </c>
      <c r="B1542" s="262" t="s">
        <v>25268</v>
      </c>
      <c r="C1542" s="261" t="s">
        <v>326</v>
      </c>
      <c r="D1542" s="440" t="s">
        <v>13</v>
      </c>
    </row>
    <row r="1543" spans="1:4">
      <c r="A1543" s="261" t="s">
        <v>10670</v>
      </c>
      <c r="B1543" s="262" t="s">
        <v>25269</v>
      </c>
      <c r="C1543" s="261" t="s">
        <v>328</v>
      </c>
      <c r="D1543" s="440">
        <v>348.56979999999999</v>
      </c>
    </row>
    <row r="1544" spans="1:4">
      <c r="A1544" s="261" t="s">
        <v>10671</v>
      </c>
      <c r="B1544" s="262" t="s">
        <v>25270</v>
      </c>
      <c r="C1544" s="261" t="s">
        <v>328</v>
      </c>
      <c r="D1544" s="440">
        <v>620.33609999999999</v>
      </c>
    </row>
    <row r="1545" spans="1:4">
      <c r="A1545" s="261" t="s">
        <v>10672</v>
      </c>
      <c r="B1545" s="262" t="s">
        <v>25271</v>
      </c>
      <c r="C1545" s="261" t="s">
        <v>328</v>
      </c>
      <c r="D1545" s="440">
        <v>668.47559999999999</v>
      </c>
    </row>
    <row r="1546" spans="1:4">
      <c r="A1546" s="261" t="s">
        <v>10673</v>
      </c>
      <c r="B1546" s="262" t="s">
        <v>25272</v>
      </c>
      <c r="C1546" s="261" t="s">
        <v>328</v>
      </c>
      <c r="D1546" s="440">
        <v>669.32860000000005</v>
      </c>
    </row>
    <row r="1547" spans="1:4">
      <c r="A1547" s="261" t="s">
        <v>10674</v>
      </c>
      <c r="B1547" s="262" t="s">
        <v>25273</v>
      </c>
      <c r="C1547" s="261" t="s">
        <v>328</v>
      </c>
      <c r="D1547" s="440">
        <v>726.68280000000004</v>
      </c>
    </row>
    <row r="1548" spans="1:4">
      <c r="A1548" s="261" t="s">
        <v>10675</v>
      </c>
      <c r="B1548" s="262" t="s">
        <v>25274</v>
      </c>
      <c r="C1548" s="261" t="s">
        <v>328</v>
      </c>
      <c r="D1548" s="440">
        <v>937.96</v>
      </c>
    </row>
    <row r="1549" spans="1:4">
      <c r="A1549" s="261" t="s">
        <v>10676</v>
      </c>
      <c r="B1549" s="262" t="s">
        <v>25275</v>
      </c>
      <c r="C1549" s="261" t="s">
        <v>328</v>
      </c>
      <c r="D1549" s="440">
        <v>906.26189999999997</v>
      </c>
    </row>
    <row r="1550" spans="1:4">
      <c r="A1550" s="261" t="s">
        <v>10677</v>
      </c>
      <c r="B1550" s="262" t="s">
        <v>25276</v>
      </c>
      <c r="C1550" s="261" t="s">
        <v>328</v>
      </c>
      <c r="D1550" s="440">
        <v>1055.7501999999999</v>
      </c>
    </row>
    <row r="1551" spans="1:4">
      <c r="A1551" s="261" t="s">
        <v>10678</v>
      </c>
      <c r="B1551" s="262" t="s">
        <v>25277</v>
      </c>
      <c r="C1551" s="261" t="s">
        <v>328</v>
      </c>
      <c r="D1551" s="440">
        <v>4367.4958999999999</v>
      </c>
    </row>
    <row r="1552" spans="1:4">
      <c r="A1552" s="261" t="s">
        <v>10679</v>
      </c>
      <c r="B1552" s="262" t="s">
        <v>25278</v>
      </c>
      <c r="C1552" s="261" t="s">
        <v>328</v>
      </c>
      <c r="D1552" s="440">
        <v>262.00470000000001</v>
      </c>
    </row>
    <row r="1553" spans="1:4">
      <c r="A1553" s="261" t="s">
        <v>10680</v>
      </c>
      <c r="B1553" s="262" t="s">
        <v>25279</v>
      </c>
      <c r="C1553" s="261" t="s">
        <v>328</v>
      </c>
      <c r="D1553" s="440">
        <v>279.11840000000001</v>
      </c>
    </row>
    <row r="1554" spans="1:4">
      <c r="A1554" s="261" t="s">
        <v>10681</v>
      </c>
      <c r="B1554" s="262" t="s">
        <v>25280</v>
      </c>
      <c r="C1554" s="261" t="s">
        <v>328</v>
      </c>
      <c r="D1554" s="440">
        <v>245.17850000000001</v>
      </c>
    </row>
    <row r="1555" spans="1:4">
      <c r="A1555" s="261" t="s">
        <v>10682</v>
      </c>
      <c r="B1555" s="262" t="s">
        <v>25281</v>
      </c>
      <c r="C1555" s="261" t="s">
        <v>328</v>
      </c>
      <c r="D1555" s="440">
        <v>411.4178</v>
      </c>
    </row>
    <row r="1556" spans="1:4">
      <c r="A1556" s="261" t="s">
        <v>10683</v>
      </c>
      <c r="B1556" s="262" t="s">
        <v>25282</v>
      </c>
      <c r="C1556" s="261" t="s">
        <v>328</v>
      </c>
      <c r="D1556" s="440">
        <v>924.17489999999998</v>
      </c>
    </row>
    <row r="1557" spans="1:4">
      <c r="A1557" s="261" t="s">
        <v>10684</v>
      </c>
      <c r="B1557" s="262" t="s">
        <v>25283</v>
      </c>
      <c r="C1557" s="261" t="s">
        <v>328</v>
      </c>
      <c r="D1557" s="440">
        <v>1858.7976000000001</v>
      </c>
    </row>
    <row r="1558" spans="1:4">
      <c r="A1558" s="261" t="s">
        <v>10685</v>
      </c>
      <c r="B1558" s="262" t="s">
        <v>25284</v>
      </c>
      <c r="C1558" s="261" t="s">
        <v>328</v>
      </c>
      <c r="D1558" s="440">
        <v>524.21630000000005</v>
      </c>
    </row>
    <row r="1559" spans="1:4">
      <c r="A1559" s="261" t="s">
        <v>10686</v>
      </c>
      <c r="B1559" s="262" t="s">
        <v>25285</v>
      </c>
      <c r="C1559" s="261" t="s">
        <v>328</v>
      </c>
      <c r="D1559" s="440">
        <v>641.23929999999996</v>
      </c>
    </row>
    <row r="1560" spans="1:4">
      <c r="A1560" s="261" t="s">
        <v>10687</v>
      </c>
      <c r="B1560" s="262" t="s">
        <v>25286</v>
      </c>
      <c r="C1560" s="261" t="s">
        <v>328</v>
      </c>
      <c r="D1560" s="440">
        <v>821.80679999999995</v>
      </c>
    </row>
    <row r="1561" spans="1:4">
      <c r="A1561" s="261" t="s">
        <v>10688</v>
      </c>
      <c r="B1561" s="262" t="s">
        <v>25287</v>
      </c>
      <c r="C1561" s="261" t="s">
        <v>328</v>
      </c>
      <c r="D1561" s="440">
        <v>704.96759999999995</v>
      </c>
    </row>
    <row r="1562" spans="1:4">
      <c r="A1562" s="261" t="s">
        <v>10689</v>
      </c>
      <c r="B1562" s="262" t="s">
        <v>25288</v>
      </c>
      <c r="C1562" s="261" t="s">
        <v>328</v>
      </c>
      <c r="D1562" s="440">
        <v>1152.6561999999999</v>
      </c>
    </row>
    <row r="1563" spans="1:4">
      <c r="A1563" s="261" t="s">
        <v>10690</v>
      </c>
      <c r="B1563" s="262" t="s">
        <v>25289</v>
      </c>
      <c r="C1563" s="261" t="s">
        <v>328</v>
      </c>
      <c r="D1563" s="440">
        <v>1438.0518999999999</v>
      </c>
    </row>
    <row r="1564" spans="1:4">
      <c r="A1564" s="261" t="s">
        <v>10691</v>
      </c>
      <c r="B1564" s="262" t="s">
        <v>25290</v>
      </c>
      <c r="C1564" s="261" t="s">
        <v>328</v>
      </c>
      <c r="D1564" s="440">
        <v>1884.9314999999999</v>
      </c>
    </row>
    <row r="1565" spans="1:4">
      <c r="A1565" s="261" t="s">
        <v>10692</v>
      </c>
      <c r="B1565" s="262" t="s">
        <v>25291</v>
      </c>
      <c r="C1565" s="261" t="s">
        <v>325</v>
      </c>
      <c r="D1565" s="440">
        <v>1855.08</v>
      </c>
    </row>
    <row r="1566" spans="1:4">
      <c r="A1566" s="261" t="s">
        <v>10693</v>
      </c>
      <c r="B1566" s="262" t="s">
        <v>25292</v>
      </c>
      <c r="C1566" s="261" t="s">
        <v>34</v>
      </c>
      <c r="D1566" s="440" t="s">
        <v>13</v>
      </c>
    </row>
    <row r="1567" spans="1:4">
      <c r="A1567" s="261" t="s">
        <v>10694</v>
      </c>
      <c r="B1567" s="262" t="s">
        <v>25293</v>
      </c>
      <c r="C1567" s="261" t="s">
        <v>34</v>
      </c>
      <c r="D1567" s="440" t="s">
        <v>13</v>
      </c>
    </row>
    <row r="1568" spans="1:4">
      <c r="A1568" s="261" t="s">
        <v>10695</v>
      </c>
      <c r="B1568" s="262" t="s">
        <v>25294</v>
      </c>
      <c r="C1568" s="261" t="s">
        <v>34</v>
      </c>
      <c r="D1568" s="440" t="s">
        <v>13</v>
      </c>
    </row>
    <row r="1569" spans="1:4">
      <c r="A1569" s="261" t="s">
        <v>10696</v>
      </c>
      <c r="B1569" s="262" t="s">
        <v>25295</v>
      </c>
      <c r="C1569" s="261" t="s">
        <v>34</v>
      </c>
      <c r="D1569" s="440" t="s">
        <v>13</v>
      </c>
    </row>
    <row r="1570" spans="1:4">
      <c r="A1570" s="261" t="s">
        <v>10697</v>
      </c>
      <c r="B1570" s="262" t="s">
        <v>25296</v>
      </c>
      <c r="C1570" s="261" t="s">
        <v>34</v>
      </c>
      <c r="D1570" s="440" t="s">
        <v>13</v>
      </c>
    </row>
    <row r="1571" spans="1:4">
      <c r="A1571" s="261" t="s">
        <v>10698</v>
      </c>
      <c r="B1571" s="262" t="s">
        <v>25297</v>
      </c>
      <c r="C1571" s="261" t="s">
        <v>34</v>
      </c>
      <c r="D1571" s="440" t="s">
        <v>13</v>
      </c>
    </row>
    <row r="1572" spans="1:4">
      <c r="A1572" s="261" t="s">
        <v>10699</v>
      </c>
      <c r="B1572" s="262" t="s">
        <v>25298</v>
      </c>
      <c r="C1572" s="261" t="s">
        <v>331</v>
      </c>
      <c r="D1572" s="440" t="s">
        <v>13</v>
      </c>
    </row>
    <row r="1573" spans="1:4">
      <c r="A1573" s="261" t="s">
        <v>10700</v>
      </c>
      <c r="B1573" s="262" t="s">
        <v>25299</v>
      </c>
      <c r="C1573" s="261" t="s">
        <v>331</v>
      </c>
      <c r="D1573" s="440" t="s">
        <v>13</v>
      </c>
    </row>
    <row r="1574" spans="1:4">
      <c r="A1574" s="261" t="s">
        <v>10701</v>
      </c>
      <c r="B1574" s="262" t="s">
        <v>25300</v>
      </c>
      <c r="C1574" s="261" t="s">
        <v>331</v>
      </c>
      <c r="D1574" s="440" t="s">
        <v>13</v>
      </c>
    </row>
    <row r="1575" spans="1:4">
      <c r="A1575" s="261" t="s">
        <v>10702</v>
      </c>
      <c r="B1575" s="262" t="s">
        <v>25301</v>
      </c>
      <c r="C1575" s="261" t="s">
        <v>331</v>
      </c>
      <c r="D1575" s="440" t="s">
        <v>13</v>
      </c>
    </row>
    <row r="1576" spans="1:4">
      <c r="A1576" s="261" t="s">
        <v>10703</v>
      </c>
      <c r="B1576" s="262" t="s">
        <v>25302</v>
      </c>
      <c r="C1576" s="261" t="s">
        <v>331</v>
      </c>
      <c r="D1576" s="440" t="s">
        <v>13</v>
      </c>
    </row>
    <row r="1577" spans="1:4">
      <c r="A1577" s="261" t="s">
        <v>10704</v>
      </c>
      <c r="B1577" s="262" t="s">
        <v>25303</v>
      </c>
      <c r="C1577" s="261" t="s">
        <v>34</v>
      </c>
      <c r="D1577" s="440" t="s">
        <v>13</v>
      </c>
    </row>
    <row r="1578" spans="1:4">
      <c r="A1578" s="261" t="s">
        <v>10705</v>
      </c>
      <c r="B1578" s="262" t="s">
        <v>25304</v>
      </c>
      <c r="C1578" s="261" t="s">
        <v>331</v>
      </c>
      <c r="D1578" s="440">
        <v>16.825299999999999</v>
      </c>
    </row>
    <row r="1579" spans="1:4">
      <c r="A1579" s="261" t="s">
        <v>10706</v>
      </c>
      <c r="B1579" s="262" t="s">
        <v>25305</v>
      </c>
      <c r="C1579" s="261" t="s">
        <v>331</v>
      </c>
      <c r="D1579" s="440">
        <v>29.0002</v>
      </c>
    </row>
    <row r="1580" spans="1:4">
      <c r="A1580" s="261" t="s">
        <v>10707</v>
      </c>
      <c r="B1580" s="262" t="s">
        <v>25306</v>
      </c>
      <c r="C1580" s="261" t="s">
        <v>331</v>
      </c>
      <c r="D1580" s="440">
        <v>29.0002</v>
      </c>
    </row>
    <row r="1581" spans="1:4">
      <c r="A1581" s="261" t="s">
        <v>10708</v>
      </c>
      <c r="B1581" s="262" t="s">
        <v>25307</v>
      </c>
      <c r="C1581" s="261" t="s">
        <v>331</v>
      </c>
      <c r="D1581" s="440">
        <v>24.386399999999998</v>
      </c>
    </row>
    <row r="1582" spans="1:4">
      <c r="A1582" s="261" t="s">
        <v>10709</v>
      </c>
      <c r="B1582" s="262" t="s">
        <v>25308</v>
      </c>
      <c r="C1582" s="261" t="s">
        <v>331</v>
      </c>
      <c r="D1582" s="440">
        <v>18.126200000000001</v>
      </c>
    </row>
    <row r="1583" spans="1:4">
      <c r="A1583" s="261" t="s">
        <v>10710</v>
      </c>
      <c r="B1583" s="262" t="s">
        <v>25309</v>
      </c>
      <c r="C1583" s="261" t="s">
        <v>331</v>
      </c>
      <c r="D1583" s="440">
        <v>23.985199999999999</v>
      </c>
    </row>
    <row r="1584" spans="1:4">
      <c r="A1584" s="261" t="s">
        <v>10711</v>
      </c>
      <c r="B1584" s="262" t="s">
        <v>25310</v>
      </c>
      <c r="C1584" s="261" t="s">
        <v>331</v>
      </c>
      <c r="D1584" s="440">
        <v>23.985199999999999</v>
      </c>
    </row>
    <row r="1585" spans="1:4">
      <c r="A1585" s="261" t="s">
        <v>10712</v>
      </c>
      <c r="B1585" s="262" t="s">
        <v>25311</v>
      </c>
      <c r="C1585" s="261" t="s">
        <v>331</v>
      </c>
      <c r="D1585" s="440">
        <v>29.642099999999999</v>
      </c>
    </row>
    <row r="1586" spans="1:4">
      <c r="A1586" s="261" t="s">
        <v>10713</v>
      </c>
      <c r="B1586" s="262" t="s">
        <v>25312</v>
      </c>
      <c r="C1586" s="261" t="s">
        <v>331</v>
      </c>
      <c r="D1586" s="440">
        <v>13.7242</v>
      </c>
    </row>
    <row r="1587" spans="1:4">
      <c r="A1587" s="261" t="s">
        <v>10714</v>
      </c>
      <c r="B1587" s="262" t="s">
        <v>25313</v>
      </c>
      <c r="C1587" s="261" t="s">
        <v>331</v>
      </c>
      <c r="D1587" s="440">
        <v>21.828700000000001</v>
      </c>
    </row>
    <row r="1588" spans="1:4">
      <c r="A1588" s="261" t="s">
        <v>10715</v>
      </c>
      <c r="B1588" s="262" t="s">
        <v>25314</v>
      </c>
      <c r="C1588" s="261" t="s">
        <v>331</v>
      </c>
      <c r="D1588" s="440">
        <v>22.7014</v>
      </c>
    </row>
    <row r="1589" spans="1:4">
      <c r="A1589" s="261" t="s">
        <v>10716</v>
      </c>
      <c r="B1589" s="262" t="s">
        <v>25315</v>
      </c>
      <c r="C1589" s="261" t="s">
        <v>331</v>
      </c>
      <c r="D1589" s="440">
        <v>29.1005</v>
      </c>
    </row>
    <row r="1590" spans="1:4">
      <c r="A1590" s="261" t="s">
        <v>10717</v>
      </c>
      <c r="B1590" s="262" t="s">
        <v>25316</v>
      </c>
      <c r="C1590" s="261" t="s">
        <v>331</v>
      </c>
      <c r="D1590" s="440">
        <v>13.508599999999999</v>
      </c>
    </row>
    <row r="1591" spans="1:4">
      <c r="A1591" s="261" t="s">
        <v>10718</v>
      </c>
      <c r="B1591" s="262" t="s">
        <v>25317</v>
      </c>
      <c r="C1591" s="261" t="s">
        <v>331</v>
      </c>
      <c r="D1591" s="440">
        <v>21.247</v>
      </c>
    </row>
    <row r="1592" spans="1:4">
      <c r="A1592" s="261" t="s">
        <v>10719</v>
      </c>
      <c r="B1592" s="262" t="s">
        <v>25318</v>
      </c>
      <c r="C1592" s="261" t="s">
        <v>331</v>
      </c>
      <c r="D1592" s="440">
        <v>21.828700000000001</v>
      </c>
    </row>
    <row r="1593" spans="1:4">
      <c r="A1593" s="261" t="s">
        <v>10720</v>
      </c>
      <c r="B1593" s="262" t="s">
        <v>25319</v>
      </c>
      <c r="C1593" s="261" t="s">
        <v>331</v>
      </c>
      <c r="D1593" s="440">
        <v>24.628599999999999</v>
      </c>
    </row>
    <row r="1594" spans="1:4">
      <c r="A1594" s="261" t="s">
        <v>10721</v>
      </c>
      <c r="B1594" s="262" t="s">
        <v>25320</v>
      </c>
      <c r="C1594" s="261" t="s">
        <v>331</v>
      </c>
      <c r="D1594" s="440">
        <v>30.5657</v>
      </c>
    </row>
    <row r="1595" spans="1:4">
      <c r="A1595" s="261" t="s">
        <v>10722</v>
      </c>
      <c r="B1595" s="262" t="s">
        <v>25321</v>
      </c>
      <c r="C1595" s="261" t="s">
        <v>331</v>
      </c>
      <c r="D1595" s="440">
        <v>37.677</v>
      </c>
    </row>
    <row r="1596" spans="1:4">
      <c r="A1596" s="261" t="s">
        <v>10723</v>
      </c>
      <c r="B1596" s="262" t="s">
        <v>25322</v>
      </c>
      <c r="C1596" s="261" t="s">
        <v>331</v>
      </c>
      <c r="D1596" s="440">
        <v>41.939700000000002</v>
      </c>
    </row>
    <row r="1597" spans="1:4">
      <c r="A1597" s="261" t="s">
        <v>10724</v>
      </c>
      <c r="B1597" s="262" t="s">
        <v>25323</v>
      </c>
      <c r="C1597" s="261" t="s">
        <v>331</v>
      </c>
      <c r="D1597" s="440">
        <v>38.534199999999998</v>
      </c>
    </row>
    <row r="1598" spans="1:4">
      <c r="A1598" s="261" t="s">
        <v>10725</v>
      </c>
      <c r="B1598" s="262" t="s">
        <v>25324</v>
      </c>
      <c r="C1598" s="261" t="s">
        <v>331</v>
      </c>
      <c r="D1598" s="440">
        <v>30.004000000000001</v>
      </c>
    </row>
    <row r="1599" spans="1:4">
      <c r="A1599" s="261" t="s">
        <v>10726</v>
      </c>
      <c r="B1599" s="262" t="s">
        <v>25325</v>
      </c>
      <c r="C1599" s="261" t="s">
        <v>331</v>
      </c>
      <c r="D1599" s="440">
        <v>37.024999999999999</v>
      </c>
    </row>
    <row r="1600" spans="1:4">
      <c r="A1600" s="261" t="s">
        <v>10727</v>
      </c>
      <c r="B1600" s="262" t="s">
        <v>25326</v>
      </c>
      <c r="C1600" s="261" t="s">
        <v>331</v>
      </c>
      <c r="D1600" s="440">
        <v>41.137300000000003</v>
      </c>
    </row>
    <row r="1601" spans="1:4">
      <c r="A1601" s="261" t="s">
        <v>10728</v>
      </c>
      <c r="B1601" s="262" t="s">
        <v>25327</v>
      </c>
      <c r="C1601" s="261" t="s">
        <v>331</v>
      </c>
      <c r="D1601" s="440">
        <v>59.692799999999998</v>
      </c>
    </row>
    <row r="1602" spans="1:4">
      <c r="A1602" s="261" t="s">
        <v>10729</v>
      </c>
      <c r="B1602" s="262" t="s">
        <v>25328</v>
      </c>
      <c r="C1602" s="261" t="s">
        <v>331</v>
      </c>
      <c r="D1602" s="440">
        <v>30.5657</v>
      </c>
    </row>
    <row r="1603" spans="1:4">
      <c r="A1603" s="261" t="s">
        <v>10730</v>
      </c>
      <c r="B1603" s="262" t="s">
        <v>25329</v>
      </c>
      <c r="C1603" s="261" t="s">
        <v>331</v>
      </c>
      <c r="D1603" s="440">
        <v>37.677</v>
      </c>
    </row>
    <row r="1604" spans="1:4">
      <c r="A1604" s="261" t="s">
        <v>10731</v>
      </c>
      <c r="B1604" s="262" t="s">
        <v>25330</v>
      </c>
      <c r="C1604" s="261" t="s">
        <v>331</v>
      </c>
      <c r="D1604" s="440">
        <v>41.939700000000002</v>
      </c>
    </row>
    <row r="1605" spans="1:4">
      <c r="A1605" s="261" t="s">
        <v>10732</v>
      </c>
      <c r="B1605" s="262" t="s">
        <v>25331</v>
      </c>
      <c r="C1605" s="261" t="s">
        <v>331</v>
      </c>
      <c r="D1605" s="440">
        <v>37.432000000000002</v>
      </c>
    </row>
    <row r="1606" spans="1:4">
      <c r="A1606" s="261" t="s">
        <v>10733</v>
      </c>
      <c r="B1606" s="262" t="s">
        <v>25332</v>
      </c>
      <c r="C1606" s="261" t="s">
        <v>331</v>
      </c>
      <c r="D1606" s="440">
        <v>29.863600000000002</v>
      </c>
    </row>
    <row r="1607" spans="1:4">
      <c r="A1607" s="261" t="s">
        <v>10734</v>
      </c>
      <c r="B1607" s="262" t="s">
        <v>25333</v>
      </c>
      <c r="C1607" s="261" t="s">
        <v>331</v>
      </c>
      <c r="D1607" s="440">
        <v>36.964799999999997</v>
      </c>
    </row>
    <row r="1608" spans="1:4">
      <c r="A1608" s="261" t="s">
        <v>10735</v>
      </c>
      <c r="B1608" s="262" t="s">
        <v>25334</v>
      </c>
      <c r="C1608" s="261" t="s">
        <v>331</v>
      </c>
      <c r="D1608" s="440">
        <v>41.137300000000003</v>
      </c>
    </row>
    <row r="1609" spans="1:4">
      <c r="A1609" s="261" t="s">
        <v>10736</v>
      </c>
      <c r="B1609" s="262" t="s">
        <v>25335</v>
      </c>
      <c r="C1609" s="261" t="s">
        <v>331</v>
      </c>
      <c r="D1609" s="440">
        <v>59.692799999999998</v>
      </c>
    </row>
    <row r="1610" spans="1:4">
      <c r="A1610" s="261" t="s">
        <v>10737</v>
      </c>
      <c r="B1610" s="262" t="s">
        <v>25336</v>
      </c>
      <c r="C1610" s="261" t="s">
        <v>331</v>
      </c>
      <c r="D1610" s="440">
        <v>26.068200000000001</v>
      </c>
    </row>
    <row r="1611" spans="1:4">
      <c r="A1611" s="261" t="s">
        <v>10738</v>
      </c>
      <c r="B1611" s="262" t="s">
        <v>25337</v>
      </c>
      <c r="C1611" s="261" t="s">
        <v>331</v>
      </c>
      <c r="D1611" s="440">
        <v>21.083300000000001</v>
      </c>
    </row>
    <row r="1612" spans="1:4">
      <c r="A1612" s="261" t="s">
        <v>10739</v>
      </c>
      <c r="B1612" s="262" t="s">
        <v>25338</v>
      </c>
      <c r="C1612" s="261" t="s">
        <v>331</v>
      </c>
      <c r="D1612" s="440">
        <v>43.638399999999997</v>
      </c>
    </row>
    <row r="1613" spans="1:4">
      <c r="A1613" s="261" t="s">
        <v>10740</v>
      </c>
      <c r="B1613" s="262" t="s">
        <v>25339</v>
      </c>
      <c r="C1613" s="261" t="s">
        <v>331</v>
      </c>
      <c r="D1613" s="440">
        <v>23.370100000000001</v>
      </c>
    </row>
    <row r="1614" spans="1:4">
      <c r="A1614" s="261" t="s">
        <v>10741</v>
      </c>
      <c r="B1614" s="262" t="s">
        <v>25340</v>
      </c>
      <c r="C1614" s="261" t="s">
        <v>331</v>
      </c>
      <c r="D1614" s="440">
        <v>17.5427</v>
      </c>
    </row>
    <row r="1615" spans="1:4">
      <c r="A1615" s="261" t="s">
        <v>10742</v>
      </c>
      <c r="B1615" s="262" t="s">
        <v>25341</v>
      </c>
      <c r="C1615" s="261" t="s">
        <v>331</v>
      </c>
      <c r="D1615" s="440">
        <v>59.665399999999998</v>
      </c>
    </row>
    <row r="1616" spans="1:4">
      <c r="A1616" s="261" t="s">
        <v>10743</v>
      </c>
      <c r="B1616" s="262" t="s">
        <v>25342</v>
      </c>
      <c r="C1616" s="261" t="s">
        <v>331</v>
      </c>
      <c r="D1616" s="440">
        <v>20.902699999999999</v>
      </c>
    </row>
    <row r="1617" spans="1:4">
      <c r="A1617" s="261" t="s">
        <v>10744</v>
      </c>
      <c r="B1617" s="262" t="s">
        <v>25343</v>
      </c>
      <c r="C1617" s="261" t="s">
        <v>331</v>
      </c>
      <c r="D1617" s="440">
        <v>17.6831</v>
      </c>
    </row>
    <row r="1618" spans="1:4">
      <c r="A1618" s="261" t="s">
        <v>10745</v>
      </c>
      <c r="B1618" s="262" t="s">
        <v>25344</v>
      </c>
      <c r="C1618" s="261" t="s">
        <v>331</v>
      </c>
      <c r="D1618" s="440">
        <v>38.222499999999997</v>
      </c>
    </row>
    <row r="1619" spans="1:4">
      <c r="A1619" s="261" t="s">
        <v>10746</v>
      </c>
      <c r="B1619" s="262" t="s">
        <v>25345</v>
      </c>
      <c r="C1619" s="261" t="s">
        <v>331</v>
      </c>
      <c r="D1619" s="440">
        <v>17.261800000000001</v>
      </c>
    </row>
    <row r="1620" spans="1:4">
      <c r="A1620" s="261" t="s">
        <v>10747</v>
      </c>
      <c r="B1620" s="262" t="s">
        <v>25346</v>
      </c>
      <c r="C1620" s="261" t="s">
        <v>331</v>
      </c>
      <c r="D1620" s="440">
        <v>14.623900000000001</v>
      </c>
    </row>
    <row r="1621" spans="1:4">
      <c r="A1621" s="261" t="s">
        <v>10748</v>
      </c>
      <c r="B1621" s="262" t="s">
        <v>25347</v>
      </c>
      <c r="C1621" s="261" t="s">
        <v>331</v>
      </c>
      <c r="D1621" s="440">
        <v>50.939300000000003</v>
      </c>
    </row>
    <row r="1622" spans="1:4">
      <c r="A1622" s="261" t="s">
        <v>10749</v>
      </c>
      <c r="B1622" s="262" t="s">
        <v>25348</v>
      </c>
      <c r="C1622" s="261" t="s">
        <v>331</v>
      </c>
      <c r="D1622" s="440">
        <v>70.159300000000002</v>
      </c>
    </row>
    <row r="1623" spans="1:4">
      <c r="A1623" s="261" t="s">
        <v>10750</v>
      </c>
      <c r="B1623" s="262" t="s">
        <v>25349</v>
      </c>
      <c r="C1623" s="261" t="s">
        <v>331</v>
      </c>
      <c r="D1623" s="440">
        <v>68.704899999999995</v>
      </c>
    </row>
    <row r="1624" spans="1:4">
      <c r="A1624" s="261" t="s">
        <v>10751</v>
      </c>
      <c r="B1624" s="262" t="s">
        <v>25350</v>
      </c>
      <c r="C1624" s="261" t="s">
        <v>331</v>
      </c>
      <c r="D1624" s="440">
        <v>53.465499999999999</v>
      </c>
    </row>
    <row r="1625" spans="1:4">
      <c r="A1625" s="261" t="s">
        <v>10752</v>
      </c>
      <c r="B1625" s="262" t="s">
        <v>25351</v>
      </c>
      <c r="C1625" s="261" t="s">
        <v>331</v>
      </c>
      <c r="D1625" s="440">
        <v>51.509700000000002</v>
      </c>
    </row>
    <row r="1626" spans="1:4">
      <c r="A1626" s="261" t="s">
        <v>10753</v>
      </c>
      <c r="B1626" s="262" t="s">
        <v>25352</v>
      </c>
      <c r="C1626" s="261" t="s">
        <v>34</v>
      </c>
      <c r="D1626" s="440" t="s">
        <v>13</v>
      </c>
    </row>
    <row r="1627" spans="1:4">
      <c r="A1627" s="261" t="s">
        <v>10754</v>
      </c>
      <c r="B1627" s="262" t="s">
        <v>25353</v>
      </c>
      <c r="C1627" s="261" t="s">
        <v>331</v>
      </c>
      <c r="D1627" s="440">
        <v>20633.891899999999</v>
      </c>
    </row>
    <row r="1628" spans="1:4">
      <c r="A1628" s="261" t="s">
        <v>10755</v>
      </c>
      <c r="B1628" s="262" t="s">
        <v>25354</v>
      </c>
      <c r="C1628" s="261" t="s">
        <v>331</v>
      </c>
      <c r="D1628" s="440">
        <v>24660.177800000001</v>
      </c>
    </row>
    <row r="1629" spans="1:4">
      <c r="A1629" s="261" t="s">
        <v>10756</v>
      </c>
      <c r="B1629" s="262" t="s">
        <v>25355</v>
      </c>
      <c r="C1629" s="261" t="s">
        <v>331</v>
      </c>
      <c r="D1629" s="440">
        <v>41559.102299999999</v>
      </c>
    </row>
    <row r="1630" spans="1:4">
      <c r="A1630" s="261" t="s">
        <v>10757</v>
      </c>
      <c r="B1630" s="262" t="s">
        <v>25356</v>
      </c>
      <c r="C1630" s="261" t="s">
        <v>331</v>
      </c>
      <c r="D1630" s="440">
        <v>56997.304300000003</v>
      </c>
    </row>
    <row r="1631" spans="1:4">
      <c r="A1631" s="261" t="s">
        <v>10758</v>
      </c>
      <c r="B1631" s="262" t="s">
        <v>25357</v>
      </c>
      <c r="C1631" s="261" t="s">
        <v>331</v>
      </c>
      <c r="D1631" s="440" t="s">
        <v>13</v>
      </c>
    </row>
    <row r="1632" spans="1:4">
      <c r="A1632" s="261" t="s">
        <v>10759</v>
      </c>
      <c r="B1632" s="262" t="s">
        <v>25358</v>
      </c>
      <c r="C1632" s="261" t="s">
        <v>331</v>
      </c>
      <c r="D1632" s="440" t="s">
        <v>13</v>
      </c>
    </row>
    <row r="1633" spans="1:4">
      <c r="A1633" s="261" t="s">
        <v>10760</v>
      </c>
      <c r="B1633" s="262" t="s">
        <v>25359</v>
      </c>
      <c r="C1633" s="261" t="s">
        <v>331</v>
      </c>
      <c r="D1633" s="440" t="s">
        <v>13</v>
      </c>
    </row>
    <row r="1634" spans="1:4">
      <c r="A1634" s="261" t="s">
        <v>10761</v>
      </c>
      <c r="B1634" s="262" t="s">
        <v>25360</v>
      </c>
      <c r="C1634" s="261" t="s">
        <v>331</v>
      </c>
      <c r="D1634" s="440" t="s">
        <v>13</v>
      </c>
    </row>
    <row r="1635" spans="1:4">
      <c r="A1635" s="261" t="s">
        <v>10762</v>
      </c>
      <c r="B1635" s="262" t="s">
        <v>25361</v>
      </c>
      <c r="C1635" s="261" t="s">
        <v>331</v>
      </c>
      <c r="D1635" s="440">
        <v>57.478499999999997</v>
      </c>
    </row>
    <row r="1636" spans="1:4">
      <c r="A1636" s="261" t="s">
        <v>10763</v>
      </c>
      <c r="B1636" s="262" t="s">
        <v>25362</v>
      </c>
      <c r="C1636" s="261" t="s">
        <v>331</v>
      </c>
      <c r="D1636" s="440">
        <v>55.673099999999998</v>
      </c>
    </row>
    <row r="1637" spans="1:4">
      <c r="A1637" s="261" t="s">
        <v>10764</v>
      </c>
      <c r="B1637" s="262" t="s">
        <v>25363</v>
      </c>
      <c r="C1637" s="261" t="s">
        <v>331</v>
      </c>
      <c r="D1637" s="440">
        <v>137.40049999999999</v>
      </c>
    </row>
    <row r="1638" spans="1:4">
      <c r="A1638" s="261" t="s">
        <v>10765</v>
      </c>
      <c r="B1638" s="262" t="s">
        <v>25364</v>
      </c>
      <c r="C1638" s="261" t="s">
        <v>331</v>
      </c>
      <c r="D1638" s="440">
        <v>271.65230000000003</v>
      </c>
    </row>
    <row r="1639" spans="1:4">
      <c r="A1639" s="261" t="s">
        <v>10766</v>
      </c>
      <c r="B1639" s="262" t="s">
        <v>25365</v>
      </c>
      <c r="C1639" s="261" t="s">
        <v>331</v>
      </c>
      <c r="D1639" s="440">
        <v>76.070800000000006</v>
      </c>
    </row>
    <row r="1640" spans="1:4">
      <c r="A1640" s="261" t="s">
        <v>10767</v>
      </c>
      <c r="B1640" s="262" t="s">
        <v>25366</v>
      </c>
      <c r="C1640" s="261" t="s">
        <v>331</v>
      </c>
      <c r="D1640" s="440">
        <v>173.0308</v>
      </c>
    </row>
    <row r="1641" spans="1:4">
      <c r="A1641" s="261" t="s">
        <v>10768</v>
      </c>
      <c r="B1641" s="262" t="s">
        <v>25367</v>
      </c>
      <c r="C1641" s="261" t="s">
        <v>331</v>
      </c>
      <c r="D1641" s="440">
        <v>3.7450000000000001</v>
      </c>
    </row>
    <row r="1642" spans="1:4">
      <c r="A1642" s="261" t="s">
        <v>10769</v>
      </c>
      <c r="B1642" s="262" t="s">
        <v>25368</v>
      </c>
      <c r="C1642" s="261" t="s">
        <v>331</v>
      </c>
      <c r="D1642" s="440">
        <v>1.5183</v>
      </c>
    </row>
    <row r="1643" spans="1:4">
      <c r="A1643" s="261" t="s">
        <v>10770</v>
      </c>
      <c r="B1643" s="262" t="s">
        <v>25369</v>
      </c>
      <c r="C1643" s="261" t="s">
        <v>331</v>
      </c>
      <c r="D1643" s="440">
        <v>0.91490000000000005</v>
      </c>
    </row>
    <row r="1644" spans="1:4">
      <c r="A1644" s="261" t="s">
        <v>10771</v>
      </c>
      <c r="B1644" s="262" t="s">
        <v>25370</v>
      </c>
      <c r="C1644" s="261" t="s">
        <v>331</v>
      </c>
      <c r="D1644" s="440">
        <v>334.49959999999999</v>
      </c>
    </row>
    <row r="1645" spans="1:4">
      <c r="A1645" s="261" t="s">
        <v>10772</v>
      </c>
      <c r="B1645" s="262" t="s">
        <v>25371</v>
      </c>
      <c r="C1645" s="261" t="s">
        <v>331</v>
      </c>
      <c r="D1645" s="440">
        <v>1.1557999999999999</v>
      </c>
    </row>
    <row r="1646" spans="1:4">
      <c r="A1646" s="261" t="s">
        <v>10773</v>
      </c>
      <c r="B1646" s="262" t="s">
        <v>25372</v>
      </c>
      <c r="C1646" s="261" t="s">
        <v>954</v>
      </c>
      <c r="D1646" s="440">
        <v>58.9315</v>
      </c>
    </row>
    <row r="1647" spans="1:4">
      <c r="A1647" s="261" t="s">
        <v>10774</v>
      </c>
      <c r="B1647" s="262" t="s">
        <v>25373</v>
      </c>
      <c r="C1647" s="261" t="s">
        <v>954</v>
      </c>
      <c r="D1647" s="440">
        <v>138.16139999999999</v>
      </c>
    </row>
    <row r="1648" spans="1:4">
      <c r="A1648" s="261" t="s">
        <v>10775</v>
      </c>
      <c r="B1648" s="262" t="s">
        <v>25374</v>
      </c>
      <c r="C1648" s="261" t="s">
        <v>954</v>
      </c>
      <c r="D1648" s="440">
        <v>80.677899999999994</v>
      </c>
    </row>
    <row r="1649" spans="1:4">
      <c r="A1649" s="261" t="s">
        <v>10776</v>
      </c>
      <c r="B1649" s="262" t="s">
        <v>25375</v>
      </c>
      <c r="C1649" s="261" t="s">
        <v>954</v>
      </c>
      <c r="D1649" s="440">
        <v>180.53229999999999</v>
      </c>
    </row>
    <row r="1650" spans="1:4">
      <c r="A1650" s="261" t="s">
        <v>10777</v>
      </c>
      <c r="B1650" s="262" t="s">
        <v>25376</v>
      </c>
      <c r="C1650" s="261" t="s">
        <v>954</v>
      </c>
      <c r="D1650" s="440">
        <v>52.433300000000003</v>
      </c>
    </row>
    <row r="1651" spans="1:4">
      <c r="A1651" s="261" t="s">
        <v>10778</v>
      </c>
      <c r="B1651" s="262" t="s">
        <v>25377</v>
      </c>
      <c r="C1651" s="261" t="s">
        <v>954</v>
      </c>
      <c r="D1651" s="440">
        <v>58.649799999999999</v>
      </c>
    </row>
    <row r="1652" spans="1:4">
      <c r="A1652" s="261" t="s">
        <v>10779</v>
      </c>
      <c r="B1652" s="262" t="s">
        <v>25378</v>
      </c>
      <c r="C1652" s="261" t="s">
        <v>331</v>
      </c>
      <c r="D1652" s="440">
        <v>2.5476000000000001</v>
      </c>
    </row>
    <row r="1653" spans="1:4">
      <c r="A1653" s="261" t="s">
        <v>10780</v>
      </c>
      <c r="B1653" s="262" t="s">
        <v>25379</v>
      </c>
      <c r="C1653" s="261" t="s">
        <v>331</v>
      </c>
      <c r="D1653" s="440">
        <v>4.6977000000000002</v>
      </c>
    </row>
    <row r="1654" spans="1:4">
      <c r="A1654" s="261" t="s">
        <v>10781</v>
      </c>
      <c r="B1654" s="262" t="s">
        <v>25380</v>
      </c>
      <c r="C1654" s="261" t="s">
        <v>328</v>
      </c>
      <c r="D1654" s="440">
        <v>56.722299999999997</v>
      </c>
    </row>
    <row r="1655" spans="1:4">
      <c r="A1655" s="261" t="s">
        <v>10782</v>
      </c>
      <c r="B1655" s="262" t="s">
        <v>25381</v>
      </c>
      <c r="C1655" s="261" t="s">
        <v>328</v>
      </c>
      <c r="D1655" s="440">
        <v>205.5616</v>
      </c>
    </row>
    <row r="1656" spans="1:4">
      <c r="A1656" s="261" t="s">
        <v>10783</v>
      </c>
      <c r="B1656" s="262" t="s">
        <v>25382</v>
      </c>
      <c r="C1656" s="261" t="s">
        <v>327</v>
      </c>
      <c r="D1656" s="440">
        <v>34.7136</v>
      </c>
    </row>
    <row r="1657" spans="1:4">
      <c r="A1657" s="261" t="s">
        <v>10784</v>
      </c>
      <c r="B1657" s="262" t="s">
        <v>25383</v>
      </c>
      <c r="C1657" s="261" t="s">
        <v>331</v>
      </c>
      <c r="D1657" s="440">
        <v>1.3174999999999999</v>
      </c>
    </row>
    <row r="1658" spans="1:4">
      <c r="A1658" s="261" t="s">
        <v>10785</v>
      </c>
      <c r="B1658" s="262" t="s">
        <v>25384</v>
      </c>
      <c r="C1658" s="261" t="s">
        <v>331</v>
      </c>
      <c r="D1658" s="440">
        <v>0.56830000000000003</v>
      </c>
    </row>
    <row r="1659" spans="1:4">
      <c r="A1659" s="261" t="s">
        <v>10786</v>
      </c>
      <c r="B1659" s="262" t="s">
        <v>25385</v>
      </c>
      <c r="C1659" s="261" t="s">
        <v>331</v>
      </c>
      <c r="D1659" s="440">
        <v>0.2392</v>
      </c>
    </row>
    <row r="1660" spans="1:4">
      <c r="A1660" s="261" t="s">
        <v>10787</v>
      </c>
      <c r="B1660" s="262" t="s">
        <v>25386</v>
      </c>
      <c r="C1660" s="261" t="s">
        <v>331</v>
      </c>
      <c r="D1660" s="440">
        <v>0.26050000000000001</v>
      </c>
    </row>
    <row r="1661" spans="1:4">
      <c r="A1661" s="261" t="s">
        <v>10788</v>
      </c>
      <c r="B1661" s="262" t="s">
        <v>25387</v>
      </c>
      <c r="C1661" s="261" t="s">
        <v>331</v>
      </c>
      <c r="D1661" s="440">
        <v>4.1755000000000004</v>
      </c>
    </row>
    <row r="1662" spans="1:4">
      <c r="A1662" s="261" t="s">
        <v>10789</v>
      </c>
      <c r="B1662" s="262" t="s">
        <v>25388</v>
      </c>
      <c r="C1662" s="261" t="s">
        <v>328</v>
      </c>
      <c r="D1662" s="440">
        <v>42.620399999999997</v>
      </c>
    </row>
    <row r="1663" spans="1:4">
      <c r="A1663" s="261" t="s">
        <v>10790</v>
      </c>
      <c r="B1663" s="262" t="s">
        <v>25389</v>
      </c>
      <c r="C1663" s="261" t="s">
        <v>328</v>
      </c>
      <c r="D1663" s="440">
        <v>22.111000000000001</v>
      </c>
    </row>
    <row r="1664" spans="1:4">
      <c r="A1664" s="261" t="s">
        <v>10791</v>
      </c>
      <c r="B1664" s="262" t="s">
        <v>25390</v>
      </c>
      <c r="C1664" s="261" t="s">
        <v>954</v>
      </c>
      <c r="D1664" s="440">
        <v>16.6755</v>
      </c>
    </row>
    <row r="1665" spans="1:4">
      <c r="A1665" s="261" t="s">
        <v>10792</v>
      </c>
      <c r="B1665" s="262" t="s">
        <v>25391</v>
      </c>
      <c r="C1665" s="261" t="s">
        <v>327</v>
      </c>
      <c r="D1665" s="440">
        <v>24.654499999999999</v>
      </c>
    </row>
  </sheetData>
  <autoFilter ref="A1:D1665"/>
  <mergeCells count="6">
    <mergeCell ref="A8:D8"/>
    <mergeCell ref="A2:D2"/>
    <mergeCell ref="A3:D3"/>
    <mergeCell ref="A4:D4"/>
    <mergeCell ref="A5:D5"/>
    <mergeCell ref="A6:C6"/>
  </mergeCells>
  <pageMargins left="0.70866141732283472" right="0.70866141732283472" top="0.74803149606299213" bottom="0.74803149606299213" header="0.31496062992125984" footer="0.31496062992125984"/>
  <pageSetup paperSize="9" scale="75" orientation="landscape" r:id="rId1"/>
  <headerFooter>
    <oddFooter>&amp;LAGÊNCIA DE ASSUNTOS METROPOLITANOS DO PARANÁ - AMEP
DIRETORIA DE OBRAS&amp;CENGª CIBELE CRISTINE MELLO FRANCZAK
DIRETORA DE OBRAS&amp;RPágina &amp;P de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CC"/>
  </sheetPr>
  <dimension ref="A1:K541"/>
  <sheetViews>
    <sheetView showGridLines="0" zoomScale="80" zoomScaleNormal="80" zoomScaleSheetLayoutView="100" workbookViewId="0">
      <selection activeCell="B30" sqref="B30"/>
    </sheetView>
  </sheetViews>
  <sheetFormatPr defaultRowHeight="15.75"/>
  <cols>
    <col min="1" max="1" width="8.5703125" style="229" customWidth="1"/>
    <col min="2" max="2" width="76.5703125" style="229" customWidth="1"/>
    <col min="3" max="3" width="21.28515625" style="229" bestFit="1" customWidth="1"/>
    <col min="4" max="11" width="16.42578125" style="229" customWidth="1"/>
    <col min="12" max="16384" width="9.140625" style="229"/>
  </cols>
  <sheetData>
    <row r="1" spans="1:11" s="130" customFormat="1">
      <c r="A1" s="131"/>
      <c r="B1" s="131"/>
      <c r="D1" s="131"/>
      <c r="E1" s="132"/>
      <c r="F1" s="132"/>
      <c r="G1" s="132"/>
      <c r="H1" s="132"/>
      <c r="I1" s="132"/>
      <c r="J1" s="131"/>
      <c r="K1" s="132"/>
    </row>
    <row r="2" spans="1:11" s="133" customFormat="1">
      <c r="A2" s="555" t="s">
        <v>167</v>
      </c>
      <c r="B2" s="555"/>
      <c r="C2" s="555"/>
      <c r="D2" s="555"/>
      <c r="E2" s="555"/>
      <c r="F2" s="555"/>
      <c r="G2" s="555"/>
      <c r="H2" s="555"/>
      <c r="I2" s="555"/>
    </row>
    <row r="3" spans="1:11" s="133" customFormat="1">
      <c r="A3" s="556" t="s">
        <v>165</v>
      </c>
      <c r="B3" s="556"/>
      <c r="C3" s="556"/>
      <c r="D3" s="556"/>
      <c r="E3" s="556"/>
      <c r="F3" s="556"/>
      <c r="G3" s="556"/>
      <c r="H3" s="556"/>
      <c r="I3" s="556"/>
    </row>
    <row r="4" spans="1:11" s="133" customFormat="1">
      <c r="A4" s="556"/>
      <c r="B4" s="556"/>
      <c r="C4" s="556"/>
      <c r="D4" s="556"/>
      <c r="E4" s="556"/>
      <c r="F4" s="556"/>
      <c r="G4" s="556"/>
      <c r="H4" s="556"/>
      <c r="I4" s="556"/>
    </row>
    <row r="5" spans="1:11" s="133" customFormat="1">
      <c r="A5" s="556" t="s">
        <v>25931</v>
      </c>
      <c r="B5" s="556"/>
      <c r="C5" s="556"/>
      <c r="D5" s="556"/>
      <c r="E5" s="556"/>
      <c r="F5" s="556"/>
      <c r="G5" s="556"/>
      <c r="H5" s="556"/>
      <c r="I5" s="556"/>
    </row>
    <row r="6" spans="1:11" s="130" customFormat="1">
      <c r="A6" s="554"/>
      <c r="B6" s="554"/>
      <c r="C6" s="554"/>
      <c r="D6" s="554"/>
      <c r="E6" s="132"/>
      <c r="F6" s="132"/>
      <c r="G6" s="132"/>
      <c r="H6" s="132"/>
      <c r="I6" s="132"/>
      <c r="J6" s="131"/>
      <c r="K6" s="132"/>
    </row>
    <row r="7" spans="1:11">
      <c r="A7" s="228"/>
      <c r="B7" s="587"/>
      <c r="C7" s="587"/>
      <c r="D7" s="587"/>
      <c r="E7" s="587"/>
      <c r="F7" s="587"/>
      <c r="G7" s="587"/>
      <c r="H7" s="587"/>
      <c r="I7" s="587"/>
      <c r="J7" s="587"/>
      <c r="K7" s="228"/>
    </row>
    <row r="8" spans="1:11">
      <c r="A8" s="590" t="s">
        <v>22700</v>
      </c>
      <c r="B8" s="590"/>
      <c r="C8" s="590"/>
      <c r="D8" s="590"/>
      <c r="E8" s="590"/>
      <c r="F8" s="590"/>
      <c r="G8" s="590"/>
      <c r="H8" s="590"/>
      <c r="I8" s="590"/>
      <c r="J8" s="590"/>
      <c r="K8" s="590"/>
    </row>
    <row r="9" spans="1:11" ht="47.25">
      <c r="A9" s="264" t="s">
        <v>0</v>
      </c>
      <c r="B9" s="264" t="s">
        <v>9134</v>
      </c>
      <c r="C9" s="264" t="s">
        <v>10793</v>
      </c>
      <c r="D9" s="264" t="s">
        <v>10794</v>
      </c>
      <c r="E9" s="264" t="s">
        <v>10795</v>
      </c>
      <c r="F9" s="264" t="s">
        <v>10796</v>
      </c>
      <c r="G9" s="264" t="s">
        <v>10797</v>
      </c>
      <c r="H9" s="264" t="s">
        <v>10798</v>
      </c>
      <c r="I9" s="264" t="s">
        <v>10799</v>
      </c>
      <c r="J9" s="264" t="s">
        <v>10800</v>
      </c>
      <c r="K9" s="264" t="s">
        <v>10801</v>
      </c>
    </row>
    <row r="10" spans="1:11" ht="31.5">
      <c r="A10" s="261" t="s">
        <v>10802</v>
      </c>
      <c r="B10" s="265" t="s">
        <v>25392</v>
      </c>
      <c r="C10" s="440">
        <v>75899.737599999993</v>
      </c>
      <c r="D10" s="440">
        <v>10.119999999999999</v>
      </c>
      <c r="E10" s="440">
        <v>2.3414999999999999</v>
      </c>
      <c r="F10" s="440">
        <v>0</v>
      </c>
      <c r="G10" s="440">
        <v>7.59</v>
      </c>
      <c r="H10" s="440">
        <v>0</v>
      </c>
      <c r="I10" s="440">
        <v>0</v>
      </c>
      <c r="J10" s="440">
        <v>20.051500000000001</v>
      </c>
      <c r="K10" s="440">
        <v>12.461499999999999</v>
      </c>
    </row>
    <row r="11" spans="1:11" ht="31.5">
      <c r="A11" s="261" t="s">
        <v>10803</v>
      </c>
      <c r="B11" s="265" t="s">
        <v>25393</v>
      </c>
      <c r="C11" s="440">
        <v>82305.071100000001</v>
      </c>
      <c r="D11" s="440">
        <v>10.974</v>
      </c>
      <c r="E11" s="440">
        <v>2.5390999999999999</v>
      </c>
      <c r="F11" s="440">
        <v>0</v>
      </c>
      <c r="G11" s="440">
        <v>8.2304999999999993</v>
      </c>
      <c r="H11" s="440">
        <v>0</v>
      </c>
      <c r="I11" s="440">
        <v>0</v>
      </c>
      <c r="J11" s="440">
        <v>21.743600000000001</v>
      </c>
      <c r="K11" s="440">
        <v>13.5131</v>
      </c>
    </row>
    <row r="12" spans="1:11" ht="31.5">
      <c r="A12" s="261" t="s">
        <v>10804</v>
      </c>
      <c r="B12" s="265" t="s">
        <v>25394</v>
      </c>
      <c r="C12" s="440">
        <v>90522.237699999998</v>
      </c>
      <c r="D12" s="440">
        <v>12.069599999999999</v>
      </c>
      <c r="E12" s="440">
        <v>2.7926000000000002</v>
      </c>
      <c r="F12" s="440">
        <v>0</v>
      </c>
      <c r="G12" s="440">
        <v>9.0521999999999991</v>
      </c>
      <c r="H12" s="440">
        <v>0</v>
      </c>
      <c r="I12" s="440">
        <v>0</v>
      </c>
      <c r="J12" s="440">
        <v>23.914400000000001</v>
      </c>
      <c r="K12" s="440">
        <v>14.8622</v>
      </c>
    </row>
    <row r="13" spans="1:11" ht="31.5">
      <c r="A13" s="261" t="s">
        <v>10805</v>
      </c>
      <c r="B13" s="265" t="s">
        <v>25395</v>
      </c>
      <c r="C13" s="440">
        <v>91001.895000000004</v>
      </c>
      <c r="D13" s="440">
        <v>12.133599999999999</v>
      </c>
      <c r="E13" s="440">
        <v>2.8073999999999999</v>
      </c>
      <c r="F13" s="440">
        <v>0</v>
      </c>
      <c r="G13" s="440">
        <v>9.1001999999999992</v>
      </c>
      <c r="H13" s="440">
        <v>0</v>
      </c>
      <c r="I13" s="440">
        <v>0</v>
      </c>
      <c r="J13" s="440">
        <v>24.0412</v>
      </c>
      <c r="K13" s="440">
        <v>14.941000000000001</v>
      </c>
    </row>
    <row r="14" spans="1:11" ht="31.5">
      <c r="A14" s="261" t="s">
        <v>10806</v>
      </c>
      <c r="B14" s="265" t="s">
        <v>25396</v>
      </c>
      <c r="C14" s="440">
        <v>92985.385699999999</v>
      </c>
      <c r="D14" s="440">
        <v>12.398099999999999</v>
      </c>
      <c r="E14" s="440">
        <v>2.8685999999999998</v>
      </c>
      <c r="F14" s="440">
        <v>0</v>
      </c>
      <c r="G14" s="440">
        <v>9.2985000000000007</v>
      </c>
      <c r="H14" s="440">
        <v>0</v>
      </c>
      <c r="I14" s="440">
        <v>0</v>
      </c>
      <c r="J14" s="440">
        <v>24.565200000000001</v>
      </c>
      <c r="K14" s="440">
        <v>15.2667</v>
      </c>
    </row>
    <row r="15" spans="1:11">
      <c r="A15" s="261" t="s">
        <v>10807</v>
      </c>
      <c r="B15" s="265" t="s">
        <v>25397</v>
      </c>
      <c r="C15" s="440">
        <v>2418.0061000000001</v>
      </c>
      <c r="D15" s="440">
        <v>0.41110000000000002</v>
      </c>
      <c r="E15" s="440">
        <v>8.9499999999999996E-2</v>
      </c>
      <c r="F15" s="440">
        <v>0</v>
      </c>
      <c r="G15" s="440">
        <v>0.24179999999999999</v>
      </c>
      <c r="H15" s="440">
        <v>0</v>
      </c>
      <c r="I15" s="440">
        <v>0</v>
      </c>
      <c r="J15" s="440">
        <v>0.74239999999999995</v>
      </c>
      <c r="K15" s="440">
        <v>0.50060000000000004</v>
      </c>
    </row>
    <row r="16" spans="1:11" ht="31.5">
      <c r="A16" s="261" t="s">
        <v>10808</v>
      </c>
      <c r="B16" s="265" t="s">
        <v>25398</v>
      </c>
      <c r="C16" s="440">
        <v>112208.2838</v>
      </c>
      <c r="D16" s="440">
        <v>8.9766999999999992</v>
      </c>
      <c r="E16" s="440">
        <v>2.077</v>
      </c>
      <c r="F16" s="440">
        <v>0</v>
      </c>
      <c r="G16" s="440">
        <v>7.8545999999999996</v>
      </c>
      <c r="H16" s="440">
        <v>8.6390999999999991</v>
      </c>
      <c r="I16" s="440">
        <v>0</v>
      </c>
      <c r="J16" s="440">
        <v>27.5474</v>
      </c>
      <c r="K16" s="440">
        <v>11.053699999999999</v>
      </c>
    </row>
    <row r="17" spans="1:11" ht="31.5">
      <c r="A17" s="261" t="s">
        <v>10809</v>
      </c>
      <c r="B17" s="265" t="s">
        <v>25399</v>
      </c>
      <c r="C17" s="440">
        <v>2044.3484000000001</v>
      </c>
      <c r="D17" s="440">
        <v>1.8399000000000001</v>
      </c>
      <c r="E17" s="440">
        <v>0.12609999999999999</v>
      </c>
      <c r="F17" s="440">
        <v>0</v>
      </c>
      <c r="G17" s="440">
        <v>1.0222</v>
      </c>
      <c r="H17" s="440">
        <v>0</v>
      </c>
      <c r="I17" s="440">
        <v>0</v>
      </c>
      <c r="J17" s="440">
        <v>2.9882</v>
      </c>
      <c r="K17" s="440">
        <v>1.966</v>
      </c>
    </row>
    <row r="18" spans="1:11">
      <c r="A18" s="261" t="s">
        <v>10810</v>
      </c>
      <c r="B18" s="265" t="s">
        <v>25400</v>
      </c>
      <c r="C18" s="440">
        <v>602661.42949999997</v>
      </c>
      <c r="D18" s="440">
        <v>7.8472</v>
      </c>
      <c r="E18" s="440">
        <v>3.4967999999999999</v>
      </c>
      <c r="F18" s="440">
        <v>0</v>
      </c>
      <c r="G18" s="440">
        <v>17.438099999999999</v>
      </c>
      <c r="H18" s="440">
        <v>282.35140000000001</v>
      </c>
      <c r="I18" s="440">
        <v>134.07990000000001</v>
      </c>
      <c r="J18" s="440">
        <v>445.21339999999998</v>
      </c>
      <c r="K18" s="440">
        <v>145.4239</v>
      </c>
    </row>
    <row r="19" spans="1:11" ht="31.5">
      <c r="A19" s="261" t="s">
        <v>10811</v>
      </c>
      <c r="B19" s="265" t="s">
        <v>25401</v>
      </c>
      <c r="C19" s="440">
        <v>4072</v>
      </c>
      <c r="D19" s="440">
        <v>0.61080000000000001</v>
      </c>
      <c r="E19" s="440">
        <v>8.3699999999999997E-2</v>
      </c>
      <c r="F19" s="440">
        <v>0</v>
      </c>
      <c r="G19" s="440">
        <v>0.33929999999999999</v>
      </c>
      <c r="H19" s="440">
        <v>0</v>
      </c>
      <c r="I19" s="440">
        <v>0</v>
      </c>
      <c r="J19" s="440">
        <v>1.0338000000000001</v>
      </c>
      <c r="K19" s="440">
        <v>0.69450000000000001</v>
      </c>
    </row>
    <row r="20" spans="1:11" ht="31.5">
      <c r="A20" s="261" t="s">
        <v>10812</v>
      </c>
      <c r="B20" s="265" t="s">
        <v>25402</v>
      </c>
      <c r="C20" s="440">
        <v>2040.7299</v>
      </c>
      <c r="D20" s="440">
        <v>0.36730000000000002</v>
      </c>
      <c r="E20" s="440">
        <v>7.5499999999999998E-2</v>
      </c>
      <c r="F20" s="440">
        <v>0</v>
      </c>
      <c r="G20" s="440">
        <v>0.2041</v>
      </c>
      <c r="H20" s="440">
        <v>0</v>
      </c>
      <c r="I20" s="440">
        <v>0</v>
      </c>
      <c r="J20" s="440">
        <v>0.64690000000000003</v>
      </c>
      <c r="K20" s="440">
        <v>0.44280000000000003</v>
      </c>
    </row>
    <row r="21" spans="1:11" ht="31.5">
      <c r="A21" s="261" t="s">
        <v>10813</v>
      </c>
      <c r="B21" s="265" t="s">
        <v>25403</v>
      </c>
      <c r="C21" s="440">
        <v>1979257.0185</v>
      </c>
      <c r="D21" s="440">
        <v>158.34059999999999</v>
      </c>
      <c r="E21" s="440">
        <v>36.636000000000003</v>
      </c>
      <c r="F21" s="440">
        <v>0</v>
      </c>
      <c r="G21" s="440">
        <v>98.962900000000005</v>
      </c>
      <c r="H21" s="440">
        <v>0</v>
      </c>
      <c r="I21" s="440">
        <v>32.991900000000001</v>
      </c>
      <c r="J21" s="440">
        <v>326.9314</v>
      </c>
      <c r="K21" s="440">
        <v>227.96850000000001</v>
      </c>
    </row>
    <row r="22" spans="1:11">
      <c r="A22" s="261" t="s">
        <v>10814</v>
      </c>
      <c r="B22" s="265" t="s">
        <v>25404</v>
      </c>
      <c r="C22" s="440">
        <v>56440.61</v>
      </c>
      <c r="D22" s="440">
        <v>4.5152000000000001</v>
      </c>
      <c r="E22" s="440">
        <v>1.0447</v>
      </c>
      <c r="F22" s="440">
        <v>0</v>
      </c>
      <c r="G22" s="440">
        <v>3.9508000000000001</v>
      </c>
      <c r="H22" s="440">
        <v>0</v>
      </c>
      <c r="I22" s="440">
        <v>27.6023</v>
      </c>
      <c r="J22" s="440">
        <v>37.113</v>
      </c>
      <c r="K22" s="440">
        <v>33.162199999999999</v>
      </c>
    </row>
    <row r="23" spans="1:11" ht="31.5">
      <c r="A23" s="261" t="s">
        <v>10815</v>
      </c>
      <c r="B23" s="265" t="s">
        <v>25405</v>
      </c>
      <c r="C23" s="440">
        <v>8484205.8626000006</v>
      </c>
      <c r="D23" s="440">
        <v>494.91199999999998</v>
      </c>
      <c r="E23" s="440">
        <v>152.68039999999999</v>
      </c>
      <c r="F23" s="440">
        <v>61.863999999999997</v>
      </c>
      <c r="G23" s="440">
        <v>636.31539999999995</v>
      </c>
      <c r="H23" s="440">
        <v>100.1427</v>
      </c>
      <c r="I23" s="440">
        <v>38.9756</v>
      </c>
      <c r="J23" s="440">
        <v>1484.8901000000001</v>
      </c>
      <c r="K23" s="440">
        <v>748.43200000000002</v>
      </c>
    </row>
    <row r="24" spans="1:11" ht="31.5">
      <c r="A24" s="261" t="s">
        <v>10816</v>
      </c>
      <c r="B24" s="265" t="s">
        <v>25406</v>
      </c>
      <c r="C24" s="440">
        <v>916631.90949999995</v>
      </c>
      <c r="D24" s="440">
        <v>64.164199999999994</v>
      </c>
      <c r="E24" s="440">
        <v>16.966899999999999</v>
      </c>
      <c r="F24" s="440">
        <v>0</v>
      </c>
      <c r="G24" s="440">
        <v>64.164199999999994</v>
      </c>
      <c r="H24" s="440">
        <v>46.134399999999999</v>
      </c>
      <c r="I24" s="440">
        <v>32.087499999999999</v>
      </c>
      <c r="J24" s="440">
        <v>223.5172</v>
      </c>
      <c r="K24" s="440">
        <v>113.2186</v>
      </c>
    </row>
    <row r="25" spans="1:11">
      <c r="A25" s="261" t="s">
        <v>10817</v>
      </c>
      <c r="B25" s="265" t="s">
        <v>25407</v>
      </c>
      <c r="C25" s="440">
        <v>4972391.9258000003</v>
      </c>
      <c r="D25" s="440">
        <v>290.05619999999999</v>
      </c>
      <c r="E25" s="440">
        <v>89.482299999999995</v>
      </c>
      <c r="F25" s="440">
        <v>0</v>
      </c>
      <c r="G25" s="440">
        <v>414.36599999999999</v>
      </c>
      <c r="H25" s="440">
        <v>504.59500000000003</v>
      </c>
      <c r="I25" s="440">
        <v>38.9756</v>
      </c>
      <c r="J25" s="440">
        <v>1337.4751000000001</v>
      </c>
      <c r="K25" s="440">
        <v>418.51409999999998</v>
      </c>
    </row>
    <row r="26" spans="1:11">
      <c r="A26" s="261" t="s">
        <v>10818</v>
      </c>
      <c r="B26" s="265" t="s">
        <v>25408</v>
      </c>
      <c r="C26" s="440">
        <v>320400</v>
      </c>
      <c r="D26" s="440">
        <v>16.02</v>
      </c>
      <c r="E26" s="440">
        <v>5.6482000000000001</v>
      </c>
      <c r="F26" s="440">
        <v>0</v>
      </c>
      <c r="G26" s="440">
        <v>11.4429</v>
      </c>
      <c r="H26" s="440">
        <v>384.54579999999999</v>
      </c>
      <c r="I26" s="440">
        <v>0</v>
      </c>
      <c r="J26" s="440">
        <v>417.65690000000001</v>
      </c>
      <c r="K26" s="440">
        <v>21.668199999999999</v>
      </c>
    </row>
    <row r="27" spans="1:11">
      <c r="A27" s="261" t="s">
        <v>10819</v>
      </c>
      <c r="B27" s="265" t="s">
        <v>25409</v>
      </c>
      <c r="C27" s="440">
        <v>835531.06169999996</v>
      </c>
      <c r="D27" s="440">
        <v>37.5989</v>
      </c>
      <c r="E27" s="440">
        <v>14.1769</v>
      </c>
      <c r="F27" s="440">
        <v>0</v>
      </c>
      <c r="G27" s="440">
        <v>29.243600000000001</v>
      </c>
      <c r="H27" s="440">
        <v>0</v>
      </c>
      <c r="I27" s="440">
        <v>27.6023</v>
      </c>
      <c r="J27" s="440">
        <v>108.6217</v>
      </c>
      <c r="K27" s="440">
        <v>79.378100000000003</v>
      </c>
    </row>
    <row r="28" spans="1:11" ht="31.5">
      <c r="A28" s="261" t="s">
        <v>10820</v>
      </c>
      <c r="B28" s="265" t="s">
        <v>25410</v>
      </c>
      <c r="C28" s="440">
        <v>3703946.3040999998</v>
      </c>
      <c r="D28" s="440">
        <v>129.63810000000001</v>
      </c>
      <c r="E28" s="440">
        <v>62.846699999999998</v>
      </c>
      <c r="F28" s="440">
        <v>0</v>
      </c>
      <c r="G28" s="440">
        <v>185.19730000000001</v>
      </c>
      <c r="H28" s="440">
        <v>74.857500000000002</v>
      </c>
      <c r="I28" s="440">
        <v>38.9756</v>
      </c>
      <c r="J28" s="440">
        <v>491.51519999999999</v>
      </c>
      <c r="K28" s="440">
        <v>231.46039999999999</v>
      </c>
    </row>
    <row r="29" spans="1:11">
      <c r="A29" s="261" t="s">
        <v>10821</v>
      </c>
      <c r="B29" s="265" t="s">
        <v>25411</v>
      </c>
      <c r="C29" s="440">
        <v>6363.3861999999999</v>
      </c>
      <c r="D29" s="440">
        <v>0.5091</v>
      </c>
      <c r="E29" s="440">
        <v>0.1178</v>
      </c>
      <c r="F29" s="440">
        <v>0</v>
      </c>
      <c r="G29" s="440">
        <v>0.44540000000000002</v>
      </c>
      <c r="H29" s="440">
        <v>0</v>
      </c>
      <c r="I29" s="440">
        <v>27.6023</v>
      </c>
      <c r="J29" s="440">
        <v>28.674600000000002</v>
      </c>
      <c r="K29" s="440">
        <v>28.229199999999999</v>
      </c>
    </row>
    <row r="30" spans="1:11" ht="31.5">
      <c r="A30" s="261" t="s">
        <v>10822</v>
      </c>
      <c r="B30" s="265" t="s">
        <v>25412</v>
      </c>
      <c r="C30" s="440">
        <v>103170.15700000001</v>
      </c>
      <c r="D30" s="440">
        <v>5.8954000000000004</v>
      </c>
      <c r="E30" s="440">
        <v>1.8187</v>
      </c>
      <c r="F30" s="440">
        <v>0</v>
      </c>
      <c r="G30" s="440">
        <v>5.8954000000000004</v>
      </c>
      <c r="H30" s="440">
        <v>0</v>
      </c>
      <c r="I30" s="440">
        <v>38.9756</v>
      </c>
      <c r="J30" s="440">
        <v>52.585099999999997</v>
      </c>
      <c r="K30" s="440">
        <v>46.689700000000002</v>
      </c>
    </row>
    <row r="31" spans="1:11" ht="31.5">
      <c r="A31" s="261" t="s">
        <v>10823</v>
      </c>
      <c r="B31" s="265" t="s">
        <v>25413</v>
      </c>
      <c r="C31" s="440">
        <v>29267.185600000001</v>
      </c>
      <c r="D31" s="440">
        <v>2.3414000000000001</v>
      </c>
      <c r="E31" s="440">
        <v>0.54169999999999996</v>
      </c>
      <c r="F31" s="440">
        <v>0</v>
      </c>
      <c r="G31" s="440">
        <v>2.0487000000000002</v>
      </c>
      <c r="H31" s="440">
        <v>0</v>
      </c>
      <c r="I31" s="440">
        <v>0</v>
      </c>
      <c r="J31" s="440">
        <v>4.9318</v>
      </c>
      <c r="K31" s="440">
        <v>2.8831000000000002</v>
      </c>
    </row>
    <row r="32" spans="1:11" ht="31.5">
      <c r="A32" s="261" t="s">
        <v>10824</v>
      </c>
      <c r="B32" s="265" t="s">
        <v>25414</v>
      </c>
      <c r="C32" s="440">
        <v>4859.7304999999997</v>
      </c>
      <c r="D32" s="440">
        <v>0.38879999999999998</v>
      </c>
      <c r="E32" s="440">
        <v>0.09</v>
      </c>
      <c r="F32" s="440">
        <v>0</v>
      </c>
      <c r="G32" s="440">
        <v>0.43740000000000001</v>
      </c>
      <c r="H32" s="440">
        <v>7.8391000000000002</v>
      </c>
      <c r="I32" s="440">
        <v>27.6023</v>
      </c>
      <c r="J32" s="440">
        <v>36.357599999999998</v>
      </c>
      <c r="K32" s="440">
        <v>28.081099999999999</v>
      </c>
    </row>
    <row r="33" spans="1:11" ht="31.5">
      <c r="A33" s="261" t="s">
        <v>10825</v>
      </c>
      <c r="B33" s="265" t="s">
        <v>25415</v>
      </c>
      <c r="C33" s="440">
        <v>131192.50099999999</v>
      </c>
      <c r="D33" s="440">
        <v>7.4966999999999997</v>
      </c>
      <c r="E33" s="440">
        <v>2.3127</v>
      </c>
      <c r="F33" s="440">
        <v>0</v>
      </c>
      <c r="G33" s="440">
        <v>7.4966999999999997</v>
      </c>
      <c r="H33" s="440">
        <v>0</v>
      </c>
      <c r="I33" s="440">
        <v>38.9756</v>
      </c>
      <c r="J33" s="440">
        <v>56.281700000000001</v>
      </c>
      <c r="K33" s="440">
        <v>48.784999999999997</v>
      </c>
    </row>
    <row r="34" spans="1:11" ht="31.5">
      <c r="A34" s="261" t="s">
        <v>10826</v>
      </c>
      <c r="B34" s="265" t="s">
        <v>25416</v>
      </c>
      <c r="C34" s="440">
        <v>13403.433499999999</v>
      </c>
      <c r="D34" s="440">
        <v>0.76590000000000003</v>
      </c>
      <c r="E34" s="440">
        <v>0.23630000000000001</v>
      </c>
      <c r="F34" s="440">
        <v>0</v>
      </c>
      <c r="G34" s="440">
        <v>0.76590000000000003</v>
      </c>
      <c r="H34" s="440">
        <v>0</v>
      </c>
      <c r="I34" s="440">
        <v>0</v>
      </c>
      <c r="J34" s="440">
        <v>1.7681</v>
      </c>
      <c r="K34" s="440">
        <v>1.0022</v>
      </c>
    </row>
    <row r="35" spans="1:11" ht="31.5">
      <c r="A35" s="261" t="s">
        <v>10827</v>
      </c>
      <c r="B35" s="265" t="s">
        <v>25417</v>
      </c>
      <c r="C35" s="440">
        <v>259886.9688</v>
      </c>
      <c r="D35" s="440">
        <v>20.791</v>
      </c>
      <c r="E35" s="440">
        <v>4.8105000000000002</v>
      </c>
      <c r="F35" s="440">
        <v>0</v>
      </c>
      <c r="G35" s="440">
        <v>18.1921</v>
      </c>
      <c r="H35" s="440">
        <v>0</v>
      </c>
      <c r="I35" s="440">
        <v>27.6023</v>
      </c>
      <c r="J35" s="440">
        <v>71.395899999999997</v>
      </c>
      <c r="K35" s="440">
        <v>53.203800000000001</v>
      </c>
    </row>
    <row r="36" spans="1:11" ht="31.5">
      <c r="A36" s="261" t="s">
        <v>10828</v>
      </c>
      <c r="B36" s="265" t="s">
        <v>25418</v>
      </c>
      <c r="C36" s="440">
        <v>86353.757100000003</v>
      </c>
      <c r="D36" s="440">
        <v>4.9344999999999999</v>
      </c>
      <c r="E36" s="440">
        <v>1.5223</v>
      </c>
      <c r="F36" s="440">
        <v>0</v>
      </c>
      <c r="G36" s="440">
        <v>4.9344999999999999</v>
      </c>
      <c r="H36" s="440">
        <v>0</v>
      </c>
      <c r="I36" s="440">
        <v>38.9756</v>
      </c>
      <c r="J36" s="440">
        <v>50.366900000000001</v>
      </c>
      <c r="K36" s="440">
        <v>45.432400000000001</v>
      </c>
    </row>
    <row r="37" spans="1:11" ht="31.5">
      <c r="A37" s="261" t="s">
        <v>10829</v>
      </c>
      <c r="B37" s="265" t="s">
        <v>25419</v>
      </c>
      <c r="C37" s="440">
        <v>123362.5102</v>
      </c>
      <c r="D37" s="440">
        <v>7.0492999999999997</v>
      </c>
      <c r="E37" s="440">
        <v>2.1747000000000001</v>
      </c>
      <c r="F37" s="440">
        <v>0</v>
      </c>
      <c r="G37" s="440">
        <v>7.0492999999999997</v>
      </c>
      <c r="H37" s="440">
        <v>0</v>
      </c>
      <c r="I37" s="440">
        <v>38.9756</v>
      </c>
      <c r="J37" s="440">
        <v>55.248899999999999</v>
      </c>
      <c r="K37" s="440">
        <v>48.199599999999997</v>
      </c>
    </row>
    <row r="38" spans="1:11" ht="31.5">
      <c r="A38" s="261" t="s">
        <v>10830</v>
      </c>
      <c r="B38" s="265" t="s">
        <v>25420</v>
      </c>
      <c r="C38" s="440">
        <v>185043.7653</v>
      </c>
      <c r="D38" s="440">
        <v>10.5739</v>
      </c>
      <c r="E38" s="440">
        <v>3.2621000000000002</v>
      </c>
      <c r="F38" s="440">
        <v>0</v>
      </c>
      <c r="G38" s="440">
        <v>10.5739</v>
      </c>
      <c r="H38" s="440">
        <v>0</v>
      </c>
      <c r="I38" s="440">
        <v>38.9756</v>
      </c>
      <c r="J38" s="440">
        <v>63.3855</v>
      </c>
      <c r="K38" s="440">
        <v>52.811599999999999</v>
      </c>
    </row>
    <row r="39" spans="1:11" ht="31.5">
      <c r="A39" s="261" t="s">
        <v>10831</v>
      </c>
      <c r="B39" s="265" t="s">
        <v>25421</v>
      </c>
      <c r="C39" s="440">
        <v>246725.02040000001</v>
      </c>
      <c r="D39" s="440">
        <v>14.098599999999999</v>
      </c>
      <c r="E39" s="440">
        <v>4.3494000000000002</v>
      </c>
      <c r="F39" s="440">
        <v>0</v>
      </c>
      <c r="G39" s="440">
        <v>14.098599999999999</v>
      </c>
      <c r="H39" s="440">
        <v>0</v>
      </c>
      <c r="I39" s="440">
        <v>38.9756</v>
      </c>
      <c r="J39" s="440">
        <v>71.522199999999998</v>
      </c>
      <c r="K39" s="440">
        <v>57.4236</v>
      </c>
    </row>
    <row r="40" spans="1:11" ht="31.5">
      <c r="A40" s="261" t="s">
        <v>10832</v>
      </c>
      <c r="B40" s="265" t="s">
        <v>25422</v>
      </c>
      <c r="C40" s="440">
        <v>3230044.6299000001</v>
      </c>
      <c r="D40" s="440">
        <v>161.50219999999999</v>
      </c>
      <c r="E40" s="440">
        <v>56.941099999999999</v>
      </c>
      <c r="F40" s="440">
        <v>0</v>
      </c>
      <c r="G40" s="440">
        <v>184.57400000000001</v>
      </c>
      <c r="H40" s="440">
        <v>0</v>
      </c>
      <c r="I40" s="440">
        <v>38.9756</v>
      </c>
      <c r="J40" s="440">
        <v>441.99290000000002</v>
      </c>
      <c r="K40" s="440">
        <v>257.41890000000001</v>
      </c>
    </row>
    <row r="41" spans="1:11" ht="31.5">
      <c r="A41" s="261" t="s">
        <v>10833</v>
      </c>
      <c r="B41" s="265" t="s">
        <v>25423</v>
      </c>
      <c r="C41" s="440">
        <v>17531.489000000001</v>
      </c>
      <c r="D41" s="440">
        <v>1.0018</v>
      </c>
      <c r="E41" s="440">
        <v>0.30909999999999999</v>
      </c>
      <c r="F41" s="440">
        <v>0</v>
      </c>
      <c r="G41" s="440">
        <v>1.0018</v>
      </c>
      <c r="H41" s="440">
        <v>0</v>
      </c>
      <c r="I41" s="440">
        <v>38.9756</v>
      </c>
      <c r="J41" s="440">
        <v>41.2883</v>
      </c>
      <c r="K41" s="440">
        <v>40.286499999999997</v>
      </c>
    </row>
    <row r="42" spans="1:11" ht="31.5">
      <c r="A42" s="261" t="s">
        <v>10834</v>
      </c>
      <c r="B42" s="265" t="s">
        <v>25424</v>
      </c>
      <c r="C42" s="440">
        <v>116379.19100000001</v>
      </c>
      <c r="D42" s="440">
        <v>6.6501999999999999</v>
      </c>
      <c r="E42" s="440">
        <v>2.0516000000000001</v>
      </c>
      <c r="F42" s="440">
        <v>0</v>
      </c>
      <c r="G42" s="440">
        <v>6.6501999999999999</v>
      </c>
      <c r="H42" s="440">
        <v>4.2141999999999999</v>
      </c>
      <c r="I42" s="440">
        <v>38.9756</v>
      </c>
      <c r="J42" s="440">
        <v>58.541800000000002</v>
      </c>
      <c r="K42" s="440">
        <v>47.677399999999999</v>
      </c>
    </row>
    <row r="43" spans="1:11">
      <c r="A43" s="261" t="s">
        <v>10835</v>
      </c>
      <c r="B43" s="265" t="s">
        <v>25425</v>
      </c>
      <c r="C43" s="440">
        <v>460.24119999999999</v>
      </c>
      <c r="D43" s="440">
        <v>4.1399999999999999E-2</v>
      </c>
      <c r="E43" s="440">
        <v>8.5000000000000006E-3</v>
      </c>
      <c r="F43" s="440">
        <v>0</v>
      </c>
      <c r="G43" s="440">
        <v>2.3E-2</v>
      </c>
      <c r="H43" s="440">
        <v>0</v>
      </c>
      <c r="I43" s="440">
        <v>0</v>
      </c>
      <c r="J43" s="440">
        <v>7.2900000000000006E-2</v>
      </c>
      <c r="K43" s="440">
        <v>4.99E-2</v>
      </c>
    </row>
    <row r="44" spans="1:11">
      <c r="A44" s="261" t="s">
        <v>10836</v>
      </c>
      <c r="B44" s="265" t="s">
        <v>25426</v>
      </c>
      <c r="C44" s="440">
        <v>1029018.8827</v>
      </c>
      <c r="D44" s="440">
        <v>40.017400000000002</v>
      </c>
      <c r="E44" s="440">
        <v>17.636199999999999</v>
      </c>
      <c r="F44" s="440">
        <v>0</v>
      </c>
      <c r="G44" s="440">
        <v>57.167700000000004</v>
      </c>
      <c r="H44" s="440">
        <v>75.301100000000005</v>
      </c>
      <c r="I44" s="440">
        <v>32.087499999999999</v>
      </c>
      <c r="J44" s="440">
        <v>222.2099</v>
      </c>
      <c r="K44" s="440">
        <v>89.741100000000003</v>
      </c>
    </row>
    <row r="45" spans="1:11" ht="31.5">
      <c r="A45" s="261" t="s">
        <v>10837</v>
      </c>
      <c r="B45" s="265" t="s">
        <v>25427</v>
      </c>
      <c r="C45" s="440">
        <v>23625.325799999999</v>
      </c>
      <c r="D45" s="440">
        <v>0.36909999999999998</v>
      </c>
      <c r="E45" s="440">
        <v>0.13919999999999999</v>
      </c>
      <c r="F45" s="440">
        <v>0</v>
      </c>
      <c r="G45" s="440">
        <v>0.41020000000000001</v>
      </c>
      <c r="H45" s="440">
        <v>32.0456</v>
      </c>
      <c r="I45" s="440">
        <v>35.058399999999999</v>
      </c>
      <c r="J45" s="440">
        <v>68.022499999999994</v>
      </c>
      <c r="K45" s="440">
        <v>35.566699999999997</v>
      </c>
    </row>
    <row r="46" spans="1:11" ht="31.5">
      <c r="A46" s="261" t="s">
        <v>10838</v>
      </c>
      <c r="B46" s="265" t="s">
        <v>25428</v>
      </c>
      <c r="C46" s="440">
        <v>3348297.2185999998</v>
      </c>
      <c r="D46" s="440">
        <v>191.3313</v>
      </c>
      <c r="E46" s="440">
        <v>59.025700000000001</v>
      </c>
      <c r="F46" s="440">
        <v>0</v>
      </c>
      <c r="G46" s="440">
        <v>167.41489999999999</v>
      </c>
      <c r="H46" s="440">
        <v>0</v>
      </c>
      <c r="I46" s="440">
        <v>38.9756</v>
      </c>
      <c r="J46" s="440">
        <v>456.7475</v>
      </c>
      <c r="K46" s="440">
        <v>289.33260000000001</v>
      </c>
    </row>
    <row r="47" spans="1:11" ht="31.5">
      <c r="A47" s="261" t="s">
        <v>10839</v>
      </c>
      <c r="B47" s="265" t="s">
        <v>25429</v>
      </c>
      <c r="C47" s="440">
        <v>63185.6587</v>
      </c>
      <c r="D47" s="440">
        <v>5.0548999999999999</v>
      </c>
      <c r="E47" s="440">
        <v>1.1696</v>
      </c>
      <c r="F47" s="440">
        <v>0</v>
      </c>
      <c r="G47" s="440">
        <v>5.0548999999999999</v>
      </c>
      <c r="H47" s="440">
        <v>4.9619</v>
      </c>
      <c r="I47" s="440">
        <v>38.9756</v>
      </c>
      <c r="J47" s="440">
        <v>55.216900000000003</v>
      </c>
      <c r="K47" s="440">
        <v>45.200099999999999</v>
      </c>
    </row>
    <row r="48" spans="1:11" ht="31.5">
      <c r="A48" s="261" t="s">
        <v>10840</v>
      </c>
      <c r="B48" s="265" t="s">
        <v>25430</v>
      </c>
      <c r="C48" s="440">
        <v>76715.285099999994</v>
      </c>
      <c r="D48" s="440">
        <v>6.1372</v>
      </c>
      <c r="E48" s="440">
        <v>1.42</v>
      </c>
      <c r="F48" s="440">
        <v>0</v>
      </c>
      <c r="G48" s="440">
        <v>6.1372</v>
      </c>
      <c r="H48" s="440">
        <v>4.9619</v>
      </c>
      <c r="I48" s="440">
        <v>38.9756</v>
      </c>
      <c r="J48" s="440">
        <v>57.631900000000002</v>
      </c>
      <c r="K48" s="440">
        <v>46.532800000000002</v>
      </c>
    </row>
    <row r="49" spans="1:11" ht="31.5">
      <c r="A49" s="261" t="s">
        <v>10841</v>
      </c>
      <c r="B49" s="265" t="s">
        <v>25431</v>
      </c>
      <c r="C49" s="440">
        <v>112311.0937</v>
      </c>
      <c r="D49" s="440">
        <v>8.9848999999999997</v>
      </c>
      <c r="E49" s="440">
        <v>2.0789</v>
      </c>
      <c r="F49" s="440">
        <v>0</v>
      </c>
      <c r="G49" s="440">
        <v>8.9848999999999997</v>
      </c>
      <c r="H49" s="440">
        <v>4.9619</v>
      </c>
      <c r="I49" s="440">
        <v>38.9756</v>
      </c>
      <c r="J49" s="440">
        <v>63.986199999999997</v>
      </c>
      <c r="K49" s="440">
        <v>50.039400000000001</v>
      </c>
    </row>
    <row r="50" spans="1:11" ht="31.5">
      <c r="A50" s="261" t="s">
        <v>10842</v>
      </c>
      <c r="B50" s="265" t="s">
        <v>25432</v>
      </c>
      <c r="C50" s="440">
        <v>130371.93550000001</v>
      </c>
      <c r="D50" s="440">
        <v>10.4298</v>
      </c>
      <c r="E50" s="440">
        <v>2.4131999999999998</v>
      </c>
      <c r="F50" s="440">
        <v>0</v>
      </c>
      <c r="G50" s="440">
        <v>10.4298</v>
      </c>
      <c r="H50" s="440">
        <v>4.9619</v>
      </c>
      <c r="I50" s="440">
        <v>38.9756</v>
      </c>
      <c r="J50" s="440">
        <v>67.210300000000004</v>
      </c>
      <c r="K50" s="440">
        <v>51.818600000000004</v>
      </c>
    </row>
    <row r="51" spans="1:11" ht="31.5">
      <c r="A51" s="261" t="s">
        <v>10843</v>
      </c>
      <c r="B51" s="265" t="s">
        <v>25433</v>
      </c>
      <c r="C51" s="440">
        <v>498763.29599999997</v>
      </c>
      <c r="D51" s="440">
        <v>39.9011</v>
      </c>
      <c r="E51" s="440">
        <v>9.2321000000000009</v>
      </c>
      <c r="F51" s="440">
        <v>0</v>
      </c>
      <c r="G51" s="440">
        <v>44.8887</v>
      </c>
      <c r="H51" s="440">
        <v>59.886000000000003</v>
      </c>
      <c r="I51" s="440">
        <v>27.6023</v>
      </c>
      <c r="J51" s="440">
        <v>181.5102</v>
      </c>
      <c r="K51" s="440">
        <v>76.735500000000002</v>
      </c>
    </row>
    <row r="52" spans="1:11" ht="31.5">
      <c r="A52" s="261" t="s">
        <v>10844</v>
      </c>
      <c r="B52" s="265" t="s">
        <v>25434</v>
      </c>
      <c r="C52" s="440">
        <v>2840441.9912</v>
      </c>
      <c r="D52" s="440">
        <v>142.02209999999999</v>
      </c>
      <c r="E52" s="440">
        <v>50.072899999999997</v>
      </c>
      <c r="F52" s="440">
        <v>0</v>
      </c>
      <c r="G52" s="440">
        <v>182.59979999999999</v>
      </c>
      <c r="H52" s="440">
        <v>26.8933</v>
      </c>
      <c r="I52" s="440">
        <v>32.991900000000001</v>
      </c>
      <c r="J52" s="440">
        <v>434.58</v>
      </c>
      <c r="K52" s="440">
        <v>225.08690000000001</v>
      </c>
    </row>
    <row r="53" spans="1:11">
      <c r="A53" s="261" t="s">
        <v>10845</v>
      </c>
      <c r="B53" s="265" t="s">
        <v>25435</v>
      </c>
      <c r="C53" s="440">
        <v>763315.83089999994</v>
      </c>
      <c r="D53" s="440">
        <v>61.065300000000001</v>
      </c>
      <c r="E53" s="440">
        <v>14.129</v>
      </c>
      <c r="F53" s="440">
        <v>0</v>
      </c>
      <c r="G53" s="440">
        <v>53.432099999999998</v>
      </c>
      <c r="H53" s="440">
        <v>8.9245000000000001</v>
      </c>
      <c r="I53" s="440">
        <v>27.6023</v>
      </c>
      <c r="J53" s="440">
        <v>165.1532</v>
      </c>
      <c r="K53" s="440">
        <v>102.7966</v>
      </c>
    </row>
    <row r="54" spans="1:11">
      <c r="A54" s="261" t="s">
        <v>10846</v>
      </c>
      <c r="B54" s="265" t="s">
        <v>25436</v>
      </c>
      <c r="C54" s="440">
        <v>822659.15520000004</v>
      </c>
      <c r="D54" s="440">
        <v>65.812700000000007</v>
      </c>
      <c r="E54" s="440">
        <v>15.227399999999999</v>
      </c>
      <c r="F54" s="440">
        <v>0</v>
      </c>
      <c r="G54" s="440">
        <v>57.586100000000002</v>
      </c>
      <c r="H54" s="440">
        <v>68.203500000000005</v>
      </c>
      <c r="I54" s="440">
        <v>27.6023</v>
      </c>
      <c r="J54" s="440">
        <v>234.43199999999999</v>
      </c>
      <c r="K54" s="440">
        <v>108.64239999999999</v>
      </c>
    </row>
    <row r="55" spans="1:11">
      <c r="A55" s="261" t="s">
        <v>10847</v>
      </c>
      <c r="B55" s="265" t="s">
        <v>25437</v>
      </c>
      <c r="C55" s="440">
        <v>364739.24959999998</v>
      </c>
      <c r="D55" s="440">
        <v>11.398099999999999</v>
      </c>
      <c r="E55" s="440">
        <v>2.3441999999999998</v>
      </c>
      <c r="F55" s="440">
        <v>0</v>
      </c>
      <c r="G55" s="440">
        <v>10.131600000000001</v>
      </c>
      <c r="H55" s="440">
        <v>17.744</v>
      </c>
      <c r="I55" s="440">
        <v>33.553100000000001</v>
      </c>
      <c r="J55" s="440">
        <v>75.171000000000006</v>
      </c>
      <c r="K55" s="440">
        <v>47.295400000000001</v>
      </c>
    </row>
    <row r="56" spans="1:11" ht="31.5">
      <c r="A56" s="261" t="s">
        <v>10848</v>
      </c>
      <c r="B56" s="265" t="s">
        <v>25438</v>
      </c>
      <c r="C56" s="440">
        <v>1286770.4565000001</v>
      </c>
      <c r="D56" s="440">
        <v>102.94159999999999</v>
      </c>
      <c r="E56" s="440">
        <v>23.818100000000001</v>
      </c>
      <c r="F56" s="440">
        <v>0</v>
      </c>
      <c r="G56" s="440">
        <v>64.338499999999996</v>
      </c>
      <c r="H56" s="440">
        <v>16.160599999999999</v>
      </c>
      <c r="I56" s="440">
        <v>27.6023</v>
      </c>
      <c r="J56" s="440">
        <v>234.86109999999999</v>
      </c>
      <c r="K56" s="440">
        <v>154.36199999999999</v>
      </c>
    </row>
    <row r="57" spans="1:11">
      <c r="A57" s="261" t="s">
        <v>10849</v>
      </c>
      <c r="B57" s="265" t="s">
        <v>25439</v>
      </c>
      <c r="C57" s="440">
        <v>523984.8126</v>
      </c>
      <c r="D57" s="440">
        <v>47.1586</v>
      </c>
      <c r="E57" s="440">
        <v>9.6989999999999998</v>
      </c>
      <c r="F57" s="440">
        <v>0</v>
      </c>
      <c r="G57" s="440">
        <v>26.199200000000001</v>
      </c>
      <c r="H57" s="440">
        <v>0</v>
      </c>
      <c r="I57" s="440">
        <v>0</v>
      </c>
      <c r="J57" s="440">
        <v>83.056799999999996</v>
      </c>
      <c r="K57" s="440">
        <v>56.857599999999998</v>
      </c>
    </row>
    <row r="58" spans="1:11">
      <c r="A58" s="261" t="s">
        <v>10850</v>
      </c>
      <c r="B58" s="265" t="s">
        <v>25440</v>
      </c>
      <c r="C58" s="440">
        <v>889475.19389999995</v>
      </c>
      <c r="D58" s="440">
        <v>6.9489999999999998</v>
      </c>
      <c r="E58" s="440">
        <v>5.0021000000000004</v>
      </c>
      <c r="F58" s="440">
        <v>0</v>
      </c>
      <c r="G58" s="440">
        <v>15.442299999999999</v>
      </c>
      <c r="H58" s="440">
        <v>0</v>
      </c>
      <c r="I58" s="440">
        <v>93.415099999999995</v>
      </c>
      <c r="J58" s="440">
        <v>120.8085</v>
      </c>
      <c r="K58" s="440">
        <v>105.36620000000001</v>
      </c>
    </row>
    <row r="59" spans="1:11">
      <c r="A59" s="261" t="s">
        <v>10851</v>
      </c>
      <c r="B59" s="265" t="s">
        <v>25441</v>
      </c>
      <c r="C59" s="440">
        <v>237859.13769999999</v>
      </c>
      <c r="D59" s="440">
        <v>1.8583000000000001</v>
      </c>
      <c r="E59" s="440">
        <v>1.3375999999999999</v>
      </c>
      <c r="F59" s="440">
        <v>0</v>
      </c>
      <c r="G59" s="440">
        <v>3.0971000000000002</v>
      </c>
      <c r="H59" s="440">
        <v>0</v>
      </c>
      <c r="I59" s="440">
        <v>23.988600000000002</v>
      </c>
      <c r="J59" s="440">
        <v>30.281600000000001</v>
      </c>
      <c r="K59" s="440">
        <v>27.1845</v>
      </c>
    </row>
    <row r="60" spans="1:11">
      <c r="A60" s="261" t="s">
        <v>10852</v>
      </c>
      <c r="B60" s="265" t="s">
        <v>25442</v>
      </c>
      <c r="C60" s="440">
        <v>711396.21369999996</v>
      </c>
      <c r="D60" s="440">
        <v>5.5578000000000003</v>
      </c>
      <c r="E60" s="440">
        <v>4.0007000000000001</v>
      </c>
      <c r="F60" s="440">
        <v>0</v>
      </c>
      <c r="G60" s="440">
        <v>9.2629999999999999</v>
      </c>
      <c r="H60" s="440">
        <v>0</v>
      </c>
      <c r="I60" s="440">
        <v>23.988600000000002</v>
      </c>
      <c r="J60" s="440">
        <v>42.810099999999998</v>
      </c>
      <c r="K60" s="440">
        <v>33.5471</v>
      </c>
    </row>
    <row r="61" spans="1:11" ht="31.5">
      <c r="A61" s="261" t="s">
        <v>10853</v>
      </c>
      <c r="B61" s="265" t="s">
        <v>25443</v>
      </c>
      <c r="C61" s="440">
        <v>889475.19389999995</v>
      </c>
      <c r="D61" s="440">
        <v>6.9489999999999998</v>
      </c>
      <c r="E61" s="440">
        <v>5.0021000000000004</v>
      </c>
      <c r="F61" s="440">
        <v>0</v>
      </c>
      <c r="G61" s="440">
        <v>15.442299999999999</v>
      </c>
      <c r="H61" s="440">
        <v>0</v>
      </c>
      <c r="I61" s="440">
        <v>93.415099999999995</v>
      </c>
      <c r="J61" s="440">
        <v>120.8085</v>
      </c>
      <c r="K61" s="440">
        <v>105.36620000000001</v>
      </c>
    </row>
    <row r="62" spans="1:11" ht="31.5">
      <c r="A62" s="261" t="s">
        <v>10854</v>
      </c>
      <c r="B62" s="265" t="s">
        <v>25444</v>
      </c>
      <c r="C62" s="440">
        <v>21603.5317</v>
      </c>
      <c r="D62" s="440">
        <v>0.67510000000000003</v>
      </c>
      <c r="E62" s="440">
        <v>0.13880000000000001</v>
      </c>
      <c r="F62" s="440">
        <v>0</v>
      </c>
      <c r="G62" s="440">
        <v>0.60009999999999997</v>
      </c>
      <c r="H62" s="440">
        <v>0</v>
      </c>
      <c r="I62" s="440">
        <v>67.106200000000001</v>
      </c>
      <c r="J62" s="440">
        <v>68.520200000000003</v>
      </c>
      <c r="K62" s="440">
        <v>67.920100000000005</v>
      </c>
    </row>
    <row r="63" spans="1:11">
      <c r="A63" s="261" t="s">
        <v>10855</v>
      </c>
      <c r="B63" s="265" t="s">
        <v>25445</v>
      </c>
      <c r="C63" s="440">
        <v>1381.3161</v>
      </c>
      <c r="D63" s="440">
        <v>0.1105</v>
      </c>
      <c r="E63" s="440">
        <v>2.5600000000000001E-2</v>
      </c>
      <c r="F63" s="440">
        <v>0</v>
      </c>
      <c r="G63" s="440">
        <v>6.9099999999999995E-2</v>
      </c>
      <c r="H63" s="440">
        <v>0</v>
      </c>
      <c r="I63" s="440">
        <v>0</v>
      </c>
      <c r="J63" s="440">
        <v>0.20519999999999999</v>
      </c>
      <c r="K63" s="440">
        <v>0.1361</v>
      </c>
    </row>
    <row r="64" spans="1:11">
      <c r="A64" s="261" t="s">
        <v>10856</v>
      </c>
      <c r="B64" s="265" t="s">
        <v>25446</v>
      </c>
      <c r="C64" s="440">
        <v>4760.1252999999997</v>
      </c>
      <c r="D64" s="440">
        <v>0.63470000000000004</v>
      </c>
      <c r="E64" s="440">
        <v>9.7900000000000001E-2</v>
      </c>
      <c r="F64" s="440">
        <v>0</v>
      </c>
      <c r="G64" s="440">
        <v>0.3967</v>
      </c>
      <c r="H64" s="440">
        <v>0</v>
      </c>
      <c r="I64" s="440">
        <v>0</v>
      </c>
      <c r="J64" s="440">
        <v>1.1293</v>
      </c>
      <c r="K64" s="440">
        <v>0.73260000000000003</v>
      </c>
    </row>
    <row r="65" spans="1:11">
      <c r="A65" s="261" t="s">
        <v>10857</v>
      </c>
      <c r="B65" s="265" t="s">
        <v>25447</v>
      </c>
      <c r="C65" s="440">
        <v>24275498.3684</v>
      </c>
      <c r="D65" s="440">
        <v>971.01990000000001</v>
      </c>
      <c r="E65" s="440">
        <v>411.89449999999999</v>
      </c>
      <c r="F65" s="440">
        <v>0</v>
      </c>
      <c r="G65" s="440">
        <v>971.01990000000001</v>
      </c>
      <c r="H65" s="440">
        <v>199.62</v>
      </c>
      <c r="I65" s="440">
        <v>38.9756</v>
      </c>
      <c r="J65" s="440">
        <v>2592.5299</v>
      </c>
      <c r="K65" s="440">
        <v>1421.89</v>
      </c>
    </row>
    <row r="66" spans="1:11">
      <c r="A66" s="261" t="s">
        <v>10858</v>
      </c>
      <c r="B66" s="265" t="s">
        <v>25448</v>
      </c>
      <c r="C66" s="440">
        <v>1030.3151</v>
      </c>
      <c r="D66" s="440">
        <v>1.0303</v>
      </c>
      <c r="E66" s="440">
        <v>6.3600000000000004E-2</v>
      </c>
      <c r="F66" s="440">
        <v>0</v>
      </c>
      <c r="G66" s="440">
        <v>0.51519999999999999</v>
      </c>
      <c r="H66" s="440">
        <v>0</v>
      </c>
      <c r="I66" s="440">
        <v>0</v>
      </c>
      <c r="J66" s="440">
        <v>1.6091</v>
      </c>
      <c r="K66" s="440">
        <v>1.0939000000000001</v>
      </c>
    </row>
    <row r="67" spans="1:11">
      <c r="A67" s="261" t="s">
        <v>10859</v>
      </c>
      <c r="B67" s="265" t="s">
        <v>25449</v>
      </c>
      <c r="C67" s="440">
        <v>30063688.411600001</v>
      </c>
      <c r="D67" s="440">
        <v>1202.5474999999999</v>
      </c>
      <c r="E67" s="440">
        <v>510.10559999999998</v>
      </c>
      <c r="F67" s="440">
        <v>0</v>
      </c>
      <c r="G67" s="440">
        <v>1052.2291</v>
      </c>
      <c r="H67" s="440">
        <v>123.76439999999999</v>
      </c>
      <c r="I67" s="440">
        <v>38.9756</v>
      </c>
      <c r="J67" s="440">
        <v>2927.6221999999998</v>
      </c>
      <c r="K67" s="440">
        <v>1751.6287</v>
      </c>
    </row>
    <row r="68" spans="1:11">
      <c r="A68" s="261" t="s">
        <v>10860</v>
      </c>
      <c r="B68" s="265" t="s">
        <v>25450</v>
      </c>
      <c r="C68" s="440">
        <v>68715.858300000007</v>
      </c>
      <c r="D68" s="440">
        <v>3.4358</v>
      </c>
      <c r="E68" s="440">
        <v>1.2114</v>
      </c>
      <c r="F68" s="440">
        <v>0</v>
      </c>
      <c r="G68" s="440">
        <v>2.4540999999999999</v>
      </c>
      <c r="H68" s="440">
        <v>11.5891</v>
      </c>
      <c r="I68" s="440">
        <v>0</v>
      </c>
      <c r="J68" s="440">
        <v>18.6904</v>
      </c>
      <c r="K68" s="440">
        <v>4.6471999999999998</v>
      </c>
    </row>
    <row r="69" spans="1:11" ht="31.5">
      <c r="A69" s="261" t="s">
        <v>10861</v>
      </c>
      <c r="B69" s="265" t="s">
        <v>25451</v>
      </c>
      <c r="C69" s="440">
        <v>1660250.4802999999</v>
      </c>
      <c r="D69" s="440">
        <v>66.41</v>
      </c>
      <c r="E69" s="440">
        <v>28.170300000000001</v>
      </c>
      <c r="F69" s="440">
        <v>0</v>
      </c>
      <c r="G69" s="440">
        <v>41.506300000000003</v>
      </c>
      <c r="H69" s="440">
        <v>76.521000000000001</v>
      </c>
      <c r="I69" s="440">
        <v>27.6023</v>
      </c>
      <c r="J69" s="440">
        <v>240.2099</v>
      </c>
      <c r="K69" s="440">
        <v>122.18259999999999</v>
      </c>
    </row>
    <row r="70" spans="1:11">
      <c r="A70" s="261" t="s">
        <v>10862</v>
      </c>
      <c r="B70" s="265" t="s">
        <v>25452</v>
      </c>
      <c r="C70" s="440">
        <v>2617850.1916999999</v>
      </c>
      <c r="D70" s="440">
        <v>174.52330000000001</v>
      </c>
      <c r="E70" s="440">
        <v>47.110399999999998</v>
      </c>
      <c r="F70" s="440">
        <v>0</v>
      </c>
      <c r="G70" s="440">
        <v>174.52330000000001</v>
      </c>
      <c r="H70" s="440">
        <v>102.3053</v>
      </c>
      <c r="I70" s="440">
        <v>32.087499999999999</v>
      </c>
      <c r="J70" s="440">
        <v>530.5498</v>
      </c>
      <c r="K70" s="440">
        <v>253.72120000000001</v>
      </c>
    </row>
    <row r="71" spans="1:11">
      <c r="A71" s="261" t="s">
        <v>10863</v>
      </c>
      <c r="B71" s="265" t="s">
        <v>25453</v>
      </c>
      <c r="C71" s="440">
        <v>4082.3541</v>
      </c>
      <c r="D71" s="440">
        <v>0.6532</v>
      </c>
      <c r="E71" s="440">
        <v>0.15110000000000001</v>
      </c>
      <c r="F71" s="440">
        <v>0</v>
      </c>
      <c r="G71" s="440">
        <v>0.40820000000000001</v>
      </c>
      <c r="H71" s="440">
        <v>6.1807999999999996</v>
      </c>
      <c r="I71" s="440">
        <v>0</v>
      </c>
      <c r="J71" s="440">
        <v>7.3933</v>
      </c>
      <c r="K71" s="440">
        <v>0.80430000000000001</v>
      </c>
    </row>
    <row r="72" spans="1:11">
      <c r="A72" s="261" t="s">
        <v>10864</v>
      </c>
      <c r="B72" s="265" t="s">
        <v>25454</v>
      </c>
      <c r="C72" s="440">
        <v>341595.0797</v>
      </c>
      <c r="D72" s="440">
        <v>13.6638</v>
      </c>
      <c r="E72" s="440">
        <v>5.7960000000000003</v>
      </c>
      <c r="F72" s="440">
        <v>0</v>
      </c>
      <c r="G72" s="440">
        <v>8.5398999999999994</v>
      </c>
      <c r="H72" s="440">
        <v>0</v>
      </c>
      <c r="I72" s="440">
        <v>27.6023</v>
      </c>
      <c r="J72" s="440">
        <v>55.601999999999997</v>
      </c>
      <c r="K72" s="440">
        <v>47.062100000000001</v>
      </c>
    </row>
    <row r="73" spans="1:11">
      <c r="A73" s="261" t="s">
        <v>10865</v>
      </c>
      <c r="B73" s="265" t="s">
        <v>25455</v>
      </c>
      <c r="C73" s="440">
        <v>491.72179999999997</v>
      </c>
      <c r="D73" s="440">
        <v>0.49170000000000003</v>
      </c>
      <c r="E73" s="440">
        <v>3.0300000000000001E-2</v>
      </c>
      <c r="F73" s="440">
        <v>0</v>
      </c>
      <c r="G73" s="440">
        <v>0.24590000000000001</v>
      </c>
      <c r="H73" s="440">
        <v>0</v>
      </c>
      <c r="I73" s="440">
        <v>0</v>
      </c>
      <c r="J73" s="440">
        <v>0.76790000000000003</v>
      </c>
      <c r="K73" s="440">
        <v>0.52200000000000002</v>
      </c>
    </row>
    <row r="74" spans="1:11">
      <c r="A74" s="261" t="s">
        <v>10866</v>
      </c>
      <c r="B74" s="265" t="s">
        <v>25456</v>
      </c>
      <c r="C74" s="440">
        <v>2859739.3171999999</v>
      </c>
      <c r="D74" s="440">
        <v>190.64930000000001</v>
      </c>
      <c r="E74" s="440">
        <v>51.4634</v>
      </c>
      <c r="F74" s="440">
        <v>0</v>
      </c>
      <c r="G74" s="440">
        <v>166.81809999999999</v>
      </c>
      <c r="H74" s="440">
        <v>404.23050000000001</v>
      </c>
      <c r="I74" s="440">
        <v>38.9756</v>
      </c>
      <c r="J74" s="440">
        <v>852.13689999999997</v>
      </c>
      <c r="K74" s="440">
        <v>281.0883</v>
      </c>
    </row>
    <row r="75" spans="1:11">
      <c r="A75" s="261" t="s">
        <v>10867</v>
      </c>
      <c r="B75" s="265" t="s">
        <v>25457</v>
      </c>
      <c r="C75" s="440">
        <v>455801.87520000001</v>
      </c>
      <c r="D75" s="440">
        <v>36.464199999999998</v>
      </c>
      <c r="E75" s="440">
        <v>8.4368999999999996</v>
      </c>
      <c r="F75" s="440">
        <v>0</v>
      </c>
      <c r="G75" s="440">
        <v>36.464199999999998</v>
      </c>
      <c r="H75" s="440">
        <v>77.962699999999998</v>
      </c>
      <c r="I75" s="440">
        <v>27.6023</v>
      </c>
      <c r="J75" s="440">
        <v>186.93029999999999</v>
      </c>
      <c r="K75" s="440">
        <v>72.503399999999999</v>
      </c>
    </row>
    <row r="76" spans="1:11">
      <c r="A76" s="261" t="s">
        <v>10868</v>
      </c>
      <c r="B76" s="265" t="s">
        <v>25458</v>
      </c>
      <c r="C76" s="440">
        <v>818448</v>
      </c>
      <c r="D76" s="440">
        <v>34.101999999999997</v>
      </c>
      <c r="E76" s="440">
        <v>11.8355</v>
      </c>
      <c r="F76" s="440">
        <v>0</v>
      </c>
      <c r="G76" s="440">
        <v>21.313800000000001</v>
      </c>
      <c r="H76" s="440">
        <v>0</v>
      </c>
      <c r="I76" s="440">
        <v>0</v>
      </c>
      <c r="J76" s="440">
        <v>67.251300000000001</v>
      </c>
      <c r="K76" s="440">
        <v>45.9375</v>
      </c>
    </row>
    <row r="77" spans="1:11">
      <c r="A77" s="261" t="s">
        <v>10869</v>
      </c>
      <c r="B77" s="265" t="s">
        <v>25459</v>
      </c>
      <c r="C77" s="440">
        <v>128.65450000000001</v>
      </c>
      <c r="D77" s="440">
        <v>6.4299999999999996E-2</v>
      </c>
      <c r="E77" s="440">
        <v>6.0000000000000001E-3</v>
      </c>
      <c r="F77" s="440">
        <v>0</v>
      </c>
      <c r="G77" s="440">
        <v>3.2199999999999999E-2</v>
      </c>
      <c r="H77" s="440">
        <v>0</v>
      </c>
      <c r="I77" s="440">
        <v>0</v>
      </c>
      <c r="J77" s="440">
        <v>0.10249999999999999</v>
      </c>
      <c r="K77" s="440">
        <v>7.0300000000000001E-2</v>
      </c>
    </row>
    <row r="78" spans="1:11" ht="31.5">
      <c r="A78" s="261" t="s">
        <v>10870</v>
      </c>
      <c r="B78" s="265" t="s">
        <v>25460</v>
      </c>
      <c r="C78" s="440">
        <v>172596.24</v>
      </c>
      <c r="D78" s="440">
        <v>11.095499999999999</v>
      </c>
      <c r="E78" s="440">
        <v>3.0426000000000002</v>
      </c>
      <c r="F78" s="440">
        <v>0</v>
      </c>
      <c r="G78" s="440">
        <v>6.1642000000000001</v>
      </c>
      <c r="H78" s="440">
        <v>0</v>
      </c>
      <c r="I78" s="440">
        <v>27.6023</v>
      </c>
      <c r="J78" s="440">
        <v>47.904600000000002</v>
      </c>
      <c r="K78" s="440">
        <v>41.740400000000001</v>
      </c>
    </row>
    <row r="79" spans="1:11" ht="31.5">
      <c r="A79" s="261" t="s">
        <v>10871</v>
      </c>
      <c r="B79" s="265" t="s">
        <v>25461</v>
      </c>
      <c r="C79" s="440">
        <v>5144662.4999000002</v>
      </c>
      <c r="D79" s="440">
        <v>342.97750000000002</v>
      </c>
      <c r="E79" s="440">
        <v>92.582499999999996</v>
      </c>
      <c r="F79" s="440">
        <v>0</v>
      </c>
      <c r="G79" s="440">
        <v>342.97750000000002</v>
      </c>
      <c r="H79" s="440">
        <v>151.3785</v>
      </c>
      <c r="I79" s="440">
        <v>32.087499999999999</v>
      </c>
      <c r="J79" s="440">
        <v>962.00350000000003</v>
      </c>
      <c r="K79" s="440">
        <v>467.64749999999998</v>
      </c>
    </row>
    <row r="80" spans="1:11" ht="31.5">
      <c r="A80" s="261" t="s">
        <v>10872</v>
      </c>
      <c r="B80" s="265" t="s">
        <v>25462</v>
      </c>
      <c r="C80" s="440">
        <v>3522741.7549999999</v>
      </c>
      <c r="D80" s="440">
        <v>93.939800000000005</v>
      </c>
      <c r="E80" s="440">
        <v>57.960799999999999</v>
      </c>
      <c r="F80" s="440">
        <v>0</v>
      </c>
      <c r="G80" s="440">
        <v>58.712400000000002</v>
      </c>
      <c r="H80" s="440">
        <v>0</v>
      </c>
      <c r="I80" s="440">
        <v>38.9756</v>
      </c>
      <c r="J80" s="440">
        <v>249.58860000000001</v>
      </c>
      <c r="K80" s="440">
        <v>190.87620000000001</v>
      </c>
    </row>
    <row r="81" spans="1:11">
      <c r="A81" s="261" t="s">
        <v>10873</v>
      </c>
      <c r="B81" s="265" t="s">
        <v>25463</v>
      </c>
      <c r="C81" s="440">
        <v>179308.43719999999</v>
      </c>
      <c r="D81" s="440">
        <v>14.3447</v>
      </c>
      <c r="E81" s="440">
        <v>3.319</v>
      </c>
      <c r="F81" s="440">
        <v>0</v>
      </c>
      <c r="G81" s="440">
        <v>12.551600000000001</v>
      </c>
      <c r="H81" s="440">
        <v>0</v>
      </c>
      <c r="I81" s="440">
        <v>0</v>
      </c>
      <c r="J81" s="440">
        <v>30.215299999999999</v>
      </c>
      <c r="K81" s="440">
        <v>17.663699999999999</v>
      </c>
    </row>
    <row r="82" spans="1:11">
      <c r="A82" s="261" t="s">
        <v>10874</v>
      </c>
      <c r="B82" s="265" t="s">
        <v>25464</v>
      </c>
      <c r="C82" s="440">
        <v>1794554.6033999999</v>
      </c>
      <c r="D82" s="440">
        <v>80.754999999999995</v>
      </c>
      <c r="E82" s="440">
        <v>30.449100000000001</v>
      </c>
      <c r="F82" s="440">
        <v>0</v>
      </c>
      <c r="G82" s="440">
        <v>44.863900000000001</v>
      </c>
      <c r="H82" s="440">
        <v>0</v>
      </c>
      <c r="I82" s="440">
        <v>27.6023</v>
      </c>
      <c r="J82" s="440">
        <v>183.6703</v>
      </c>
      <c r="K82" s="440">
        <v>138.8064</v>
      </c>
    </row>
    <row r="83" spans="1:11">
      <c r="A83" s="261" t="s">
        <v>10875</v>
      </c>
      <c r="B83" s="265" t="s">
        <v>25465</v>
      </c>
      <c r="C83" s="440">
        <v>99365.585000000006</v>
      </c>
      <c r="D83" s="440">
        <v>4.4714999999999998</v>
      </c>
      <c r="E83" s="440">
        <v>1.6859999999999999</v>
      </c>
      <c r="F83" s="440">
        <v>0</v>
      </c>
      <c r="G83" s="440">
        <v>2.4841000000000002</v>
      </c>
      <c r="H83" s="440">
        <v>0</v>
      </c>
      <c r="I83" s="440">
        <v>27.6023</v>
      </c>
      <c r="J83" s="440">
        <v>36.243899999999996</v>
      </c>
      <c r="K83" s="440">
        <v>33.759799999999998</v>
      </c>
    </row>
    <row r="84" spans="1:11">
      <c r="A84" s="261" t="s">
        <v>10876</v>
      </c>
      <c r="B84" s="265" t="s">
        <v>25466</v>
      </c>
      <c r="C84" s="440">
        <v>775000</v>
      </c>
      <c r="D84" s="440">
        <v>12.270799999999999</v>
      </c>
      <c r="E84" s="440">
        <v>12.3529</v>
      </c>
      <c r="F84" s="440">
        <v>0</v>
      </c>
      <c r="G84" s="440">
        <v>6.4583000000000004</v>
      </c>
      <c r="H84" s="440">
        <v>0</v>
      </c>
      <c r="I84" s="440">
        <v>0</v>
      </c>
      <c r="J84" s="440">
        <v>31.082000000000001</v>
      </c>
      <c r="K84" s="440">
        <v>24.623699999999999</v>
      </c>
    </row>
    <row r="85" spans="1:11">
      <c r="A85" s="261" t="s">
        <v>10877</v>
      </c>
      <c r="B85" s="265" t="s">
        <v>25467</v>
      </c>
      <c r="C85" s="440">
        <v>1195000</v>
      </c>
      <c r="D85" s="440">
        <v>18.9208</v>
      </c>
      <c r="E85" s="440">
        <v>19.0473</v>
      </c>
      <c r="F85" s="440">
        <v>0</v>
      </c>
      <c r="G85" s="440">
        <v>9.9582999999999995</v>
      </c>
      <c r="H85" s="440">
        <v>0</v>
      </c>
      <c r="I85" s="440">
        <v>0</v>
      </c>
      <c r="J85" s="440">
        <v>47.926400000000001</v>
      </c>
      <c r="K85" s="440">
        <v>37.9681</v>
      </c>
    </row>
    <row r="86" spans="1:11">
      <c r="A86" s="261" t="s">
        <v>10878</v>
      </c>
      <c r="B86" s="265" t="s">
        <v>25468</v>
      </c>
      <c r="C86" s="440">
        <v>563000</v>
      </c>
      <c r="D86" s="440">
        <v>8.9141999999999992</v>
      </c>
      <c r="E86" s="440">
        <v>8.9738000000000007</v>
      </c>
      <c r="F86" s="440">
        <v>0</v>
      </c>
      <c r="G86" s="440">
        <v>4.6917</v>
      </c>
      <c r="H86" s="440">
        <v>0</v>
      </c>
      <c r="I86" s="440">
        <v>0</v>
      </c>
      <c r="J86" s="440">
        <v>22.579699999999999</v>
      </c>
      <c r="K86" s="440">
        <v>17.888000000000002</v>
      </c>
    </row>
    <row r="87" spans="1:11">
      <c r="A87" s="261" t="s">
        <v>10879</v>
      </c>
      <c r="B87" s="265" t="s">
        <v>25469</v>
      </c>
      <c r="C87" s="440">
        <v>505951.87520000001</v>
      </c>
      <c r="D87" s="440">
        <v>40.476199999999999</v>
      </c>
      <c r="E87" s="440">
        <v>9.3651999999999997</v>
      </c>
      <c r="F87" s="440">
        <v>0</v>
      </c>
      <c r="G87" s="440">
        <v>40.476199999999999</v>
      </c>
      <c r="H87" s="440">
        <v>77.962699999999998</v>
      </c>
      <c r="I87" s="440">
        <v>27.6023</v>
      </c>
      <c r="J87" s="440">
        <v>195.8826</v>
      </c>
      <c r="K87" s="440">
        <v>77.443700000000007</v>
      </c>
    </row>
    <row r="88" spans="1:11">
      <c r="A88" s="261" t="s">
        <v>10880</v>
      </c>
      <c r="B88" s="265" t="s">
        <v>25470</v>
      </c>
      <c r="C88" s="440">
        <v>2647.2446</v>
      </c>
      <c r="D88" s="440">
        <v>0.39710000000000001</v>
      </c>
      <c r="E88" s="440">
        <v>5.4399999999999997E-2</v>
      </c>
      <c r="F88" s="440">
        <v>0</v>
      </c>
      <c r="G88" s="440">
        <v>0.30880000000000002</v>
      </c>
      <c r="H88" s="440">
        <v>6.6330999999999998</v>
      </c>
      <c r="I88" s="440">
        <v>0</v>
      </c>
      <c r="J88" s="440">
        <v>7.3933999999999997</v>
      </c>
      <c r="K88" s="440">
        <v>0.45150000000000001</v>
      </c>
    </row>
    <row r="89" spans="1:11">
      <c r="A89" s="261" t="s">
        <v>10881</v>
      </c>
      <c r="B89" s="265" t="s">
        <v>25471</v>
      </c>
      <c r="C89" s="440">
        <v>1121382.7013000001</v>
      </c>
      <c r="D89" s="440">
        <v>14.6013</v>
      </c>
      <c r="E89" s="440">
        <v>6.5065</v>
      </c>
      <c r="F89" s="440">
        <v>0</v>
      </c>
      <c r="G89" s="440">
        <v>32.447400000000002</v>
      </c>
      <c r="H89" s="440">
        <v>391.92059999999998</v>
      </c>
      <c r="I89" s="440">
        <v>134.07990000000001</v>
      </c>
      <c r="J89" s="440">
        <v>579.5557</v>
      </c>
      <c r="K89" s="440">
        <v>155.18770000000001</v>
      </c>
    </row>
    <row r="90" spans="1:11">
      <c r="A90" s="261" t="s">
        <v>101</v>
      </c>
      <c r="B90" s="265" t="s">
        <v>25472</v>
      </c>
      <c r="C90" s="440">
        <v>73932.322899999999</v>
      </c>
      <c r="D90" s="440">
        <v>4.4359000000000002</v>
      </c>
      <c r="E90" s="440">
        <v>1.3685</v>
      </c>
      <c r="F90" s="440">
        <v>0.55449999999999999</v>
      </c>
      <c r="G90" s="440">
        <v>4.4359000000000002</v>
      </c>
      <c r="H90" s="440">
        <v>20.545300000000001</v>
      </c>
      <c r="I90" s="440">
        <v>0</v>
      </c>
      <c r="J90" s="440">
        <v>31.3401</v>
      </c>
      <c r="K90" s="440">
        <v>6.3589000000000002</v>
      </c>
    </row>
    <row r="91" spans="1:11" ht="31.5">
      <c r="A91" s="261" t="s">
        <v>10882</v>
      </c>
      <c r="B91" s="265" t="s">
        <v>25473</v>
      </c>
      <c r="C91" s="440">
        <v>17449740.156100001</v>
      </c>
      <c r="D91" s="440">
        <v>872.48699999999997</v>
      </c>
      <c r="E91" s="440">
        <v>307.61399999999998</v>
      </c>
      <c r="F91" s="440">
        <v>124.64100000000001</v>
      </c>
      <c r="G91" s="440">
        <v>1121.769</v>
      </c>
      <c r="H91" s="440">
        <v>124.7625</v>
      </c>
      <c r="I91" s="440">
        <v>32.991900000000001</v>
      </c>
      <c r="J91" s="440">
        <v>2584.2654000000002</v>
      </c>
      <c r="K91" s="440">
        <v>1337.7338999999999</v>
      </c>
    </row>
    <row r="92" spans="1:11" ht="31.5">
      <c r="A92" s="261" t="s">
        <v>10883</v>
      </c>
      <c r="B92" s="265" t="s">
        <v>25474</v>
      </c>
      <c r="C92" s="440">
        <v>29435951.6373</v>
      </c>
      <c r="D92" s="440">
        <v>1471.7976000000001</v>
      </c>
      <c r="E92" s="440">
        <v>518.91380000000004</v>
      </c>
      <c r="F92" s="440">
        <v>210.2568</v>
      </c>
      <c r="G92" s="440">
        <v>1892.3112000000001</v>
      </c>
      <c r="H92" s="440">
        <v>138.625</v>
      </c>
      <c r="I92" s="440">
        <v>32.991900000000001</v>
      </c>
      <c r="J92" s="440">
        <v>4264.8963000000003</v>
      </c>
      <c r="K92" s="440">
        <v>2233.9600999999998</v>
      </c>
    </row>
    <row r="93" spans="1:11">
      <c r="A93" s="261" t="s">
        <v>10884</v>
      </c>
      <c r="B93" s="265" t="s">
        <v>25475</v>
      </c>
      <c r="C93" s="440">
        <v>298077.76329999999</v>
      </c>
      <c r="D93" s="440">
        <v>20.865400000000001</v>
      </c>
      <c r="E93" s="440">
        <v>5.5174000000000003</v>
      </c>
      <c r="F93" s="440">
        <v>0</v>
      </c>
      <c r="G93" s="440">
        <v>20.865400000000001</v>
      </c>
      <c r="H93" s="440">
        <v>63.074399999999997</v>
      </c>
      <c r="I93" s="440">
        <v>32.087499999999999</v>
      </c>
      <c r="J93" s="440">
        <v>142.4101</v>
      </c>
      <c r="K93" s="440">
        <v>58.470300000000002</v>
      </c>
    </row>
    <row r="94" spans="1:11">
      <c r="A94" s="261" t="s">
        <v>10885</v>
      </c>
      <c r="B94" s="265" t="s">
        <v>25476</v>
      </c>
      <c r="C94" s="440">
        <v>49169.1662</v>
      </c>
      <c r="D94" s="440">
        <v>3.9335</v>
      </c>
      <c r="E94" s="440">
        <v>0.91010000000000002</v>
      </c>
      <c r="F94" s="440">
        <v>0</v>
      </c>
      <c r="G94" s="440">
        <v>3.4418000000000002</v>
      </c>
      <c r="H94" s="440">
        <v>14.607900000000001</v>
      </c>
      <c r="I94" s="440">
        <v>0</v>
      </c>
      <c r="J94" s="440">
        <v>22.8933</v>
      </c>
      <c r="K94" s="440">
        <v>4.8436000000000003</v>
      </c>
    </row>
    <row r="95" spans="1:11">
      <c r="A95" s="261" t="s">
        <v>10886</v>
      </c>
      <c r="B95" s="265" t="s">
        <v>25477</v>
      </c>
      <c r="C95" s="440">
        <v>63209.162900000003</v>
      </c>
      <c r="D95" s="440">
        <v>5.0567000000000002</v>
      </c>
      <c r="E95" s="440">
        <v>1.17</v>
      </c>
      <c r="F95" s="440">
        <v>0</v>
      </c>
      <c r="G95" s="440">
        <v>4.4245999999999999</v>
      </c>
      <c r="H95" s="440">
        <v>8.6835000000000004</v>
      </c>
      <c r="I95" s="440">
        <v>27.6023</v>
      </c>
      <c r="J95" s="440">
        <v>46.937100000000001</v>
      </c>
      <c r="K95" s="440">
        <v>33.829000000000001</v>
      </c>
    </row>
    <row r="96" spans="1:11">
      <c r="A96" s="261" t="s">
        <v>10887</v>
      </c>
      <c r="B96" s="265" t="s">
        <v>25478</v>
      </c>
      <c r="C96" s="440">
        <v>53813.627200000003</v>
      </c>
      <c r="D96" s="440">
        <v>4.3051000000000004</v>
      </c>
      <c r="E96" s="440">
        <v>0.99609999999999999</v>
      </c>
      <c r="F96" s="440">
        <v>0</v>
      </c>
      <c r="G96" s="440">
        <v>3.7669999999999999</v>
      </c>
      <c r="H96" s="440">
        <v>8.6835000000000004</v>
      </c>
      <c r="I96" s="440">
        <v>27.6023</v>
      </c>
      <c r="J96" s="440">
        <v>45.353999999999999</v>
      </c>
      <c r="K96" s="440">
        <v>32.903500000000001</v>
      </c>
    </row>
    <row r="97" spans="1:11">
      <c r="A97" s="261" t="s">
        <v>10888</v>
      </c>
      <c r="B97" s="265" t="s">
        <v>25479</v>
      </c>
      <c r="C97" s="440">
        <v>5377096.0241</v>
      </c>
      <c r="D97" s="440">
        <v>70.014300000000006</v>
      </c>
      <c r="E97" s="440">
        <v>31.199100000000001</v>
      </c>
      <c r="F97" s="440">
        <v>0</v>
      </c>
      <c r="G97" s="440">
        <v>155.5873</v>
      </c>
      <c r="H97" s="440">
        <v>391.92059999999998</v>
      </c>
      <c r="I97" s="440">
        <v>134.07990000000001</v>
      </c>
      <c r="J97" s="440">
        <v>782.80119999999999</v>
      </c>
      <c r="K97" s="440">
        <v>235.29329999999999</v>
      </c>
    </row>
    <row r="98" spans="1:11">
      <c r="A98" s="261" t="s">
        <v>10889</v>
      </c>
      <c r="B98" s="265" t="s">
        <v>25480</v>
      </c>
      <c r="C98" s="440">
        <v>2036507.3363000001</v>
      </c>
      <c r="D98" s="440">
        <v>15.9102</v>
      </c>
      <c r="E98" s="440">
        <v>11.4527</v>
      </c>
      <c r="F98" s="440">
        <v>0</v>
      </c>
      <c r="G98" s="440">
        <v>26.516999999999999</v>
      </c>
      <c r="H98" s="440">
        <v>0</v>
      </c>
      <c r="I98" s="440">
        <v>23.988600000000002</v>
      </c>
      <c r="J98" s="440">
        <v>77.868499999999997</v>
      </c>
      <c r="K98" s="440">
        <v>51.351500000000001</v>
      </c>
    </row>
    <row r="99" spans="1:11">
      <c r="A99" s="261" t="s">
        <v>10890</v>
      </c>
      <c r="B99" s="265" t="s">
        <v>25481</v>
      </c>
      <c r="C99" s="440">
        <v>9354.3991999999998</v>
      </c>
      <c r="D99" s="440">
        <v>0.62360000000000004</v>
      </c>
      <c r="E99" s="440">
        <v>0.16830000000000001</v>
      </c>
      <c r="F99" s="440">
        <v>0</v>
      </c>
      <c r="G99" s="440">
        <v>0.62360000000000004</v>
      </c>
      <c r="H99" s="440">
        <v>3.3767999999999998</v>
      </c>
      <c r="I99" s="440">
        <v>0</v>
      </c>
      <c r="J99" s="440">
        <v>4.7923</v>
      </c>
      <c r="K99" s="440">
        <v>0.79190000000000005</v>
      </c>
    </row>
    <row r="100" spans="1:11">
      <c r="A100" s="261" t="s">
        <v>10891</v>
      </c>
      <c r="B100" s="265" t="s">
        <v>25482</v>
      </c>
      <c r="C100" s="440">
        <v>8940339.2765999995</v>
      </c>
      <c r="D100" s="440">
        <v>143.0454</v>
      </c>
      <c r="E100" s="440">
        <v>143.42089999999999</v>
      </c>
      <c r="F100" s="440">
        <v>0</v>
      </c>
      <c r="G100" s="440">
        <v>178.80680000000001</v>
      </c>
      <c r="H100" s="440">
        <v>266.16000000000003</v>
      </c>
      <c r="I100" s="440">
        <v>77.9512</v>
      </c>
      <c r="J100" s="440">
        <v>809.38430000000005</v>
      </c>
      <c r="K100" s="440">
        <v>364.41750000000002</v>
      </c>
    </row>
    <row r="101" spans="1:11" ht="31.5">
      <c r="A101" s="261" t="s">
        <v>10892</v>
      </c>
      <c r="B101" s="265" t="s">
        <v>25483</v>
      </c>
      <c r="C101" s="440">
        <v>1340108.3396999999</v>
      </c>
      <c r="D101" s="440">
        <v>134.01079999999999</v>
      </c>
      <c r="E101" s="440">
        <v>26.577200000000001</v>
      </c>
      <c r="F101" s="440">
        <v>0</v>
      </c>
      <c r="G101" s="440">
        <v>134.01079999999999</v>
      </c>
      <c r="H101" s="440">
        <v>124.3189</v>
      </c>
      <c r="I101" s="440">
        <v>32.087499999999999</v>
      </c>
      <c r="J101" s="440">
        <v>451.0052</v>
      </c>
      <c r="K101" s="440">
        <v>192.6755</v>
      </c>
    </row>
    <row r="102" spans="1:11">
      <c r="A102" s="261" t="s">
        <v>10893</v>
      </c>
      <c r="B102" s="265" t="s">
        <v>25484</v>
      </c>
      <c r="C102" s="440">
        <v>185925.9896</v>
      </c>
      <c r="D102" s="440">
        <v>16.7333</v>
      </c>
      <c r="E102" s="440">
        <v>3.4415</v>
      </c>
      <c r="F102" s="440">
        <v>0</v>
      </c>
      <c r="G102" s="440">
        <v>16.7333</v>
      </c>
      <c r="H102" s="440">
        <v>0</v>
      </c>
      <c r="I102" s="440">
        <v>27.6023</v>
      </c>
      <c r="J102" s="440">
        <v>64.510400000000004</v>
      </c>
      <c r="K102" s="440">
        <v>47.777099999999997</v>
      </c>
    </row>
    <row r="103" spans="1:11" ht="31.5">
      <c r="A103" s="261" t="s">
        <v>10894</v>
      </c>
      <c r="B103" s="265" t="s">
        <v>25485</v>
      </c>
      <c r="C103" s="440">
        <v>21310.326400000002</v>
      </c>
      <c r="D103" s="440">
        <v>1.9178999999999999</v>
      </c>
      <c r="E103" s="440">
        <v>0.39450000000000002</v>
      </c>
      <c r="F103" s="440">
        <v>0</v>
      </c>
      <c r="G103" s="440">
        <v>1.0654999999999999</v>
      </c>
      <c r="H103" s="440">
        <v>0</v>
      </c>
      <c r="I103" s="440">
        <v>0</v>
      </c>
      <c r="J103" s="440">
        <v>3.3778999999999999</v>
      </c>
      <c r="K103" s="440">
        <v>2.3123999999999998</v>
      </c>
    </row>
    <row r="104" spans="1:11" ht="31.5">
      <c r="A104" s="261" t="s">
        <v>10895</v>
      </c>
      <c r="B104" s="265" t="s">
        <v>25486</v>
      </c>
      <c r="C104" s="440">
        <v>144871.87520000001</v>
      </c>
      <c r="D104" s="440">
        <v>13.038500000000001</v>
      </c>
      <c r="E104" s="440">
        <v>2.6816</v>
      </c>
      <c r="F104" s="440">
        <v>0</v>
      </c>
      <c r="G104" s="440">
        <v>7.2435999999999998</v>
      </c>
      <c r="H104" s="440">
        <v>0</v>
      </c>
      <c r="I104" s="440">
        <v>0</v>
      </c>
      <c r="J104" s="440">
        <v>22.963699999999999</v>
      </c>
      <c r="K104" s="440">
        <v>15.7201</v>
      </c>
    </row>
    <row r="105" spans="1:11">
      <c r="A105" s="261" t="s">
        <v>10896</v>
      </c>
      <c r="B105" s="265" t="s">
        <v>25487</v>
      </c>
      <c r="C105" s="440">
        <v>7163.3508000000002</v>
      </c>
      <c r="D105" s="440">
        <v>0.64470000000000005</v>
      </c>
      <c r="E105" s="440">
        <v>0.1326</v>
      </c>
      <c r="F105" s="440">
        <v>0</v>
      </c>
      <c r="G105" s="440">
        <v>0.35820000000000002</v>
      </c>
      <c r="H105" s="440">
        <v>0</v>
      </c>
      <c r="I105" s="440">
        <v>0</v>
      </c>
      <c r="J105" s="440">
        <v>1.1355</v>
      </c>
      <c r="K105" s="440">
        <v>0.77729999999999999</v>
      </c>
    </row>
    <row r="106" spans="1:11" ht="31.5">
      <c r="A106" s="261" t="s">
        <v>10897</v>
      </c>
      <c r="B106" s="265" t="s">
        <v>25488</v>
      </c>
      <c r="C106" s="440">
        <v>688382.62049999996</v>
      </c>
      <c r="D106" s="440">
        <v>68.838300000000004</v>
      </c>
      <c r="E106" s="440">
        <v>13.652100000000001</v>
      </c>
      <c r="F106" s="440">
        <v>0</v>
      </c>
      <c r="G106" s="440">
        <v>68.838300000000004</v>
      </c>
      <c r="H106" s="440">
        <v>110.6228</v>
      </c>
      <c r="I106" s="440">
        <v>32.087499999999999</v>
      </c>
      <c r="J106" s="440">
        <v>294.03899999999999</v>
      </c>
      <c r="K106" s="440">
        <v>114.5779</v>
      </c>
    </row>
    <row r="107" spans="1:11" ht="31.5">
      <c r="A107" s="261" t="s">
        <v>10898</v>
      </c>
      <c r="B107" s="265" t="s">
        <v>25489</v>
      </c>
      <c r="C107" s="440">
        <v>441897.60759999999</v>
      </c>
      <c r="D107" s="440">
        <v>35.351799999999997</v>
      </c>
      <c r="E107" s="440">
        <v>8.1795000000000009</v>
      </c>
      <c r="F107" s="440">
        <v>0</v>
      </c>
      <c r="G107" s="440">
        <v>35.351799999999997</v>
      </c>
      <c r="H107" s="440">
        <v>46.079000000000001</v>
      </c>
      <c r="I107" s="440">
        <v>27.6023</v>
      </c>
      <c r="J107" s="440">
        <v>152.56440000000001</v>
      </c>
      <c r="K107" s="440">
        <v>71.133600000000001</v>
      </c>
    </row>
    <row r="108" spans="1:11">
      <c r="A108" s="261" t="s">
        <v>10899</v>
      </c>
      <c r="B108" s="265" t="s">
        <v>25490</v>
      </c>
      <c r="C108" s="440">
        <v>466925.46620000002</v>
      </c>
      <c r="D108" s="440">
        <v>32.684800000000003</v>
      </c>
      <c r="E108" s="440">
        <v>8.6427999999999994</v>
      </c>
      <c r="F108" s="440">
        <v>0</v>
      </c>
      <c r="G108" s="440">
        <v>32.684800000000003</v>
      </c>
      <c r="H108" s="440">
        <v>76.798299999999998</v>
      </c>
      <c r="I108" s="440">
        <v>32.087499999999999</v>
      </c>
      <c r="J108" s="440">
        <v>182.8982</v>
      </c>
      <c r="K108" s="440">
        <v>73.415099999999995</v>
      </c>
    </row>
    <row r="109" spans="1:11" ht="31.5">
      <c r="A109" s="261" t="s">
        <v>10900</v>
      </c>
      <c r="B109" s="265" t="s">
        <v>25491</v>
      </c>
      <c r="C109" s="440">
        <v>3701020.7792000002</v>
      </c>
      <c r="D109" s="440">
        <v>259.07150000000001</v>
      </c>
      <c r="E109" s="440">
        <v>68.505899999999997</v>
      </c>
      <c r="F109" s="440">
        <v>0</v>
      </c>
      <c r="G109" s="440">
        <v>259.07150000000001</v>
      </c>
      <c r="H109" s="440">
        <v>185.97929999999999</v>
      </c>
      <c r="I109" s="440">
        <v>27.6023</v>
      </c>
      <c r="J109" s="440">
        <v>800.23050000000001</v>
      </c>
      <c r="K109" s="440">
        <v>355.17970000000003</v>
      </c>
    </row>
    <row r="110" spans="1:11" ht="31.5">
      <c r="A110" s="261" t="s">
        <v>10901</v>
      </c>
      <c r="B110" s="265" t="s">
        <v>25492</v>
      </c>
      <c r="C110" s="440">
        <v>65735.888600000006</v>
      </c>
      <c r="D110" s="440">
        <v>4.3823999999999996</v>
      </c>
      <c r="E110" s="440">
        <v>1.1830000000000001</v>
      </c>
      <c r="F110" s="440">
        <v>0</v>
      </c>
      <c r="G110" s="440">
        <v>4.3823999999999996</v>
      </c>
      <c r="H110" s="440">
        <v>0</v>
      </c>
      <c r="I110" s="440">
        <v>27.6023</v>
      </c>
      <c r="J110" s="440">
        <v>37.5501</v>
      </c>
      <c r="K110" s="440">
        <v>33.167700000000004</v>
      </c>
    </row>
    <row r="111" spans="1:11">
      <c r="A111" s="261" t="s">
        <v>10902</v>
      </c>
      <c r="B111" s="265" t="s">
        <v>25493</v>
      </c>
      <c r="C111" s="440">
        <v>4414548.8595000003</v>
      </c>
      <c r="D111" s="440">
        <v>294.30329999999998</v>
      </c>
      <c r="E111" s="440">
        <v>79.4435</v>
      </c>
      <c r="F111" s="440">
        <v>0</v>
      </c>
      <c r="G111" s="440">
        <v>294.30329999999998</v>
      </c>
      <c r="H111" s="440">
        <v>107.57299999999999</v>
      </c>
      <c r="I111" s="440">
        <v>32.087499999999999</v>
      </c>
      <c r="J111" s="440">
        <v>807.7106</v>
      </c>
      <c r="K111" s="440">
        <v>405.83429999999998</v>
      </c>
    </row>
    <row r="112" spans="1:11">
      <c r="A112" s="261" t="s">
        <v>102</v>
      </c>
      <c r="B112" s="265" t="s">
        <v>25494</v>
      </c>
      <c r="C112" s="440">
        <v>209934.22560000001</v>
      </c>
      <c r="D112" s="440">
        <v>10.496700000000001</v>
      </c>
      <c r="E112" s="440">
        <v>3.7778999999999998</v>
      </c>
      <c r="F112" s="440">
        <v>1.5307999999999999</v>
      </c>
      <c r="G112" s="440">
        <v>10.496700000000001</v>
      </c>
      <c r="H112" s="440">
        <v>25.784300000000002</v>
      </c>
      <c r="I112" s="440">
        <v>27.0077</v>
      </c>
      <c r="J112" s="440">
        <v>79.094099999999997</v>
      </c>
      <c r="K112" s="440">
        <v>42.813099999999999</v>
      </c>
    </row>
    <row r="113" spans="1:11">
      <c r="A113" s="261" t="s">
        <v>10903</v>
      </c>
      <c r="B113" s="265" t="s">
        <v>25495</v>
      </c>
      <c r="C113" s="440">
        <v>86860350.418599993</v>
      </c>
      <c r="D113" s="440">
        <v>977.1789</v>
      </c>
      <c r="E113" s="440">
        <v>703.40599999999995</v>
      </c>
      <c r="F113" s="440">
        <v>0</v>
      </c>
      <c r="G113" s="440">
        <v>2171.5088000000001</v>
      </c>
      <c r="H113" s="440">
        <v>1053.55</v>
      </c>
      <c r="I113" s="440">
        <v>64.234200000000001</v>
      </c>
      <c r="J113" s="440">
        <v>4969.8779000000004</v>
      </c>
      <c r="K113" s="440">
        <v>1744.8190999999999</v>
      </c>
    </row>
    <row r="114" spans="1:11">
      <c r="A114" s="261" t="s">
        <v>10904</v>
      </c>
      <c r="B114" s="265" t="s">
        <v>25496</v>
      </c>
      <c r="C114" s="440">
        <v>1496661.5046000001</v>
      </c>
      <c r="D114" s="440">
        <v>171.047</v>
      </c>
      <c r="E114" s="440">
        <v>29.681999999999999</v>
      </c>
      <c r="F114" s="440">
        <v>0</v>
      </c>
      <c r="G114" s="440">
        <v>213.80879999999999</v>
      </c>
      <c r="H114" s="440">
        <v>54.063800000000001</v>
      </c>
      <c r="I114" s="440">
        <v>32.087499999999999</v>
      </c>
      <c r="J114" s="440">
        <v>500.6891</v>
      </c>
      <c r="K114" s="440">
        <v>232.81649999999999</v>
      </c>
    </row>
    <row r="115" spans="1:11">
      <c r="A115" s="261" t="s">
        <v>10905</v>
      </c>
      <c r="B115" s="265" t="s">
        <v>25497</v>
      </c>
      <c r="C115" s="440">
        <v>503475.89159999997</v>
      </c>
      <c r="D115" s="440">
        <v>21.577500000000001</v>
      </c>
      <c r="E115" s="440">
        <v>8.8756000000000004</v>
      </c>
      <c r="F115" s="440">
        <v>3.5962999999999998</v>
      </c>
      <c r="G115" s="440">
        <v>32.366300000000003</v>
      </c>
      <c r="H115" s="440">
        <v>116.94410000000001</v>
      </c>
      <c r="I115" s="440">
        <v>31.651</v>
      </c>
      <c r="J115" s="440">
        <v>215.01079999999999</v>
      </c>
      <c r="K115" s="440">
        <v>65.700400000000002</v>
      </c>
    </row>
    <row r="116" spans="1:11" ht="31.5">
      <c r="A116" s="261" t="s">
        <v>10906</v>
      </c>
      <c r="B116" s="265" t="s">
        <v>25498</v>
      </c>
      <c r="C116" s="440">
        <v>89763.131999999998</v>
      </c>
      <c r="D116" s="440">
        <v>7.1810999999999998</v>
      </c>
      <c r="E116" s="440">
        <v>1.6615</v>
      </c>
      <c r="F116" s="440">
        <v>0</v>
      </c>
      <c r="G116" s="440">
        <v>4.4882</v>
      </c>
      <c r="H116" s="440">
        <v>0</v>
      </c>
      <c r="I116" s="440">
        <v>0</v>
      </c>
      <c r="J116" s="440">
        <v>13.3308</v>
      </c>
      <c r="K116" s="440">
        <v>8.8425999999999991</v>
      </c>
    </row>
    <row r="117" spans="1:11">
      <c r="A117" s="261" t="s">
        <v>10907</v>
      </c>
      <c r="B117" s="265" t="s">
        <v>25499</v>
      </c>
      <c r="C117" s="440">
        <v>285278.02340000001</v>
      </c>
      <c r="D117" s="440">
        <v>11.411099999999999</v>
      </c>
      <c r="E117" s="440">
        <v>4.8404999999999996</v>
      </c>
      <c r="F117" s="440">
        <v>0</v>
      </c>
      <c r="G117" s="440">
        <v>7.1319999999999997</v>
      </c>
      <c r="H117" s="440">
        <v>0</v>
      </c>
      <c r="I117" s="440">
        <v>27.6023</v>
      </c>
      <c r="J117" s="440">
        <v>50.985900000000001</v>
      </c>
      <c r="K117" s="440">
        <v>43.853900000000003</v>
      </c>
    </row>
    <row r="118" spans="1:11">
      <c r="A118" s="261" t="s">
        <v>10908</v>
      </c>
      <c r="B118" s="265" t="s">
        <v>25500</v>
      </c>
      <c r="C118" s="440">
        <v>94013.688699999999</v>
      </c>
      <c r="D118" s="440">
        <v>5.3722000000000003</v>
      </c>
      <c r="E118" s="440">
        <v>1.6573</v>
      </c>
      <c r="F118" s="440">
        <v>0</v>
      </c>
      <c r="G118" s="440">
        <v>5.3722000000000003</v>
      </c>
      <c r="H118" s="440">
        <v>0</v>
      </c>
      <c r="I118" s="440">
        <v>38.9756</v>
      </c>
      <c r="J118" s="440">
        <v>51.377299999999998</v>
      </c>
      <c r="K118" s="440">
        <v>46.005099999999999</v>
      </c>
    </row>
    <row r="119" spans="1:11" ht="31.5">
      <c r="A119" s="261" t="s">
        <v>10909</v>
      </c>
      <c r="B119" s="265" t="s">
        <v>25501</v>
      </c>
      <c r="C119" s="440">
        <v>264627.1482</v>
      </c>
      <c r="D119" s="440">
        <v>21.170200000000001</v>
      </c>
      <c r="E119" s="440">
        <v>4.8982000000000001</v>
      </c>
      <c r="F119" s="440">
        <v>0</v>
      </c>
      <c r="G119" s="440">
        <v>21.170200000000001</v>
      </c>
      <c r="H119" s="440">
        <v>8.0802999999999994</v>
      </c>
      <c r="I119" s="440">
        <v>0</v>
      </c>
      <c r="J119" s="440">
        <v>55.318899999999999</v>
      </c>
      <c r="K119" s="440">
        <v>26.0684</v>
      </c>
    </row>
    <row r="120" spans="1:11" ht="31.5">
      <c r="A120" s="261" t="s">
        <v>10910</v>
      </c>
      <c r="B120" s="265" t="s">
        <v>25502</v>
      </c>
      <c r="C120" s="440">
        <v>3501802.9295999999</v>
      </c>
      <c r="D120" s="440">
        <v>200.10300000000001</v>
      </c>
      <c r="E120" s="440">
        <v>61.7318</v>
      </c>
      <c r="F120" s="440">
        <v>0</v>
      </c>
      <c r="G120" s="440">
        <v>200.10300000000001</v>
      </c>
      <c r="H120" s="440">
        <v>169.67699999999999</v>
      </c>
      <c r="I120" s="440">
        <v>38.9756</v>
      </c>
      <c r="J120" s="440">
        <v>670.59040000000005</v>
      </c>
      <c r="K120" s="440">
        <v>300.81040000000002</v>
      </c>
    </row>
    <row r="121" spans="1:11">
      <c r="A121" s="261" t="s">
        <v>10911</v>
      </c>
      <c r="B121" s="265" t="s">
        <v>25503</v>
      </c>
      <c r="C121" s="440">
        <v>1082.5983000000001</v>
      </c>
      <c r="D121" s="440">
        <v>9.1999999999999998E-2</v>
      </c>
      <c r="E121" s="440">
        <v>0.02</v>
      </c>
      <c r="F121" s="440">
        <v>0</v>
      </c>
      <c r="G121" s="440">
        <v>8.6599999999999996E-2</v>
      </c>
      <c r="H121" s="440">
        <v>0</v>
      </c>
      <c r="I121" s="440">
        <v>0</v>
      </c>
      <c r="J121" s="440">
        <v>0.1986</v>
      </c>
      <c r="K121" s="440">
        <v>0.112</v>
      </c>
    </row>
    <row r="122" spans="1:11">
      <c r="A122" s="261" t="s">
        <v>10912</v>
      </c>
      <c r="B122" s="265" t="s">
        <v>25504</v>
      </c>
      <c r="C122" s="440">
        <v>980.93179999999995</v>
      </c>
      <c r="D122" s="440">
        <v>8.3400000000000002E-2</v>
      </c>
      <c r="E122" s="440">
        <v>1.8200000000000001E-2</v>
      </c>
      <c r="F122" s="440">
        <v>0</v>
      </c>
      <c r="G122" s="440">
        <v>7.85E-2</v>
      </c>
      <c r="H122" s="440">
        <v>0</v>
      </c>
      <c r="I122" s="440">
        <v>0</v>
      </c>
      <c r="J122" s="440">
        <v>0.18010000000000001</v>
      </c>
      <c r="K122" s="440">
        <v>0.1016</v>
      </c>
    </row>
    <row r="123" spans="1:11" ht="31.5">
      <c r="A123" s="261" t="s">
        <v>10913</v>
      </c>
      <c r="B123" s="265" t="s">
        <v>25505</v>
      </c>
      <c r="C123" s="440">
        <v>395011.40220000001</v>
      </c>
      <c r="D123" s="440">
        <v>25.393599999999999</v>
      </c>
      <c r="E123" s="440">
        <v>6.9634999999999998</v>
      </c>
      <c r="F123" s="440">
        <v>0</v>
      </c>
      <c r="G123" s="440">
        <v>8.4644999999999992</v>
      </c>
      <c r="H123" s="440">
        <v>29.1113</v>
      </c>
      <c r="I123" s="440">
        <v>27.6023</v>
      </c>
      <c r="J123" s="440">
        <v>97.535200000000003</v>
      </c>
      <c r="K123" s="440">
        <v>59.959400000000002</v>
      </c>
    </row>
    <row r="124" spans="1:11">
      <c r="A124" s="261" t="s">
        <v>10914</v>
      </c>
      <c r="B124" s="265" t="s">
        <v>25506</v>
      </c>
      <c r="C124" s="440">
        <v>115543.3735</v>
      </c>
      <c r="D124" s="440">
        <v>7.4278000000000004</v>
      </c>
      <c r="E124" s="440">
        <v>2.0369000000000002</v>
      </c>
      <c r="F124" s="440">
        <v>0</v>
      </c>
      <c r="G124" s="440">
        <v>2.4759000000000002</v>
      </c>
      <c r="H124" s="440">
        <v>4.0368000000000004</v>
      </c>
      <c r="I124" s="440">
        <v>0</v>
      </c>
      <c r="J124" s="440">
        <v>15.977399999999999</v>
      </c>
      <c r="K124" s="440">
        <v>9.4647000000000006</v>
      </c>
    </row>
    <row r="125" spans="1:11">
      <c r="A125" s="261" t="s">
        <v>10915</v>
      </c>
      <c r="B125" s="265" t="s">
        <v>25507</v>
      </c>
      <c r="C125" s="440">
        <v>2032.0735</v>
      </c>
      <c r="D125" s="440">
        <v>0.3251</v>
      </c>
      <c r="E125" s="440">
        <v>7.5200000000000003E-2</v>
      </c>
      <c r="F125" s="440">
        <v>0</v>
      </c>
      <c r="G125" s="440">
        <v>0.28449999999999998</v>
      </c>
      <c r="H125" s="440">
        <v>3.9196</v>
      </c>
      <c r="I125" s="440">
        <v>0</v>
      </c>
      <c r="J125" s="440">
        <v>4.6044</v>
      </c>
      <c r="K125" s="440">
        <v>0.40029999999999999</v>
      </c>
    </row>
    <row r="126" spans="1:11">
      <c r="A126" s="261" t="s">
        <v>10916</v>
      </c>
      <c r="B126" s="265" t="s">
        <v>25508</v>
      </c>
      <c r="C126" s="440">
        <v>8250000</v>
      </c>
      <c r="D126" s="440">
        <v>132</v>
      </c>
      <c r="E126" s="440">
        <v>132.34649999999999</v>
      </c>
      <c r="F126" s="440">
        <v>0</v>
      </c>
      <c r="G126" s="440">
        <v>165</v>
      </c>
      <c r="H126" s="440">
        <v>1488.4998000000001</v>
      </c>
      <c r="I126" s="440">
        <v>33.440399999999997</v>
      </c>
      <c r="J126" s="440">
        <v>1951.2867000000001</v>
      </c>
      <c r="K126" s="440">
        <v>297.7869</v>
      </c>
    </row>
    <row r="127" spans="1:11">
      <c r="A127" s="261" t="s">
        <v>10917</v>
      </c>
      <c r="B127" s="265" t="s">
        <v>25509</v>
      </c>
      <c r="C127" s="440">
        <v>8250000</v>
      </c>
      <c r="D127" s="440">
        <v>132</v>
      </c>
      <c r="E127" s="440">
        <v>132.34649999999999</v>
      </c>
      <c r="F127" s="440">
        <v>0</v>
      </c>
      <c r="G127" s="440">
        <v>165</v>
      </c>
      <c r="H127" s="440">
        <v>1488.4998000000001</v>
      </c>
      <c r="I127" s="440">
        <v>33.440399999999997</v>
      </c>
      <c r="J127" s="440">
        <v>1951.2867000000001</v>
      </c>
      <c r="K127" s="440">
        <v>297.7869</v>
      </c>
    </row>
    <row r="128" spans="1:11">
      <c r="A128" s="261" t="s">
        <v>10918</v>
      </c>
      <c r="B128" s="265" t="s">
        <v>25510</v>
      </c>
      <c r="C128" s="440">
        <v>667000</v>
      </c>
      <c r="D128" s="440">
        <v>10.5608</v>
      </c>
      <c r="E128" s="440">
        <v>10.631399999999999</v>
      </c>
      <c r="F128" s="440">
        <v>0</v>
      </c>
      <c r="G128" s="440">
        <v>5.5583</v>
      </c>
      <c r="H128" s="440">
        <v>0</v>
      </c>
      <c r="I128" s="440">
        <v>0</v>
      </c>
      <c r="J128" s="440">
        <v>26.750499999999999</v>
      </c>
      <c r="K128" s="440">
        <v>21.1922</v>
      </c>
    </row>
    <row r="129" spans="1:11">
      <c r="A129" s="261" t="s">
        <v>10919</v>
      </c>
      <c r="B129" s="265" t="s">
        <v>25511</v>
      </c>
      <c r="C129" s="440">
        <v>746000</v>
      </c>
      <c r="D129" s="440">
        <v>11.8117</v>
      </c>
      <c r="E129" s="440">
        <v>11.890599999999999</v>
      </c>
      <c r="F129" s="440">
        <v>0</v>
      </c>
      <c r="G129" s="440">
        <v>6.2167000000000003</v>
      </c>
      <c r="H129" s="440">
        <v>0</v>
      </c>
      <c r="I129" s="440">
        <v>0</v>
      </c>
      <c r="J129" s="440">
        <v>29.919</v>
      </c>
      <c r="K129" s="440">
        <v>23.702300000000001</v>
      </c>
    </row>
    <row r="130" spans="1:11" ht="31.5">
      <c r="A130" s="261" t="s">
        <v>10920</v>
      </c>
      <c r="B130" s="265" t="s">
        <v>25512</v>
      </c>
      <c r="C130" s="440">
        <v>678000</v>
      </c>
      <c r="D130" s="440">
        <v>10.734999999999999</v>
      </c>
      <c r="E130" s="440">
        <v>10.806800000000001</v>
      </c>
      <c r="F130" s="440">
        <v>0</v>
      </c>
      <c r="G130" s="440">
        <v>5.65</v>
      </c>
      <c r="H130" s="440">
        <v>0</v>
      </c>
      <c r="I130" s="440">
        <v>0</v>
      </c>
      <c r="J130" s="440">
        <v>27.191800000000001</v>
      </c>
      <c r="K130" s="440">
        <v>21.541799999999999</v>
      </c>
    </row>
    <row r="131" spans="1:11" ht="31.5">
      <c r="A131" s="261" t="s">
        <v>10921</v>
      </c>
      <c r="B131" s="265" t="s">
        <v>25513</v>
      </c>
      <c r="C131" s="440">
        <v>775000</v>
      </c>
      <c r="D131" s="440">
        <v>12.270799999999999</v>
      </c>
      <c r="E131" s="440">
        <v>12.3529</v>
      </c>
      <c r="F131" s="440">
        <v>0</v>
      </c>
      <c r="G131" s="440">
        <v>6.4583000000000004</v>
      </c>
      <c r="H131" s="440">
        <v>0</v>
      </c>
      <c r="I131" s="440">
        <v>0</v>
      </c>
      <c r="J131" s="440">
        <v>31.082000000000001</v>
      </c>
      <c r="K131" s="440">
        <v>24.623699999999999</v>
      </c>
    </row>
    <row r="132" spans="1:11" ht="31.5">
      <c r="A132" s="261" t="s">
        <v>10922</v>
      </c>
      <c r="B132" s="265" t="s">
        <v>25514</v>
      </c>
      <c r="C132" s="440">
        <v>843000</v>
      </c>
      <c r="D132" s="440">
        <v>13.3475</v>
      </c>
      <c r="E132" s="440">
        <v>13.4367</v>
      </c>
      <c r="F132" s="440">
        <v>0</v>
      </c>
      <c r="G132" s="440">
        <v>7.0250000000000004</v>
      </c>
      <c r="H132" s="440">
        <v>0</v>
      </c>
      <c r="I132" s="440">
        <v>0</v>
      </c>
      <c r="J132" s="440">
        <v>33.809199999999997</v>
      </c>
      <c r="K132" s="440">
        <v>26.784199999999998</v>
      </c>
    </row>
    <row r="133" spans="1:11" ht="31.5">
      <c r="A133" s="261" t="s">
        <v>10923</v>
      </c>
      <c r="B133" s="265" t="s">
        <v>25515</v>
      </c>
      <c r="C133" s="440">
        <v>855000</v>
      </c>
      <c r="D133" s="440">
        <v>13.5375</v>
      </c>
      <c r="E133" s="440">
        <v>13.628</v>
      </c>
      <c r="F133" s="440">
        <v>0</v>
      </c>
      <c r="G133" s="440">
        <v>7.125</v>
      </c>
      <c r="H133" s="440">
        <v>0</v>
      </c>
      <c r="I133" s="440">
        <v>0</v>
      </c>
      <c r="J133" s="440">
        <v>34.290500000000002</v>
      </c>
      <c r="K133" s="440">
        <v>27.165500000000002</v>
      </c>
    </row>
    <row r="134" spans="1:11">
      <c r="A134" s="261" t="s">
        <v>10924</v>
      </c>
      <c r="B134" s="265" t="s">
        <v>25516</v>
      </c>
      <c r="C134" s="440">
        <v>2628645.2563</v>
      </c>
      <c r="D134" s="440">
        <v>42.058300000000003</v>
      </c>
      <c r="E134" s="440">
        <v>42.168700000000001</v>
      </c>
      <c r="F134" s="440">
        <v>0</v>
      </c>
      <c r="G134" s="440">
        <v>52.572899999999997</v>
      </c>
      <c r="H134" s="440">
        <v>59.886000000000003</v>
      </c>
      <c r="I134" s="440">
        <v>38.9756</v>
      </c>
      <c r="J134" s="440">
        <v>235.66149999999999</v>
      </c>
      <c r="K134" s="440">
        <v>123.2026</v>
      </c>
    </row>
    <row r="135" spans="1:11">
      <c r="A135" s="261" t="s">
        <v>10925</v>
      </c>
      <c r="B135" s="265" t="s">
        <v>25517</v>
      </c>
      <c r="C135" s="440">
        <v>1791233.6488000001</v>
      </c>
      <c r="D135" s="440">
        <v>125.38639999999999</v>
      </c>
      <c r="E135" s="440">
        <v>33.155700000000003</v>
      </c>
      <c r="F135" s="440">
        <v>0</v>
      </c>
      <c r="G135" s="440">
        <v>125.38639999999999</v>
      </c>
      <c r="H135" s="440">
        <v>86.501999999999995</v>
      </c>
      <c r="I135" s="440">
        <v>32.087499999999999</v>
      </c>
      <c r="J135" s="440">
        <v>402.51799999999997</v>
      </c>
      <c r="K135" s="440">
        <v>190.62960000000001</v>
      </c>
    </row>
    <row r="136" spans="1:11" ht="31.5">
      <c r="A136" s="261" t="s">
        <v>10926</v>
      </c>
      <c r="B136" s="265" t="s">
        <v>25518</v>
      </c>
      <c r="C136" s="440">
        <v>688382.62049999996</v>
      </c>
      <c r="D136" s="440">
        <v>68.838300000000004</v>
      </c>
      <c r="E136" s="440">
        <v>13.652100000000001</v>
      </c>
      <c r="F136" s="440">
        <v>0</v>
      </c>
      <c r="G136" s="440">
        <v>68.838300000000004</v>
      </c>
      <c r="H136" s="440">
        <v>110.6228</v>
      </c>
      <c r="I136" s="440">
        <v>39.385100000000001</v>
      </c>
      <c r="J136" s="440">
        <v>301.33659999999998</v>
      </c>
      <c r="K136" s="440">
        <v>121.8755</v>
      </c>
    </row>
    <row r="137" spans="1:11" ht="31.5">
      <c r="A137" s="261" t="s">
        <v>10927</v>
      </c>
      <c r="B137" s="265" t="s">
        <v>25519</v>
      </c>
      <c r="C137" s="440">
        <v>2272689.2801000001</v>
      </c>
      <c r="D137" s="440">
        <v>259.73590000000002</v>
      </c>
      <c r="E137" s="440">
        <v>45.072299999999998</v>
      </c>
      <c r="F137" s="440">
        <v>0</v>
      </c>
      <c r="G137" s="440">
        <v>324.66989999999998</v>
      </c>
      <c r="H137" s="440">
        <v>74.247600000000006</v>
      </c>
      <c r="I137" s="440">
        <v>39.385100000000001</v>
      </c>
      <c r="J137" s="440">
        <v>743.11080000000004</v>
      </c>
      <c r="K137" s="440">
        <v>344.19330000000002</v>
      </c>
    </row>
    <row r="138" spans="1:11">
      <c r="A138" s="261" t="s">
        <v>10928</v>
      </c>
      <c r="B138" s="265" t="s">
        <v>25520</v>
      </c>
      <c r="C138" s="440">
        <v>2046980.5898</v>
      </c>
      <c r="D138" s="440">
        <v>136.46539999999999</v>
      </c>
      <c r="E138" s="440">
        <v>36.8371</v>
      </c>
      <c r="F138" s="440">
        <v>0</v>
      </c>
      <c r="G138" s="440">
        <v>136.46539999999999</v>
      </c>
      <c r="H138" s="440">
        <v>120.60380000000001</v>
      </c>
      <c r="I138" s="440">
        <v>39.385100000000001</v>
      </c>
      <c r="J138" s="440">
        <v>469.7568</v>
      </c>
      <c r="K138" s="440">
        <v>212.6876</v>
      </c>
    </row>
    <row r="139" spans="1:11">
      <c r="A139" s="261" t="s">
        <v>10929</v>
      </c>
      <c r="B139" s="265" t="s">
        <v>25521</v>
      </c>
      <c r="C139" s="440">
        <v>885359</v>
      </c>
      <c r="D139" s="440">
        <v>70.828699999999998</v>
      </c>
      <c r="E139" s="440">
        <v>16.388000000000002</v>
      </c>
      <c r="F139" s="440">
        <v>0</v>
      </c>
      <c r="G139" s="440">
        <v>53.121499999999997</v>
      </c>
      <c r="H139" s="440">
        <v>0</v>
      </c>
      <c r="I139" s="440">
        <v>0</v>
      </c>
      <c r="J139" s="440">
        <v>140.3382</v>
      </c>
      <c r="K139" s="440">
        <v>87.216700000000003</v>
      </c>
    </row>
    <row r="140" spans="1:11">
      <c r="A140" s="261" t="s">
        <v>10930</v>
      </c>
      <c r="B140" s="265" t="s">
        <v>25522</v>
      </c>
      <c r="C140" s="440">
        <v>87261</v>
      </c>
      <c r="D140" s="440">
        <v>6.9809000000000001</v>
      </c>
      <c r="E140" s="440">
        <v>1.6152</v>
      </c>
      <c r="F140" s="440">
        <v>0</v>
      </c>
      <c r="G140" s="440">
        <v>6.9809000000000001</v>
      </c>
      <c r="H140" s="440">
        <v>0</v>
      </c>
      <c r="I140" s="440">
        <v>0</v>
      </c>
      <c r="J140" s="440">
        <v>15.577</v>
      </c>
      <c r="K140" s="440">
        <v>8.5960999999999999</v>
      </c>
    </row>
    <row r="141" spans="1:11">
      <c r="A141" s="261" t="s">
        <v>10931</v>
      </c>
      <c r="B141" s="265" t="s">
        <v>25523</v>
      </c>
      <c r="C141" s="440">
        <v>4240.8823000000002</v>
      </c>
      <c r="D141" s="440">
        <v>0.33929999999999999</v>
      </c>
      <c r="E141" s="440">
        <v>7.85E-2</v>
      </c>
      <c r="F141" s="440">
        <v>0</v>
      </c>
      <c r="G141" s="440">
        <v>0.33929999999999999</v>
      </c>
      <c r="H141" s="440">
        <v>0</v>
      </c>
      <c r="I141" s="440">
        <v>0</v>
      </c>
      <c r="J141" s="440">
        <v>0.7571</v>
      </c>
      <c r="K141" s="440">
        <v>0.4178</v>
      </c>
    </row>
    <row r="142" spans="1:11" ht="31.5">
      <c r="A142" s="261" t="s">
        <v>10932</v>
      </c>
      <c r="B142" s="265" t="s">
        <v>25524</v>
      </c>
      <c r="C142" s="440">
        <v>18212.5782</v>
      </c>
      <c r="D142" s="440">
        <v>1.4570000000000001</v>
      </c>
      <c r="E142" s="440">
        <v>0.33710000000000001</v>
      </c>
      <c r="F142" s="440">
        <v>0</v>
      </c>
      <c r="G142" s="440">
        <v>1.4570000000000001</v>
      </c>
      <c r="H142" s="440">
        <v>0</v>
      </c>
      <c r="I142" s="440">
        <v>34.586199999999998</v>
      </c>
      <c r="J142" s="440">
        <v>37.837299999999999</v>
      </c>
      <c r="K142" s="440">
        <v>36.380299999999998</v>
      </c>
    </row>
    <row r="143" spans="1:11" ht="31.5">
      <c r="A143" s="261" t="s">
        <v>10933</v>
      </c>
      <c r="B143" s="265" t="s">
        <v>25525</v>
      </c>
      <c r="C143" s="440">
        <v>11623714.8893</v>
      </c>
      <c r="D143" s="440">
        <v>774.91430000000003</v>
      </c>
      <c r="E143" s="440">
        <v>209.17840000000001</v>
      </c>
      <c r="F143" s="440">
        <v>0</v>
      </c>
      <c r="G143" s="440">
        <v>968.64290000000005</v>
      </c>
      <c r="H143" s="440">
        <v>180.4898</v>
      </c>
      <c r="I143" s="440">
        <v>48.4011</v>
      </c>
      <c r="J143" s="440">
        <v>2181.6264999999999</v>
      </c>
      <c r="K143" s="440">
        <v>1032.4938</v>
      </c>
    </row>
    <row r="144" spans="1:11">
      <c r="A144" s="261" t="s">
        <v>10934</v>
      </c>
      <c r="B144" s="265" t="s">
        <v>25526</v>
      </c>
      <c r="C144" s="440">
        <v>11335.2469</v>
      </c>
      <c r="D144" s="440">
        <v>0.72870000000000001</v>
      </c>
      <c r="E144" s="440">
        <v>0.19980000000000001</v>
      </c>
      <c r="F144" s="440">
        <v>0</v>
      </c>
      <c r="G144" s="440">
        <v>0.40479999999999999</v>
      </c>
      <c r="H144" s="440">
        <v>0</v>
      </c>
      <c r="I144" s="440">
        <v>0</v>
      </c>
      <c r="J144" s="440">
        <v>1.3332999999999999</v>
      </c>
      <c r="K144" s="440">
        <v>0.92849999999999999</v>
      </c>
    </row>
    <row r="145" spans="1:11" ht="31.5">
      <c r="A145" s="261" t="s">
        <v>10935</v>
      </c>
      <c r="B145" s="265" t="s">
        <v>25527</v>
      </c>
      <c r="C145" s="440">
        <v>291982.96879999997</v>
      </c>
      <c r="D145" s="440">
        <v>5.1097000000000001</v>
      </c>
      <c r="E145" s="440">
        <v>4.7290000000000001</v>
      </c>
      <c r="F145" s="440">
        <v>0</v>
      </c>
      <c r="G145" s="440">
        <v>7.2995999999999999</v>
      </c>
      <c r="H145" s="440">
        <v>0</v>
      </c>
      <c r="I145" s="440">
        <v>46.009799999999998</v>
      </c>
      <c r="J145" s="440">
        <v>63.148099999999999</v>
      </c>
      <c r="K145" s="440">
        <v>55.848500000000001</v>
      </c>
    </row>
    <row r="146" spans="1:11">
      <c r="A146" s="261" t="s">
        <v>10936</v>
      </c>
      <c r="B146" s="265" t="s">
        <v>25528</v>
      </c>
      <c r="C146" s="440">
        <v>37680.0236</v>
      </c>
      <c r="D146" s="440">
        <v>2.4222999999999999</v>
      </c>
      <c r="E146" s="440">
        <v>0.66420000000000001</v>
      </c>
      <c r="F146" s="440">
        <v>0</v>
      </c>
      <c r="G146" s="440">
        <v>1.3456999999999999</v>
      </c>
      <c r="H146" s="440">
        <v>0</v>
      </c>
      <c r="I146" s="440">
        <v>0</v>
      </c>
      <c r="J146" s="440">
        <v>4.4321999999999999</v>
      </c>
      <c r="K146" s="440">
        <v>3.0865</v>
      </c>
    </row>
    <row r="147" spans="1:11">
      <c r="A147" s="261" t="s">
        <v>10937</v>
      </c>
      <c r="B147" s="265" t="s">
        <v>25529</v>
      </c>
      <c r="C147" s="440">
        <v>6315.3518000000004</v>
      </c>
      <c r="D147" s="440">
        <v>0.40600000000000003</v>
      </c>
      <c r="E147" s="440">
        <v>0.1113</v>
      </c>
      <c r="F147" s="440">
        <v>0</v>
      </c>
      <c r="G147" s="440">
        <v>0.22550000000000001</v>
      </c>
      <c r="H147" s="440">
        <v>0</v>
      </c>
      <c r="I147" s="440">
        <v>0</v>
      </c>
      <c r="J147" s="440">
        <v>0.74280000000000002</v>
      </c>
      <c r="K147" s="440">
        <v>0.51729999999999998</v>
      </c>
    </row>
    <row r="148" spans="1:11">
      <c r="A148" s="261" t="s">
        <v>10938</v>
      </c>
      <c r="B148" s="265" t="s">
        <v>25530</v>
      </c>
      <c r="C148" s="440">
        <v>12119.276900000001</v>
      </c>
      <c r="D148" s="440">
        <v>0.77910000000000001</v>
      </c>
      <c r="E148" s="440">
        <v>0.21360000000000001</v>
      </c>
      <c r="F148" s="440">
        <v>0</v>
      </c>
      <c r="G148" s="440">
        <v>0.43280000000000002</v>
      </c>
      <c r="H148" s="440">
        <v>0</v>
      </c>
      <c r="I148" s="440">
        <v>0</v>
      </c>
      <c r="J148" s="440">
        <v>1.4255</v>
      </c>
      <c r="K148" s="440">
        <v>0.99270000000000003</v>
      </c>
    </row>
    <row r="149" spans="1:11">
      <c r="A149" s="261" t="s">
        <v>10939</v>
      </c>
      <c r="B149" s="265" t="s">
        <v>25531</v>
      </c>
      <c r="C149" s="440">
        <v>549188.85690000001</v>
      </c>
      <c r="D149" s="440">
        <v>14.645</v>
      </c>
      <c r="E149" s="440">
        <v>9.0359999999999996</v>
      </c>
      <c r="F149" s="440">
        <v>0</v>
      </c>
      <c r="G149" s="440">
        <v>14.645</v>
      </c>
      <c r="H149" s="440">
        <v>0</v>
      </c>
      <c r="I149" s="440">
        <v>46.009799999999998</v>
      </c>
      <c r="J149" s="440">
        <v>84.335800000000006</v>
      </c>
      <c r="K149" s="440">
        <v>69.690799999999996</v>
      </c>
    </row>
    <row r="150" spans="1:11" ht="31.5">
      <c r="A150" s="261" t="s">
        <v>10940</v>
      </c>
      <c r="B150" s="265" t="s">
        <v>25532</v>
      </c>
      <c r="C150" s="440">
        <v>50245.866999999998</v>
      </c>
      <c r="D150" s="440">
        <v>3.3496999999999999</v>
      </c>
      <c r="E150" s="440">
        <v>0.9042</v>
      </c>
      <c r="F150" s="440">
        <v>0</v>
      </c>
      <c r="G150" s="440">
        <v>3.3496999999999999</v>
      </c>
      <c r="H150" s="440">
        <v>7.0321999999999996</v>
      </c>
      <c r="I150" s="440">
        <v>0</v>
      </c>
      <c r="J150" s="440">
        <v>14.6358</v>
      </c>
      <c r="K150" s="440">
        <v>4.2538999999999998</v>
      </c>
    </row>
    <row r="151" spans="1:11" ht="31.5">
      <c r="A151" s="261" t="s">
        <v>10941</v>
      </c>
      <c r="B151" s="265" t="s">
        <v>25533</v>
      </c>
      <c r="C151" s="440">
        <v>76886.439899999998</v>
      </c>
      <c r="D151" s="440">
        <v>5.1257999999999999</v>
      </c>
      <c r="E151" s="440">
        <v>1.3835999999999999</v>
      </c>
      <c r="F151" s="440">
        <v>0</v>
      </c>
      <c r="G151" s="440">
        <v>5.1257999999999999</v>
      </c>
      <c r="H151" s="440">
        <v>15.2521</v>
      </c>
      <c r="I151" s="440">
        <v>0</v>
      </c>
      <c r="J151" s="440">
        <v>26.8873</v>
      </c>
      <c r="K151" s="440">
        <v>6.5094000000000003</v>
      </c>
    </row>
    <row r="152" spans="1:11">
      <c r="A152" s="261" t="s">
        <v>10942</v>
      </c>
      <c r="B152" s="265" t="s">
        <v>25534</v>
      </c>
      <c r="C152" s="440">
        <v>31098.7075</v>
      </c>
      <c r="D152" s="440">
        <v>2.4878999999999998</v>
      </c>
      <c r="E152" s="440">
        <v>0.5756</v>
      </c>
      <c r="F152" s="440">
        <v>0</v>
      </c>
      <c r="G152" s="440">
        <v>2.4878999999999998</v>
      </c>
      <c r="H152" s="440">
        <v>0</v>
      </c>
      <c r="I152" s="440">
        <v>0</v>
      </c>
      <c r="J152" s="440">
        <v>5.5514000000000001</v>
      </c>
      <c r="K152" s="440">
        <v>3.0634999999999999</v>
      </c>
    </row>
    <row r="153" spans="1:11" ht="31.5">
      <c r="A153" s="261" t="s">
        <v>10943</v>
      </c>
      <c r="B153" s="265" t="s">
        <v>25535</v>
      </c>
      <c r="C153" s="440">
        <v>4820.3172000000004</v>
      </c>
      <c r="D153" s="440">
        <v>0.43380000000000002</v>
      </c>
      <c r="E153" s="440">
        <v>8.9200000000000002E-2</v>
      </c>
      <c r="F153" s="440">
        <v>0</v>
      </c>
      <c r="G153" s="440">
        <v>0.24099999999999999</v>
      </c>
      <c r="H153" s="440">
        <v>0</v>
      </c>
      <c r="I153" s="440">
        <v>0</v>
      </c>
      <c r="J153" s="440">
        <v>0.76400000000000001</v>
      </c>
      <c r="K153" s="440">
        <v>0.52300000000000002</v>
      </c>
    </row>
    <row r="154" spans="1:11">
      <c r="A154" s="261" t="s">
        <v>10944</v>
      </c>
      <c r="B154" s="265" t="s">
        <v>25536</v>
      </c>
      <c r="C154" s="440">
        <v>77631.747199999998</v>
      </c>
      <c r="D154" s="440">
        <v>3.1053000000000002</v>
      </c>
      <c r="E154" s="440">
        <v>1.3171999999999999</v>
      </c>
      <c r="F154" s="440">
        <v>0</v>
      </c>
      <c r="G154" s="440">
        <v>2.7170999999999998</v>
      </c>
      <c r="H154" s="440">
        <v>0</v>
      </c>
      <c r="I154" s="440">
        <v>0</v>
      </c>
      <c r="J154" s="440">
        <v>7.1395999999999997</v>
      </c>
      <c r="K154" s="440">
        <v>4.4225000000000003</v>
      </c>
    </row>
    <row r="155" spans="1:11" ht="31.5">
      <c r="A155" s="261" t="s">
        <v>10945</v>
      </c>
      <c r="B155" s="265" t="s">
        <v>25537</v>
      </c>
      <c r="C155" s="440">
        <v>15619.538399999999</v>
      </c>
      <c r="D155" s="440">
        <v>0.62480000000000002</v>
      </c>
      <c r="E155" s="440">
        <v>0.26500000000000001</v>
      </c>
      <c r="F155" s="440">
        <v>0</v>
      </c>
      <c r="G155" s="440">
        <v>0.54669999999999996</v>
      </c>
      <c r="H155" s="440">
        <v>0</v>
      </c>
      <c r="I155" s="440">
        <v>0</v>
      </c>
      <c r="J155" s="440">
        <v>1.4365000000000001</v>
      </c>
      <c r="K155" s="440">
        <v>0.88980000000000004</v>
      </c>
    </row>
    <row r="156" spans="1:11">
      <c r="A156" s="261" t="s">
        <v>10946</v>
      </c>
      <c r="B156" s="265" t="s">
        <v>25538</v>
      </c>
      <c r="C156" s="440">
        <v>21868.933199999999</v>
      </c>
      <c r="D156" s="440">
        <v>1.7495000000000001</v>
      </c>
      <c r="E156" s="440">
        <v>0.40479999999999999</v>
      </c>
      <c r="F156" s="440">
        <v>0</v>
      </c>
      <c r="G156" s="440">
        <v>1.7495000000000001</v>
      </c>
      <c r="H156" s="440">
        <v>0</v>
      </c>
      <c r="I156" s="440">
        <v>0</v>
      </c>
      <c r="J156" s="440">
        <v>3.9037999999999999</v>
      </c>
      <c r="K156" s="440">
        <v>2.1543000000000001</v>
      </c>
    </row>
    <row r="157" spans="1:11" ht="31.5">
      <c r="A157" s="261" t="s">
        <v>10947</v>
      </c>
      <c r="B157" s="265" t="s">
        <v>25539</v>
      </c>
      <c r="C157" s="440">
        <v>61333.486499999999</v>
      </c>
      <c r="D157" s="440">
        <v>3.5047999999999999</v>
      </c>
      <c r="E157" s="440">
        <v>1.0811999999999999</v>
      </c>
      <c r="F157" s="440">
        <v>0</v>
      </c>
      <c r="G157" s="440">
        <v>3.5047999999999999</v>
      </c>
      <c r="H157" s="440">
        <v>0</v>
      </c>
      <c r="I157" s="440">
        <v>27.6023</v>
      </c>
      <c r="J157" s="440">
        <v>35.693100000000001</v>
      </c>
      <c r="K157" s="440">
        <v>32.188299999999998</v>
      </c>
    </row>
    <row r="158" spans="1:11" ht="31.5">
      <c r="A158" s="261" t="s">
        <v>10948</v>
      </c>
      <c r="B158" s="265" t="s">
        <v>25540</v>
      </c>
      <c r="C158" s="440">
        <v>440878.69089999999</v>
      </c>
      <c r="D158" s="440">
        <v>39.679099999999998</v>
      </c>
      <c r="E158" s="440">
        <v>8.1607000000000003</v>
      </c>
      <c r="F158" s="440">
        <v>0</v>
      </c>
      <c r="G158" s="440">
        <v>26.4527</v>
      </c>
      <c r="H158" s="440">
        <v>0</v>
      </c>
      <c r="I158" s="440">
        <v>0</v>
      </c>
      <c r="J158" s="440">
        <v>74.292500000000004</v>
      </c>
      <c r="K158" s="440">
        <v>47.839799999999997</v>
      </c>
    </row>
    <row r="159" spans="1:11">
      <c r="A159" s="261" t="s">
        <v>10949</v>
      </c>
      <c r="B159" s="265" t="s">
        <v>25541</v>
      </c>
      <c r="C159" s="440">
        <v>976625.53610000003</v>
      </c>
      <c r="D159" s="440">
        <v>55.807200000000002</v>
      </c>
      <c r="E159" s="440">
        <v>17.2165</v>
      </c>
      <c r="F159" s="440">
        <v>0</v>
      </c>
      <c r="G159" s="440">
        <v>41.855400000000003</v>
      </c>
      <c r="H159" s="440">
        <v>85.781199999999998</v>
      </c>
      <c r="I159" s="440">
        <v>32.087499999999999</v>
      </c>
      <c r="J159" s="440">
        <v>232.74780000000001</v>
      </c>
      <c r="K159" s="440">
        <v>105.1112</v>
      </c>
    </row>
    <row r="160" spans="1:11">
      <c r="A160" s="261" t="s">
        <v>10950</v>
      </c>
      <c r="B160" s="265" t="s">
        <v>25542</v>
      </c>
      <c r="C160" s="440">
        <v>1312363.8287</v>
      </c>
      <c r="D160" s="440">
        <v>52.494599999999998</v>
      </c>
      <c r="E160" s="440">
        <v>22.267499999999998</v>
      </c>
      <c r="F160" s="440">
        <v>0</v>
      </c>
      <c r="G160" s="440">
        <v>45.932699999999997</v>
      </c>
      <c r="H160" s="440">
        <v>0</v>
      </c>
      <c r="I160" s="440">
        <v>27.6023</v>
      </c>
      <c r="J160" s="440">
        <v>148.2971</v>
      </c>
      <c r="K160" s="440">
        <v>102.3644</v>
      </c>
    </row>
    <row r="161" spans="1:11" ht="31.5">
      <c r="A161" s="261" t="s">
        <v>10951</v>
      </c>
      <c r="B161" s="265" t="s">
        <v>25543</v>
      </c>
      <c r="C161" s="440">
        <v>829038.68579999998</v>
      </c>
      <c r="D161" s="440">
        <v>33.161499999999997</v>
      </c>
      <c r="E161" s="440">
        <v>14.066700000000001</v>
      </c>
      <c r="F161" s="440">
        <v>0</v>
      </c>
      <c r="G161" s="440">
        <v>29.016400000000001</v>
      </c>
      <c r="H161" s="440">
        <v>0</v>
      </c>
      <c r="I161" s="440">
        <v>27.6023</v>
      </c>
      <c r="J161" s="440">
        <v>103.84690000000001</v>
      </c>
      <c r="K161" s="440">
        <v>74.830500000000001</v>
      </c>
    </row>
    <row r="162" spans="1:11" ht="31.5">
      <c r="A162" s="261" t="s">
        <v>10952</v>
      </c>
      <c r="B162" s="265" t="s">
        <v>25544</v>
      </c>
      <c r="C162" s="440">
        <v>87376.467099999994</v>
      </c>
      <c r="D162" s="440">
        <v>13.1065</v>
      </c>
      <c r="E162" s="440">
        <v>1.7969999999999999</v>
      </c>
      <c r="F162" s="440">
        <v>0</v>
      </c>
      <c r="G162" s="440">
        <v>8.7376000000000005</v>
      </c>
      <c r="H162" s="440">
        <v>0</v>
      </c>
      <c r="I162" s="440">
        <v>0</v>
      </c>
      <c r="J162" s="440">
        <v>23.641100000000002</v>
      </c>
      <c r="K162" s="440">
        <v>14.903499999999999</v>
      </c>
    </row>
    <row r="163" spans="1:11" ht="31.5">
      <c r="A163" s="261" t="s">
        <v>10953</v>
      </c>
      <c r="B163" s="265" t="s">
        <v>25545</v>
      </c>
      <c r="C163" s="440">
        <v>12447.5052</v>
      </c>
      <c r="D163" s="440">
        <v>1.1203000000000001</v>
      </c>
      <c r="E163" s="440">
        <v>0.23039999999999999</v>
      </c>
      <c r="F163" s="440">
        <v>0</v>
      </c>
      <c r="G163" s="440">
        <v>0.74690000000000001</v>
      </c>
      <c r="H163" s="440">
        <v>0</v>
      </c>
      <c r="I163" s="440">
        <v>0</v>
      </c>
      <c r="J163" s="440">
        <v>2.0975999999999999</v>
      </c>
      <c r="K163" s="440">
        <v>1.3507</v>
      </c>
    </row>
    <row r="164" spans="1:11">
      <c r="A164" s="261" t="s">
        <v>10954</v>
      </c>
      <c r="B164" s="265" t="s">
        <v>25546</v>
      </c>
      <c r="C164" s="440">
        <v>1790152.3644999999</v>
      </c>
      <c r="D164" s="440">
        <v>125.3107</v>
      </c>
      <c r="E164" s="440">
        <v>33.1357</v>
      </c>
      <c r="F164" s="440">
        <v>0</v>
      </c>
      <c r="G164" s="440">
        <v>125.3107</v>
      </c>
      <c r="H164" s="440">
        <v>86.501999999999995</v>
      </c>
      <c r="I164" s="440">
        <v>32.087499999999999</v>
      </c>
      <c r="J164" s="440">
        <v>402.34660000000002</v>
      </c>
      <c r="K164" s="440">
        <v>190.53389999999999</v>
      </c>
    </row>
    <row r="165" spans="1:11">
      <c r="A165" s="261" t="s">
        <v>10955</v>
      </c>
      <c r="B165" s="265" t="s">
        <v>25547</v>
      </c>
      <c r="C165" s="440">
        <v>73932.322899999999</v>
      </c>
      <c r="D165" s="440">
        <v>4.4359000000000002</v>
      </c>
      <c r="E165" s="440">
        <v>1.3685</v>
      </c>
      <c r="F165" s="440">
        <v>0.55449999999999999</v>
      </c>
      <c r="G165" s="440">
        <v>4.4359000000000002</v>
      </c>
      <c r="H165" s="440">
        <v>20.545300000000001</v>
      </c>
      <c r="I165" s="440">
        <v>27.0077</v>
      </c>
      <c r="J165" s="440">
        <v>58.347799999999999</v>
      </c>
      <c r="K165" s="440">
        <v>33.366599999999998</v>
      </c>
    </row>
    <row r="166" spans="1:11">
      <c r="A166" s="261" t="s">
        <v>10956</v>
      </c>
      <c r="B166" s="265" t="s">
        <v>25548</v>
      </c>
      <c r="C166" s="440">
        <v>289687.21860000002</v>
      </c>
      <c r="D166" s="440">
        <v>19.3125</v>
      </c>
      <c r="E166" s="440">
        <v>5.2131999999999996</v>
      </c>
      <c r="F166" s="440">
        <v>0</v>
      </c>
      <c r="G166" s="440">
        <v>19.3125</v>
      </c>
      <c r="H166" s="440">
        <v>76.354699999999994</v>
      </c>
      <c r="I166" s="440">
        <v>0</v>
      </c>
      <c r="J166" s="440">
        <v>120.19289999999999</v>
      </c>
      <c r="K166" s="440">
        <v>24.525700000000001</v>
      </c>
    </row>
    <row r="167" spans="1:11">
      <c r="A167" s="261" t="s">
        <v>10957</v>
      </c>
      <c r="B167" s="265" t="s">
        <v>25549</v>
      </c>
      <c r="C167" s="440">
        <v>835100.36719999998</v>
      </c>
      <c r="D167" s="440">
        <v>47.72</v>
      </c>
      <c r="E167" s="440">
        <v>14.7216</v>
      </c>
      <c r="F167" s="440">
        <v>0</v>
      </c>
      <c r="G167" s="440">
        <v>41.755000000000003</v>
      </c>
      <c r="H167" s="440">
        <v>136.9615</v>
      </c>
      <c r="I167" s="440">
        <v>32.087499999999999</v>
      </c>
      <c r="J167" s="440">
        <v>273.24560000000002</v>
      </c>
      <c r="K167" s="440">
        <v>94.5291</v>
      </c>
    </row>
    <row r="168" spans="1:11" ht="31.5">
      <c r="A168" s="261" t="s">
        <v>10958</v>
      </c>
      <c r="B168" s="265" t="s">
        <v>25550</v>
      </c>
      <c r="C168" s="440">
        <v>1340108.3396999999</v>
      </c>
      <c r="D168" s="440">
        <v>93.807599999999994</v>
      </c>
      <c r="E168" s="440">
        <v>24.805399999999999</v>
      </c>
      <c r="F168" s="440">
        <v>0</v>
      </c>
      <c r="G168" s="440">
        <v>93.807599999999994</v>
      </c>
      <c r="H168" s="440">
        <v>85.060299999999998</v>
      </c>
      <c r="I168" s="440">
        <v>32.087499999999999</v>
      </c>
      <c r="J168" s="440">
        <v>329.5684</v>
      </c>
      <c r="K168" s="440">
        <v>150.70050000000001</v>
      </c>
    </row>
    <row r="169" spans="1:11">
      <c r="A169" s="261" t="s">
        <v>10959</v>
      </c>
      <c r="B169" s="265" t="s">
        <v>25551</v>
      </c>
      <c r="C169" s="440">
        <v>4874117.4071000004</v>
      </c>
      <c r="D169" s="440">
        <v>324.94119999999998</v>
      </c>
      <c r="E169" s="440">
        <v>87.713800000000006</v>
      </c>
      <c r="F169" s="440">
        <v>0</v>
      </c>
      <c r="G169" s="440">
        <v>324.94119999999998</v>
      </c>
      <c r="H169" s="440">
        <v>156.92349999999999</v>
      </c>
      <c r="I169" s="440">
        <v>32.087499999999999</v>
      </c>
      <c r="J169" s="440">
        <v>926.60720000000003</v>
      </c>
      <c r="K169" s="440">
        <v>444.74250000000001</v>
      </c>
    </row>
    <row r="170" spans="1:11">
      <c r="A170" s="261" t="s">
        <v>10960</v>
      </c>
      <c r="B170" s="265" t="s">
        <v>25552</v>
      </c>
      <c r="C170" s="440">
        <v>40601.379800000002</v>
      </c>
      <c r="D170" s="440">
        <v>2.6101000000000001</v>
      </c>
      <c r="E170" s="440">
        <v>0.7157</v>
      </c>
      <c r="F170" s="440">
        <v>0</v>
      </c>
      <c r="G170" s="440">
        <v>1.45</v>
      </c>
      <c r="H170" s="440">
        <v>0</v>
      </c>
      <c r="I170" s="440">
        <v>0</v>
      </c>
      <c r="J170" s="440">
        <v>4.7758000000000003</v>
      </c>
      <c r="K170" s="440">
        <v>3.3258000000000001</v>
      </c>
    </row>
    <row r="171" spans="1:11">
      <c r="A171" s="261" t="s">
        <v>10961</v>
      </c>
      <c r="B171" s="265" t="s">
        <v>25553</v>
      </c>
      <c r="C171" s="440">
        <v>36075.623</v>
      </c>
      <c r="D171" s="440">
        <v>2.8860000000000001</v>
      </c>
      <c r="E171" s="440">
        <v>0.66779999999999995</v>
      </c>
      <c r="F171" s="440">
        <v>0</v>
      </c>
      <c r="G171" s="440">
        <v>2.1644999999999999</v>
      </c>
      <c r="H171" s="440">
        <v>15.075200000000001</v>
      </c>
      <c r="I171" s="440">
        <v>27.6023</v>
      </c>
      <c r="J171" s="440">
        <v>48.395800000000001</v>
      </c>
      <c r="K171" s="440">
        <v>31.156099999999999</v>
      </c>
    </row>
    <row r="172" spans="1:11">
      <c r="A172" s="261" t="s">
        <v>10962</v>
      </c>
      <c r="B172" s="265" t="s">
        <v>25554</v>
      </c>
      <c r="C172" s="440">
        <v>3866.99</v>
      </c>
      <c r="D172" s="440">
        <v>0.1933</v>
      </c>
      <c r="E172" s="440">
        <v>6.8199999999999997E-2</v>
      </c>
      <c r="F172" s="440">
        <v>0</v>
      </c>
      <c r="G172" s="440">
        <v>0.1381</v>
      </c>
      <c r="H172" s="440">
        <v>3.5836000000000001</v>
      </c>
      <c r="I172" s="440">
        <v>0</v>
      </c>
      <c r="J172" s="440">
        <v>3.9832000000000001</v>
      </c>
      <c r="K172" s="440">
        <v>0.26150000000000001</v>
      </c>
    </row>
    <row r="173" spans="1:11">
      <c r="A173" s="261" t="s">
        <v>10963</v>
      </c>
      <c r="B173" s="265" t="s">
        <v>25555</v>
      </c>
      <c r="C173" s="440">
        <v>164931.87520000001</v>
      </c>
      <c r="D173" s="440">
        <v>10.6028</v>
      </c>
      <c r="E173" s="440">
        <v>2.9075000000000002</v>
      </c>
      <c r="F173" s="440">
        <v>0</v>
      </c>
      <c r="G173" s="440">
        <v>3.5343</v>
      </c>
      <c r="H173" s="440">
        <v>5.0460000000000003</v>
      </c>
      <c r="I173" s="440">
        <v>0</v>
      </c>
      <c r="J173" s="440">
        <v>22.090599999999998</v>
      </c>
      <c r="K173" s="440">
        <v>13.510300000000001</v>
      </c>
    </row>
    <row r="174" spans="1:11">
      <c r="A174" s="261" t="s">
        <v>10964</v>
      </c>
      <c r="B174" s="265" t="s">
        <v>25556</v>
      </c>
      <c r="C174" s="440">
        <v>5807918.6085000001</v>
      </c>
      <c r="D174" s="440">
        <v>273.31380000000001</v>
      </c>
      <c r="E174" s="440">
        <v>100.1268</v>
      </c>
      <c r="F174" s="440">
        <v>0</v>
      </c>
      <c r="G174" s="440">
        <v>307.47800000000001</v>
      </c>
      <c r="H174" s="440">
        <v>269.7088</v>
      </c>
      <c r="I174" s="440">
        <v>32.087499999999999</v>
      </c>
      <c r="J174" s="440">
        <v>982.71489999999994</v>
      </c>
      <c r="K174" s="440">
        <v>405.52809999999999</v>
      </c>
    </row>
    <row r="175" spans="1:11">
      <c r="A175" s="261" t="s">
        <v>10965</v>
      </c>
      <c r="B175" s="265" t="s">
        <v>25557</v>
      </c>
      <c r="C175" s="440">
        <v>1176719.6000000001</v>
      </c>
      <c r="D175" s="440">
        <v>58.835999999999999</v>
      </c>
      <c r="E175" s="440">
        <v>20.7439</v>
      </c>
      <c r="F175" s="440">
        <v>0</v>
      </c>
      <c r="G175" s="440">
        <v>75.646299999999997</v>
      </c>
      <c r="H175" s="440">
        <v>77.352800000000002</v>
      </c>
      <c r="I175" s="440">
        <v>32.087499999999999</v>
      </c>
      <c r="J175" s="440">
        <v>264.66649999999998</v>
      </c>
      <c r="K175" s="440">
        <v>111.6674</v>
      </c>
    </row>
    <row r="176" spans="1:11">
      <c r="A176" s="261" t="s">
        <v>10966</v>
      </c>
      <c r="B176" s="265" t="s">
        <v>25558</v>
      </c>
      <c r="C176" s="440">
        <v>3033700.3714000001</v>
      </c>
      <c r="D176" s="440">
        <v>121.348</v>
      </c>
      <c r="E176" s="440">
        <v>51.474299999999999</v>
      </c>
      <c r="F176" s="440">
        <v>0</v>
      </c>
      <c r="G176" s="440">
        <v>75.842500000000001</v>
      </c>
      <c r="H176" s="440">
        <v>0</v>
      </c>
      <c r="I176" s="440">
        <v>55.204599999999999</v>
      </c>
      <c r="J176" s="440">
        <v>303.86939999999998</v>
      </c>
      <c r="K176" s="440">
        <v>228.02690000000001</v>
      </c>
    </row>
    <row r="177" spans="1:11">
      <c r="A177" s="261" t="s">
        <v>10967</v>
      </c>
      <c r="B177" s="265" t="s">
        <v>25559</v>
      </c>
      <c r="C177" s="440">
        <v>509996.42180000001</v>
      </c>
      <c r="D177" s="440">
        <v>35.6997</v>
      </c>
      <c r="E177" s="440">
        <v>9.44</v>
      </c>
      <c r="F177" s="440">
        <v>0</v>
      </c>
      <c r="G177" s="440">
        <v>35.6997</v>
      </c>
      <c r="H177" s="440">
        <v>41.8093</v>
      </c>
      <c r="I177" s="440">
        <v>32.087499999999999</v>
      </c>
      <c r="J177" s="440">
        <v>154.7362</v>
      </c>
      <c r="K177" s="440">
        <v>77.227199999999996</v>
      </c>
    </row>
    <row r="178" spans="1:11" ht="31.5">
      <c r="A178" s="261" t="s">
        <v>10968</v>
      </c>
      <c r="B178" s="265" t="s">
        <v>25560</v>
      </c>
      <c r="C178" s="440">
        <v>18212.5782</v>
      </c>
      <c r="D178" s="440">
        <v>1.4570000000000001</v>
      </c>
      <c r="E178" s="440">
        <v>0.33710000000000001</v>
      </c>
      <c r="F178" s="440">
        <v>0</v>
      </c>
      <c r="G178" s="440">
        <v>1.4570000000000001</v>
      </c>
      <c r="H178" s="440">
        <v>0</v>
      </c>
      <c r="I178" s="440">
        <v>27.6023</v>
      </c>
      <c r="J178" s="440">
        <v>30.853400000000001</v>
      </c>
      <c r="K178" s="440">
        <v>29.3964</v>
      </c>
    </row>
    <row r="179" spans="1:11">
      <c r="A179" s="261" t="s">
        <v>10969</v>
      </c>
      <c r="B179" s="265" t="s">
        <v>25561</v>
      </c>
      <c r="C179" s="440">
        <v>493418.4804</v>
      </c>
      <c r="D179" s="440">
        <v>39.473500000000001</v>
      </c>
      <c r="E179" s="440">
        <v>9.1332000000000004</v>
      </c>
      <c r="F179" s="440">
        <v>0</v>
      </c>
      <c r="G179" s="440">
        <v>34.539299999999997</v>
      </c>
      <c r="H179" s="440">
        <v>49.905000000000001</v>
      </c>
      <c r="I179" s="440">
        <v>27.6023</v>
      </c>
      <c r="J179" s="440">
        <v>160.6533</v>
      </c>
      <c r="K179" s="440">
        <v>76.209000000000003</v>
      </c>
    </row>
    <row r="180" spans="1:11" ht="31.5">
      <c r="A180" s="261" t="s">
        <v>10970</v>
      </c>
      <c r="B180" s="265" t="s">
        <v>25562</v>
      </c>
      <c r="C180" s="440">
        <v>3878662.9849</v>
      </c>
      <c r="D180" s="440">
        <v>258.57749999999999</v>
      </c>
      <c r="E180" s="440">
        <v>69.799800000000005</v>
      </c>
      <c r="F180" s="440">
        <v>0</v>
      </c>
      <c r="G180" s="440">
        <v>193.9331</v>
      </c>
      <c r="H180" s="440">
        <v>0</v>
      </c>
      <c r="I180" s="440">
        <v>27.6023</v>
      </c>
      <c r="J180" s="440">
        <v>549.91269999999997</v>
      </c>
      <c r="K180" s="440">
        <v>355.9796</v>
      </c>
    </row>
    <row r="181" spans="1:11" ht="31.5">
      <c r="A181" s="261" t="s">
        <v>10971</v>
      </c>
      <c r="B181" s="265" t="s">
        <v>25563</v>
      </c>
      <c r="C181" s="440">
        <v>536844.27520000003</v>
      </c>
      <c r="D181" s="440">
        <v>35.7896</v>
      </c>
      <c r="E181" s="440">
        <v>9.6609999999999996</v>
      </c>
      <c r="F181" s="440">
        <v>0</v>
      </c>
      <c r="G181" s="440">
        <v>35.7896</v>
      </c>
      <c r="H181" s="440">
        <v>86.058400000000006</v>
      </c>
      <c r="I181" s="440">
        <v>32.087499999999999</v>
      </c>
      <c r="J181" s="440">
        <v>199.3861</v>
      </c>
      <c r="K181" s="440">
        <v>77.5381</v>
      </c>
    </row>
    <row r="182" spans="1:11">
      <c r="A182" s="261" t="s">
        <v>10972</v>
      </c>
      <c r="B182" s="265" t="s">
        <v>25564</v>
      </c>
      <c r="C182" s="440">
        <v>67229.939700000003</v>
      </c>
      <c r="D182" s="440">
        <v>5.3784000000000001</v>
      </c>
      <c r="E182" s="440">
        <v>1.2444</v>
      </c>
      <c r="F182" s="440">
        <v>0</v>
      </c>
      <c r="G182" s="440">
        <v>5.3784000000000001</v>
      </c>
      <c r="H182" s="440">
        <v>0</v>
      </c>
      <c r="I182" s="440">
        <v>0</v>
      </c>
      <c r="J182" s="440">
        <v>12.001200000000001</v>
      </c>
      <c r="K182" s="440">
        <v>6.6227999999999998</v>
      </c>
    </row>
    <row r="183" spans="1:11">
      <c r="A183" s="261" t="s">
        <v>10973</v>
      </c>
      <c r="B183" s="265" t="s">
        <v>25565</v>
      </c>
      <c r="C183" s="440">
        <v>6818.2402000000002</v>
      </c>
      <c r="D183" s="440">
        <v>0.61360000000000003</v>
      </c>
      <c r="E183" s="440">
        <v>0.12620000000000001</v>
      </c>
      <c r="F183" s="440">
        <v>0</v>
      </c>
      <c r="G183" s="440">
        <v>0.34089999999999998</v>
      </c>
      <c r="H183" s="440">
        <v>0</v>
      </c>
      <c r="I183" s="440">
        <v>27.6023</v>
      </c>
      <c r="J183" s="440">
        <v>28.683</v>
      </c>
      <c r="K183" s="440">
        <v>28.342099999999999</v>
      </c>
    </row>
    <row r="184" spans="1:11">
      <c r="A184" s="261" t="s">
        <v>10974</v>
      </c>
      <c r="B184" s="265" t="s">
        <v>25566</v>
      </c>
      <c r="C184" s="440">
        <v>114867.2055</v>
      </c>
      <c r="D184" s="440">
        <v>1.7948</v>
      </c>
      <c r="E184" s="440">
        <v>0.67669999999999997</v>
      </c>
      <c r="F184" s="440">
        <v>0</v>
      </c>
      <c r="G184" s="440">
        <v>1.9942</v>
      </c>
      <c r="H184" s="440">
        <v>51.686399999999999</v>
      </c>
      <c r="I184" s="440">
        <v>35.058399999999999</v>
      </c>
      <c r="J184" s="440">
        <v>91.210499999999996</v>
      </c>
      <c r="K184" s="440">
        <v>37.529899999999998</v>
      </c>
    </row>
    <row r="185" spans="1:11" ht="31.5">
      <c r="A185" s="261" t="s">
        <v>10975</v>
      </c>
      <c r="B185" s="265" t="s">
        <v>25567</v>
      </c>
      <c r="C185" s="440">
        <v>16524.2255</v>
      </c>
      <c r="D185" s="440">
        <v>2.2031999999999998</v>
      </c>
      <c r="E185" s="440">
        <v>0.50980000000000003</v>
      </c>
      <c r="F185" s="440">
        <v>0</v>
      </c>
      <c r="G185" s="440">
        <v>1.6524000000000001</v>
      </c>
      <c r="H185" s="440">
        <v>0</v>
      </c>
      <c r="I185" s="440">
        <v>0</v>
      </c>
      <c r="J185" s="440">
        <v>4.3654000000000002</v>
      </c>
      <c r="K185" s="440">
        <v>2.7130000000000001</v>
      </c>
    </row>
    <row r="186" spans="1:11">
      <c r="A186" s="261" t="s">
        <v>10976</v>
      </c>
      <c r="B186" s="265" t="s">
        <v>25568</v>
      </c>
      <c r="C186" s="440">
        <v>97514.963199999998</v>
      </c>
      <c r="D186" s="440">
        <v>6.2687999999999997</v>
      </c>
      <c r="E186" s="440">
        <v>1.7190000000000001</v>
      </c>
      <c r="F186" s="440">
        <v>0</v>
      </c>
      <c r="G186" s="440">
        <v>3.4826999999999999</v>
      </c>
      <c r="H186" s="440">
        <v>0</v>
      </c>
      <c r="I186" s="440">
        <v>30.381599999999999</v>
      </c>
      <c r="J186" s="440">
        <v>41.8521</v>
      </c>
      <c r="K186" s="440">
        <v>38.369399999999999</v>
      </c>
    </row>
    <row r="187" spans="1:11">
      <c r="A187" s="261" t="s">
        <v>10977</v>
      </c>
      <c r="B187" s="265" t="s">
        <v>25569</v>
      </c>
      <c r="C187" s="440">
        <v>1033166.7902</v>
      </c>
      <c r="D187" s="440">
        <v>40.178699999999999</v>
      </c>
      <c r="E187" s="440">
        <v>17.7073</v>
      </c>
      <c r="F187" s="440">
        <v>0</v>
      </c>
      <c r="G187" s="440">
        <v>57.398200000000003</v>
      </c>
      <c r="H187" s="440">
        <v>98.590100000000007</v>
      </c>
      <c r="I187" s="440">
        <v>32.087499999999999</v>
      </c>
      <c r="J187" s="440">
        <v>245.96180000000001</v>
      </c>
      <c r="K187" s="440">
        <v>89.973500000000001</v>
      </c>
    </row>
    <row r="188" spans="1:11">
      <c r="A188" s="261" t="s">
        <v>10978</v>
      </c>
      <c r="B188" s="265" t="s">
        <v>25570</v>
      </c>
      <c r="C188" s="440">
        <v>4813316.9151999997</v>
      </c>
      <c r="D188" s="440">
        <v>187.18450000000001</v>
      </c>
      <c r="E188" s="440">
        <v>82.494900000000001</v>
      </c>
      <c r="F188" s="440">
        <v>0</v>
      </c>
      <c r="G188" s="440">
        <v>267.40649999999999</v>
      </c>
      <c r="H188" s="440">
        <v>201.0617</v>
      </c>
      <c r="I188" s="440">
        <v>32.087499999999999</v>
      </c>
      <c r="J188" s="440">
        <v>770.23509999999999</v>
      </c>
      <c r="K188" s="440">
        <v>301.76690000000002</v>
      </c>
    </row>
    <row r="189" spans="1:11" ht="31.5">
      <c r="A189" s="261" t="s">
        <v>10979</v>
      </c>
      <c r="B189" s="265" t="s">
        <v>25571</v>
      </c>
      <c r="C189" s="440">
        <v>50364.617899999997</v>
      </c>
      <c r="D189" s="440">
        <v>3.3576000000000001</v>
      </c>
      <c r="E189" s="440">
        <v>0.90639999999999998</v>
      </c>
      <c r="F189" s="440">
        <v>0</v>
      </c>
      <c r="G189" s="440">
        <v>3.3576000000000001</v>
      </c>
      <c r="H189" s="440">
        <v>0</v>
      </c>
      <c r="I189" s="440">
        <v>0</v>
      </c>
      <c r="J189" s="440">
        <v>7.6215999999999999</v>
      </c>
      <c r="K189" s="440">
        <v>4.2640000000000002</v>
      </c>
    </row>
    <row r="190" spans="1:11">
      <c r="A190" s="261" t="s">
        <v>10980</v>
      </c>
      <c r="B190" s="265" t="s">
        <v>25572</v>
      </c>
      <c r="C190" s="440">
        <v>63502.282899999998</v>
      </c>
      <c r="D190" s="440">
        <v>5.7152000000000003</v>
      </c>
      <c r="E190" s="440">
        <v>1.1754</v>
      </c>
      <c r="F190" s="440">
        <v>0</v>
      </c>
      <c r="G190" s="440">
        <v>3.8100999999999998</v>
      </c>
      <c r="H190" s="440">
        <v>0</v>
      </c>
      <c r="I190" s="440">
        <v>0</v>
      </c>
      <c r="J190" s="440">
        <v>10.700699999999999</v>
      </c>
      <c r="K190" s="440">
        <v>6.8906000000000001</v>
      </c>
    </row>
    <row r="191" spans="1:11">
      <c r="A191" s="261" t="s">
        <v>10981</v>
      </c>
      <c r="B191" s="265" t="s">
        <v>25573</v>
      </c>
      <c r="C191" s="440">
        <v>1792067.7253</v>
      </c>
      <c r="D191" s="440">
        <v>89.603399999999993</v>
      </c>
      <c r="E191" s="440">
        <v>31.5916</v>
      </c>
      <c r="F191" s="440">
        <v>0</v>
      </c>
      <c r="G191" s="440">
        <v>115.20440000000001</v>
      </c>
      <c r="H191" s="440">
        <v>86.391099999999994</v>
      </c>
      <c r="I191" s="440">
        <v>38.9756</v>
      </c>
      <c r="J191" s="440">
        <v>361.76609999999999</v>
      </c>
      <c r="K191" s="440">
        <v>160.17060000000001</v>
      </c>
    </row>
    <row r="192" spans="1:11">
      <c r="A192" s="261" t="s">
        <v>10982</v>
      </c>
      <c r="B192" s="265" t="s">
        <v>25574</v>
      </c>
      <c r="C192" s="440">
        <v>827.68060000000003</v>
      </c>
      <c r="D192" s="440">
        <v>6.6199999999999995E-2</v>
      </c>
      <c r="E192" s="440">
        <v>1.5299999999999999E-2</v>
      </c>
      <c r="F192" s="440">
        <v>0</v>
      </c>
      <c r="G192" s="440">
        <v>6.6199999999999995E-2</v>
      </c>
      <c r="H192" s="440">
        <v>0</v>
      </c>
      <c r="I192" s="440">
        <v>0</v>
      </c>
      <c r="J192" s="440">
        <v>0.1477</v>
      </c>
      <c r="K192" s="440">
        <v>8.1500000000000003E-2</v>
      </c>
    </row>
    <row r="193" spans="1:11">
      <c r="A193" s="261" t="s">
        <v>10983</v>
      </c>
      <c r="B193" s="265" t="s">
        <v>25575</v>
      </c>
      <c r="C193" s="440">
        <v>2439.5551</v>
      </c>
      <c r="D193" s="440">
        <v>0.19520000000000001</v>
      </c>
      <c r="E193" s="440">
        <v>4.5199999999999997E-2</v>
      </c>
      <c r="F193" s="440">
        <v>0</v>
      </c>
      <c r="G193" s="440">
        <v>0.17080000000000001</v>
      </c>
      <c r="H193" s="440">
        <v>0</v>
      </c>
      <c r="I193" s="440">
        <v>0</v>
      </c>
      <c r="J193" s="440">
        <v>0.41120000000000001</v>
      </c>
      <c r="K193" s="440">
        <v>0.2404</v>
      </c>
    </row>
    <row r="194" spans="1:11">
      <c r="A194" s="261" t="s">
        <v>10984</v>
      </c>
      <c r="B194" s="265" t="s">
        <v>25576</v>
      </c>
      <c r="C194" s="440">
        <v>5139.9413999999997</v>
      </c>
      <c r="D194" s="440">
        <v>0.46260000000000001</v>
      </c>
      <c r="E194" s="440">
        <v>9.5100000000000004E-2</v>
      </c>
      <c r="F194" s="440">
        <v>0</v>
      </c>
      <c r="G194" s="440">
        <v>0.25700000000000001</v>
      </c>
      <c r="H194" s="440">
        <v>0</v>
      </c>
      <c r="I194" s="440">
        <v>0</v>
      </c>
      <c r="J194" s="440">
        <v>0.81469999999999998</v>
      </c>
      <c r="K194" s="440">
        <v>0.55769999999999997</v>
      </c>
    </row>
    <row r="195" spans="1:11">
      <c r="A195" s="261" t="s">
        <v>10985</v>
      </c>
      <c r="B195" s="265" t="s">
        <v>25577</v>
      </c>
      <c r="C195" s="440">
        <v>12939.066500000001</v>
      </c>
      <c r="D195" s="440">
        <v>1.0350999999999999</v>
      </c>
      <c r="E195" s="440">
        <v>0.23949999999999999</v>
      </c>
      <c r="F195" s="440">
        <v>0</v>
      </c>
      <c r="G195" s="440">
        <v>0.64700000000000002</v>
      </c>
      <c r="H195" s="440">
        <v>0</v>
      </c>
      <c r="I195" s="440">
        <v>0</v>
      </c>
      <c r="J195" s="440">
        <v>1.9216</v>
      </c>
      <c r="K195" s="440">
        <v>1.2746</v>
      </c>
    </row>
    <row r="196" spans="1:11">
      <c r="A196" s="261" t="s">
        <v>10986</v>
      </c>
      <c r="B196" s="265" t="s">
        <v>25578</v>
      </c>
      <c r="C196" s="440">
        <v>28988.280900000002</v>
      </c>
      <c r="D196" s="440">
        <v>2.6089000000000002</v>
      </c>
      <c r="E196" s="440">
        <v>0.53659999999999997</v>
      </c>
      <c r="F196" s="440">
        <v>0</v>
      </c>
      <c r="G196" s="440">
        <v>1.4494</v>
      </c>
      <c r="H196" s="440">
        <v>0</v>
      </c>
      <c r="I196" s="440">
        <v>0</v>
      </c>
      <c r="J196" s="440">
        <v>4.5949</v>
      </c>
      <c r="K196" s="440">
        <v>3.1455000000000002</v>
      </c>
    </row>
    <row r="197" spans="1:11">
      <c r="A197" s="261" t="s">
        <v>10987</v>
      </c>
      <c r="B197" s="265" t="s">
        <v>25579</v>
      </c>
      <c r="C197" s="440">
        <v>10452.2304</v>
      </c>
      <c r="D197" s="440">
        <v>0.69679999999999997</v>
      </c>
      <c r="E197" s="440">
        <v>0.18809999999999999</v>
      </c>
      <c r="F197" s="440">
        <v>0</v>
      </c>
      <c r="G197" s="440">
        <v>0.69679999999999997</v>
      </c>
      <c r="H197" s="440">
        <v>4.5225999999999997</v>
      </c>
      <c r="I197" s="440">
        <v>0</v>
      </c>
      <c r="J197" s="440">
        <v>6.1043000000000003</v>
      </c>
      <c r="K197" s="440">
        <v>0.88490000000000002</v>
      </c>
    </row>
    <row r="198" spans="1:11">
      <c r="A198" s="261" t="s">
        <v>10988</v>
      </c>
      <c r="B198" s="265" t="s">
        <v>25580</v>
      </c>
      <c r="C198" s="440">
        <v>657320.89729999995</v>
      </c>
      <c r="D198" s="440">
        <v>27.388400000000001</v>
      </c>
      <c r="E198" s="440">
        <v>9.5054999999999996</v>
      </c>
      <c r="F198" s="440">
        <v>0</v>
      </c>
      <c r="G198" s="440">
        <v>17.117699999999999</v>
      </c>
      <c r="H198" s="440">
        <v>0</v>
      </c>
      <c r="I198" s="440">
        <v>0</v>
      </c>
      <c r="J198" s="440">
        <v>54.011600000000001</v>
      </c>
      <c r="K198" s="440">
        <v>36.893900000000002</v>
      </c>
    </row>
    <row r="199" spans="1:11">
      <c r="A199" s="261" t="s">
        <v>10989</v>
      </c>
      <c r="B199" s="265" t="s">
        <v>25581</v>
      </c>
      <c r="C199" s="440">
        <v>680959.40780000004</v>
      </c>
      <c r="D199" s="440">
        <v>30.6432</v>
      </c>
      <c r="E199" s="440">
        <v>9.4534000000000002</v>
      </c>
      <c r="F199" s="440">
        <v>0</v>
      </c>
      <c r="G199" s="440">
        <v>20.428799999999999</v>
      </c>
      <c r="H199" s="440">
        <v>9.9809999999999999</v>
      </c>
      <c r="I199" s="440">
        <v>0</v>
      </c>
      <c r="J199" s="440">
        <v>70.506399999999999</v>
      </c>
      <c r="K199" s="440">
        <v>40.096600000000002</v>
      </c>
    </row>
    <row r="200" spans="1:11">
      <c r="A200" s="261" t="s">
        <v>10990</v>
      </c>
      <c r="B200" s="265" t="s">
        <v>25582</v>
      </c>
      <c r="C200" s="440">
        <v>832415.40090000001</v>
      </c>
      <c r="D200" s="440">
        <v>35.674900000000001</v>
      </c>
      <c r="E200" s="440">
        <v>14.674300000000001</v>
      </c>
      <c r="F200" s="440">
        <v>5.9458000000000002</v>
      </c>
      <c r="G200" s="440">
        <v>53.5124</v>
      </c>
      <c r="H200" s="440">
        <v>184.37129999999999</v>
      </c>
      <c r="I200" s="440">
        <v>31.651</v>
      </c>
      <c r="J200" s="440">
        <v>325.8297</v>
      </c>
      <c r="K200" s="440">
        <v>87.945999999999998</v>
      </c>
    </row>
    <row r="201" spans="1:11">
      <c r="A201" s="261" t="s">
        <v>10991</v>
      </c>
      <c r="B201" s="265" t="s">
        <v>25583</v>
      </c>
      <c r="C201" s="440">
        <v>28017.372200000002</v>
      </c>
      <c r="D201" s="440">
        <v>2.2414000000000001</v>
      </c>
      <c r="E201" s="440">
        <v>0.51859999999999995</v>
      </c>
      <c r="F201" s="440">
        <v>0</v>
      </c>
      <c r="G201" s="440">
        <v>1.4009</v>
      </c>
      <c r="H201" s="440">
        <v>0</v>
      </c>
      <c r="I201" s="440">
        <v>0</v>
      </c>
      <c r="J201" s="440">
        <v>4.1608999999999998</v>
      </c>
      <c r="K201" s="440">
        <v>2.76</v>
      </c>
    </row>
    <row r="202" spans="1:11">
      <c r="A202" s="261" t="s">
        <v>10992</v>
      </c>
      <c r="B202" s="265" t="s">
        <v>25584</v>
      </c>
      <c r="C202" s="440">
        <v>60180.424800000001</v>
      </c>
      <c r="D202" s="440">
        <v>4.8144</v>
      </c>
      <c r="E202" s="440">
        <v>1.1138999999999999</v>
      </c>
      <c r="F202" s="440">
        <v>0</v>
      </c>
      <c r="G202" s="440">
        <v>3.0089999999999999</v>
      </c>
      <c r="H202" s="440">
        <v>0</v>
      </c>
      <c r="I202" s="440">
        <v>0</v>
      </c>
      <c r="J202" s="440">
        <v>8.9373000000000005</v>
      </c>
      <c r="K202" s="440">
        <v>5.9283000000000001</v>
      </c>
    </row>
    <row r="203" spans="1:11">
      <c r="A203" s="261" t="s">
        <v>10993</v>
      </c>
      <c r="B203" s="265" t="s">
        <v>25585</v>
      </c>
      <c r="C203" s="440">
        <v>2892786.0833000001</v>
      </c>
      <c r="D203" s="440">
        <v>192.85239999999999</v>
      </c>
      <c r="E203" s="440">
        <v>52.058100000000003</v>
      </c>
      <c r="F203" s="440">
        <v>0</v>
      </c>
      <c r="G203" s="440">
        <v>192.85239999999999</v>
      </c>
      <c r="H203" s="440">
        <v>121.99</v>
      </c>
      <c r="I203" s="440">
        <v>32.087499999999999</v>
      </c>
      <c r="J203" s="440">
        <v>591.84040000000005</v>
      </c>
      <c r="K203" s="440">
        <v>276.99799999999999</v>
      </c>
    </row>
    <row r="204" spans="1:11">
      <c r="A204" s="261" t="s">
        <v>10994</v>
      </c>
      <c r="B204" s="265" t="s">
        <v>25586</v>
      </c>
      <c r="C204" s="440">
        <v>4824103.4791999999</v>
      </c>
      <c r="D204" s="440">
        <v>187.60400000000001</v>
      </c>
      <c r="E204" s="440">
        <v>82.6798</v>
      </c>
      <c r="F204" s="440">
        <v>0</v>
      </c>
      <c r="G204" s="440">
        <v>268.00569999999999</v>
      </c>
      <c r="H204" s="440">
        <v>201.0617</v>
      </c>
      <c r="I204" s="440">
        <v>32.087499999999999</v>
      </c>
      <c r="J204" s="440">
        <v>771.43870000000004</v>
      </c>
      <c r="K204" s="440">
        <v>302.37130000000002</v>
      </c>
    </row>
    <row r="205" spans="1:11">
      <c r="A205" s="261" t="s">
        <v>10995</v>
      </c>
      <c r="B205" s="265" t="s">
        <v>25587</v>
      </c>
      <c r="C205" s="440">
        <v>4086935.0029000002</v>
      </c>
      <c r="D205" s="440">
        <v>143.0427</v>
      </c>
      <c r="E205" s="440">
        <v>69.345100000000002</v>
      </c>
      <c r="F205" s="440">
        <v>0</v>
      </c>
      <c r="G205" s="440">
        <v>204.3468</v>
      </c>
      <c r="H205" s="440">
        <v>60.994999999999997</v>
      </c>
      <c r="I205" s="440">
        <v>38.9756</v>
      </c>
      <c r="J205" s="440">
        <v>516.70519999999999</v>
      </c>
      <c r="K205" s="440">
        <v>251.36340000000001</v>
      </c>
    </row>
    <row r="206" spans="1:11">
      <c r="A206" s="261" t="s">
        <v>10996</v>
      </c>
      <c r="B206" s="265" t="s">
        <v>25588</v>
      </c>
      <c r="C206" s="440">
        <v>18604.965199999999</v>
      </c>
      <c r="D206" s="440">
        <v>1.4883999999999999</v>
      </c>
      <c r="E206" s="440">
        <v>0.34439999999999998</v>
      </c>
      <c r="F206" s="440">
        <v>0</v>
      </c>
      <c r="G206" s="440">
        <v>1.4883999999999999</v>
      </c>
      <c r="H206" s="440">
        <v>10.1004</v>
      </c>
      <c r="I206" s="440">
        <v>0</v>
      </c>
      <c r="J206" s="440">
        <v>13.4216</v>
      </c>
      <c r="K206" s="440">
        <v>1.8328</v>
      </c>
    </row>
    <row r="207" spans="1:11">
      <c r="A207" s="261" t="s">
        <v>10997</v>
      </c>
      <c r="B207" s="265" t="s">
        <v>25589</v>
      </c>
      <c r="C207" s="440">
        <v>1380.8995</v>
      </c>
      <c r="D207" s="440">
        <v>0.1105</v>
      </c>
      <c r="E207" s="440">
        <v>2.5600000000000001E-2</v>
      </c>
      <c r="F207" s="440">
        <v>0</v>
      </c>
      <c r="G207" s="440">
        <v>6.9000000000000006E-2</v>
      </c>
      <c r="H207" s="440">
        <v>0</v>
      </c>
      <c r="I207" s="440">
        <v>0</v>
      </c>
      <c r="J207" s="440">
        <v>0.2051</v>
      </c>
      <c r="K207" s="440">
        <v>0.1361</v>
      </c>
    </row>
    <row r="208" spans="1:11">
      <c r="A208" s="261" t="s">
        <v>10998</v>
      </c>
      <c r="B208" s="265" t="s">
        <v>25590</v>
      </c>
      <c r="C208" s="440">
        <v>6065084.9822000004</v>
      </c>
      <c r="D208" s="440">
        <v>73.707599999999999</v>
      </c>
      <c r="E208" s="440">
        <v>35.732399999999998</v>
      </c>
      <c r="F208" s="440">
        <v>0</v>
      </c>
      <c r="G208" s="440">
        <v>105.2966</v>
      </c>
      <c r="H208" s="440">
        <v>111.73180000000001</v>
      </c>
      <c r="I208" s="440">
        <v>77.9512</v>
      </c>
      <c r="J208" s="440">
        <v>404.4196</v>
      </c>
      <c r="K208" s="440">
        <v>187.3912</v>
      </c>
    </row>
    <row r="209" spans="1:11">
      <c r="A209" s="261" t="s">
        <v>10999</v>
      </c>
      <c r="B209" s="265" t="s">
        <v>25591</v>
      </c>
      <c r="C209" s="440">
        <v>6899.1469999999999</v>
      </c>
      <c r="D209" s="440">
        <v>0.39419999999999999</v>
      </c>
      <c r="E209" s="440">
        <v>0.1216</v>
      </c>
      <c r="F209" s="440">
        <v>0</v>
      </c>
      <c r="G209" s="440">
        <v>0.29570000000000002</v>
      </c>
      <c r="H209" s="440">
        <v>0</v>
      </c>
      <c r="I209" s="440">
        <v>0</v>
      </c>
      <c r="J209" s="440">
        <v>0.8115</v>
      </c>
      <c r="K209" s="440">
        <v>0.51580000000000004</v>
      </c>
    </row>
    <row r="210" spans="1:11">
      <c r="A210" s="261" t="s">
        <v>11000</v>
      </c>
      <c r="B210" s="265" t="s">
        <v>25592</v>
      </c>
      <c r="C210" s="440">
        <v>2046980.5898</v>
      </c>
      <c r="D210" s="440">
        <v>136.46539999999999</v>
      </c>
      <c r="E210" s="440">
        <v>36.8371</v>
      </c>
      <c r="F210" s="440">
        <v>0</v>
      </c>
      <c r="G210" s="440">
        <v>136.46539999999999</v>
      </c>
      <c r="H210" s="440">
        <v>120.60380000000001</v>
      </c>
      <c r="I210" s="440">
        <v>32.087499999999999</v>
      </c>
      <c r="J210" s="440">
        <v>462.45920000000001</v>
      </c>
      <c r="K210" s="440">
        <v>205.39</v>
      </c>
    </row>
    <row r="211" spans="1:11">
      <c r="A211" s="261" t="s">
        <v>11001</v>
      </c>
      <c r="B211" s="265" t="s">
        <v>25593</v>
      </c>
      <c r="C211" s="440">
        <v>1259877.1011999999</v>
      </c>
      <c r="D211" s="440">
        <v>88.191400000000002</v>
      </c>
      <c r="E211" s="440">
        <v>23.3203</v>
      </c>
      <c r="F211" s="440">
        <v>0</v>
      </c>
      <c r="G211" s="440">
        <v>88.191400000000002</v>
      </c>
      <c r="H211" s="440">
        <v>74.247600000000006</v>
      </c>
      <c r="I211" s="440">
        <v>32.087499999999999</v>
      </c>
      <c r="J211" s="440">
        <v>306.03820000000002</v>
      </c>
      <c r="K211" s="440">
        <v>143.5992</v>
      </c>
    </row>
    <row r="212" spans="1:11">
      <c r="A212" s="261" t="s">
        <v>11002</v>
      </c>
      <c r="B212" s="265" t="s">
        <v>25594</v>
      </c>
      <c r="C212" s="440">
        <v>161278.74179999999</v>
      </c>
      <c r="D212" s="440">
        <v>10.751899999999999</v>
      </c>
      <c r="E212" s="440">
        <v>2.9022999999999999</v>
      </c>
      <c r="F212" s="440">
        <v>0</v>
      </c>
      <c r="G212" s="440">
        <v>9.4078999999999997</v>
      </c>
      <c r="H212" s="440">
        <v>76.853700000000003</v>
      </c>
      <c r="I212" s="440">
        <v>27.6023</v>
      </c>
      <c r="J212" s="440">
        <v>127.5181</v>
      </c>
      <c r="K212" s="440">
        <v>41.256500000000003</v>
      </c>
    </row>
    <row r="213" spans="1:11" ht="31.5">
      <c r="A213" s="261" t="s">
        <v>11003</v>
      </c>
      <c r="B213" s="265" t="s">
        <v>25595</v>
      </c>
      <c r="C213" s="440">
        <v>17697.2719</v>
      </c>
      <c r="D213" s="440">
        <v>2.3595999999999999</v>
      </c>
      <c r="E213" s="440">
        <v>0.54600000000000004</v>
      </c>
      <c r="F213" s="440">
        <v>0</v>
      </c>
      <c r="G213" s="440">
        <v>1.7697000000000001</v>
      </c>
      <c r="H213" s="440">
        <v>0</v>
      </c>
      <c r="I213" s="440">
        <v>0</v>
      </c>
      <c r="J213" s="440">
        <v>4.6753</v>
      </c>
      <c r="K213" s="440">
        <v>2.9056000000000002</v>
      </c>
    </row>
    <row r="214" spans="1:11">
      <c r="A214" s="261" t="s">
        <v>11004</v>
      </c>
      <c r="B214" s="265" t="s">
        <v>25596</v>
      </c>
      <c r="C214" s="440">
        <v>2759558.6688000001</v>
      </c>
      <c r="D214" s="440">
        <v>160.9743</v>
      </c>
      <c r="E214" s="440">
        <v>49.660600000000002</v>
      </c>
      <c r="F214" s="440">
        <v>0</v>
      </c>
      <c r="G214" s="440">
        <v>229.9632</v>
      </c>
      <c r="H214" s="440">
        <v>286.4547</v>
      </c>
      <c r="I214" s="440">
        <v>38.9756</v>
      </c>
      <c r="J214" s="440">
        <v>766.02840000000003</v>
      </c>
      <c r="K214" s="440">
        <v>249.6105</v>
      </c>
    </row>
    <row r="215" spans="1:11" ht="31.5">
      <c r="A215" s="261" t="s">
        <v>11005</v>
      </c>
      <c r="B215" s="265" t="s">
        <v>25597</v>
      </c>
      <c r="C215" s="440">
        <v>740877.26269999996</v>
      </c>
      <c r="D215" s="440">
        <v>74.087699999999998</v>
      </c>
      <c r="E215" s="440">
        <v>14.693199999999999</v>
      </c>
      <c r="F215" s="440">
        <v>0</v>
      </c>
      <c r="G215" s="440">
        <v>74.087699999999998</v>
      </c>
      <c r="H215" s="440">
        <v>119.05119999999999</v>
      </c>
      <c r="I215" s="440">
        <v>32.087499999999999</v>
      </c>
      <c r="J215" s="440">
        <v>314.00729999999999</v>
      </c>
      <c r="K215" s="440">
        <v>120.86839999999999</v>
      </c>
    </row>
    <row r="216" spans="1:11">
      <c r="A216" s="261" t="s">
        <v>11006</v>
      </c>
      <c r="B216" s="265" t="s">
        <v>25598</v>
      </c>
      <c r="C216" s="440">
        <v>80326.9856</v>
      </c>
      <c r="D216" s="440">
        <v>7.2294</v>
      </c>
      <c r="E216" s="440">
        <v>1.4869000000000001</v>
      </c>
      <c r="F216" s="440">
        <v>0</v>
      </c>
      <c r="G216" s="440">
        <v>4.8196000000000003</v>
      </c>
      <c r="H216" s="440">
        <v>0</v>
      </c>
      <c r="I216" s="440">
        <v>0</v>
      </c>
      <c r="J216" s="440">
        <v>13.5359</v>
      </c>
      <c r="K216" s="440">
        <v>8.7163000000000004</v>
      </c>
    </row>
    <row r="217" spans="1:11">
      <c r="A217" s="261" t="s">
        <v>11007</v>
      </c>
      <c r="B217" s="265" t="s">
        <v>25599</v>
      </c>
      <c r="C217" s="440">
        <v>740877.26269999996</v>
      </c>
      <c r="D217" s="440">
        <v>51.861400000000003</v>
      </c>
      <c r="E217" s="440">
        <v>13.7136</v>
      </c>
      <c r="F217" s="440">
        <v>0</v>
      </c>
      <c r="G217" s="440">
        <v>51.861400000000003</v>
      </c>
      <c r="H217" s="440">
        <v>50.126800000000003</v>
      </c>
      <c r="I217" s="440">
        <v>32.087499999999999</v>
      </c>
      <c r="J217" s="440">
        <v>199.6507</v>
      </c>
      <c r="K217" s="440">
        <v>97.662499999999994</v>
      </c>
    </row>
    <row r="218" spans="1:11">
      <c r="A218" s="261" t="s">
        <v>11008</v>
      </c>
      <c r="B218" s="265" t="s">
        <v>25600</v>
      </c>
      <c r="C218" s="440">
        <v>1765.5268000000001</v>
      </c>
      <c r="D218" s="440">
        <v>1.3241000000000001</v>
      </c>
      <c r="E218" s="440">
        <v>0.18160000000000001</v>
      </c>
      <c r="F218" s="440">
        <v>0</v>
      </c>
      <c r="G218" s="440">
        <v>1.3241000000000001</v>
      </c>
      <c r="H218" s="440">
        <v>3.4672999999999998</v>
      </c>
      <c r="I218" s="440">
        <v>27.6023</v>
      </c>
      <c r="J218" s="440">
        <v>33.8994</v>
      </c>
      <c r="K218" s="440">
        <v>29.108000000000001</v>
      </c>
    </row>
    <row r="219" spans="1:11">
      <c r="A219" s="261" t="s">
        <v>11009</v>
      </c>
      <c r="B219" s="265" t="s">
        <v>25601</v>
      </c>
      <c r="C219" s="440">
        <v>4742.0549000000001</v>
      </c>
      <c r="D219" s="440">
        <v>0.42680000000000001</v>
      </c>
      <c r="E219" s="440">
        <v>8.7800000000000003E-2</v>
      </c>
      <c r="F219" s="440">
        <v>0</v>
      </c>
      <c r="G219" s="440">
        <v>0.33189999999999997</v>
      </c>
      <c r="H219" s="440">
        <v>6.1807999999999996</v>
      </c>
      <c r="I219" s="440">
        <v>0</v>
      </c>
      <c r="J219" s="440">
        <v>7.0273000000000003</v>
      </c>
      <c r="K219" s="440">
        <v>0.51459999999999995</v>
      </c>
    </row>
    <row r="220" spans="1:11">
      <c r="A220" s="261" t="s">
        <v>11010</v>
      </c>
      <c r="B220" s="265" t="s">
        <v>25602</v>
      </c>
      <c r="C220" s="440">
        <v>12946.9139</v>
      </c>
      <c r="D220" s="440">
        <v>1.0358000000000001</v>
      </c>
      <c r="E220" s="440">
        <v>0.23960000000000001</v>
      </c>
      <c r="F220" s="440">
        <v>0</v>
      </c>
      <c r="G220" s="440">
        <v>0.90629999999999999</v>
      </c>
      <c r="H220" s="440">
        <v>6.0301</v>
      </c>
      <c r="I220" s="440">
        <v>0</v>
      </c>
      <c r="J220" s="440">
        <v>8.2118000000000002</v>
      </c>
      <c r="K220" s="440">
        <v>1.2754000000000001</v>
      </c>
    </row>
    <row r="221" spans="1:11" ht="31.5">
      <c r="A221" s="261" t="s">
        <v>11011</v>
      </c>
      <c r="B221" s="265" t="s">
        <v>25603</v>
      </c>
      <c r="C221" s="440">
        <v>4450812.3441000003</v>
      </c>
      <c r="D221" s="440">
        <v>222.54060000000001</v>
      </c>
      <c r="E221" s="440">
        <v>78.461500000000001</v>
      </c>
      <c r="F221" s="440">
        <v>0</v>
      </c>
      <c r="G221" s="440">
        <v>286.12369999999999</v>
      </c>
      <c r="H221" s="440">
        <v>215.9778</v>
      </c>
      <c r="I221" s="440">
        <v>38.9756</v>
      </c>
      <c r="J221" s="440">
        <v>842.07920000000001</v>
      </c>
      <c r="K221" s="440">
        <v>339.97770000000003</v>
      </c>
    </row>
    <row r="222" spans="1:11" ht="31.5">
      <c r="A222" s="261" t="s">
        <v>11012</v>
      </c>
      <c r="B222" s="265" t="s">
        <v>25604</v>
      </c>
      <c r="C222" s="440">
        <v>1122861.5637000001</v>
      </c>
      <c r="D222" s="440">
        <v>56.143099999999997</v>
      </c>
      <c r="E222" s="440">
        <v>19.7944</v>
      </c>
      <c r="F222" s="440">
        <v>0</v>
      </c>
      <c r="G222" s="440">
        <v>56.143099999999997</v>
      </c>
      <c r="H222" s="440">
        <v>37.2624</v>
      </c>
      <c r="I222" s="440">
        <v>32.087499999999999</v>
      </c>
      <c r="J222" s="440">
        <v>201.43049999999999</v>
      </c>
      <c r="K222" s="440">
        <v>108.02500000000001</v>
      </c>
    </row>
    <row r="223" spans="1:11">
      <c r="A223" s="261" t="s">
        <v>11013</v>
      </c>
      <c r="B223" s="265" t="s">
        <v>25605</v>
      </c>
      <c r="C223" s="440">
        <v>424376.94209999999</v>
      </c>
      <c r="D223" s="440">
        <v>24.2501</v>
      </c>
      <c r="E223" s="440">
        <v>7.4812000000000003</v>
      </c>
      <c r="F223" s="440">
        <v>0</v>
      </c>
      <c r="G223" s="440">
        <v>21.218800000000002</v>
      </c>
      <c r="H223" s="440">
        <v>0</v>
      </c>
      <c r="I223" s="440">
        <v>38.9756</v>
      </c>
      <c r="J223" s="440">
        <v>91.925700000000006</v>
      </c>
      <c r="K223" s="440">
        <v>70.706900000000005</v>
      </c>
    </row>
    <row r="224" spans="1:11">
      <c r="A224" s="261" t="s">
        <v>11014</v>
      </c>
      <c r="B224" s="265" t="s">
        <v>25606</v>
      </c>
      <c r="C224" s="440">
        <v>18071.914000000001</v>
      </c>
      <c r="D224" s="440">
        <v>1.4458</v>
      </c>
      <c r="E224" s="440">
        <v>0.33450000000000002</v>
      </c>
      <c r="F224" s="440">
        <v>0</v>
      </c>
      <c r="G224" s="440">
        <v>1.2649999999999999</v>
      </c>
      <c r="H224" s="440">
        <v>15.075200000000001</v>
      </c>
      <c r="I224" s="440">
        <v>0</v>
      </c>
      <c r="J224" s="440">
        <v>18.1205</v>
      </c>
      <c r="K224" s="440">
        <v>1.7803</v>
      </c>
    </row>
    <row r="225" spans="1:11">
      <c r="A225" s="261" t="s">
        <v>11015</v>
      </c>
      <c r="B225" s="265" t="s">
        <v>25607</v>
      </c>
      <c r="C225" s="440">
        <v>119387655.4869</v>
      </c>
      <c r="D225" s="440">
        <v>932.71609999999998</v>
      </c>
      <c r="E225" s="440">
        <v>671.40009999999995</v>
      </c>
      <c r="F225" s="440">
        <v>0</v>
      </c>
      <c r="G225" s="440">
        <v>2072.7024000000001</v>
      </c>
      <c r="H225" s="440">
        <v>665.4</v>
      </c>
      <c r="I225" s="440">
        <v>163.87020000000001</v>
      </c>
      <c r="J225" s="440">
        <v>4506.0888000000004</v>
      </c>
      <c r="K225" s="440">
        <v>1767.9864</v>
      </c>
    </row>
    <row r="226" spans="1:11">
      <c r="A226" s="261" t="s">
        <v>11016</v>
      </c>
      <c r="B226" s="265" t="s">
        <v>25608</v>
      </c>
      <c r="C226" s="440">
        <v>131642659.2068</v>
      </c>
      <c r="D226" s="440">
        <v>1028.4583</v>
      </c>
      <c r="E226" s="440">
        <v>740.31849999999997</v>
      </c>
      <c r="F226" s="440">
        <v>0</v>
      </c>
      <c r="G226" s="440">
        <v>2285.4627999999998</v>
      </c>
      <c r="H226" s="440">
        <v>798.48</v>
      </c>
      <c r="I226" s="440">
        <v>187.8588</v>
      </c>
      <c r="J226" s="440">
        <v>5040.5784000000003</v>
      </c>
      <c r="K226" s="440">
        <v>1956.6356000000001</v>
      </c>
    </row>
    <row r="227" spans="1:11">
      <c r="A227" s="261" t="s">
        <v>11017</v>
      </c>
      <c r="B227" s="265" t="s">
        <v>25609</v>
      </c>
      <c r="C227" s="440">
        <v>180662674.0864</v>
      </c>
      <c r="D227" s="440">
        <v>1411.4271000000001</v>
      </c>
      <c r="E227" s="440">
        <v>1015.9923</v>
      </c>
      <c r="F227" s="440">
        <v>0</v>
      </c>
      <c r="G227" s="440">
        <v>3136.5048000000002</v>
      </c>
      <c r="H227" s="440">
        <v>1397.34</v>
      </c>
      <c r="I227" s="440">
        <v>187.8588</v>
      </c>
      <c r="J227" s="440">
        <v>7149.1229999999996</v>
      </c>
      <c r="K227" s="440">
        <v>2615.2782000000002</v>
      </c>
    </row>
    <row r="228" spans="1:11">
      <c r="A228" s="261" t="s">
        <v>11018</v>
      </c>
      <c r="B228" s="265" t="s">
        <v>25610</v>
      </c>
      <c r="C228" s="440">
        <v>229682688.9659</v>
      </c>
      <c r="D228" s="440">
        <v>1794.396</v>
      </c>
      <c r="E228" s="440">
        <v>1291.6660999999999</v>
      </c>
      <c r="F228" s="440">
        <v>0</v>
      </c>
      <c r="G228" s="440">
        <v>3987.5466999999999</v>
      </c>
      <c r="H228" s="440">
        <v>1996.2</v>
      </c>
      <c r="I228" s="440">
        <v>342.99160000000001</v>
      </c>
      <c r="J228" s="440">
        <v>9412.8004000000001</v>
      </c>
      <c r="K228" s="440">
        <v>3429.0536999999999</v>
      </c>
    </row>
    <row r="229" spans="1:11">
      <c r="A229" s="261" t="s">
        <v>11019</v>
      </c>
      <c r="B229" s="265" t="s">
        <v>25611</v>
      </c>
      <c r="C229" s="440">
        <v>278702703.84539998</v>
      </c>
      <c r="D229" s="440">
        <v>2177.3649</v>
      </c>
      <c r="E229" s="440">
        <v>1567.3398</v>
      </c>
      <c r="F229" s="440">
        <v>0</v>
      </c>
      <c r="G229" s="440">
        <v>4838.5886</v>
      </c>
      <c r="H229" s="440">
        <v>2595.06</v>
      </c>
      <c r="I229" s="440">
        <v>391.95060000000001</v>
      </c>
      <c r="J229" s="440">
        <v>11570.303900000001</v>
      </c>
      <c r="K229" s="440">
        <v>4136.6553000000004</v>
      </c>
    </row>
    <row r="230" spans="1:11">
      <c r="A230" s="261" t="s">
        <v>11020</v>
      </c>
      <c r="B230" s="265" t="s">
        <v>25612</v>
      </c>
      <c r="C230" s="440">
        <v>327722718.72479999</v>
      </c>
      <c r="D230" s="440">
        <v>2560.3337000000001</v>
      </c>
      <c r="E230" s="440">
        <v>1843.0136</v>
      </c>
      <c r="F230" s="440">
        <v>0</v>
      </c>
      <c r="G230" s="440">
        <v>5689.6305000000002</v>
      </c>
      <c r="H230" s="440">
        <v>3193.92</v>
      </c>
      <c r="I230" s="440">
        <v>391.95060000000001</v>
      </c>
      <c r="J230" s="440">
        <v>13678.848400000001</v>
      </c>
      <c r="K230" s="440">
        <v>4795.2978999999996</v>
      </c>
    </row>
    <row r="231" spans="1:11">
      <c r="A231" s="261" t="s">
        <v>11021</v>
      </c>
      <c r="B231" s="265" t="s">
        <v>25613</v>
      </c>
      <c r="C231" s="440">
        <v>238684.52179999999</v>
      </c>
      <c r="D231" s="440">
        <v>13.639099999999999</v>
      </c>
      <c r="E231" s="440">
        <v>4.2077</v>
      </c>
      <c r="F231" s="440">
        <v>0</v>
      </c>
      <c r="G231" s="440">
        <v>11.934200000000001</v>
      </c>
      <c r="H231" s="440">
        <v>0</v>
      </c>
      <c r="I231" s="440">
        <v>38.9756</v>
      </c>
      <c r="J231" s="440">
        <v>68.756600000000006</v>
      </c>
      <c r="K231" s="440">
        <v>56.822400000000002</v>
      </c>
    </row>
    <row r="232" spans="1:11">
      <c r="A232" s="261" t="s">
        <v>11022</v>
      </c>
      <c r="B232" s="265" t="s">
        <v>25614</v>
      </c>
      <c r="C232" s="440">
        <v>481706.31760000001</v>
      </c>
      <c r="D232" s="440">
        <v>7.5266999999999999</v>
      </c>
      <c r="E232" s="440">
        <v>2.8380000000000001</v>
      </c>
      <c r="F232" s="440">
        <v>0</v>
      </c>
      <c r="G232" s="440">
        <v>8.3629999999999995</v>
      </c>
      <c r="H232" s="440">
        <v>223.9744</v>
      </c>
      <c r="I232" s="440">
        <v>35.058399999999999</v>
      </c>
      <c r="J232" s="440">
        <v>277.76049999999998</v>
      </c>
      <c r="K232" s="440">
        <v>45.423099999999998</v>
      </c>
    </row>
    <row r="233" spans="1:11" ht="31.5">
      <c r="A233" s="261" t="s">
        <v>11023</v>
      </c>
      <c r="B233" s="265" t="s">
        <v>25615</v>
      </c>
      <c r="C233" s="440">
        <v>2134124.7280000001</v>
      </c>
      <c r="D233" s="440">
        <v>27.7881</v>
      </c>
      <c r="E233" s="440">
        <v>12.3827</v>
      </c>
      <c r="F233" s="440">
        <v>0</v>
      </c>
      <c r="G233" s="440">
        <v>61.751300000000001</v>
      </c>
      <c r="H233" s="440">
        <v>173.83580000000001</v>
      </c>
      <c r="I233" s="440">
        <v>134.07990000000001</v>
      </c>
      <c r="J233" s="440">
        <v>409.83780000000002</v>
      </c>
      <c r="K233" s="440">
        <v>174.25069999999999</v>
      </c>
    </row>
    <row r="234" spans="1:11">
      <c r="A234" s="261" t="s">
        <v>11024</v>
      </c>
      <c r="B234" s="265" t="s">
        <v>25616</v>
      </c>
      <c r="C234" s="440">
        <v>1082761.0038999999</v>
      </c>
      <c r="D234" s="440">
        <v>14.0985</v>
      </c>
      <c r="E234" s="440">
        <v>6.2824</v>
      </c>
      <c r="F234" s="440">
        <v>0</v>
      </c>
      <c r="G234" s="440">
        <v>31.329899999999999</v>
      </c>
      <c r="H234" s="440">
        <v>565.75639999999999</v>
      </c>
      <c r="I234" s="440">
        <v>134.07990000000001</v>
      </c>
      <c r="J234" s="440">
        <v>751.5471</v>
      </c>
      <c r="K234" s="440">
        <v>154.46080000000001</v>
      </c>
    </row>
    <row r="235" spans="1:11" ht="31.5">
      <c r="A235" s="261" t="s">
        <v>11025</v>
      </c>
      <c r="B235" s="265" t="s">
        <v>25617</v>
      </c>
      <c r="C235" s="440">
        <v>2517067.1751999999</v>
      </c>
      <c r="D235" s="440">
        <v>143.83240000000001</v>
      </c>
      <c r="E235" s="440">
        <v>44.372300000000003</v>
      </c>
      <c r="F235" s="440">
        <v>0</v>
      </c>
      <c r="G235" s="440">
        <v>107.87430000000001</v>
      </c>
      <c r="H235" s="440">
        <v>0</v>
      </c>
      <c r="I235" s="440">
        <v>38.9756</v>
      </c>
      <c r="J235" s="440">
        <v>335.05459999999999</v>
      </c>
      <c r="K235" s="440">
        <v>227.18029999999999</v>
      </c>
    </row>
    <row r="236" spans="1:11" ht="31.5">
      <c r="A236" s="261" t="s">
        <v>11026</v>
      </c>
      <c r="B236" s="265" t="s">
        <v>25618</v>
      </c>
      <c r="C236" s="440">
        <v>618336.11640000006</v>
      </c>
      <c r="D236" s="440">
        <v>4.8308</v>
      </c>
      <c r="E236" s="440">
        <v>3.4773000000000001</v>
      </c>
      <c r="F236" s="440">
        <v>0</v>
      </c>
      <c r="G236" s="440">
        <v>10.734999999999999</v>
      </c>
      <c r="H236" s="440">
        <v>83.174999999999997</v>
      </c>
      <c r="I236" s="440">
        <v>40.245600000000003</v>
      </c>
      <c r="J236" s="440">
        <v>142.46369999999999</v>
      </c>
      <c r="K236" s="440">
        <v>48.553699999999999</v>
      </c>
    </row>
    <row r="237" spans="1:11">
      <c r="A237" s="261" t="s">
        <v>11027</v>
      </c>
      <c r="B237" s="265" t="s">
        <v>25619</v>
      </c>
      <c r="C237" s="440">
        <v>104220.4059</v>
      </c>
      <c r="D237" s="440">
        <v>6.9480000000000004</v>
      </c>
      <c r="E237" s="440">
        <v>1.8754999999999999</v>
      </c>
      <c r="F237" s="440">
        <v>0</v>
      </c>
      <c r="G237" s="440">
        <v>6.9480000000000004</v>
      </c>
      <c r="H237" s="440">
        <v>17.439</v>
      </c>
      <c r="I237" s="440">
        <v>0</v>
      </c>
      <c r="J237" s="440">
        <v>33.210500000000003</v>
      </c>
      <c r="K237" s="440">
        <v>8.8234999999999992</v>
      </c>
    </row>
    <row r="238" spans="1:11">
      <c r="A238" s="261" t="s">
        <v>11028</v>
      </c>
      <c r="B238" s="265" t="s">
        <v>25620</v>
      </c>
      <c r="C238" s="440">
        <v>9019716.7752</v>
      </c>
      <c r="D238" s="440">
        <v>515.41240000000005</v>
      </c>
      <c r="E238" s="440">
        <v>159.00470000000001</v>
      </c>
      <c r="F238" s="440">
        <v>0</v>
      </c>
      <c r="G238" s="440">
        <v>386.55930000000001</v>
      </c>
      <c r="H238" s="440">
        <v>0</v>
      </c>
      <c r="I238" s="440">
        <v>38.9756</v>
      </c>
      <c r="J238" s="440">
        <v>1099.952</v>
      </c>
      <c r="K238" s="440">
        <v>713.39269999999999</v>
      </c>
    </row>
    <row r="239" spans="1:11" ht="31.5">
      <c r="A239" s="261" t="s">
        <v>11029</v>
      </c>
      <c r="B239" s="265" t="s">
        <v>25621</v>
      </c>
      <c r="C239" s="440">
        <v>711396.21369999996</v>
      </c>
      <c r="D239" s="440">
        <v>5.5578000000000003</v>
      </c>
      <c r="E239" s="440">
        <v>4.0007000000000001</v>
      </c>
      <c r="F239" s="440">
        <v>0</v>
      </c>
      <c r="G239" s="440">
        <v>9.2629999999999999</v>
      </c>
      <c r="H239" s="440">
        <v>0</v>
      </c>
      <c r="I239" s="440">
        <v>47.977200000000003</v>
      </c>
      <c r="J239" s="440">
        <v>66.798699999999997</v>
      </c>
      <c r="K239" s="440">
        <v>57.535699999999999</v>
      </c>
    </row>
    <row r="240" spans="1:11" ht="31.5">
      <c r="A240" s="261" t="s">
        <v>11030</v>
      </c>
      <c r="B240" s="265" t="s">
        <v>25622</v>
      </c>
      <c r="C240" s="440">
        <v>7254531.3378999997</v>
      </c>
      <c r="D240" s="440">
        <v>253.90860000000001</v>
      </c>
      <c r="E240" s="440">
        <v>123.0913</v>
      </c>
      <c r="F240" s="440">
        <v>0</v>
      </c>
      <c r="G240" s="440">
        <v>362.72660000000002</v>
      </c>
      <c r="H240" s="440">
        <v>51.5685</v>
      </c>
      <c r="I240" s="440">
        <v>38.9756</v>
      </c>
      <c r="J240" s="440">
        <v>830.27059999999994</v>
      </c>
      <c r="K240" s="440">
        <v>415.97550000000001</v>
      </c>
    </row>
    <row r="241" spans="1:11">
      <c r="A241" s="261" t="s">
        <v>11031</v>
      </c>
      <c r="B241" s="265" t="s">
        <v>25623</v>
      </c>
      <c r="C241" s="440">
        <v>9748.5557000000008</v>
      </c>
      <c r="D241" s="440">
        <v>0.77990000000000004</v>
      </c>
      <c r="E241" s="440">
        <v>0.1804</v>
      </c>
      <c r="F241" s="440">
        <v>0</v>
      </c>
      <c r="G241" s="440">
        <v>0.68240000000000001</v>
      </c>
      <c r="H241" s="440">
        <v>0</v>
      </c>
      <c r="I241" s="440">
        <v>0</v>
      </c>
      <c r="J241" s="440">
        <v>1.6427</v>
      </c>
      <c r="K241" s="440">
        <v>0.96030000000000004</v>
      </c>
    </row>
    <row r="242" spans="1:11">
      <c r="A242" s="261" t="s">
        <v>11032</v>
      </c>
      <c r="B242" s="265" t="s">
        <v>25624</v>
      </c>
      <c r="C242" s="440">
        <v>1493761.5118</v>
      </c>
      <c r="D242" s="440">
        <v>85.357799999999997</v>
      </c>
      <c r="E242" s="440">
        <v>26.332899999999999</v>
      </c>
      <c r="F242" s="440">
        <v>0</v>
      </c>
      <c r="G242" s="440">
        <v>74.688100000000006</v>
      </c>
      <c r="H242" s="440">
        <v>0</v>
      </c>
      <c r="I242" s="440">
        <v>32.087499999999999</v>
      </c>
      <c r="J242" s="440">
        <v>218.46629999999999</v>
      </c>
      <c r="K242" s="440">
        <v>143.7782</v>
      </c>
    </row>
    <row r="243" spans="1:11" ht="31.5">
      <c r="A243" s="261" t="s">
        <v>11033</v>
      </c>
      <c r="B243" s="265" t="s">
        <v>25625</v>
      </c>
      <c r="C243" s="440">
        <v>188708.432</v>
      </c>
      <c r="D243" s="440">
        <v>10.783300000000001</v>
      </c>
      <c r="E243" s="440">
        <v>3.3267000000000002</v>
      </c>
      <c r="F243" s="440">
        <v>0</v>
      </c>
      <c r="G243" s="440">
        <v>9.4353999999999996</v>
      </c>
      <c r="H243" s="440">
        <v>0</v>
      </c>
      <c r="I243" s="440">
        <v>32.087499999999999</v>
      </c>
      <c r="J243" s="440">
        <v>55.632899999999999</v>
      </c>
      <c r="K243" s="440">
        <v>46.197499999999998</v>
      </c>
    </row>
    <row r="244" spans="1:11">
      <c r="A244" s="261" t="s">
        <v>11034</v>
      </c>
      <c r="B244" s="265" t="s">
        <v>25626</v>
      </c>
      <c r="C244" s="440">
        <v>22238298.4186</v>
      </c>
      <c r="D244" s="440">
        <v>173.73670000000001</v>
      </c>
      <c r="E244" s="440">
        <v>125.0615</v>
      </c>
      <c r="F244" s="440">
        <v>0</v>
      </c>
      <c r="G244" s="440">
        <v>386.08159999999998</v>
      </c>
      <c r="H244" s="440">
        <v>74.524799999999999</v>
      </c>
      <c r="I244" s="440">
        <v>109.1095</v>
      </c>
      <c r="J244" s="440">
        <v>868.51409999999998</v>
      </c>
      <c r="K244" s="440">
        <v>407.90769999999998</v>
      </c>
    </row>
    <row r="245" spans="1:11">
      <c r="A245" s="261" t="s">
        <v>11035</v>
      </c>
      <c r="B245" s="265" t="s">
        <v>25627</v>
      </c>
      <c r="C245" s="440">
        <v>27281184.883000001</v>
      </c>
      <c r="D245" s="440">
        <v>213.1343</v>
      </c>
      <c r="E245" s="440">
        <v>153.4211</v>
      </c>
      <c r="F245" s="440">
        <v>0</v>
      </c>
      <c r="G245" s="440">
        <v>473.63170000000002</v>
      </c>
      <c r="H245" s="440">
        <v>124.0971</v>
      </c>
      <c r="I245" s="440">
        <v>109.1095</v>
      </c>
      <c r="J245" s="440">
        <v>1073.3937000000001</v>
      </c>
      <c r="K245" s="440">
        <v>475.66489999999999</v>
      </c>
    </row>
    <row r="246" spans="1:11">
      <c r="A246" s="261" t="s">
        <v>11036</v>
      </c>
      <c r="B246" s="265" t="s">
        <v>25628</v>
      </c>
      <c r="C246" s="440">
        <v>3511084.8185999999</v>
      </c>
      <c r="D246" s="440">
        <v>27.430399999999999</v>
      </c>
      <c r="E246" s="440">
        <v>19.7453</v>
      </c>
      <c r="F246" s="440">
        <v>0</v>
      </c>
      <c r="G246" s="440">
        <v>45.717300000000002</v>
      </c>
      <c r="H246" s="440">
        <v>0</v>
      </c>
      <c r="I246" s="440">
        <v>23.988600000000002</v>
      </c>
      <c r="J246" s="440">
        <v>116.88160000000001</v>
      </c>
      <c r="K246" s="440">
        <v>71.164299999999997</v>
      </c>
    </row>
    <row r="247" spans="1:11" ht="31.5">
      <c r="A247" s="261" t="s">
        <v>11037</v>
      </c>
      <c r="B247" s="265" t="s">
        <v>25629</v>
      </c>
      <c r="C247" s="440">
        <v>44481.751100000001</v>
      </c>
      <c r="D247" s="440">
        <v>3.5585</v>
      </c>
      <c r="E247" s="440">
        <v>0.82340000000000002</v>
      </c>
      <c r="F247" s="440">
        <v>0</v>
      </c>
      <c r="G247" s="440">
        <v>3.5585</v>
      </c>
      <c r="H247" s="440">
        <v>0</v>
      </c>
      <c r="I247" s="440">
        <v>27.6023</v>
      </c>
      <c r="J247" s="440">
        <v>35.542700000000004</v>
      </c>
      <c r="K247" s="440">
        <v>31.984200000000001</v>
      </c>
    </row>
    <row r="248" spans="1:11">
      <c r="A248" s="261" t="s">
        <v>11038</v>
      </c>
      <c r="B248" s="265" t="s">
        <v>25630</v>
      </c>
      <c r="C248" s="440">
        <v>86748.433399999994</v>
      </c>
      <c r="D248" s="440">
        <v>4.9570999999999996</v>
      </c>
      <c r="E248" s="440">
        <v>1.5293000000000001</v>
      </c>
      <c r="F248" s="440">
        <v>0</v>
      </c>
      <c r="G248" s="440">
        <v>3.7178</v>
      </c>
      <c r="H248" s="440">
        <v>0</v>
      </c>
      <c r="I248" s="440">
        <v>0</v>
      </c>
      <c r="J248" s="440">
        <v>10.2042</v>
      </c>
      <c r="K248" s="440">
        <v>6.4863999999999997</v>
      </c>
    </row>
    <row r="249" spans="1:11">
      <c r="A249" s="261" t="s">
        <v>11039</v>
      </c>
      <c r="B249" s="265" t="s">
        <v>25631</v>
      </c>
      <c r="C249" s="440">
        <v>124928.4844</v>
      </c>
      <c r="D249" s="440">
        <v>7.1387999999999998</v>
      </c>
      <c r="E249" s="440">
        <v>2.2023000000000001</v>
      </c>
      <c r="F249" s="440">
        <v>0</v>
      </c>
      <c r="G249" s="440">
        <v>5.3540999999999999</v>
      </c>
      <c r="H249" s="440">
        <v>0</v>
      </c>
      <c r="I249" s="440">
        <v>0</v>
      </c>
      <c r="J249" s="440">
        <v>14.6952</v>
      </c>
      <c r="K249" s="440">
        <v>9.3411000000000008</v>
      </c>
    </row>
    <row r="250" spans="1:11">
      <c r="A250" s="261" t="s">
        <v>11040</v>
      </c>
      <c r="B250" s="265" t="s">
        <v>25632</v>
      </c>
      <c r="C250" s="440">
        <v>572822793.12230003</v>
      </c>
      <c r="D250" s="440">
        <v>4475.1781000000001</v>
      </c>
      <c r="E250" s="440">
        <v>3221.3823000000002</v>
      </c>
      <c r="F250" s="440">
        <v>0</v>
      </c>
      <c r="G250" s="440">
        <v>9944.8402000000006</v>
      </c>
      <c r="H250" s="440">
        <v>5456.28</v>
      </c>
      <c r="I250" s="440">
        <v>525.04870000000005</v>
      </c>
      <c r="J250" s="440">
        <v>23622.729299999999</v>
      </c>
      <c r="K250" s="440">
        <v>8221.6090999999997</v>
      </c>
    </row>
    <row r="251" spans="1:11">
      <c r="A251" s="261" t="s">
        <v>11041</v>
      </c>
      <c r="B251" s="265" t="s">
        <v>25633</v>
      </c>
      <c r="C251" s="440">
        <v>817922867.51970005</v>
      </c>
      <c r="D251" s="440">
        <v>6390.0223999999998</v>
      </c>
      <c r="E251" s="440">
        <v>4599.7511000000004</v>
      </c>
      <c r="F251" s="440">
        <v>0</v>
      </c>
      <c r="G251" s="440">
        <v>14200.049800000001</v>
      </c>
      <c r="H251" s="440">
        <v>7851.72</v>
      </c>
      <c r="I251" s="440">
        <v>549.68550000000005</v>
      </c>
      <c r="J251" s="440">
        <v>33591.228799999997</v>
      </c>
      <c r="K251" s="440">
        <v>11539.459000000001</v>
      </c>
    </row>
    <row r="252" spans="1:11">
      <c r="A252" s="261" t="s">
        <v>11042</v>
      </c>
      <c r="B252" s="265" t="s">
        <v>25634</v>
      </c>
      <c r="C252" s="440">
        <v>1063022941.9171</v>
      </c>
      <c r="D252" s="440">
        <v>8304.8667000000005</v>
      </c>
      <c r="E252" s="440">
        <v>5978.1198999999997</v>
      </c>
      <c r="F252" s="440">
        <v>0</v>
      </c>
      <c r="G252" s="440">
        <v>18455.259399999999</v>
      </c>
      <c r="H252" s="440">
        <v>10313.700000000001</v>
      </c>
      <c r="I252" s="440">
        <v>573.67409999999995</v>
      </c>
      <c r="J252" s="440">
        <v>43625.6201</v>
      </c>
      <c r="K252" s="440">
        <v>14856.6607</v>
      </c>
    </row>
    <row r="253" spans="1:11">
      <c r="A253" s="261" t="s">
        <v>11043</v>
      </c>
      <c r="B253" s="265" t="s">
        <v>25635</v>
      </c>
      <c r="C253" s="440">
        <v>2477686.2947999998</v>
      </c>
      <c r="D253" s="440">
        <v>25.809200000000001</v>
      </c>
      <c r="E253" s="440">
        <v>11.5009</v>
      </c>
      <c r="F253" s="440">
        <v>0</v>
      </c>
      <c r="G253" s="440">
        <v>57.3538</v>
      </c>
      <c r="H253" s="440">
        <v>209.65649999999999</v>
      </c>
      <c r="I253" s="440">
        <v>48.959000000000003</v>
      </c>
      <c r="J253" s="440">
        <v>353.27940000000001</v>
      </c>
      <c r="K253" s="440">
        <v>86.269099999999995</v>
      </c>
    </row>
    <row r="254" spans="1:11">
      <c r="A254" s="261" t="s">
        <v>11044</v>
      </c>
      <c r="B254" s="265" t="s">
        <v>25636</v>
      </c>
      <c r="C254" s="440">
        <v>14300.756799999999</v>
      </c>
      <c r="D254" s="440">
        <v>1.9068000000000001</v>
      </c>
      <c r="E254" s="440">
        <v>0.44119999999999998</v>
      </c>
      <c r="F254" s="440">
        <v>0</v>
      </c>
      <c r="G254" s="440">
        <v>1.4300999999999999</v>
      </c>
      <c r="H254" s="440">
        <v>0</v>
      </c>
      <c r="I254" s="440">
        <v>0</v>
      </c>
      <c r="J254" s="440">
        <v>3.7780999999999998</v>
      </c>
      <c r="K254" s="440">
        <v>2.3479999999999999</v>
      </c>
    </row>
    <row r="255" spans="1:11">
      <c r="A255" s="261" t="s">
        <v>11045</v>
      </c>
      <c r="B255" s="265" t="s">
        <v>25637</v>
      </c>
      <c r="C255" s="440">
        <v>281025.32030000002</v>
      </c>
      <c r="D255" s="440">
        <v>18.734999999999999</v>
      </c>
      <c r="E255" s="440">
        <v>5.0572999999999997</v>
      </c>
      <c r="F255" s="440">
        <v>0</v>
      </c>
      <c r="G255" s="440">
        <v>18.734999999999999</v>
      </c>
      <c r="H255" s="440">
        <v>76.825999999999993</v>
      </c>
      <c r="I255" s="440">
        <v>0</v>
      </c>
      <c r="J255" s="440">
        <v>119.3533</v>
      </c>
      <c r="K255" s="440">
        <v>23.792300000000001</v>
      </c>
    </row>
    <row r="256" spans="1:11">
      <c r="A256" s="261" t="s">
        <v>11046</v>
      </c>
      <c r="B256" s="265" t="s">
        <v>25638</v>
      </c>
      <c r="C256" s="440">
        <v>4465.1643000000004</v>
      </c>
      <c r="D256" s="440">
        <v>0.35720000000000002</v>
      </c>
      <c r="E256" s="440">
        <v>8.2699999999999996E-2</v>
      </c>
      <c r="F256" s="440">
        <v>0</v>
      </c>
      <c r="G256" s="440">
        <v>0.31259999999999999</v>
      </c>
      <c r="H256" s="440">
        <v>0</v>
      </c>
      <c r="I256" s="440">
        <v>0</v>
      </c>
      <c r="J256" s="440">
        <v>0.75249999999999995</v>
      </c>
      <c r="K256" s="440">
        <v>0.43990000000000001</v>
      </c>
    </row>
    <row r="257" spans="1:11" ht="31.5">
      <c r="A257" s="261" t="s">
        <v>11047</v>
      </c>
      <c r="B257" s="265" t="s">
        <v>25639</v>
      </c>
      <c r="C257" s="440">
        <v>208343.03959999999</v>
      </c>
      <c r="D257" s="440">
        <v>16.667400000000001</v>
      </c>
      <c r="E257" s="440">
        <v>3.8563999999999998</v>
      </c>
      <c r="F257" s="440">
        <v>0</v>
      </c>
      <c r="G257" s="440">
        <v>14.584</v>
      </c>
      <c r="H257" s="440">
        <v>0</v>
      </c>
      <c r="I257" s="440">
        <v>38.9756</v>
      </c>
      <c r="J257" s="440">
        <v>74.083399999999997</v>
      </c>
      <c r="K257" s="440">
        <v>59.499400000000001</v>
      </c>
    </row>
    <row r="258" spans="1:11" ht="31.5">
      <c r="A258" s="261" t="s">
        <v>11048</v>
      </c>
      <c r="B258" s="265" t="s">
        <v>25640</v>
      </c>
      <c r="C258" s="440">
        <v>49657.944499999998</v>
      </c>
      <c r="D258" s="440">
        <v>6.6211000000000002</v>
      </c>
      <c r="E258" s="440">
        <v>1.5319</v>
      </c>
      <c r="F258" s="440">
        <v>0</v>
      </c>
      <c r="G258" s="440">
        <v>4.9657999999999998</v>
      </c>
      <c r="H258" s="440">
        <v>0</v>
      </c>
      <c r="I258" s="440">
        <v>0</v>
      </c>
      <c r="J258" s="440">
        <v>13.1188</v>
      </c>
      <c r="K258" s="440">
        <v>8.1530000000000005</v>
      </c>
    </row>
    <row r="259" spans="1:11" ht="31.5">
      <c r="A259" s="261" t="s">
        <v>11049</v>
      </c>
      <c r="B259" s="265" t="s">
        <v>25641</v>
      </c>
      <c r="C259" s="440">
        <v>57181.621400000004</v>
      </c>
      <c r="D259" s="440">
        <v>7.6242000000000001</v>
      </c>
      <c r="E259" s="440">
        <v>1.7641</v>
      </c>
      <c r="F259" s="440">
        <v>0</v>
      </c>
      <c r="G259" s="440">
        <v>5.7182000000000004</v>
      </c>
      <c r="H259" s="440">
        <v>0</v>
      </c>
      <c r="I259" s="440">
        <v>0</v>
      </c>
      <c r="J259" s="440">
        <v>15.1065</v>
      </c>
      <c r="K259" s="440">
        <v>9.3882999999999992</v>
      </c>
    </row>
    <row r="260" spans="1:11" ht="31.5">
      <c r="A260" s="261" t="s">
        <v>11050</v>
      </c>
      <c r="B260" s="265" t="s">
        <v>25642</v>
      </c>
      <c r="C260" s="440">
        <v>63046.853300000002</v>
      </c>
      <c r="D260" s="440">
        <v>8.4062000000000001</v>
      </c>
      <c r="E260" s="440">
        <v>1.9450000000000001</v>
      </c>
      <c r="F260" s="440">
        <v>0</v>
      </c>
      <c r="G260" s="440">
        <v>6.3047000000000004</v>
      </c>
      <c r="H260" s="440">
        <v>0</v>
      </c>
      <c r="I260" s="440">
        <v>0</v>
      </c>
      <c r="J260" s="440">
        <v>16.655899999999999</v>
      </c>
      <c r="K260" s="440">
        <v>10.3512</v>
      </c>
    </row>
    <row r="261" spans="1:11" ht="31.5">
      <c r="A261" s="261" t="s">
        <v>11051</v>
      </c>
      <c r="B261" s="265" t="s">
        <v>25643</v>
      </c>
      <c r="C261" s="440">
        <v>4442590.7613000004</v>
      </c>
      <c r="D261" s="440">
        <v>34.707700000000003</v>
      </c>
      <c r="E261" s="440">
        <v>24.983799999999999</v>
      </c>
      <c r="F261" s="440">
        <v>0</v>
      </c>
      <c r="G261" s="440">
        <v>77.128299999999996</v>
      </c>
      <c r="H261" s="440">
        <v>244.53450000000001</v>
      </c>
      <c r="I261" s="440">
        <v>64.234200000000001</v>
      </c>
      <c r="J261" s="440">
        <v>445.58850000000001</v>
      </c>
      <c r="K261" s="440">
        <v>123.92570000000001</v>
      </c>
    </row>
    <row r="262" spans="1:11" ht="31.5">
      <c r="A262" s="261" t="s">
        <v>11052</v>
      </c>
      <c r="B262" s="265" t="s">
        <v>25644</v>
      </c>
      <c r="C262" s="440">
        <v>7483596.1370000001</v>
      </c>
      <c r="D262" s="440">
        <v>58.465600000000002</v>
      </c>
      <c r="E262" s="440">
        <v>42.085500000000003</v>
      </c>
      <c r="F262" s="440">
        <v>0</v>
      </c>
      <c r="G262" s="440">
        <v>129.92349999999999</v>
      </c>
      <c r="H262" s="440">
        <v>401.7353</v>
      </c>
      <c r="I262" s="440">
        <v>64.234200000000001</v>
      </c>
      <c r="J262" s="440">
        <v>696.44410000000005</v>
      </c>
      <c r="K262" s="440">
        <v>164.78530000000001</v>
      </c>
    </row>
    <row r="263" spans="1:11" ht="31.5">
      <c r="A263" s="261" t="s">
        <v>11053</v>
      </c>
      <c r="B263" s="265" t="s">
        <v>25645</v>
      </c>
      <c r="C263" s="440">
        <v>14077509.2629</v>
      </c>
      <c r="D263" s="440">
        <v>109.98050000000001</v>
      </c>
      <c r="E263" s="440">
        <v>79.167699999999996</v>
      </c>
      <c r="F263" s="440">
        <v>0</v>
      </c>
      <c r="G263" s="440">
        <v>244.40119999999999</v>
      </c>
      <c r="H263" s="440">
        <v>620.4855</v>
      </c>
      <c r="I263" s="440">
        <v>88.222800000000007</v>
      </c>
      <c r="J263" s="440">
        <v>1142.2577000000001</v>
      </c>
      <c r="K263" s="440">
        <v>277.37099999999998</v>
      </c>
    </row>
    <row r="264" spans="1:11" ht="31.5">
      <c r="A264" s="261" t="s">
        <v>11054</v>
      </c>
      <c r="B264" s="265" t="s">
        <v>25646</v>
      </c>
      <c r="C264" s="440">
        <v>21515019.2247</v>
      </c>
      <c r="D264" s="440">
        <v>168.08609999999999</v>
      </c>
      <c r="E264" s="440">
        <v>120.994</v>
      </c>
      <c r="F264" s="440">
        <v>0</v>
      </c>
      <c r="G264" s="440">
        <v>373.52460000000002</v>
      </c>
      <c r="H264" s="440">
        <v>1122.8625</v>
      </c>
      <c r="I264" s="440">
        <v>88.222800000000007</v>
      </c>
      <c r="J264" s="440">
        <v>1873.69</v>
      </c>
      <c r="K264" s="440">
        <v>377.30290000000002</v>
      </c>
    </row>
    <row r="265" spans="1:11">
      <c r="A265" s="261" t="s">
        <v>11055</v>
      </c>
      <c r="B265" s="265" t="s">
        <v>25647</v>
      </c>
      <c r="C265" s="440">
        <v>3954351.5443000002</v>
      </c>
      <c r="D265" s="440">
        <v>41.191200000000002</v>
      </c>
      <c r="E265" s="440">
        <v>18.3552</v>
      </c>
      <c r="F265" s="440">
        <v>0</v>
      </c>
      <c r="G265" s="440">
        <v>91.535899999999998</v>
      </c>
      <c r="H265" s="440">
        <v>235.99520000000001</v>
      </c>
      <c r="I265" s="440">
        <v>134.07990000000001</v>
      </c>
      <c r="J265" s="440">
        <v>521.15740000000005</v>
      </c>
      <c r="K265" s="440">
        <v>193.62629999999999</v>
      </c>
    </row>
    <row r="266" spans="1:11">
      <c r="A266" s="261" t="s">
        <v>11056</v>
      </c>
      <c r="B266" s="265" t="s">
        <v>25648</v>
      </c>
      <c r="C266" s="440">
        <v>83935.422999999995</v>
      </c>
      <c r="D266" s="440">
        <v>5.5956999999999999</v>
      </c>
      <c r="E266" s="440">
        <v>1.5105</v>
      </c>
      <c r="F266" s="440">
        <v>0</v>
      </c>
      <c r="G266" s="440">
        <v>5.5956999999999999</v>
      </c>
      <c r="H266" s="440">
        <v>13.197100000000001</v>
      </c>
      <c r="I266" s="440">
        <v>0</v>
      </c>
      <c r="J266" s="440">
        <v>25.899000000000001</v>
      </c>
      <c r="K266" s="440">
        <v>7.1062000000000003</v>
      </c>
    </row>
    <row r="267" spans="1:11">
      <c r="A267" s="261" t="s">
        <v>11057</v>
      </c>
      <c r="B267" s="265" t="s">
        <v>25649</v>
      </c>
      <c r="C267" s="440">
        <v>128075.5637</v>
      </c>
      <c r="D267" s="440">
        <v>8.5383999999999993</v>
      </c>
      <c r="E267" s="440">
        <v>2.3048000000000002</v>
      </c>
      <c r="F267" s="440">
        <v>0</v>
      </c>
      <c r="G267" s="440">
        <v>8.5383999999999993</v>
      </c>
      <c r="H267" s="440">
        <v>31.107500000000002</v>
      </c>
      <c r="I267" s="440">
        <v>0</v>
      </c>
      <c r="J267" s="440">
        <v>50.489100000000001</v>
      </c>
      <c r="K267" s="440">
        <v>10.8432</v>
      </c>
    </row>
    <row r="268" spans="1:11">
      <c r="A268" s="261" t="s">
        <v>11058</v>
      </c>
      <c r="B268" s="265" t="s">
        <v>25650</v>
      </c>
      <c r="C268" s="440">
        <v>1464175.7418</v>
      </c>
      <c r="D268" s="440">
        <v>97.611699999999999</v>
      </c>
      <c r="E268" s="440">
        <v>26.3491</v>
      </c>
      <c r="F268" s="440">
        <v>0</v>
      </c>
      <c r="G268" s="440">
        <v>97.611699999999999</v>
      </c>
      <c r="H268" s="440">
        <v>31.052</v>
      </c>
      <c r="I268" s="440">
        <v>32.087499999999999</v>
      </c>
      <c r="J268" s="440">
        <v>284.71199999999999</v>
      </c>
      <c r="K268" s="440">
        <v>156.04830000000001</v>
      </c>
    </row>
    <row r="269" spans="1:11" ht="31.5">
      <c r="A269" s="261" t="s">
        <v>11059</v>
      </c>
      <c r="B269" s="265" t="s">
        <v>25651</v>
      </c>
      <c r="C269" s="440">
        <v>2847.8643999999999</v>
      </c>
      <c r="D269" s="440">
        <v>0.25629999999999997</v>
      </c>
      <c r="E269" s="440">
        <v>5.2699999999999997E-2</v>
      </c>
      <c r="F269" s="440">
        <v>0</v>
      </c>
      <c r="G269" s="440">
        <v>0.1424</v>
      </c>
      <c r="H269" s="440">
        <v>0</v>
      </c>
      <c r="I269" s="440">
        <v>0</v>
      </c>
      <c r="J269" s="440">
        <v>0.45140000000000002</v>
      </c>
      <c r="K269" s="440">
        <v>0.309</v>
      </c>
    </row>
    <row r="270" spans="1:11">
      <c r="A270" s="261" t="s">
        <v>11060</v>
      </c>
      <c r="B270" s="265" t="s">
        <v>25652</v>
      </c>
      <c r="C270" s="440">
        <v>124308.71339999999</v>
      </c>
      <c r="D270" s="440">
        <v>8.2872000000000003</v>
      </c>
      <c r="E270" s="440">
        <v>2.2370000000000001</v>
      </c>
      <c r="F270" s="440">
        <v>0</v>
      </c>
      <c r="G270" s="440">
        <v>8.2872000000000003</v>
      </c>
      <c r="H270" s="440">
        <v>25.451599999999999</v>
      </c>
      <c r="I270" s="440">
        <v>0</v>
      </c>
      <c r="J270" s="440">
        <v>44.262999999999998</v>
      </c>
      <c r="K270" s="440">
        <v>10.5242</v>
      </c>
    </row>
    <row r="271" spans="1:11">
      <c r="A271" s="261" t="s">
        <v>11061</v>
      </c>
      <c r="B271" s="265" t="s">
        <v>25653</v>
      </c>
      <c r="C271" s="440">
        <v>13944.2726</v>
      </c>
      <c r="D271" s="440">
        <v>0.92959999999999998</v>
      </c>
      <c r="E271" s="440">
        <v>0.25090000000000001</v>
      </c>
      <c r="F271" s="440">
        <v>0</v>
      </c>
      <c r="G271" s="440">
        <v>0.92959999999999998</v>
      </c>
      <c r="H271" s="440">
        <v>6.1807999999999996</v>
      </c>
      <c r="I271" s="440">
        <v>0</v>
      </c>
      <c r="J271" s="440">
        <v>8.2909000000000006</v>
      </c>
      <c r="K271" s="440">
        <v>1.1805000000000001</v>
      </c>
    </row>
    <row r="272" spans="1:11">
      <c r="A272" s="261" t="s">
        <v>11062</v>
      </c>
      <c r="B272" s="265" t="s">
        <v>25654</v>
      </c>
      <c r="C272" s="440">
        <v>611043.31700000004</v>
      </c>
      <c r="D272" s="440">
        <v>40.736199999999997</v>
      </c>
      <c r="E272" s="440">
        <v>10.9962</v>
      </c>
      <c r="F272" s="440">
        <v>0</v>
      </c>
      <c r="G272" s="440">
        <v>40.736199999999997</v>
      </c>
      <c r="H272" s="440">
        <v>200.78450000000001</v>
      </c>
      <c r="I272" s="440">
        <v>0</v>
      </c>
      <c r="J272" s="440">
        <v>293.25310000000002</v>
      </c>
      <c r="K272" s="440">
        <v>51.732399999999998</v>
      </c>
    </row>
    <row r="273" spans="1:11">
      <c r="A273" s="261" t="s">
        <v>11063</v>
      </c>
      <c r="B273" s="265" t="s">
        <v>25655</v>
      </c>
      <c r="C273" s="440">
        <v>147547.9166</v>
      </c>
      <c r="D273" s="440">
        <v>9.8364999999999991</v>
      </c>
      <c r="E273" s="440">
        <v>2.6551999999999998</v>
      </c>
      <c r="F273" s="440">
        <v>0</v>
      </c>
      <c r="G273" s="440">
        <v>9.8364999999999991</v>
      </c>
      <c r="H273" s="440">
        <v>33.935400000000001</v>
      </c>
      <c r="I273" s="440">
        <v>0</v>
      </c>
      <c r="J273" s="440">
        <v>56.263599999999997</v>
      </c>
      <c r="K273" s="440">
        <v>12.4917</v>
      </c>
    </row>
    <row r="274" spans="1:11">
      <c r="A274" s="261" t="s">
        <v>11064</v>
      </c>
      <c r="B274" s="265" t="s">
        <v>25656</v>
      </c>
      <c r="C274" s="440">
        <v>4117014.1677000001</v>
      </c>
      <c r="D274" s="440">
        <v>144.09549999999999</v>
      </c>
      <c r="E274" s="440">
        <v>69.855400000000003</v>
      </c>
      <c r="F274" s="440">
        <v>0</v>
      </c>
      <c r="G274" s="440">
        <v>205.85069999999999</v>
      </c>
      <c r="H274" s="440">
        <v>51.5685</v>
      </c>
      <c r="I274" s="440">
        <v>38.9756</v>
      </c>
      <c r="J274" s="440">
        <v>510.34570000000002</v>
      </c>
      <c r="K274" s="440">
        <v>252.9265</v>
      </c>
    </row>
    <row r="275" spans="1:11">
      <c r="A275" s="261" t="s">
        <v>11065</v>
      </c>
      <c r="B275" s="265" t="s">
        <v>25657</v>
      </c>
      <c r="C275" s="440">
        <v>786791.87520000001</v>
      </c>
      <c r="D275" s="440">
        <v>52.452800000000003</v>
      </c>
      <c r="E275" s="440">
        <v>14.159000000000001</v>
      </c>
      <c r="F275" s="440">
        <v>0</v>
      </c>
      <c r="G275" s="440">
        <v>52.452800000000003</v>
      </c>
      <c r="H275" s="440">
        <v>312.1114</v>
      </c>
      <c r="I275" s="440">
        <v>0</v>
      </c>
      <c r="J275" s="440">
        <v>431.17599999999999</v>
      </c>
      <c r="K275" s="440">
        <v>66.611800000000002</v>
      </c>
    </row>
    <row r="276" spans="1:11" ht="31.5">
      <c r="A276" s="261" t="s">
        <v>11066</v>
      </c>
      <c r="B276" s="265" t="s">
        <v>25658</v>
      </c>
      <c r="C276" s="440">
        <v>5555159.4374000002</v>
      </c>
      <c r="D276" s="440">
        <v>194.4306</v>
      </c>
      <c r="E276" s="440">
        <v>94.257199999999997</v>
      </c>
      <c r="F276" s="440">
        <v>0</v>
      </c>
      <c r="G276" s="440">
        <v>277.75799999999998</v>
      </c>
      <c r="H276" s="440">
        <v>51.5685</v>
      </c>
      <c r="I276" s="440">
        <v>38.9756</v>
      </c>
      <c r="J276" s="440">
        <v>656.98990000000003</v>
      </c>
      <c r="K276" s="440">
        <v>327.66340000000002</v>
      </c>
    </row>
    <row r="277" spans="1:11" ht="31.5">
      <c r="A277" s="261" t="s">
        <v>11067</v>
      </c>
      <c r="B277" s="265" t="s">
        <v>25659</v>
      </c>
      <c r="C277" s="440">
        <v>5555159.4374000002</v>
      </c>
      <c r="D277" s="440">
        <v>194.4306</v>
      </c>
      <c r="E277" s="440">
        <v>94.257199999999997</v>
      </c>
      <c r="F277" s="440">
        <v>0</v>
      </c>
      <c r="G277" s="440">
        <v>277.75799999999998</v>
      </c>
      <c r="H277" s="440">
        <v>51.5685</v>
      </c>
      <c r="I277" s="440">
        <v>38.9756</v>
      </c>
      <c r="J277" s="440">
        <v>656.98990000000003</v>
      </c>
      <c r="K277" s="440">
        <v>327.66340000000002</v>
      </c>
    </row>
    <row r="278" spans="1:11" ht="31.5">
      <c r="A278" s="261" t="s">
        <v>11068</v>
      </c>
      <c r="B278" s="265" t="s">
        <v>25660</v>
      </c>
      <c r="C278" s="440">
        <v>5538274.6157</v>
      </c>
      <c r="D278" s="440">
        <v>193.83959999999999</v>
      </c>
      <c r="E278" s="440">
        <v>93.970699999999994</v>
      </c>
      <c r="F278" s="440">
        <v>0</v>
      </c>
      <c r="G278" s="440">
        <v>276.91370000000001</v>
      </c>
      <c r="H278" s="440">
        <v>51.5685</v>
      </c>
      <c r="I278" s="440">
        <v>38.9756</v>
      </c>
      <c r="J278" s="440">
        <v>655.2681</v>
      </c>
      <c r="K278" s="440">
        <v>326.78590000000003</v>
      </c>
    </row>
    <row r="279" spans="1:11" ht="31.5">
      <c r="A279" s="261" t="s">
        <v>11069</v>
      </c>
      <c r="B279" s="265" t="s">
        <v>25661</v>
      </c>
      <c r="C279" s="440">
        <v>5538274.6157</v>
      </c>
      <c r="D279" s="440">
        <v>193.83959999999999</v>
      </c>
      <c r="E279" s="440">
        <v>93.970699999999994</v>
      </c>
      <c r="F279" s="440">
        <v>0</v>
      </c>
      <c r="G279" s="440">
        <v>276.91370000000001</v>
      </c>
      <c r="H279" s="440">
        <v>51.5685</v>
      </c>
      <c r="I279" s="440">
        <v>38.9756</v>
      </c>
      <c r="J279" s="440">
        <v>655.2681</v>
      </c>
      <c r="K279" s="440">
        <v>326.78590000000003</v>
      </c>
    </row>
    <row r="280" spans="1:11">
      <c r="A280" s="261" t="s">
        <v>11070</v>
      </c>
      <c r="B280" s="265" t="s">
        <v>25662</v>
      </c>
      <c r="C280" s="440">
        <v>3408546.3587000002</v>
      </c>
      <c r="D280" s="440">
        <v>119.2991</v>
      </c>
      <c r="E280" s="440">
        <v>57.834499999999998</v>
      </c>
      <c r="F280" s="440">
        <v>0</v>
      </c>
      <c r="G280" s="440">
        <v>170.4273</v>
      </c>
      <c r="H280" s="440">
        <v>51.5685</v>
      </c>
      <c r="I280" s="440">
        <v>38.9756</v>
      </c>
      <c r="J280" s="440">
        <v>438.10500000000002</v>
      </c>
      <c r="K280" s="440">
        <v>216.10919999999999</v>
      </c>
    </row>
    <row r="281" spans="1:11">
      <c r="A281" s="261" t="s">
        <v>11071</v>
      </c>
      <c r="B281" s="265" t="s">
        <v>25663</v>
      </c>
      <c r="C281" s="440">
        <v>130567.3904</v>
      </c>
      <c r="D281" s="440">
        <v>8.7044999999999995</v>
      </c>
      <c r="E281" s="440">
        <v>2.3496999999999999</v>
      </c>
      <c r="F281" s="440">
        <v>0</v>
      </c>
      <c r="G281" s="440">
        <v>8.7044999999999995</v>
      </c>
      <c r="H281" s="440">
        <v>33.935400000000001</v>
      </c>
      <c r="I281" s="440">
        <v>0</v>
      </c>
      <c r="J281" s="440">
        <v>53.694099999999999</v>
      </c>
      <c r="K281" s="440">
        <v>11.0542</v>
      </c>
    </row>
    <row r="282" spans="1:11">
      <c r="A282" s="261" t="s">
        <v>11072</v>
      </c>
      <c r="B282" s="265" t="s">
        <v>25664</v>
      </c>
      <c r="C282" s="440">
        <v>5871.9874</v>
      </c>
      <c r="D282" s="440">
        <v>0.4698</v>
      </c>
      <c r="E282" s="440">
        <v>0.1087</v>
      </c>
      <c r="F282" s="440">
        <v>0</v>
      </c>
      <c r="G282" s="440">
        <v>0.4698</v>
      </c>
      <c r="H282" s="440">
        <v>0</v>
      </c>
      <c r="I282" s="440">
        <v>0</v>
      </c>
      <c r="J282" s="440">
        <v>1.0483</v>
      </c>
      <c r="K282" s="440">
        <v>0.57850000000000001</v>
      </c>
    </row>
    <row r="283" spans="1:11">
      <c r="A283" s="261" t="s">
        <v>11073</v>
      </c>
      <c r="B283" s="265" t="s">
        <v>25665</v>
      </c>
      <c r="C283" s="440">
        <v>6081914.3245000001</v>
      </c>
      <c r="D283" s="440">
        <v>212.86699999999999</v>
      </c>
      <c r="E283" s="440">
        <v>103.1949</v>
      </c>
      <c r="F283" s="440">
        <v>0</v>
      </c>
      <c r="G283" s="440">
        <v>304.09570000000002</v>
      </c>
      <c r="H283" s="440">
        <v>58.777000000000001</v>
      </c>
      <c r="I283" s="440">
        <v>38.9756</v>
      </c>
      <c r="J283" s="440">
        <v>717.91020000000003</v>
      </c>
      <c r="K283" s="440">
        <v>355.03750000000002</v>
      </c>
    </row>
    <row r="284" spans="1:11">
      <c r="A284" s="261" t="s">
        <v>11074</v>
      </c>
      <c r="B284" s="265" t="s">
        <v>25666</v>
      </c>
      <c r="C284" s="440">
        <v>13529.0573</v>
      </c>
      <c r="D284" s="440">
        <v>1.8039000000000001</v>
      </c>
      <c r="E284" s="440">
        <v>0.41739999999999999</v>
      </c>
      <c r="F284" s="440">
        <v>0</v>
      </c>
      <c r="G284" s="440">
        <v>1.3529</v>
      </c>
      <c r="H284" s="440">
        <v>0</v>
      </c>
      <c r="I284" s="440">
        <v>0</v>
      </c>
      <c r="J284" s="440">
        <v>3.5741999999999998</v>
      </c>
      <c r="K284" s="440">
        <v>2.2212999999999998</v>
      </c>
    </row>
    <row r="285" spans="1:11">
      <c r="A285" s="261" t="s">
        <v>11075</v>
      </c>
      <c r="B285" s="265" t="s">
        <v>25667</v>
      </c>
      <c r="C285" s="440">
        <v>447777.87520000001</v>
      </c>
      <c r="D285" s="440">
        <v>29.851900000000001</v>
      </c>
      <c r="E285" s="440">
        <v>8.0580999999999996</v>
      </c>
      <c r="F285" s="440">
        <v>0</v>
      </c>
      <c r="G285" s="440">
        <v>29.851900000000001</v>
      </c>
      <c r="H285" s="440">
        <v>149.06120000000001</v>
      </c>
      <c r="I285" s="440">
        <v>0</v>
      </c>
      <c r="J285" s="440">
        <v>216.82310000000001</v>
      </c>
      <c r="K285" s="440">
        <v>37.909999999999997</v>
      </c>
    </row>
    <row r="286" spans="1:11">
      <c r="A286" s="261" t="s">
        <v>11076</v>
      </c>
      <c r="B286" s="265" t="s">
        <v>25668</v>
      </c>
      <c r="C286" s="440">
        <v>1905972.9372</v>
      </c>
      <c r="D286" s="440">
        <v>61.263399999999997</v>
      </c>
      <c r="E286" s="440">
        <v>16.799800000000001</v>
      </c>
      <c r="F286" s="440">
        <v>0</v>
      </c>
      <c r="G286" s="440">
        <v>68.070499999999996</v>
      </c>
      <c r="H286" s="440">
        <v>0</v>
      </c>
      <c r="I286" s="440">
        <v>60.763199999999998</v>
      </c>
      <c r="J286" s="440">
        <v>206.89689999999999</v>
      </c>
      <c r="K286" s="440">
        <v>138.82640000000001</v>
      </c>
    </row>
    <row r="287" spans="1:11">
      <c r="A287" s="261" t="s">
        <v>11077</v>
      </c>
      <c r="B287" s="265" t="s">
        <v>25669</v>
      </c>
      <c r="C287" s="440">
        <v>391442.93719999999</v>
      </c>
      <c r="D287" s="440">
        <v>12.582100000000001</v>
      </c>
      <c r="E287" s="440">
        <v>3.4502999999999999</v>
      </c>
      <c r="F287" s="440">
        <v>0</v>
      </c>
      <c r="G287" s="440">
        <v>13.9801</v>
      </c>
      <c r="H287" s="440">
        <v>0</v>
      </c>
      <c r="I287" s="440">
        <v>60.763199999999998</v>
      </c>
      <c r="J287" s="440">
        <v>90.775700000000001</v>
      </c>
      <c r="K287" s="440">
        <v>76.795599999999993</v>
      </c>
    </row>
    <row r="288" spans="1:11">
      <c r="A288" s="261" t="s">
        <v>11078</v>
      </c>
      <c r="B288" s="265" t="s">
        <v>25670</v>
      </c>
      <c r="C288" s="440">
        <v>5071.2557999999999</v>
      </c>
      <c r="D288" s="440">
        <v>0.40570000000000001</v>
      </c>
      <c r="E288" s="440">
        <v>9.3899999999999997E-2</v>
      </c>
      <c r="F288" s="440">
        <v>0</v>
      </c>
      <c r="G288" s="440">
        <v>0.40570000000000001</v>
      </c>
      <c r="H288" s="440">
        <v>0</v>
      </c>
      <c r="I288" s="440">
        <v>0</v>
      </c>
      <c r="J288" s="440">
        <v>0.90529999999999999</v>
      </c>
      <c r="K288" s="440">
        <v>0.49959999999999999</v>
      </c>
    </row>
    <row r="289" spans="1:11">
      <c r="A289" s="261" t="s">
        <v>11079</v>
      </c>
      <c r="B289" s="265" t="s">
        <v>25671</v>
      </c>
      <c r="C289" s="440">
        <v>471560.00819999998</v>
      </c>
      <c r="D289" s="440">
        <v>7.3681000000000001</v>
      </c>
      <c r="E289" s="440">
        <v>2.7782</v>
      </c>
      <c r="F289" s="440">
        <v>0</v>
      </c>
      <c r="G289" s="440">
        <v>8.1867999999999999</v>
      </c>
      <c r="H289" s="440">
        <v>155.0592</v>
      </c>
      <c r="I289" s="440">
        <v>35.058399999999999</v>
      </c>
      <c r="J289" s="440">
        <v>208.45070000000001</v>
      </c>
      <c r="K289" s="440">
        <v>45.204700000000003</v>
      </c>
    </row>
    <row r="290" spans="1:11" ht="31.5">
      <c r="A290" s="261" t="s">
        <v>11080</v>
      </c>
      <c r="B290" s="265" t="s">
        <v>25672</v>
      </c>
      <c r="C290" s="440">
        <v>12350.877</v>
      </c>
      <c r="D290" s="440">
        <v>0.98809999999999998</v>
      </c>
      <c r="E290" s="440">
        <v>0.2286</v>
      </c>
      <c r="F290" s="440">
        <v>0</v>
      </c>
      <c r="G290" s="440">
        <v>0.98809999999999998</v>
      </c>
      <c r="H290" s="440">
        <v>0</v>
      </c>
      <c r="I290" s="440">
        <v>27.6023</v>
      </c>
      <c r="J290" s="440">
        <v>29.807099999999998</v>
      </c>
      <c r="K290" s="440">
        <v>28.818999999999999</v>
      </c>
    </row>
    <row r="291" spans="1:11">
      <c r="A291" s="261" t="s">
        <v>11081</v>
      </c>
      <c r="B291" s="265" t="s">
        <v>25673</v>
      </c>
      <c r="C291" s="440">
        <v>5719952.6298000002</v>
      </c>
      <c r="D291" s="440">
        <v>333.66390000000001</v>
      </c>
      <c r="E291" s="440">
        <v>102.9353</v>
      </c>
      <c r="F291" s="440">
        <v>0</v>
      </c>
      <c r="G291" s="440">
        <v>476.66269999999997</v>
      </c>
      <c r="H291" s="440">
        <v>409.221</v>
      </c>
      <c r="I291" s="440">
        <v>38.9756</v>
      </c>
      <c r="J291" s="440">
        <v>1361.4585</v>
      </c>
      <c r="K291" s="440">
        <v>475.57479999999998</v>
      </c>
    </row>
    <row r="292" spans="1:11" ht="31.5">
      <c r="A292" s="261" t="s">
        <v>11082</v>
      </c>
      <c r="B292" s="265" t="s">
        <v>25674</v>
      </c>
      <c r="C292" s="440">
        <v>770045.88040000002</v>
      </c>
      <c r="D292" s="440">
        <v>51.336399999999998</v>
      </c>
      <c r="E292" s="440">
        <v>13.8576</v>
      </c>
      <c r="F292" s="440">
        <v>0</v>
      </c>
      <c r="G292" s="440">
        <v>51.336399999999998</v>
      </c>
      <c r="H292" s="440">
        <v>122.7663</v>
      </c>
      <c r="I292" s="440">
        <v>32.087499999999999</v>
      </c>
      <c r="J292" s="440">
        <v>271.38420000000002</v>
      </c>
      <c r="K292" s="440">
        <v>97.281499999999994</v>
      </c>
    </row>
    <row r="293" spans="1:11" ht="31.5">
      <c r="A293" s="261" t="s">
        <v>11083</v>
      </c>
      <c r="B293" s="265" t="s">
        <v>25675</v>
      </c>
      <c r="C293" s="440">
        <v>263140.63260000001</v>
      </c>
      <c r="D293" s="440">
        <v>17.5427</v>
      </c>
      <c r="E293" s="440">
        <v>4.7354000000000003</v>
      </c>
      <c r="F293" s="440">
        <v>0</v>
      </c>
      <c r="G293" s="440">
        <v>17.5427</v>
      </c>
      <c r="H293" s="440">
        <v>26.948699999999999</v>
      </c>
      <c r="I293" s="440">
        <v>32.087499999999999</v>
      </c>
      <c r="J293" s="440">
        <v>98.856999999999999</v>
      </c>
      <c r="K293" s="440">
        <v>54.365600000000001</v>
      </c>
    </row>
    <row r="294" spans="1:11">
      <c r="A294" s="261" t="s">
        <v>11084</v>
      </c>
      <c r="B294" s="265" t="s">
        <v>25676</v>
      </c>
      <c r="C294" s="440">
        <v>4973.2501000000002</v>
      </c>
      <c r="D294" s="440">
        <v>0.39789999999999998</v>
      </c>
      <c r="E294" s="440">
        <v>9.2100000000000001E-2</v>
      </c>
      <c r="F294" s="440">
        <v>0</v>
      </c>
      <c r="G294" s="440">
        <v>0.39789999999999998</v>
      </c>
      <c r="H294" s="440">
        <v>0</v>
      </c>
      <c r="I294" s="440">
        <v>0</v>
      </c>
      <c r="J294" s="440">
        <v>0.88790000000000002</v>
      </c>
      <c r="K294" s="440">
        <v>0.49</v>
      </c>
    </row>
    <row r="295" spans="1:11">
      <c r="A295" s="261" t="s">
        <v>11085</v>
      </c>
      <c r="B295" s="265" t="s">
        <v>25677</v>
      </c>
      <c r="C295" s="440">
        <v>320652.3063</v>
      </c>
      <c r="D295" s="440">
        <v>19.239100000000001</v>
      </c>
      <c r="E295" s="440">
        <v>5.9352999999999998</v>
      </c>
      <c r="F295" s="440">
        <v>2.4049</v>
      </c>
      <c r="G295" s="440">
        <v>19.239100000000001</v>
      </c>
      <c r="H295" s="440">
        <v>40.755800000000001</v>
      </c>
      <c r="I295" s="440">
        <v>27.0077</v>
      </c>
      <c r="J295" s="440">
        <v>114.5819</v>
      </c>
      <c r="K295" s="440">
        <v>54.587000000000003</v>
      </c>
    </row>
    <row r="296" spans="1:11" ht="31.5">
      <c r="A296" s="261" t="s">
        <v>11086</v>
      </c>
      <c r="B296" s="265" t="s">
        <v>25678</v>
      </c>
      <c r="C296" s="440">
        <v>533599.22010000004</v>
      </c>
      <c r="D296" s="440">
        <v>35.573300000000003</v>
      </c>
      <c r="E296" s="440">
        <v>9.6026000000000007</v>
      </c>
      <c r="F296" s="440">
        <v>0</v>
      </c>
      <c r="G296" s="440">
        <v>35.573300000000003</v>
      </c>
      <c r="H296" s="440">
        <v>72.750399999999999</v>
      </c>
      <c r="I296" s="440">
        <v>32.087499999999999</v>
      </c>
      <c r="J296" s="440">
        <v>185.58709999999999</v>
      </c>
      <c r="K296" s="440">
        <v>77.263400000000004</v>
      </c>
    </row>
    <row r="297" spans="1:11" ht="31.5">
      <c r="A297" s="261" t="s">
        <v>11087</v>
      </c>
      <c r="B297" s="265" t="s">
        <v>25679</v>
      </c>
      <c r="C297" s="440">
        <v>8056868.9217999997</v>
      </c>
      <c r="D297" s="440">
        <v>402.84339999999997</v>
      </c>
      <c r="E297" s="440">
        <v>142.03110000000001</v>
      </c>
      <c r="F297" s="440">
        <v>0</v>
      </c>
      <c r="G297" s="440">
        <v>517.94159999999999</v>
      </c>
      <c r="H297" s="440">
        <v>0</v>
      </c>
      <c r="I297" s="440">
        <v>38.9756</v>
      </c>
      <c r="J297" s="440">
        <v>1101.7917</v>
      </c>
      <c r="K297" s="440">
        <v>583.8501</v>
      </c>
    </row>
    <row r="298" spans="1:11">
      <c r="A298" s="261" t="s">
        <v>11088</v>
      </c>
      <c r="B298" s="265" t="s">
        <v>25680</v>
      </c>
      <c r="C298" s="440">
        <v>390274.66800000001</v>
      </c>
      <c r="D298" s="440">
        <v>31.222000000000001</v>
      </c>
      <c r="E298" s="440">
        <v>7.2240000000000002</v>
      </c>
      <c r="F298" s="440">
        <v>0</v>
      </c>
      <c r="G298" s="440">
        <v>19.5137</v>
      </c>
      <c r="H298" s="440">
        <v>0</v>
      </c>
      <c r="I298" s="440">
        <v>27.6023</v>
      </c>
      <c r="J298" s="440">
        <v>85.561999999999998</v>
      </c>
      <c r="K298" s="440">
        <v>66.048299999999998</v>
      </c>
    </row>
    <row r="299" spans="1:11">
      <c r="A299" s="261" t="s">
        <v>11089</v>
      </c>
      <c r="B299" s="265" t="s">
        <v>25681</v>
      </c>
      <c r="C299" s="440">
        <v>108523.7016</v>
      </c>
      <c r="D299" s="440">
        <v>6.9764999999999997</v>
      </c>
      <c r="E299" s="440">
        <v>1.9131</v>
      </c>
      <c r="F299" s="440">
        <v>0</v>
      </c>
      <c r="G299" s="440">
        <v>2.3254999999999999</v>
      </c>
      <c r="H299" s="440">
        <v>0</v>
      </c>
      <c r="I299" s="440">
        <v>27.6023</v>
      </c>
      <c r="J299" s="440">
        <v>38.817399999999999</v>
      </c>
      <c r="K299" s="440">
        <v>36.491900000000001</v>
      </c>
    </row>
    <row r="300" spans="1:11" ht="31.5">
      <c r="A300" s="261" t="s">
        <v>11090</v>
      </c>
      <c r="B300" s="265" t="s">
        <v>25682</v>
      </c>
      <c r="C300" s="440">
        <v>24641.383000000002</v>
      </c>
      <c r="D300" s="440">
        <v>1.9713000000000001</v>
      </c>
      <c r="E300" s="440">
        <v>0.45610000000000001</v>
      </c>
      <c r="F300" s="440">
        <v>0</v>
      </c>
      <c r="G300" s="440">
        <v>1.7249000000000001</v>
      </c>
      <c r="H300" s="440">
        <v>0</v>
      </c>
      <c r="I300" s="440">
        <v>27.6023</v>
      </c>
      <c r="J300" s="440">
        <v>31.7546</v>
      </c>
      <c r="K300" s="440">
        <v>30.029699999999998</v>
      </c>
    </row>
    <row r="301" spans="1:11">
      <c r="A301" s="261" t="s">
        <v>11091</v>
      </c>
      <c r="B301" s="265" t="s">
        <v>25683</v>
      </c>
      <c r="C301" s="440">
        <v>313776.27740000002</v>
      </c>
      <c r="D301" s="440">
        <v>21.964300000000001</v>
      </c>
      <c r="E301" s="440">
        <v>5.8079999999999998</v>
      </c>
      <c r="F301" s="440">
        <v>0</v>
      </c>
      <c r="G301" s="440">
        <v>21.964300000000001</v>
      </c>
      <c r="H301" s="440">
        <v>63.074399999999997</v>
      </c>
      <c r="I301" s="440">
        <v>32.087499999999999</v>
      </c>
      <c r="J301" s="440">
        <v>144.89850000000001</v>
      </c>
      <c r="K301" s="440">
        <v>59.8598</v>
      </c>
    </row>
    <row r="302" spans="1:11" ht="31.5">
      <c r="A302" s="261" t="s">
        <v>11092</v>
      </c>
      <c r="B302" s="265" t="s">
        <v>25684</v>
      </c>
      <c r="C302" s="440">
        <v>289309.60220000002</v>
      </c>
      <c r="D302" s="440">
        <v>32.5473</v>
      </c>
      <c r="E302" s="440">
        <v>10.040900000000001</v>
      </c>
      <c r="F302" s="440">
        <v>0</v>
      </c>
      <c r="G302" s="440">
        <v>36.163699999999999</v>
      </c>
      <c r="H302" s="440">
        <v>80.629800000000003</v>
      </c>
      <c r="I302" s="440">
        <v>27.6023</v>
      </c>
      <c r="J302" s="440">
        <v>186.98400000000001</v>
      </c>
      <c r="K302" s="440">
        <v>70.1905</v>
      </c>
    </row>
    <row r="303" spans="1:11">
      <c r="A303" s="261" t="s">
        <v>11093</v>
      </c>
      <c r="B303" s="265" t="s">
        <v>25685</v>
      </c>
      <c r="C303" s="440">
        <v>2444266.0515000001</v>
      </c>
      <c r="D303" s="440">
        <v>142.5822</v>
      </c>
      <c r="E303" s="440">
        <v>43.986600000000003</v>
      </c>
      <c r="F303" s="440">
        <v>0</v>
      </c>
      <c r="G303" s="440">
        <v>203.68879999999999</v>
      </c>
      <c r="H303" s="440">
        <v>154.7055</v>
      </c>
      <c r="I303" s="440">
        <v>38.9756</v>
      </c>
      <c r="J303" s="440">
        <v>583.93870000000004</v>
      </c>
      <c r="K303" s="440">
        <v>225.5444</v>
      </c>
    </row>
    <row r="304" spans="1:11">
      <c r="A304" s="261" t="s">
        <v>11094</v>
      </c>
      <c r="B304" s="265" t="s">
        <v>25686</v>
      </c>
      <c r="C304" s="440">
        <v>24108.372500000001</v>
      </c>
      <c r="D304" s="440">
        <v>2.1698</v>
      </c>
      <c r="E304" s="440">
        <v>0.44619999999999999</v>
      </c>
      <c r="F304" s="440">
        <v>0</v>
      </c>
      <c r="G304" s="440">
        <v>2.1698</v>
      </c>
      <c r="H304" s="440">
        <v>0</v>
      </c>
      <c r="I304" s="440">
        <v>27.6023</v>
      </c>
      <c r="J304" s="440">
        <v>32.388100000000001</v>
      </c>
      <c r="K304" s="440">
        <v>30.218299999999999</v>
      </c>
    </row>
    <row r="305" spans="1:11">
      <c r="A305" s="261" t="s">
        <v>11095</v>
      </c>
      <c r="B305" s="265" t="s">
        <v>25687</v>
      </c>
      <c r="C305" s="440">
        <v>14300.756799999999</v>
      </c>
      <c r="D305" s="440">
        <v>1.9068000000000001</v>
      </c>
      <c r="E305" s="440">
        <v>0.44119999999999998</v>
      </c>
      <c r="F305" s="440">
        <v>0</v>
      </c>
      <c r="G305" s="440">
        <v>1.4300999999999999</v>
      </c>
      <c r="H305" s="440">
        <v>0</v>
      </c>
      <c r="I305" s="440">
        <v>0</v>
      </c>
      <c r="J305" s="440">
        <v>3.7780999999999998</v>
      </c>
      <c r="K305" s="440">
        <v>2.3479999999999999</v>
      </c>
    </row>
    <row r="306" spans="1:11">
      <c r="A306" s="261" t="s">
        <v>11096</v>
      </c>
      <c r="B306" s="265" t="s">
        <v>25688</v>
      </c>
      <c r="C306" s="440">
        <v>237859.13769999999</v>
      </c>
      <c r="D306" s="440">
        <v>1.8583000000000001</v>
      </c>
      <c r="E306" s="440">
        <v>1.3375999999999999</v>
      </c>
      <c r="F306" s="440">
        <v>0</v>
      </c>
      <c r="G306" s="440">
        <v>3.0971000000000002</v>
      </c>
      <c r="H306" s="440">
        <v>0</v>
      </c>
      <c r="I306" s="440">
        <v>23.988600000000002</v>
      </c>
      <c r="J306" s="440">
        <v>30.281600000000001</v>
      </c>
      <c r="K306" s="440">
        <v>27.1845</v>
      </c>
    </row>
    <row r="307" spans="1:11">
      <c r="A307" s="261" t="s">
        <v>11097</v>
      </c>
      <c r="B307" s="265" t="s">
        <v>25689</v>
      </c>
      <c r="C307" s="440">
        <v>15243.272999999999</v>
      </c>
      <c r="D307" s="440">
        <v>1.2195</v>
      </c>
      <c r="E307" s="440">
        <v>0.28220000000000001</v>
      </c>
      <c r="F307" s="440">
        <v>0</v>
      </c>
      <c r="G307" s="440">
        <v>1.0669999999999999</v>
      </c>
      <c r="H307" s="440">
        <v>0</v>
      </c>
      <c r="I307" s="440">
        <v>27.6023</v>
      </c>
      <c r="J307" s="440">
        <v>30.170999999999999</v>
      </c>
      <c r="K307" s="440">
        <v>29.103999999999999</v>
      </c>
    </row>
    <row r="308" spans="1:11" ht="31.5">
      <c r="A308" s="261" t="s">
        <v>11098</v>
      </c>
      <c r="B308" s="265" t="s">
        <v>25690</v>
      </c>
      <c r="C308" s="440">
        <v>17518.547999999999</v>
      </c>
      <c r="D308" s="440">
        <v>1.4015</v>
      </c>
      <c r="E308" s="440">
        <v>0.32429999999999998</v>
      </c>
      <c r="F308" s="440">
        <v>0</v>
      </c>
      <c r="G308" s="440">
        <v>1.4015</v>
      </c>
      <c r="H308" s="440">
        <v>0</v>
      </c>
      <c r="I308" s="440">
        <v>27.6023</v>
      </c>
      <c r="J308" s="440">
        <v>30.729600000000001</v>
      </c>
      <c r="K308" s="440">
        <v>29.328099999999999</v>
      </c>
    </row>
    <row r="309" spans="1:11">
      <c r="A309" s="261" t="s">
        <v>11099</v>
      </c>
      <c r="B309" s="265" t="s">
        <v>25691</v>
      </c>
      <c r="C309" s="440">
        <v>11146.5052</v>
      </c>
      <c r="D309" s="440">
        <v>0.89170000000000005</v>
      </c>
      <c r="E309" s="440">
        <v>0.20630000000000001</v>
      </c>
      <c r="F309" s="440">
        <v>0</v>
      </c>
      <c r="G309" s="440">
        <v>0.89170000000000005</v>
      </c>
      <c r="H309" s="440">
        <v>0</v>
      </c>
      <c r="I309" s="440">
        <v>27.6023</v>
      </c>
      <c r="J309" s="440">
        <v>29.591999999999999</v>
      </c>
      <c r="K309" s="440">
        <v>28.700299999999999</v>
      </c>
    </row>
    <row r="310" spans="1:11">
      <c r="A310" s="261" t="s">
        <v>11100</v>
      </c>
      <c r="B310" s="265" t="s">
        <v>25692</v>
      </c>
      <c r="C310" s="440">
        <v>49457.97</v>
      </c>
      <c r="D310" s="440">
        <v>3.2972000000000001</v>
      </c>
      <c r="E310" s="440">
        <v>0.89</v>
      </c>
      <c r="F310" s="440">
        <v>0</v>
      </c>
      <c r="G310" s="440">
        <v>2.8849999999999998</v>
      </c>
      <c r="H310" s="440">
        <v>8.3175000000000008</v>
      </c>
      <c r="I310" s="440">
        <v>27.6023</v>
      </c>
      <c r="J310" s="440">
        <v>42.991999999999997</v>
      </c>
      <c r="K310" s="440">
        <v>31.7895</v>
      </c>
    </row>
    <row r="311" spans="1:11">
      <c r="A311" s="261" t="s">
        <v>11101</v>
      </c>
      <c r="B311" s="265" t="s">
        <v>25693</v>
      </c>
      <c r="C311" s="440">
        <v>30731290.887699999</v>
      </c>
      <c r="D311" s="440">
        <v>1229.2516000000001</v>
      </c>
      <c r="E311" s="440">
        <v>521.43320000000006</v>
      </c>
      <c r="F311" s="440">
        <v>0</v>
      </c>
      <c r="G311" s="440">
        <v>1229.2516000000001</v>
      </c>
      <c r="H311" s="440">
        <v>168.34620000000001</v>
      </c>
      <c r="I311" s="440">
        <v>77.9512</v>
      </c>
      <c r="J311" s="440">
        <v>3226.2338</v>
      </c>
      <c r="K311" s="440">
        <v>1828.636</v>
      </c>
    </row>
    <row r="312" spans="1:11">
      <c r="A312" s="261" t="s">
        <v>11102</v>
      </c>
      <c r="B312" s="265" t="s">
        <v>25694</v>
      </c>
      <c r="C312" s="440">
        <v>15378305.485200001</v>
      </c>
      <c r="D312" s="440">
        <v>615.13220000000001</v>
      </c>
      <c r="E312" s="440">
        <v>260.9314</v>
      </c>
      <c r="F312" s="440">
        <v>0</v>
      </c>
      <c r="G312" s="440">
        <v>615.13220000000001</v>
      </c>
      <c r="H312" s="440">
        <v>199.62</v>
      </c>
      <c r="I312" s="440">
        <v>77.9512</v>
      </c>
      <c r="J312" s="440">
        <v>1768.7670000000001</v>
      </c>
      <c r="K312" s="440">
        <v>954.01480000000004</v>
      </c>
    </row>
    <row r="313" spans="1:11">
      <c r="A313" s="261" t="s">
        <v>11103</v>
      </c>
      <c r="B313" s="265" t="s">
        <v>25695</v>
      </c>
      <c r="C313" s="440">
        <v>3217937.5776999998</v>
      </c>
      <c r="D313" s="440">
        <v>183.88210000000001</v>
      </c>
      <c r="E313" s="440">
        <v>56.727600000000002</v>
      </c>
      <c r="F313" s="440">
        <v>0</v>
      </c>
      <c r="G313" s="440">
        <v>137.91159999999999</v>
      </c>
      <c r="H313" s="440">
        <v>324.38249999999999</v>
      </c>
      <c r="I313" s="440">
        <v>32.087499999999999</v>
      </c>
      <c r="J313" s="440">
        <v>734.99130000000002</v>
      </c>
      <c r="K313" s="440">
        <v>272.69720000000001</v>
      </c>
    </row>
    <row r="314" spans="1:11" ht="31.5">
      <c r="A314" s="261" t="s">
        <v>11104</v>
      </c>
      <c r="B314" s="265" t="s">
        <v>25696</v>
      </c>
      <c r="C314" s="440">
        <v>15475.5218</v>
      </c>
      <c r="D314" s="440">
        <v>0.88429999999999997</v>
      </c>
      <c r="E314" s="440">
        <v>0.27279999999999999</v>
      </c>
      <c r="F314" s="440">
        <v>0</v>
      </c>
      <c r="G314" s="440">
        <v>0.88429999999999997</v>
      </c>
      <c r="H314" s="440">
        <v>0</v>
      </c>
      <c r="I314" s="440">
        <v>38.9756</v>
      </c>
      <c r="J314" s="440">
        <v>41.017000000000003</v>
      </c>
      <c r="K314" s="440">
        <v>40.1327</v>
      </c>
    </row>
    <row r="315" spans="1:11">
      <c r="A315" s="261" t="s">
        <v>11105</v>
      </c>
      <c r="B315" s="265" t="s">
        <v>25697</v>
      </c>
      <c r="C315" s="440">
        <v>933.72410000000002</v>
      </c>
      <c r="D315" s="440">
        <v>8.4000000000000005E-2</v>
      </c>
      <c r="E315" s="440">
        <v>1.7299999999999999E-2</v>
      </c>
      <c r="F315" s="440">
        <v>0</v>
      </c>
      <c r="G315" s="440">
        <v>4.6699999999999998E-2</v>
      </c>
      <c r="H315" s="440">
        <v>0</v>
      </c>
      <c r="I315" s="440">
        <v>0</v>
      </c>
      <c r="J315" s="440">
        <v>0.14799999999999999</v>
      </c>
      <c r="K315" s="440">
        <v>0.1013</v>
      </c>
    </row>
    <row r="316" spans="1:11">
      <c r="A316" s="261" t="s">
        <v>11106</v>
      </c>
      <c r="B316" s="265" t="s">
        <v>25698</v>
      </c>
      <c r="C316" s="440">
        <v>9714662.2256000005</v>
      </c>
      <c r="D316" s="440">
        <v>388.5865</v>
      </c>
      <c r="E316" s="440">
        <v>164.83349999999999</v>
      </c>
      <c r="F316" s="440">
        <v>0</v>
      </c>
      <c r="G316" s="440">
        <v>291.43990000000002</v>
      </c>
      <c r="H316" s="440">
        <v>59.220599999999997</v>
      </c>
      <c r="I316" s="440">
        <v>77.9512</v>
      </c>
      <c r="J316" s="440">
        <v>982.0317</v>
      </c>
      <c r="K316" s="440">
        <v>631.37120000000004</v>
      </c>
    </row>
    <row r="317" spans="1:11">
      <c r="A317" s="261" t="s">
        <v>11107</v>
      </c>
      <c r="B317" s="265" t="s">
        <v>25699</v>
      </c>
      <c r="C317" s="440">
        <v>5624.0186999999996</v>
      </c>
      <c r="D317" s="440">
        <v>0.22500000000000001</v>
      </c>
      <c r="E317" s="440">
        <v>9.5399999999999999E-2</v>
      </c>
      <c r="F317" s="440">
        <v>0</v>
      </c>
      <c r="G317" s="440">
        <v>0.1406</v>
      </c>
      <c r="H317" s="440">
        <v>0</v>
      </c>
      <c r="I317" s="440">
        <v>0</v>
      </c>
      <c r="J317" s="440">
        <v>0.46100000000000002</v>
      </c>
      <c r="K317" s="440">
        <v>0.32040000000000002</v>
      </c>
    </row>
    <row r="318" spans="1:11" ht="31.5">
      <c r="A318" s="261" t="s">
        <v>11108</v>
      </c>
      <c r="B318" s="265" t="s">
        <v>25700</v>
      </c>
      <c r="C318" s="440">
        <v>12230.6605</v>
      </c>
      <c r="D318" s="440">
        <v>0.69889999999999997</v>
      </c>
      <c r="E318" s="440">
        <v>0.21560000000000001</v>
      </c>
      <c r="F318" s="440">
        <v>0</v>
      </c>
      <c r="G318" s="440">
        <v>0.69889999999999997</v>
      </c>
      <c r="H318" s="440">
        <v>0</v>
      </c>
      <c r="I318" s="440">
        <v>38.9756</v>
      </c>
      <c r="J318" s="440">
        <v>40.588999999999999</v>
      </c>
      <c r="K318" s="440">
        <v>39.890099999999997</v>
      </c>
    </row>
    <row r="319" spans="1:11" ht="31.5">
      <c r="A319" s="261" t="s">
        <v>11109</v>
      </c>
      <c r="B319" s="265" t="s">
        <v>25701</v>
      </c>
      <c r="C319" s="440">
        <v>25459.677500000002</v>
      </c>
      <c r="D319" s="440">
        <v>1.4548000000000001</v>
      </c>
      <c r="E319" s="440">
        <v>0.44879999999999998</v>
      </c>
      <c r="F319" s="440">
        <v>0</v>
      </c>
      <c r="G319" s="440">
        <v>1.4548000000000001</v>
      </c>
      <c r="H319" s="440">
        <v>0</v>
      </c>
      <c r="I319" s="440">
        <v>38.9756</v>
      </c>
      <c r="J319" s="440">
        <v>42.334000000000003</v>
      </c>
      <c r="K319" s="440">
        <v>40.879199999999997</v>
      </c>
    </row>
    <row r="320" spans="1:11" ht="31.5">
      <c r="A320" s="261" t="s">
        <v>11110</v>
      </c>
      <c r="B320" s="265" t="s">
        <v>25702</v>
      </c>
      <c r="C320" s="440">
        <v>40602.450900000003</v>
      </c>
      <c r="D320" s="440">
        <v>2.3201000000000001</v>
      </c>
      <c r="E320" s="440">
        <v>0.71579999999999999</v>
      </c>
      <c r="F320" s="440">
        <v>0</v>
      </c>
      <c r="G320" s="440">
        <v>2.3201000000000001</v>
      </c>
      <c r="H320" s="440">
        <v>0</v>
      </c>
      <c r="I320" s="440">
        <v>38.9756</v>
      </c>
      <c r="J320" s="440">
        <v>44.331600000000002</v>
      </c>
      <c r="K320" s="440">
        <v>42.011499999999998</v>
      </c>
    </row>
    <row r="321" spans="1:11" ht="31.5">
      <c r="A321" s="261" t="s">
        <v>11111</v>
      </c>
      <c r="B321" s="265" t="s">
        <v>25703</v>
      </c>
      <c r="C321" s="440">
        <v>47924.205800000003</v>
      </c>
      <c r="D321" s="440">
        <v>2.7385000000000002</v>
      </c>
      <c r="E321" s="440">
        <v>0.8448</v>
      </c>
      <c r="F321" s="440">
        <v>0</v>
      </c>
      <c r="G321" s="440">
        <v>2.7385000000000002</v>
      </c>
      <c r="H321" s="440">
        <v>0</v>
      </c>
      <c r="I321" s="440">
        <v>38.9756</v>
      </c>
      <c r="J321" s="440">
        <v>45.297400000000003</v>
      </c>
      <c r="K321" s="440">
        <v>42.558900000000001</v>
      </c>
    </row>
    <row r="322" spans="1:11" ht="31.5">
      <c r="A322" s="261" t="s">
        <v>11112</v>
      </c>
      <c r="B322" s="265" t="s">
        <v>25704</v>
      </c>
      <c r="C322" s="440">
        <v>51252.2644</v>
      </c>
      <c r="D322" s="440">
        <v>2.9287000000000001</v>
      </c>
      <c r="E322" s="440">
        <v>0.90349999999999997</v>
      </c>
      <c r="F322" s="440">
        <v>0</v>
      </c>
      <c r="G322" s="440">
        <v>2.9287000000000001</v>
      </c>
      <c r="H322" s="440">
        <v>0</v>
      </c>
      <c r="I322" s="440">
        <v>38.9756</v>
      </c>
      <c r="J322" s="440">
        <v>45.736499999999999</v>
      </c>
      <c r="K322" s="440">
        <v>42.8078</v>
      </c>
    </row>
    <row r="323" spans="1:11" ht="31.5">
      <c r="A323" s="261" t="s">
        <v>11113</v>
      </c>
      <c r="B323" s="265" t="s">
        <v>25705</v>
      </c>
      <c r="C323" s="440">
        <v>54746.747499999998</v>
      </c>
      <c r="D323" s="440">
        <v>3.1284000000000001</v>
      </c>
      <c r="E323" s="440">
        <v>0.96509999999999996</v>
      </c>
      <c r="F323" s="440">
        <v>0</v>
      </c>
      <c r="G323" s="440">
        <v>3.1284000000000001</v>
      </c>
      <c r="H323" s="440">
        <v>0</v>
      </c>
      <c r="I323" s="440">
        <v>38.9756</v>
      </c>
      <c r="J323" s="440">
        <v>46.197499999999998</v>
      </c>
      <c r="K323" s="440">
        <v>43.069099999999999</v>
      </c>
    </row>
    <row r="324" spans="1:11">
      <c r="A324" s="261" t="s">
        <v>11114</v>
      </c>
      <c r="B324" s="265" t="s">
        <v>25706</v>
      </c>
      <c r="C324" s="440">
        <v>133750.48190000001</v>
      </c>
      <c r="D324" s="440">
        <v>7.6429</v>
      </c>
      <c r="E324" s="440">
        <v>2.3578000000000001</v>
      </c>
      <c r="F324" s="440">
        <v>0</v>
      </c>
      <c r="G324" s="440">
        <v>5.7321999999999997</v>
      </c>
      <c r="H324" s="440">
        <v>10.812799999999999</v>
      </c>
      <c r="I324" s="440">
        <v>32.087499999999999</v>
      </c>
      <c r="J324" s="440">
        <v>58.633200000000002</v>
      </c>
      <c r="K324" s="440">
        <v>42.088200000000001</v>
      </c>
    </row>
    <row r="325" spans="1:11">
      <c r="A325" s="261" t="s">
        <v>11115</v>
      </c>
      <c r="B325" s="265" t="s">
        <v>25707</v>
      </c>
      <c r="C325" s="440">
        <v>552113.67779999995</v>
      </c>
      <c r="D325" s="440">
        <v>31.549399999999999</v>
      </c>
      <c r="E325" s="440">
        <v>9.7330000000000005</v>
      </c>
      <c r="F325" s="440">
        <v>0</v>
      </c>
      <c r="G325" s="440">
        <v>27.605699999999999</v>
      </c>
      <c r="H325" s="440">
        <v>4.9240000000000004</v>
      </c>
      <c r="I325" s="440">
        <v>0</v>
      </c>
      <c r="J325" s="440">
        <v>73.812100000000001</v>
      </c>
      <c r="K325" s="440">
        <v>41.282400000000003</v>
      </c>
    </row>
    <row r="326" spans="1:11">
      <c r="A326" s="261" t="s">
        <v>11116</v>
      </c>
      <c r="B326" s="265" t="s">
        <v>25708</v>
      </c>
      <c r="C326" s="440">
        <v>51234.192799999997</v>
      </c>
      <c r="D326" s="440">
        <v>4.0987</v>
      </c>
      <c r="E326" s="440">
        <v>0.94830000000000003</v>
      </c>
      <c r="F326" s="440">
        <v>0</v>
      </c>
      <c r="G326" s="440">
        <v>4.0987</v>
      </c>
      <c r="H326" s="440">
        <v>3.7385999999999999</v>
      </c>
      <c r="I326" s="440">
        <v>0</v>
      </c>
      <c r="J326" s="440">
        <v>12.8843</v>
      </c>
      <c r="K326" s="440">
        <v>5.0469999999999997</v>
      </c>
    </row>
    <row r="327" spans="1:11" ht="31.5">
      <c r="A327" s="261" t="s">
        <v>11117</v>
      </c>
      <c r="B327" s="265" t="s">
        <v>25709</v>
      </c>
      <c r="C327" s="440">
        <v>128800</v>
      </c>
      <c r="D327" s="440">
        <v>9.8132999999999999</v>
      </c>
      <c r="E327" s="440">
        <v>2.649</v>
      </c>
      <c r="F327" s="440">
        <v>0</v>
      </c>
      <c r="G327" s="440">
        <v>9.8132999999999999</v>
      </c>
      <c r="H327" s="440">
        <v>0</v>
      </c>
      <c r="I327" s="440">
        <v>0</v>
      </c>
      <c r="J327" s="440">
        <v>22.275600000000001</v>
      </c>
      <c r="K327" s="440">
        <v>12.462300000000001</v>
      </c>
    </row>
    <row r="328" spans="1:11">
      <c r="A328" s="261" t="s">
        <v>11118</v>
      </c>
      <c r="B328" s="265" t="s">
        <v>25710</v>
      </c>
      <c r="C328" s="440">
        <v>70181.312699999995</v>
      </c>
      <c r="D328" s="440">
        <v>3.5091000000000001</v>
      </c>
      <c r="E328" s="440">
        <v>1.2372000000000001</v>
      </c>
      <c r="F328" s="440">
        <v>0</v>
      </c>
      <c r="G328" s="440">
        <v>2.5065</v>
      </c>
      <c r="H328" s="440">
        <v>3.3767999999999998</v>
      </c>
      <c r="I328" s="440">
        <v>0</v>
      </c>
      <c r="J328" s="440">
        <v>10.6296</v>
      </c>
      <c r="K328" s="440">
        <v>4.7462999999999997</v>
      </c>
    </row>
    <row r="329" spans="1:11">
      <c r="A329" s="261" t="s">
        <v>11119</v>
      </c>
      <c r="B329" s="265" t="s">
        <v>25711</v>
      </c>
      <c r="C329" s="440">
        <v>66272.161999999997</v>
      </c>
      <c r="D329" s="440">
        <v>5.3018000000000001</v>
      </c>
      <c r="E329" s="440">
        <v>1.2266999999999999</v>
      </c>
      <c r="F329" s="440">
        <v>0</v>
      </c>
      <c r="G329" s="440">
        <v>5.3018000000000001</v>
      </c>
      <c r="H329" s="440">
        <v>1.8089999999999999</v>
      </c>
      <c r="I329" s="440">
        <v>0</v>
      </c>
      <c r="J329" s="440">
        <v>13.6393</v>
      </c>
      <c r="K329" s="440">
        <v>6.5285000000000002</v>
      </c>
    </row>
    <row r="330" spans="1:11">
      <c r="A330" s="261" t="s">
        <v>11120</v>
      </c>
      <c r="B330" s="265" t="s">
        <v>25712</v>
      </c>
      <c r="C330" s="440">
        <v>77098.545599999998</v>
      </c>
      <c r="D330" s="440">
        <v>6.1679000000000004</v>
      </c>
      <c r="E330" s="440">
        <v>1.4271</v>
      </c>
      <c r="F330" s="440">
        <v>0</v>
      </c>
      <c r="G330" s="440">
        <v>6.1679000000000004</v>
      </c>
      <c r="H330" s="440">
        <v>8.0802999999999994</v>
      </c>
      <c r="I330" s="440">
        <v>0</v>
      </c>
      <c r="J330" s="440">
        <v>21.8432</v>
      </c>
      <c r="K330" s="440">
        <v>7.5949999999999998</v>
      </c>
    </row>
    <row r="331" spans="1:11">
      <c r="A331" s="261" t="s">
        <v>11121</v>
      </c>
      <c r="B331" s="265" t="s">
        <v>25713</v>
      </c>
      <c r="C331" s="440">
        <v>80593.327699999994</v>
      </c>
      <c r="D331" s="440">
        <v>6.4474999999999998</v>
      </c>
      <c r="E331" s="440">
        <v>1.4918</v>
      </c>
      <c r="F331" s="440">
        <v>0</v>
      </c>
      <c r="G331" s="440">
        <v>6.4474999999999998</v>
      </c>
      <c r="H331" s="440">
        <v>8.0802999999999994</v>
      </c>
      <c r="I331" s="440">
        <v>0</v>
      </c>
      <c r="J331" s="440">
        <v>22.467099999999999</v>
      </c>
      <c r="K331" s="440">
        <v>7.9393000000000002</v>
      </c>
    </row>
    <row r="332" spans="1:11">
      <c r="A332" s="261" t="s">
        <v>11122</v>
      </c>
      <c r="B332" s="265" t="s">
        <v>25714</v>
      </c>
      <c r="C332" s="440">
        <v>175689.8842</v>
      </c>
      <c r="D332" s="440">
        <v>14.055199999999999</v>
      </c>
      <c r="E332" s="440">
        <v>3.2519999999999998</v>
      </c>
      <c r="F332" s="440">
        <v>0</v>
      </c>
      <c r="G332" s="440">
        <v>12.298299999999999</v>
      </c>
      <c r="H332" s="440">
        <v>0</v>
      </c>
      <c r="I332" s="440">
        <v>27.6023</v>
      </c>
      <c r="J332" s="440">
        <v>57.207799999999999</v>
      </c>
      <c r="K332" s="440">
        <v>44.909500000000001</v>
      </c>
    </row>
    <row r="333" spans="1:11">
      <c r="A333" s="261" t="s">
        <v>11123</v>
      </c>
      <c r="B333" s="265" t="s">
        <v>25715</v>
      </c>
      <c r="C333" s="440">
        <v>25322.050599999999</v>
      </c>
      <c r="D333" s="440">
        <v>2.0257999999999998</v>
      </c>
      <c r="E333" s="440">
        <v>0.46870000000000001</v>
      </c>
      <c r="F333" s="440">
        <v>0</v>
      </c>
      <c r="G333" s="440">
        <v>2.0257999999999998</v>
      </c>
      <c r="H333" s="440">
        <v>6.0301</v>
      </c>
      <c r="I333" s="440">
        <v>0</v>
      </c>
      <c r="J333" s="440">
        <v>10.5504</v>
      </c>
      <c r="K333" s="440">
        <v>2.4944999999999999</v>
      </c>
    </row>
    <row r="334" spans="1:11">
      <c r="A334" s="261" t="s">
        <v>11124</v>
      </c>
      <c r="B334" s="265" t="s">
        <v>25716</v>
      </c>
      <c r="C334" s="440">
        <v>42859.798699999999</v>
      </c>
      <c r="D334" s="440">
        <v>3.4287999999999998</v>
      </c>
      <c r="E334" s="440">
        <v>0.79330000000000001</v>
      </c>
      <c r="F334" s="440">
        <v>0</v>
      </c>
      <c r="G334" s="440">
        <v>3.4287999999999998</v>
      </c>
      <c r="H334" s="440">
        <v>1.4472</v>
      </c>
      <c r="I334" s="440">
        <v>0</v>
      </c>
      <c r="J334" s="440">
        <v>9.0981000000000005</v>
      </c>
      <c r="K334" s="440">
        <v>4.2221000000000002</v>
      </c>
    </row>
    <row r="335" spans="1:11" ht="31.5">
      <c r="A335" s="261" t="s">
        <v>11125</v>
      </c>
      <c r="B335" s="265" t="s">
        <v>25717</v>
      </c>
      <c r="C335" s="440">
        <v>3665.5216999999998</v>
      </c>
      <c r="D335" s="440">
        <v>0.29320000000000002</v>
      </c>
      <c r="E335" s="440">
        <v>6.7799999999999999E-2</v>
      </c>
      <c r="F335" s="440">
        <v>0</v>
      </c>
      <c r="G335" s="440">
        <v>0.29320000000000002</v>
      </c>
      <c r="H335" s="440">
        <v>0</v>
      </c>
      <c r="I335" s="440">
        <v>0</v>
      </c>
      <c r="J335" s="440">
        <v>0.6542</v>
      </c>
      <c r="K335" s="440">
        <v>0.36099999999999999</v>
      </c>
    </row>
    <row r="336" spans="1:11">
      <c r="A336" s="261" t="s">
        <v>11126</v>
      </c>
      <c r="B336" s="265" t="s">
        <v>25718</v>
      </c>
      <c r="C336" s="440">
        <v>83304.441800000001</v>
      </c>
      <c r="D336" s="440">
        <v>6.6643999999999997</v>
      </c>
      <c r="E336" s="440">
        <v>1.542</v>
      </c>
      <c r="F336" s="440">
        <v>0</v>
      </c>
      <c r="G336" s="440">
        <v>6.6643999999999997</v>
      </c>
      <c r="H336" s="440">
        <v>6.2713000000000001</v>
      </c>
      <c r="I336" s="440">
        <v>0</v>
      </c>
      <c r="J336" s="440">
        <v>21.142099999999999</v>
      </c>
      <c r="K336" s="440">
        <v>8.2064000000000004</v>
      </c>
    </row>
    <row r="337" spans="1:11" ht="31.5">
      <c r="A337" s="261" t="s">
        <v>11127</v>
      </c>
      <c r="B337" s="265" t="s">
        <v>25719</v>
      </c>
      <c r="C337" s="440">
        <v>486.7122</v>
      </c>
      <c r="D337" s="440">
        <v>8.7599999999999997E-2</v>
      </c>
      <c r="E337" s="440">
        <v>1.7999999999999999E-2</v>
      </c>
      <c r="F337" s="440">
        <v>0</v>
      </c>
      <c r="G337" s="440">
        <v>2.92E-2</v>
      </c>
      <c r="H337" s="440">
        <v>0</v>
      </c>
      <c r="I337" s="440">
        <v>0</v>
      </c>
      <c r="J337" s="440">
        <v>0.1348</v>
      </c>
      <c r="K337" s="440">
        <v>0.1056</v>
      </c>
    </row>
    <row r="338" spans="1:11" ht="31.5">
      <c r="A338" s="261" t="s">
        <v>11128</v>
      </c>
      <c r="B338" s="265" t="s">
        <v>25720</v>
      </c>
      <c r="C338" s="440">
        <v>414716.81180000002</v>
      </c>
      <c r="D338" s="440">
        <v>27.6478</v>
      </c>
      <c r="E338" s="440">
        <v>7.4631999999999996</v>
      </c>
      <c r="F338" s="440">
        <v>0</v>
      </c>
      <c r="G338" s="440">
        <v>24.191800000000001</v>
      </c>
      <c r="H338" s="440">
        <v>76.853700000000003</v>
      </c>
      <c r="I338" s="440">
        <v>27.6023</v>
      </c>
      <c r="J338" s="440">
        <v>163.75880000000001</v>
      </c>
      <c r="K338" s="440">
        <v>62.713299999999997</v>
      </c>
    </row>
    <row r="339" spans="1:11" ht="31.5">
      <c r="A339" s="261" t="s">
        <v>11129</v>
      </c>
      <c r="B339" s="265" t="s">
        <v>25721</v>
      </c>
      <c r="C339" s="440">
        <v>183120.87779999999</v>
      </c>
      <c r="D339" s="440">
        <v>12.2081</v>
      </c>
      <c r="E339" s="440">
        <v>3.2953999999999999</v>
      </c>
      <c r="F339" s="440">
        <v>0</v>
      </c>
      <c r="G339" s="440">
        <v>10.6821</v>
      </c>
      <c r="H339" s="440">
        <v>76.853700000000003</v>
      </c>
      <c r="I339" s="440">
        <v>27.6023</v>
      </c>
      <c r="J339" s="440">
        <v>130.64160000000001</v>
      </c>
      <c r="K339" s="440">
        <v>43.105800000000002</v>
      </c>
    </row>
    <row r="340" spans="1:11">
      <c r="A340" s="261" t="s">
        <v>11130</v>
      </c>
      <c r="B340" s="265" t="s">
        <v>25722</v>
      </c>
      <c r="C340" s="440">
        <v>25528.190399999999</v>
      </c>
      <c r="D340" s="440">
        <v>2.0423</v>
      </c>
      <c r="E340" s="440">
        <v>0.47249999999999998</v>
      </c>
      <c r="F340" s="440">
        <v>0</v>
      </c>
      <c r="G340" s="440">
        <v>1.2764</v>
      </c>
      <c r="H340" s="440">
        <v>0</v>
      </c>
      <c r="I340" s="440">
        <v>27.6023</v>
      </c>
      <c r="J340" s="440">
        <v>31.3935</v>
      </c>
      <c r="K340" s="440">
        <v>30.117100000000001</v>
      </c>
    </row>
    <row r="341" spans="1:11">
      <c r="A341" s="261" t="s">
        <v>11131</v>
      </c>
      <c r="B341" s="265" t="s">
        <v>25723</v>
      </c>
      <c r="C341" s="440">
        <v>26804.590899999999</v>
      </c>
      <c r="D341" s="440">
        <v>2.1444000000000001</v>
      </c>
      <c r="E341" s="440">
        <v>0.49619999999999997</v>
      </c>
      <c r="F341" s="440">
        <v>0</v>
      </c>
      <c r="G341" s="440">
        <v>1.3402000000000001</v>
      </c>
      <c r="H341" s="440">
        <v>0</v>
      </c>
      <c r="I341" s="440">
        <v>27.6023</v>
      </c>
      <c r="J341" s="440">
        <v>31.583100000000002</v>
      </c>
      <c r="K341" s="440">
        <v>30.242899999999999</v>
      </c>
    </row>
    <row r="342" spans="1:11">
      <c r="A342" s="261" t="s">
        <v>11132</v>
      </c>
      <c r="B342" s="265" t="s">
        <v>25724</v>
      </c>
      <c r="C342" s="440">
        <v>5046.5798000000004</v>
      </c>
      <c r="D342" s="440">
        <v>0.28839999999999999</v>
      </c>
      <c r="E342" s="440">
        <v>8.8999999999999996E-2</v>
      </c>
      <c r="F342" s="440">
        <v>0</v>
      </c>
      <c r="G342" s="440">
        <v>0.28839999999999999</v>
      </c>
      <c r="H342" s="440">
        <v>0</v>
      </c>
      <c r="I342" s="440">
        <v>27.6023</v>
      </c>
      <c r="J342" s="440">
        <v>28.2681</v>
      </c>
      <c r="K342" s="440">
        <v>27.979700000000001</v>
      </c>
    </row>
    <row r="343" spans="1:11">
      <c r="A343" s="261" t="s">
        <v>11133</v>
      </c>
      <c r="B343" s="265" t="s">
        <v>25725</v>
      </c>
      <c r="C343" s="440">
        <v>7103.2582000000002</v>
      </c>
      <c r="D343" s="440">
        <v>0.63929999999999998</v>
      </c>
      <c r="E343" s="440">
        <v>0.13150000000000001</v>
      </c>
      <c r="F343" s="440">
        <v>0</v>
      </c>
      <c r="G343" s="440">
        <v>0.63929999999999998</v>
      </c>
      <c r="H343" s="440">
        <v>0</v>
      </c>
      <c r="I343" s="440">
        <v>27.6023</v>
      </c>
      <c r="J343" s="440">
        <v>29.0124</v>
      </c>
      <c r="K343" s="440">
        <v>28.373100000000001</v>
      </c>
    </row>
    <row r="344" spans="1:11">
      <c r="A344" s="261" t="s">
        <v>11134</v>
      </c>
      <c r="B344" s="265" t="s">
        <v>25726</v>
      </c>
      <c r="C344" s="440">
        <v>37067.810799999999</v>
      </c>
      <c r="D344" s="440">
        <v>2.9653999999999998</v>
      </c>
      <c r="E344" s="440">
        <v>0.68610000000000004</v>
      </c>
      <c r="F344" s="440">
        <v>0</v>
      </c>
      <c r="G344" s="440">
        <v>2.5947</v>
      </c>
      <c r="H344" s="440">
        <v>0</v>
      </c>
      <c r="I344" s="440">
        <v>0</v>
      </c>
      <c r="J344" s="440">
        <v>6.2462</v>
      </c>
      <c r="K344" s="440">
        <v>3.6515</v>
      </c>
    </row>
    <row r="345" spans="1:11">
      <c r="A345" s="261" t="s">
        <v>11135</v>
      </c>
      <c r="B345" s="265" t="s">
        <v>25727</v>
      </c>
      <c r="C345" s="440">
        <v>80810.572199999995</v>
      </c>
      <c r="D345" s="440">
        <v>4.0404999999999998</v>
      </c>
      <c r="E345" s="440">
        <v>1.4246000000000001</v>
      </c>
      <c r="F345" s="440">
        <v>0</v>
      </c>
      <c r="G345" s="440">
        <v>2.8860999999999999</v>
      </c>
      <c r="H345" s="440">
        <v>18.963899999999999</v>
      </c>
      <c r="I345" s="440">
        <v>0</v>
      </c>
      <c r="J345" s="440">
        <v>27.315100000000001</v>
      </c>
      <c r="K345" s="440">
        <v>5.4650999999999996</v>
      </c>
    </row>
    <row r="346" spans="1:11">
      <c r="A346" s="261" t="s">
        <v>11136</v>
      </c>
      <c r="B346" s="265" t="s">
        <v>25728</v>
      </c>
      <c r="C346" s="440">
        <v>111700</v>
      </c>
      <c r="D346" s="440">
        <v>5.585</v>
      </c>
      <c r="E346" s="440">
        <v>1.9691000000000001</v>
      </c>
      <c r="F346" s="440">
        <v>0</v>
      </c>
      <c r="G346" s="440">
        <v>3.9893000000000001</v>
      </c>
      <c r="H346" s="440">
        <v>56.8917</v>
      </c>
      <c r="I346" s="440">
        <v>0</v>
      </c>
      <c r="J346" s="440">
        <v>68.435100000000006</v>
      </c>
      <c r="K346" s="440">
        <v>7.5541</v>
      </c>
    </row>
    <row r="347" spans="1:11">
      <c r="A347" s="261" t="s">
        <v>11137</v>
      </c>
      <c r="B347" s="265" t="s">
        <v>25729</v>
      </c>
      <c r="C347" s="440">
        <v>1459198.5755</v>
      </c>
      <c r="D347" s="440">
        <v>116.7359</v>
      </c>
      <c r="E347" s="440">
        <v>27.009799999999998</v>
      </c>
      <c r="F347" s="440">
        <v>0</v>
      </c>
      <c r="G347" s="440">
        <v>116.7359</v>
      </c>
      <c r="H347" s="440">
        <v>158.0325</v>
      </c>
      <c r="I347" s="440">
        <v>27.6023</v>
      </c>
      <c r="J347" s="440">
        <v>446.1164</v>
      </c>
      <c r="K347" s="440">
        <v>171.34800000000001</v>
      </c>
    </row>
    <row r="348" spans="1:11">
      <c r="A348" s="261" t="s">
        <v>11138</v>
      </c>
      <c r="B348" s="265" t="s">
        <v>25730</v>
      </c>
      <c r="C348" s="440">
        <v>823741.24219999998</v>
      </c>
      <c r="D348" s="440">
        <v>32.949599999999997</v>
      </c>
      <c r="E348" s="440">
        <v>13.976800000000001</v>
      </c>
      <c r="F348" s="440">
        <v>0</v>
      </c>
      <c r="G348" s="440">
        <v>28.8309</v>
      </c>
      <c r="H348" s="440">
        <v>0</v>
      </c>
      <c r="I348" s="440">
        <v>27.6023</v>
      </c>
      <c r="J348" s="440">
        <v>103.3596</v>
      </c>
      <c r="K348" s="440">
        <v>74.528700000000001</v>
      </c>
    </row>
    <row r="349" spans="1:11">
      <c r="A349" s="261" t="s">
        <v>11139</v>
      </c>
      <c r="B349" s="265" t="s">
        <v>25731</v>
      </c>
      <c r="C349" s="440">
        <v>1511988.4957999999</v>
      </c>
      <c r="D349" s="440">
        <v>86.399299999999997</v>
      </c>
      <c r="E349" s="440">
        <v>26.654199999999999</v>
      </c>
      <c r="F349" s="440">
        <v>0</v>
      </c>
      <c r="G349" s="440">
        <v>97.199299999999994</v>
      </c>
      <c r="H349" s="440">
        <v>86.391099999999994</v>
      </c>
      <c r="I349" s="440">
        <v>38.9756</v>
      </c>
      <c r="J349" s="440">
        <v>335.61950000000002</v>
      </c>
      <c r="K349" s="440">
        <v>152.0291</v>
      </c>
    </row>
    <row r="350" spans="1:11">
      <c r="A350" s="261" t="s">
        <v>11140</v>
      </c>
      <c r="B350" s="265" t="s">
        <v>25732</v>
      </c>
      <c r="C350" s="440">
        <v>15612.761</v>
      </c>
      <c r="D350" s="440">
        <v>1.2490000000000001</v>
      </c>
      <c r="E350" s="440">
        <v>0.28899999999999998</v>
      </c>
      <c r="F350" s="440">
        <v>0</v>
      </c>
      <c r="G350" s="440">
        <v>1.2490000000000001</v>
      </c>
      <c r="H350" s="440">
        <v>0</v>
      </c>
      <c r="I350" s="440">
        <v>0</v>
      </c>
      <c r="J350" s="440">
        <v>2.7869999999999999</v>
      </c>
      <c r="K350" s="440">
        <v>1.538</v>
      </c>
    </row>
    <row r="351" spans="1:11">
      <c r="A351" s="261" t="s">
        <v>11141</v>
      </c>
      <c r="B351" s="265" t="s">
        <v>25733</v>
      </c>
      <c r="C351" s="440">
        <v>3885.5019000000002</v>
      </c>
      <c r="D351" s="440">
        <v>0.31080000000000002</v>
      </c>
      <c r="E351" s="440">
        <v>7.1900000000000006E-2</v>
      </c>
      <c r="F351" s="440">
        <v>0</v>
      </c>
      <c r="G351" s="440">
        <v>0.2331</v>
      </c>
      <c r="H351" s="440">
        <v>0</v>
      </c>
      <c r="I351" s="440">
        <v>0</v>
      </c>
      <c r="J351" s="440">
        <v>0.61580000000000001</v>
      </c>
      <c r="K351" s="440">
        <v>0.38269999999999998</v>
      </c>
    </row>
    <row r="352" spans="1:11">
      <c r="A352" s="261" t="s">
        <v>11142</v>
      </c>
      <c r="B352" s="265" t="s">
        <v>25734</v>
      </c>
      <c r="C352" s="440">
        <v>1007895.7408</v>
      </c>
      <c r="D352" s="440">
        <v>67.192999999999998</v>
      </c>
      <c r="E352" s="440">
        <v>18.137899999999998</v>
      </c>
      <c r="F352" s="440">
        <v>0</v>
      </c>
      <c r="G352" s="440">
        <v>67.192999999999998</v>
      </c>
      <c r="H352" s="440">
        <v>61.272300000000001</v>
      </c>
      <c r="I352" s="440">
        <v>32.087499999999999</v>
      </c>
      <c r="J352" s="440">
        <v>245.8837</v>
      </c>
      <c r="K352" s="440">
        <v>117.41840000000001</v>
      </c>
    </row>
    <row r="353" spans="1:11">
      <c r="A353" s="261" t="s">
        <v>11143</v>
      </c>
      <c r="B353" s="265" t="s">
        <v>25735</v>
      </c>
      <c r="C353" s="440">
        <v>105000</v>
      </c>
      <c r="D353" s="440">
        <v>5.25</v>
      </c>
      <c r="E353" s="440">
        <v>1.851</v>
      </c>
      <c r="F353" s="440">
        <v>0</v>
      </c>
      <c r="G353" s="440">
        <v>3.75</v>
      </c>
      <c r="H353" s="440">
        <v>33.7136</v>
      </c>
      <c r="I353" s="440">
        <v>0</v>
      </c>
      <c r="J353" s="440">
        <v>44.564599999999999</v>
      </c>
      <c r="K353" s="440">
        <v>7.101</v>
      </c>
    </row>
    <row r="354" spans="1:11">
      <c r="A354" s="261" t="s">
        <v>11144</v>
      </c>
      <c r="B354" s="265" t="s">
        <v>25736</v>
      </c>
      <c r="C354" s="440">
        <v>7057.9949999999999</v>
      </c>
      <c r="D354" s="440">
        <v>0.35289999999999999</v>
      </c>
      <c r="E354" s="440">
        <v>0.1244</v>
      </c>
      <c r="F354" s="440">
        <v>0</v>
      </c>
      <c r="G354" s="440">
        <v>0.25209999999999999</v>
      </c>
      <c r="H354" s="440">
        <v>8.0631000000000004</v>
      </c>
      <c r="I354" s="440">
        <v>0</v>
      </c>
      <c r="J354" s="440">
        <v>8.7925000000000004</v>
      </c>
      <c r="K354" s="440">
        <v>0.4773</v>
      </c>
    </row>
    <row r="355" spans="1:11">
      <c r="A355" s="261" t="s">
        <v>11145</v>
      </c>
      <c r="B355" s="265" t="s">
        <v>25737</v>
      </c>
      <c r="C355" s="440">
        <v>426600</v>
      </c>
      <c r="D355" s="440">
        <v>21.33</v>
      </c>
      <c r="E355" s="440">
        <v>7.5202999999999998</v>
      </c>
      <c r="F355" s="440">
        <v>0</v>
      </c>
      <c r="G355" s="440">
        <v>15.2357</v>
      </c>
      <c r="H355" s="440">
        <v>479.36529999999999</v>
      </c>
      <c r="I355" s="440">
        <v>0</v>
      </c>
      <c r="J355" s="440">
        <v>523.45129999999995</v>
      </c>
      <c r="K355" s="440">
        <v>28.850300000000001</v>
      </c>
    </row>
    <row r="356" spans="1:11">
      <c r="A356" s="261" t="s">
        <v>11146</v>
      </c>
      <c r="B356" s="265" t="s">
        <v>25738</v>
      </c>
      <c r="C356" s="440">
        <v>318741.3223</v>
      </c>
      <c r="D356" s="440">
        <v>21.628900000000002</v>
      </c>
      <c r="E356" s="440">
        <v>5.6189999999999998</v>
      </c>
      <c r="F356" s="440">
        <v>0</v>
      </c>
      <c r="G356" s="440">
        <v>18.213799999999999</v>
      </c>
      <c r="H356" s="440">
        <v>0</v>
      </c>
      <c r="I356" s="440">
        <v>27.6023</v>
      </c>
      <c r="J356" s="440">
        <v>73.063999999999993</v>
      </c>
      <c r="K356" s="440">
        <v>54.850200000000001</v>
      </c>
    </row>
    <row r="357" spans="1:11">
      <c r="A357" s="261" t="s">
        <v>11147</v>
      </c>
      <c r="B357" s="265" t="s">
        <v>25739</v>
      </c>
      <c r="C357" s="440">
        <v>8932.7180000000008</v>
      </c>
      <c r="D357" s="440">
        <v>0.59550000000000003</v>
      </c>
      <c r="E357" s="440">
        <v>0.1608</v>
      </c>
      <c r="F357" s="440">
        <v>0</v>
      </c>
      <c r="G357" s="440">
        <v>0.59550000000000003</v>
      </c>
      <c r="H357" s="440">
        <v>7.8693</v>
      </c>
      <c r="I357" s="440">
        <v>0</v>
      </c>
      <c r="J357" s="440">
        <v>9.2210999999999999</v>
      </c>
      <c r="K357" s="440">
        <v>0.75629999999999997</v>
      </c>
    </row>
    <row r="358" spans="1:11">
      <c r="A358" s="261" t="s">
        <v>11148</v>
      </c>
      <c r="B358" s="265" t="s">
        <v>25740</v>
      </c>
      <c r="C358" s="440">
        <v>509784.86139999999</v>
      </c>
      <c r="D358" s="440">
        <v>33.985700000000001</v>
      </c>
      <c r="E358" s="440">
        <v>9.1739999999999995</v>
      </c>
      <c r="F358" s="440">
        <v>0</v>
      </c>
      <c r="G358" s="440">
        <v>33.985700000000001</v>
      </c>
      <c r="H358" s="440">
        <v>201.06720000000001</v>
      </c>
      <c r="I358" s="440">
        <v>0</v>
      </c>
      <c r="J358" s="440">
        <v>278.21260000000001</v>
      </c>
      <c r="K358" s="440">
        <v>43.159700000000001</v>
      </c>
    </row>
    <row r="359" spans="1:11" ht="31.5">
      <c r="A359" s="261" t="s">
        <v>11149</v>
      </c>
      <c r="B359" s="265" t="s">
        <v>25741</v>
      </c>
      <c r="C359" s="440">
        <v>258315.6617</v>
      </c>
      <c r="D359" s="440">
        <v>20.665299999999998</v>
      </c>
      <c r="E359" s="440">
        <v>4.7813999999999997</v>
      </c>
      <c r="F359" s="440">
        <v>0</v>
      </c>
      <c r="G359" s="440">
        <v>20.665299999999998</v>
      </c>
      <c r="H359" s="440">
        <v>5.8998999999999997</v>
      </c>
      <c r="I359" s="440">
        <v>27.6023</v>
      </c>
      <c r="J359" s="440">
        <v>79.614199999999997</v>
      </c>
      <c r="K359" s="440">
        <v>53.048999999999999</v>
      </c>
    </row>
    <row r="360" spans="1:11" ht="47.25">
      <c r="A360" s="261" t="s">
        <v>11150</v>
      </c>
      <c r="B360" s="265" t="s">
        <v>25742</v>
      </c>
      <c r="C360" s="440">
        <v>509996.42180000001</v>
      </c>
      <c r="D360" s="440">
        <v>35.6997</v>
      </c>
      <c r="E360" s="440">
        <v>9.44</v>
      </c>
      <c r="F360" s="440">
        <v>0</v>
      </c>
      <c r="G360" s="440">
        <v>35.6997</v>
      </c>
      <c r="H360" s="440">
        <v>41.8093</v>
      </c>
      <c r="I360" s="440">
        <v>32.087499999999999</v>
      </c>
      <c r="J360" s="440">
        <v>154.7362</v>
      </c>
      <c r="K360" s="440">
        <v>77.227199999999996</v>
      </c>
    </row>
    <row r="361" spans="1:11" ht="47.25">
      <c r="A361" s="261" t="s">
        <v>11151</v>
      </c>
      <c r="B361" s="265" t="s">
        <v>25743</v>
      </c>
      <c r="C361" s="440">
        <v>509996.42180000001</v>
      </c>
      <c r="D361" s="440">
        <v>35.6997</v>
      </c>
      <c r="E361" s="440">
        <v>9.44</v>
      </c>
      <c r="F361" s="440">
        <v>0</v>
      </c>
      <c r="G361" s="440">
        <v>35.6997</v>
      </c>
      <c r="H361" s="440">
        <v>41.8093</v>
      </c>
      <c r="I361" s="440">
        <v>32.087499999999999</v>
      </c>
      <c r="J361" s="440">
        <v>154.7362</v>
      </c>
      <c r="K361" s="440">
        <v>77.227199999999996</v>
      </c>
    </row>
    <row r="362" spans="1:11" ht="47.25">
      <c r="A362" s="261" t="s">
        <v>11152</v>
      </c>
      <c r="B362" s="265" t="s">
        <v>25744</v>
      </c>
      <c r="C362" s="440">
        <v>509996.42180000001</v>
      </c>
      <c r="D362" s="440">
        <v>35.6997</v>
      </c>
      <c r="E362" s="440">
        <v>9.44</v>
      </c>
      <c r="F362" s="440">
        <v>0</v>
      </c>
      <c r="G362" s="440">
        <v>35.6997</v>
      </c>
      <c r="H362" s="440">
        <v>41.8093</v>
      </c>
      <c r="I362" s="440">
        <v>32.087499999999999</v>
      </c>
      <c r="J362" s="440">
        <v>154.7362</v>
      </c>
      <c r="K362" s="440">
        <v>77.227199999999996</v>
      </c>
    </row>
    <row r="363" spans="1:11" ht="47.25">
      <c r="A363" s="261" t="s">
        <v>11153</v>
      </c>
      <c r="B363" s="265" t="s">
        <v>25745</v>
      </c>
      <c r="C363" s="440">
        <v>509996.42180000001</v>
      </c>
      <c r="D363" s="440">
        <v>35.6997</v>
      </c>
      <c r="E363" s="440">
        <v>9.44</v>
      </c>
      <c r="F363" s="440">
        <v>0</v>
      </c>
      <c r="G363" s="440">
        <v>35.6997</v>
      </c>
      <c r="H363" s="440">
        <v>41.8093</v>
      </c>
      <c r="I363" s="440">
        <v>32.087499999999999</v>
      </c>
      <c r="J363" s="440">
        <v>154.7362</v>
      </c>
      <c r="K363" s="440">
        <v>77.227199999999996</v>
      </c>
    </row>
    <row r="364" spans="1:11" ht="47.25">
      <c r="A364" s="261" t="s">
        <v>11154</v>
      </c>
      <c r="B364" s="265" t="s">
        <v>25746</v>
      </c>
      <c r="C364" s="440">
        <v>509996.42180000001</v>
      </c>
      <c r="D364" s="440">
        <v>35.6997</v>
      </c>
      <c r="E364" s="440">
        <v>9.44</v>
      </c>
      <c r="F364" s="440">
        <v>0</v>
      </c>
      <c r="G364" s="440">
        <v>35.6997</v>
      </c>
      <c r="H364" s="440">
        <v>41.8093</v>
      </c>
      <c r="I364" s="440">
        <v>32.087499999999999</v>
      </c>
      <c r="J364" s="440">
        <v>154.7362</v>
      </c>
      <c r="K364" s="440">
        <v>77.227199999999996</v>
      </c>
    </row>
    <row r="365" spans="1:11" ht="31.5">
      <c r="A365" s="261" t="s">
        <v>11155</v>
      </c>
      <c r="B365" s="265" t="s">
        <v>25747</v>
      </c>
      <c r="C365" s="440">
        <v>2272689.2801000001</v>
      </c>
      <c r="D365" s="440">
        <v>259.73590000000002</v>
      </c>
      <c r="E365" s="440">
        <v>45.072299999999998</v>
      </c>
      <c r="F365" s="440">
        <v>0</v>
      </c>
      <c r="G365" s="440">
        <v>324.66989999999998</v>
      </c>
      <c r="H365" s="440">
        <v>74.247600000000006</v>
      </c>
      <c r="I365" s="440">
        <v>32.087499999999999</v>
      </c>
      <c r="J365" s="440">
        <v>735.81320000000005</v>
      </c>
      <c r="K365" s="440">
        <v>336.89569999999998</v>
      </c>
    </row>
    <row r="366" spans="1:11">
      <c r="A366" s="261" t="s">
        <v>11156</v>
      </c>
      <c r="B366" s="265" t="s">
        <v>25748</v>
      </c>
      <c r="C366" s="440">
        <v>185300</v>
      </c>
      <c r="D366" s="440">
        <v>9.2650000000000006</v>
      </c>
      <c r="E366" s="440">
        <v>3.2665999999999999</v>
      </c>
      <c r="F366" s="440">
        <v>0</v>
      </c>
      <c r="G366" s="440">
        <v>6.6178999999999997</v>
      </c>
      <c r="H366" s="440">
        <v>146.4435</v>
      </c>
      <c r="I366" s="440">
        <v>0</v>
      </c>
      <c r="J366" s="440">
        <v>165.59299999999999</v>
      </c>
      <c r="K366" s="440">
        <v>12.531599999999999</v>
      </c>
    </row>
    <row r="367" spans="1:11">
      <c r="A367" s="261" t="s">
        <v>11157</v>
      </c>
      <c r="B367" s="265" t="s">
        <v>25749</v>
      </c>
      <c r="C367" s="440">
        <v>4259864.3485000003</v>
      </c>
      <c r="D367" s="440">
        <v>298.19049999999999</v>
      </c>
      <c r="E367" s="440">
        <v>78.850099999999998</v>
      </c>
      <c r="F367" s="440">
        <v>0</v>
      </c>
      <c r="G367" s="440">
        <v>383.38780000000003</v>
      </c>
      <c r="H367" s="440">
        <v>61.549500000000002</v>
      </c>
      <c r="I367" s="440">
        <v>32.087499999999999</v>
      </c>
      <c r="J367" s="440">
        <v>854.06539999999995</v>
      </c>
      <c r="K367" s="440">
        <v>409.12810000000002</v>
      </c>
    </row>
    <row r="368" spans="1:11">
      <c r="A368" s="261" t="s">
        <v>11158</v>
      </c>
      <c r="B368" s="265" t="s">
        <v>25750</v>
      </c>
      <c r="C368" s="440">
        <v>252200</v>
      </c>
      <c r="D368" s="440">
        <v>12.61</v>
      </c>
      <c r="E368" s="440">
        <v>4.4459</v>
      </c>
      <c r="F368" s="440">
        <v>0</v>
      </c>
      <c r="G368" s="440">
        <v>9.0070999999999994</v>
      </c>
      <c r="H368" s="440">
        <v>284.45850000000002</v>
      </c>
      <c r="I368" s="440">
        <v>0</v>
      </c>
      <c r="J368" s="440">
        <v>310.5215</v>
      </c>
      <c r="K368" s="440">
        <v>17.055900000000001</v>
      </c>
    </row>
    <row r="369" spans="1:11">
      <c r="A369" s="261" t="s">
        <v>11159</v>
      </c>
      <c r="B369" s="265" t="s">
        <v>25751</v>
      </c>
      <c r="C369" s="440">
        <v>118400</v>
      </c>
      <c r="D369" s="440">
        <v>5.92</v>
      </c>
      <c r="E369" s="440">
        <v>2.0872000000000002</v>
      </c>
      <c r="F369" s="440">
        <v>0</v>
      </c>
      <c r="G369" s="440">
        <v>4.2286000000000001</v>
      </c>
      <c r="H369" s="440">
        <v>94.819500000000005</v>
      </c>
      <c r="I369" s="440">
        <v>0</v>
      </c>
      <c r="J369" s="440">
        <v>107.0553</v>
      </c>
      <c r="K369" s="440">
        <v>8.0071999999999992</v>
      </c>
    </row>
    <row r="370" spans="1:11" ht="31.5">
      <c r="A370" s="261" t="s">
        <v>11160</v>
      </c>
      <c r="B370" s="265" t="s">
        <v>25752</v>
      </c>
      <c r="C370" s="440">
        <v>235002.1776</v>
      </c>
      <c r="D370" s="440">
        <v>18.8002</v>
      </c>
      <c r="E370" s="440">
        <v>4.3498999999999999</v>
      </c>
      <c r="F370" s="440">
        <v>0</v>
      </c>
      <c r="G370" s="440">
        <v>18.8002</v>
      </c>
      <c r="H370" s="440">
        <v>7.3749000000000002</v>
      </c>
      <c r="I370" s="440">
        <v>27.6023</v>
      </c>
      <c r="J370" s="440">
        <v>76.927499999999995</v>
      </c>
      <c r="K370" s="440">
        <v>50.752400000000002</v>
      </c>
    </row>
    <row r="371" spans="1:11" ht="31.5">
      <c r="A371" s="261" t="s">
        <v>11161</v>
      </c>
      <c r="B371" s="265" t="s">
        <v>25753</v>
      </c>
      <c r="C371" s="440">
        <v>460491.25919999997</v>
      </c>
      <c r="D371" s="440">
        <v>36.839300000000001</v>
      </c>
      <c r="E371" s="440">
        <v>8.5236999999999998</v>
      </c>
      <c r="F371" s="440">
        <v>0</v>
      </c>
      <c r="G371" s="440">
        <v>36.839300000000001</v>
      </c>
      <c r="H371" s="440">
        <v>0</v>
      </c>
      <c r="I371" s="440">
        <v>27.6023</v>
      </c>
      <c r="J371" s="440">
        <v>109.80459999999999</v>
      </c>
      <c r="K371" s="440">
        <v>72.965299999999999</v>
      </c>
    </row>
    <row r="372" spans="1:11" ht="31.5">
      <c r="A372" s="261" t="s">
        <v>11162</v>
      </c>
      <c r="B372" s="265" t="s">
        <v>25754</v>
      </c>
      <c r="C372" s="440">
        <v>37969.875399999997</v>
      </c>
      <c r="D372" s="440">
        <v>3.0375999999999999</v>
      </c>
      <c r="E372" s="440">
        <v>0.70279999999999998</v>
      </c>
      <c r="F372" s="440">
        <v>0</v>
      </c>
      <c r="G372" s="440">
        <v>3.0375999999999999</v>
      </c>
      <c r="H372" s="440">
        <v>0</v>
      </c>
      <c r="I372" s="440">
        <v>27.6023</v>
      </c>
      <c r="J372" s="440">
        <v>34.380299999999998</v>
      </c>
      <c r="K372" s="440">
        <v>31.342700000000001</v>
      </c>
    </row>
    <row r="373" spans="1:11" ht="31.5">
      <c r="A373" s="261" t="s">
        <v>11163</v>
      </c>
      <c r="B373" s="265" t="s">
        <v>25755</v>
      </c>
      <c r="C373" s="440">
        <v>563195.49239999999</v>
      </c>
      <c r="D373" s="440">
        <v>37.546399999999998</v>
      </c>
      <c r="E373" s="440">
        <v>10.135199999999999</v>
      </c>
      <c r="F373" s="440">
        <v>0</v>
      </c>
      <c r="G373" s="440">
        <v>37.546399999999998</v>
      </c>
      <c r="H373" s="440">
        <v>19.962</v>
      </c>
      <c r="I373" s="440">
        <v>27.6023</v>
      </c>
      <c r="J373" s="440">
        <v>132.79230000000001</v>
      </c>
      <c r="K373" s="440">
        <v>75.283900000000003</v>
      </c>
    </row>
    <row r="374" spans="1:11" ht="31.5">
      <c r="A374" s="261" t="s">
        <v>84</v>
      </c>
      <c r="B374" s="265" t="s">
        <v>25756</v>
      </c>
      <c r="C374" s="440">
        <v>2271053.3412000001</v>
      </c>
      <c r="D374" s="440">
        <v>113.5527</v>
      </c>
      <c r="E374" s="440">
        <v>40.035400000000003</v>
      </c>
      <c r="F374" s="440">
        <v>16.221800000000002</v>
      </c>
      <c r="G374" s="440">
        <v>145.99629999999999</v>
      </c>
      <c r="H374" s="440">
        <v>51.5685</v>
      </c>
      <c r="I374" s="440">
        <v>32.991900000000001</v>
      </c>
      <c r="J374" s="440">
        <v>400.36660000000001</v>
      </c>
      <c r="K374" s="440">
        <v>202.80179999999999</v>
      </c>
    </row>
    <row r="375" spans="1:11">
      <c r="A375" s="261" t="s">
        <v>11164</v>
      </c>
      <c r="B375" s="265" t="s">
        <v>25757</v>
      </c>
      <c r="C375" s="440">
        <v>15844.8022</v>
      </c>
      <c r="D375" s="440">
        <v>1.2676000000000001</v>
      </c>
      <c r="E375" s="440">
        <v>0.29330000000000001</v>
      </c>
      <c r="F375" s="440">
        <v>0</v>
      </c>
      <c r="G375" s="440">
        <v>1.2676000000000001</v>
      </c>
      <c r="H375" s="440">
        <v>3.8980999999999999</v>
      </c>
      <c r="I375" s="440">
        <v>27.6023</v>
      </c>
      <c r="J375" s="440">
        <v>34.328899999999997</v>
      </c>
      <c r="K375" s="440">
        <v>29.1632</v>
      </c>
    </row>
    <row r="376" spans="1:11" ht="31.5">
      <c r="A376" s="261" t="s">
        <v>11165</v>
      </c>
      <c r="B376" s="265" t="s">
        <v>25758</v>
      </c>
      <c r="C376" s="440">
        <v>1851.5065999999999</v>
      </c>
      <c r="D376" s="440">
        <v>0.33329999999999999</v>
      </c>
      <c r="E376" s="440">
        <v>6.8500000000000005E-2</v>
      </c>
      <c r="F376" s="440">
        <v>0</v>
      </c>
      <c r="G376" s="440">
        <v>0.1852</v>
      </c>
      <c r="H376" s="440">
        <v>0</v>
      </c>
      <c r="I376" s="440">
        <v>0</v>
      </c>
      <c r="J376" s="440">
        <v>0.58699999999999997</v>
      </c>
      <c r="K376" s="440">
        <v>0.40179999999999999</v>
      </c>
    </row>
    <row r="377" spans="1:11" ht="31.5">
      <c r="A377" s="261" t="s">
        <v>11166</v>
      </c>
      <c r="B377" s="265" t="s">
        <v>25759</v>
      </c>
      <c r="C377" s="440">
        <v>252704.66639999999</v>
      </c>
      <c r="D377" s="440">
        <v>20.2164</v>
      </c>
      <c r="E377" s="440">
        <v>4.6776</v>
      </c>
      <c r="F377" s="440">
        <v>0</v>
      </c>
      <c r="G377" s="440">
        <v>20.2164</v>
      </c>
      <c r="H377" s="440">
        <v>15.4872</v>
      </c>
      <c r="I377" s="440">
        <v>38.9756</v>
      </c>
      <c r="J377" s="440">
        <v>99.5732</v>
      </c>
      <c r="K377" s="440">
        <v>63.869599999999998</v>
      </c>
    </row>
    <row r="378" spans="1:11" ht="31.5">
      <c r="A378" s="261" t="s">
        <v>11167</v>
      </c>
      <c r="B378" s="265" t="s">
        <v>25760</v>
      </c>
      <c r="C378" s="440">
        <v>41399.029499999997</v>
      </c>
      <c r="D378" s="440">
        <v>3.3119000000000001</v>
      </c>
      <c r="E378" s="440">
        <v>0.76629999999999998</v>
      </c>
      <c r="F378" s="440">
        <v>0</v>
      </c>
      <c r="G378" s="440">
        <v>2.8978999999999999</v>
      </c>
      <c r="H378" s="440">
        <v>0</v>
      </c>
      <c r="I378" s="440">
        <v>0</v>
      </c>
      <c r="J378" s="440">
        <v>6.9760999999999997</v>
      </c>
      <c r="K378" s="440">
        <v>4.0781999999999998</v>
      </c>
    </row>
    <row r="379" spans="1:11" ht="31.5">
      <c r="A379" s="261" t="s">
        <v>11168</v>
      </c>
      <c r="B379" s="265" t="s">
        <v>25761</v>
      </c>
      <c r="C379" s="440">
        <v>7226051.8751999997</v>
      </c>
      <c r="D379" s="440">
        <v>578.08420000000001</v>
      </c>
      <c r="E379" s="440">
        <v>133.7542</v>
      </c>
      <c r="F379" s="440">
        <v>0</v>
      </c>
      <c r="G379" s="440">
        <v>578.08420000000001</v>
      </c>
      <c r="H379" s="440">
        <v>73.748500000000007</v>
      </c>
      <c r="I379" s="440">
        <v>38.9756</v>
      </c>
      <c r="J379" s="440">
        <v>1402.6467</v>
      </c>
      <c r="K379" s="440">
        <v>750.81399999999996</v>
      </c>
    </row>
    <row r="380" spans="1:11" ht="31.5">
      <c r="A380" s="261" t="s">
        <v>11169</v>
      </c>
      <c r="B380" s="265" t="s">
        <v>25762</v>
      </c>
      <c r="C380" s="440">
        <v>1404485.8598</v>
      </c>
      <c r="D380" s="440">
        <v>93.632400000000004</v>
      </c>
      <c r="E380" s="440">
        <v>25.274899999999999</v>
      </c>
      <c r="F380" s="440">
        <v>0</v>
      </c>
      <c r="G380" s="440">
        <v>93.632400000000004</v>
      </c>
      <c r="H380" s="440">
        <v>49.905000000000001</v>
      </c>
      <c r="I380" s="440">
        <v>32.087499999999999</v>
      </c>
      <c r="J380" s="440">
        <v>294.53219999999999</v>
      </c>
      <c r="K380" s="440">
        <v>150.9948</v>
      </c>
    </row>
    <row r="381" spans="1:11">
      <c r="A381" s="261" t="s">
        <v>11170</v>
      </c>
      <c r="B381" s="265" t="s">
        <v>25763</v>
      </c>
      <c r="C381" s="440">
        <v>11623714.8893</v>
      </c>
      <c r="D381" s="440">
        <v>774.91430000000003</v>
      </c>
      <c r="E381" s="440">
        <v>209.17840000000001</v>
      </c>
      <c r="F381" s="440">
        <v>0</v>
      </c>
      <c r="G381" s="440">
        <v>968.64290000000005</v>
      </c>
      <c r="H381" s="440">
        <v>180.4898</v>
      </c>
      <c r="I381" s="440">
        <v>38.9756</v>
      </c>
      <c r="J381" s="440">
        <v>2172.201</v>
      </c>
      <c r="K381" s="440">
        <v>1023.0683</v>
      </c>
    </row>
    <row r="382" spans="1:11">
      <c r="A382" s="261" t="s">
        <v>11171</v>
      </c>
      <c r="B382" s="265" t="s">
        <v>25764</v>
      </c>
      <c r="C382" s="440">
        <v>1512116.0743</v>
      </c>
      <c r="D382" s="440">
        <v>100.8077</v>
      </c>
      <c r="E382" s="440">
        <v>27.2118</v>
      </c>
      <c r="F382" s="440">
        <v>0</v>
      </c>
      <c r="G382" s="440">
        <v>100.8077</v>
      </c>
      <c r="H382" s="440">
        <v>102.3053</v>
      </c>
      <c r="I382" s="440">
        <v>32.087499999999999</v>
      </c>
      <c r="J382" s="440">
        <v>363.22</v>
      </c>
      <c r="K382" s="440">
        <v>160.107</v>
      </c>
    </row>
    <row r="383" spans="1:11">
      <c r="A383" s="261" t="s">
        <v>11172</v>
      </c>
      <c r="B383" s="265" t="s">
        <v>25765</v>
      </c>
      <c r="C383" s="589"/>
      <c r="D383" s="589"/>
      <c r="E383" s="589"/>
      <c r="F383" s="589"/>
      <c r="G383" s="589"/>
      <c r="H383" s="589"/>
      <c r="I383" s="589"/>
      <c r="J383" s="440">
        <v>438.59589999999997</v>
      </c>
      <c r="K383" s="440">
        <v>98.647800000000004</v>
      </c>
    </row>
    <row r="384" spans="1:11" ht="31.5">
      <c r="A384" s="261" t="s">
        <v>11173</v>
      </c>
      <c r="B384" s="265" t="s">
        <v>25766</v>
      </c>
      <c r="C384" s="440">
        <v>782729.40009999997</v>
      </c>
      <c r="D384" s="440">
        <v>33.545499999999997</v>
      </c>
      <c r="E384" s="440">
        <v>13.798400000000001</v>
      </c>
      <c r="F384" s="440">
        <v>5.5909000000000004</v>
      </c>
      <c r="G384" s="440">
        <v>50.318300000000001</v>
      </c>
      <c r="H384" s="440">
        <v>279.19080000000002</v>
      </c>
      <c r="I384" s="440">
        <v>31.651</v>
      </c>
      <c r="J384" s="440">
        <v>414.0949</v>
      </c>
      <c r="K384" s="440">
        <v>84.585800000000006</v>
      </c>
    </row>
    <row r="385" spans="1:11">
      <c r="A385" s="261" t="s">
        <v>11174</v>
      </c>
      <c r="B385" s="265" t="s">
        <v>25767</v>
      </c>
      <c r="C385" s="440">
        <v>260974.58199999999</v>
      </c>
      <c r="D385" s="440">
        <v>10.439</v>
      </c>
      <c r="E385" s="440">
        <v>3.6230000000000002</v>
      </c>
      <c r="F385" s="440">
        <v>0</v>
      </c>
      <c r="G385" s="440">
        <v>10.439</v>
      </c>
      <c r="H385" s="440">
        <v>0</v>
      </c>
      <c r="I385" s="440">
        <v>0</v>
      </c>
      <c r="J385" s="440">
        <v>24.501000000000001</v>
      </c>
      <c r="K385" s="440">
        <v>14.061999999999999</v>
      </c>
    </row>
    <row r="386" spans="1:11" ht="31.5">
      <c r="A386" s="261" t="s">
        <v>11175</v>
      </c>
      <c r="B386" s="265" t="s">
        <v>25768</v>
      </c>
      <c r="C386" s="589"/>
      <c r="D386" s="589"/>
      <c r="E386" s="589"/>
      <c r="F386" s="589"/>
      <c r="G386" s="589"/>
      <c r="H386" s="589"/>
      <c r="I386" s="589"/>
      <c r="J386" s="440">
        <v>512.30020000000002</v>
      </c>
      <c r="K386" s="440">
        <v>156.5814</v>
      </c>
    </row>
    <row r="387" spans="1:11" ht="31.5">
      <c r="A387" s="261" t="s">
        <v>11176</v>
      </c>
      <c r="B387" s="265" t="s">
        <v>25769</v>
      </c>
      <c r="C387" s="440">
        <v>908453.66540000006</v>
      </c>
      <c r="D387" s="440">
        <v>38.933700000000002</v>
      </c>
      <c r="E387" s="440">
        <v>16.014700000000001</v>
      </c>
      <c r="F387" s="440">
        <v>6.4889999999999999</v>
      </c>
      <c r="G387" s="440">
        <v>58.400599999999997</v>
      </c>
      <c r="H387" s="440">
        <v>250.7449</v>
      </c>
      <c r="I387" s="440">
        <v>32.991900000000001</v>
      </c>
      <c r="J387" s="440">
        <v>403.57479999999998</v>
      </c>
      <c r="K387" s="440">
        <v>94.429299999999998</v>
      </c>
    </row>
    <row r="388" spans="1:11">
      <c r="A388" s="261" t="s">
        <v>11177</v>
      </c>
      <c r="B388" s="265" t="s">
        <v>25770</v>
      </c>
      <c r="C388" s="440">
        <v>516545</v>
      </c>
      <c r="D388" s="440">
        <v>34.436300000000003</v>
      </c>
      <c r="E388" s="440">
        <v>17.263400000000001</v>
      </c>
      <c r="F388" s="440">
        <v>0</v>
      </c>
      <c r="G388" s="440">
        <v>38.740900000000003</v>
      </c>
      <c r="H388" s="440">
        <v>0</v>
      </c>
      <c r="I388" s="440">
        <v>0</v>
      </c>
      <c r="J388" s="440">
        <v>90.440600000000003</v>
      </c>
      <c r="K388" s="440">
        <v>51.6997</v>
      </c>
    </row>
    <row r="389" spans="1:11">
      <c r="A389" s="261" t="s">
        <v>11178</v>
      </c>
      <c r="B389" s="265" t="s">
        <v>25771</v>
      </c>
      <c r="C389" s="440">
        <v>104432.36</v>
      </c>
      <c r="D389" s="440">
        <v>6.9622000000000002</v>
      </c>
      <c r="E389" s="440">
        <v>3.4902000000000002</v>
      </c>
      <c r="F389" s="440">
        <v>0</v>
      </c>
      <c r="G389" s="440">
        <v>7.8323999999999998</v>
      </c>
      <c r="H389" s="440">
        <v>0</v>
      </c>
      <c r="I389" s="440">
        <v>0</v>
      </c>
      <c r="J389" s="440">
        <v>18.284800000000001</v>
      </c>
      <c r="K389" s="440">
        <v>10.452400000000001</v>
      </c>
    </row>
    <row r="390" spans="1:11" ht="31.5">
      <c r="A390" s="261" t="s">
        <v>11179</v>
      </c>
      <c r="B390" s="265" t="s">
        <v>25772</v>
      </c>
      <c r="C390" s="589"/>
      <c r="D390" s="589"/>
      <c r="E390" s="589"/>
      <c r="F390" s="589"/>
      <c r="G390" s="589"/>
      <c r="H390" s="589"/>
      <c r="I390" s="589"/>
      <c r="J390" s="440">
        <v>432.73849999999999</v>
      </c>
      <c r="K390" s="440">
        <v>124.8672</v>
      </c>
    </row>
    <row r="391" spans="1:11" ht="31.5">
      <c r="A391" s="261" t="s">
        <v>11180</v>
      </c>
      <c r="B391" s="265" t="s">
        <v>25773</v>
      </c>
      <c r="C391" s="440">
        <v>733426.57389999996</v>
      </c>
      <c r="D391" s="440">
        <v>31.432600000000001</v>
      </c>
      <c r="E391" s="440">
        <v>12.9293</v>
      </c>
      <c r="F391" s="440">
        <v>5.2388000000000003</v>
      </c>
      <c r="G391" s="440">
        <v>47.148899999999998</v>
      </c>
      <c r="H391" s="440">
        <v>221.24549999999999</v>
      </c>
      <c r="I391" s="440">
        <v>31.651</v>
      </c>
      <c r="J391" s="440">
        <v>349.64609999999999</v>
      </c>
      <c r="K391" s="440">
        <v>81.2517</v>
      </c>
    </row>
    <row r="392" spans="1:11" ht="31.5">
      <c r="A392" s="261" t="s">
        <v>11181</v>
      </c>
      <c r="B392" s="265" t="s">
        <v>25774</v>
      </c>
      <c r="C392" s="440">
        <v>464949.67700000003</v>
      </c>
      <c r="D392" s="440">
        <v>35.090499999999999</v>
      </c>
      <c r="E392" s="440">
        <v>8.5250000000000004</v>
      </c>
      <c r="F392" s="440">
        <v>0</v>
      </c>
      <c r="G392" s="440">
        <v>39.476900000000001</v>
      </c>
      <c r="H392" s="440">
        <v>0</v>
      </c>
      <c r="I392" s="440">
        <v>0</v>
      </c>
      <c r="J392" s="440">
        <v>83.092399999999998</v>
      </c>
      <c r="K392" s="440">
        <v>43.615499999999997</v>
      </c>
    </row>
    <row r="393" spans="1:11" ht="31.5">
      <c r="A393" s="261" t="s">
        <v>11182</v>
      </c>
      <c r="B393" s="265" t="s">
        <v>25775</v>
      </c>
      <c r="C393" s="589"/>
      <c r="D393" s="589"/>
      <c r="E393" s="589"/>
      <c r="F393" s="589"/>
      <c r="G393" s="589"/>
      <c r="H393" s="589"/>
      <c r="I393" s="589"/>
      <c r="J393" s="440">
        <v>643.30330000000004</v>
      </c>
      <c r="K393" s="440">
        <v>265.11180000000002</v>
      </c>
    </row>
    <row r="394" spans="1:11" ht="47.25">
      <c r="A394" s="261" t="s">
        <v>11183</v>
      </c>
      <c r="B394" s="265" t="s">
        <v>25776</v>
      </c>
      <c r="C394" s="440">
        <v>698139.97389999998</v>
      </c>
      <c r="D394" s="440">
        <v>29.920300000000001</v>
      </c>
      <c r="E394" s="440">
        <v>12.3072</v>
      </c>
      <c r="F394" s="440">
        <v>4.9866999999999999</v>
      </c>
      <c r="G394" s="440">
        <v>44.880400000000002</v>
      </c>
      <c r="H394" s="440">
        <v>198.06739999999999</v>
      </c>
      <c r="I394" s="440">
        <v>32.991900000000001</v>
      </c>
      <c r="J394" s="440">
        <v>323.15390000000002</v>
      </c>
      <c r="K394" s="440">
        <v>80.206100000000006</v>
      </c>
    </row>
    <row r="395" spans="1:11" ht="31.5">
      <c r="A395" s="261" t="s">
        <v>11184</v>
      </c>
      <c r="B395" s="265" t="s">
        <v>25777</v>
      </c>
      <c r="C395" s="440">
        <v>2103790.4939999999</v>
      </c>
      <c r="D395" s="440">
        <v>120.2166</v>
      </c>
      <c r="E395" s="440">
        <v>37.086799999999997</v>
      </c>
      <c r="F395" s="440">
        <v>0</v>
      </c>
      <c r="G395" s="440">
        <v>135.24369999999999</v>
      </c>
      <c r="H395" s="440">
        <v>0</v>
      </c>
      <c r="I395" s="440">
        <v>27.6023</v>
      </c>
      <c r="J395" s="440">
        <v>320.14940000000001</v>
      </c>
      <c r="K395" s="440">
        <v>184.9057</v>
      </c>
    </row>
    <row r="396" spans="1:11" ht="31.5">
      <c r="A396" s="261" t="s">
        <v>11185</v>
      </c>
      <c r="B396" s="265" t="s">
        <v>25778</v>
      </c>
      <c r="C396" s="589"/>
      <c r="D396" s="589"/>
      <c r="E396" s="589"/>
      <c r="F396" s="589"/>
      <c r="G396" s="589"/>
      <c r="H396" s="589"/>
      <c r="I396" s="589"/>
      <c r="J396" s="440">
        <v>402.21949999999998</v>
      </c>
      <c r="K396" s="440">
        <v>136.85679999999999</v>
      </c>
    </row>
    <row r="397" spans="1:11" ht="31.5">
      <c r="A397" s="261" t="s">
        <v>11186</v>
      </c>
      <c r="B397" s="265" t="s">
        <v>25779</v>
      </c>
      <c r="C397" s="440">
        <v>642211.18420000002</v>
      </c>
      <c r="D397" s="440">
        <v>27.523299999999999</v>
      </c>
      <c r="E397" s="440">
        <v>11.321300000000001</v>
      </c>
      <c r="F397" s="440">
        <v>4.5872000000000002</v>
      </c>
      <c r="G397" s="440">
        <v>41.284999999999997</v>
      </c>
      <c r="H397" s="440">
        <v>198.06739999999999</v>
      </c>
      <c r="I397" s="440">
        <v>32.991900000000001</v>
      </c>
      <c r="J397" s="440">
        <v>315.77609999999999</v>
      </c>
      <c r="K397" s="440">
        <v>76.423699999999997</v>
      </c>
    </row>
    <row r="398" spans="1:11">
      <c r="A398" s="261" t="s">
        <v>11187</v>
      </c>
      <c r="B398" s="265" t="s">
        <v>25780</v>
      </c>
      <c r="C398" s="440">
        <v>40141.785100000001</v>
      </c>
      <c r="D398" s="440">
        <v>2.7684000000000002</v>
      </c>
      <c r="E398" s="440">
        <v>0.72589999999999999</v>
      </c>
      <c r="F398" s="440">
        <v>0</v>
      </c>
      <c r="G398" s="440">
        <v>2.7684000000000002</v>
      </c>
      <c r="H398" s="440">
        <v>0</v>
      </c>
      <c r="I398" s="440">
        <v>0</v>
      </c>
      <c r="J398" s="440">
        <v>6.2626999999999997</v>
      </c>
      <c r="K398" s="440">
        <v>3.4943</v>
      </c>
    </row>
    <row r="399" spans="1:11" ht="31.5">
      <c r="A399" s="261" t="s">
        <v>11188</v>
      </c>
      <c r="B399" s="265" t="s">
        <v>25781</v>
      </c>
      <c r="C399" s="440">
        <v>337008</v>
      </c>
      <c r="D399" s="440">
        <v>23.241900000000001</v>
      </c>
      <c r="E399" s="440">
        <v>6.0945999999999998</v>
      </c>
      <c r="F399" s="440">
        <v>0</v>
      </c>
      <c r="G399" s="440">
        <v>23.241900000000001</v>
      </c>
      <c r="H399" s="440">
        <v>0</v>
      </c>
      <c r="I399" s="440">
        <v>27.6023</v>
      </c>
      <c r="J399" s="440">
        <v>80.180700000000002</v>
      </c>
      <c r="K399" s="440">
        <v>56.938800000000001</v>
      </c>
    </row>
    <row r="400" spans="1:11" ht="31.5">
      <c r="A400" s="261" t="s">
        <v>11189</v>
      </c>
      <c r="B400" s="265" t="s">
        <v>25782</v>
      </c>
      <c r="C400" s="589"/>
      <c r="D400" s="589"/>
      <c r="E400" s="589"/>
      <c r="F400" s="589"/>
      <c r="G400" s="589"/>
      <c r="H400" s="589"/>
      <c r="I400" s="589"/>
      <c r="J400" s="440">
        <v>357.90460000000002</v>
      </c>
      <c r="K400" s="440">
        <v>156.2903</v>
      </c>
    </row>
    <row r="401" spans="1:11" ht="31.5">
      <c r="A401" s="261" t="s">
        <v>11190</v>
      </c>
      <c r="B401" s="265" t="s">
        <v>25783</v>
      </c>
      <c r="C401" s="440">
        <v>492388.60330000002</v>
      </c>
      <c r="D401" s="440">
        <v>21.102399999999999</v>
      </c>
      <c r="E401" s="440">
        <v>8.6800999999999995</v>
      </c>
      <c r="F401" s="440">
        <v>3.5171000000000001</v>
      </c>
      <c r="G401" s="440">
        <v>31.653600000000001</v>
      </c>
      <c r="H401" s="440">
        <v>143.28280000000001</v>
      </c>
      <c r="I401" s="440">
        <v>31.651</v>
      </c>
      <c r="J401" s="440">
        <v>239.887</v>
      </c>
      <c r="K401" s="440">
        <v>64.950599999999994</v>
      </c>
    </row>
    <row r="402" spans="1:11">
      <c r="A402" s="261" t="s">
        <v>11191</v>
      </c>
      <c r="B402" s="265" t="s">
        <v>25784</v>
      </c>
      <c r="C402" s="440">
        <v>17692.919999999998</v>
      </c>
      <c r="D402" s="440">
        <v>1.2202</v>
      </c>
      <c r="E402" s="440">
        <v>0.32</v>
      </c>
      <c r="F402" s="440">
        <v>0</v>
      </c>
      <c r="G402" s="440">
        <v>1.2202</v>
      </c>
      <c r="H402" s="440">
        <v>0</v>
      </c>
      <c r="I402" s="440">
        <v>0</v>
      </c>
      <c r="J402" s="440">
        <v>2.7604000000000002</v>
      </c>
      <c r="K402" s="440">
        <v>1.5402</v>
      </c>
    </row>
    <row r="403" spans="1:11" ht="31.5">
      <c r="A403" s="261" t="s">
        <v>11192</v>
      </c>
      <c r="B403" s="265" t="s">
        <v>25785</v>
      </c>
      <c r="C403" s="440">
        <v>210128.5</v>
      </c>
      <c r="D403" s="440">
        <v>14.4916</v>
      </c>
      <c r="E403" s="440">
        <v>3.8001</v>
      </c>
      <c r="F403" s="440">
        <v>0</v>
      </c>
      <c r="G403" s="440">
        <v>14.4916</v>
      </c>
      <c r="H403" s="440">
        <v>0</v>
      </c>
      <c r="I403" s="440">
        <v>27.6023</v>
      </c>
      <c r="J403" s="440">
        <v>60.385599999999997</v>
      </c>
      <c r="K403" s="440">
        <v>45.893999999999998</v>
      </c>
    </row>
    <row r="404" spans="1:11" ht="31.5">
      <c r="A404" s="261" t="s">
        <v>11193</v>
      </c>
      <c r="B404" s="265" t="s">
        <v>25786</v>
      </c>
      <c r="C404" s="440">
        <v>205615</v>
      </c>
      <c r="D404" s="440">
        <v>11.6515</v>
      </c>
      <c r="E404" s="440">
        <v>4.6516999999999999</v>
      </c>
      <c r="F404" s="440">
        <v>0</v>
      </c>
      <c r="G404" s="440">
        <v>10.966100000000001</v>
      </c>
      <c r="H404" s="440">
        <v>0</v>
      </c>
      <c r="I404" s="440">
        <v>27.6023</v>
      </c>
      <c r="J404" s="440">
        <v>54.871600000000001</v>
      </c>
      <c r="K404" s="440">
        <v>43.905500000000004</v>
      </c>
    </row>
    <row r="405" spans="1:11" ht="31.5">
      <c r="A405" s="261" t="s">
        <v>11194</v>
      </c>
      <c r="B405" s="265" t="s">
        <v>25787</v>
      </c>
      <c r="C405" s="589"/>
      <c r="D405" s="589"/>
      <c r="E405" s="589"/>
      <c r="F405" s="589"/>
      <c r="G405" s="589"/>
      <c r="H405" s="589"/>
      <c r="I405" s="589"/>
      <c r="J405" s="440">
        <v>214.65719999999999</v>
      </c>
      <c r="K405" s="440">
        <v>64.273899999999998</v>
      </c>
    </row>
    <row r="406" spans="1:11" ht="31.5">
      <c r="A406" s="261" t="s">
        <v>11195</v>
      </c>
      <c r="B406" s="265" t="s">
        <v>25788</v>
      </c>
      <c r="C406" s="440">
        <v>379385.77</v>
      </c>
      <c r="D406" s="440">
        <v>16.259399999999999</v>
      </c>
      <c r="E406" s="440">
        <v>6.6879999999999997</v>
      </c>
      <c r="F406" s="440">
        <v>2.7099000000000002</v>
      </c>
      <c r="G406" s="440">
        <v>24.389099999999999</v>
      </c>
      <c r="H406" s="440">
        <v>121.1583</v>
      </c>
      <c r="I406" s="440">
        <v>32.991900000000001</v>
      </c>
      <c r="J406" s="440">
        <v>204.19659999999999</v>
      </c>
      <c r="K406" s="440">
        <v>58.6492</v>
      </c>
    </row>
    <row r="407" spans="1:11" ht="31.5">
      <c r="A407" s="261" t="s">
        <v>11196</v>
      </c>
      <c r="B407" s="265" t="s">
        <v>25789</v>
      </c>
      <c r="C407" s="440">
        <v>75225</v>
      </c>
      <c r="D407" s="440">
        <v>4.2986000000000004</v>
      </c>
      <c r="E407" s="440">
        <v>1.3261000000000001</v>
      </c>
      <c r="F407" s="440">
        <v>0</v>
      </c>
      <c r="G407" s="440">
        <v>4.8358999999999996</v>
      </c>
      <c r="H407" s="440">
        <v>0</v>
      </c>
      <c r="I407" s="440">
        <v>0</v>
      </c>
      <c r="J407" s="440">
        <v>10.460599999999999</v>
      </c>
      <c r="K407" s="440">
        <v>5.6246999999999998</v>
      </c>
    </row>
    <row r="408" spans="1:11" ht="31.5">
      <c r="A408" s="261" t="s">
        <v>11197</v>
      </c>
      <c r="B408" s="265" t="s">
        <v>25790</v>
      </c>
      <c r="C408" s="589"/>
      <c r="D408" s="589"/>
      <c r="E408" s="589"/>
      <c r="F408" s="589"/>
      <c r="G408" s="589"/>
      <c r="H408" s="589"/>
      <c r="I408" s="589"/>
      <c r="J408" s="440">
        <v>293.59809999999999</v>
      </c>
      <c r="K408" s="440">
        <v>107.1117</v>
      </c>
    </row>
    <row r="409" spans="1:11" ht="31.5">
      <c r="A409" s="261" t="s">
        <v>11198</v>
      </c>
      <c r="B409" s="265" t="s">
        <v>25791</v>
      </c>
      <c r="C409" s="440">
        <v>522608.36609999998</v>
      </c>
      <c r="D409" s="440">
        <v>22.397500000000001</v>
      </c>
      <c r="E409" s="440">
        <v>9.2127999999999997</v>
      </c>
      <c r="F409" s="440">
        <v>3.7328999999999999</v>
      </c>
      <c r="G409" s="440">
        <v>33.596299999999999</v>
      </c>
      <c r="H409" s="440">
        <v>143.28280000000001</v>
      </c>
      <c r="I409" s="440">
        <v>32.991900000000001</v>
      </c>
      <c r="J409" s="440">
        <v>245.21420000000001</v>
      </c>
      <c r="K409" s="440">
        <v>68.335099999999997</v>
      </c>
    </row>
    <row r="410" spans="1:11" ht="31.5">
      <c r="A410" s="261" t="s">
        <v>11199</v>
      </c>
      <c r="B410" s="265" t="s">
        <v>25792</v>
      </c>
      <c r="C410" s="440">
        <v>149447</v>
      </c>
      <c r="D410" s="440">
        <v>8.5397999999999996</v>
      </c>
      <c r="E410" s="440">
        <v>2.6345000000000001</v>
      </c>
      <c r="F410" s="440">
        <v>0</v>
      </c>
      <c r="G410" s="440">
        <v>9.6073000000000004</v>
      </c>
      <c r="H410" s="440">
        <v>0</v>
      </c>
      <c r="I410" s="440">
        <v>27.6023</v>
      </c>
      <c r="J410" s="440">
        <v>48.383899999999997</v>
      </c>
      <c r="K410" s="440">
        <v>38.776600000000002</v>
      </c>
    </row>
    <row r="411" spans="1:11" ht="31.5">
      <c r="A411" s="261" t="s">
        <v>11200</v>
      </c>
      <c r="B411" s="265" t="s">
        <v>25793</v>
      </c>
      <c r="C411" s="589"/>
      <c r="D411" s="589"/>
      <c r="E411" s="589"/>
      <c r="F411" s="589"/>
      <c r="G411" s="589"/>
      <c r="H411" s="589"/>
      <c r="I411" s="589"/>
      <c r="J411" s="440">
        <v>491.39400000000001</v>
      </c>
      <c r="K411" s="440">
        <v>153.65710000000001</v>
      </c>
    </row>
    <row r="412" spans="1:11" ht="31.5">
      <c r="A412" s="261" t="s">
        <v>11201</v>
      </c>
      <c r="B412" s="265" t="s">
        <v>25794</v>
      </c>
      <c r="C412" s="440">
        <v>793455.54819999996</v>
      </c>
      <c r="D412" s="440">
        <v>34.005200000000002</v>
      </c>
      <c r="E412" s="440">
        <v>13.987500000000001</v>
      </c>
      <c r="F412" s="440">
        <v>5.6675000000000004</v>
      </c>
      <c r="G412" s="440">
        <v>51.007899999999999</v>
      </c>
      <c r="H412" s="440">
        <v>252.852</v>
      </c>
      <c r="I412" s="440">
        <v>32.991900000000001</v>
      </c>
      <c r="J412" s="440">
        <v>390.512</v>
      </c>
      <c r="K412" s="440">
        <v>86.652100000000004</v>
      </c>
    </row>
    <row r="413" spans="1:11" ht="31.5">
      <c r="A413" s="261" t="s">
        <v>11202</v>
      </c>
      <c r="B413" s="265" t="s">
        <v>25795</v>
      </c>
      <c r="C413" s="440">
        <v>526975.80810000002</v>
      </c>
      <c r="D413" s="440">
        <v>30.1129</v>
      </c>
      <c r="E413" s="440">
        <v>9.2897999999999996</v>
      </c>
      <c r="F413" s="440">
        <v>0</v>
      </c>
      <c r="G413" s="440">
        <v>33.877000000000002</v>
      </c>
      <c r="H413" s="440">
        <v>0</v>
      </c>
      <c r="I413" s="440">
        <v>27.6023</v>
      </c>
      <c r="J413" s="440">
        <v>100.88200000000001</v>
      </c>
      <c r="K413" s="440">
        <v>67.004999999999995</v>
      </c>
    </row>
    <row r="414" spans="1:11">
      <c r="A414" s="261" t="s">
        <v>11203</v>
      </c>
      <c r="B414" s="265" t="s">
        <v>25796</v>
      </c>
      <c r="C414" s="589"/>
      <c r="D414" s="589"/>
      <c r="E414" s="589"/>
      <c r="F414" s="589"/>
      <c r="G414" s="589"/>
      <c r="H414" s="589"/>
      <c r="I414" s="589"/>
      <c r="J414" s="440">
        <v>265.89530000000002</v>
      </c>
      <c r="K414" s="440">
        <v>68.164100000000005</v>
      </c>
    </row>
    <row r="415" spans="1:11" ht="31.5">
      <c r="A415" s="261" t="s">
        <v>11204</v>
      </c>
      <c r="B415" s="265" t="s">
        <v>25797</v>
      </c>
      <c r="C415" s="440">
        <v>539904.93240000005</v>
      </c>
      <c r="D415" s="440">
        <v>23.1388</v>
      </c>
      <c r="E415" s="440">
        <v>9.5177999999999994</v>
      </c>
      <c r="F415" s="440">
        <v>3.8565</v>
      </c>
      <c r="G415" s="440">
        <v>34.708199999999998</v>
      </c>
      <c r="H415" s="440">
        <v>163.023</v>
      </c>
      <c r="I415" s="440">
        <v>31.651</v>
      </c>
      <c r="J415" s="440">
        <v>265.89530000000002</v>
      </c>
      <c r="K415" s="440">
        <v>68.164100000000005</v>
      </c>
    </row>
    <row r="416" spans="1:11">
      <c r="A416" s="261" t="s">
        <v>11205</v>
      </c>
      <c r="B416" s="265" t="s">
        <v>25798</v>
      </c>
      <c r="C416" s="589"/>
      <c r="D416" s="589"/>
      <c r="E416" s="589"/>
      <c r="F416" s="589"/>
      <c r="G416" s="589"/>
      <c r="H416" s="589"/>
      <c r="I416" s="589"/>
      <c r="J416" s="440">
        <v>5.3373999999999997</v>
      </c>
      <c r="K416" s="440">
        <v>3.6537999999999999</v>
      </c>
    </row>
    <row r="417" spans="1:11">
      <c r="A417" s="261" t="s">
        <v>11206</v>
      </c>
      <c r="B417" s="265" t="s">
        <v>25799</v>
      </c>
      <c r="C417" s="440">
        <v>33672.643700000001</v>
      </c>
      <c r="D417" s="440">
        <v>3.0305</v>
      </c>
      <c r="E417" s="440">
        <v>0.62329999999999997</v>
      </c>
      <c r="F417" s="440">
        <v>0</v>
      </c>
      <c r="G417" s="440">
        <v>1.6836</v>
      </c>
      <c r="H417" s="440">
        <v>0</v>
      </c>
      <c r="I417" s="440">
        <v>0</v>
      </c>
      <c r="J417" s="440">
        <v>5.3373999999999997</v>
      </c>
      <c r="K417" s="440">
        <v>3.6537999999999999</v>
      </c>
    </row>
    <row r="418" spans="1:11">
      <c r="A418" s="261" t="s">
        <v>11207</v>
      </c>
      <c r="B418" s="265" t="s">
        <v>25800</v>
      </c>
      <c r="C418" s="589"/>
      <c r="D418" s="589"/>
      <c r="E418" s="589"/>
      <c r="F418" s="589"/>
      <c r="G418" s="589"/>
      <c r="H418" s="589"/>
      <c r="I418" s="589"/>
      <c r="J418" s="440">
        <v>58.2014</v>
      </c>
      <c r="K418" s="440">
        <v>31.8142</v>
      </c>
    </row>
    <row r="419" spans="1:11">
      <c r="A419" s="261" t="s">
        <v>11208</v>
      </c>
      <c r="B419" s="265" t="s">
        <v>25801</v>
      </c>
      <c r="C419" s="440">
        <v>293190.73710000003</v>
      </c>
      <c r="D419" s="440">
        <v>26.3872</v>
      </c>
      <c r="E419" s="440">
        <v>5.4269999999999996</v>
      </c>
      <c r="F419" s="440">
        <v>0</v>
      </c>
      <c r="G419" s="440">
        <v>26.3872</v>
      </c>
      <c r="H419" s="440">
        <v>0</v>
      </c>
      <c r="I419" s="440">
        <v>0</v>
      </c>
      <c r="J419" s="440">
        <v>58.2014</v>
      </c>
      <c r="K419" s="440">
        <v>31.8142</v>
      </c>
    </row>
    <row r="420" spans="1:11" ht="31.5">
      <c r="A420" s="261" t="s">
        <v>11209</v>
      </c>
      <c r="B420" s="265" t="s">
        <v>25802</v>
      </c>
      <c r="C420" s="589"/>
      <c r="D420" s="589"/>
      <c r="E420" s="589"/>
      <c r="F420" s="589"/>
      <c r="G420" s="589"/>
      <c r="H420" s="589"/>
      <c r="I420" s="589"/>
      <c r="J420" s="440">
        <v>278.5924</v>
      </c>
      <c r="K420" s="440">
        <v>83.5381</v>
      </c>
    </row>
    <row r="421" spans="1:11" ht="31.5">
      <c r="A421" s="261" t="s">
        <v>11210</v>
      </c>
      <c r="B421" s="265" t="s">
        <v>25803</v>
      </c>
      <c r="C421" s="440">
        <v>698139.97389999998</v>
      </c>
      <c r="D421" s="440">
        <v>29.920300000000001</v>
      </c>
      <c r="E421" s="440">
        <v>12.3072</v>
      </c>
      <c r="F421" s="440">
        <v>4.9866999999999999</v>
      </c>
      <c r="G421" s="440">
        <v>44.880400000000002</v>
      </c>
      <c r="H421" s="440">
        <v>145.9444</v>
      </c>
      <c r="I421" s="440">
        <v>31.651</v>
      </c>
      <c r="J421" s="440">
        <v>269.69</v>
      </c>
      <c r="K421" s="440">
        <v>78.865200000000002</v>
      </c>
    </row>
    <row r="422" spans="1:11">
      <c r="A422" s="261" t="s">
        <v>11211</v>
      </c>
      <c r="B422" s="265" t="s">
        <v>25804</v>
      </c>
      <c r="C422" s="440">
        <v>49813.995000000003</v>
      </c>
      <c r="D422" s="440">
        <v>3.7595000000000001</v>
      </c>
      <c r="E422" s="440">
        <v>0.91339999999999999</v>
      </c>
      <c r="F422" s="440">
        <v>0</v>
      </c>
      <c r="G422" s="440">
        <v>4.2294999999999998</v>
      </c>
      <c r="H422" s="440">
        <v>0</v>
      </c>
      <c r="I422" s="440">
        <v>0</v>
      </c>
      <c r="J422" s="440">
        <v>8.9024000000000001</v>
      </c>
      <c r="K422" s="440">
        <v>4.6729000000000003</v>
      </c>
    </row>
    <row r="423" spans="1:11">
      <c r="A423" s="261" t="s">
        <v>11212</v>
      </c>
      <c r="B423" s="265" t="s">
        <v>25805</v>
      </c>
      <c r="C423" s="589"/>
      <c r="D423" s="589"/>
      <c r="E423" s="589"/>
      <c r="F423" s="589"/>
      <c r="G423" s="589"/>
      <c r="H423" s="589"/>
      <c r="I423" s="589"/>
      <c r="J423" s="440">
        <v>457.12790000000001</v>
      </c>
      <c r="K423" s="440">
        <v>108.5964</v>
      </c>
    </row>
    <row r="424" spans="1:11" ht="31.5">
      <c r="A424" s="261" t="s">
        <v>11173</v>
      </c>
      <c r="B424" s="265" t="s">
        <v>25766</v>
      </c>
      <c r="C424" s="440">
        <v>782729.40009999997</v>
      </c>
      <c r="D424" s="440">
        <v>33.545499999999997</v>
      </c>
      <c r="E424" s="440">
        <v>13.798400000000001</v>
      </c>
      <c r="F424" s="440">
        <v>5.5909000000000004</v>
      </c>
      <c r="G424" s="440">
        <v>50.318300000000001</v>
      </c>
      <c r="H424" s="440">
        <v>279.19080000000002</v>
      </c>
      <c r="I424" s="440">
        <v>31.651</v>
      </c>
      <c r="J424" s="440">
        <v>414.0949</v>
      </c>
      <c r="K424" s="440">
        <v>84.585800000000006</v>
      </c>
    </row>
    <row r="425" spans="1:11">
      <c r="A425" s="261" t="s">
        <v>11213</v>
      </c>
      <c r="B425" s="265" t="s">
        <v>25806</v>
      </c>
      <c r="C425" s="440">
        <v>275825</v>
      </c>
      <c r="D425" s="440">
        <v>19.022400000000001</v>
      </c>
      <c r="E425" s="440">
        <v>4.9882</v>
      </c>
      <c r="F425" s="440">
        <v>0</v>
      </c>
      <c r="G425" s="440">
        <v>19.022400000000001</v>
      </c>
      <c r="H425" s="440">
        <v>0</v>
      </c>
      <c r="I425" s="440">
        <v>0</v>
      </c>
      <c r="J425" s="440">
        <v>43.033000000000001</v>
      </c>
      <c r="K425" s="440">
        <v>24.0106</v>
      </c>
    </row>
    <row r="426" spans="1:11" ht="31.5">
      <c r="A426" s="261" t="s">
        <v>11214</v>
      </c>
      <c r="B426" s="265" t="s">
        <v>25807</v>
      </c>
      <c r="C426" s="589"/>
      <c r="D426" s="589"/>
      <c r="E426" s="589"/>
      <c r="F426" s="589"/>
      <c r="G426" s="589"/>
      <c r="H426" s="589"/>
      <c r="I426" s="589"/>
      <c r="J426" s="440">
        <v>552.0471</v>
      </c>
      <c r="K426" s="440">
        <v>179.30240000000001</v>
      </c>
    </row>
    <row r="427" spans="1:11" ht="31.5">
      <c r="A427" s="261" t="s">
        <v>11176</v>
      </c>
      <c r="B427" s="265" t="s">
        <v>25769</v>
      </c>
      <c r="C427" s="440">
        <v>908453.66540000006</v>
      </c>
      <c r="D427" s="440">
        <v>38.933700000000002</v>
      </c>
      <c r="E427" s="440">
        <v>16.014700000000001</v>
      </c>
      <c r="F427" s="440">
        <v>6.4889999999999999</v>
      </c>
      <c r="G427" s="440">
        <v>58.400599999999997</v>
      </c>
      <c r="H427" s="440">
        <v>250.7449</v>
      </c>
      <c r="I427" s="440">
        <v>32.991900000000001</v>
      </c>
      <c r="J427" s="440">
        <v>403.57479999999998</v>
      </c>
      <c r="K427" s="440">
        <v>94.429299999999998</v>
      </c>
    </row>
    <row r="428" spans="1:11" ht="31.5">
      <c r="A428" s="261" t="s">
        <v>11215</v>
      </c>
      <c r="B428" s="265" t="s">
        <v>25808</v>
      </c>
      <c r="C428" s="440">
        <v>313950.27370000002</v>
      </c>
      <c r="D428" s="440">
        <v>20.93</v>
      </c>
      <c r="E428" s="440">
        <v>10.4925</v>
      </c>
      <c r="F428" s="440">
        <v>0</v>
      </c>
      <c r="G428" s="440">
        <v>23.546299999999999</v>
      </c>
      <c r="H428" s="440">
        <v>0</v>
      </c>
      <c r="I428" s="440">
        <v>0</v>
      </c>
      <c r="J428" s="440">
        <v>54.968800000000002</v>
      </c>
      <c r="K428" s="440">
        <v>31.422499999999999</v>
      </c>
    </row>
    <row r="429" spans="1:11">
      <c r="A429" s="261" t="s">
        <v>11216</v>
      </c>
      <c r="B429" s="265" t="s">
        <v>25809</v>
      </c>
      <c r="C429" s="440">
        <v>534039.12540000002</v>
      </c>
      <c r="D429" s="440">
        <v>35.602600000000002</v>
      </c>
      <c r="E429" s="440">
        <v>17.847999999999999</v>
      </c>
      <c r="F429" s="440">
        <v>0</v>
      </c>
      <c r="G429" s="440">
        <v>40.052900000000001</v>
      </c>
      <c r="H429" s="440">
        <v>0</v>
      </c>
      <c r="I429" s="440">
        <v>0</v>
      </c>
      <c r="J429" s="440">
        <v>93.503500000000003</v>
      </c>
      <c r="K429" s="440">
        <v>53.450600000000001</v>
      </c>
    </row>
    <row r="430" spans="1:11" ht="31.5">
      <c r="A430" s="261" t="s">
        <v>11217</v>
      </c>
      <c r="B430" s="265" t="s">
        <v>25810</v>
      </c>
      <c r="C430" s="589"/>
      <c r="D430" s="589"/>
      <c r="E430" s="589"/>
      <c r="F430" s="589"/>
      <c r="G430" s="589"/>
      <c r="H430" s="589"/>
      <c r="I430" s="589"/>
      <c r="J430" s="440">
        <v>658.7722</v>
      </c>
      <c r="K430" s="440">
        <v>238.25030000000001</v>
      </c>
    </row>
    <row r="431" spans="1:11" ht="31.5">
      <c r="A431" s="261" t="s">
        <v>11215</v>
      </c>
      <c r="B431" s="265" t="s">
        <v>25808</v>
      </c>
      <c r="C431" s="440">
        <v>313950.27370000002</v>
      </c>
      <c r="D431" s="440">
        <v>20.93</v>
      </c>
      <c r="E431" s="440">
        <v>10.4925</v>
      </c>
      <c r="F431" s="440">
        <v>0</v>
      </c>
      <c r="G431" s="440">
        <v>23.546299999999999</v>
      </c>
      <c r="H431" s="440">
        <v>0</v>
      </c>
      <c r="I431" s="440">
        <v>0</v>
      </c>
      <c r="J431" s="440">
        <v>54.968800000000002</v>
      </c>
      <c r="K431" s="440">
        <v>31.422499999999999</v>
      </c>
    </row>
    <row r="432" spans="1:11" ht="31.5">
      <c r="A432" s="261" t="s">
        <v>11218</v>
      </c>
      <c r="B432" s="265" t="s">
        <v>25811</v>
      </c>
      <c r="C432" s="440">
        <v>1173357.7142</v>
      </c>
      <c r="D432" s="440">
        <v>50.286799999999999</v>
      </c>
      <c r="E432" s="440">
        <v>20.6846</v>
      </c>
      <c r="F432" s="440">
        <v>8.3811</v>
      </c>
      <c r="G432" s="440">
        <v>75.430099999999996</v>
      </c>
      <c r="H432" s="440">
        <v>250.7449</v>
      </c>
      <c r="I432" s="440">
        <v>32.991900000000001</v>
      </c>
      <c r="J432" s="440">
        <v>438.51940000000002</v>
      </c>
      <c r="K432" s="440">
        <v>112.34439999999999</v>
      </c>
    </row>
    <row r="433" spans="1:11">
      <c r="A433" s="261" t="s">
        <v>11219</v>
      </c>
      <c r="B433" s="265" t="s">
        <v>25812</v>
      </c>
      <c r="C433" s="440">
        <v>409969.42959999997</v>
      </c>
      <c r="D433" s="440">
        <v>27.331299999999999</v>
      </c>
      <c r="E433" s="440">
        <v>13.701499999999999</v>
      </c>
      <c r="F433" s="440">
        <v>0</v>
      </c>
      <c r="G433" s="440">
        <v>30.747699999999998</v>
      </c>
      <c r="H433" s="440">
        <v>0</v>
      </c>
      <c r="I433" s="440">
        <v>0</v>
      </c>
      <c r="J433" s="440">
        <v>71.780500000000004</v>
      </c>
      <c r="K433" s="440">
        <v>41.032800000000002</v>
      </c>
    </row>
    <row r="434" spans="1:11">
      <c r="A434" s="261" t="s">
        <v>11216</v>
      </c>
      <c r="B434" s="265" t="s">
        <v>25809</v>
      </c>
      <c r="C434" s="440">
        <v>534039.12540000002</v>
      </c>
      <c r="D434" s="440">
        <v>35.602600000000002</v>
      </c>
      <c r="E434" s="440">
        <v>17.847999999999999</v>
      </c>
      <c r="F434" s="440">
        <v>0</v>
      </c>
      <c r="G434" s="440">
        <v>40.052900000000001</v>
      </c>
      <c r="H434" s="440">
        <v>0</v>
      </c>
      <c r="I434" s="440">
        <v>0</v>
      </c>
      <c r="J434" s="440">
        <v>93.503500000000003</v>
      </c>
      <c r="K434" s="440">
        <v>53.450600000000001</v>
      </c>
    </row>
    <row r="435" spans="1:11" ht="31.5">
      <c r="A435" s="261" t="s">
        <v>11220</v>
      </c>
      <c r="B435" s="265" t="s">
        <v>25813</v>
      </c>
      <c r="C435" s="589"/>
      <c r="D435" s="589"/>
      <c r="E435" s="589"/>
      <c r="F435" s="589"/>
      <c r="G435" s="589"/>
      <c r="H435" s="589"/>
      <c r="I435" s="589"/>
      <c r="J435" s="440">
        <v>1254.1973</v>
      </c>
      <c r="K435" s="440">
        <v>499.50490000000002</v>
      </c>
    </row>
    <row r="436" spans="1:11" ht="31.5">
      <c r="A436" s="261" t="s">
        <v>11221</v>
      </c>
      <c r="B436" s="265" t="s">
        <v>25814</v>
      </c>
      <c r="C436" s="440">
        <v>4669202.6061000004</v>
      </c>
      <c r="D436" s="440">
        <v>200.1087</v>
      </c>
      <c r="E436" s="440">
        <v>82.311400000000006</v>
      </c>
      <c r="F436" s="440">
        <v>33.351399999999998</v>
      </c>
      <c r="G436" s="440">
        <v>300.16300000000001</v>
      </c>
      <c r="H436" s="440">
        <v>341.572</v>
      </c>
      <c r="I436" s="440">
        <v>32.991900000000001</v>
      </c>
      <c r="J436" s="440">
        <v>990.49839999999995</v>
      </c>
      <c r="K436" s="440">
        <v>348.76339999999999</v>
      </c>
    </row>
    <row r="437" spans="1:11" ht="31.5">
      <c r="A437" s="261" t="s">
        <v>11215</v>
      </c>
      <c r="B437" s="265" t="s">
        <v>25808</v>
      </c>
      <c r="C437" s="440">
        <v>313950.27370000002</v>
      </c>
      <c r="D437" s="440">
        <v>20.93</v>
      </c>
      <c r="E437" s="440">
        <v>10.4925</v>
      </c>
      <c r="F437" s="440">
        <v>0</v>
      </c>
      <c r="G437" s="440">
        <v>23.546299999999999</v>
      </c>
      <c r="H437" s="440">
        <v>0</v>
      </c>
      <c r="I437" s="440">
        <v>0</v>
      </c>
      <c r="J437" s="440">
        <v>54.968800000000002</v>
      </c>
      <c r="K437" s="440">
        <v>31.422499999999999</v>
      </c>
    </row>
    <row r="438" spans="1:11">
      <c r="A438" s="261" t="s">
        <v>11222</v>
      </c>
      <c r="B438" s="265" t="s">
        <v>25815</v>
      </c>
      <c r="C438" s="440">
        <v>658108.82120000001</v>
      </c>
      <c r="D438" s="440">
        <v>43.873899999999999</v>
      </c>
      <c r="E438" s="440">
        <v>21.994499999999999</v>
      </c>
      <c r="F438" s="440">
        <v>0</v>
      </c>
      <c r="G438" s="440">
        <v>49.358199999999997</v>
      </c>
      <c r="H438" s="440">
        <v>0</v>
      </c>
      <c r="I438" s="440">
        <v>0</v>
      </c>
      <c r="J438" s="440">
        <v>115.2266</v>
      </c>
      <c r="K438" s="440">
        <v>65.868399999999994</v>
      </c>
    </row>
    <row r="439" spans="1:11">
      <c r="A439" s="261" t="s">
        <v>11216</v>
      </c>
      <c r="B439" s="265" t="s">
        <v>25809</v>
      </c>
      <c r="C439" s="440">
        <v>534039.12540000002</v>
      </c>
      <c r="D439" s="440">
        <v>35.602600000000002</v>
      </c>
      <c r="E439" s="440">
        <v>17.847999999999999</v>
      </c>
      <c r="F439" s="440">
        <v>0</v>
      </c>
      <c r="G439" s="440">
        <v>40.052900000000001</v>
      </c>
      <c r="H439" s="440">
        <v>0</v>
      </c>
      <c r="I439" s="440">
        <v>0</v>
      </c>
      <c r="J439" s="440">
        <v>93.503500000000003</v>
      </c>
      <c r="K439" s="440">
        <v>53.450600000000001</v>
      </c>
    </row>
    <row r="440" spans="1:11" ht="47.25">
      <c r="A440" s="261" t="s">
        <v>11223</v>
      </c>
      <c r="B440" s="265" t="s">
        <v>25816</v>
      </c>
      <c r="C440" s="589"/>
      <c r="D440" s="589"/>
      <c r="E440" s="589"/>
      <c r="F440" s="589"/>
      <c r="G440" s="589"/>
      <c r="H440" s="589"/>
      <c r="I440" s="589"/>
      <c r="J440" s="440">
        <v>354.67950000000002</v>
      </c>
      <c r="K440" s="440">
        <v>99.2791</v>
      </c>
    </row>
    <row r="441" spans="1:11" ht="47.25">
      <c r="A441" s="261" t="s">
        <v>11224</v>
      </c>
      <c r="B441" s="265" t="s">
        <v>25817</v>
      </c>
      <c r="C441" s="440">
        <v>401200</v>
      </c>
      <c r="D441" s="440">
        <v>16.047999999999998</v>
      </c>
      <c r="E441" s="440">
        <v>6.8074000000000003</v>
      </c>
      <c r="F441" s="440">
        <v>0</v>
      </c>
      <c r="G441" s="440">
        <v>16.047999999999998</v>
      </c>
      <c r="H441" s="440">
        <v>0</v>
      </c>
      <c r="I441" s="440">
        <v>0</v>
      </c>
      <c r="J441" s="440">
        <v>38.903399999999998</v>
      </c>
      <c r="K441" s="440">
        <v>22.855399999999999</v>
      </c>
    </row>
    <row r="442" spans="1:11" ht="31.5">
      <c r="A442" s="261" t="s">
        <v>11186</v>
      </c>
      <c r="B442" s="265" t="s">
        <v>25779</v>
      </c>
      <c r="C442" s="440">
        <v>642211.18420000002</v>
      </c>
      <c r="D442" s="440">
        <v>27.523299999999999</v>
      </c>
      <c r="E442" s="440">
        <v>11.321300000000001</v>
      </c>
      <c r="F442" s="440">
        <v>4.5872000000000002</v>
      </c>
      <c r="G442" s="440">
        <v>41.284999999999997</v>
      </c>
      <c r="H442" s="440">
        <v>198.06739999999999</v>
      </c>
      <c r="I442" s="440">
        <v>32.991900000000001</v>
      </c>
      <c r="J442" s="440">
        <v>315.77609999999999</v>
      </c>
      <c r="K442" s="440">
        <v>76.423699999999997</v>
      </c>
    </row>
    <row r="443" spans="1:11" ht="31.5">
      <c r="A443" s="261" t="s">
        <v>11225</v>
      </c>
      <c r="B443" s="265" t="s">
        <v>25818</v>
      </c>
      <c r="C443" s="589"/>
      <c r="D443" s="589"/>
      <c r="E443" s="589"/>
      <c r="F443" s="589"/>
      <c r="G443" s="589"/>
      <c r="H443" s="589"/>
      <c r="I443" s="589"/>
      <c r="J443" s="440">
        <v>310.63959999999997</v>
      </c>
      <c r="K443" s="440">
        <v>104.2861</v>
      </c>
    </row>
    <row r="444" spans="1:11" ht="31.5">
      <c r="A444" s="261" t="s">
        <v>11226</v>
      </c>
      <c r="B444" s="265" t="s">
        <v>25819</v>
      </c>
      <c r="C444" s="440">
        <v>698139.97389999998</v>
      </c>
      <c r="D444" s="440">
        <v>29.920300000000001</v>
      </c>
      <c r="E444" s="440">
        <v>12.3072</v>
      </c>
      <c r="F444" s="440">
        <v>4.9866999999999999</v>
      </c>
      <c r="G444" s="440">
        <v>44.880400000000002</v>
      </c>
      <c r="H444" s="440">
        <v>145.9444</v>
      </c>
      <c r="I444" s="440">
        <v>39.915199999999999</v>
      </c>
      <c r="J444" s="440">
        <v>277.95420000000001</v>
      </c>
      <c r="K444" s="440">
        <v>87.129400000000004</v>
      </c>
    </row>
    <row r="445" spans="1:11">
      <c r="A445" s="261" t="s">
        <v>11227</v>
      </c>
      <c r="B445" s="265" t="s">
        <v>25820</v>
      </c>
      <c r="C445" s="440">
        <v>182894.041</v>
      </c>
      <c r="D445" s="440">
        <v>13.8033</v>
      </c>
      <c r="E445" s="440">
        <v>3.3534000000000002</v>
      </c>
      <c r="F445" s="440">
        <v>0</v>
      </c>
      <c r="G445" s="440">
        <v>15.528700000000001</v>
      </c>
      <c r="H445" s="440">
        <v>0</v>
      </c>
      <c r="I445" s="440">
        <v>0</v>
      </c>
      <c r="J445" s="440">
        <v>32.685400000000001</v>
      </c>
      <c r="K445" s="440">
        <v>17.156700000000001</v>
      </c>
    </row>
    <row r="446" spans="1:11" ht="31.5">
      <c r="A446" s="261" t="s">
        <v>11228</v>
      </c>
      <c r="B446" s="265" t="s">
        <v>25821</v>
      </c>
      <c r="C446" s="589"/>
      <c r="D446" s="589"/>
      <c r="E446" s="589"/>
      <c r="F446" s="589"/>
      <c r="G446" s="589"/>
      <c r="H446" s="589"/>
      <c r="I446" s="589"/>
      <c r="J446" s="440">
        <v>316.46690000000001</v>
      </c>
      <c r="K446" s="440">
        <v>139.43950000000001</v>
      </c>
    </row>
    <row r="447" spans="1:11" ht="31.5">
      <c r="A447" s="261" t="s">
        <v>11229</v>
      </c>
      <c r="B447" s="265" t="s">
        <v>25822</v>
      </c>
      <c r="C447" s="440">
        <v>355386.4607</v>
      </c>
      <c r="D447" s="440">
        <v>15.2308</v>
      </c>
      <c r="E447" s="440">
        <v>6.2649999999999997</v>
      </c>
      <c r="F447" s="440">
        <v>2.5385</v>
      </c>
      <c r="G447" s="440">
        <v>22.846299999999999</v>
      </c>
      <c r="H447" s="440">
        <v>121.1583</v>
      </c>
      <c r="I447" s="440">
        <v>39.915199999999999</v>
      </c>
      <c r="J447" s="440">
        <v>207.95410000000001</v>
      </c>
      <c r="K447" s="440">
        <v>63.9495</v>
      </c>
    </row>
    <row r="448" spans="1:11" ht="31.5">
      <c r="A448" s="261" t="s">
        <v>11230</v>
      </c>
      <c r="B448" s="265" t="s">
        <v>25823</v>
      </c>
      <c r="C448" s="440">
        <v>495341.58</v>
      </c>
      <c r="D448" s="440">
        <v>33.022799999999997</v>
      </c>
      <c r="E448" s="440">
        <v>8.9140999999999995</v>
      </c>
      <c r="F448" s="440">
        <v>0</v>
      </c>
      <c r="G448" s="440">
        <v>33.022799999999997</v>
      </c>
      <c r="H448" s="440">
        <v>0</v>
      </c>
      <c r="I448" s="440">
        <v>33.553100000000001</v>
      </c>
      <c r="J448" s="440">
        <v>108.5128</v>
      </c>
      <c r="K448" s="440">
        <v>75.489999999999995</v>
      </c>
    </row>
    <row r="449" spans="1:11">
      <c r="A449" s="261" t="s">
        <v>11231</v>
      </c>
      <c r="B449" s="265" t="s">
        <v>25824</v>
      </c>
      <c r="C449" s="589"/>
      <c r="D449" s="589"/>
      <c r="E449" s="589"/>
      <c r="F449" s="589"/>
      <c r="G449" s="589"/>
      <c r="H449" s="589"/>
      <c r="I449" s="589"/>
      <c r="J449" s="440">
        <v>188.54990000000001</v>
      </c>
      <c r="K449" s="440">
        <v>73.580399999999997</v>
      </c>
    </row>
    <row r="450" spans="1:11" ht="31.5">
      <c r="A450" s="261" t="s">
        <v>11232</v>
      </c>
      <c r="B450" s="265" t="s">
        <v>25825</v>
      </c>
      <c r="C450" s="440">
        <v>522608.36609999998</v>
      </c>
      <c r="D450" s="440">
        <v>22.397500000000001</v>
      </c>
      <c r="E450" s="440">
        <v>9.2127999999999997</v>
      </c>
      <c r="F450" s="440">
        <v>3.7328999999999999</v>
      </c>
      <c r="G450" s="440">
        <v>33.596299999999999</v>
      </c>
      <c r="H450" s="440">
        <v>75.412000000000006</v>
      </c>
      <c r="I450" s="440">
        <v>31.651</v>
      </c>
      <c r="J450" s="440">
        <v>176.0025</v>
      </c>
      <c r="K450" s="440">
        <v>66.994200000000006</v>
      </c>
    </row>
    <row r="451" spans="1:11">
      <c r="A451" s="261" t="s">
        <v>11233</v>
      </c>
      <c r="B451" s="265" t="s">
        <v>25826</v>
      </c>
      <c r="C451" s="440">
        <v>70210</v>
      </c>
      <c r="D451" s="440">
        <v>5.2988999999999997</v>
      </c>
      <c r="E451" s="440">
        <v>1.2873000000000001</v>
      </c>
      <c r="F451" s="440">
        <v>0</v>
      </c>
      <c r="G451" s="440">
        <v>5.9611999999999998</v>
      </c>
      <c r="H451" s="440">
        <v>0</v>
      </c>
      <c r="I451" s="440">
        <v>0</v>
      </c>
      <c r="J451" s="440">
        <v>12.5474</v>
      </c>
      <c r="K451" s="440">
        <v>6.5861999999999998</v>
      </c>
    </row>
    <row r="452" spans="1:11">
      <c r="A452" s="261" t="s">
        <v>11234</v>
      </c>
      <c r="B452" s="265" t="s">
        <v>25827</v>
      </c>
      <c r="C452" s="589"/>
      <c r="D452" s="589"/>
      <c r="E452" s="589"/>
      <c r="F452" s="589"/>
      <c r="G452" s="589"/>
      <c r="H452" s="589"/>
      <c r="I452" s="589"/>
      <c r="J452" s="440">
        <v>182.76859999999999</v>
      </c>
      <c r="K452" s="440">
        <v>70.7256</v>
      </c>
    </row>
    <row r="453" spans="1:11" ht="31.5">
      <c r="A453" s="261" t="s">
        <v>11235</v>
      </c>
      <c r="B453" s="265" t="s">
        <v>25828</v>
      </c>
      <c r="C453" s="440">
        <v>529950.7047</v>
      </c>
      <c r="D453" s="440">
        <v>22.712199999999999</v>
      </c>
      <c r="E453" s="440">
        <v>9.3422999999999998</v>
      </c>
      <c r="F453" s="440">
        <v>3.7854000000000001</v>
      </c>
      <c r="G453" s="440">
        <v>34.068300000000001</v>
      </c>
      <c r="H453" s="440">
        <v>75.412000000000006</v>
      </c>
      <c r="I453" s="440">
        <v>31.651</v>
      </c>
      <c r="J453" s="440">
        <v>176.97120000000001</v>
      </c>
      <c r="K453" s="440">
        <v>67.490899999999996</v>
      </c>
    </row>
    <row r="454" spans="1:11">
      <c r="A454" s="261" t="s">
        <v>11236</v>
      </c>
      <c r="B454" s="265" t="s">
        <v>25829</v>
      </c>
      <c r="C454" s="440">
        <v>37159.815999999999</v>
      </c>
      <c r="D454" s="440">
        <v>2.5627</v>
      </c>
      <c r="E454" s="440">
        <v>0.67200000000000004</v>
      </c>
      <c r="F454" s="440">
        <v>0</v>
      </c>
      <c r="G454" s="440">
        <v>2.5627</v>
      </c>
      <c r="H454" s="440">
        <v>0</v>
      </c>
      <c r="I454" s="440">
        <v>0</v>
      </c>
      <c r="J454" s="440">
        <v>5.7973999999999997</v>
      </c>
      <c r="K454" s="440">
        <v>3.2347000000000001</v>
      </c>
    </row>
    <row r="455" spans="1:11" ht="31.5">
      <c r="A455" s="261" t="s">
        <v>11237</v>
      </c>
      <c r="B455" s="265" t="s">
        <v>25830</v>
      </c>
      <c r="C455" s="589"/>
      <c r="D455" s="589"/>
      <c r="E455" s="589"/>
      <c r="F455" s="589"/>
      <c r="G455" s="589"/>
      <c r="H455" s="589"/>
      <c r="I455" s="589"/>
      <c r="J455" s="440">
        <v>265.5412</v>
      </c>
      <c r="K455" s="440">
        <v>75.218999999999994</v>
      </c>
    </row>
    <row r="456" spans="1:11" ht="31.5">
      <c r="A456" s="261" t="s">
        <v>11190</v>
      </c>
      <c r="B456" s="265" t="s">
        <v>25783</v>
      </c>
      <c r="C456" s="440">
        <v>492388.60330000002</v>
      </c>
      <c r="D456" s="440">
        <v>21.102399999999999</v>
      </c>
      <c r="E456" s="440">
        <v>8.6800999999999995</v>
      </c>
      <c r="F456" s="440">
        <v>3.5171000000000001</v>
      </c>
      <c r="G456" s="440">
        <v>31.653600000000001</v>
      </c>
      <c r="H456" s="440">
        <v>143.28280000000001</v>
      </c>
      <c r="I456" s="440">
        <v>31.651</v>
      </c>
      <c r="J456" s="440">
        <v>239.887</v>
      </c>
      <c r="K456" s="440">
        <v>64.950599999999994</v>
      </c>
    </row>
    <row r="457" spans="1:11">
      <c r="A457" s="261" t="s">
        <v>11238</v>
      </c>
      <c r="B457" s="265" t="s">
        <v>25831</v>
      </c>
      <c r="C457" s="440">
        <v>190570</v>
      </c>
      <c r="D457" s="440">
        <v>7.6227999999999998</v>
      </c>
      <c r="E457" s="440">
        <v>2.6456</v>
      </c>
      <c r="F457" s="440">
        <v>0</v>
      </c>
      <c r="G457" s="440">
        <v>7.6227999999999998</v>
      </c>
      <c r="H457" s="440">
        <v>7.7629999999999999</v>
      </c>
      <c r="I457" s="440">
        <v>0</v>
      </c>
      <c r="J457" s="440">
        <v>25.654199999999999</v>
      </c>
      <c r="K457" s="440">
        <v>10.2684</v>
      </c>
    </row>
    <row r="458" spans="1:11">
      <c r="A458" s="261" t="s">
        <v>11239</v>
      </c>
      <c r="B458" s="265" t="s">
        <v>25832</v>
      </c>
      <c r="C458" s="589"/>
      <c r="D458" s="589"/>
      <c r="E458" s="589"/>
      <c r="F458" s="589"/>
      <c r="G458" s="589"/>
      <c r="H458" s="589"/>
      <c r="I458" s="589"/>
      <c r="J458" s="440">
        <v>276.3143</v>
      </c>
      <c r="K458" s="440">
        <v>82.751999999999995</v>
      </c>
    </row>
    <row r="459" spans="1:11" ht="31.5">
      <c r="A459" s="261" t="s">
        <v>11240</v>
      </c>
      <c r="B459" s="265" t="s">
        <v>25833</v>
      </c>
      <c r="C459" s="440">
        <v>632980.22169999999</v>
      </c>
      <c r="D459" s="440">
        <v>27.127700000000001</v>
      </c>
      <c r="E459" s="440">
        <v>11.1585</v>
      </c>
      <c r="F459" s="440">
        <v>4.5213000000000001</v>
      </c>
      <c r="G459" s="440">
        <v>40.691600000000001</v>
      </c>
      <c r="H459" s="440">
        <v>145.9444</v>
      </c>
      <c r="I459" s="440">
        <v>31.651</v>
      </c>
      <c r="J459" s="440">
        <v>261.09449999999998</v>
      </c>
      <c r="K459" s="440">
        <v>74.458500000000001</v>
      </c>
    </row>
    <row r="460" spans="1:11">
      <c r="A460" s="261" t="s">
        <v>11241</v>
      </c>
      <c r="B460" s="265" t="s">
        <v>25834</v>
      </c>
      <c r="C460" s="440">
        <v>123134.573</v>
      </c>
      <c r="D460" s="440">
        <v>6.1566999999999998</v>
      </c>
      <c r="E460" s="440">
        <v>2.1368</v>
      </c>
      <c r="F460" s="440">
        <v>0</v>
      </c>
      <c r="G460" s="440">
        <v>6.9263000000000003</v>
      </c>
      <c r="H460" s="440">
        <v>0</v>
      </c>
      <c r="I460" s="440">
        <v>0</v>
      </c>
      <c r="J460" s="440">
        <v>15.219799999999999</v>
      </c>
      <c r="K460" s="440">
        <v>8.2934999999999999</v>
      </c>
    </row>
    <row r="461" spans="1:11">
      <c r="A461" s="261" t="s">
        <v>11242</v>
      </c>
      <c r="B461" s="265" t="s">
        <v>25835</v>
      </c>
      <c r="C461" s="589"/>
      <c r="D461" s="589"/>
      <c r="E461" s="589"/>
      <c r="F461" s="589"/>
      <c r="G461" s="589"/>
      <c r="H461" s="589"/>
      <c r="I461" s="589"/>
      <c r="J461" s="440">
        <v>329.96109999999999</v>
      </c>
      <c r="K461" s="440">
        <v>83.800700000000006</v>
      </c>
    </row>
    <row r="462" spans="1:11" ht="31.5">
      <c r="A462" s="261" t="s">
        <v>11243</v>
      </c>
      <c r="B462" s="265" t="s">
        <v>25836</v>
      </c>
      <c r="C462" s="440">
        <v>632980.22169999999</v>
      </c>
      <c r="D462" s="440">
        <v>27.127700000000001</v>
      </c>
      <c r="E462" s="440">
        <v>11.1585</v>
      </c>
      <c r="F462" s="440">
        <v>4.5213000000000001</v>
      </c>
      <c r="G462" s="440">
        <v>40.691600000000001</v>
      </c>
      <c r="H462" s="440">
        <v>198.06739999999999</v>
      </c>
      <c r="I462" s="440">
        <v>31.651</v>
      </c>
      <c r="J462" s="440">
        <v>313.21749999999997</v>
      </c>
      <c r="K462" s="440">
        <v>74.458500000000001</v>
      </c>
    </row>
    <row r="463" spans="1:11">
      <c r="A463" s="261" t="s">
        <v>11244</v>
      </c>
      <c r="B463" s="265" t="s">
        <v>25837</v>
      </c>
      <c r="C463" s="440">
        <v>107321</v>
      </c>
      <c r="D463" s="440">
        <v>7.4013999999999998</v>
      </c>
      <c r="E463" s="440">
        <v>1.9408000000000001</v>
      </c>
      <c r="F463" s="440">
        <v>0</v>
      </c>
      <c r="G463" s="440">
        <v>7.4013999999999998</v>
      </c>
      <c r="H463" s="440">
        <v>0</v>
      </c>
      <c r="I463" s="440">
        <v>0</v>
      </c>
      <c r="J463" s="440">
        <v>16.743600000000001</v>
      </c>
      <c r="K463" s="440">
        <v>9.3422000000000001</v>
      </c>
    </row>
    <row r="464" spans="1:11" ht="31.5">
      <c r="A464" s="261" t="s">
        <v>11245</v>
      </c>
      <c r="B464" s="265" t="s">
        <v>25838</v>
      </c>
      <c r="C464" s="589"/>
      <c r="D464" s="589"/>
      <c r="E464" s="589"/>
      <c r="F464" s="589"/>
      <c r="G464" s="589"/>
      <c r="H464" s="589"/>
      <c r="I464" s="589"/>
      <c r="J464" s="440">
        <v>288.00900000000001</v>
      </c>
      <c r="K464" s="440">
        <v>89.117999999999995</v>
      </c>
    </row>
    <row r="465" spans="1:11" ht="31.5">
      <c r="A465" s="261" t="s">
        <v>11246</v>
      </c>
      <c r="B465" s="265" t="s">
        <v>25839</v>
      </c>
      <c r="C465" s="440">
        <v>698139.97389999998</v>
      </c>
      <c r="D465" s="440">
        <v>29.920300000000001</v>
      </c>
      <c r="E465" s="440">
        <v>12.3072</v>
      </c>
      <c r="F465" s="440">
        <v>4.9866999999999999</v>
      </c>
      <c r="G465" s="440">
        <v>44.880400000000002</v>
      </c>
      <c r="H465" s="440">
        <v>145.9444</v>
      </c>
      <c r="I465" s="440">
        <v>32.991900000000001</v>
      </c>
      <c r="J465" s="440">
        <v>271.03089999999997</v>
      </c>
      <c r="K465" s="440">
        <v>80.206100000000006</v>
      </c>
    </row>
    <row r="466" spans="1:11">
      <c r="A466" s="261" t="s">
        <v>11247</v>
      </c>
      <c r="B466" s="265" t="s">
        <v>25840</v>
      </c>
      <c r="C466" s="440">
        <v>95001.859400000001</v>
      </c>
      <c r="D466" s="440">
        <v>7.17</v>
      </c>
      <c r="E466" s="440">
        <v>1.7419</v>
      </c>
      <c r="F466" s="440">
        <v>0</v>
      </c>
      <c r="G466" s="440">
        <v>8.0662000000000003</v>
      </c>
      <c r="H466" s="440">
        <v>0</v>
      </c>
      <c r="I466" s="440">
        <v>0</v>
      </c>
      <c r="J466" s="440">
        <v>16.978100000000001</v>
      </c>
      <c r="K466" s="440">
        <v>8.9118999999999993</v>
      </c>
    </row>
    <row r="467" spans="1:11">
      <c r="A467" s="261" t="s">
        <v>11248</v>
      </c>
      <c r="B467" s="265" t="s">
        <v>25841</v>
      </c>
      <c r="C467" s="589"/>
      <c r="D467" s="589"/>
      <c r="E467" s="589"/>
      <c r="F467" s="589"/>
      <c r="G467" s="589"/>
      <c r="H467" s="589"/>
      <c r="I467" s="589"/>
      <c r="J467" s="440">
        <v>285.5018</v>
      </c>
      <c r="K467" s="440">
        <v>87.164900000000003</v>
      </c>
    </row>
    <row r="468" spans="1:11" ht="31.5">
      <c r="A468" s="261" t="s">
        <v>11210</v>
      </c>
      <c r="B468" s="265" t="s">
        <v>25803</v>
      </c>
      <c r="C468" s="440">
        <v>698139.97389999998</v>
      </c>
      <c r="D468" s="440">
        <v>29.920300000000001</v>
      </c>
      <c r="E468" s="440">
        <v>12.3072</v>
      </c>
      <c r="F468" s="440">
        <v>4.9866999999999999</v>
      </c>
      <c r="G468" s="440">
        <v>44.880400000000002</v>
      </c>
      <c r="H468" s="440">
        <v>145.9444</v>
      </c>
      <c r="I468" s="440">
        <v>31.651</v>
      </c>
      <c r="J468" s="440">
        <v>269.69</v>
      </c>
      <c r="K468" s="440">
        <v>78.865200000000002</v>
      </c>
    </row>
    <row r="469" spans="1:11">
      <c r="A469" s="261" t="s">
        <v>11249</v>
      </c>
      <c r="B469" s="265" t="s">
        <v>25842</v>
      </c>
      <c r="C469" s="440">
        <v>88476.289699999994</v>
      </c>
      <c r="D469" s="440">
        <v>6.6775000000000002</v>
      </c>
      <c r="E469" s="440">
        <v>1.6222000000000001</v>
      </c>
      <c r="F469" s="440">
        <v>0</v>
      </c>
      <c r="G469" s="440">
        <v>7.5121000000000002</v>
      </c>
      <c r="H469" s="440">
        <v>0</v>
      </c>
      <c r="I469" s="440">
        <v>0</v>
      </c>
      <c r="J469" s="440">
        <v>15.8118</v>
      </c>
      <c r="K469" s="440">
        <v>8.2996999999999996</v>
      </c>
    </row>
    <row r="470" spans="1:11">
      <c r="A470" s="261" t="s">
        <v>11250</v>
      </c>
      <c r="B470" s="265" t="s">
        <v>25843</v>
      </c>
      <c r="C470" s="589"/>
      <c r="D470" s="589"/>
      <c r="E470" s="589"/>
      <c r="F470" s="589"/>
      <c r="G470" s="589"/>
      <c r="H470" s="589"/>
      <c r="I470" s="589"/>
      <c r="J470" s="440">
        <v>268.72809999999998</v>
      </c>
      <c r="K470" s="440">
        <v>78.662599999999998</v>
      </c>
    </row>
    <row r="471" spans="1:11" ht="31.5">
      <c r="A471" s="261" t="s">
        <v>11251</v>
      </c>
      <c r="B471" s="265" t="s">
        <v>25844</v>
      </c>
      <c r="C471" s="440">
        <v>642211.18420000002</v>
      </c>
      <c r="D471" s="440">
        <v>27.523299999999999</v>
      </c>
      <c r="E471" s="440">
        <v>11.321300000000001</v>
      </c>
      <c r="F471" s="440">
        <v>4.5872000000000002</v>
      </c>
      <c r="G471" s="440">
        <v>41.284999999999997</v>
      </c>
      <c r="H471" s="440">
        <v>145.9444</v>
      </c>
      <c r="I471" s="440">
        <v>31.651</v>
      </c>
      <c r="J471" s="440">
        <v>262.31220000000002</v>
      </c>
      <c r="K471" s="440">
        <v>75.082800000000006</v>
      </c>
    </row>
    <row r="472" spans="1:11">
      <c r="A472" s="261" t="s">
        <v>11252</v>
      </c>
      <c r="B472" s="265" t="s">
        <v>25845</v>
      </c>
      <c r="C472" s="440">
        <v>41123</v>
      </c>
      <c r="D472" s="440">
        <v>2.8361000000000001</v>
      </c>
      <c r="E472" s="440">
        <v>0.74370000000000003</v>
      </c>
      <c r="F472" s="440">
        <v>0</v>
      </c>
      <c r="G472" s="440">
        <v>2.8361000000000001</v>
      </c>
      <c r="H472" s="440">
        <v>0</v>
      </c>
      <c r="I472" s="440">
        <v>0</v>
      </c>
      <c r="J472" s="440">
        <v>6.4158999999999997</v>
      </c>
      <c r="K472" s="440">
        <v>3.5798000000000001</v>
      </c>
    </row>
    <row r="473" spans="1:11">
      <c r="A473" s="261" t="s">
        <v>11253</v>
      </c>
      <c r="B473" s="265" t="s">
        <v>25846</v>
      </c>
      <c r="C473" s="589"/>
      <c r="D473" s="589"/>
      <c r="E473" s="589"/>
      <c r="F473" s="589"/>
      <c r="G473" s="589"/>
      <c r="H473" s="589"/>
      <c r="I473" s="589"/>
      <c r="J473" s="440">
        <v>301.50330000000002</v>
      </c>
      <c r="K473" s="440">
        <v>96.2012</v>
      </c>
    </row>
    <row r="474" spans="1:11" ht="31.5">
      <c r="A474" s="261" t="s">
        <v>11246</v>
      </c>
      <c r="B474" s="265" t="s">
        <v>25839</v>
      </c>
      <c r="C474" s="440">
        <v>698139.97389999998</v>
      </c>
      <c r="D474" s="440">
        <v>29.920300000000001</v>
      </c>
      <c r="E474" s="440">
        <v>12.3072</v>
      </c>
      <c r="F474" s="440">
        <v>4.9866999999999999</v>
      </c>
      <c r="G474" s="440">
        <v>44.880400000000002</v>
      </c>
      <c r="H474" s="440">
        <v>145.9444</v>
      </c>
      <c r="I474" s="440">
        <v>32.991900000000001</v>
      </c>
      <c r="J474" s="440">
        <v>271.03089999999997</v>
      </c>
      <c r="K474" s="440">
        <v>80.206100000000006</v>
      </c>
    </row>
    <row r="475" spans="1:11" ht="31.5">
      <c r="A475" s="261" t="s">
        <v>11254</v>
      </c>
      <c r="B475" s="265" t="s">
        <v>25847</v>
      </c>
      <c r="C475" s="440">
        <v>170510</v>
      </c>
      <c r="D475" s="440">
        <v>12.8687</v>
      </c>
      <c r="E475" s="440">
        <v>3.1263999999999998</v>
      </c>
      <c r="F475" s="440">
        <v>0</v>
      </c>
      <c r="G475" s="440">
        <v>14.4773</v>
      </c>
      <c r="H475" s="440">
        <v>0</v>
      </c>
      <c r="I475" s="440">
        <v>0</v>
      </c>
      <c r="J475" s="440">
        <v>30.4724</v>
      </c>
      <c r="K475" s="440">
        <v>15.995100000000001</v>
      </c>
    </row>
    <row r="476" spans="1:11">
      <c r="A476" s="261" t="s">
        <v>11255</v>
      </c>
      <c r="B476" s="265" t="s">
        <v>25848</v>
      </c>
      <c r="C476" s="589"/>
      <c r="D476" s="589"/>
      <c r="E476" s="589"/>
      <c r="F476" s="589"/>
      <c r="G476" s="589"/>
      <c r="H476" s="589"/>
      <c r="I476" s="589"/>
      <c r="J476" s="440">
        <v>305.6123</v>
      </c>
      <c r="K476" s="440">
        <v>88.672399999999996</v>
      </c>
    </row>
    <row r="477" spans="1:11" ht="31.5">
      <c r="A477" s="261" t="s">
        <v>11256</v>
      </c>
      <c r="B477" s="265" t="s">
        <v>25849</v>
      </c>
      <c r="C477" s="440">
        <v>750134.34039999999</v>
      </c>
      <c r="D477" s="440">
        <v>32.148600000000002</v>
      </c>
      <c r="E477" s="440">
        <v>13.223800000000001</v>
      </c>
      <c r="F477" s="440">
        <v>5.3581000000000003</v>
      </c>
      <c r="G477" s="440">
        <v>48.222900000000003</v>
      </c>
      <c r="H477" s="440">
        <v>163.023</v>
      </c>
      <c r="I477" s="440">
        <v>31.651</v>
      </c>
      <c r="J477" s="440">
        <v>293.62740000000002</v>
      </c>
      <c r="K477" s="440">
        <v>82.381500000000003</v>
      </c>
    </row>
    <row r="478" spans="1:11">
      <c r="A478" s="261" t="s">
        <v>11257</v>
      </c>
      <c r="B478" s="265" t="s">
        <v>25850</v>
      </c>
      <c r="C478" s="440">
        <v>67062.310500000007</v>
      </c>
      <c r="D478" s="440">
        <v>5.0613000000000001</v>
      </c>
      <c r="E478" s="440">
        <v>1.2296</v>
      </c>
      <c r="F478" s="440">
        <v>0</v>
      </c>
      <c r="G478" s="440">
        <v>5.694</v>
      </c>
      <c r="H478" s="440">
        <v>0</v>
      </c>
      <c r="I478" s="440">
        <v>0</v>
      </c>
      <c r="J478" s="440">
        <v>11.9849</v>
      </c>
      <c r="K478" s="440">
        <v>6.2908999999999997</v>
      </c>
    </row>
    <row r="479" spans="1:11">
      <c r="A479" s="261" t="s">
        <v>11258</v>
      </c>
      <c r="B479" s="265" t="s">
        <v>25851</v>
      </c>
      <c r="C479" s="589"/>
      <c r="D479" s="589"/>
      <c r="E479" s="589"/>
      <c r="F479" s="589"/>
      <c r="G479" s="589"/>
      <c r="H479" s="589"/>
      <c r="I479" s="589"/>
      <c r="J479" s="440">
        <v>254.59639999999999</v>
      </c>
      <c r="K479" s="440">
        <v>73.157799999999995</v>
      </c>
    </row>
    <row r="480" spans="1:11" ht="31.5">
      <c r="A480" s="261" t="s">
        <v>11190</v>
      </c>
      <c r="B480" s="265" t="s">
        <v>25783</v>
      </c>
      <c r="C480" s="440">
        <v>492388.60330000002</v>
      </c>
      <c r="D480" s="440">
        <v>21.102399999999999</v>
      </c>
      <c r="E480" s="440">
        <v>8.6800999999999995</v>
      </c>
      <c r="F480" s="440">
        <v>3.5171000000000001</v>
      </c>
      <c r="G480" s="440">
        <v>31.653600000000001</v>
      </c>
      <c r="H480" s="440">
        <v>143.28280000000001</v>
      </c>
      <c r="I480" s="440">
        <v>31.651</v>
      </c>
      <c r="J480" s="440">
        <v>239.887</v>
      </c>
      <c r="K480" s="440">
        <v>64.950599999999994</v>
      </c>
    </row>
    <row r="481" spans="1:11">
      <c r="A481" s="261" t="s">
        <v>11259</v>
      </c>
      <c r="B481" s="265" t="s">
        <v>25852</v>
      </c>
      <c r="C481" s="440">
        <v>94282</v>
      </c>
      <c r="D481" s="440">
        <v>6.5022000000000002</v>
      </c>
      <c r="E481" s="440">
        <v>1.7050000000000001</v>
      </c>
      <c r="F481" s="440">
        <v>0</v>
      </c>
      <c r="G481" s="440">
        <v>6.5022000000000002</v>
      </c>
      <c r="H481" s="440">
        <v>0</v>
      </c>
      <c r="I481" s="440">
        <v>0</v>
      </c>
      <c r="J481" s="440">
        <v>14.7094</v>
      </c>
      <c r="K481" s="440">
        <v>8.2072000000000003</v>
      </c>
    </row>
    <row r="482" spans="1:11" ht="31.5">
      <c r="A482" s="261" t="s">
        <v>11260</v>
      </c>
      <c r="B482" s="265" t="s">
        <v>25853</v>
      </c>
      <c r="C482" s="589"/>
      <c r="D482" s="589"/>
      <c r="E482" s="589"/>
      <c r="F482" s="589"/>
      <c r="G482" s="589"/>
      <c r="H482" s="589"/>
      <c r="I482" s="589"/>
      <c r="J482" s="440">
        <v>376.59089999999998</v>
      </c>
      <c r="K482" s="440">
        <v>156.5198</v>
      </c>
    </row>
    <row r="483" spans="1:11" ht="31.5">
      <c r="A483" s="261" t="s">
        <v>11261</v>
      </c>
      <c r="B483" s="265" t="s">
        <v>25854</v>
      </c>
      <c r="C483" s="440">
        <v>356970.02179999999</v>
      </c>
      <c r="D483" s="440">
        <v>15.2987</v>
      </c>
      <c r="E483" s="440">
        <v>6.2929000000000004</v>
      </c>
      <c r="F483" s="440">
        <v>2.5497999999999998</v>
      </c>
      <c r="G483" s="440">
        <v>22.9481</v>
      </c>
      <c r="H483" s="440">
        <v>121.1583</v>
      </c>
      <c r="I483" s="440">
        <v>32.991900000000001</v>
      </c>
      <c r="J483" s="440">
        <v>201.2397</v>
      </c>
      <c r="K483" s="440">
        <v>57.133299999999998</v>
      </c>
    </row>
    <row r="484" spans="1:11" ht="31.5">
      <c r="A484" s="261" t="s">
        <v>11262</v>
      </c>
      <c r="B484" s="265" t="s">
        <v>25855</v>
      </c>
      <c r="C484" s="440">
        <v>697085</v>
      </c>
      <c r="D484" s="440">
        <v>52.668599999999998</v>
      </c>
      <c r="E484" s="440">
        <v>19.115600000000001</v>
      </c>
      <c r="F484" s="440">
        <v>0</v>
      </c>
      <c r="G484" s="440">
        <v>49.570500000000003</v>
      </c>
      <c r="H484" s="440">
        <v>26.394200000000001</v>
      </c>
      <c r="I484" s="440">
        <v>27.6023</v>
      </c>
      <c r="J484" s="440">
        <v>175.35120000000001</v>
      </c>
      <c r="K484" s="440">
        <v>99.386499999999998</v>
      </c>
    </row>
    <row r="485" spans="1:11" ht="31.5">
      <c r="A485" s="261" t="s">
        <v>11263</v>
      </c>
      <c r="B485" s="265" t="s">
        <v>25856</v>
      </c>
      <c r="C485" s="589"/>
      <c r="D485" s="589"/>
      <c r="E485" s="589"/>
      <c r="F485" s="589"/>
      <c r="G485" s="589"/>
      <c r="H485" s="589"/>
      <c r="I485" s="589"/>
      <c r="J485" s="440">
        <v>520.39350000000002</v>
      </c>
      <c r="K485" s="440">
        <v>222.19579999999999</v>
      </c>
    </row>
    <row r="486" spans="1:11" ht="31.5">
      <c r="A486" s="261" t="s">
        <v>11264</v>
      </c>
      <c r="B486" s="265" t="s">
        <v>25857</v>
      </c>
      <c r="C486" s="440">
        <v>492388.60330000002</v>
      </c>
      <c r="D486" s="440">
        <v>21.102399999999999</v>
      </c>
      <c r="E486" s="440">
        <v>8.6800999999999995</v>
      </c>
      <c r="F486" s="440">
        <v>3.5171000000000001</v>
      </c>
      <c r="G486" s="440">
        <v>31.653600000000001</v>
      </c>
      <c r="H486" s="440">
        <v>143.28280000000001</v>
      </c>
      <c r="I486" s="440">
        <v>32.991900000000001</v>
      </c>
      <c r="J486" s="440">
        <v>241.22790000000001</v>
      </c>
      <c r="K486" s="440">
        <v>66.291499999999999</v>
      </c>
    </row>
    <row r="487" spans="1:11" ht="31.5">
      <c r="A487" s="261" t="s">
        <v>11265</v>
      </c>
      <c r="B487" s="265" t="s">
        <v>25858</v>
      </c>
      <c r="C487" s="440">
        <v>124458.63710000001</v>
      </c>
      <c r="D487" s="440">
        <v>8.2972000000000001</v>
      </c>
      <c r="E487" s="440">
        <v>2.2397</v>
      </c>
      <c r="F487" s="440">
        <v>0</v>
      </c>
      <c r="G487" s="440">
        <v>8.2972000000000001</v>
      </c>
      <c r="H487" s="440">
        <v>28.373799999999999</v>
      </c>
      <c r="I487" s="440">
        <v>0</v>
      </c>
      <c r="J487" s="440">
        <v>47.207900000000002</v>
      </c>
      <c r="K487" s="440">
        <v>10.536899999999999</v>
      </c>
    </row>
    <row r="488" spans="1:11" ht="31.5">
      <c r="A488" s="261" t="s">
        <v>11266</v>
      </c>
      <c r="B488" s="265" t="s">
        <v>25859</v>
      </c>
      <c r="C488" s="440">
        <v>1143597.4310000001</v>
      </c>
      <c r="D488" s="440">
        <v>86.405100000000004</v>
      </c>
      <c r="E488" s="440">
        <v>31.36</v>
      </c>
      <c r="F488" s="440">
        <v>0</v>
      </c>
      <c r="G488" s="440">
        <v>81.322500000000005</v>
      </c>
      <c r="H488" s="440">
        <v>5.2678000000000003</v>
      </c>
      <c r="I488" s="440">
        <v>27.6023</v>
      </c>
      <c r="J488" s="440">
        <v>231.95769999999999</v>
      </c>
      <c r="K488" s="440">
        <v>145.3674</v>
      </c>
    </row>
    <row r="489" spans="1:11">
      <c r="A489" s="261" t="s">
        <v>11267</v>
      </c>
      <c r="B489" s="265" t="s">
        <v>25860</v>
      </c>
      <c r="C489" s="589"/>
      <c r="D489" s="589"/>
      <c r="E489" s="589"/>
      <c r="F489" s="589"/>
      <c r="G489" s="589"/>
      <c r="H489" s="589"/>
      <c r="I489" s="589"/>
      <c r="J489" s="440">
        <v>182.05420000000001</v>
      </c>
      <c r="K489" s="440">
        <v>70.2196</v>
      </c>
    </row>
    <row r="490" spans="1:11" ht="31.5">
      <c r="A490" s="261" t="s">
        <v>11268</v>
      </c>
      <c r="B490" s="265" t="s">
        <v>25861</v>
      </c>
      <c r="C490" s="440">
        <v>492388.60330000002</v>
      </c>
      <c r="D490" s="440">
        <v>21.102399999999999</v>
      </c>
      <c r="E490" s="440">
        <v>8.6800999999999995</v>
      </c>
      <c r="F490" s="440">
        <v>3.5171000000000001</v>
      </c>
      <c r="G490" s="440">
        <v>31.653600000000001</v>
      </c>
      <c r="H490" s="440">
        <v>75.412000000000006</v>
      </c>
      <c r="I490" s="440">
        <v>31.651</v>
      </c>
      <c r="J490" s="440">
        <v>172.0162</v>
      </c>
      <c r="K490" s="440">
        <v>64.950599999999994</v>
      </c>
    </row>
    <row r="491" spans="1:11">
      <c r="A491" s="261" t="s">
        <v>11269</v>
      </c>
      <c r="B491" s="265" t="s">
        <v>25862</v>
      </c>
      <c r="C491" s="440">
        <v>56168</v>
      </c>
      <c r="D491" s="440">
        <v>4.2390999999999996</v>
      </c>
      <c r="E491" s="440">
        <v>1.0299</v>
      </c>
      <c r="F491" s="440">
        <v>0</v>
      </c>
      <c r="G491" s="440">
        <v>4.7690000000000001</v>
      </c>
      <c r="H491" s="440">
        <v>0</v>
      </c>
      <c r="I491" s="440">
        <v>0</v>
      </c>
      <c r="J491" s="440">
        <v>10.038</v>
      </c>
      <c r="K491" s="440">
        <v>5.2690000000000001</v>
      </c>
    </row>
    <row r="492" spans="1:11" ht="31.5">
      <c r="A492" s="261" t="s">
        <v>105</v>
      </c>
      <c r="B492" s="265" t="s">
        <v>25863</v>
      </c>
      <c r="C492" s="589"/>
      <c r="D492" s="589"/>
      <c r="E492" s="589"/>
      <c r="F492" s="589"/>
      <c r="G492" s="589"/>
      <c r="H492" s="589"/>
      <c r="I492" s="589"/>
      <c r="J492" s="440">
        <v>381.48790000000002</v>
      </c>
      <c r="K492" s="440">
        <v>119.91889999999999</v>
      </c>
    </row>
    <row r="493" spans="1:11" ht="31.5">
      <c r="A493" s="261" t="s">
        <v>11270</v>
      </c>
      <c r="B493" s="265" t="s">
        <v>25864</v>
      </c>
      <c r="C493" s="440">
        <v>743554.74439999997</v>
      </c>
      <c r="D493" s="440">
        <v>31.866599999999998</v>
      </c>
      <c r="E493" s="440">
        <v>13.107799999999999</v>
      </c>
      <c r="F493" s="440">
        <v>5.3110999999999997</v>
      </c>
      <c r="G493" s="440">
        <v>47.799900000000001</v>
      </c>
      <c r="H493" s="440">
        <v>186.31200000000001</v>
      </c>
      <c r="I493" s="440">
        <v>32.991900000000001</v>
      </c>
      <c r="J493" s="440">
        <v>317.38929999999999</v>
      </c>
      <c r="K493" s="440">
        <v>83.2774</v>
      </c>
    </row>
    <row r="494" spans="1:11">
      <c r="A494" s="261" t="s">
        <v>11271</v>
      </c>
      <c r="B494" s="265" t="s">
        <v>25865</v>
      </c>
      <c r="C494" s="440">
        <v>366095</v>
      </c>
      <c r="D494" s="440">
        <v>24.406300000000002</v>
      </c>
      <c r="E494" s="440">
        <v>12.235200000000001</v>
      </c>
      <c r="F494" s="440">
        <v>0</v>
      </c>
      <c r="G494" s="440">
        <v>27.457100000000001</v>
      </c>
      <c r="H494" s="440">
        <v>0</v>
      </c>
      <c r="I494" s="440">
        <v>0</v>
      </c>
      <c r="J494" s="440">
        <v>64.098600000000005</v>
      </c>
      <c r="K494" s="440">
        <v>36.641500000000001</v>
      </c>
    </row>
    <row r="495" spans="1:11" ht="31.5">
      <c r="A495" s="261" t="s">
        <v>11272</v>
      </c>
      <c r="B495" s="265" t="s">
        <v>25866</v>
      </c>
      <c r="C495" s="589"/>
      <c r="D495" s="589"/>
      <c r="E495" s="589"/>
      <c r="F495" s="589"/>
      <c r="G495" s="589"/>
      <c r="H495" s="589"/>
      <c r="I495" s="589"/>
      <c r="J495" s="440">
        <v>412.62479999999999</v>
      </c>
      <c r="K495" s="440">
        <v>125.74469999999999</v>
      </c>
    </row>
    <row r="496" spans="1:11" ht="31.5">
      <c r="A496" s="261" t="s">
        <v>11273</v>
      </c>
      <c r="B496" s="265" t="s">
        <v>25867</v>
      </c>
      <c r="C496" s="440">
        <v>782729.40009999997</v>
      </c>
      <c r="D496" s="440">
        <v>33.545499999999997</v>
      </c>
      <c r="E496" s="440">
        <v>13.798400000000001</v>
      </c>
      <c r="F496" s="440">
        <v>5.5909000000000004</v>
      </c>
      <c r="G496" s="440">
        <v>50.318300000000001</v>
      </c>
      <c r="H496" s="440">
        <v>205.71950000000001</v>
      </c>
      <c r="I496" s="440">
        <v>31.651</v>
      </c>
      <c r="J496" s="440">
        <v>340.62360000000001</v>
      </c>
      <c r="K496" s="440">
        <v>84.585800000000006</v>
      </c>
    </row>
    <row r="497" spans="1:11">
      <c r="A497" s="261" t="s">
        <v>11274</v>
      </c>
      <c r="B497" s="265" t="s">
        <v>25868</v>
      </c>
      <c r="C497" s="440">
        <v>411230</v>
      </c>
      <c r="D497" s="440">
        <v>27.415299999999998</v>
      </c>
      <c r="E497" s="440">
        <v>13.743600000000001</v>
      </c>
      <c r="F497" s="440">
        <v>0</v>
      </c>
      <c r="G497" s="440">
        <v>30.842300000000002</v>
      </c>
      <c r="H497" s="440">
        <v>0</v>
      </c>
      <c r="I497" s="440">
        <v>0</v>
      </c>
      <c r="J497" s="440">
        <v>72.001199999999997</v>
      </c>
      <c r="K497" s="440">
        <v>41.158900000000003</v>
      </c>
    </row>
    <row r="498" spans="1:11">
      <c r="A498" s="261" t="s">
        <v>11275</v>
      </c>
      <c r="B498" s="265" t="s">
        <v>25869</v>
      </c>
      <c r="C498" s="589"/>
      <c r="D498" s="589"/>
      <c r="E498" s="589"/>
      <c r="F498" s="589"/>
      <c r="G498" s="589"/>
      <c r="H498" s="589"/>
      <c r="I498" s="589"/>
      <c r="J498" s="440">
        <v>287.7484</v>
      </c>
      <c r="K498" s="440">
        <v>88.981200000000001</v>
      </c>
    </row>
    <row r="499" spans="1:11" ht="31.5">
      <c r="A499" s="261" t="s">
        <v>11246</v>
      </c>
      <c r="B499" s="265" t="s">
        <v>25839</v>
      </c>
      <c r="C499" s="440">
        <v>698139.97389999998</v>
      </c>
      <c r="D499" s="440">
        <v>29.920300000000001</v>
      </c>
      <c r="E499" s="440">
        <v>12.3072</v>
      </c>
      <c r="F499" s="440">
        <v>4.9866999999999999</v>
      </c>
      <c r="G499" s="440">
        <v>44.880400000000002</v>
      </c>
      <c r="H499" s="440">
        <v>145.9444</v>
      </c>
      <c r="I499" s="440">
        <v>32.991900000000001</v>
      </c>
      <c r="J499" s="440">
        <v>271.03089999999997</v>
      </c>
      <c r="K499" s="440">
        <v>80.206100000000006</v>
      </c>
    </row>
    <row r="500" spans="1:11">
      <c r="A500" s="261" t="s">
        <v>11276</v>
      </c>
      <c r="B500" s="265" t="s">
        <v>25870</v>
      </c>
      <c r="C500" s="440">
        <v>93544.092499999999</v>
      </c>
      <c r="D500" s="440">
        <v>7.0598999999999998</v>
      </c>
      <c r="E500" s="440">
        <v>1.7152000000000001</v>
      </c>
      <c r="F500" s="440">
        <v>0</v>
      </c>
      <c r="G500" s="440">
        <v>7.9424000000000001</v>
      </c>
      <c r="H500" s="440">
        <v>0</v>
      </c>
      <c r="I500" s="440">
        <v>0</v>
      </c>
      <c r="J500" s="440">
        <v>16.717500000000001</v>
      </c>
      <c r="K500" s="440">
        <v>8.7751000000000001</v>
      </c>
    </row>
    <row r="501" spans="1:11">
      <c r="A501" s="261" t="s">
        <v>11277</v>
      </c>
      <c r="B501" s="265" t="s">
        <v>25871</v>
      </c>
      <c r="C501" s="589"/>
      <c r="D501" s="589"/>
      <c r="E501" s="589"/>
      <c r="F501" s="589"/>
      <c r="G501" s="589"/>
      <c r="H501" s="589"/>
      <c r="I501" s="589"/>
      <c r="J501" s="440">
        <v>260.55520000000001</v>
      </c>
      <c r="K501" s="440">
        <v>76.258200000000002</v>
      </c>
    </row>
    <row r="502" spans="1:11" ht="31.5">
      <c r="A502" s="261" t="s">
        <v>11278</v>
      </c>
      <c r="B502" s="265" t="s">
        <v>25872</v>
      </c>
      <c r="C502" s="440">
        <v>529950.7047</v>
      </c>
      <c r="D502" s="440">
        <v>22.712199999999999</v>
      </c>
      <c r="E502" s="440">
        <v>9.3422999999999998</v>
      </c>
      <c r="F502" s="440">
        <v>3.7854000000000001</v>
      </c>
      <c r="G502" s="440">
        <v>34.068300000000001</v>
      </c>
      <c r="H502" s="440">
        <v>143.28280000000001</v>
      </c>
      <c r="I502" s="440">
        <v>31.651</v>
      </c>
      <c r="J502" s="440">
        <v>244.84200000000001</v>
      </c>
      <c r="K502" s="440">
        <v>67.490899999999996</v>
      </c>
    </row>
    <row r="503" spans="1:11">
      <c r="A503" s="261" t="s">
        <v>11279</v>
      </c>
      <c r="B503" s="265" t="s">
        <v>25873</v>
      </c>
      <c r="C503" s="440">
        <v>100715.9733</v>
      </c>
      <c r="D503" s="440">
        <v>6.9459</v>
      </c>
      <c r="E503" s="440">
        <v>1.8213999999999999</v>
      </c>
      <c r="F503" s="440">
        <v>0</v>
      </c>
      <c r="G503" s="440">
        <v>6.9459</v>
      </c>
      <c r="H503" s="440">
        <v>0</v>
      </c>
      <c r="I503" s="440">
        <v>0</v>
      </c>
      <c r="J503" s="440">
        <v>15.713200000000001</v>
      </c>
      <c r="K503" s="440">
        <v>8.7673000000000005</v>
      </c>
    </row>
    <row r="504" spans="1:11" ht="31.5">
      <c r="A504" s="261" t="s">
        <v>11280</v>
      </c>
      <c r="B504" s="265" t="s">
        <v>25874</v>
      </c>
      <c r="C504" s="589"/>
      <c r="D504" s="589"/>
      <c r="E504" s="589"/>
      <c r="F504" s="589"/>
      <c r="G504" s="589"/>
      <c r="H504" s="589"/>
      <c r="I504" s="589"/>
      <c r="J504" s="440">
        <v>724.6893</v>
      </c>
      <c r="K504" s="440">
        <v>233.21559999999999</v>
      </c>
    </row>
    <row r="505" spans="1:11" ht="31.5">
      <c r="A505" s="261" t="s">
        <v>11281</v>
      </c>
      <c r="B505" s="265" t="s">
        <v>25875</v>
      </c>
      <c r="C505" s="440">
        <v>743554.74439999997</v>
      </c>
      <c r="D505" s="440">
        <v>31.866599999999998</v>
      </c>
      <c r="E505" s="440">
        <v>13.107799999999999</v>
      </c>
      <c r="F505" s="440">
        <v>5.3110999999999997</v>
      </c>
      <c r="G505" s="440">
        <v>47.799900000000001</v>
      </c>
      <c r="H505" s="440">
        <v>252.852</v>
      </c>
      <c r="I505" s="440">
        <v>32.991900000000001</v>
      </c>
      <c r="J505" s="440">
        <v>383.92930000000001</v>
      </c>
      <c r="K505" s="440">
        <v>83.2774</v>
      </c>
    </row>
    <row r="506" spans="1:11" ht="31.5">
      <c r="A506" s="261" t="s">
        <v>11282</v>
      </c>
      <c r="B506" s="265" t="s">
        <v>25876</v>
      </c>
      <c r="C506" s="440">
        <v>1319133.564</v>
      </c>
      <c r="D506" s="440">
        <v>84.801400000000001</v>
      </c>
      <c r="E506" s="440">
        <v>26.161200000000001</v>
      </c>
      <c r="F506" s="440">
        <v>0</v>
      </c>
      <c r="G506" s="440">
        <v>84.801400000000001</v>
      </c>
      <c r="H506" s="440">
        <v>106.0204</v>
      </c>
      <c r="I506" s="440">
        <v>38.9756</v>
      </c>
      <c r="J506" s="440">
        <v>340.76</v>
      </c>
      <c r="K506" s="440">
        <v>149.93819999999999</v>
      </c>
    </row>
    <row r="507" spans="1:11">
      <c r="A507" s="261" t="s">
        <v>11283</v>
      </c>
      <c r="B507" s="265" t="s">
        <v>25877</v>
      </c>
      <c r="C507" s="589"/>
      <c r="D507" s="589"/>
      <c r="E507" s="589"/>
      <c r="F507" s="589"/>
      <c r="G507" s="589"/>
      <c r="H507" s="589"/>
      <c r="I507" s="589"/>
      <c r="J507" s="440">
        <v>303.71629999999999</v>
      </c>
      <c r="K507" s="440">
        <v>97.362799999999993</v>
      </c>
    </row>
    <row r="508" spans="1:11" ht="31.5">
      <c r="A508" s="261" t="s">
        <v>11246</v>
      </c>
      <c r="B508" s="265" t="s">
        <v>25839</v>
      </c>
      <c r="C508" s="440">
        <v>698139.97389999998</v>
      </c>
      <c r="D508" s="440">
        <v>29.920300000000001</v>
      </c>
      <c r="E508" s="440">
        <v>12.3072</v>
      </c>
      <c r="F508" s="440">
        <v>4.9866999999999999</v>
      </c>
      <c r="G508" s="440">
        <v>44.880400000000002</v>
      </c>
      <c r="H508" s="440">
        <v>145.9444</v>
      </c>
      <c r="I508" s="440">
        <v>32.991900000000001</v>
      </c>
      <c r="J508" s="440">
        <v>271.03089999999997</v>
      </c>
      <c r="K508" s="440">
        <v>80.206100000000006</v>
      </c>
    </row>
    <row r="509" spans="1:11">
      <c r="A509" s="261" t="s">
        <v>11227</v>
      </c>
      <c r="B509" s="265" t="s">
        <v>25820</v>
      </c>
      <c r="C509" s="440">
        <v>182894.041</v>
      </c>
      <c r="D509" s="440">
        <v>13.8033</v>
      </c>
      <c r="E509" s="440">
        <v>3.3534000000000002</v>
      </c>
      <c r="F509" s="440">
        <v>0</v>
      </c>
      <c r="G509" s="440">
        <v>15.528700000000001</v>
      </c>
      <c r="H509" s="440">
        <v>0</v>
      </c>
      <c r="I509" s="440">
        <v>0</v>
      </c>
      <c r="J509" s="440">
        <v>32.685400000000001</v>
      </c>
      <c r="K509" s="440">
        <v>17.156700000000001</v>
      </c>
    </row>
    <row r="510" spans="1:11" ht="31.5">
      <c r="A510" s="261" t="s">
        <v>11284</v>
      </c>
      <c r="B510" s="265" t="s">
        <v>25878</v>
      </c>
      <c r="C510" s="589"/>
      <c r="D510" s="589"/>
      <c r="E510" s="589"/>
      <c r="F510" s="589"/>
      <c r="G510" s="589"/>
      <c r="H510" s="589"/>
      <c r="I510" s="589"/>
      <c r="J510" s="440">
        <v>1419.9537</v>
      </c>
      <c r="K510" s="440">
        <v>594.25840000000005</v>
      </c>
    </row>
    <row r="511" spans="1:11" ht="31.5">
      <c r="A511" s="261" t="s">
        <v>11221</v>
      </c>
      <c r="B511" s="265" t="s">
        <v>25814</v>
      </c>
      <c r="C511" s="440">
        <v>4669202.6061000004</v>
      </c>
      <c r="D511" s="440">
        <v>200.1087</v>
      </c>
      <c r="E511" s="440">
        <v>82.311400000000006</v>
      </c>
      <c r="F511" s="440">
        <v>33.351399999999998</v>
      </c>
      <c r="G511" s="440">
        <v>300.16300000000001</v>
      </c>
      <c r="H511" s="440">
        <v>341.572</v>
      </c>
      <c r="I511" s="440">
        <v>32.991900000000001</v>
      </c>
      <c r="J511" s="440">
        <v>990.49839999999995</v>
      </c>
      <c r="K511" s="440">
        <v>348.76339999999999</v>
      </c>
    </row>
    <row r="512" spans="1:11">
      <c r="A512" s="261" t="s">
        <v>11285</v>
      </c>
      <c r="B512" s="265" t="s">
        <v>25879</v>
      </c>
      <c r="C512" s="440">
        <v>976374.56259999995</v>
      </c>
      <c r="D512" s="440">
        <v>65.0916</v>
      </c>
      <c r="E512" s="440">
        <v>32.631300000000003</v>
      </c>
      <c r="F512" s="440">
        <v>0</v>
      </c>
      <c r="G512" s="440">
        <v>73.228099999999998</v>
      </c>
      <c r="H512" s="440">
        <v>0</v>
      </c>
      <c r="I512" s="440">
        <v>0</v>
      </c>
      <c r="J512" s="440">
        <v>170.95099999999999</v>
      </c>
      <c r="K512" s="440">
        <v>97.722899999999996</v>
      </c>
    </row>
    <row r="513" spans="1:11" ht="31.5">
      <c r="A513" s="261" t="s">
        <v>11215</v>
      </c>
      <c r="B513" s="265" t="s">
        <v>25808</v>
      </c>
      <c r="C513" s="440">
        <v>313950.27370000002</v>
      </c>
      <c r="D513" s="440">
        <v>20.93</v>
      </c>
      <c r="E513" s="440">
        <v>10.4925</v>
      </c>
      <c r="F513" s="440">
        <v>0</v>
      </c>
      <c r="G513" s="440">
        <v>23.546299999999999</v>
      </c>
      <c r="H513" s="440">
        <v>0</v>
      </c>
      <c r="I513" s="440">
        <v>0</v>
      </c>
      <c r="J513" s="440">
        <v>54.968800000000002</v>
      </c>
      <c r="K513" s="440">
        <v>31.422499999999999</v>
      </c>
    </row>
    <row r="514" spans="1:11">
      <c r="A514" s="261" t="s">
        <v>11286</v>
      </c>
      <c r="B514" s="265" t="s">
        <v>25880</v>
      </c>
      <c r="C514" s="440">
        <v>1162479.1063000001</v>
      </c>
      <c r="D514" s="440">
        <v>77.498599999999996</v>
      </c>
      <c r="E514" s="440">
        <v>38.850999999999999</v>
      </c>
      <c r="F514" s="440">
        <v>0</v>
      </c>
      <c r="G514" s="440">
        <v>87.185900000000004</v>
      </c>
      <c r="H514" s="440">
        <v>0</v>
      </c>
      <c r="I514" s="440">
        <v>0</v>
      </c>
      <c r="J514" s="440">
        <v>203.53550000000001</v>
      </c>
      <c r="K514" s="440">
        <v>116.3496</v>
      </c>
    </row>
    <row r="515" spans="1:11">
      <c r="A515" s="261" t="s">
        <v>11287</v>
      </c>
      <c r="B515" s="265" t="s">
        <v>25881</v>
      </c>
      <c r="C515" s="589"/>
      <c r="D515" s="589"/>
      <c r="E515" s="589"/>
      <c r="F515" s="589"/>
      <c r="G515" s="589"/>
      <c r="H515" s="589"/>
      <c r="I515" s="589"/>
      <c r="J515" s="440">
        <v>332.46499999999997</v>
      </c>
      <c r="K515" s="440">
        <v>85.197800000000001</v>
      </c>
    </row>
    <row r="516" spans="1:11" ht="31.5">
      <c r="A516" s="261" t="s">
        <v>11243</v>
      </c>
      <c r="B516" s="265" t="s">
        <v>25836</v>
      </c>
      <c r="C516" s="440">
        <v>632980.22169999999</v>
      </c>
      <c r="D516" s="440">
        <v>27.127700000000001</v>
      </c>
      <c r="E516" s="440">
        <v>11.1585</v>
      </c>
      <c r="F516" s="440">
        <v>4.5213000000000001</v>
      </c>
      <c r="G516" s="440">
        <v>40.691600000000001</v>
      </c>
      <c r="H516" s="440">
        <v>198.06739999999999</v>
      </c>
      <c r="I516" s="440">
        <v>31.651</v>
      </c>
      <c r="J516" s="440">
        <v>313.21749999999997</v>
      </c>
      <c r="K516" s="440">
        <v>74.458500000000001</v>
      </c>
    </row>
    <row r="517" spans="1:11">
      <c r="A517" s="261" t="s">
        <v>11288</v>
      </c>
      <c r="B517" s="265" t="s">
        <v>25882</v>
      </c>
      <c r="C517" s="440">
        <v>123369</v>
      </c>
      <c r="D517" s="440">
        <v>8.5082000000000004</v>
      </c>
      <c r="E517" s="440">
        <v>2.2311000000000001</v>
      </c>
      <c r="F517" s="440">
        <v>0</v>
      </c>
      <c r="G517" s="440">
        <v>8.5082000000000004</v>
      </c>
      <c r="H517" s="440">
        <v>0</v>
      </c>
      <c r="I517" s="440">
        <v>0</v>
      </c>
      <c r="J517" s="440">
        <v>19.247499999999999</v>
      </c>
      <c r="K517" s="440">
        <v>10.7393</v>
      </c>
    </row>
    <row r="518" spans="1:11" ht="31.5">
      <c r="A518" s="261" t="s">
        <v>11289</v>
      </c>
      <c r="B518" s="265" t="s">
        <v>25883</v>
      </c>
      <c r="C518" s="589"/>
      <c r="D518" s="589"/>
      <c r="E518" s="589"/>
      <c r="F518" s="589"/>
      <c r="G518" s="589"/>
      <c r="H518" s="589"/>
      <c r="I518" s="589"/>
      <c r="J518" s="440">
        <v>310.25279999999998</v>
      </c>
      <c r="K518" s="440">
        <v>116.78149999999999</v>
      </c>
    </row>
    <row r="519" spans="1:11" ht="31.5">
      <c r="A519" s="261" t="s">
        <v>11290</v>
      </c>
      <c r="B519" s="265" t="s">
        <v>25884</v>
      </c>
      <c r="C519" s="440">
        <v>529950.7047</v>
      </c>
      <c r="D519" s="440">
        <v>22.712199999999999</v>
      </c>
      <c r="E519" s="440">
        <v>9.3422999999999998</v>
      </c>
      <c r="F519" s="440">
        <v>3.7854000000000001</v>
      </c>
      <c r="G519" s="440">
        <v>34.068300000000001</v>
      </c>
      <c r="H519" s="440">
        <v>143.28280000000001</v>
      </c>
      <c r="I519" s="440">
        <v>32.991900000000001</v>
      </c>
      <c r="J519" s="440">
        <v>246.18289999999999</v>
      </c>
      <c r="K519" s="440">
        <v>68.831800000000001</v>
      </c>
    </row>
    <row r="520" spans="1:11">
      <c r="A520" s="261" t="s">
        <v>11291</v>
      </c>
      <c r="B520" s="265" t="s">
        <v>25885</v>
      </c>
      <c r="C520" s="440">
        <v>23614.5975</v>
      </c>
      <c r="D520" s="440">
        <v>1.6286</v>
      </c>
      <c r="E520" s="440">
        <v>0.42709999999999998</v>
      </c>
      <c r="F520" s="440">
        <v>0</v>
      </c>
      <c r="G520" s="440">
        <v>1.6286</v>
      </c>
      <c r="H520" s="440">
        <v>0</v>
      </c>
      <c r="I520" s="440">
        <v>0</v>
      </c>
      <c r="J520" s="440">
        <v>3.6842999999999999</v>
      </c>
      <c r="K520" s="440">
        <v>2.0556999999999999</v>
      </c>
    </row>
    <row r="521" spans="1:11" ht="31.5">
      <c r="A521" s="261" t="s">
        <v>11192</v>
      </c>
      <c r="B521" s="265" t="s">
        <v>25785</v>
      </c>
      <c r="C521" s="440">
        <v>210128.5</v>
      </c>
      <c r="D521" s="440">
        <v>14.4916</v>
      </c>
      <c r="E521" s="440">
        <v>3.8001</v>
      </c>
      <c r="F521" s="440">
        <v>0</v>
      </c>
      <c r="G521" s="440">
        <v>14.4916</v>
      </c>
      <c r="H521" s="440">
        <v>0</v>
      </c>
      <c r="I521" s="440">
        <v>27.6023</v>
      </c>
      <c r="J521" s="440">
        <v>60.385599999999997</v>
      </c>
      <c r="K521" s="440">
        <v>45.893999999999998</v>
      </c>
    </row>
    <row r="522" spans="1:11">
      <c r="A522" s="261" t="s">
        <v>11292</v>
      </c>
      <c r="B522" s="265" t="s">
        <v>25886</v>
      </c>
      <c r="C522" s="589"/>
      <c r="D522" s="589"/>
      <c r="E522" s="589"/>
      <c r="F522" s="589"/>
      <c r="G522" s="589"/>
      <c r="H522" s="589"/>
      <c r="I522" s="589"/>
      <c r="J522" s="440">
        <v>148.62729999999999</v>
      </c>
      <c r="K522" s="440">
        <v>59.072800000000001</v>
      </c>
    </row>
    <row r="523" spans="1:11" ht="31.5">
      <c r="A523" s="261" t="s">
        <v>11293</v>
      </c>
      <c r="B523" s="265" t="s">
        <v>25887</v>
      </c>
      <c r="C523" s="440">
        <v>379385.77</v>
      </c>
      <c r="D523" s="440">
        <v>16.259399999999999</v>
      </c>
      <c r="E523" s="440">
        <v>6.6879999999999997</v>
      </c>
      <c r="F523" s="440">
        <v>2.7099000000000002</v>
      </c>
      <c r="G523" s="440">
        <v>24.389099999999999</v>
      </c>
      <c r="H523" s="440">
        <v>63.767499999999998</v>
      </c>
      <c r="I523" s="440">
        <v>31.651</v>
      </c>
      <c r="J523" s="440">
        <v>145.4649</v>
      </c>
      <c r="K523" s="440">
        <v>57.308300000000003</v>
      </c>
    </row>
    <row r="524" spans="1:11">
      <c r="A524" s="261" t="s">
        <v>11294</v>
      </c>
      <c r="B524" s="265" t="s">
        <v>25888</v>
      </c>
      <c r="C524" s="440">
        <v>20270.228800000001</v>
      </c>
      <c r="D524" s="440">
        <v>1.3978999999999999</v>
      </c>
      <c r="E524" s="440">
        <v>0.36659999999999998</v>
      </c>
      <c r="F524" s="440">
        <v>0</v>
      </c>
      <c r="G524" s="440">
        <v>1.3978999999999999</v>
      </c>
      <c r="H524" s="440">
        <v>0</v>
      </c>
      <c r="I524" s="440">
        <v>0</v>
      </c>
      <c r="J524" s="440">
        <v>3.1623999999999999</v>
      </c>
      <c r="K524" s="440">
        <v>1.7645</v>
      </c>
    </row>
    <row r="525" spans="1:11" ht="31.5">
      <c r="A525" s="261" t="s">
        <v>11295</v>
      </c>
      <c r="B525" s="265" t="s">
        <v>25889</v>
      </c>
      <c r="C525" s="589"/>
      <c r="D525" s="589"/>
      <c r="E525" s="589"/>
      <c r="F525" s="589"/>
      <c r="G525" s="589"/>
      <c r="H525" s="589"/>
      <c r="I525" s="589"/>
      <c r="J525" s="440">
        <v>337.58269999999999</v>
      </c>
      <c r="K525" s="440">
        <v>144.23179999999999</v>
      </c>
    </row>
    <row r="526" spans="1:11" ht="31.5">
      <c r="A526" s="261" t="s">
        <v>11290</v>
      </c>
      <c r="B526" s="265" t="s">
        <v>25884</v>
      </c>
      <c r="C526" s="440">
        <v>529950.7047</v>
      </c>
      <c r="D526" s="440">
        <v>22.712199999999999</v>
      </c>
      <c r="E526" s="440">
        <v>9.3422999999999998</v>
      </c>
      <c r="F526" s="440">
        <v>3.7854000000000001</v>
      </c>
      <c r="G526" s="440">
        <v>34.068300000000001</v>
      </c>
      <c r="H526" s="440">
        <v>143.28280000000001</v>
      </c>
      <c r="I526" s="440">
        <v>32.991900000000001</v>
      </c>
      <c r="J526" s="440">
        <v>246.18289999999999</v>
      </c>
      <c r="K526" s="440">
        <v>68.831800000000001</v>
      </c>
    </row>
    <row r="527" spans="1:11">
      <c r="A527" s="261" t="s">
        <v>11296</v>
      </c>
      <c r="B527" s="265" t="s">
        <v>25890</v>
      </c>
      <c r="C527" s="440">
        <v>24327.764999999999</v>
      </c>
      <c r="D527" s="440">
        <v>1.6778</v>
      </c>
      <c r="E527" s="440">
        <v>0.44</v>
      </c>
      <c r="F527" s="440">
        <v>0</v>
      </c>
      <c r="G527" s="440">
        <v>1.6778</v>
      </c>
      <c r="H527" s="440">
        <v>0</v>
      </c>
      <c r="I527" s="440">
        <v>0</v>
      </c>
      <c r="J527" s="440">
        <v>3.7955999999999999</v>
      </c>
      <c r="K527" s="440">
        <v>2.1177999999999999</v>
      </c>
    </row>
    <row r="528" spans="1:11" ht="31.5">
      <c r="A528" s="261" t="s">
        <v>11297</v>
      </c>
      <c r="B528" s="265" t="s">
        <v>25891</v>
      </c>
      <c r="C528" s="440">
        <v>170510</v>
      </c>
      <c r="D528" s="440">
        <v>11.7593</v>
      </c>
      <c r="E528" s="440">
        <v>3.0836000000000001</v>
      </c>
      <c r="F528" s="440">
        <v>0</v>
      </c>
      <c r="G528" s="440">
        <v>11.7593</v>
      </c>
      <c r="H528" s="440">
        <v>0</v>
      </c>
      <c r="I528" s="440">
        <v>55.204599999999999</v>
      </c>
      <c r="J528" s="440">
        <v>81.806799999999996</v>
      </c>
      <c r="K528" s="440">
        <v>70.047499999999999</v>
      </c>
    </row>
    <row r="529" spans="1:11">
      <c r="A529" s="261" t="s">
        <v>11236</v>
      </c>
      <c r="B529" s="265" t="s">
        <v>25829</v>
      </c>
      <c r="C529" s="440">
        <v>37159.815999999999</v>
      </c>
      <c r="D529" s="440">
        <v>2.5627</v>
      </c>
      <c r="E529" s="440">
        <v>0.67200000000000004</v>
      </c>
      <c r="F529" s="440">
        <v>0</v>
      </c>
      <c r="G529" s="440">
        <v>2.5627</v>
      </c>
      <c r="H529" s="440">
        <v>0</v>
      </c>
      <c r="I529" s="440">
        <v>0</v>
      </c>
      <c r="J529" s="440">
        <v>5.7973999999999997</v>
      </c>
      <c r="K529" s="440">
        <v>3.2347000000000001</v>
      </c>
    </row>
    <row r="530" spans="1:11" ht="31.5">
      <c r="A530" s="261" t="s">
        <v>11298</v>
      </c>
      <c r="B530" s="265" t="s">
        <v>25892</v>
      </c>
      <c r="C530" s="589"/>
      <c r="D530" s="589"/>
      <c r="E530" s="589"/>
      <c r="F530" s="589"/>
      <c r="G530" s="589"/>
      <c r="H530" s="589"/>
      <c r="I530" s="589"/>
      <c r="J530" s="440">
        <v>792.05110000000002</v>
      </c>
      <c r="K530" s="440">
        <v>417.10649999999998</v>
      </c>
    </row>
    <row r="531" spans="1:11" ht="31.5">
      <c r="A531" s="261" t="s">
        <v>11299</v>
      </c>
      <c r="B531" s="265" t="s">
        <v>25893</v>
      </c>
      <c r="C531" s="440">
        <v>379385.77</v>
      </c>
      <c r="D531" s="440">
        <v>16.259399999999999</v>
      </c>
      <c r="E531" s="440">
        <v>6.6879999999999997</v>
      </c>
      <c r="F531" s="440">
        <v>2.7099000000000002</v>
      </c>
      <c r="G531" s="440">
        <v>24.389099999999999</v>
      </c>
      <c r="H531" s="440">
        <v>121.1583</v>
      </c>
      <c r="I531" s="440">
        <v>31.651</v>
      </c>
      <c r="J531" s="440">
        <v>202.85570000000001</v>
      </c>
      <c r="K531" s="440">
        <v>57.308300000000003</v>
      </c>
    </row>
    <row r="532" spans="1:11" ht="31.5">
      <c r="A532" s="261" t="s">
        <v>11300</v>
      </c>
      <c r="B532" s="265" t="s">
        <v>25894</v>
      </c>
      <c r="C532" s="440">
        <v>3225898.75</v>
      </c>
      <c r="D532" s="440">
        <v>243.7346</v>
      </c>
      <c r="E532" s="440">
        <v>88.461299999999994</v>
      </c>
      <c r="F532" s="440">
        <v>0</v>
      </c>
      <c r="G532" s="440">
        <v>229.3972</v>
      </c>
      <c r="H532" s="440">
        <v>0</v>
      </c>
      <c r="I532" s="440">
        <v>27.6023</v>
      </c>
      <c r="J532" s="440">
        <v>589.19539999999995</v>
      </c>
      <c r="K532" s="440">
        <v>359.79820000000001</v>
      </c>
    </row>
    <row r="533" spans="1:11">
      <c r="A533" s="261" t="s">
        <v>11301</v>
      </c>
      <c r="B533" s="265" t="s">
        <v>25895</v>
      </c>
      <c r="C533" s="589"/>
      <c r="D533" s="589"/>
      <c r="E533" s="589"/>
      <c r="F533" s="589"/>
      <c r="G533" s="589"/>
      <c r="H533" s="589"/>
      <c r="I533" s="589"/>
      <c r="J533" s="440">
        <v>303.59280000000001</v>
      </c>
      <c r="K533" s="440">
        <v>126.5654</v>
      </c>
    </row>
    <row r="534" spans="1:11" ht="31.5">
      <c r="A534" s="261" t="s">
        <v>11302</v>
      </c>
      <c r="B534" s="265" t="s">
        <v>25896</v>
      </c>
      <c r="C534" s="440">
        <v>355386.4607</v>
      </c>
      <c r="D534" s="440">
        <v>15.2308</v>
      </c>
      <c r="E534" s="440">
        <v>6.2649999999999997</v>
      </c>
      <c r="F534" s="440">
        <v>2.5385</v>
      </c>
      <c r="G534" s="440">
        <v>22.846299999999999</v>
      </c>
      <c r="H534" s="440">
        <v>121.1583</v>
      </c>
      <c r="I534" s="440">
        <v>32.991900000000001</v>
      </c>
      <c r="J534" s="440">
        <v>201.0308</v>
      </c>
      <c r="K534" s="440">
        <v>57.026200000000003</v>
      </c>
    </row>
    <row r="535" spans="1:11" ht="31.5">
      <c r="A535" s="261" t="s">
        <v>11303</v>
      </c>
      <c r="B535" s="265" t="s">
        <v>25897</v>
      </c>
      <c r="C535" s="440">
        <v>495341.58</v>
      </c>
      <c r="D535" s="440">
        <v>33.022799999999997</v>
      </c>
      <c r="E535" s="440">
        <v>8.9140999999999995</v>
      </c>
      <c r="F535" s="440">
        <v>0</v>
      </c>
      <c r="G535" s="440">
        <v>33.022799999999997</v>
      </c>
      <c r="H535" s="440">
        <v>0</v>
      </c>
      <c r="I535" s="440">
        <v>27.6023</v>
      </c>
      <c r="J535" s="440">
        <v>102.562</v>
      </c>
      <c r="K535" s="440">
        <v>69.539199999999994</v>
      </c>
    </row>
    <row r="536" spans="1:11" ht="31.5">
      <c r="A536" s="261" t="s">
        <v>11304</v>
      </c>
      <c r="B536" s="265" t="s">
        <v>25898</v>
      </c>
      <c r="C536" s="589"/>
      <c r="D536" s="589"/>
      <c r="E536" s="589"/>
      <c r="F536" s="589"/>
      <c r="G536" s="589"/>
      <c r="H536" s="589"/>
      <c r="I536" s="589"/>
      <c r="J536" s="440">
        <v>587.83780000000002</v>
      </c>
      <c r="K536" s="440">
        <v>274.83969999999999</v>
      </c>
    </row>
    <row r="537" spans="1:11" ht="31.5">
      <c r="A537" s="261" t="s">
        <v>11290</v>
      </c>
      <c r="B537" s="265" t="s">
        <v>25884</v>
      </c>
      <c r="C537" s="440">
        <v>529950.7047</v>
      </c>
      <c r="D537" s="440">
        <v>22.712199999999999</v>
      </c>
      <c r="E537" s="440">
        <v>9.3422999999999998</v>
      </c>
      <c r="F537" s="440">
        <v>3.7854000000000001</v>
      </c>
      <c r="G537" s="440">
        <v>34.068300000000001</v>
      </c>
      <c r="H537" s="440">
        <v>143.28280000000001</v>
      </c>
      <c r="I537" s="440">
        <v>32.991900000000001</v>
      </c>
      <c r="J537" s="440">
        <v>246.18289999999999</v>
      </c>
      <c r="K537" s="440">
        <v>68.831800000000001</v>
      </c>
    </row>
    <row r="538" spans="1:11" ht="31.5">
      <c r="A538" s="261" t="s">
        <v>11305</v>
      </c>
      <c r="B538" s="265" t="s">
        <v>25899</v>
      </c>
      <c r="C538" s="440">
        <v>1695587.8444999999</v>
      </c>
      <c r="D538" s="440">
        <v>135.64699999999999</v>
      </c>
      <c r="E538" s="440">
        <v>31.385300000000001</v>
      </c>
      <c r="F538" s="440">
        <v>0</v>
      </c>
      <c r="G538" s="440">
        <v>135.64699999999999</v>
      </c>
      <c r="H538" s="440">
        <v>0</v>
      </c>
      <c r="I538" s="440">
        <v>38.9756</v>
      </c>
      <c r="J538" s="440">
        <v>341.6549</v>
      </c>
      <c r="K538" s="440">
        <v>206.00790000000001</v>
      </c>
    </row>
    <row r="539" spans="1:11" ht="31.5">
      <c r="A539" s="261" t="s">
        <v>11306</v>
      </c>
      <c r="B539" s="265" t="s">
        <v>25900</v>
      </c>
      <c r="C539" s="589"/>
      <c r="D539" s="589"/>
      <c r="E539" s="589"/>
      <c r="F539" s="589"/>
      <c r="G539" s="589"/>
      <c r="H539" s="589"/>
      <c r="I539" s="589"/>
      <c r="J539" s="440">
        <v>338.7097</v>
      </c>
      <c r="K539" s="440">
        <v>129.93680000000001</v>
      </c>
    </row>
    <row r="540" spans="1:11" ht="31.5">
      <c r="A540" s="261" t="s">
        <v>11190</v>
      </c>
      <c r="B540" s="265" t="s">
        <v>25783</v>
      </c>
      <c r="C540" s="440">
        <v>492388.60330000002</v>
      </c>
      <c r="D540" s="440">
        <v>21.102399999999999</v>
      </c>
      <c r="E540" s="440">
        <v>8.6800999999999995</v>
      </c>
      <c r="F540" s="440">
        <v>3.5171000000000001</v>
      </c>
      <c r="G540" s="440">
        <v>31.653600000000001</v>
      </c>
      <c r="H540" s="440">
        <v>143.28280000000001</v>
      </c>
      <c r="I540" s="440">
        <v>31.651</v>
      </c>
      <c r="J540" s="440">
        <v>239.887</v>
      </c>
      <c r="K540" s="440">
        <v>64.950599999999994</v>
      </c>
    </row>
    <row r="541" spans="1:11">
      <c r="A541" s="261" t="s">
        <v>11307</v>
      </c>
      <c r="B541" s="265" t="s">
        <v>25901</v>
      </c>
      <c r="C541" s="440">
        <v>398519.08289999998</v>
      </c>
      <c r="D541" s="440">
        <v>30.076899999999998</v>
      </c>
      <c r="E541" s="440">
        <v>7.3070000000000004</v>
      </c>
      <c r="F541" s="440">
        <v>0</v>
      </c>
      <c r="G541" s="440">
        <v>33.836500000000001</v>
      </c>
      <c r="H541" s="440">
        <v>0</v>
      </c>
      <c r="I541" s="440">
        <v>27.6023</v>
      </c>
      <c r="J541" s="440">
        <v>98.822699999999998</v>
      </c>
      <c r="K541" s="440">
        <v>64.986199999999997</v>
      </c>
    </row>
  </sheetData>
  <mergeCells count="56">
    <mergeCell ref="A2:I2"/>
    <mergeCell ref="A3:I3"/>
    <mergeCell ref="A4:I4"/>
    <mergeCell ref="A5:I5"/>
    <mergeCell ref="A6:D6"/>
    <mergeCell ref="C533:I533"/>
    <mergeCell ref="C536:I536"/>
    <mergeCell ref="C539:I539"/>
    <mergeCell ref="C510:I510"/>
    <mergeCell ref="C515:I515"/>
    <mergeCell ref="C518:I518"/>
    <mergeCell ref="C522:I522"/>
    <mergeCell ref="C525:I525"/>
    <mergeCell ref="C530:I530"/>
    <mergeCell ref="C507:I507"/>
    <mergeCell ref="C473:I473"/>
    <mergeCell ref="C476:I476"/>
    <mergeCell ref="C479:I479"/>
    <mergeCell ref="C482:I482"/>
    <mergeCell ref="C485:I485"/>
    <mergeCell ref="C489:I489"/>
    <mergeCell ref="C492:I492"/>
    <mergeCell ref="C495:I495"/>
    <mergeCell ref="C498:I498"/>
    <mergeCell ref="C501:I501"/>
    <mergeCell ref="C504:I504"/>
    <mergeCell ref="C470:I470"/>
    <mergeCell ref="C435:I435"/>
    <mergeCell ref="C440:I440"/>
    <mergeCell ref="C443:I443"/>
    <mergeCell ref="C446:I446"/>
    <mergeCell ref="C449:I449"/>
    <mergeCell ref="C452:I452"/>
    <mergeCell ref="C455:I455"/>
    <mergeCell ref="C458:I458"/>
    <mergeCell ref="C461:I461"/>
    <mergeCell ref="C464:I464"/>
    <mergeCell ref="C467:I467"/>
    <mergeCell ref="C430:I430"/>
    <mergeCell ref="C396:I396"/>
    <mergeCell ref="C400:I400"/>
    <mergeCell ref="C405:I405"/>
    <mergeCell ref="C408:I408"/>
    <mergeCell ref="C411:I411"/>
    <mergeCell ref="C414:I414"/>
    <mergeCell ref="C416:I416"/>
    <mergeCell ref="C418:I418"/>
    <mergeCell ref="C420:I420"/>
    <mergeCell ref="C423:I423"/>
    <mergeCell ref="C426:I426"/>
    <mergeCell ref="C393:I393"/>
    <mergeCell ref="B7:J7"/>
    <mergeCell ref="C383:I383"/>
    <mergeCell ref="C386:I386"/>
    <mergeCell ref="C390:I390"/>
    <mergeCell ref="A8:K8"/>
  </mergeCells>
  <pageMargins left="0.70866141732283472" right="0.70866141732283472" top="0.74803149606299213" bottom="0.74803149606299213" header="0.31496062992125984" footer="0.31496062992125984"/>
  <pageSetup paperSize="9" scale="55" orientation="landscape" r:id="rId1"/>
  <headerFooter>
    <oddFooter>&amp;LAGÊNCIA DE ASSUNTOS METROPOLITANOS DO PARANÁ - AMEP
DIRETORIA DE OBRAS&amp;CENGª CIBELE CRISTINE MELLO FRANCZAK
DIRETORA DE OBRAS&amp;RPágina &amp;P de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2:Q7526"/>
  <sheetViews>
    <sheetView showGridLines="0" zoomScaleNormal="100" zoomScaleSheetLayoutView="115" workbookViewId="0">
      <selection activeCell="B30" sqref="B30"/>
    </sheetView>
  </sheetViews>
  <sheetFormatPr defaultRowHeight="15.75"/>
  <cols>
    <col min="1" max="1" width="24.5703125" style="121" customWidth="1"/>
    <col min="2" max="2" width="113.7109375" style="118" customWidth="1"/>
    <col min="3" max="3" width="12.28515625" style="121" customWidth="1"/>
    <col min="4" max="4" width="21.140625" style="123" customWidth="1"/>
    <col min="5" max="248" width="9.140625" style="118"/>
    <col min="249" max="249" width="70.28515625" style="118" customWidth="1"/>
    <col min="250" max="250" width="17.5703125" style="118" customWidth="1"/>
    <col min="251" max="251" width="70.28515625" style="118" customWidth="1"/>
    <col min="252" max="252" width="17.5703125" style="118" customWidth="1"/>
    <col min="253" max="253" width="15.28515625" style="118" customWidth="1"/>
    <col min="254" max="254" width="48.7109375" style="118" customWidth="1"/>
    <col min="255" max="255" width="24.5703125" style="118" customWidth="1"/>
    <col min="256" max="256" width="48.7109375" style="118" customWidth="1"/>
    <col min="257" max="257" width="8.140625" style="118" customWidth="1"/>
    <col min="258" max="258" width="38.7109375" style="118" customWidth="1"/>
    <col min="259" max="259" width="21.140625" style="118" customWidth="1"/>
    <col min="260" max="260" width="82" style="118" customWidth="1"/>
    <col min="261" max="504" width="9.140625" style="118"/>
    <col min="505" max="505" width="70.28515625" style="118" customWidth="1"/>
    <col min="506" max="506" width="17.5703125" style="118" customWidth="1"/>
    <col min="507" max="507" width="70.28515625" style="118" customWidth="1"/>
    <col min="508" max="508" width="17.5703125" style="118" customWidth="1"/>
    <col min="509" max="509" width="15.28515625" style="118" customWidth="1"/>
    <col min="510" max="510" width="48.7109375" style="118" customWidth="1"/>
    <col min="511" max="511" width="24.5703125" style="118" customWidth="1"/>
    <col min="512" max="512" width="48.7109375" style="118" customWidth="1"/>
    <col min="513" max="513" width="8.140625" style="118" customWidth="1"/>
    <col min="514" max="514" width="38.7109375" style="118" customWidth="1"/>
    <col min="515" max="515" width="21.140625" style="118" customWidth="1"/>
    <col min="516" max="516" width="82" style="118" customWidth="1"/>
    <col min="517" max="760" width="9.140625" style="118"/>
    <col min="761" max="761" width="70.28515625" style="118" customWidth="1"/>
    <col min="762" max="762" width="17.5703125" style="118" customWidth="1"/>
    <col min="763" max="763" width="70.28515625" style="118" customWidth="1"/>
    <col min="764" max="764" width="17.5703125" style="118" customWidth="1"/>
    <col min="765" max="765" width="15.28515625" style="118" customWidth="1"/>
    <col min="766" max="766" width="48.7109375" style="118" customWidth="1"/>
    <col min="767" max="767" width="24.5703125" style="118" customWidth="1"/>
    <col min="768" max="768" width="48.7109375" style="118" customWidth="1"/>
    <col min="769" max="769" width="8.140625" style="118" customWidth="1"/>
    <col min="770" max="770" width="38.7109375" style="118" customWidth="1"/>
    <col min="771" max="771" width="21.140625" style="118" customWidth="1"/>
    <col min="772" max="772" width="82" style="118" customWidth="1"/>
    <col min="773" max="1016" width="9.140625" style="118"/>
    <col min="1017" max="1017" width="70.28515625" style="118" customWidth="1"/>
    <col min="1018" max="1018" width="17.5703125" style="118" customWidth="1"/>
    <col min="1019" max="1019" width="70.28515625" style="118" customWidth="1"/>
    <col min="1020" max="1020" width="17.5703125" style="118" customWidth="1"/>
    <col min="1021" max="1021" width="15.28515625" style="118" customWidth="1"/>
    <col min="1022" max="1022" width="48.7109375" style="118" customWidth="1"/>
    <col min="1023" max="1023" width="24.5703125" style="118" customWidth="1"/>
    <col min="1024" max="1024" width="48.7109375" style="118" customWidth="1"/>
    <col min="1025" max="1025" width="8.140625" style="118" customWidth="1"/>
    <col min="1026" max="1026" width="38.7109375" style="118" customWidth="1"/>
    <col min="1027" max="1027" width="21.140625" style="118" customWidth="1"/>
    <col min="1028" max="1028" width="82" style="118" customWidth="1"/>
    <col min="1029" max="1272" width="9.140625" style="118"/>
    <col min="1273" max="1273" width="70.28515625" style="118" customWidth="1"/>
    <col min="1274" max="1274" width="17.5703125" style="118" customWidth="1"/>
    <col min="1275" max="1275" width="70.28515625" style="118" customWidth="1"/>
    <col min="1276" max="1276" width="17.5703125" style="118" customWidth="1"/>
    <col min="1277" max="1277" width="15.28515625" style="118" customWidth="1"/>
    <col min="1278" max="1278" width="48.7109375" style="118" customWidth="1"/>
    <col min="1279" max="1279" width="24.5703125" style="118" customWidth="1"/>
    <col min="1280" max="1280" width="48.7109375" style="118" customWidth="1"/>
    <col min="1281" max="1281" width="8.140625" style="118" customWidth="1"/>
    <col min="1282" max="1282" width="38.7109375" style="118" customWidth="1"/>
    <col min="1283" max="1283" width="21.140625" style="118" customWidth="1"/>
    <col min="1284" max="1284" width="82" style="118" customWidth="1"/>
    <col min="1285" max="1528" width="9.140625" style="118"/>
    <col min="1529" max="1529" width="70.28515625" style="118" customWidth="1"/>
    <col min="1530" max="1530" width="17.5703125" style="118" customWidth="1"/>
    <col min="1531" max="1531" width="70.28515625" style="118" customWidth="1"/>
    <col min="1532" max="1532" width="17.5703125" style="118" customWidth="1"/>
    <col min="1533" max="1533" width="15.28515625" style="118" customWidth="1"/>
    <col min="1534" max="1534" width="48.7109375" style="118" customWidth="1"/>
    <col min="1535" max="1535" width="24.5703125" style="118" customWidth="1"/>
    <col min="1536" max="1536" width="48.7109375" style="118" customWidth="1"/>
    <col min="1537" max="1537" width="8.140625" style="118" customWidth="1"/>
    <col min="1538" max="1538" width="38.7109375" style="118" customWidth="1"/>
    <col min="1539" max="1539" width="21.140625" style="118" customWidth="1"/>
    <col min="1540" max="1540" width="82" style="118" customWidth="1"/>
    <col min="1541" max="1784" width="9.140625" style="118"/>
    <col min="1785" max="1785" width="70.28515625" style="118" customWidth="1"/>
    <col min="1786" max="1786" width="17.5703125" style="118" customWidth="1"/>
    <col min="1787" max="1787" width="70.28515625" style="118" customWidth="1"/>
    <col min="1788" max="1788" width="17.5703125" style="118" customWidth="1"/>
    <col min="1789" max="1789" width="15.28515625" style="118" customWidth="1"/>
    <col min="1790" max="1790" width="48.7109375" style="118" customWidth="1"/>
    <col min="1791" max="1791" width="24.5703125" style="118" customWidth="1"/>
    <col min="1792" max="1792" width="48.7109375" style="118" customWidth="1"/>
    <col min="1793" max="1793" width="8.140625" style="118" customWidth="1"/>
    <col min="1794" max="1794" width="38.7109375" style="118" customWidth="1"/>
    <col min="1795" max="1795" width="21.140625" style="118" customWidth="1"/>
    <col min="1796" max="1796" width="82" style="118" customWidth="1"/>
    <col min="1797" max="2040" width="9.140625" style="118"/>
    <col min="2041" max="2041" width="70.28515625" style="118" customWidth="1"/>
    <col min="2042" max="2042" width="17.5703125" style="118" customWidth="1"/>
    <col min="2043" max="2043" width="70.28515625" style="118" customWidth="1"/>
    <col min="2044" max="2044" width="17.5703125" style="118" customWidth="1"/>
    <col min="2045" max="2045" width="15.28515625" style="118" customWidth="1"/>
    <col min="2046" max="2046" width="48.7109375" style="118" customWidth="1"/>
    <col min="2047" max="2047" width="24.5703125" style="118" customWidth="1"/>
    <col min="2048" max="2048" width="48.7109375" style="118" customWidth="1"/>
    <col min="2049" max="2049" width="8.140625" style="118" customWidth="1"/>
    <col min="2050" max="2050" width="38.7109375" style="118" customWidth="1"/>
    <col min="2051" max="2051" width="21.140625" style="118" customWidth="1"/>
    <col min="2052" max="2052" width="82" style="118" customWidth="1"/>
    <col min="2053" max="2296" width="9.140625" style="118"/>
    <col min="2297" max="2297" width="70.28515625" style="118" customWidth="1"/>
    <col min="2298" max="2298" width="17.5703125" style="118" customWidth="1"/>
    <col min="2299" max="2299" width="70.28515625" style="118" customWidth="1"/>
    <col min="2300" max="2300" width="17.5703125" style="118" customWidth="1"/>
    <col min="2301" max="2301" width="15.28515625" style="118" customWidth="1"/>
    <col min="2302" max="2302" width="48.7109375" style="118" customWidth="1"/>
    <col min="2303" max="2303" width="24.5703125" style="118" customWidth="1"/>
    <col min="2304" max="2304" width="48.7109375" style="118" customWidth="1"/>
    <col min="2305" max="2305" width="8.140625" style="118" customWidth="1"/>
    <col min="2306" max="2306" width="38.7109375" style="118" customWidth="1"/>
    <col min="2307" max="2307" width="21.140625" style="118" customWidth="1"/>
    <col min="2308" max="2308" width="82" style="118" customWidth="1"/>
    <col min="2309" max="2552" width="9.140625" style="118"/>
    <col min="2553" max="2553" width="70.28515625" style="118" customWidth="1"/>
    <col min="2554" max="2554" width="17.5703125" style="118" customWidth="1"/>
    <col min="2555" max="2555" width="70.28515625" style="118" customWidth="1"/>
    <col min="2556" max="2556" width="17.5703125" style="118" customWidth="1"/>
    <col min="2557" max="2557" width="15.28515625" style="118" customWidth="1"/>
    <col min="2558" max="2558" width="48.7109375" style="118" customWidth="1"/>
    <col min="2559" max="2559" width="24.5703125" style="118" customWidth="1"/>
    <col min="2560" max="2560" width="48.7109375" style="118" customWidth="1"/>
    <col min="2561" max="2561" width="8.140625" style="118" customWidth="1"/>
    <col min="2562" max="2562" width="38.7109375" style="118" customWidth="1"/>
    <col min="2563" max="2563" width="21.140625" style="118" customWidth="1"/>
    <col min="2564" max="2564" width="82" style="118" customWidth="1"/>
    <col min="2565" max="2808" width="9.140625" style="118"/>
    <col min="2809" max="2809" width="70.28515625" style="118" customWidth="1"/>
    <col min="2810" max="2810" width="17.5703125" style="118" customWidth="1"/>
    <col min="2811" max="2811" width="70.28515625" style="118" customWidth="1"/>
    <col min="2812" max="2812" width="17.5703125" style="118" customWidth="1"/>
    <col min="2813" max="2813" width="15.28515625" style="118" customWidth="1"/>
    <col min="2814" max="2814" width="48.7109375" style="118" customWidth="1"/>
    <col min="2815" max="2815" width="24.5703125" style="118" customWidth="1"/>
    <col min="2816" max="2816" width="48.7109375" style="118" customWidth="1"/>
    <col min="2817" max="2817" width="8.140625" style="118" customWidth="1"/>
    <col min="2818" max="2818" width="38.7109375" style="118" customWidth="1"/>
    <col min="2819" max="2819" width="21.140625" style="118" customWidth="1"/>
    <col min="2820" max="2820" width="82" style="118" customWidth="1"/>
    <col min="2821" max="3064" width="9.140625" style="118"/>
    <col min="3065" max="3065" width="70.28515625" style="118" customWidth="1"/>
    <col min="3066" max="3066" width="17.5703125" style="118" customWidth="1"/>
    <col min="3067" max="3067" width="70.28515625" style="118" customWidth="1"/>
    <col min="3068" max="3068" width="17.5703125" style="118" customWidth="1"/>
    <col min="3069" max="3069" width="15.28515625" style="118" customWidth="1"/>
    <col min="3070" max="3070" width="48.7109375" style="118" customWidth="1"/>
    <col min="3071" max="3071" width="24.5703125" style="118" customWidth="1"/>
    <col min="3072" max="3072" width="48.7109375" style="118" customWidth="1"/>
    <col min="3073" max="3073" width="8.140625" style="118" customWidth="1"/>
    <col min="3074" max="3074" width="38.7109375" style="118" customWidth="1"/>
    <col min="3075" max="3075" width="21.140625" style="118" customWidth="1"/>
    <col min="3076" max="3076" width="82" style="118" customWidth="1"/>
    <col min="3077" max="3320" width="9.140625" style="118"/>
    <col min="3321" max="3321" width="70.28515625" style="118" customWidth="1"/>
    <col min="3322" max="3322" width="17.5703125" style="118" customWidth="1"/>
    <col min="3323" max="3323" width="70.28515625" style="118" customWidth="1"/>
    <col min="3324" max="3324" width="17.5703125" style="118" customWidth="1"/>
    <col min="3325" max="3325" width="15.28515625" style="118" customWidth="1"/>
    <col min="3326" max="3326" width="48.7109375" style="118" customWidth="1"/>
    <col min="3327" max="3327" width="24.5703125" style="118" customWidth="1"/>
    <col min="3328" max="3328" width="48.7109375" style="118" customWidth="1"/>
    <col min="3329" max="3329" width="8.140625" style="118" customWidth="1"/>
    <col min="3330" max="3330" width="38.7109375" style="118" customWidth="1"/>
    <col min="3331" max="3331" width="21.140625" style="118" customWidth="1"/>
    <col min="3332" max="3332" width="82" style="118" customWidth="1"/>
    <col min="3333" max="3576" width="9.140625" style="118"/>
    <col min="3577" max="3577" width="70.28515625" style="118" customWidth="1"/>
    <col min="3578" max="3578" width="17.5703125" style="118" customWidth="1"/>
    <col min="3579" max="3579" width="70.28515625" style="118" customWidth="1"/>
    <col min="3580" max="3580" width="17.5703125" style="118" customWidth="1"/>
    <col min="3581" max="3581" width="15.28515625" style="118" customWidth="1"/>
    <col min="3582" max="3582" width="48.7109375" style="118" customWidth="1"/>
    <col min="3583" max="3583" width="24.5703125" style="118" customWidth="1"/>
    <col min="3584" max="3584" width="48.7109375" style="118" customWidth="1"/>
    <col min="3585" max="3585" width="8.140625" style="118" customWidth="1"/>
    <col min="3586" max="3586" width="38.7109375" style="118" customWidth="1"/>
    <col min="3587" max="3587" width="21.140625" style="118" customWidth="1"/>
    <col min="3588" max="3588" width="82" style="118" customWidth="1"/>
    <col min="3589" max="3832" width="9.140625" style="118"/>
    <col min="3833" max="3833" width="70.28515625" style="118" customWidth="1"/>
    <col min="3834" max="3834" width="17.5703125" style="118" customWidth="1"/>
    <col min="3835" max="3835" width="70.28515625" style="118" customWidth="1"/>
    <col min="3836" max="3836" width="17.5703125" style="118" customWidth="1"/>
    <col min="3837" max="3837" width="15.28515625" style="118" customWidth="1"/>
    <col min="3838" max="3838" width="48.7109375" style="118" customWidth="1"/>
    <col min="3839" max="3839" width="24.5703125" style="118" customWidth="1"/>
    <col min="3840" max="3840" width="48.7109375" style="118" customWidth="1"/>
    <col min="3841" max="3841" width="8.140625" style="118" customWidth="1"/>
    <col min="3842" max="3842" width="38.7109375" style="118" customWidth="1"/>
    <col min="3843" max="3843" width="21.140625" style="118" customWidth="1"/>
    <col min="3844" max="3844" width="82" style="118" customWidth="1"/>
    <col min="3845" max="4088" width="9.140625" style="118"/>
    <col min="4089" max="4089" width="70.28515625" style="118" customWidth="1"/>
    <col min="4090" max="4090" width="17.5703125" style="118" customWidth="1"/>
    <col min="4091" max="4091" width="70.28515625" style="118" customWidth="1"/>
    <col min="4092" max="4092" width="17.5703125" style="118" customWidth="1"/>
    <col min="4093" max="4093" width="15.28515625" style="118" customWidth="1"/>
    <col min="4094" max="4094" width="48.7109375" style="118" customWidth="1"/>
    <col min="4095" max="4095" width="24.5703125" style="118" customWidth="1"/>
    <col min="4096" max="4096" width="48.7109375" style="118" customWidth="1"/>
    <col min="4097" max="4097" width="8.140625" style="118" customWidth="1"/>
    <col min="4098" max="4098" width="38.7109375" style="118" customWidth="1"/>
    <col min="4099" max="4099" width="21.140625" style="118" customWidth="1"/>
    <col min="4100" max="4100" width="82" style="118" customWidth="1"/>
    <col min="4101" max="4344" width="9.140625" style="118"/>
    <col min="4345" max="4345" width="70.28515625" style="118" customWidth="1"/>
    <col min="4346" max="4346" width="17.5703125" style="118" customWidth="1"/>
    <col min="4347" max="4347" width="70.28515625" style="118" customWidth="1"/>
    <col min="4348" max="4348" width="17.5703125" style="118" customWidth="1"/>
    <col min="4349" max="4349" width="15.28515625" style="118" customWidth="1"/>
    <col min="4350" max="4350" width="48.7109375" style="118" customWidth="1"/>
    <col min="4351" max="4351" width="24.5703125" style="118" customWidth="1"/>
    <col min="4352" max="4352" width="48.7109375" style="118" customWidth="1"/>
    <col min="4353" max="4353" width="8.140625" style="118" customWidth="1"/>
    <col min="4354" max="4354" width="38.7109375" style="118" customWidth="1"/>
    <col min="4355" max="4355" width="21.140625" style="118" customWidth="1"/>
    <col min="4356" max="4356" width="82" style="118" customWidth="1"/>
    <col min="4357" max="4600" width="9.140625" style="118"/>
    <col min="4601" max="4601" width="70.28515625" style="118" customWidth="1"/>
    <col min="4602" max="4602" width="17.5703125" style="118" customWidth="1"/>
    <col min="4603" max="4603" width="70.28515625" style="118" customWidth="1"/>
    <col min="4604" max="4604" width="17.5703125" style="118" customWidth="1"/>
    <col min="4605" max="4605" width="15.28515625" style="118" customWidth="1"/>
    <col min="4606" max="4606" width="48.7109375" style="118" customWidth="1"/>
    <col min="4607" max="4607" width="24.5703125" style="118" customWidth="1"/>
    <col min="4608" max="4608" width="48.7109375" style="118" customWidth="1"/>
    <col min="4609" max="4609" width="8.140625" style="118" customWidth="1"/>
    <col min="4610" max="4610" width="38.7109375" style="118" customWidth="1"/>
    <col min="4611" max="4611" width="21.140625" style="118" customWidth="1"/>
    <col min="4612" max="4612" width="82" style="118" customWidth="1"/>
    <col min="4613" max="4856" width="9.140625" style="118"/>
    <col min="4857" max="4857" width="70.28515625" style="118" customWidth="1"/>
    <col min="4858" max="4858" width="17.5703125" style="118" customWidth="1"/>
    <col min="4859" max="4859" width="70.28515625" style="118" customWidth="1"/>
    <col min="4860" max="4860" width="17.5703125" style="118" customWidth="1"/>
    <col min="4861" max="4861" width="15.28515625" style="118" customWidth="1"/>
    <col min="4862" max="4862" width="48.7109375" style="118" customWidth="1"/>
    <col min="4863" max="4863" width="24.5703125" style="118" customWidth="1"/>
    <col min="4864" max="4864" width="48.7109375" style="118" customWidth="1"/>
    <col min="4865" max="4865" width="8.140625" style="118" customWidth="1"/>
    <col min="4866" max="4866" width="38.7109375" style="118" customWidth="1"/>
    <col min="4867" max="4867" width="21.140625" style="118" customWidth="1"/>
    <col min="4868" max="4868" width="82" style="118" customWidth="1"/>
    <col min="4869" max="5112" width="9.140625" style="118"/>
    <col min="5113" max="5113" width="70.28515625" style="118" customWidth="1"/>
    <col min="5114" max="5114" width="17.5703125" style="118" customWidth="1"/>
    <col min="5115" max="5115" width="70.28515625" style="118" customWidth="1"/>
    <col min="5116" max="5116" width="17.5703125" style="118" customWidth="1"/>
    <col min="5117" max="5117" width="15.28515625" style="118" customWidth="1"/>
    <col min="5118" max="5118" width="48.7109375" style="118" customWidth="1"/>
    <col min="5119" max="5119" width="24.5703125" style="118" customWidth="1"/>
    <col min="5120" max="5120" width="48.7109375" style="118" customWidth="1"/>
    <col min="5121" max="5121" width="8.140625" style="118" customWidth="1"/>
    <col min="5122" max="5122" width="38.7109375" style="118" customWidth="1"/>
    <col min="5123" max="5123" width="21.140625" style="118" customWidth="1"/>
    <col min="5124" max="5124" width="82" style="118" customWidth="1"/>
    <col min="5125" max="5368" width="9.140625" style="118"/>
    <col min="5369" max="5369" width="70.28515625" style="118" customWidth="1"/>
    <col min="5370" max="5370" width="17.5703125" style="118" customWidth="1"/>
    <col min="5371" max="5371" width="70.28515625" style="118" customWidth="1"/>
    <col min="5372" max="5372" width="17.5703125" style="118" customWidth="1"/>
    <col min="5373" max="5373" width="15.28515625" style="118" customWidth="1"/>
    <col min="5374" max="5374" width="48.7109375" style="118" customWidth="1"/>
    <col min="5375" max="5375" width="24.5703125" style="118" customWidth="1"/>
    <col min="5376" max="5376" width="48.7109375" style="118" customWidth="1"/>
    <col min="5377" max="5377" width="8.140625" style="118" customWidth="1"/>
    <col min="5378" max="5378" width="38.7109375" style="118" customWidth="1"/>
    <col min="5379" max="5379" width="21.140625" style="118" customWidth="1"/>
    <col min="5380" max="5380" width="82" style="118" customWidth="1"/>
    <col min="5381" max="5624" width="9.140625" style="118"/>
    <col min="5625" max="5625" width="70.28515625" style="118" customWidth="1"/>
    <col min="5626" max="5626" width="17.5703125" style="118" customWidth="1"/>
    <col min="5627" max="5627" width="70.28515625" style="118" customWidth="1"/>
    <col min="5628" max="5628" width="17.5703125" style="118" customWidth="1"/>
    <col min="5629" max="5629" width="15.28515625" style="118" customWidth="1"/>
    <col min="5630" max="5630" width="48.7109375" style="118" customWidth="1"/>
    <col min="5631" max="5631" width="24.5703125" style="118" customWidth="1"/>
    <col min="5632" max="5632" width="48.7109375" style="118" customWidth="1"/>
    <col min="5633" max="5633" width="8.140625" style="118" customWidth="1"/>
    <col min="5634" max="5634" width="38.7109375" style="118" customWidth="1"/>
    <col min="5635" max="5635" width="21.140625" style="118" customWidth="1"/>
    <col min="5636" max="5636" width="82" style="118" customWidth="1"/>
    <col min="5637" max="5880" width="9.140625" style="118"/>
    <col min="5881" max="5881" width="70.28515625" style="118" customWidth="1"/>
    <col min="5882" max="5882" width="17.5703125" style="118" customWidth="1"/>
    <col min="5883" max="5883" width="70.28515625" style="118" customWidth="1"/>
    <col min="5884" max="5884" width="17.5703125" style="118" customWidth="1"/>
    <col min="5885" max="5885" width="15.28515625" style="118" customWidth="1"/>
    <col min="5886" max="5886" width="48.7109375" style="118" customWidth="1"/>
    <col min="5887" max="5887" width="24.5703125" style="118" customWidth="1"/>
    <col min="5888" max="5888" width="48.7109375" style="118" customWidth="1"/>
    <col min="5889" max="5889" width="8.140625" style="118" customWidth="1"/>
    <col min="5890" max="5890" width="38.7109375" style="118" customWidth="1"/>
    <col min="5891" max="5891" width="21.140625" style="118" customWidth="1"/>
    <col min="5892" max="5892" width="82" style="118" customWidth="1"/>
    <col min="5893" max="6136" width="9.140625" style="118"/>
    <col min="6137" max="6137" width="70.28515625" style="118" customWidth="1"/>
    <col min="6138" max="6138" width="17.5703125" style="118" customWidth="1"/>
    <col min="6139" max="6139" width="70.28515625" style="118" customWidth="1"/>
    <col min="6140" max="6140" width="17.5703125" style="118" customWidth="1"/>
    <col min="6141" max="6141" width="15.28515625" style="118" customWidth="1"/>
    <col min="6142" max="6142" width="48.7109375" style="118" customWidth="1"/>
    <col min="6143" max="6143" width="24.5703125" style="118" customWidth="1"/>
    <col min="6144" max="6144" width="48.7109375" style="118" customWidth="1"/>
    <col min="6145" max="6145" width="8.140625" style="118" customWidth="1"/>
    <col min="6146" max="6146" width="38.7109375" style="118" customWidth="1"/>
    <col min="6147" max="6147" width="21.140625" style="118" customWidth="1"/>
    <col min="6148" max="6148" width="82" style="118" customWidth="1"/>
    <col min="6149" max="6392" width="9.140625" style="118"/>
    <col min="6393" max="6393" width="70.28515625" style="118" customWidth="1"/>
    <col min="6394" max="6394" width="17.5703125" style="118" customWidth="1"/>
    <col min="6395" max="6395" width="70.28515625" style="118" customWidth="1"/>
    <col min="6396" max="6396" width="17.5703125" style="118" customWidth="1"/>
    <col min="6397" max="6397" width="15.28515625" style="118" customWidth="1"/>
    <col min="6398" max="6398" width="48.7109375" style="118" customWidth="1"/>
    <col min="6399" max="6399" width="24.5703125" style="118" customWidth="1"/>
    <col min="6400" max="6400" width="48.7109375" style="118" customWidth="1"/>
    <col min="6401" max="6401" width="8.140625" style="118" customWidth="1"/>
    <col min="6402" max="6402" width="38.7109375" style="118" customWidth="1"/>
    <col min="6403" max="6403" width="21.140625" style="118" customWidth="1"/>
    <col min="6404" max="6404" width="82" style="118" customWidth="1"/>
    <col min="6405" max="6648" width="9.140625" style="118"/>
    <col min="6649" max="6649" width="70.28515625" style="118" customWidth="1"/>
    <col min="6650" max="6650" width="17.5703125" style="118" customWidth="1"/>
    <col min="6651" max="6651" width="70.28515625" style="118" customWidth="1"/>
    <col min="6652" max="6652" width="17.5703125" style="118" customWidth="1"/>
    <col min="6653" max="6653" width="15.28515625" style="118" customWidth="1"/>
    <col min="6654" max="6654" width="48.7109375" style="118" customWidth="1"/>
    <col min="6655" max="6655" width="24.5703125" style="118" customWidth="1"/>
    <col min="6656" max="6656" width="48.7109375" style="118" customWidth="1"/>
    <col min="6657" max="6657" width="8.140625" style="118" customWidth="1"/>
    <col min="6658" max="6658" width="38.7109375" style="118" customWidth="1"/>
    <col min="6659" max="6659" width="21.140625" style="118" customWidth="1"/>
    <col min="6660" max="6660" width="82" style="118" customWidth="1"/>
    <col min="6661" max="6904" width="9.140625" style="118"/>
    <col min="6905" max="6905" width="70.28515625" style="118" customWidth="1"/>
    <col min="6906" max="6906" width="17.5703125" style="118" customWidth="1"/>
    <col min="6907" max="6907" width="70.28515625" style="118" customWidth="1"/>
    <col min="6908" max="6908" width="17.5703125" style="118" customWidth="1"/>
    <col min="6909" max="6909" width="15.28515625" style="118" customWidth="1"/>
    <col min="6910" max="6910" width="48.7109375" style="118" customWidth="1"/>
    <col min="6911" max="6911" width="24.5703125" style="118" customWidth="1"/>
    <col min="6912" max="6912" width="48.7109375" style="118" customWidth="1"/>
    <col min="6913" max="6913" width="8.140625" style="118" customWidth="1"/>
    <col min="6914" max="6914" width="38.7109375" style="118" customWidth="1"/>
    <col min="6915" max="6915" width="21.140625" style="118" customWidth="1"/>
    <col min="6916" max="6916" width="82" style="118" customWidth="1"/>
    <col min="6917" max="7160" width="9.140625" style="118"/>
    <col min="7161" max="7161" width="70.28515625" style="118" customWidth="1"/>
    <col min="7162" max="7162" width="17.5703125" style="118" customWidth="1"/>
    <col min="7163" max="7163" width="70.28515625" style="118" customWidth="1"/>
    <col min="7164" max="7164" width="17.5703125" style="118" customWidth="1"/>
    <col min="7165" max="7165" width="15.28515625" style="118" customWidth="1"/>
    <col min="7166" max="7166" width="48.7109375" style="118" customWidth="1"/>
    <col min="7167" max="7167" width="24.5703125" style="118" customWidth="1"/>
    <col min="7168" max="7168" width="48.7109375" style="118" customWidth="1"/>
    <col min="7169" max="7169" width="8.140625" style="118" customWidth="1"/>
    <col min="7170" max="7170" width="38.7109375" style="118" customWidth="1"/>
    <col min="7171" max="7171" width="21.140625" style="118" customWidth="1"/>
    <col min="7172" max="7172" width="82" style="118" customWidth="1"/>
    <col min="7173" max="7416" width="9.140625" style="118"/>
    <col min="7417" max="7417" width="70.28515625" style="118" customWidth="1"/>
    <col min="7418" max="7418" width="17.5703125" style="118" customWidth="1"/>
    <col min="7419" max="7419" width="70.28515625" style="118" customWidth="1"/>
    <col min="7420" max="7420" width="17.5703125" style="118" customWidth="1"/>
    <col min="7421" max="7421" width="15.28515625" style="118" customWidth="1"/>
    <col min="7422" max="7422" width="48.7109375" style="118" customWidth="1"/>
    <col min="7423" max="7423" width="24.5703125" style="118" customWidth="1"/>
    <col min="7424" max="7424" width="48.7109375" style="118" customWidth="1"/>
    <col min="7425" max="7425" width="8.140625" style="118" customWidth="1"/>
    <col min="7426" max="7426" width="38.7109375" style="118" customWidth="1"/>
    <col min="7427" max="7427" width="21.140625" style="118" customWidth="1"/>
    <col min="7428" max="7428" width="82" style="118" customWidth="1"/>
    <col min="7429" max="7672" width="9.140625" style="118"/>
    <col min="7673" max="7673" width="70.28515625" style="118" customWidth="1"/>
    <col min="7674" max="7674" width="17.5703125" style="118" customWidth="1"/>
    <col min="7675" max="7675" width="70.28515625" style="118" customWidth="1"/>
    <col min="7676" max="7676" width="17.5703125" style="118" customWidth="1"/>
    <col min="7677" max="7677" width="15.28515625" style="118" customWidth="1"/>
    <col min="7678" max="7678" width="48.7109375" style="118" customWidth="1"/>
    <col min="7679" max="7679" width="24.5703125" style="118" customWidth="1"/>
    <col min="7680" max="7680" width="48.7109375" style="118" customWidth="1"/>
    <col min="7681" max="7681" width="8.140625" style="118" customWidth="1"/>
    <col min="7682" max="7682" width="38.7109375" style="118" customWidth="1"/>
    <col min="7683" max="7683" width="21.140625" style="118" customWidth="1"/>
    <col min="7684" max="7684" width="82" style="118" customWidth="1"/>
    <col min="7685" max="7928" width="9.140625" style="118"/>
    <col min="7929" max="7929" width="70.28515625" style="118" customWidth="1"/>
    <col min="7930" max="7930" width="17.5703125" style="118" customWidth="1"/>
    <col min="7931" max="7931" width="70.28515625" style="118" customWidth="1"/>
    <col min="7932" max="7932" width="17.5703125" style="118" customWidth="1"/>
    <col min="7933" max="7933" width="15.28515625" style="118" customWidth="1"/>
    <col min="7934" max="7934" width="48.7109375" style="118" customWidth="1"/>
    <col min="7935" max="7935" width="24.5703125" style="118" customWidth="1"/>
    <col min="7936" max="7936" width="48.7109375" style="118" customWidth="1"/>
    <col min="7937" max="7937" width="8.140625" style="118" customWidth="1"/>
    <col min="7938" max="7938" width="38.7109375" style="118" customWidth="1"/>
    <col min="7939" max="7939" width="21.140625" style="118" customWidth="1"/>
    <col min="7940" max="7940" width="82" style="118" customWidth="1"/>
    <col min="7941" max="8184" width="9.140625" style="118"/>
    <col min="8185" max="8185" width="70.28515625" style="118" customWidth="1"/>
    <col min="8186" max="8186" width="17.5703125" style="118" customWidth="1"/>
    <col min="8187" max="8187" width="70.28515625" style="118" customWidth="1"/>
    <col min="8188" max="8188" width="17.5703125" style="118" customWidth="1"/>
    <col min="8189" max="8189" width="15.28515625" style="118" customWidth="1"/>
    <col min="8190" max="8190" width="48.7109375" style="118" customWidth="1"/>
    <col min="8191" max="8191" width="24.5703125" style="118" customWidth="1"/>
    <col min="8192" max="8192" width="48.7109375" style="118" customWidth="1"/>
    <col min="8193" max="8193" width="8.140625" style="118" customWidth="1"/>
    <col min="8194" max="8194" width="38.7109375" style="118" customWidth="1"/>
    <col min="8195" max="8195" width="21.140625" style="118" customWidth="1"/>
    <col min="8196" max="8196" width="82" style="118" customWidth="1"/>
    <col min="8197" max="8440" width="9.140625" style="118"/>
    <col min="8441" max="8441" width="70.28515625" style="118" customWidth="1"/>
    <col min="8442" max="8442" width="17.5703125" style="118" customWidth="1"/>
    <col min="8443" max="8443" width="70.28515625" style="118" customWidth="1"/>
    <col min="8444" max="8444" width="17.5703125" style="118" customWidth="1"/>
    <col min="8445" max="8445" width="15.28515625" style="118" customWidth="1"/>
    <col min="8446" max="8446" width="48.7109375" style="118" customWidth="1"/>
    <col min="8447" max="8447" width="24.5703125" style="118" customWidth="1"/>
    <col min="8448" max="8448" width="48.7109375" style="118" customWidth="1"/>
    <col min="8449" max="8449" width="8.140625" style="118" customWidth="1"/>
    <col min="8450" max="8450" width="38.7109375" style="118" customWidth="1"/>
    <col min="8451" max="8451" width="21.140625" style="118" customWidth="1"/>
    <col min="8452" max="8452" width="82" style="118" customWidth="1"/>
    <col min="8453" max="8696" width="9.140625" style="118"/>
    <col min="8697" max="8697" width="70.28515625" style="118" customWidth="1"/>
    <col min="8698" max="8698" width="17.5703125" style="118" customWidth="1"/>
    <col min="8699" max="8699" width="70.28515625" style="118" customWidth="1"/>
    <col min="8700" max="8700" width="17.5703125" style="118" customWidth="1"/>
    <col min="8701" max="8701" width="15.28515625" style="118" customWidth="1"/>
    <col min="8702" max="8702" width="48.7109375" style="118" customWidth="1"/>
    <col min="8703" max="8703" width="24.5703125" style="118" customWidth="1"/>
    <col min="8704" max="8704" width="48.7109375" style="118" customWidth="1"/>
    <col min="8705" max="8705" width="8.140625" style="118" customWidth="1"/>
    <col min="8706" max="8706" width="38.7109375" style="118" customWidth="1"/>
    <col min="8707" max="8707" width="21.140625" style="118" customWidth="1"/>
    <col min="8708" max="8708" width="82" style="118" customWidth="1"/>
    <col min="8709" max="8952" width="9.140625" style="118"/>
    <col min="8953" max="8953" width="70.28515625" style="118" customWidth="1"/>
    <col min="8954" max="8954" width="17.5703125" style="118" customWidth="1"/>
    <col min="8955" max="8955" width="70.28515625" style="118" customWidth="1"/>
    <col min="8956" max="8956" width="17.5703125" style="118" customWidth="1"/>
    <col min="8957" max="8957" width="15.28515625" style="118" customWidth="1"/>
    <col min="8958" max="8958" width="48.7109375" style="118" customWidth="1"/>
    <col min="8959" max="8959" width="24.5703125" style="118" customWidth="1"/>
    <col min="8960" max="8960" width="48.7109375" style="118" customWidth="1"/>
    <col min="8961" max="8961" width="8.140625" style="118" customWidth="1"/>
    <col min="8962" max="8962" width="38.7109375" style="118" customWidth="1"/>
    <col min="8963" max="8963" width="21.140625" style="118" customWidth="1"/>
    <col min="8964" max="8964" width="82" style="118" customWidth="1"/>
    <col min="8965" max="9208" width="9.140625" style="118"/>
    <col min="9209" max="9209" width="70.28515625" style="118" customWidth="1"/>
    <col min="9210" max="9210" width="17.5703125" style="118" customWidth="1"/>
    <col min="9211" max="9211" width="70.28515625" style="118" customWidth="1"/>
    <col min="9212" max="9212" width="17.5703125" style="118" customWidth="1"/>
    <col min="9213" max="9213" width="15.28515625" style="118" customWidth="1"/>
    <col min="9214" max="9214" width="48.7109375" style="118" customWidth="1"/>
    <col min="9215" max="9215" width="24.5703125" style="118" customWidth="1"/>
    <col min="9216" max="9216" width="48.7109375" style="118" customWidth="1"/>
    <col min="9217" max="9217" width="8.140625" style="118" customWidth="1"/>
    <col min="9218" max="9218" width="38.7109375" style="118" customWidth="1"/>
    <col min="9219" max="9219" width="21.140625" style="118" customWidth="1"/>
    <col min="9220" max="9220" width="82" style="118" customWidth="1"/>
    <col min="9221" max="9464" width="9.140625" style="118"/>
    <col min="9465" max="9465" width="70.28515625" style="118" customWidth="1"/>
    <col min="9466" max="9466" width="17.5703125" style="118" customWidth="1"/>
    <col min="9467" max="9467" width="70.28515625" style="118" customWidth="1"/>
    <col min="9468" max="9468" width="17.5703125" style="118" customWidth="1"/>
    <col min="9469" max="9469" width="15.28515625" style="118" customWidth="1"/>
    <col min="9470" max="9470" width="48.7109375" style="118" customWidth="1"/>
    <col min="9471" max="9471" width="24.5703125" style="118" customWidth="1"/>
    <col min="9472" max="9472" width="48.7109375" style="118" customWidth="1"/>
    <col min="9473" max="9473" width="8.140625" style="118" customWidth="1"/>
    <col min="9474" max="9474" width="38.7109375" style="118" customWidth="1"/>
    <col min="9475" max="9475" width="21.140625" style="118" customWidth="1"/>
    <col min="9476" max="9476" width="82" style="118" customWidth="1"/>
    <col min="9477" max="9720" width="9.140625" style="118"/>
    <col min="9721" max="9721" width="70.28515625" style="118" customWidth="1"/>
    <col min="9722" max="9722" width="17.5703125" style="118" customWidth="1"/>
    <col min="9723" max="9723" width="70.28515625" style="118" customWidth="1"/>
    <col min="9724" max="9724" width="17.5703125" style="118" customWidth="1"/>
    <col min="9725" max="9725" width="15.28515625" style="118" customWidth="1"/>
    <col min="9726" max="9726" width="48.7109375" style="118" customWidth="1"/>
    <col min="9727" max="9727" width="24.5703125" style="118" customWidth="1"/>
    <col min="9728" max="9728" width="48.7109375" style="118" customWidth="1"/>
    <col min="9729" max="9729" width="8.140625" style="118" customWidth="1"/>
    <col min="9730" max="9730" width="38.7109375" style="118" customWidth="1"/>
    <col min="9731" max="9731" width="21.140625" style="118" customWidth="1"/>
    <col min="9732" max="9732" width="82" style="118" customWidth="1"/>
    <col min="9733" max="9976" width="9.140625" style="118"/>
    <col min="9977" max="9977" width="70.28515625" style="118" customWidth="1"/>
    <col min="9978" max="9978" width="17.5703125" style="118" customWidth="1"/>
    <col min="9979" max="9979" width="70.28515625" style="118" customWidth="1"/>
    <col min="9980" max="9980" width="17.5703125" style="118" customWidth="1"/>
    <col min="9981" max="9981" width="15.28515625" style="118" customWidth="1"/>
    <col min="9982" max="9982" width="48.7109375" style="118" customWidth="1"/>
    <col min="9983" max="9983" width="24.5703125" style="118" customWidth="1"/>
    <col min="9984" max="9984" width="48.7109375" style="118" customWidth="1"/>
    <col min="9985" max="9985" width="8.140625" style="118" customWidth="1"/>
    <col min="9986" max="9986" width="38.7109375" style="118" customWidth="1"/>
    <col min="9987" max="9987" width="21.140625" style="118" customWidth="1"/>
    <col min="9988" max="9988" width="82" style="118" customWidth="1"/>
    <col min="9989" max="10232" width="9.140625" style="118"/>
    <col min="10233" max="10233" width="70.28515625" style="118" customWidth="1"/>
    <col min="10234" max="10234" width="17.5703125" style="118" customWidth="1"/>
    <col min="10235" max="10235" width="70.28515625" style="118" customWidth="1"/>
    <col min="10236" max="10236" width="17.5703125" style="118" customWidth="1"/>
    <col min="10237" max="10237" width="15.28515625" style="118" customWidth="1"/>
    <col min="10238" max="10238" width="48.7109375" style="118" customWidth="1"/>
    <col min="10239" max="10239" width="24.5703125" style="118" customWidth="1"/>
    <col min="10240" max="10240" width="48.7109375" style="118" customWidth="1"/>
    <col min="10241" max="10241" width="8.140625" style="118" customWidth="1"/>
    <col min="10242" max="10242" width="38.7109375" style="118" customWidth="1"/>
    <col min="10243" max="10243" width="21.140625" style="118" customWidth="1"/>
    <col min="10244" max="10244" width="82" style="118" customWidth="1"/>
    <col min="10245" max="10488" width="9.140625" style="118"/>
    <col min="10489" max="10489" width="70.28515625" style="118" customWidth="1"/>
    <col min="10490" max="10490" width="17.5703125" style="118" customWidth="1"/>
    <col min="10491" max="10491" width="70.28515625" style="118" customWidth="1"/>
    <col min="10492" max="10492" width="17.5703125" style="118" customWidth="1"/>
    <col min="10493" max="10493" width="15.28515625" style="118" customWidth="1"/>
    <col min="10494" max="10494" width="48.7109375" style="118" customWidth="1"/>
    <col min="10495" max="10495" width="24.5703125" style="118" customWidth="1"/>
    <col min="10496" max="10496" width="48.7109375" style="118" customWidth="1"/>
    <col min="10497" max="10497" width="8.140625" style="118" customWidth="1"/>
    <col min="10498" max="10498" width="38.7109375" style="118" customWidth="1"/>
    <col min="10499" max="10499" width="21.140625" style="118" customWidth="1"/>
    <col min="10500" max="10500" width="82" style="118" customWidth="1"/>
    <col min="10501" max="10744" width="9.140625" style="118"/>
    <col min="10745" max="10745" width="70.28515625" style="118" customWidth="1"/>
    <col min="10746" max="10746" width="17.5703125" style="118" customWidth="1"/>
    <col min="10747" max="10747" width="70.28515625" style="118" customWidth="1"/>
    <col min="10748" max="10748" width="17.5703125" style="118" customWidth="1"/>
    <col min="10749" max="10749" width="15.28515625" style="118" customWidth="1"/>
    <col min="10750" max="10750" width="48.7109375" style="118" customWidth="1"/>
    <col min="10751" max="10751" width="24.5703125" style="118" customWidth="1"/>
    <col min="10752" max="10752" width="48.7109375" style="118" customWidth="1"/>
    <col min="10753" max="10753" width="8.140625" style="118" customWidth="1"/>
    <col min="10754" max="10754" width="38.7109375" style="118" customWidth="1"/>
    <col min="10755" max="10755" width="21.140625" style="118" customWidth="1"/>
    <col min="10756" max="10756" width="82" style="118" customWidth="1"/>
    <col min="10757" max="11000" width="9.140625" style="118"/>
    <col min="11001" max="11001" width="70.28515625" style="118" customWidth="1"/>
    <col min="11002" max="11002" width="17.5703125" style="118" customWidth="1"/>
    <col min="11003" max="11003" width="70.28515625" style="118" customWidth="1"/>
    <col min="11004" max="11004" width="17.5703125" style="118" customWidth="1"/>
    <col min="11005" max="11005" width="15.28515625" style="118" customWidth="1"/>
    <col min="11006" max="11006" width="48.7109375" style="118" customWidth="1"/>
    <col min="11007" max="11007" width="24.5703125" style="118" customWidth="1"/>
    <col min="11008" max="11008" width="48.7109375" style="118" customWidth="1"/>
    <col min="11009" max="11009" width="8.140625" style="118" customWidth="1"/>
    <col min="11010" max="11010" width="38.7109375" style="118" customWidth="1"/>
    <col min="11011" max="11011" width="21.140625" style="118" customWidth="1"/>
    <col min="11012" max="11012" width="82" style="118" customWidth="1"/>
    <col min="11013" max="11256" width="9.140625" style="118"/>
    <col min="11257" max="11257" width="70.28515625" style="118" customWidth="1"/>
    <col min="11258" max="11258" width="17.5703125" style="118" customWidth="1"/>
    <col min="11259" max="11259" width="70.28515625" style="118" customWidth="1"/>
    <col min="11260" max="11260" width="17.5703125" style="118" customWidth="1"/>
    <col min="11261" max="11261" width="15.28515625" style="118" customWidth="1"/>
    <col min="11262" max="11262" width="48.7109375" style="118" customWidth="1"/>
    <col min="11263" max="11263" width="24.5703125" style="118" customWidth="1"/>
    <col min="11264" max="11264" width="48.7109375" style="118" customWidth="1"/>
    <col min="11265" max="11265" width="8.140625" style="118" customWidth="1"/>
    <col min="11266" max="11266" width="38.7109375" style="118" customWidth="1"/>
    <col min="11267" max="11267" width="21.140625" style="118" customWidth="1"/>
    <col min="11268" max="11268" width="82" style="118" customWidth="1"/>
    <col min="11269" max="11512" width="9.140625" style="118"/>
    <col min="11513" max="11513" width="70.28515625" style="118" customWidth="1"/>
    <col min="11514" max="11514" width="17.5703125" style="118" customWidth="1"/>
    <col min="11515" max="11515" width="70.28515625" style="118" customWidth="1"/>
    <col min="11516" max="11516" width="17.5703125" style="118" customWidth="1"/>
    <col min="11517" max="11517" width="15.28515625" style="118" customWidth="1"/>
    <col min="11518" max="11518" width="48.7109375" style="118" customWidth="1"/>
    <col min="11519" max="11519" width="24.5703125" style="118" customWidth="1"/>
    <col min="11520" max="11520" width="48.7109375" style="118" customWidth="1"/>
    <col min="11521" max="11521" width="8.140625" style="118" customWidth="1"/>
    <col min="11522" max="11522" width="38.7109375" style="118" customWidth="1"/>
    <col min="11523" max="11523" width="21.140625" style="118" customWidth="1"/>
    <col min="11524" max="11524" width="82" style="118" customWidth="1"/>
    <col min="11525" max="11768" width="9.140625" style="118"/>
    <col min="11769" max="11769" width="70.28515625" style="118" customWidth="1"/>
    <col min="11770" max="11770" width="17.5703125" style="118" customWidth="1"/>
    <col min="11771" max="11771" width="70.28515625" style="118" customWidth="1"/>
    <col min="11772" max="11772" width="17.5703125" style="118" customWidth="1"/>
    <col min="11773" max="11773" width="15.28515625" style="118" customWidth="1"/>
    <col min="11774" max="11774" width="48.7109375" style="118" customWidth="1"/>
    <col min="11775" max="11775" width="24.5703125" style="118" customWidth="1"/>
    <col min="11776" max="11776" width="48.7109375" style="118" customWidth="1"/>
    <col min="11777" max="11777" width="8.140625" style="118" customWidth="1"/>
    <col min="11778" max="11778" width="38.7109375" style="118" customWidth="1"/>
    <col min="11779" max="11779" width="21.140625" style="118" customWidth="1"/>
    <col min="11780" max="11780" width="82" style="118" customWidth="1"/>
    <col min="11781" max="12024" width="9.140625" style="118"/>
    <col min="12025" max="12025" width="70.28515625" style="118" customWidth="1"/>
    <col min="12026" max="12026" width="17.5703125" style="118" customWidth="1"/>
    <col min="12027" max="12027" width="70.28515625" style="118" customWidth="1"/>
    <col min="12028" max="12028" width="17.5703125" style="118" customWidth="1"/>
    <col min="12029" max="12029" width="15.28515625" style="118" customWidth="1"/>
    <col min="12030" max="12030" width="48.7109375" style="118" customWidth="1"/>
    <col min="12031" max="12031" width="24.5703125" style="118" customWidth="1"/>
    <col min="12032" max="12032" width="48.7109375" style="118" customWidth="1"/>
    <col min="12033" max="12033" width="8.140625" style="118" customWidth="1"/>
    <col min="12034" max="12034" width="38.7109375" style="118" customWidth="1"/>
    <col min="12035" max="12035" width="21.140625" style="118" customWidth="1"/>
    <col min="12036" max="12036" width="82" style="118" customWidth="1"/>
    <col min="12037" max="12280" width="9.140625" style="118"/>
    <col min="12281" max="12281" width="70.28515625" style="118" customWidth="1"/>
    <col min="12282" max="12282" width="17.5703125" style="118" customWidth="1"/>
    <col min="12283" max="12283" width="70.28515625" style="118" customWidth="1"/>
    <col min="12284" max="12284" width="17.5703125" style="118" customWidth="1"/>
    <col min="12285" max="12285" width="15.28515625" style="118" customWidth="1"/>
    <col min="12286" max="12286" width="48.7109375" style="118" customWidth="1"/>
    <col min="12287" max="12287" width="24.5703125" style="118" customWidth="1"/>
    <col min="12288" max="12288" width="48.7109375" style="118" customWidth="1"/>
    <col min="12289" max="12289" width="8.140625" style="118" customWidth="1"/>
    <col min="12290" max="12290" width="38.7109375" style="118" customWidth="1"/>
    <col min="12291" max="12291" width="21.140625" style="118" customWidth="1"/>
    <col min="12292" max="12292" width="82" style="118" customWidth="1"/>
    <col min="12293" max="12536" width="9.140625" style="118"/>
    <col min="12537" max="12537" width="70.28515625" style="118" customWidth="1"/>
    <col min="12538" max="12538" width="17.5703125" style="118" customWidth="1"/>
    <col min="12539" max="12539" width="70.28515625" style="118" customWidth="1"/>
    <col min="12540" max="12540" width="17.5703125" style="118" customWidth="1"/>
    <col min="12541" max="12541" width="15.28515625" style="118" customWidth="1"/>
    <col min="12542" max="12542" width="48.7109375" style="118" customWidth="1"/>
    <col min="12543" max="12543" width="24.5703125" style="118" customWidth="1"/>
    <col min="12544" max="12544" width="48.7109375" style="118" customWidth="1"/>
    <col min="12545" max="12545" width="8.140625" style="118" customWidth="1"/>
    <col min="12546" max="12546" width="38.7109375" style="118" customWidth="1"/>
    <col min="12547" max="12547" width="21.140625" style="118" customWidth="1"/>
    <col min="12548" max="12548" width="82" style="118" customWidth="1"/>
    <col min="12549" max="12792" width="9.140625" style="118"/>
    <col min="12793" max="12793" width="70.28515625" style="118" customWidth="1"/>
    <col min="12794" max="12794" width="17.5703125" style="118" customWidth="1"/>
    <col min="12795" max="12795" width="70.28515625" style="118" customWidth="1"/>
    <col min="12796" max="12796" width="17.5703125" style="118" customWidth="1"/>
    <col min="12797" max="12797" width="15.28515625" style="118" customWidth="1"/>
    <col min="12798" max="12798" width="48.7109375" style="118" customWidth="1"/>
    <col min="12799" max="12799" width="24.5703125" style="118" customWidth="1"/>
    <col min="12800" max="12800" width="48.7109375" style="118" customWidth="1"/>
    <col min="12801" max="12801" width="8.140625" style="118" customWidth="1"/>
    <col min="12802" max="12802" width="38.7109375" style="118" customWidth="1"/>
    <col min="12803" max="12803" width="21.140625" style="118" customWidth="1"/>
    <col min="12804" max="12804" width="82" style="118" customWidth="1"/>
    <col min="12805" max="13048" width="9.140625" style="118"/>
    <col min="13049" max="13049" width="70.28515625" style="118" customWidth="1"/>
    <col min="13050" max="13050" width="17.5703125" style="118" customWidth="1"/>
    <col min="13051" max="13051" width="70.28515625" style="118" customWidth="1"/>
    <col min="13052" max="13052" width="17.5703125" style="118" customWidth="1"/>
    <col min="13053" max="13053" width="15.28515625" style="118" customWidth="1"/>
    <col min="13054" max="13054" width="48.7109375" style="118" customWidth="1"/>
    <col min="13055" max="13055" width="24.5703125" style="118" customWidth="1"/>
    <col min="13056" max="13056" width="48.7109375" style="118" customWidth="1"/>
    <col min="13057" max="13057" width="8.140625" style="118" customWidth="1"/>
    <col min="13058" max="13058" width="38.7109375" style="118" customWidth="1"/>
    <col min="13059" max="13059" width="21.140625" style="118" customWidth="1"/>
    <col min="13060" max="13060" width="82" style="118" customWidth="1"/>
    <col min="13061" max="13304" width="9.140625" style="118"/>
    <col min="13305" max="13305" width="70.28515625" style="118" customWidth="1"/>
    <col min="13306" max="13306" width="17.5703125" style="118" customWidth="1"/>
    <col min="13307" max="13307" width="70.28515625" style="118" customWidth="1"/>
    <col min="13308" max="13308" width="17.5703125" style="118" customWidth="1"/>
    <col min="13309" max="13309" width="15.28515625" style="118" customWidth="1"/>
    <col min="13310" max="13310" width="48.7109375" style="118" customWidth="1"/>
    <col min="13311" max="13311" width="24.5703125" style="118" customWidth="1"/>
    <col min="13312" max="13312" width="48.7109375" style="118" customWidth="1"/>
    <col min="13313" max="13313" width="8.140625" style="118" customWidth="1"/>
    <col min="13314" max="13314" width="38.7109375" style="118" customWidth="1"/>
    <col min="13315" max="13315" width="21.140625" style="118" customWidth="1"/>
    <col min="13316" max="13316" width="82" style="118" customWidth="1"/>
    <col min="13317" max="13560" width="9.140625" style="118"/>
    <col min="13561" max="13561" width="70.28515625" style="118" customWidth="1"/>
    <col min="13562" max="13562" width="17.5703125" style="118" customWidth="1"/>
    <col min="13563" max="13563" width="70.28515625" style="118" customWidth="1"/>
    <col min="13564" max="13564" width="17.5703125" style="118" customWidth="1"/>
    <col min="13565" max="13565" width="15.28515625" style="118" customWidth="1"/>
    <col min="13566" max="13566" width="48.7109375" style="118" customWidth="1"/>
    <col min="13567" max="13567" width="24.5703125" style="118" customWidth="1"/>
    <col min="13568" max="13568" width="48.7109375" style="118" customWidth="1"/>
    <col min="13569" max="13569" width="8.140625" style="118" customWidth="1"/>
    <col min="13570" max="13570" width="38.7109375" style="118" customWidth="1"/>
    <col min="13571" max="13571" width="21.140625" style="118" customWidth="1"/>
    <col min="13572" max="13572" width="82" style="118" customWidth="1"/>
    <col min="13573" max="13816" width="9.140625" style="118"/>
    <col min="13817" max="13817" width="70.28515625" style="118" customWidth="1"/>
    <col min="13818" max="13818" width="17.5703125" style="118" customWidth="1"/>
    <col min="13819" max="13819" width="70.28515625" style="118" customWidth="1"/>
    <col min="13820" max="13820" width="17.5703125" style="118" customWidth="1"/>
    <col min="13821" max="13821" width="15.28515625" style="118" customWidth="1"/>
    <col min="13822" max="13822" width="48.7109375" style="118" customWidth="1"/>
    <col min="13823" max="13823" width="24.5703125" style="118" customWidth="1"/>
    <col min="13824" max="13824" width="48.7109375" style="118" customWidth="1"/>
    <col min="13825" max="13825" width="8.140625" style="118" customWidth="1"/>
    <col min="13826" max="13826" width="38.7109375" style="118" customWidth="1"/>
    <col min="13827" max="13827" width="21.140625" style="118" customWidth="1"/>
    <col min="13828" max="13828" width="82" style="118" customWidth="1"/>
    <col min="13829" max="14072" width="9.140625" style="118"/>
    <col min="14073" max="14073" width="70.28515625" style="118" customWidth="1"/>
    <col min="14074" max="14074" width="17.5703125" style="118" customWidth="1"/>
    <col min="14075" max="14075" width="70.28515625" style="118" customWidth="1"/>
    <col min="14076" max="14076" width="17.5703125" style="118" customWidth="1"/>
    <col min="14077" max="14077" width="15.28515625" style="118" customWidth="1"/>
    <col min="14078" max="14078" width="48.7109375" style="118" customWidth="1"/>
    <col min="14079" max="14079" width="24.5703125" style="118" customWidth="1"/>
    <col min="14080" max="14080" width="48.7109375" style="118" customWidth="1"/>
    <col min="14081" max="14081" width="8.140625" style="118" customWidth="1"/>
    <col min="14082" max="14082" width="38.7109375" style="118" customWidth="1"/>
    <col min="14083" max="14083" width="21.140625" style="118" customWidth="1"/>
    <col min="14084" max="14084" width="82" style="118" customWidth="1"/>
    <col min="14085" max="14328" width="9.140625" style="118"/>
    <col min="14329" max="14329" width="70.28515625" style="118" customWidth="1"/>
    <col min="14330" max="14330" width="17.5703125" style="118" customWidth="1"/>
    <col min="14331" max="14331" width="70.28515625" style="118" customWidth="1"/>
    <col min="14332" max="14332" width="17.5703125" style="118" customWidth="1"/>
    <col min="14333" max="14333" width="15.28515625" style="118" customWidth="1"/>
    <col min="14334" max="14334" width="48.7109375" style="118" customWidth="1"/>
    <col min="14335" max="14335" width="24.5703125" style="118" customWidth="1"/>
    <col min="14336" max="14336" width="48.7109375" style="118" customWidth="1"/>
    <col min="14337" max="14337" width="8.140625" style="118" customWidth="1"/>
    <col min="14338" max="14338" width="38.7109375" style="118" customWidth="1"/>
    <col min="14339" max="14339" width="21.140625" style="118" customWidth="1"/>
    <col min="14340" max="14340" width="82" style="118" customWidth="1"/>
    <col min="14341" max="14584" width="9.140625" style="118"/>
    <col min="14585" max="14585" width="70.28515625" style="118" customWidth="1"/>
    <col min="14586" max="14586" width="17.5703125" style="118" customWidth="1"/>
    <col min="14587" max="14587" width="70.28515625" style="118" customWidth="1"/>
    <col min="14588" max="14588" width="17.5703125" style="118" customWidth="1"/>
    <col min="14589" max="14589" width="15.28515625" style="118" customWidth="1"/>
    <col min="14590" max="14590" width="48.7109375" style="118" customWidth="1"/>
    <col min="14591" max="14591" width="24.5703125" style="118" customWidth="1"/>
    <col min="14592" max="14592" width="48.7109375" style="118" customWidth="1"/>
    <col min="14593" max="14593" width="8.140625" style="118" customWidth="1"/>
    <col min="14594" max="14594" width="38.7109375" style="118" customWidth="1"/>
    <col min="14595" max="14595" width="21.140625" style="118" customWidth="1"/>
    <col min="14596" max="14596" width="82" style="118" customWidth="1"/>
    <col min="14597" max="14840" width="9.140625" style="118"/>
    <col min="14841" max="14841" width="70.28515625" style="118" customWidth="1"/>
    <col min="14842" max="14842" width="17.5703125" style="118" customWidth="1"/>
    <col min="14843" max="14843" width="70.28515625" style="118" customWidth="1"/>
    <col min="14844" max="14844" width="17.5703125" style="118" customWidth="1"/>
    <col min="14845" max="14845" width="15.28515625" style="118" customWidth="1"/>
    <col min="14846" max="14846" width="48.7109375" style="118" customWidth="1"/>
    <col min="14847" max="14847" width="24.5703125" style="118" customWidth="1"/>
    <col min="14848" max="14848" width="48.7109375" style="118" customWidth="1"/>
    <col min="14849" max="14849" width="8.140625" style="118" customWidth="1"/>
    <col min="14850" max="14850" width="38.7109375" style="118" customWidth="1"/>
    <col min="14851" max="14851" width="21.140625" style="118" customWidth="1"/>
    <col min="14852" max="14852" width="82" style="118" customWidth="1"/>
    <col min="14853" max="15096" width="9.140625" style="118"/>
    <col min="15097" max="15097" width="70.28515625" style="118" customWidth="1"/>
    <col min="15098" max="15098" width="17.5703125" style="118" customWidth="1"/>
    <col min="15099" max="15099" width="70.28515625" style="118" customWidth="1"/>
    <col min="15100" max="15100" width="17.5703125" style="118" customWidth="1"/>
    <col min="15101" max="15101" width="15.28515625" style="118" customWidth="1"/>
    <col min="15102" max="15102" width="48.7109375" style="118" customWidth="1"/>
    <col min="15103" max="15103" width="24.5703125" style="118" customWidth="1"/>
    <col min="15104" max="15104" width="48.7109375" style="118" customWidth="1"/>
    <col min="15105" max="15105" width="8.140625" style="118" customWidth="1"/>
    <col min="15106" max="15106" width="38.7109375" style="118" customWidth="1"/>
    <col min="15107" max="15107" width="21.140625" style="118" customWidth="1"/>
    <col min="15108" max="15108" width="82" style="118" customWidth="1"/>
    <col min="15109" max="15352" width="9.140625" style="118"/>
    <col min="15353" max="15353" width="70.28515625" style="118" customWidth="1"/>
    <col min="15354" max="15354" width="17.5703125" style="118" customWidth="1"/>
    <col min="15355" max="15355" width="70.28515625" style="118" customWidth="1"/>
    <col min="15356" max="15356" width="17.5703125" style="118" customWidth="1"/>
    <col min="15357" max="15357" width="15.28515625" style="118" customWidth="1"/>
    <col min="15358" max="15358" width="48.7109375" style="118" customWidth="1"/>
    <col min="15359" max="15359" width="24.5703125" style="118" customWidth="1"/>
    <col min="15360" max="15360" width="48.7109375" style="118" customWidth="1"/>
    <col min="15361" max="15361" width="8.140625" style="118" customWidth="1"/>
    <col min="15362" max="15362" width="38.7109375" style="118" customWidth="1"/>
    <col min="15363" max="15363" width="21.140625" style="118" customWidth="1"/>
    <col min="15364" max="15364" width="82" style="118" customWidth="1"/>
    <col min="15365" max="15608" width="9.140625" style="118"/>
    <col min="15609" max="15609" width="70.28515625" style="118" customWidth="1"/>
    <col min="15610" max="15610" width="17.5703125" style="118" customWidth="1"/>
    <col min="15611" max="15611" width="70.28515625" style="118" customWidth="1"/>
    <col min="15612" max="15612" width="17.5703125" style="118" customWidth="1"/>
    <col min="15613" max="15613" width="15.28515625" style="118" customWidth="1"/>
    <col min="15614" max="15614" width="48.7109375" style="118" customWidth="1"/>
    <col min="15615" max="15615" width="24.5703125" style="118" customWidth="1"/>
    <col min="15616" max="15616" width="48.7109375" style="118" customWidth="1"/>
    <col min="15617" max="15617" width="8.140625" style="118" customWidth="1"/>
    <col min="15618" max="15618" width="38.7109375" style="118" customWidth="1"/>
    <col min="15619" max="15619" width="21.140625" style="118" customWidth="1"/>
    <col min="15620" max="15620" width="82" style="118" customWidth="1"/>
    <col min="15621" max="15864" width="9.140625" style="118"/>
    <col min="15865" max="15865" width="70.28515625" style="118" customWidth="1"/>
    <col min="15866" max="15866" width="17.5703125" style="118" customWidth="1"/>
    <col min="15867" max="15867" width="70.28515625" style="118" customWidth="1"/>
    <col min="15868" max="15868" width="17.5703125" style="118" customWidth="1"/>
    <col min="15869" max="15869" width="15.28515625" style="118" customWidth="1"/>
    <col min="15870" max="15870" width="48.7109375" style="118" customWidth="1"/>
    <col min="15871" max="15871" width="24.5703125" style="118" customWidth="1"/>
    <col min="15872" max="15872" width="48.7109375" style="118" customWidth="1"/>
    <col min="15873" max="15873" width="8.140625" style="118" customWidth="1"/>
    <col min="15874" max="15874" width="38.7109375" style="118" customWidth="1"/>
    <col min="15875" max="15875" width="21.140625" style="118" customWidth="1"/>
    <col min="15876" max="15876" width="82" style="118" customWidth="1"/>
    <col min="15877" max="16120" width="9.140625" style="118"/>
    <col min="16121" max="16121" width="70.28515625" style="118" customWidth="1"/>
    <col min="16122" max="16122" width="17.5703125" style="118" customWidth="1"/>
    <col min="16123" max="16123" width="70.28515625" style="118" customWidth="1"/>
    <col min="16124" max="16124" width="17.5703125" style="118" customWidth="1"/>
    <col min="16125" max="16125" width="15.28515625" style="118" customWidth="1"/>
    <col min="16126" max="16126" width="48.7109375" style="118" customWidth="1"/>
    <col min="16127" max="16127" width="24.5703125" style="118" customWidth="1"/>
    <col min="16128" max="16128" width="48.7109375" style="118" customWidth="1"/>
    <col min="16129" max="16129" width="8.140625" style="118" customWidth="1"/>
    <col min="16130" max="16130" width="38.7109375" style="118" customWidth="1"/>
    <col min="16131" max="16131" width="21.140625" style="118" customWidth="1"/>
    <col min="16132" max="16132" width="82" style="118" customWidth="1"/>
    <col min="16133" max="16384" width="9.140625" style="118"/>
  </cols>
  <sheetData>
    <row r="2" spans="1:17" s="45" customFormat="1" ht="15.75" customHeight="1">
      <c r="A2" s="495" t="s">
        <v>167</v>
      </c>
      <c r="B2" s="495"/>
      <c r="C2" s="495"/>
      <c r="D2" s="495"/>
      <c r="E2" s="60"/>
      <c r="F2" s="60"/>
      <c r="G2" s="60"/>
      <c r="H2" s="60"/>
    </row>
    <row r="3" spans="1:17" s="45" customFormat="1" ht="15.75" customHeight="1">
      <c r="A3" s="541" t="s">
        <v>165</v>
      </c>
      <c r="B3" s="541"/>
      <c r="C3" s="541"/>
      <c r="D3" s="541"/>
      <c r="E3" s="62"/>
      <c r="F3" s="62"/>
      <c r="G3" s="62"/>
      <c r="H3" s="62"/>
    </row>
    <row r="4" spans="1:17" s="45" customFormat="1" ht="15.75" customHeight="1">
      <c r="A4" s="541"/>
      <c r="B4" s="541"/>
      <c r="C4" s="541"/>
      <c r="D4" s="541"/>
      <c r="E4" s="62"/>
      <c r="F4" s="62"/>
      <c r="G4" s="62"/>
      <c r="H4" s="62"/>
    </row>
    <row r="5" spans="1:17" s="45" customFormat="1" ht="15.75" customHeight="1">
      <c r="A5" s="541" t="s">
        <v>25931</v>
      </c>
      <c r="B5" s="541"/>
      <c r="C5" s="541"/>
      <c r="D5" s="541"/>
      <c r="E5" s="62"/>
      <c r="F5" s="62"/>
      <c r="G5" s="62"/>
      <c r="H5" s="62"/>
    </row>
    <row r="6" spans="1:17" s="117" customFormat="1" ht="15.75" customHeight="1">
      <c r="A6" s="583"/>
      <c r="B6" s="583"/>
      <c r="C6" s="583"/>
      <c r="D6" s="115"/>
      <c r="E6" s="115"/>
      <c r="F6" s="115"/>
      <c r="G6" s="115"/>
      <c r="H6" s="115"/>
      <c r="I6" s="116"/>
      <c r="J6" s="115"/>
      <c r="K6" s="115"/>
      <c r="L6" s="115"/>
      <c r="M6" s="115"/>
      <c r="N6" s="115"/>
      <c r="O6" s="115"/>
      <c r="P6" s="115"/>
      <c r="Q6" s="45"/>
    </row>
    <row r="7" spans="1:17" s="117" customFormat="1" ht="15.75" customHeight="1">
      <c r="A7" s="112"/>
      <c r="B7" s="106"/>
      <c r="C7" s="112"/>
      <c r="D7" s="122"/>
      <c r="E7" s="106"/>
      <c r="F7" s="106"/>
      <c r="G7" s="106"/>
      <c r="H7" s="106"/>
      <c r="I7" s="116"/>
      <c r="J7" s="115"/>
      <c r="K7" s="115"/>
      <c r="L7" s="115"/>
      <c r="M7" s="115"/>
      <c r="N7" s="115"/>
      <c r="O7" s="115"/>
      <c r="P7" s="115"/>
      <c r="Q7" s="45"/>
    </row>
    <row r="8" spans="1:17" s="117" customFormat="1" ht="15.75" customHeight="1">
      <c r="A8" s="591" t="s">
        <v>23731</v>
      </c>
      <c r="B8" s="591"/>
      <c r="C8" s="591"/>
      <c r="D8" s="591"/>
      <c r="E8" s="115"/>
      <c r="F8" s="115"/>
      <c r="G8" s="115"/>
      <c r="H8" s="115"/>
      <c r="I8" s="116"/>
      <c r="J8" s="115"/>
      <c r="K8" s="115"/>
      <c r="L8" s="115"/>
      <c r="M8" s="115"/>
      <c r="N8" s="115"/>
      <c r="O8" s="115"/>
      <c r="P8" s="115"/>
      <c r="Q8" s="45"/>
    </row>
    <row r="9" spans="1:17" ht="15.75" customHeight="1">
      <c r="A9" s="113" t="s">
        <v>22724</v>
      </c>
      <c r="B9" s="113" t="s">
        <v>1547</v>
      </c>
      <c r="C9" s="114" t="s">
        <v>158</v>
      </c>
      <c r="D9" s="114" t="s">
        <v>1187</v>
      </c>
    </row>
    <row r="10" spans="1:17" ht="31.5" customHeight="1">
      <c r="A10" s="120">
        <v>97141</v>
      </c>
      <c r="B10" s="119" t="s">
        <v>1548</v>
      </c>
      <c r="C10" s="120" t="s">
        <v>328</v>
      </c>
      <c r="D10" s="441">
        <v>9.4700000000000006</v>
      </c>
    </row>
    <row r="11" spans="1:17" ht="31.5" customHeight="1">
      <c r="A11" s="120">
        <v>97142</v>
      </c>
      <c r="B11" s="119" t="s">
        <v>1549</v>
      </c>
      <c r="C11" s="120" t="s">
        <v>328</v>
      </c>
      <c r="D11" s="441">
        <v>10.56</v>
      </c>
    </row>
    <row r="12" spans="1:17" ht="31.5" customHeight="1">
      <c r="A12" s="120">
        <v>97143</v>
      </c>
      <c r="B12" s="119" t="s">
        <v>1550</v>
      </c>
      <c r="C12" s="120" t="s">
        <v>328</v>
      </c>
      <c r="D12" s="441">
        <v>13.32</v>
      </c>
    </row>
    <row r="13" spans="1:17" ht="31.5" customHeight="1">
      <c r="A13" s="120">
        <v>97144</v>
      </c>
      <c r="B13" s="119" t="s">
        <v>1551</v>
      </c>
      <c r="C13" s="120" t="s">
        <v>328</v>
      </c>
      <c r="D13" s="441">
        <v>16.05</v>
      </c>
    </row>
    <row r="14" spans="1:17" ht="31.5" customHeight="1">
      <c r="A14" s="120">
        <v>97145</v>
      </c>
      <c r="B14" s="119" t="s">
        <v>1552</v>
      </c>
      <c r="C14" s="120" t="s">
        <v>328</v>
      </c>
      <c r="D14" s="441">
        <v>18.82</v>
      </c>
    </row>
    <row r="15" spans="1:17" ht="31.5" customHeight="1">
      <c r="A15" s="120">
        <v>97146</v>
      </c>
      <c r="B15" s="119" t="s">
        <v>1553</v>
      </c>
      <c r="C15" s="120" t="s">
        <v>328</v>
      </c>
      <c r="D15" s="441">
        <v>21.58</v>
      </c>
    </row>
    <row r="16" spans="1:17" ht="31.5" customHeight="1">
      <c r="A16" s="120">
        <v>97147</v>
      </c>
      <c r="B16" s="119" t="s">
        <v>1554</v>
      </c>
      <c r="C16" s="120" t="s">
        <v>328</v>
      </c>
      <c r="D16" s="441">
        <v>24.36</v>
      </c>
    </row>
    <row r="17" spans="1:4" ht="31.5" customHeight="1">
      <c r="A17" s="120">
        <v>97148</v>
      </c>
      <c r="B17" s="119" t="s">
        <v>1555</v>
      </c>
      <c r="C17" s="120" t="s">
        <v>328</v>
      </c>
      <c r="D17" s="441">
        <v>27.13</v>
      </c>
    </row>
    <row r="18" spans="1:4" ht="31.5" customHeight="1">
      <c r="A18" s="120">
        <v>97149</v>
      </c>
      <c r="B18" s="119" t="s">
        <v>1556</v>
      </c>
      <c r="C18" s="120" t="s">
        <v>328</v>
      </c>
      <c r="D18" s="441">
        <v>29.92</v>
      </c>
    </row>
    <row r="19" spans="1:4" ht="31.5" customHeight="1">
      <c r="A19" s="120">
        <v>97150</v>
      </c>
      <c r="B19" s="119" t="s">
        <v>1557</v>
      </c>
      <c r="C19" s="120" t="s">
        <v>328</v>
      </c>
      <c r="D19" s="441">
        <v>38.17</v>
      </c>
    </row>
    <row r="20" spans="1:4" ht="31.5" customHeight="1">
      <c r="A20" s="120">
        <v>97151</v>
      </c>
      <c r="B20" s="119" t="s">
        <v>1558</v>
      </c>
      <c r="C20" s="120" t="s">
        <v>328</v>
      </c>
      <c r="D20" s="441">
        <v>44.53</v>
      </c>
    </row>
    <row r="21" spans="1:4" ht="31.5" customHeight="1">
      <c r="A21" s="120">
        <v>97152</v>
      </c>
      <c r="B21" s="119" t="s">
        <v>1559</v>
      </c>
      <c r="C21" s="120" t="s">
        <v>328</v>
      </c>
      <c r="D21" s="441">
        <v>50.61</v>
      </c>
    </row>
    <row r="22" spans="1:4" ht="31.5" customHeight="1">
      <c r="A22" s="120">
        <v>97153</v>
      </c>
      <c r="B22" s="119" t="s">
        <v>1560</v>
      </c>
      <c r="C22" s="120" t="s">
        <v>328</v>
      </c>
      <c r="D22" s="441">
        <v>56.86</v>
      </c>
    </row>
    <row r="23" spans="1:4" ht="31.5" customHeight="1">
      <c r="A23" s="120">
        <v>97154</v>
      </c>
      <c r="B23" s="119" t="s">
        <v>1561</v>
      </c>
      <c r="C23" s="120" t="s">
        <v>328</v>
      </c>
      <c r="D23" s="441">
        <v>63.15</v>
      </c>
    </row>
    <row r="24" spans="1:4" ht="31.5" customHeight="1">
      <c r="A24" s="120">
        <v>97155</v>
      </c>
      <c r="B24" s="119" t="s">
        <v>1562</v>
      </c>
      <c r="C24" s="120" t="s">
        <v>328</v>
      </c>
      <c r="D24" s="441">
        <v>69.44</v>
      </c>
    </row>
    <row r="25" spans="1:4" ht="31.5" customHeight="1">
      <c r="A25" s="120">
        <v>97156</v>
      </c>
      <c r="B25" s="119" t="s">
        <v>1563</v>
      </c>
      <c r="C25" s="120" t="s">
        <v>328</v>
      </c>
      <c r="D25" s="441">
        <v>82.5</v>
      </c>
    </row>
    <row r="26" spans="1:4" ht="31.5" customHeight="1">
      <c r="A26" s="120">
        <v>97157</v>
      </c>
      <c r="B26" s="119" t="s">
        <v>1564</v>
      </c>
      <c r="C26" s="120" t="s">
        <v>328</v>
      </c>
      <c r="D26" s="441">
        <v>5.73</v>
      </c>
    </row>
    <row r="27" spans="1:4" ht="31.5" customHeight="1">
      <c r="A27" s="120">
        <v>97158</v>
      </c>
      <c r="B27" s="119" t="s">
        <v>1565</v>
      </c>
      <c r="C27" s="120" t="s">
        <v>328</v>
      </c>
      <c r="D27" s="441">
        <v>6.41</v>
      </c>
    </row>
    <row r="28" spans="1:4" ht="31.5" customHeight="1">
      <c r="A28" s="120">
        <v>97159</v>
      </c>
      <c r="B28" s="119" t="s">
        <v>1566</v>
      </c>
      <c r="C28" s="120" t="s">
        <v>328</v>
      </c>
      <c r="D28" s="441">
        <v>8.1</v>
      </c>
    </row>
    <row r="29" spans="1:4" ht="31.5" customHeight="1">
      <c r="A29" s="120">
        <v>97160</v>
      </c>
      <c r="B29" s="119" t="s">
        <v>1567</v>
      </c>
      <c r="C29" s="120" t="s">
        <v>328</v>
      </c>
      <c r="D29" s="441">
        <v>9.75</v>
      </c>
    </row>
    <row r="30" spans="1:4" ht="31.5" customHeight="1">
      <c r="A30" s="120">
        <v>97161</v>
      </c>
      <c r="B30" s="119" t="s">
        <v>1568</v>
      </c>
      <c r="C30" s="120" t="s">
        <v>328</v>
      </c>
      <c r="D30" s="441">
        <v>11.46</v>
      </c>
    </row>
    <row r="31" spans="1:4" ht="31.5" customHeight="1">
      <c r="A31" s="120">
        <v>97162</v>
      </c>
      <c r="B31" s="119" t="s">
        <v>1569</v>
      </c>
      <c r="C31" s="120" t="s">
        <v>328</v>
      </c>
      <c r="D31" s="441">
        <v>13.14</v>
      </c>
    </row>
    <row r="32" spans="1:4" ht="31.5" customHeight="1">
      <c r="A32" s="120">
        <v>97163</v>
      </c>
      <c r="B32" s="119" t="s">
        <v>1570</v>
      </c>
      <c r="C32" s="120" t="s">
        <v>328</v>
      </c>
      <c r="D32" s="441">
        <v>14.85</v>
      </c>
    </row>
    <row r="33" spans="1:4" ht="31.5" customHeight="1">
      <c r="A33" s="120">
        <v>97164</v>
      </c>
      <c r="B33" s="119" t="s">
        <v>1571</v>
      </c>
      <c r="C33" s="120" t="s">
        <v>328</v>
      </c>
      <c r="D33" s="441">
        <v>16.55</v>
      </c>
    </row>
    <row r="34" spans="1:4" ht="31.5" customHeight="1">
      <c r="A34" s="120">
        <v>97165</v>
      </c>
      <c r="B34" s="119" t="s">
        <v>1572</v>
      </c>
      <c r="C34" s="120" t="s">
        <v>328</v>
      </c>
      <c r="D34" s="441">
        <v>18.27</v>
      </c>
    </row>
    <row r="35" spans="1:4" ht="31.5" customHeight="1">
      <c r="A35" s="120">
        <v>97166</v>
      </c>
      <c r="B35" s="119" t="s">
        <v>1573</v>
      </c>
      <c r="C35" s="120" t="s">
        <v>328</v>
      </c>
      <c r="D35" s="441">
        <v>23.29</v>
      </c>
    </row>
    <row r="36" spans="1:4" ht="31.5" customHeight="1">
      <c r="A36" s="120">
        <v>97167</v>
      </c>
      <c r="B36" s="119" t="s">
        <v>1574</v>
      </c>
      <c r="C36" s="120" t="s">
        <v>328</v>
      </c>
      <c r="D36" s="441">
        <v>27.21</v>
      </c>
    </row>
    <row r="37" spans="1:4" ht="31.5" customHeight="1">
      <c r="A37" s="120">
        <v>97168</v>
      </c>
      <c r="B37" s="119" t="s">
        <v>1575</v>
      </c>
      <c r="C37" s="120" t="s">
        <v>328</v>
      </c>
      <c r="D37" s="441">
        <v>30.84</v>
      </c>
    </row>
    <row r="38" spans="1:4" ht="31.5" customHeight="1">
      <c r="A38" s="120">
        <v>97169</v>
      </c>
      <c r="B38" s="119" t="s">
        <v>1576</v>
      </c>
      <c r="C38" s="120" t="s">
        <v>328</v>
      </c>
      <c r="D38" s="441">
        <v>34.64</v>
      </c>
    </row>
    <row r="39" spans="1:4" ht="31.5" customHeight="1">
      <c r="A39" s="120">
        <v>97170</v>
      </c>
      <c r="B39" s="119" t="s">
        <v>1577</v>
      </c>
      <c r="C39" s="120" t="s">
        <v>328</v>
      </c>
      <c r="D39" s="441">
        <v>38.479999999999997</v>
      </c>
    </row>
    <row r="40" spans="1:4" ht="31.5" customHeight="1">
      <c r="A40" s="120">
        <v>97171</v>
      </c>
      <c r="B40" s="119" t="s">
        <v>1578</v>
      </c>
      <c r="C40" s="120" t="s">
        <v>328</v>
      </c>
      <c r="D40" s="441">
        <v>42.35</v>
      </c>
    </row>
    <row r="41" spans="1:4" ht="31.5" customHeight="1">
      <c r="A41" s="120">
        <v>97172</v>
      </c>
      <c r="B41" s="119" t="s">
        <v>1579</v>
      </c>
      <c r="C41" s="120" t="s">
        <v>328</v>
      </c>
      <c r="D41" s="441">
        <v>50.52</v>
      </c>
    </row>
    <row r="42" spans="1:4" ht="31.5" customHeight="1">
      <c r="A42" s="120">
        <v>97173</v>
      </c>
      <c r="B42" s="119" t="s">
        <v>1580</v>
      </c>
      <c r="C42" s="120" t="s">
        <v>328</v>
      </c>
      <c r="D42" s="441">
        <v>42.73</v>
      </c>
    </row>
    <row r="43" spans="1:4" ht="31.5" customHeight="1">
      <c r="A43" s="120">
        <v>97174</v>
      </c>
      <c r="B43" s="119" t="s">
        <v>1581</v>
      </c>
      <c r="C43" s="120" t="s">
        <v>328</v>
      </c>
      <c r="D43" s="441">
        <v>49.42</v>
      </c>
    </row>
    <row r="44" spans="1:4" ht="31.5" customHeight="1">
      <c r="A44" s="120">
        <v>97175</v>
      </c>
      <c r="B44" s="119" t="s">
        <v>1582</v>
      </c>
      <c r="C44" s="120" t="s">
        <v>328</v>
      </c>
      <c r="D44" s="441">
        <v>56.14</v>
      </c>
    </row>
    <row r="45" spans="1:4" ht="31.5" customHeight="1">
      <c r="A45" s="120">
        <v>97176</v>
      </c>
      <c r="B45" s="119" t="s">
        <v>1583</v>
      </c>
      <c r="C45" s="120" t="s">
        <v>328</v>
      </c>
      <c r="D45" s="441">
        <v>62.84</v>
      </c>
    </row>
    <row r="46" spans="1:4" ht="31.5" customHeight="1">
      <c r="A46" s="120">
        <v>97177</v>
      </c>
      <c r="B46" s="119" t="s">
        <v>1584</v>
      </c>
      <c r="C46" s="120" t="s">
        <v>328</v>
      </c>
      <c r="D46" s="441">
        <v>76.260000000000005</v>
      </c>
    </row>
    <row r="47" spans="1:4" ht="31.5" customHeight="1">
      <c r="A47" s="120">
        <v>97178</v>
      </c>
      <c r="B47" s="119" t="s">
        <v>1585</v>
      </c>
      <c r="C47" s="120" t="s">
        <v>328</v>
      </c>
      <c r="D47" s="441">
        <v>89.68</v>
      </c>
    </row>
    <row r="48" spans="1:4" ht="31.5" customHeight="1">
      <c r="A48" s="120">
        <v>97179</v>
      </c>
      <c r="B48" s="119" t="s">
        <v>1586</v>
      </c>
      <c r="C48" s="120" t="s">
        <v>328</v>
      </c>
      <c r="D48" s="441">
        <v>103.09</v>
      </c>
    </row>
    <row r="49" spans="1:4" ht="31.5" customHeight="1">
      <c r="A49" s="120">
        <v>97180</v>
      </c>
      <c r="B49" s="119" t="s">
        <v>1587</v>
      </c>
      <c r="C49" s="120" t="s">
        <v>328</v>
      </c>
      <c r="D49" s="441">
        <v>116.51</v>
      </c>
    </row>
    <row r="50" spans="1:4" ht="31.5" customHeight="1">
      <c r="A50" s="120">
        <v>97181</v>
      </c>
      <c r="B50" s="119" t="s">
        <v>1588</v>
      </c>
      <c r="C50" s="120" t="s">
        <v>328</v>
      </c>
      <c r="D50" s="441">
        <v>134.72999999999999</v>
      </c>
    </row>
    <row r="51" spans="1:4" ht="31.5" customHeight="1">
      <c r="A51" s="120">
        <v>97182</v>
      </c>
      <c r="B51" s="119" t="s">
        <v>1589</v>
      </c>
      <c r="C51" s="120" t="s">
        <v>328</v>
      </c>
      <c r="D51" s="441">
        <v>148.66</v>
      </c>
    </row>
    <row r="52" spans="1:4" ht="31.5" customHeight="1">
      <c r="A52" s="120">
        <v>97183</v>
      </c>
      <c r="B52" s="119" t="s">
        <v>1590</v>
      </c>
      <c r="C52" s="120" t="s">
        <v>328</v>
      </c>
      <c r="D52" s="441">
        <v>34.75</v>
      </c>
    </row>
    <row r="53" spans="1:4" ht="31.5" customHeight="1">
      <c r="A53" s="120">
        <v>97184</v>
      </c>
      <c r="B53" s="119" t="s">
        <v>1591</v>
      </c>
      <c r="C53" s="120" t="s">
        <v>328</v>
      </c>
      <c r="D53" s="441">
        <v>40.299999999999997</v>
      </c>
    </row>
    <row r="54" spans="1:4" ht="31.5" customHeight="1">
      <c r="A54" s="120">
        <v>97185</v>
      </c>
      <c r="B54" s="119" t="s">
        <v>1592</v>
      </c>
      <c r="C54" s="120" t="s">
        <v>328</v>
      </c>
      <c r="D54" s="441">
        <v>45.84</v>
      </c>
    </row>
    <row r="55" spans="1:4" ht="31.5" customHeight="1">
      <c r="A55" s="120">
        <v>97186</v>
      </c>
      <c r="B55" s="119" t="s">
        <v>1593</v>
      </c>
      <c r="C55" s="120" t="s">
        <v>328</v>
      </c>
      <c r="D55" s="441">
        <v>51.39</v>
      </c>
    </row>
    <row r="56" spans="1:4" ht="47.25" customHeight="1">
      <c r="A56" s="120">
        <v>97187</v>
      </c>
      <c r="B56" s="119" t="s">
        <v>1594</v>
      </c>
      <c r="C56" s="120" t="s">
        <v>328</v>
      </c>
      <c r="D56" s="441">
        <v>62.47</v>
      </c>
    </row>
    <row r="57" spans="1:4" ht="31.5" customHeight="1">
      <c r="A57" s="120">
        <v>97188</v>
      </c>
      <c r="B57" s="119" t="s">
        <v>1595</v>
      </c>
      <c r="C57" s="120" t="s">
        <v>328</v>
      </c>
      <c r="D57" s="441">
        <v>73.569999999999993</v>
      </c>
    </row>
    <row r="58" spans="1:4" ht="31.5" customHeight="1">
      <c r="A58" s="120">
        <v>97189</v>
      </c>
      <c r="B58" s="119" t="s">
        <v>1596</v>
      </c>
      <c r="C58" s="120" t="s">
        <v>328</v>
      </c>
      <c r="D58" s="441">
        <v>84.64</v>
      </c>
    </row>
    <row r="59" spans="1:4" ht="31.5" customHeight="1">
      <c r="A59" s="120">
        <v>97190</v>
      </c>
      <c r="B59" s="119" t="s">
        <v>1597</v>
      </c>
      <c r="C59" s="120" t="s">
        <v>328</v>
      </c>
      <c r="D59" s="441">
        <v>95.73</v>
      </c>
    </row>
    <row r="60" spans="1:4" ht="31.5" customHeight="1">
      <c r="A60" s="120">
        <v>97191</v>
      </c>
      <c r="B60" s="119" t="s">
        <v>1598</v>
      </c>
      <c r="C60" s="120" t="s">
        <v>328</v>
      </c>
      <c r="D60" s="441">
        <v>110.32</v>
      </c>
    </row>
    <row r="61" spans="1:4" ht="31.5" customHeight="1">
      <c r="A61" s="120">
        <v>97192</v>
      </c>
      <c r="B61" s="119" t="s">
        <v>1599</v>
      </c>
      <c r="C61" s="120" t="s">
        <v>328</v>
      </c>
      <c r="D61" s="441">
        <v>121.76</v>
      </c>
    </row>
    <row r="62" spans="1:4" ht="31.5" customHeight="1">
      <c r="A62" s="120">
        <v>90694</v>
      </c>
      <c r="B62" s="119" t="s">
        <v>1600</v>
      </c>
      <c r="C62" s="120" t="s">
        <v>328</v>
      </c>
      <c r="D62" s="441">
        <v>47.42</v>
      </c>
    </row>
    <row r="63" spans="1:4" ht="31.5" customHeight="1">
      <c r="A63" s="120">
        <v>90695</v>
      </c>
      <c r="B63" s="119" t="s">
        <v>1601</v>
      </c>
      <c r="C63" s="120" t="s">
        <v>328</v>
      </c>
      <c r="D63" s="441">
        <v>89.65</v>
      </c>
    </row>
    <row r="64" spans="1:4" ht="31.5" customHeight="1">
      <c r="A64" s="120">
        <v>90696</v>
      </c>
      <c r="B64" s="119" t="s">
        <v>1602</v>
      </c>
      <c r="C64" s="120" t="s">
        <v>328</v>
      </c>
      <c r="D64" s="441">
        <v>149.37</v>
      </c>
    </row>
    <row r="65" spans="1:4" ht="31.5" customHeight="1">
      <c r="A65" s="120">
        <v>90697</v>
      </c>
      <c r="B65" s="119" t="s">
        <v>1603</v>
      </c>
      <c r="C65" s="120" t="s">
        <v>328</v>
      </c>
      <c r="D65" s="441">
        <v>231.37</v>
      </c>
    </row>
    <row r="66" spans="1:4" ht="31.5" customHeight="1">
      <c r="A66" s="120">
        <v>90698</v>
      </c>
      <c r="B66" s="119" t="s">
        <v>1604</v>
      </c>
      <c r="C66" s="120" t="s">
        <v>328</v>
      </c>
      <c r="D66" s="441">
        <v>353.23</v>
      </c>
    </row>
    <row r="67" spans="1:4" ht="31.5" customHeight="1">
      <c r="A67" s="120">
        <v>90699</v>
      </c>
      <c r="B67" s="119" t="s">
        <v>1605</v>
      </c>
      <c r="C67" s="120" t="s">
        <v>328</v>
      </c>
      <c r="D67" s="441">
        <v>496.84</v>
      </c>
    </row>
    <row r="68" spans="1:4" ht="31.5" customHeight="1">
      <c r="A68" s="120">
        <v>90700</v>
      </c>
      <c r="B68" s="119" t="s">
        <v>1606</v>
      </c>
      <c r="C68" s="120" t="s">
        <v>328</v>
      </c>
      <c r="D68" s="441">
        <v>579.39</v>
      </c>
    </row>
    <row r="69" spans="1:4" ht="31.5" customHeight="1">
      <c r="A69" s="120">
        <v>90701</v>
      </c>
      <c r="B69" s="119" t="s">
        <v>1607</v>
      </c>
      <c r="C69" s="120" t="s">
        <v>328</v>
      </c>
      <c r="D69" s="441">
        <v>70.430000000000007</v>
      </c>
    </row>
    <row r="70" spans="1:4" ht="31.5" customHeight="1">
      <c r="A70" s="120">
        <v>90702</v>
      </c>
      <c r="B70" s="119" t="s">
        <v>1608</v>
      </c>
      <c r="C70" s="120" t="s">
        <v>328</v>
      </c>
      <c r="D70" s="441">
        <v>116.17</v>
      </c>
    </row>
    <row r="71" spans="1:4" ht="31.5" customHeight="1">
      <c r="A71" s="120">
        <v>90703</v>
      </c>
      <c r="B71" s="119" t="s">
        <v>1609</v>
      </c>
      <c r="C71" s="120" t="s">
        <v>328</v>
      </c>
      <c r="D71" s="441">
        <v>181.21</v>
      </c>
    </row>
    <row r="72" spans="1:4" ht="31.5" customHeight="1">
      <c r="A72" s="120">
        <v>90704</v>
      </c>
      <c r="B72" s="119" t="s">
        <v>1610</v>
      </c>
      <c r="C72" s="120" t="s">
        <v>328</v>
      </c>
      <c r="D72" s="441">
        <v>268.18</v>
      </c>
    </row>
    <row r="73" spans="1:4" ht="31.5" customHeight="1">
      <c r="A73" s="120">
        <v>90705</v>
      </c>
      <c r="B73" s="119" t="s">
        <v>1611</v>
      </c>
      <c r="C73" s="120" t="s">
        <v>328</v>
      </c>
      <c r="D73" s="441">
        <v>351.45</v>
      </c>
    </row>
    <row r="74" spans="1:4" ht="31.5" customHeight="1">
      <c r="A74" s="120">
        <v>90706</v>
      </c>
      <c r="B74" s="119" t="s">
        <v>1612</v>
      </c>
      <c r="C74" s="120" t="s">
        <v>328</v>
      </c>
      <c r="D74" s="441">
        <v>464.64</v>
      </c>
    </row>
    <row r="75" spans="1:4" ht="31.5" customHeight="1">
      <c r="A75" s="120">
        <v>90708</v>
      </c>
      <c r="B75" s="119" t="s">
        <v>1613</v>
      </c>
      <c r="C75" s="120" t="s">
        <v>328</v>
      </c>
      <c r="D75" s="441">
        <v>768.15</v>
      </c>
    </row>
    <row r="76" spans="1:4" ht="31.5" customHeight="1">
      <c r="A76" s="120">
        <v>90724</v>
      </c>
      <c r="B76" s="119" t="s">
        <v>1614</v>
      </c>
      <c r="C76" s="120" t="s">
        <v>331</v>
      </c>
      <c r="D76" s="441">
        <v>28.81</v>
      </c>
    </row>
    <row r="77" spans="1:4" ht="31.5" customHeight="1">
      <c r="A77" s="120">
        <v>90725</v>
      </c>
      <c r="B77" s="119" t="s">
        <v>1615</v>
      </c>
      <c r="C77" s="120" t="s">
        <v>331</v>
      </c>
      <c r="D77" s="441">
        <v>35.409999999999997</v>
      </c>
    </row>
    <row r="78" spans="1:4" ht="31.5" customHeight="1">
      <c r="A78" s="120">
        <v>90726</v>
      </c>
      <c r="B78" s="119" t="s">
        <v>1616</v>
      </c>
      <c r="C78" s="120" t="s">
        <v>331</v>
      </c>
      <c r="D78" s="441">
        <v>42.07</v>
      </c>
    </row>
    <row r="79" spans="1:4" ht="31.5" customHeight="1">
      <c r="A79" s="120">
        <v>90727</v>
      </c>
      <c r="B79" s="119" t="s">
        <v>1617</v>
      </c>
      <c r="C79" s="120" t="s">
        <v>331</v>
      </c>
      <c r="D79" s="441">
        <v>48.67</v>
      </c>
    </row>
    <row r="80" spans="1:4" ht="31.5" customHeight="1">
      <c r="A80" s="120">
        <v>90728</v>
      </c>
      <c r="B80" s="119" t="s">
        <v>1618</v>
      </c>
      <c r="C80" s="120" t="s">
        <v>331</v>
      </c>
      <c r="D80" s="441">
        <v>55.28</v>
      </c>
    </row>
    <row r="81" spans="1:4" ht="31.5" customHeight="1">
      <c r="A81" s="120">
        <v>90729</v>
      </c>
      <c r="B81" s="119" t="s">
        <v>1619</v>
      </c>
      <c r="C81" s="120" t="s">
        <v>331</v>
      </c>
      <c r="D81" s="441">
        <v>61.88</v>
      </c>
    </row>
    <row r="82" spans="1:4" ht="31.5" customHeight="1">
      <c r="A82" s="120">
        <v>90730</v>
      </c>
      <c r="B82" s="119" t="s">
        <v>1620</v>
      </c>
      <c r="C82" s="120" t="s">
        <v>331</v>
      </c>
      <c r="D82" s="441">
        <v>68.48</v>
      </c>
    </row>
    <row r="83" spans="1:4" ht="31.5" customHeight="1">
      <c r="A83" s="120">
        <v>90731</v>
      </c>
      <c r="B83" s="119" t="s">
        <v>1621</v>
      </c>
      <c r="C83" s="120" t="s">
        <v>331</v>
      </c>
      <c r="D83" s="441">
        <v>75.08</v>
      </c>
    </row>
    <row r="84" spans="1:4" ht="31.5" customHeight="1">
      <c r="A84" s="120">
        <v>90732</v>
      </c>
      <c r="B84" s="119" t="s">
        <v>1622</v>
      </c>
      <c r="C84" s="120" t="s">
        <v>331</v>
      </c>
      <c r="D84" s="441">
        <v>94.87</v>
      </c>
    </row>
    <row r="85" spans="1:4" ht="31.5" customHeight="1">
      <c r="A85" s="120">
        <v>90733</v>
      </c>
      <c r="B85" s="119" t="s">
        <v>1623</v>
      </c>
      <c r="C85" s="120" t="s">
        <v>328</v>
      </c>
      <c r="D85" s="441">
        <v>4.0999999999999996</v>
      </c>
    </row>
    <row r="86" spans="1:4" ht="31.5" customHeight="1">
      <c r="A86" s="120">
        <v>90734</v>
      </c>
      <c r="B86" s="119" t="s">
        <v>1624</v>
      </c>
      <c r="C86" s="120" t="s">
        <v>328</v>
      </c>
      <c r="D86" s="441">
        <v>4.8499999999999996</v>
      </c>
    </row>
    <row r="87" spans="1:4" ht="31.5" customHeight="1">
      <c r="A87" s="120">
        <v>90735</v>
      </c>
      <c r="B87" s="119" t="s">
        <v>1625</v>
      </c>
      <c r="C87" s="120" t="s">
        <v>328</v>
      </c>
      <c r="D87" s="441">
        <v>5.6</v>
      </c>
    </row>
    <row r="88" spans="1:4" ht="31.5" customHeight="1">
      <c r="A88" s="120">
        <v>90736</v>
      </c>
      <c r="B88" s="119" t="s">
        <v>1626</v>
      </c>
      <c r="C88" s="120" t="s">
        <v>328</v>
      </c>
      <c r="D88" s="441">
        <v>6.36</v>
      </c>
    </row>
    <row r="89" spans="1:4" ht="31.5" customHeight="1">
      <c r="A89" s="120">
        <v>90737</v>
      </c>
      <c r="B89" s="119" t="s">
        <v>1627</v>
      </c>
      <c r="C89" s="120" t="s">
        <v>328</v>
      </c>
      <c r="D89" s="441">
        <v>7.11</v>
      </c>
    </row>
    <row r="90" spans="1:4" ht="31.5" customHeight="1">
      <c r="A90" s="120">
        <v>90738</v>
      </c>
      <c r="B90" s="119" t="s">
        <v>1628</v>
      </c>
      <c r="C90" s="120" t="s">
        <v>328</v>
      </c>
      <c r="D90" s="441">
        <v>7.87</v>
      </c>
    </row>
    <row r="91" spans="1:4" ht="31.5" customHeight="1">
      <c r="A91" s="120">
        <v>90739</v>
      </c>
      <c r="B91" s="119" t="s">
        <v>1629</v>
      </c>
      <c r="C91" s="120" t="s">
        <v>328</v>
      </c>
      <c r="D91" s="441">
        <v>9.9600000000000009</v>
      </c>
    </row>
    <row r="92" spans="1:4" ht="31.5" customHeight="1">
      <c r="A92" s="120">
        <v>90740</v>
      </c>
      <c r="B92" s="119" t="s">
        <v>1630</v>
      </c>
      <c r="C92" s="120" t="s">
        <v>328</v>
      </c>
      <c r="D92" s="441">
        <v>5.4</v>
      </c>
    </row>
    <row r="93" spans="1:4" ht="31.5" customHeight="1">
      <c r="A93" s="120">
        <v>90741</v>
      </c>
      <c r="B93" s="119" t="s">
        <v>1631</v>
      </c>
      <c r="C93" s="120" t="s">
        <v>328</v>
      </c>
      <c r="D93" s="441">
        <v>6.16</v>
      </c>
    </row>
    <row r="94" spans="1:4" ht="31.5" customHeight="1">
      <c r="A94" s="120">
        <v>90742</v>
      </c>
      <c r="B94" s="119" t="s">
        <v>1632</v>
      </c>
      <c r="C94" s="120" t="s">
        <v>328</v>
      </c>
      <c r="D94" s="441">
        <v>6.92</v>
      </c>
    </row>
    <row r="95" spans="1:4" ht="31.5" customHeight="1">
      <c r="A95" s="120">
        <v>90743</v>
      </c>
      <c r="B95" s="119" t="s">
        <v>1633</v>
      </c>
      <c r="C95" s="120" t="s">
        <v>328</v>
      </c>
      <c r="D95" s="441">
        <v>7.67</v>
      </c>
    </row>
    <row r="96" spans="1:4" ht="31.5" customHeight="1">
      <c r="A96" s="120">
        <v>90744</v>
      </c>
      <c r="B96" s="119" t="s">
        <v>1634</v>
      </c>
      <c r="C96" s="120" t="s">
        <v>328</v>
      </c>
      <c r="D96" s="441">
        <v>8.43</v>
      </c>
    </row>
    <row r="97" spans="1:4" ht="31.5" customHeight="1">
      <c r="A97" s="120">
        <v>90745</v>
      </c>
      <c r="B97" s="119" t="s">
        <v>1635</v>
      </c>
      <c r="C97" s="120" t="s">
        <v>328</v>
      </c>
      <c r="D97" s="441">
        <v>11.12</v>
      </c>
    </row>
    <row r="98" spans="1:4" ht="31.5" customHeight="1">
      <c r="A98" s="120">
        <v>90746</v>
      </c>
      <c r="B98" s="119" t="s">
        <v>1636</v>
      </c>
      <c r="C98" s="120" t="s">
        <v>328</v>
      </c>
      <c r="D98" s="441">
        <v>4.42</v>
      </c>
    </row>
    <row r="99" spans="1:4" ht="31.5" customHeight="1">
      <c r="A99" s="120">
        <v>90747</v>
      </c>
      <c r="B99" s="119" t="s">
        <v>1637</v>
      </c>
      <c r="C99" s="120" t="s">
        <v>328</v>
      </c>
      <c r="D99" s="441">
        <v>18.89</v>
      </c>
    </row>
    <row r="100" spans="1:4" ht="31.5" customHeight="1">
      <c r="A100" s="120">
        <v>94869</v>
      </c>
      <c r="B100" s="119" t="s">
        <v>1638</v>
      </c>
      <c r="C100" s="120" t="s">
        <v>328</v>
      </c>
      <c r="D100" s="441">
        <v>135.36000000000001</v>
      </c>
    </row>
    <row r="101" spans="1:4" ht="31.5" customHeight="1">
      <c r="A101" s="120">
        <v>94870</v>
      </c>
      <c r="B101" s="119" t="s">
        <v>1639</v>
      </c>
      <c r="C101" s="120" t="s">
        <v>328</v>
      </c>
      <c r="D101" s="441">
        <v>2.25</v>
      </c>
    </row>
    <row r="102" spans="1:4" ht="31.5" customHeight="1">
      <c r="A102" s="120">
        <v>94871</v>
      </c>
      <c r="B102" s="119" t="s">
        <v>1640</v>
      </c>
      <c r="C102" s="120" t="s">
        <v>328</v>
      </c>
      <c r="D102" s="441">
        <v>211.74</v>
      </c>
    </row>
    <row r="103" spans="1:4" ht="31.5" customHeight="1">
      <c r="A103" s="120">
        <v>94872</v>
      </c>
      <c r="B103" s="119" t="s">
        <v>1641</v>
      </c>
      <c r="C103" s="120" t="s">
        <v>328</v>
      </c>
      <c r="D103" s="441">
        <v>3.18</v>
      </c>
    </row>
    <row r="104" spans="1:4" ht="31.5" customHeight="1">
      <c r="A104" s="120">
        <v>94875</v>
      </c>
      <c r="B104" s="119" t="s">
        <v>1642</v>
      </c>
      <c r="C104" s="120" t="s">
        <v>328</v>
      </c>
      <c r="D104" s="442">
        <v>1247.03</v>
      </c>
    </row>
    <row r="105" spans="1:4" ht="31.5" customHeight="1">
      <c r="A105" s="120">
        <v>94876</v>
      </c>
      <c r="B105" s="119" t="s">
        <v>1643</v>
      </c>
      <c r="C105" s="120" t="s">
        <v>328</v>
      </c>
      <c r="D105" s="441">
        <v>31.82</v>
      </c>
    </row>
    <row r="106" spans="1:4" ht="31.5" customHeight="1">
      <c r="A106" s="120">
        <v>94878</v>
      </c>
      <c r="B106" s="119" t="s">
        <v>1644</v>
      </c>
      <c r="C106" s="120" t="s">
        <v>328</v>
      </c>
      <c r="D106" s="441">
        <v>36.799999999999997</v>
      </c>
    </row>
    <row r="107" spans="1:4" ht="31.5" customHeight="1">
      <c r="A107" s="120">
        <v>94879</v>
      </c>
      <c r="B107" s="119" t="s">
        <v>1645</v>
      </c>
      <c r="C107" s="120" t="s">
        <v>328</v>
      </c>
      <c r="D107" s="442">
        <v>1919.56</v>
      </c>
    </row>
    <row r="108" spans="1:4" ht="31.5" customHeight="1">
      <c r="A108" s="120">
        <v>94880</v>
      </c>
      <c r="B108" s="119" t="s">
        <v>1646</v>
      </c>
      <c r="C108" s="120" t="s">
        <v>328</v>
      </c>
      <c r="D108" s="441">
        <v>47.54</v>
      </c>
    </row>
    <row r="109" spans="1:4" ht="31.5" customHeight="1">
      <c r="A109" s="120">
        <v>94881</v>
      </c>
      <c r="B109" s="119" t="s">
        <v>1647</v>
      </c>
      <c r="C109" s="120" t="s">
        <v>328</v>
      </c>
      <c r="D109" s="442">
        <v>2642.45</v>
      </c>
    </row>
    <row r="110" spans="1:4" ht="31.5" customHeight="1">
      <c r="A110" s="120">
        <v>94882</v>
      </c>
      <c r="B110" s="119" t="s">
        <v>1648</v>
      </c>
      <c r="C110" s="120" t="s">
        <v>328</v>
      </c>
      <c r="D110" s="441">
        <v>55.2</v>
      </c>
    </row>
    <row r="111" spans="1:4" ht="31.5" customHeight="1">
      <c r="A111" s="120">
        <v>94884</v>
      </c>
      <c r="B111" s="119" t="s">
        <v>1649</v>
      </c>
      <c r="C111" s="120" t="s">
        <v>328</v>
      </c>
      <c r="D111" s="441">
        <v>70.72</v>
      </c>
    </row>
    <row r="112" spans="1:4" ht="31.5" customHeight="1">
      <c r="A112" s="120">
        <v>97121</v>
      </c>
      <c r="B112" s="119" t="s">
        <v>1650</v>
      </c>
      <c r="C112" s="120" t="s">
        <v>328</v>
      </c>
      <c r="D112" s="441">
        <v>2.4500000000000002</v>
      </c>
    </row>
    <row r="113" spans="1:4" ht="31.5" customHeight="1">
      <c r="A113" s="120">
        <v>97122</v>
      </c>
      <c r="B113" s="119" t="s">
        <v>1651</v>
      </c>
      <c r="C113" s="120" t="s">
        <v>328</v>
      </c>
      <c r="D113" s="441">
        <v>3.39</v>
      </c>
    </row>
    <row r="114" spans="1:4" ht="31.5" customHeight="1">
      <c r="A114" s="120">
        <v>97123</v>
      </c>
      <c r="B114" s="119" t="s">
        <v>1652</v>
      </c>
      <c r="C114" s="120" t="s">
        <v>328</v>
      </c>
      <c r="D114" s="441">
        <v>4.3</v>
      </c>
    </row>
    <row r="115" spans="1:4" ht="31.5" customHeight="1">
      <c r="A115" s="120">
        <v>97124</v>
      </c>
      <c r="B115" s="119" t="s">
        <v>1653</v>
      </c>
      <c r="C115" s="120" t="s">
        <v>328</v>
      </c>
      <c r="D115" s="441">
        <v>1.08</v>
      </c>
    </row>
    <row r="116" spans="1:4" ht="31.5" customHeight="1">
      <c r="A116" s="120">
        <v>97125</v>
      </c>
      <c r="B116" s="119" t="s">
        <v>1654</v>
      </c>
      <c r="C116" s="120" t="s">
        <v>328</v>
      </c>
      <c r="D116" s="441">
        <v>1.53</v>
      </c>
    </row>
    <row r="117" spans="1:4" ht="31.5" customHeight="1">
      <c r="A117" s="120">
        <v>97126</v>
      </c>
      <c r="B117" s="119" t="s">
        <v>1655</v>
      </c>
      <c r="C117" s="120" t="s">
        <v>328</v>
      </c>
      <c r="D117" s="441">
        <v>1.94</v>
      </c>
    </row>
    <row r="118" spans="1:4" ht="31.5" customHeight="1">
      <c r="A118" s="120">
        <v>102264</v>
      </c>
      <c r="B118" s="119" t="s">
        <v>1656</v>
      </c>
      <c r="C118" s="120" t="s">
        <v>328</v>
      </c>
      <c r="D118" s="441">
        <v>20.85</v>
      </c>
    </row>
    <row r="119" spans="1:4" ht="31.5" customHeight="1">
      <c r="A119" s="120">
        <v>102265</v>
      </c>
      <c r="B119" s="119" t="s">
        <v>1657</v>
      </c>
      <c r="C119" s="120" t="s">
        <v>331</v>
      </c>
      <c r="D119" s="441">
        <v>121.28</v>
      </c>
    </row>
    <row r="120" spans="1:4" ht="31.5" customHeight="1">
      <c r="A120" s="120">
        <v>102266</v>
      </c>
      <c r="B120" s="119" t="s">
        <v>1658</v>
      </c>
      <c r="C120" s="120" t="s">
        <v>331</v>
      </c>
      <c r="D120" s="441">
        <v>134.47</v>
      </c>
    </row>
    <row r="121" spans="1:4" ht="31.5" customHeight="1">
      <c r="A121" s="120">
        <v>102267</v>
      </c>
      <c r="B121" s="119" t="s">
        <v>1659</v>
      </c>
      <c r="C121" s="120" t="s">
        <v>331</v>
      </c>
      <c r="D121" s="441">
        <v>154.33000000000001</v>
      </c>
    </row>
    <row r="122" spans="1:4" ht="31.5" customHeight="1">
      <c r="A122" s="120">
        <v>102268</v>
      </c>
      <c r="B122" s="119" t="s">
        <v>1660</v>
      </c>
      <c r="C122" s="120" t="s">
        <v>331</v>
      </c>
      <c r="D122" s="441">
        <v>174.12</v>
      </c>
    </row>
    <row r="123" spans="1:4" ht="31.5" customHeight="1">
      <c r="A123" s="120">
        <v>102269</v>
      </c>
      <c r="B123" s="119" t="s">
        <v>1661</v>
      </c>
      <c r="C123" s="120" t="s">
        <v>331</v>
      </c>
      <c r="D123" s="441">
        <v>213.72</v>
      </c>
    </row>
    <row r="124" spans="1:4" ht="31.5" customHeight="1">
      <c r="A124" s="120">
        <v>92833</v>
      </c>
      <c r="B124" s="119" t="s">
        <v>1662</v>
      </c>
      <c r="C124" s="120" t="s">
        <v>328</v>
      </c>
      <c r="D124" s="441">
        <v>154.75</v>
      </c>
    </row>
    <row r="125" spans="1:4" ht="47.25" customHeight="1">
      <c r="A125" s="120">
        <v>92834</v>
      </c>
      <c r="B125" s="119" t="s">
        <v>1663</v>
      </c>
      <c r="C125" s="120" t="s">
        <v>328</v>
      </c>
      <c r="D125" s="441">
        <v>10.35</v>
      </c>
    </row>
    <row r="126" spans="1:4" ht="31.5" customHeight="1">
      <c r="A126" s="120">
        <v>92835</v>
      </c>
      <c r="B126" s="119" t="s">
        <v>1664</v>
      </c>
      <c r="C126" s="120" t="s">
        <v>328</v>
      </c>
      <c r="D126" s="441">
        <v>162.88</v>
      </c>
    </row>
    <row r="127" spans="1:4" ht="47.25" customHeight="1">
      <c r="A127" s="120">
        <v>92836</v>
      </c>
      <c r="B127" s="119" t="s">
        <v>1665</v>
      </c>
      <c r="C127" s="120" t="s">
        <v>328</v>
      </c>
      <c r="D127" s="441">
        <v>13.21</v>
      </c>
    </row>
    <row r="128" spans="1:4" ht="31.5" customHeight="1">
      <c r="A128" s="120">
        <v>92837</v>
      </c>
      <c r="B128" s="119" t="s">
        <v>1666</v>
      </c>
      <c r="C128" s="120" t="s">
        <v>328</v>
      </c>
      <c r="D128" s="441">
        <v>285.39999999999998</v>
      </c>
    </row>
    <row r="129" spans="1:4" ht="47.25" customHeight="1">
      <c r="A129" s="120">
        <v>92838</v>
      </c>
      <c r="B129" s="119" t="s">
        <v>1667</v>
      </c>
      <c r="C129" s="120" t="s">
        <v>328</v>
      </c>
      <c r="D129" s="441">
        <v>15.86</v>
      </c>
    </row>
    <row r="130" spans="1:4" ht="31.5" customHeight="1">
      <c r="A130" s="120">
        <v>92839</v>
      </c>
      <c r="B130" s="119" t="s">
        <v>1668</v>
      </c>
      <c r="C130" s="120" t="s">
        <v>328</v>
      </c>
      <c r="D130" s="441">
        <v>348.98</v>
      </c>
    </row>
    <row r="131" spans="1:4" ht="47.25" customHeight="1">
      <c r="A131" s="120">
        <v>92840</v>
      </c>
      <c r="B131" s="119" t="s">
        <v>1669</v>
      </c>
      <c r="C131" s="120" t="s">
        <v>328</v>
      </c>
      <c r="D131" s="441">
        <v>18.79</v>
      </c>
    </row>
    <row r="132" spans="1:4" ht="31.5" customHeight="1">
      <c r="A132" s="120">
        <v>92841</v>
      </c>
      <c r="B132" s="119" t="s">
        <v>1670</v>
      </c>
      <c r="C132" s="120" t="s">
        <v>328</v>
      </c>
      <c r="D132" s="441">
        <v>453.64</v>
      </c>
    </row>
    <row r="133" spans="1:4" ht="47.25" customHeight="1">
      <c r="A133" s="120">
        <v>92842</v>
      </c>
      <c r="B133" s="119" t="s">
        <v>1671</v>
      </c>
      <c r="C133" s="120" t="s">
        <v>328</v>
      </c>
      <c r="D133" s="441">
        <v>21.46</v>
      </c>
    </row>
    <row r="134" spans="1:4" ht="31.5" customHeight="1">
      <c r="A134" s="120">
        <v>92843</v>
      </c>
      <c r="B134" s="119" t="s">
        <v>1672</v>
      </c>
      <c r="C134" s="120" t="s">
        <v>328</v>
      </c>
      <c r="D134" s="441">
        <v>470.67</v>
      </c>
    </row>
    <row r="135" spans="1:4" ht="47.25" customHeight="1">
      <c r="A135" s="120">
        <v>92844</v>
      </c>
      <c r="B135" s="119" t="s">
        <v>1673</v>
      </c>
      <c r="C135" s="120" t="s">
        <v>328</v>
      </c>
      <c r="D135" s="441">
        <v>24.39</v>
      </c>
    </row>
    <row r="136" spans="1:4" ht="31.5" customHeight="1">
      <c r="A136" s="120">
        <v>92845</v>
      </c>
      <c r="B136" s="119" t="s">
        <v>1674</v>
      </c>
      <c r="C136" s="120" t="s">
        <v>328</v>
      </c>
      <c r="D136" s="441">
        <v>694.23</v>
      </c>
    </row>
    <row r="137" spans="1:4" ht="47.25" customHeight="1">
      <c r="A137" s="120">
        <v>92846</v>
      </c>
      <c r="B137" s="119" t="s">
        <v>1675</v>
      </c>
      <c r="C137" s="120" t="s">
        <v>328</v>
      </c>
      <c r="D137" s="441">
        <v>27.04</v>
      </c>
    </row>
    <row r="138" spans="1:4" ht="31.5" customHeight="1">
      <c r="A138" s="120">
        <v>92847</v>
      </c>
      <c r="B138" s="119" t="s">
        <v>1676</v>
      </c>
      <c r="C138" s="120" t="s">
        <v>328</v>
      </c>
      <c r="D138" s="441">
        <v>714.1</v>
      </c>
    </row>
    <row r="139" spans="1:4" ht="47.25" customHeight="1">
      <c r="A139" s="120">
        <v>92848</v>
      </c>
      <c r="B139" s="119" t="s">
        <v>1677</v>
      </c>
      <c r="C139" s="120" t="s">
        <v>328</v>
      </c>
      <c r="D139" s="441">
        <v>30</v>
      </c>
    </row>
    <row r="140" spans="1:4" ht="31.5" customHeight="1">
      <c r="A140" s="120">
        <v>92849</v>
      </c>
      <c r="B140" s="119" t="s">
        <v>1678</v>
      </c>
      <c r="C140" s="120" t="s">
        <v>328</v>
      </c>
      <c r="D140" s="441">
        <v>163.98</v>
      </c>
    </row>
    <row r="141" spans="1:4" ht="47.25" customHeight="1">
      <c r="A141" s="120">
        <v>92850</v>
      </c>
      <c r="B141" s="119" t="s">
        <v>1679</v>
      </c>
      <c r="C141" s="120" t="s">
        <v>328</v>
      </c>
      <c r="D141" s="441">
        <v>19.579999999999998</v>
      </c>
    </row>
    <row r="142" spans="1:4" ht="31.5" customHeight="1">
      <c r="A142" s="120">
        <v>92851</v>
      </c>
      <c r="B142" s="119" t="s">
        <v>1680</v>
      </c>
      <c r="C142" s="120" t="s">
        <v>328</v>
      </c>
      <c r="D142" s="441">
        <v>174.4</v>
      </c>
    </row>
    <row r="143" spans="1:4" ht="47.25" customHeight="1">
      <c r="A143" s="120">
        <v>92852</v>
      </c>
      <c r="B143" s="119" t="s">
        <v>1681</v>
      </c>
      <c r="C143" s="120" t="s">
        <v>328</v>
      </c>
      <c r="D143" s="441">
        <v>24.73</v>
      </c>
    </row>
    <row r="144" spans="1:4" ht="31.5" customHeight="1">
      <c r="A144" s="120">
        <v>92853</v>
      </c>
      <c r="B144" s="119" t="s">
        <v>1682</v>
      </c>
      <c r="C144" s="120" t="s">
        <v>328</v>
      </c>
      <c r="D144" s="441">
        <v>299.64999999999998</v>
      </c>
    </row>
    <row r="145" spans="1:4" ht="47.25" customHeight="1">
      <c r="A145" s="120">
        <v>92854</v>
      </c>
      <c r="B145" s="119" t="s">
        <v>1683</v>
      </c>
      <c r="C145" s="120" t="s">
        <v>328</v>
      </c>
      <c r="D145" s="441">
        <v>30.11</v>
      </c>
    </row>
    <row r="146" spans="1:4" ht="31.5" customHeight="1">
      <c r="A146" s="120">
        <v>92855</v>
      </c>
      <c r="B146" s="119" t="s">
        <v>1684</v>
      </c>
      <c r="C146" s="120" t="s">
        <v>328</v>
      </c>
      <c r="D146" s="441">
        <v>365.68</v>
      </c>
    </row>
    <row r="147" spans="1:4" ht="47.25" customHeight="1">
      <c r="A147" s="120">
        <v>92856</v>
      </c>
      <c r="B147" s="119" t="s">
        <v>1685</v>
      </c>
      <c r="C147" s="120" t="s">
        <v>328</v>
      </c>
      <c r="D147" s="441">
        <v>35.49</v>
      </c>
    </row>
    <row r="148" spans="1:4" ht="31.5" customHeight="1">
      <c r="A148" s="120">
        <v>92857</v>
      </c>
      <c r="B148" s="119" t="s">
        <v>1686</v>
      </c>
      <c r="C148" s="120" t="s">
        <v>328</v>
      </c>
      <c r="D148" s="441">
        <v>472.8</v>
      </c>
    </row>
    <row r="149" spans="1:4" ht="47.25" customHeight="1">
      <c r="A149" s="120">
        <v>92858</v>
      </c>
      <c r="B149" s="119" t="s">
        <v>1687</v>
      </c>
      <c r="C149" s="120" t="s">
        <v>328</v>
      </c>
      <c r="D149" s="441">
        <v>40.619999999999997</v>
      </c>
    </row>
    <row r="150" spans="1:4" ht="31.5" customHeight="1">
      <c r="A150" s="120">
        <v>92859</v>
      </c>
      <c r="B150" s="119" t="s">
        <v>1688</v>
      </c>
      <c r="C150" s="120" t="s">
        <v>328</v>
      </c>
      <c r="D150" s="441">
        <v>492.39</v>
      </c>
    </row>
    <row r="151" spans="1:4" ht="47.25" customHeight="1">
      <c r="A151" s="120">
        <v>92860</v>
      </c>
      <c r="B151" s="119" t="s">
        <v>1689</v>
      </c>
      <c r="C151" s="120" t="s">
        <v>328</v>
      </c>
      <c r="D151" s="441">
        <v>46.11</v>
      </c>
    </row>
    <row r="152" spans="1:4" ht="31.5" customHeight="1">
      <c r="A152" s="120">
        <v>92861</v>
      </c>
      <c r="B152" s="119" t="s">
        <v>1690</v>
      </c>
      <c r="C152" s="120" t="s">
        <v>328</v>
      </c>
      <c r="D152" s="441">
        <v>718.65</v>
      </c>
    </row>
    <row r="153" spans="1:4" ht="47.25" customHeight="1">
      <c r="A153" s="120">
        <v>92862</v>
      </c>
      <c r="B153" s="119" t="s">
        <v>1691</v>
      </c>
      <c r="C153" s="120" t="s">
        <v>328</v>
      </c>
      <c r="D153" s="441">
        <v>51.46</v>
      </c>
    </row>
    <row r="154" spans="1:4" ht="31.5" customHeight="1">
      <c r="A154" s="120">
        <v>92863</v>
      </c>
      <c r="B154" s="119" t="s">
        <v>1692</v>
      </c>
      <c r="C154" s="120" t="s">
        <v>328</v>
      </c>
      <c r="D154" s="441">
        <v>740.94</v>
      </c>
    </row>
    <row r="155" spans="1:4" ht="47.25" customHeight="1">
      <c r="A155" s="120">
        <v>92864</v>
      </c>
      <c r="B155" s="119" t="s">
        <v>1693</v>
      </c>
      <c r="C155" s="120" t="s">
        <v>328</v>
      </c>
      <c r="D155" s="441">
        <v>56.84</v>
      </c>
    </row>
    <row r="156" spans="1:4" ht="31.5" customHeight="1">
      <c r="A156" s="120">
        <v>92210</v>
      </c>
      <c r="B156" s="119" t="s">
        <v>1694</v>
      </c>
      <c r="C156" s="120" t="s">
        <v>328</v>
      </c>
      <c r="D156" s="441">
        <v>144.79</v>
      </c>
    </row>
    <row r="157" spans="1:4" ht="31.5" customHeight="1">
      <c r="A157" s="120">
        <v>92211</v>
      </c>
      <c r="B157" s="119" t="s">
        <v>1695</v>
      </c>
      <c r="C157" s="120" t="s">
        <v>328</v>
      </c>
      <c r="D157" s="441">
        <v>174.29</v>
      </c>
    </row>
    <row r="158" spans="1:4" ht="31.5" customHeight="1">
      <c r="A158" s="120">
        <v>92212</v>
      </c>
      <c r="B158" s="119" t="s">
        <v>1696</v>
      </c>
      <c r="C158" s="120" t="s">
        <v>328</v>
      </c>
      <c r="D158" s="441">
        <v>251.01</v>
      </c>
    </row>
    <row r="159" spans="1:4" ht="31.5" customHeight="1">
      <c r="A159" s="120">
        <v>92213</v>
      </c>
      <c r="B159" s="119" t="s">
        <v>1697</v>
      </c>
      <c r="C159" s="120" t="s">
        <v>328</v>
      </c>
      <c r="D159" s="441">
        <v>324.36</v>
      </c>
    </row>
    <row r="160" spans="1:4" ht="31.5" customHeight="1">
      <c r="A160" s="120">
        <v>92214</v>
      </c>
      <c r="B160" s="119" t="s">
        <v>1698</v>
      </c>
      <c r="C160" s="120" t="s">
        <v>328</v>
      </c>
      <c r="D160" s="441">
        <v>389.52</v>
      </c>
    </row>
    <row r="161" spans="1:4" ht="31.5" customHeight="1">
      <c r="A161" s="120">
        <v>92215</v>
      </c>
      <c r="B161" s="119" t="s">
        <v>1699</v>
      </c>
      <c r="C161" s="120" t="s">
        <v>328</v>
      </c>
      <c r="D161" s="441">
        <v>446.63</v>
      </c>
    </row>
    <row r="162" spans="1:4" ht="31.5" customHeight="1">
      <c r="A162" s="120">
        <v>92216</v>
      </c>
      <c r="B162" s="119" t="s">
        <v>1700</v>
      </c>
      <c r="C162" s="120" t="s">
        <v>328</v>
      </c>
      <c r="D162" s="441">
        <v>471.26</v>
      </c>
    </row>
    <row r="163" spans="1:4" ht="31.5" customHeight="1">
      <c r="A163" s="120">
        <v>92219</v>
      </c>
      <c r="B163" s="119" t="s">
        <v>1701</v>
      </c>
      <c r="C163" s="120" t="s">
        <v>328</v>
      </c>
      <c r="D163" s="441">
        <v>156.29</v>
      </c>
    </row>
    <row r="164" spans="1:4" ht="31.5" customHeight="1">
      <c r="A164" s="120">
        <v>92220</v>
      </c>
      <c r="B164" s="119" t="s">
        <v>1702</v>
      </c>
      <c r="C164" s="120" t="s">
        <v>328</v>
      </c>
      <c r="D164" s="441">
        <v>188.54</v>
      </c>
    </row>
    <row r="165" spans="1:4" ht="31.5" customHeight="1">
      <c r="A165" s="120">
        <v>92221</v>
      </c>
      <c r="B165" s="119" t="s">
        <v>1703</v>
      </c>
      <c r="C165" s="120" t="s">
        <v>328</v>
      </c>
      <c r="D165" s="441">
        <v>267.70999999999998</v>
      </c>
    </row>
    <row r="166" spans="1:4" ht="31.5" customHeight="1">
      <c r="A166" s="120">
        <v>92222</v>
      </c>
      <c r="B166" s="119" t="s">
        <v>1704</v>
      </c>
      <c r="C166" s="120" t="s">
        <v>328</v>
      </c>
      <c r="D166" s="441">
        <v>343.75</v>
      </c>
    </row>
    <row r="167" spans="1:4" ht="31.5" customHeight="1">
      <c r="A167" s="120">
        <v>92223</v>
      </c>
      <c r="B167" s="119" t="s">
        <v>1705</v>
      </c>
      <c r="C167" s="120" t="s">
        <v>328</v>
      </c>
      <c r="D167" s="441">
        <v>411.22</v>
      </c>
    </row>
    <row r="168" spans="1:4" ht="31.5" customHeight="1">
      <c r="A168" s="120">
        <v>92224</v>
      </c>
      <c r="B168" s="119" t="s">
        <v>1706</v>
      </c>
      <c r="C168" s="120" t="s">
        <v>328</v>
      </c>
      <c r="D168" s="441">
        <v>470.73</v>
      </c>
    </row>
    <row r="169" spans="1:4" ht="31.5" customHeight="1">
      <c r="A169" s="120">
        <v>92226</v>
      </c>
      <c r="B169" s="119" t="s">
        <v>1707</v>
      </c>
      <c r="C169" s="120" t="s">
        <v>328</v>
      </c>
      <c r="D169" s="441">
        <v>498.23</v>
      </c>
    </row>
    <row r="170" spans="1:4" ht="47.25" customHeight="1">
      <c r="A170" s="120">
        <v>92808</v>
      </c>
      <c r="B170" s="119" t="s">
        <v>1708</v>
      </c>
      <c r="C170" s="120" t="s">
        <v>328</v>
      </c>
      <c r="D170" s="441">
        <v>46.53</v>
      </c>
    </row>
    <row r="171" spans="1:4" ht="47.25" customHeight="1">
      <c r="A171" s="120">
        <v>92809</v>
      </c>
      <c r="B171" s="119" t="s">
        <v>1709</v>
      </c>
      <c r="C171" s="120" t="s">
        <v>328</v>
      </c>
      <c r="D171" s="441">
        <v>59.63</v>
      </c>
    </row>
    <row r="172" spans="1:4" ht="47.25" customHeight="1">
      <c r="A172" s="120">
        <v>92810</v>
      </c>
      <c r="B172" s="119" t="s">
        <v>1710</v>
      </c>
      <c r="C172" s="120" t="s">
        <v>328</v>
      </c>
      <c r="D172" s="441">
        <v>72.510000000000005</v>
      </c>
    </row>
    <row r="173" spans="1:4" ht="47.25" customHeight="1">
      <c r="A173" s="120">
        <v>92811</v>
      </c>
      <c r="B173" s="119" t="s">
        <v>1711</v>
      </c>
      <c r="C173" s="120" t="s">
        <v>328</v>
      </c>
      <c r="D173" s="441">
        <v>86.21</v>
      </c>
    </row>
    <row r="174" spans="1:4" ht="47.25" customHeight="1">
      <c r="A174" s="120">
        <v>92812</v>
      </c>
      <c r="B174" s="119" t="s">
        <v>1712</v>
      </c>
      <c r="C174" s="120" t="s">
        <v>328</v>
      </c>
      <c r="D174" s="441">
        <v>99.74</v>
      </c>
    </row>
    <row r="175" spans="1:4" ht="47.25" customHeight="1">
      <c r="A175" s="120">
        <v>92813</v>
      </c>
      <c r="B175" s="119" t="s">
        <v>1713</v>
      </c>
      <c r="C175" s="120" t="s">
        <v>328</v>
      </c>
      <c r="D175" s="441">
        <v>115.33</v>
      </c>
    </row>
    <row r="176" spans="1:4" ht="47.25" customHeight="1">
      <c r="A176" s="120">
        <v>92814</v>
      </c>
      <c r="B176" s="119" t="s">
        <v>1714</v>
      </c>
      <c r="C176" s="120" t="s">
        <v>328</v>
      </c>
      <c r="D176" s="441">
        <v>131.58000000000001</v>
      </c>
    </row>
    <row r="177" spans="1:4" ht="47.25" customHeight="1">
      <c r="A177" s="120">
        <v>92815</v>
      </c>
      <c r="B177" s="119" t="s">
        <v>1715</v>
      </c>
      <c r="C177" s="120" t="s">
        <v>328</v>
      </c>
      <c r="D177" s="441">
        <v>149.97999999999999</v>
      </c>
    </row>
    <row r="178" spans="1:4" ht="31.5" customHeight="1">
      <c r="A178" s="120">
        <v>92816</v>
      </c>
      <c r="B178" s="119" t="s">
        <v>1716</v>
      </c>
      <c r="C178" s="120" t="s">
        <v>328</v>
      </c>
      <c r="D178" s="441">
        <v>667.53</v>
      </c>
    </row>
    <row r="179" spans="1:4" ht="47.25" customHeight="1">
      <c r="A179" s="120">
        <v>92817</v>
      </c>
      <c r="B179" s="119" t="s">
        <v>1717</v>
      </c>
      <c r="C179" s="120" t="s">
        <v>328</v>
      </c>
      <c r="D179" s="441">
        <v>187.68</v>
      </c>
    </row>
    <row r="180" spans="1:4" ht="31.5" customHeight="1">
      <c r="A180" s="120">
        <v>92818</v>
      </c>
      <c r="B180" s="119" t="s">
        <v>1718</v>
      </c>
      <c r="C180" s="120" t="s">
        <v>328</v>
      </c>
      <c r="D180" s="441">
        <v>947.82</v>
      </c>
    </row>
    <row r="181" spans="1:4" ht="47.25" customHeight="1">
      <c r="A181" s="120">
        <v>92819</v>
      </c>
      <c r="B181" s="119" t="s">
        <v>1719</v>
      </c>
      <c r="C181" s="120" t="s">
        <v>328</v>
      </c>
      <c r="D181" s="441">
        <v>252.63</v>
      </c>
    </row>
    <row r="182" spans="1:4" ht="47.25" customHeight="1">
      <c r="A182" s="120">
        <v>92820</v>
      </c>
      <c r="B182" s="119" t="s">
        <v>1720</v>
      </c>
      <c r="C182" s="120" t="s">
        <v>328</v>
      </c>
      <c r="D182" s="441">
        <v>55.52</v>
      </c>
    </row>
    <row r="183" spans="1:4" ht="47.25" customHeight="1">
      <c r="A183" s="120">
        <v>92821</v>
      </c>
      <c r="B183" s="119" t="s">
        <v>1721</v>
      </c>
      <c r="C183" s="120" t="s">
        <v>328</v>
      </c>
      <c r="D183" s="441">
        <v>71.13</v>
      </c>
    </row>
    <row r="184" spans="1:4" ht="47.25" customHeight="1">
      <c r="A184" s="120">
        <v>92822</v>
      </c>
      <c r="B184" s="119" t="s">
        <v>1722</v>
      </c>
      <c r="C184" s="120" t="s">
        <v>328</v>
      </c>
      <c r="D184" s="441">
        <v>86.76</v>
      </c>
    </row>
    <row r="185" spans="1:4" ht="47.25" customHeight="1">
      <c r="A185" s="120">
        <v>92824</v>
      </c>
      <c r="B185" s="119" t="s">
        <v>1723</v>
      </c>
      <c r="C185" s="120" t="s">
        <v>328</v>
      </c>
      <c r="D185" s="441">
        <v>102.91</v>
      </c>
    </row>
    <row r="186" spans="1:4" ht="47.25" customHeight="1">
      <c r="A186" s="120">
        <v>92825</v>
      </c>
      <c r="B186" s="119" t="s">
        <v>1724</v>
      </c>
      <c r="C186" s="120" t="s">
        <v>328</v>
      </c>
      <c r="D186" s="441">
        <v>119.13</v>
      </c>
    </row>
    <row r="187" spans="1:4" ht="47.25" customHeight="1">
      <c r="A187" s="120">
        <v>92826</v>
      </c>
      <c r="B187" s="119" t="s">
        <v>1725</v>
      </c>
      <c r="C187" s="120" t="s">
        <v>328</v>
      </c>
      <c r="D187" s="441">
        <v>137.03</v>
      </c>
    </row>
    <row r="188" spans="1:4" ht="47.25" customHeight="1">
      <c r="A188" s="120">
        <v>92827</v>
      </c>
      <c r="B188" s="119" t="s">
        <v>1726</v>
      </c>
      <c r="C188" s="120" t="s">
        <v>328</v>
      </c>
      <c r="D188" s="441">
        <v>155.68</v>
      </c>
    </row>
    <row r="189" spans="1:4" ht="47.25" customHeight="1">
      <c r="A189" s="120">
        <v>92828</v>
      </c>
      <c r="B189" s="119" t="s">
        <v>1727</v>
      </c>
      <c r="C189" s="120" t="s">
        <v>328</v>
      </c>
      <c r="D189" s="441">
        <v>176.95</v>
      </c>
    </row>
    <row r="190" spans="1:4" ht="31.5" customHeight="1">
      <c r="A190" s="120">
        <v>92829</v>
      </c>
      <c r="B190" s="119" t="s">
        <v>1728</v>
      </c>
      <c r="C190" s="120" t="s">
        <v>328</v>
      </c>
      <c r="D190" s="441">
        <v>699.37</v>
      </c>
    </row>
    <row r="191" spans="1:4" ht="47.25" customHeight="1">
      <c r="A191" s="120">
        <v>92830</v>
      </c>
      <c r="B191" s="119" t="s">
        <v>1729</v>
      </c>
      <c r="C191" s="120" t="s">
        <v>328</v>
      </c>
      <c r="D191" s="441">
        <v>219.52</v>
      </c>
    </row>
    <row r="192" spans="1:4" ht="31.5" customHeight="1">
      <c r="A192" s="120">
        <v>92831</v>
      </c>
      <c r="B192" s="119" t="s">
        <v>1730</v>
      </c>
      <c r="C192" s="120" t="s">
        <v>328</v>
      </c>
      <c r="D192" s="441">
        <v>986.99</v>
      </c>
    </row>
    <row r="193" spans="1:4" ht="47.25" customHeight="1">
      <c r="A193" s="120">
        <v>92832</v>
      </c>
      <c r="B193" s="119" t="s">
        <v>1731</v>
      </c>
      <c r="C193" s="120" t="s">
        <v>328</v>
      </c>
      <c r="D193" s="441">
        <v>291.8</v>
      </c>
    </row>
    <row r="194" spans="1:4" ht="31.5" customHeight="1">
      <c r="A194" s="120">
        <v>95565</v>
      </c>
      <c r="B194" s="119" t="s">
        <v>1732</v>
      </c>
      <c r="C194" s="120" t="s">
        <v>328</v>
      </c>
      <c r="D194" s="441">
        <v>121.99</v>
      </c>
    </row>
    <row r="195" spans="1:4" ht="31.5" customHeight="1">
      <c r="A195" s="120">
        <v>95566</v>
      </c>
      <c r="B195" s="119" t="s">
        <v>1733</v>
      </c>
      <c r="C195" s="120" t="s">
        <v>328</v>
      </c>
      <c r="D195" s="441">
        <v>130.97999999999999</v>
      </c>
    </row>
    <row r="196" spans="1:4" ht="47.25" customHeight="1">
      <c r="A196" s="120">
        <v>95567</v>
      </c>
      <c r="B196" s="119" t="s">
        <v>1734</v>
      </c>
      <c r="C196" s="120" t="s">
        <v>328</v>
      </c>
      <c r="D196" s="441">
        <v>75.88</v>
      </c>
    </row>
    <row r="197" spans="1:4" ht="47.25" customHeight="1">
      <c r="A197" s="120">
        <v>95568</v>
      </c>
      <c r="B197" s="119" t="s">
        <v>1735</v>
      </c>
      <c r="C197" s="120" t="s">
        <v>328</v>
      </c>
      <c r="D197" s="441">
        <v>94.32</v>
      </c>
    </row>
    <row r="198" spans="1:4" ht="47.25" customHeight="1">
      <c r="A198" s="120">
        <v>95569</v>
      </c>
      <c r="B198" s="119" t="s">
        <v>1736</v>
      </c>
      <c r="C198" s="120" t="s">
        <v>328</v>
      </c>
      <c r="D198" s="441">
        <v>124.13</v>
      </c>
    </row>
    <row r="199" spans="1:4" ht="47.25" customHeight="1">
      <c r="A199" s="120">
        <v>95570</v>
      </c>
      <c r="B199" s="119" t="s">
        <v>1737</v>
      </c>
      <c r="C199" s="120" t="s">
        <v>328</v>
      </c>
      <c r="D199" s="441">
        <v>84.87</v>
      </c>
    </row>
    <row r="200" spans="1:4" ht="47.25" customHeight="1">
      <c r="A200" s="120">
        <v>95571</v>
      </c>
      <c r="B200" s="119" t="s">
        <v>1738</v>
      </c>
      <c r="C200" s="120" t="s">
        <v>328</v>
      </c>
      <c r="D200" s="441">
        <v>105.82</v>
      </c>
    </row>
    <row r="201" spans="1:4" ht="47.25" customHeight="1">
      <c r="A201" s="120">
        <v>95572</v>
      </c>
      <c r="B201" s="119" t="s">
        <v>1739</v>
      </c>
      <c r="C201" s="120" t="s">
        <v>328</v>
      </c>
      <c r="D201" s="441">
        <v>138.38</v>
      </c>
    </row>
    <row r="202" spans="1:4" ht="47.25" customHeight="1">
      <c r="A202" s="120">
        <v>97127</v>
      </c>
      <c r="B202" s="119" t="s">
        <v>1740</v>
      </c>
      <c r="C202" s="120" t="s">
        <v>328</v>
      </c>
      <c r="D202" s="441">
        <v>6.16</v>
      </c>
    </row>
    <row r="203" spans="1:4" ht="47.25" customHeight="1">
      <c r="A203" s="120">
        <v>97128</v>
      </c>
      <c r="B203" s="119" t="s">
        <v>1741</v>
      </c>
      <c r="C203" s="120" t="s">
        <v>328</v>
      </c>
      <c r="D203" s="441">
        <v>11.82</v>
      </c>
    </row>
    <row r="204" spans="1:4" ht="47.25" customHeight="1">
      <c r="A204" s="120">
        <v>97129</v>
      </c>
      <c r="B204" s="119" t="s">
        <v>1742</v>
      </c>
      <c r="C204" s="120" t="s">
        <v>328</v>
      </c>
      <c r="D204" s="441">
        <v>14.54</v>
      </c>
    </row>
    <row r="205" spans="1:4" ht="47.25" customHeight="1">
      <c r="A205" s="120">
        <v>97130</v>
      </c>
      <c r="B205" s="119" t="s">
        <v>1743</v>
      </c>
      <c r="C205" s="120" t="s">
        <v>328</v>
      </c>
      <c r="D205" s="441">
        <v>17.260000000000002</v>
      </c>
    </row>
    <row r="206" spans="1:4" ht="47.25" customHeight="1">
      <c r="A206" s="120">
        <v>97131</v>
      </c>
      <c r="B206" s="119" t="s">
        <v>1744</v>
      </c>
      <c r="C206" s="120" t="s">
        <v>328</v>
      </c>
      <c r="D206" s="441">
        <v>19.96</v>
      </c>
    </row>
    <row r="207" spans="1:4" ht="47.25" customHeight="1">
      <c r="A207" s="120">
        <v>97132</v>
      </c>
      <c r="B207" s="119" t="s">
        <v>1745</v>
      </c>
      <c r="C207" s="120" t="s">
        <v>328</v>
      </c>
      <c r="D207" s="441">
        <v>22.66</v>
      </c>
    </row>
    <row r="208" spans="1:4" ht="47.25" customHeight="1">
      <c r="A208" s="120">
        <v>97133</v>
      </c>
      <c r="B208" s="119" t="s">
        <v>1746</v>
      </c>
      <c r="C208" s="120" t="s">
        <v>328</v>
      </c>
      <c r="D208" s="441">
        <v>28.09</v>
      </c>
    </row>
    <row r="209" spans="1:4" ht="47.25" customHeight="1">
      <c r="A209" s="120">
        <v>97134</v>
      </c>
      <c r="B209" s="119" t="s">
        <v>1747</v>
      </c>
      <c r="C209" s="120" t="s">
        <v>328</v>
      </c>
      <c r="D209" s="441">
        <v>2.81</v>
      </c>
    </row>
    <row r="210" spans="1:4" ht="47.25" customHeight="1">
      <c r="A210" s="120">
        <v>97135</v>
      </c>
      <c r="B210" s="119" t="s">
        <v>1748</v>
      </c>
      <c r="C210" s="120" t="s">
        <v>328</v>
      </c>
      <c r="D210" s="441">
        <v>5.93</v>
      </c>
    </row>
    <row r="211" spans="1:4" ht="47.25" customHeight="1">
      <c r="A211" s="120">
        <v>97136</v>
      </c>
      <c r="B211" s="119" t="s">
        <v>1749</v>
      </c>
      <c r="C211" s="120" t="s">
        <v>328</v>
      </c>
      <c r="D211" s="441">
        <v>7.29</v>
      </c>
    </row>
    <row r="212" spans="1:4" ht="47.25" customHeight="1">
      <c r="A212" s="120">
        <v>97137</v>
      </c>
      <c r="B212" s="119" t="s">
        <v>1750</v>
      </c>
      <c r="C212" s="120" t="s">
        <v>328</v>
      </c>
      <c r="D212" s="441">
        <v>8.66</v>
      </c>
    </row>
    <row r="213" spans="1:4" ht="47.25" customHeight="1">
      <c r="A213" s="120">
        <v>97138</v>
      </c>
      <c r="B213" s="119" t="s">
        <v>1751</v>
      </c>
      <c r="C213" s="120" t="s">
        <v>328</v>
      </c>
      <c r="D213" s="441">
        <v>10.01</v>
      </c>
    </row>
    <row r="214" spans="1:4" ht="47.25" customHeight="1">
      <c r="A214" s="120">
        <v>97139</v>
      </c>
      <c r="B214" s="119" t="s">
        <v>1752</v>
      </c>
      <c r="C214" s="120" t="s">
        <v>328</v>
      </c>
      <c r="D214" s="441">
        <v>11.37</v>
      </c>
    </row>
    <row r="215" spans="1:4" ht="47.25" customHeight="1">
      <c r="A215" s="120">
        <v>97140</v>
      </c>
      <c r="B215" s="119" t="s">
        <v>1753</v>
      </c>
      <c r="C215" s="120" t="s">
        <v>328</v>
      </c>
      <c r="D215" s="441">
        <v>14.1</v>
      </c>
    </row>
    <row r="216" spans="1:4" ht="31.5" customHeight="1">
      <c r="A216" s="120">
        <v>103089</v>
      </c>
      <c r="B216" s="119" t="s">
        <v>1754</v>
      </c>
      <c r="C216" s="120" t="s">
        <v>328</v>
      </c>
      <c r="D216" s="441">
        <v>11.97</v>
      </c>
    </row>
    <row r="217" spans="1:4" ht="31.5" customHeight="1">
      <c r="A217" s="120">
        <v>103090</v>
      </c>
      <c r="B217" s="119" t="s">
        <v>1755</v>
      </c>
      <c r="C217" s="120" t="s">
        <v>328</v>
      </c>
      <c r="D217" s="441">
        <v>14.34</v>
      </c>
    </row>
    <row r="218" spans="1:4" ht="31.5" customHeight="1">
      <c r="A218" s="120">
        <v>103091</v>
      </c>
      <c r="B218" s="119" t="s">
        <v>1756</v>
      </c>
      <c r="C218" s="120" t="s">
        <v>328</v>
      </c>
      <c r="D218" s="441">
        <v>20.23</v>
      </c>
    </row>
    <row r="219" spans="1:4" ht="31.5" customHeight="1">
      <c r="A219" s="120">
        <v>103092</v>
      </c>
      <c r="B219" s="119" t="s">
        <v>1757</v>
      </c>
      <c r="C219" s="120" t="s">
        <v>328</v>
      </c>
      <c r="D219" s="441">
        <v>26.12</v>
      </c>
    </row>
    <row r="220" spans="1:4" ht="31.5" customHeight="1">
      <c r="A220" s="120">
        <v>103093</v>
      </c>
      <c r="B220" s="119" t="s">
        <v>1758</v>
      </c>
      <c r="C220" s="120" t="s">
        <v>328</v>
      </c>
      <c r="D220" s="441">
        <v>39.950000000000003</v>
      </c>
    </row>
    <row r="221" spans="1:4" ht="31.5" customHeight="1">
      <c r="A221" s="120">
        <v>103094</v>
      </c>
      <c r="B221" s="119" t="s">
        <v>1759</v>
      </c>
      <c r="C221" s="120" t="s">
        <v>328</v>
      </c>
      <c r="D221" s="441">
        <v>45.86</v>
      </c>
    </row>
    <row r="222" spans="1:4" ht="31.5" customHeight="1">
      <c r="A222" s="120">
        <v>103095</v>
      </c>
      <c r="B222" s="119" t="s">
        <v>1760</v>
      </c>
      <c r="C222" s="120" t="s">
        <v>328</v>
      </c>
      <c r="D222" s="441">
        <v>59.66</v>
      </c>
    </row>
    <row r="223" spans="1:4" ht="31.5" customHeight="1">
      <c r="A223" s="120">
        <v>103096</v>
      </c>
      <c r="B223" s="119" t="s">
        <v>1761</v>
      </c>
      <c r="C223" s="120" t="s">
        <v>328</v>
      </c>
      <c r="D223" s="441">
        <v>65.59</v>
      </c>
    </row>
    <row r="224" spans="1:4" ht="31.5" customHeight="1">
      <c r="A224" s="120">
        <v>103097</v>
      </c>
      <c r="B224" s="119" t="s">
        <v>1762</v>
      </c>
      <c r="C224" s="120" t="s">
        <v>328</v>
      </c>
      <c r="D224" s="441">
        <v>79.41</v>
      </c>
    </row>
    <row r="225" spans="1:4" ht="31.5" customHeight="1">
      <c r="A225" s="120">
        <v>103098</v>
      </c>
      <c r="B225" s="119" t="s">
        <v>1763</v>
      </c>
      <c r="C225" s="120" t="s">
        <v>328</v>
      </c>
      <c r="D225" s="441">
        <v>85.32</v>
      </c>
    </row>
    <row r="226" spans="1:4" ht="31.5" customHeight="1">
      <c r="A226" s="120">
        <v>103099</v>
      </c>
      <c r="B226" s="119" t="s">
        <v>1764</v>
      </c>
      <c r="C226" s="120" t="s">
        <v>328</v>
      </c>
      <c r="D226" s="441">
        <v>97.11</v>
      </c>
    </row>
    <row r="227" spans="1:4" ht="31.5" customHeight="1">
      <c r="A227" s="120">
        <v>103100</v>
      </c>
      <c r="B227" s="119" t="s">
        <v>1765</v>
      </c>
      <c r="C227" s="120" t="s">
        <v>328</v>
      </c>
      <c r="D227" s="441">
        <v>103.68</v>
      </c>
    </row>
    <row r="228" spans="1:4" ht="31.5" customHeight="1">
      <c r="A228" s="120">
        <v>103101</v>
      </c>
      <c r="B228" s="119" t="s">
        <v>1766</v>
      </c>
      <c r="C228" s="120" t="s">
        <v>328</v>
      </c>
      <c r="D228" s="441">
        <v>114.25</v>
      </c>
    </row>
    <row r="229" spans="1:4" ht="31.5" customHeight="1">
      <c r="A229" s="120">
        <v>103102</v>
      </c>
      <c r="B229" s="119" t="s">
        <v>1767</v>
      </c>
      <c r="C229" s="120" t="s">
        <v>328</v>
      </c>
      <c r="D229" s="441">
        <v>131.56</v>
      </c>
    </row>
    <row r="230" spans="1:4" ht="31.5" customHeight="1">
      <c r="A230" s="120">
        <v>103103</v>
      </c>
      <c r="B230" s="119" t="s">
        <v>1768</v>
      </c>
      <c r="C230" s="120" t="s">
        <v>328</v>
      </c>
      <c r="D230" s="441">
        <v>142.12</v>
      </c>
    </row>
    <row r="231" spans="1:4" ht="31.5" customHeight="1">
      <c r="A231" s="120">
        <v>103104</v>
      </c>
      <c r="B231" s="119" t="s">
        <v>1769</v>
      </c>
      <c r="C231" s="120" t="s">
        <v>328</v>
      </c>
      <c r="D231" s="441">
        <v>170.01</v>
      </c>
    </row>
    <row r="232" spans="1:4" ht="31.5" customHeight="1">
      <c r="A232" s="120">
        <v>103105</v>
      </c>
      <c r="B232" s="119" t="s">
        <v>1770</v>
      </c>
      <c r="C232" s="120" t="s">
        <v>331</v>
      </c>
      <c r="D232" s="441">
        <v>49.11</v>
      </c>
    </row>
    <row r="233" spans="1:4" ht="31.5" customHeight="1">
      <c r="A233" s="120">
        <v>103106</v>
      </c>
      <c r="B233" s="119" t="s">
        <v>1771</v>
      </c>
      <c r="C233" s="120" t="s">
        <v>331</v>
      </c>
      <c r="D233" s="441">
        <v>58.9</v>
      </c>
    </row>
    <row r="234" spans="1:4" ht="31.5" customHeight="1">
      <c r="A234" s="120">
        <v>103107</v>
      </c>
      <c r="B234" s="119" t="s">
        <v>1772</v>
      </c>
      <c r="C234" s="120" t="s">
        <v>331</v>
      </c>
      <c r="D234" s="441">
        <v>83.37</v>
      </c>
    </row>
    <row r="235" spans="1:4" ht="31.5" customHeight="1">
      <c r="A235" s="120">
        <v>103108</v>
      </c>
      <c r="B235" s="119" t="s">
        <v>1773</v>
      </c>
      <c r="C235" s="120" t="s">
        <v>331</v>
      </c>
      <c r="D235" s="441">
        <v>107.84</v>
      </c>
    </row>
    <row r="236" spans="1:4" ht="31.5" customHeight="1">
      <c r="A236" s="120">
        <v>103109</v>
      </c>
      <c r="B236" s="119" t="s">
        <v>1774</v>
      </c>
      <c r="C236" s="120" t="s">
        <v>331</v>
      </c>
      <c r="D236" s="441">
        <v>178.3</v>
      </c>
    </row>
    <row r="237" spans="1:4" ht="31.5" customHeight="1">
      <c r="A237" s="120">
        <v>103110</v>
      </c>
      <c r="B237" s="119" t="s">
        <v>1775</v>
      </c>
      <c r="C237" s="120" t="s">
        <v>331</v>
      </c>
      <c r="D237" s="441">
        <v>202.75</v>
      </c>
    </row>
    <row r="238" spans="1:4" ht="31.5" customHeight="1">
      <c r="A238" s="120">
        <v>103111</v>
      </c>
      <c r="B238" s="119" t="s">
        <v>1776</v>
      </c>
      <c r="C238" s="120" t="s">
        <v>331</v>
      </c>
      <c r="D238" s="441">
        <v>273.2</v>
      </c>
    </row>
    <row r="239" spans="1:4" ht="31.5" customHeight="1">
      <c r="A239" s="120">
        <v>103112</v>
      </c>
      <c r="B239" s="119" t="s">
        <v>1777</v>
      </c>
      <c r="C239" s="120" t="s">
        <v>331</v>
      </c>
      <c r="D239" s="441">
        <v>297.67</v>
      </c>
    </row>
    <row r="240" spans="1:4" ht="31.5" customHeight="1">
      <c r="A240" s="120">
        <v>103113</v>
      </c>
      <c r="B240" s="119" t="s">
        <v>1778</v>
      </c>
      <c r="C240" s="120" t="s">
        <v>331</v>
      </c>
      <c r="D240" s="441">
        <v>368.1</v>
      </c>
    </row>
    <row r="241" spans="1:4" ht="31.5" customHeight="1">
      <c r="A241" s="120">
        <v>103114</v>
      </c>
      <c r="B241" s="119" t="s">
        <v>1779</v>
      </c>
      <c r="C241" s="120" t="s">
        <v>331</v>
      </c>
      <c r="D241" s="441">
        <v>392.57</v>
      </c>
    </row>
    <row r="242" spans="1:4" ht="31.5" customHeight="1">
      <c r="A242" s="120">
        <v>103115</v>
      </c>
      <c r="B242" s="119" t="s">
        <v>1780</v>
      </c>
      <c r="C242" s="120" t="s">
        <v>331</v>
      </c>
      <c r="D242" s="441">
        <v>441.5</v>
      </c>
    </row>
    <row r="243" spans="1:4" ht="31.5" customHeight="1">
      <c r="A243" s="120">
        <v>103116</v>
      </c>
      <c r="B243" s="119" t="s">
        <v>1781</v>
      </c>
      <c r="C243" s="120" t="s">
        <v>331</v>
      </c>
      <c r="D243" s="441">
        <v>536.41</v>
      </c>
    </row>
    <row r="244" spans="1:4" ht="31.5" customHeight="1">
      <c r="A244" s="120">
        <v>103117</v>
      </c>
      <c r="B244" s="119" t="s">
        <v>1782</v>
      </c>
      <c r="C244" s="120" t="s">
        <v>331</v>
      </c>
      <c r="D244" s="441">
        <v>585.36</v>
      </c>
    </row>
    <row r="245" spans="1:4" ht="31.5" customHeight="1">
      <c r="A245" s="120">
        <v>103118</v>
      </c>
      <c r="B245" s="119" t="s">
        <v>1783</v>
      </c>
      <c r="C245" s="120" t="s">
        <v>331</v>
      </c>
      <c r="D245" s="441">
        <v>680.27</v>
      </c>
    </row>
    <row r="246" spans="1:4" ht="31.5" customHeight="1">
      <c r="A246" s="120">
        <v>103119</v>
      </c>
      <c r="B246" s="119" t="s">
        <v>1784</v>
      </c>
      <c r="C246" s="120" t="s">
        <v>331</v>
      </c>
      <c r="D246" s="441">
        <v>729.2</v>
      </c>
    </row>
    <row r="247" spans="1:4" ht="31.5" customHeight="1">
      <c r="A247" s="120">
        <v>103120</v>
      </c>
      <c r="B247" s="119" t="s">
        <v>1785</v>
      </c>
      <c r="C247" s="120" t="s">
        <v>331</v>
      </c>
      <c r="D247" s="441">
        <v>873.04</v>
      </c>
    </row>
    <row r="248" spans="1:4" ht="31.5" customHeight="1">
      <c r="A248" s="120">
        <v>103121</v>
      </c>
      <c r="B248" s="119" t="s">
        <v>1786</v>
      </c>
      <c r="C248" s="120" t="s">
        <v>331</v>
      </c>
      <c r="D248" s="441">
        <v>64.97</v>
      </c>
    </row>
    <row r="249" spans="1:4" ht="31.5" customHeight="1">
      <c r="A249" s="120">
        <v>103122</v>
      </c>
      <c r="B249" s="119" t="s">
        <v>1787</v>
      </c>
      <c r="C249" s="120" t="s">
        <v>331</v>
      </c>
      <c r="D249" s="441">
        <v>79.650000000000006</v>
      </c>
    </row>
    <row r="250" spans="1:4" ht="31.5" customHeight="1">
      <c r="A250" s="120">
        <v>103123</v>
      </c>
      <c r="B250" s="119" t="s">
        <v>1788</v>
      </c>
      <c r="C250" s="120" t="s">
        <v>331</v>
      </c>
      <c r="D250" s="441">
        <v>116.35</v>
      </c>
    </row>
    <row r="251" spans="1:4" ht="31.5" customHeight="1">
      <c r="A251" s="120">
        <v>103124</v>
      </c>
      <c r="B251" s="119" t="s">
        <v>1789</v>
      </c>
      <c r="C251" s="120" t="s">
        <v>331</v>
      </c>
      <c r="D251" s="441">
        <v>153.04</v>
      </c>
    </row>
    <row r="252" spans="1:4" ht="31.5" customHeight="1">
      <c r="A252" s="120">
        <v>103125</v>
      </c>
      <c r="B252" s="119" t="s">
        <v>1790</v>
      </c>
      <c r="C252" s="120" t="s">
        <v>331</v>
      </c>
      <c r="D252" s="441">
        <v>258.72000000000003</v>
      </c>
    </row>
    <row r="253" spans="1:4" ht="31.5" customHeight="1">
      <c r="A253" s="120">
        <v>103126</v>
      </c>
      <c r="B253" s="119" t="s">
        <v>1791</v>
      </c>
      <c r="C253" s="120" t="s">
        <v>331</v>
      </c>
      <c r="D253" s="441">
        <v>295.41000000000003</v>
      </c>
    </row>
    <row r="254" spans="1:4" ht="31.5" customHeight="1">
      <c r="A254" s="120">
        <v>103127</v>
      </c>
      <c r="B254" s="119" t="s">
        <v>1792</v>
      </c>
      <c r="C254" s="120" t="s">
        <v>331</v>
      </c>
      <c r="D254" s="441">
        <v>401.08</v>
      </c>
    </row>
    <row r="255" spans="1:4" ht="31.5" customHeight="1">
      <c r="A255" s="120">
        <v>103128</v>
      </c>
      <c r="B255" s="119" t="s">
        <v>1793</v>
      </c>
      <c r="C255" s="120" t="s">
        <v>331</v>
      </c>
      <c r="D255" s="441">
        <v>437.78</v>
      </c>
    </row>
    <row r="256" spans="1:4" ht="31.5" customHeight="1">
      <c r="A256" s="120">
        <v>103129</v>
      </c>
      <c r="B256" s="119" t="s">
        <v>1794</v>
      </c>
      <c r="C256" s="120" t="s">
        <v>331</v>
      </c>
      <c r="D256" s="441">
        <v>543.46</v>
      </c>
    </row>
    <row r="257" spans="1:4" ht="31.5" customHeight="1">
      <c r="A257" s="120">
        <v>103130</v>
      </c>
      <c r="B257" s="119" t="s">
        <v>1795</v>
      </c>
      <c r="C257" s="120" t="s">
        <v>331</v>
      </c>
      <c r="D257" s="441">
        <v>580.14</v>
      </c>
    </row>
    <row r="258" spans="1:4" ht="31.5" customHeight="1">
      <c r="A258" s="120">
        <v>103131</v>
      </c>
      <c r="B258" s="119" t="s">
        <v>1796</v>
      </c>
      <c r="C258" s="120" t="s">
        <v>331</v>
      </c>
      <c r="D258" s="441">
        <v>653.54999999999995</v>
      </c>
    </row>
    <row r="259" spans="1:4" ht="31.5" customHeight="1">
      <c r="A259" s="120">
        <v>103132</v>
      </c>
      <c r="B259" s="119" t="s">
        <v>1797</v>
      </c>
      <c r="C259" s="120" t="s">
        <v>331</v>
      </c>
      <c r="D259" s="441">
        <v>795.91</v>
      </c>
    </row>
    <row r="260" spans="1:4" ht="31.5" customHeight="1">
      <c r="A260" s="120">
        <v>103133</v>
      </c>
      <c r="B260" s="119" t="s">
        <v>1798</v>
      </c>
      <c r="C260" s="120" t="s">
        <v>331</v>
      </c>
      <c r="D260" s="441">
        <v>869.3</v>
      </c>
    </row>
    <row r="261" spans="1:4" ht="31.5" customHeight="1">
      <c r="A261" s="120">
        <v>103134</v>
      </c>
      <c r="B261" s="119" t="s">
        <v>1799</v>
      </c>
      <c r="C261" s="120" t="s">
        <v>331</v>
      </c>
      <c r="D261" s="442">
        <v>1011.67</v>
      </c>
    </row>
    <row r="262" spans="1:4" ht="31.5" customHeight="1">
      <c r="A262" s="120">
        <v>103135</v>
      </c>
      <c r="B262" s="119" t="s">
        <v>1800</v>
      </c>
      <c r="C262" s="120" t="s">
        <v>331</v>
      </c>
      <c r="D262" s="442">
        <v>1085.07</v>
      </c>
    </row>
    <row r="263" spans="1:4" ht="31.5" customHeight="1">
      <c r="A263" s="120">
        <v>103136</v>
      </c>
      <c r="B263" s="119" t="s">
        <v>1801</v>
      </c>
      <c r="C263" s="120" t="s">
        <v>331</v>
      </c>
      <c r="D263" s="442">
        <v>1300.8399999999999</v>
      </c>
    </row>
    <row r="264" spans="1:4" ht="31.5" customHeight="1">
      <c r="A264" s="120">
        <v>103137</v>
      </c>
      <c r="B264" s="119" t="s">
        <v>1802</v>
      </c>
      <c r="C264" s="120" t="s">
        <v>331</v>
      </c>
      <c r="D264" s="441">
        <v>33.299999999999997</v>
      </c>
    </row>
    <row r="265" spans="1:4" ht="31.5" customHeight="1">
      <c r="A265" s="120">
        <v>103138</v>
      </c>
      <c r="B265" s="119" t="s">
        <v>1803</v>
      </c>
      <c r="C265" s="120" t="s">
        <v>331</v>
      </c>
      <c r="D265" s="441">
        <v>38.18</v>
      </c>
    </row>
    <row r="266" spans="1:4" ht="31.5" customHeight="1">
      <c r="A266" s="120">
        <v>103139</v>
      </c>
      <c r="B266" s="119" t="s">
        <v>1804</v>
      </c>
      <c r="C266" s="120" t="s">
        <v>331</v>
      </c>
      <c r="D266" s="441">
        <v>50.42</v>
      </c>
    </row>
    <row r="267" spans="1:4" ht="31.5" customHeight="1">
      <c r="A267" s="120">
        <v>103140</v>
      </c>
      <c r="B267" s="119" t="s">
        <v>1805</v>
      </c>
      <c r="C267" s="120" t="s">
        <v>331</v>
      </c>
      <c r="D267" s="441">
        <v>62.64</v>
      </c>
    </row>
    <row r="268" spans="1:4" ht="31.5" customHeight="1">
      <c r="A268" s="120">
        <v>103141</v>
      </c>
      <c r="B268" s="119" t="s">
        <v>1806</v>
      </c>
      <c r="C268" s="120" t="s">
        <v>331</v>
      </c>
      <c r="D268" s="441">
        <v>97.88</v>
      </c>
    </row>
    <row r="269" spans="1:4" ht="31.5" customHeight="1">
      <c r="A269" s="120">
        <v>103142</v>
      </c>
      <c r="B269" s="119" t="s">
        <v>1807</v>
      </c>
      <c r="C269" s="120" t="s">
        <v>331</v>
      </c>
      <c r="D269" s="441">
        <v>110.11</v>
      </c>
    </row>
    <row r="270" spans="1:4" ht="31.5" customHeight="1">
      <c r="A270" s="120">
        <v>103143</v>
      </c>
      <c r="B270" s="119" t="s">
        <v>1808</v>
      </c>
      <c r="C270" s="120" t="s">
        <v>331</v>
      </c>
      <c r="D270" s="441">
        <v>145.34</v>
      </c>
    </row>
    <row r="271" spans="1:4" ht="31.5" customHeight="1">
      <c r="A271" s="120">
        <v>103144</v>
      </c>
      <c r="B271" s="119" t="s">
        <v>1809</v>
      </c>
      <c r="C271" s="120" t="s">
        <v>331</v>
      </c>
      <c r="D271" s="441">
        <v>157.55000000000001</v>
      </c>
    </row>
    <row r="272" spans="1:4" ht="31.5" customHeight="1">
      <c r="A272" s="120">
        <v>103145</v>
      </c>
      <c r="B272" s="119" t="s">
        <v>1810</v>
      </c>
      <c r="C272" s="120" t="s">
        <v>331</v>
      </c>
      <c r="D272" s="441">
        <v>192.78</v>
      </c>
    </row>
    <row r="273" spans="1:4" ht="31.5" customHeight="1">
      <c r="A273" s="120">
        <v>103146</v>
      </c>
      <c r="B273" s="119" t="s">
        <v>1811</v>
      </c>
      <c r="C273" s="120" t="s">
        <v>331</v>
      </c>
      <c r="D273" s="441">
        <v>205</v>
      </c>
    </row>
    <row r="274" spans="1:4" ht="31.5" customHeight="1">
      <c r="A274" s="120">
        <v>103147</v>
      </c>
      <c r="B274" s="119" t="s">
        <v>1812</v>
      </c>
      <c r="C274" s="120" t="s">
        <v>331</v>
      </c>
      <c r="D274" s="441">
        <v>229.48</v>
      </c>
    </row>
    <row r="275" spans="1:4" ht="31.5" customHeight="1">
      <c r="A275" s="120">
        <v>103148</v>
      </c>
      <c r="B275" s="119" t="s">
        <v>1813</v>
      </c>
      <c r="C275" s="120" t="s">
        <v>331</v>
      </c>
      <c r="D275" s="441">
        <v>276.94</v>
      </c>
    </row>
    <row r="276" spans="1:4" ht="31.5" customHeight="1">
      <c r="A276" s="120">
        <v>103149</v>
      </c>
      <c r="B276" s="119" t="s">
        <v>1814</v>
      </c>
      <c r="C276" s="120" t="s">
        <v>331</v>
      </c>
      <c r="D276" s="441">
        <v>301.39999999999998</v>
      </c>
    </row>
    <row r="277" spans="1:4" ht="31.5" customHeight="1">
      <c r="A277" s="120">
        <v>103150</v>
      </c>
      <c r="B277" s="119" t="s">
        <v>1815</v>
      </c>
      <c r="C277" s="120" t="s">
        <v>331</v>
      </c>
      <c r="D277" s="441">
        <v>348.81</v>
      </c>
    </row>
    <row r="278" spans="1:4" ht="31.5" customHeight="1">
      <c r="A278" s="120">
        <v>103151</v>
      </c>
      <c r="B278" s="119" t="s">
        <v>1816</v>
      </c>
      <c r="C278" s="120" t="s">
        <v>331</v>
      </c>
      <c r="D278" s="441">
        <v>373.32</v>
      </c>
    </row>
    <row r="279" spans="1:4" ht="31.5" customHeight="1">
      <c r="A279" s="120">
        <v>103152</v>
      </c>
      <c r="B279" s="119" t="s">
        <v>1817</v>
      </c>
      <c r="C279" s="120" t="s">
        <v>331</v>
      </c>
      <c r="D279" s="441">
        <v>445.25</v>
      </c>
    </row>
    <row r="280" spans="1:4" ht="31.5" customHeight="1">
      <c r="A280" s="120">
        <v>103372</v>
      </c>
      <c r="B280" s="119" t="s">
        <v>1818</v>
      </c>
      <c r="C280" s="120" t="s">
        <v>328</v>
      </c>
      <c r="D280" s="441">
        <v>5.87</v>
      </c>
    </row>
    <row r="281" spans="1:4" ht="31.5" customHeight="1">
      <c r="A281" s="120">
        <v>103373</v>
      </c>
      <c r="B281" s="119" t="s">
        <v>1819</v>
      </c>
      <c r="C281" s="120" t="s">
        <v>328</v>
      </c>
      <c r="D281" s="441">
        <v>11.5</v>
      </c>
    </row>
    <row r="282" spans="1:4" ht="31.5" customHeight="1">
      <c r="A282" s="120">
        <v>103376</v>
      </c>
      <c r="B282" s="119" t="s">
        <v>1820</v>
      </c>
      <c r="C282" s="120" t="s">
        <v>328</v>
      </c>
      <c r="D282" s="441">
        <v>136.58000000000001</v>
      </c>
    </row>
    <row r="283" spans="1:4" ht="31.5" customHeight="1">
      <c r="A283" s="120">
        <v>103377</v>
      </c>
      <c r="B283" s="119" t="s">
        <v>1821</v>
      </c>
      <c r="C283" s="120" t="s">
        <v>328</v>
      </c>
      <c r="D283" s="441">
        <v>292.14999999999998</v>
      </c>
    </row>
    <row r="284" spans="1:4" ht="31.5" customHeight="1">
      <c r="A284" s="120">
        <v>103379</v>
      </c>
      <c r="B284" s="119" t="s">
        <v>1822</v>
      </c>
      <c r="C284" s="120" t="s">
        <v>328</v>
      </c>
      <c r="D284" s="441">
        <v>454.78</v>
      </c>
    </row>
    <row r="285" spans="1:4" ht="31.5" customHeight="1">
      <c r="A285" s="120">
        <v>103383</v>
      </c>
      <c r="B285" s="119" t="s">
        <v>1823</v>
      </c>
      <c r="C285" s="120" t="s">
        <v>328</v>
      </c>
      <c r="D285" s="442">
        <v>1113.81</v>
      </c>
    </row>
    <row r="286" spans="1:4" ht="31.5" customHeight="1">
      <c r="A286" s="120">
        <v>103385</v>
      </c>
      <c r="B286" s="119" t="s">
        <v>1824</v>
      </c>
      <c r="C286" s="120" t="s">
        <v>328</v>
      </c>
      <c r="D286" s="442">
        <v>1795.78</v>
      </c>
    </row>
    <row r="287" spans="1:4" ht="31.5" customHeight="1">
      <c r="A287" s="120">
        <v>103387</v>
      </c>
      <c r="B287" s="119" t="s">
        <v>1825</v>
      </c>
      <c r="C287" s="120" t="s">
        <v>328</v>
      </c>
      <c r="D287" s="442">
        <v>3150.49</v>
      </c>
    </row>
    <row r="288" spans="1:4" ht="31.5" customHeight="1">
      <c r="A288" s="120">
        <v>103389</v>
      </c>
      <c r="B288" s="119" t="s">
        <v>1826</v>
      </c>
      <c r="C288" s="120" t="s">
        <v>328</v>
      </c>
      <c r="D288" s="442">
        <v>4685.32</v>
      </c>
    </row>
    <row r="289" spans="1:4" ht="31.5" customHeight="1">
      <c r="A289" s="120">
        <v>103391</v>
      </c>
      <c r="B289" s="119" t="s">
        <v>1827</v>
      </c>
      <c r="C289" s="120" t="s">
        <v>328</v>
      </c>
      <c r="D289" s="442">
        <v>3085.69</v>
      </c>
    </row>
    <row r="290" spans="1:4" ht="31.5" customHeight="1">
      <c r="A290" s="120">
        <v>103392</v>
      </c>
      <c r="B290" s="119" t="s">
        <v>1828</v>
      </c>
      <c r="C290" s="120" t="s">
        <v>328</v>
      </c>
      <c r="D290" s="442">
        <v>5044.2299999999996</v>
      </c>
    </row>
    <row r="291" spans="1:4" ht="31.5" customHeight="1">
      <c r="A291" s="120">
        <v>103393</v>
      </c>
      <c r="B291" s="119" t="s">
        <v>1829</v>
      </c>
      <c r="C291" s="120" t="s">
        <v>328</v>
      </c>
      <c r="D291" s="442">
        <v>5563.49</v>
      </c>
    </row>
    <row r="292" spans="1:4" ht="31.5" customHeight="1">
      <c r="A292" s="120">
        <v>103394</v>
      </c>
      <c r="B292" s="119" t="s">
        <v>1830</v>
      </c>
      <c r="C292" s="120" t="s">
        <v>328</v>
      </c>
      <c r="D292" s="442">
        <v>4122.3100000000004</v>
      </c>
    </row>
    <row r="293" spans="1:4" ht="31.5" customHeight="1">
      <c r="A293" s="120">
        <v>103395</v>
      </c>
      <c r="B293" s="119" t="s">
        <v>1831</v>
      </c>
      <c r="C293" s="120" t="s">
        <v>328</v>
      </c>
      <c r="D293" s="442">
        <v>2049.91</v>
      </c>
    </row>
    <row r="294" spans="1:4" ht="31.5" customHeight="1">
      <c r="A294" s="120">
        <v>103396</v>
      </c>
      <c r="B294" s="119" t="s">
        <v>1832</v>
      </c>
      <c r="C294" s="120" t="s">
        <v>328</v>
      </c>
      <c r="D294" s="442">
        <v>1385.07</v>
      </c>
    </row>
    <row r="295" spans="1:4" ht="31.5" customHeight="1">
      <c r="A295" s="120">
        <v>103397</v>
      </c>
      <c r="B295" s="119" t="s">
        <v>1833</v>
      </c>
      <c r="C295" s="120" t="s">
        <v>331</v>
      </c>
      <c r="D295" s="441">
        <v>4.59</v>
      </c>
    </row>
    <row r="296" spans="1:4" ht="31.5" customHeight="1">
      <c r="A296" s="120">
        <v>103398</v>
      </c>
      <c r="B296" s="119" t="s">
        <v>1834</v>
      </c>
      <c r="C296" s="120" t="s">
        <v>331</v>
      </c>
      <c r="D296" s="441">
        <v>7.35</v>
      </c>
    </row>
    <row r="297" spans="1:4" ht="31.5" customHeight="1">
      <c r="A297" s="120">
        <v>103399</v>
      </c>
      <c r="B297" s="119" t="s">
        <v>1835</v>
      </c>
      <c r="C297" s="120" t="s">
        <v>331</v>
      </c>
      <c r="D297" s="441">
        <v>14.46</v>
      </c>
    </row>
    <row r="298" spans="1:4" ht="31.5" customHeight="1">
      <c r="A298" s="120">
        <v>103400</v>
      </c>
      <c r="B298" s="119" t="s">
        <v>1836</v>
      </c>
      <c r="C298" s="120" t="s">
        <v>331</v>
      </c>
      <c r="D298" s="441">
        <v>20.67</v>
      </c>
    </row>
    <row r="299" spans="1:4" ht="31.5" customHeight="1">
      <c r="A299" s="120">
        <v>103401</v>
      </c>
      <c r="B299" s="119" t="s">
        <v>1837</v>
      </c>
      <c r="C299" s="120" t="s">
        <v>331</v>
      </c>
      <c r="D299" s="441">
        <v>25.27</v>
      </c>
    </row>
    <row r="300" spans="1:4" ht="31.5" customHeight="1">
      <c r="A300" s="120">
        <v>103402</v>
      </c>
      <c r="B300" s="119" t="s">
        <v>1838</v>
      </c>
      <c r="C300" s="120" t="s">
        <v>331</v>
      </c>
      <c r="D300" s="441">
        <v>36.75</v>
      </c>
    </row>
    <row r="301" spans="1:4" ht="31.5" customHeight="1">
      <c r="A301" s="120">
        <v>103403</v>
      </c>
      <c r="B301" s="119" t="s">
        <v>1839</v>
      </c>
      <c r="C301" s="120" t="s">
        <v>331</v>
      </c>
      <c r="D301" s="441">
        <v>41.35</v>
      </c>
    </row>
    <row r="302" spans="1:4" ht="31.5" customHeight="1">
      <c r="A302" s="120">
        <v>103404</v>
      </c>
      <c r="B302" s="119" t="s">
        <v>1840</v>
      </c>
      <c r="C302" s="120" t="s">
        <v>331</v>
      </c>
      <c r="D302" s="441">
        <v>45.94</v>
      </c>
    </row>
    <row r="303" spans="1:4" ht="31.5" customHeight="1">
      <c r="A303" s="120">
        <v>103405</v>
      </c>
      <c r="B303" s="119" t="s">
        <v>1841</v>
      </c>
      <c r="C303" s="120" t="s">
        <v>331</v>
      </c>
      <c r="D303" s="441">
        <v>51.69</v>
      </c>
    </row>
    <row r="304" spans="1:4" ht="31.5" customHeight="1">
      <c r="A304" s="120">
        <v>103406</v>
      </c>
      <c r="B304" s="119" t="s">
        <v>1842</v>
      </c>
      <c r="C304" s="120" t="s">
        <v>331</v>
      </c>
      <c r="D304" s="441">
        <v>57.43</v>
      </c>
    </row>
    <row r="305" spans="1:4" ht="31.5" customHeight="1">
      <c r="A305" s="120">
        <v>103407</v>
      </c>
      <c r="B305" s="119" t="s">
        <v>1843</v>
      </c>
      <c r="C305" s="120" t="s">
        <v>331</v>
      </c>
      <c r="D305" s="441">
        <v>64.319999999999993</v>
      </c>
    </row>
    <row r="306" spans="1:4" ht="31.5" customHeight="1">
      <c r="A306" s="120">
        <v>103408</v>
      </c>
      <c r="B306" s="119" t="s">
        <v>1844</v>
      </c>
      <c r="C306" s="120" t="s">
        <v>331</v>
      </c>
      <c r="D306" s="441">
        <v>72.37</v>
      </c>
    </row>
    <row r="307" spans="1:4" ht="31.5" customHeight="1">
      <c r="A307" s="120">
        <v>103409</v>
      </c>
      <c r="B307" s="119" t="s">
        <v>1845</v>
      </c>
      <c r="C307" s="120" t="s">
        <v>331</v>
      </c>
      <c r="D307" s="441">
        <v>81.55</v>
      </c>
    </row>
    <row r="308" spans="1:4" ht="31.5" customHeight="1">
      <c r="A308" s="120">
        <v>103410</v>
      </c>
      <c r="B308" s="119" t="s">
        <v>1846</v>
      </c>
      <c r="C308" s="120" t="s">
        <v>331</v>
      </c>
      <c r="D308" s="441">
        <v>91.9</v>
      </c>
    </row>
    <row r="309" spans="1:4" ht="31.5" customHeight="1">
      <c r="A309" s="120">
        <v>103411</v>
      </c>
      <c r="B309" s="119" t="s">
        <v>1847</v>
      </c>
      <c r="C309" s="120" t="s">
        <v>331</v>
      </c>
      <c r="D309" s="441">
        <v>9.18</v>
      </c>
    </row>
    <row r="310" spans="1:4" ht="31.5" customHeight="1">
      <c r="A310" s="120">
        <v>103412</v>
      </c>
      <c r="B310" s="119" t="s">
        <v>1848</v>
      </c>
      <c r="C310" s="120" t="s">
        <v>331</v>
      </c>
      <c r="D310" s="441">
        <v>14.7</v>
      </c>
    </row>
    <row r="311" spans="1:4" ht="31.5" customHeight="1">
      <c r="A311" s="120">
        <v>103413</v>
      </c>
      <c r="B311" s="119" t="s">
        <v>1849</v>
      </c>
      <c r="C311" s="120" t="s">
        <v>331</v>
      </c>
      <c r="D311" s="441">
        <v>28.94</v>
      </c>
    </row>
    <row r="312" spans="1:4" ht="31.5" customHeight="1">
      <c r="A312" s="120">
        <v>103414</v>
      </c>
      <c r="B312" s="119" t="s">
        <v>1850</v>
      </c>
      <c r="C312" s="120" t="s">
        <v>331</v>
      </c>
      <c r="D312" s="441">
        <v>41.35</v>
      </c>
    </row>
    <row r="313" spans="1:4" ht="31.5" customHeight="1">
      <c r="A313" s="120">
        <v>103415</v>
      </c>
      <c r="B313" s="119" t="s">
        <v>1851</v>
      </c>
      <c r="C313" s="120" t="s">
        <v>331</v>
      </c>
      <c r="D313" s="441">
        <v>50.54</v>
      </c>
    </row>
    <row r="314" spans="1:4" ht="31.5" customHeight="1">
      <c r="A314" s="120">
        <v>103416</v>
      </c>
      <c r="B314" s="119" t="s">
        <v>1852</v>
      </c>
      <c r="C314" s="120" t="s">
        <v>331</v>
      </c>
      <c r="D314" s="441">
        <v>73.52</v>
      </c>
    </row>
    <row r="315" spans="1:4" ht="31.5" customHeight="1">
      <c r="A315" s="120">
        <v>103417</v>
      </c>
      <c r="B315" s="119" t="s">
        <v>1853</v>
      </c>
      <c r="C315" s="120" t="s">
        <v>331</v>
      </c>
      <c r="D315" s="441">
        <v>82.71</v>
      </c>
    </row>
    <row r="316" spans="1:4" ht="31.5" customHeight="1">
      <c r="A316" s="120">
        <v>103418</v>
      </c>
      <c r="B316" s="119" t="s">
        <v>1854</v>
      </c>
      <c r="C316" s="120" t="s">
        <v>331</v>
      </c>
      <c r="D316" s="441">
        <v>91.9</v>
      </c>
    </row>
    <row r="317" spans="1:4" ht="31.5" customHeight="1">
      <c r="A317" s="120">
        <v>103419</v>
      </c>
      <c r="B317" s="119" t="s">
        <v>1855</v>
      </c>
      <c r="C317" s="120" t="s">
        <v>331</v>
      </c>
      <c r="D317" s="441">
        <v>103.38</v>
      </c>
    </row>
    <row r="318" spans="1:4" ht="31.5" customHeight="1">
      <c r="A318" s="120">
        <v>103420</v>
      </c>
      <c r="B318" s="119" t="s">
        <v>1856</v>
      </c>
      <c r="C318" s="120" t="s">
        <v>331</v>
      </c>
      <c r="D318" s="441">
        <v>114.87</v>
      </c>
    </row>
    <row r="319" spans="1:4" ht="31.5" customHeight="1">
      <c r="A319" s="120">
        <v>103421</v>
      </c>
      <c r="B319" s="119" t="s">
        <v>1857</v>
      </c>
      <c r="C319" s="120" t="s">
        <v>331</v>
      </c>
      <c r="D319" s="441">
        <v>128.66</v>
      </c>
    </row>
    <row r="320" spans="1:4" ht="31.5" customHeight="1">
      <c r="A320" s="120">
        <v>103422</v>
      </c>
      <c r="B320" s="119" t="s">
        <v>1858</v>
      </c>
      <c r="C320" s="120" t="s">
        <v>331</v>
      </c>
      <c r="D320" s="441">
        <v>144.74</v>
      </c>
    </row>
    <row r="321" spans="1:4" ht="31.5" customHeight="1">
      <c r="A321" s="120">
        <v>103423</v>
      </c>
      <c r="B321" s="119" t="s">
        <v>1859</v>
      </c>
      <c r="C321" s="120" t="s">
        <v>331</v>
      </c>
      <c r="D321" s="441">
        <v>163.12</v>
      </c>
    </row>
    <row r="322" spans="1:4" ht="31.5" customHeight="1">
      <c r="A322" s="120">
        <v>103424</v>
      </c>
      <c r="B322" s="119" t="s">
        <v>1860</v>
      </c>
      <c r="C322" s="120" t="s">
        <v>331</v>
      </c>
      <c r="D322" s="441">
        <v>183.8</v>
      </c>
    </row>
    <row r="323" spans="1:4" ht="31.5" customHeight="1">
      <c r="A323" s="120">
        <v>103425</v>
      </c>
      <c r="B323" s="119" t="s">
        <v>1861</v>
      </c>
      <c r="C323" s="120" t="s">
        <v>331</v>
      </c>
      <c r="D323" s="441">
        <v>17.3</v>
      </c>
    </row>
    <row r="324" spans="1:4" ht="31.5" customHeight="1">
      <c r="A324" s="120">
        <v>103426</v>
      </c>
      <c r="B324" s="119" t="s">
        <v>1862</v>
      </c>
      <c r="C324" s="120" t="s">
        <v>331</v>
      </c>
      <c r="D324" s="441">
        <v>21.05</v>
      </c>
    </row>
    <row r="325" spans="1:4" ht="31.5" customHeight="1">
      <c r="A325" s="120">
        <v>103427</v>
      </c>
      <c r="B325" s="119" t="s">
        <v>1863</v>
      </c>
      <c r="C325" s="120" t="s">
        <v>331</v>
      </c>
      <c r="D325" s="441">
        <v>42.12</v>
      </c>
    </row>
    <row r="326" spans="1:4" ht="31.5" customHeight="1">
      <c r="A326" s="120">
        <v>103428</v>
      </c>
      <c r="B326" s="119" t="s">
        <v>1864</v>
      </c>
      <c r="C326" s="120" t="s">
        <v>331</v>
      </c>
      <c r="D326" s="441">
        <v>273.38</v>
      </c>
    </row>
    <row r="327" spans="1:4" ht="31.5" customHeight="1">
      <c r="A327" s="120">
        <v>103429</v>
      </c>
      <c r="B327" s="119" t="s">
        <v>1865</v>
      </c>
      <c r="C327" s="120" t="s">
        <v>331</v>
      </c>
      <c r="D327" s="442">
        <v>2968.06</v>
      </c>
    </row>
    <row r="328" spans="1:4" ht="31.5" customHeight="1">
      <c r="A328" s="120">
        <v>103430</v>
      </c>
      <c r="B328" s="119" t="s">
        <v>1866</v>
      </c>
      <c r="C328" s="120" t="s">
        <v>331</v>
      </c>
      <c r="D328" s="441">
        <v>36.79</v>
      </c>
    </row>
    <row r="329" spans="1:4" ht="31.5" customHeight="1">
      <c r="A329" s="120">
        <v>103431</v>
      </c>
      <c r="B329" s="119" t="s">
        <v>1867</v>
      </c>
      <c r="C329" s="120" t="s">
        <v>331</v>
      </c>
      <c r="D329" s="441">
        <v>64.72</v>
      </c>
    </row>
    <row r="330" spans="1:4" ht="31.5" customHeight="1">
      <c r="A330" s="120">
        <v>103432</v>
      </c>
      <c r="B330" s="119" t="s">
        <v>1868</v>
      </c>
      <c r="C330" s="120" t="s">
        <v>331</v>
      </c>
      <c r="D330" s="442">
        <v>1683.98</v>
      </c>
    </row>
    <row r="331" spans="1:4" ht="31.5" customHeight="1">
      <c r="A331" s="120">
        <v>103433</v>
      </c>
      <c r="B331" s="119" t="s">
        <v>1869</v>
      </c>
      <c r="C331" s="120" t="s">
        <v>331</v>
      </c>
      <c r="D331" s="441">
        <v>35.99</v>
      </c>
    </row>
    <row r="332" spans="1:4" ht="31.5" customHeight="1">
      <c r="A332" s="120">
        <v>103434</v>
      </c>
      <c r="B332" s="119" t="s">
        <v>1870</v>
      </c>
      <c r="C332" s="120" t="s">
        <v>331</v>
      </c>
      <c r="D332" s="441">
        <v>49.94</v>
      </c>
    </row>
    <row r="333" spans="1:4" ht="31.5" customHeight="1">
      <c r="A333" s="120">
        <v>103435</v>
      </c>
      <c r="B333" s="119" t="s">
        <v>1871</v>
      </c>
      <c r="C333" s="120" t="s">
        <v>331</v>
      </c>
      <c r="D333" s="441">
        <v>93.02</v>
      </c>
    </row>
    <row r="334" spans="1:4" ht="31.5" customHeight="1">
      <c r="A334" s="120">
        <v>103436</v>
      </c>
      <c r="B334" s="119" t="s">
        <v>1872</v>
      </c>
      <c r="C334" s="120" t="s">
        <v>331</v>
      </c>
      <c r="D334" s="442">
        <v>2382</v>
      </c>
    </row>
    <row r="335" spans="1:4" ht="31.5" customHeight="1">
      <c r="A335" s="120">
        <v>103437</v>
      </c>
      <c r="B335" s="119" t="s">
        <v>1873</v>
      </c>
      <c r="C335" s="120" t="s">
        <v>331</v>
      </c>
      <c r="D335" s="441">
        <v>192.84</v>
      </c>
    </row>
    <row r="336" spans="1:4" ht="31.5" customHeight="1">
      <c r="A336" s="120">
        <v>103438</v>
      </c>
      <c r="B336" s="119" t="s">
        <v>1874</v>
      </c>
      <c r="C336" s="120" t="s">
        <v>331</v>
      </c>
      <c r="D336" s="441">
        <v>192.84</v>
      </c>
    </row>
    <row r="337" spans="1:4" ht="31.5" customHeight="1">
      <c r="A337" s="120">
        <v>103439</v>
      </c>
      <c r="B337" s="119" t="s">
        <v>1875</v>
      </c>
      <c r="C337" s="120" t="s">
        <v>331</v>
      </c>
      <c r="D337" s="441">
        <v>226.35</v>
      </c>
    </row>
    <row r="338" spans="1:4" ht="31.5" customHeight="1">
      <c r="A338" s="120">
        <v>103440</v>
      </c>
      <c r="B338" s="119" t="s">
        <v>1876</v>
      </c>
      <c r="C338" s="120" t="s">
        <v>331</v>
      </c>
      <c r="D338" s="441">
        <v>438.9</v>
      </c>
    </row>
    <row r="339" spans="1:4" ht="31.5" customHeight="1">
      <c r="A339" s="120">
        <v>103441</v>
      </c>
      <c r="B339" s="119" t="s">
        <v>1877</v>
      </c>
      <c r="C339" s="120" t="s">
        <v>331</v>
      </c>
      <c r="D339" s="441">
        <v>444.33</v>
      </c>
    </row>
    <row r="340" spans="1:4" ht="31.5" customHeight="1">
      <c r="A340" s="120">
        <v>103442</v>
      </c>
      <c r="B340" s="119" t="s">
        <v>1878</v>
      </c>
      <c r="C340" s="120" t="s">
        <v>331</v>
      </c>
      <c r="D340" s="441">
        <v>575.32000000000005</v>
      </c>
    </row>
    <row r="341" spans="1:4" ht="31.5" customHeight="1">
      <c r="A341" s="120">
        <v>93206</v>
      </c>
      <c r="B341" s="119" t="s">
        <v>1879</v>
      </c>
      <c r="C341" s="120" t="s">
        <v>951</v>
      </c>
      <c r="D341" s="442">
        <v>1250.01</v>
      </c>
    </row>
    <row r="342" spans="1:4" ht="31.5" customHeight="1">
      <c r="A342" s="120">
        <v>93207</v>
      </c>
      <c r="B342" s="119" t="s">
        <v>1880</v>
      </c>
      <c r="C342" s="120" t="s">
        <v>951</v>
      </c>
      <c r="D342" s="442">
        <v>1277.23</v>
      </c>
    </row>
    <row r="343" spans="1:4" ht="31.5" customHeight="1">
      <c r="A343" s="120">
        <v>93208</v>
      </c>
      <c r="B343" s="119" t="s">
        <v>1881</v>
      </c>
      <c r="C343" s="120" t="s">
        <v>951</v>
      </c>
      <c r="D343" s="442">
        <v>1089.81</v>
      </c>
    </row>
    <row r="344" spans="1:4" ht="15.75" customHeight="1">
      <c r="A344" s="120">
        <v>93209</v>
      </c>
      <c r="B344" s="119" t="s">
        <v>1882</v>
      </c>
      <c r="C344" s="120" t="s">
        <v>951</v>
      </c>
      <c r="D344" s="442">
        <v>1083.07</v>
      </c>
    </row>
    <row r="345" spans="1:4" ht="31.5" customHeight="1">
      <c r="A345" s="120">
        <v>93210</v>
      </c>
      <c r="B345" s="119" t="s">
        <v>1883</v>
      </c>
      <c r="C345" s="120" t="s">
        <v>951</v>
      </c>
      <c r="D345" s="441">
        <v>674.35</v>
      </c>
    </row>
    <row r="346" spans="1:4" ht="31.5" customHeight="1">
      <c r="A346" s="120">
        <v>93211</v>
      </c>
      <c r="B346" s="119" t="s">
        <v>1884</v>
      </c>
      <c r="C346" s="120" t="s">
        <v>951</v>
      </c>
      <c r="D346" s="441">
        <v>659.69</v>
      </c>
    </row>
    <row r="347" spans="1:4" ht="31.5" customHeight="1">
      <c r="A347" s="120">
        <v>93212</v>
      </c>
      <c r="B347" s="119" t="s">
        <v>1885</v>
      </c>
      <c r="C347" s="120" t="s">
        <v>951</v>
      </c>
      <c r="D347" s="442">
        <v>1145.1400000000001</v>
      </c>
    </row>
    <row r="348" spans="1:4" ht="31.5" customHeight="1">
      <c r="A348" s="120">
        <v>93213</v>
      </c>
      <c r="B348" s="119" t="s">
        <v>1886</v>
      </c>
      <c r="C348" s="120" t="s">
        <v>951</v>
      </c>
      <c r="D348" s="442">
        <v>1125.19</v>
      </c>
    </row>
    <row r="349" spans="1:4" ht="31.5" customHeight="1">
      <c r="A349" s="120">
        <v>93214</v>
      </c>
      <c r="B349" s="119" t="s">
        <v>1887</v>
      </c>
      <c r="C349" s="120" t="s">
        <v>331</v>
      </c>
      <c r="D349" s="442">
        <v>7442.17</v>
      </c>
    </row>
    <row r="350" spans="1:4" ht="31.5" customHeight="1">
      <c r="A350" s="120">
        <v>93243</v>
      </c>
      <c r="B350" s="119" t="s">
        <v>1888</v>
      </c>
      <c r="C350" s="120" t="s">
        <v>331</v>
      </c>
      <c r="D350" s="442">
        <v>11366.82</v>
      </c>
    </row>
    <row r="351" spans="1:4" ht="31.5" customHeight="1">
      <c r="A351" s="120">
        <v>93582</v>
      </c>
      <c r="B351" s="119" t="s">
        <v>1889</v>
      </c>
      <c r="C351" s="120" t="s">
        <v>951</v>
      </c>
      <c r="D351" s="441">
        <v>315.79000000000002</v>
      </c>
    </row>
    <row r="352" spans="1:4" ht="31.5" customHeight="1">
      <c r="A352" s="120">
        <v>93583</v>
      </c>
      <c r="B352" s="119" t="s">
        <v>1890</v>
      </c>
      <c r="C352" s="120" t="s">
        <v>951</v>
      </c>
      <c r="D352" s="441">
        <v>501.95</v>
      </c>
    </row>
    <row r="353" spans="1:4" ht="31.5" customHeight="1">
      <c r="A353" s="120">
        <v>93584</v>
      </c>
      <c r="B353" s="119" t="s">
        <v>1891</v>
      </c>
      <c r="C353" s="120" t="s">
        <v>951</v>
      </c>
      <c r="D353" s="442">
        <v>1118.9000000000001</v>
      </c>
    </row>
    <row r="354" spans="1:4" ht="31.5" customHeight="1">
      <c r="A354" s="120">
        <v>93585</v>
      </c>
      <c r="B354" s="119" t="s">
        <v>1892</v>
      </c>
      <c r="C354" s="120" t="s">
        <v>951</v>
      </c>
      <c r="D354" s="442">
        <v>1339.13</v>
      </c>
    </row>
    <row r="355" spans="1:4" ht="31.5" customHeight="1">
      <c r="A355" s="120">
        <v>98441</v>
      </c>
      <c r="B355" s="119" t="s">
        <v>1893</v>
      </c>
      <c r="C355" s="120" t="s">
        <v>951</v>
      </c>
      <c r="D355" s="441">
        <v>176.35</v>
      </c>
    </row>
    <row r="356" spans="1:4" ht="31.5" customHeight="1">
      <c r="A356" s="120">
        <v>98442</v>
      </c>
      <c r="B356" s="119" t="s">
        <v>1894</v>
      </c>
      <c r="C356" s="120" t="s">
        <v>951</v>
      </c>
      <c r="D356" s="441">
        <v>180.34</v>
      </c>
    </row>
    <row r="357" spans="1:4" ht="31.5" customHeight="1">
      <c r="A357" s="120">
        <v>98443</v>
      </c>
      <c r="B357" s="119" t="s">
        <v>1895</v>
      </c>
      <c r="C357" s="120" t="s">
        <v>951</v>
      </c>
      <c r="D357" s="441">
        <v>153.05000000000001</v>
      </c>
    </row>
    <row r="358" spans="1:4" ht="31.5" customHeight="1">
      <c r="A358" s="120">
        <v>98444</v>
      </c>
      <c r="B358" s="119" t="s">
        <v>1896</v>
      </c>
      <c r="C358" s="120" t="s">
        <v>951</v>
      </c>
      <c r="D358" s="441">
        <v>155.88999999999999</v>
      </c>
    </row>
    <row r="359" spans="1:4" ht="31.5" customHeight="1">
      <c r="A359" s="120">
        <v>98445</v>
      </c>
      <c r="B359" s="119" t="s">
        <v>1897</v>
      </c>
      <c r="C359" s="120" t="s">
        <v>951</v>
      </c>
      <c r="D359" s="441">
        <v>215.56</v>
      </c>
    </row>
    <row r="360" spans="1:4" ht="31.5" customHeight="1">
      <c r="A360" s="120">
        <v>98446</v>
      </c>
      <c r="B360" s="119" t="s">
        <v>1898</v>
      </c>
      <c r="C360" s="120" t="s">
        <v>951</v>
      </c>
      <c r="D360" s="441">
        <v>280.49</v>
      </c>
    </row>
    <row r="361" spans="1:4" ht="31.5" customHeight="1">
      <c r="A361" s="120">
        <v>98447</v>
      </c>
      <c r="B361" s="119" t="s">
        <v>1899</v>
      </c>
      <c r="C361" s="120" t="s">
        <v>951</v>
      </c>
      <c r="D361" s="441">
        <v>183.04</v>
      </c>
    </row>
    <row r="362" spans="1:4" ht="31.5" customHeight="1">
      <c r="A362" s="120">
        <v>98448</v>
      </c>
      <c r="B362" s="119" t="s">
        <v>1900</v>
      </c>
      <c r="C362" s="120" t="s">
        <v>951</v>
      </c>
      <c r="D362" s="441">
        <v>233.73</v>
      </c>
    </row>
    <row r="363" spans="1:4" ht="31.5" customHeight="1">
      <c r="A363" s="120">
        <v>98449</v>
      </c>
      <c r="B363" s="119" t="s">
        <v>1901</v>
      </c>
      <c r="C363" s="120" t="s">
        <v>951</v>
      </c>
      <c r="D363" s="441">
        <v>214.54</v>
      </c>
    </row>
    <row r="364" spans="1:4" ht="31.5" customHeight="1">
      <c r="A364" s="120">
        <v>98450</v>
      </c>
      <c r="B364" s="119" t="s">
        <v>1902</v>
      </c>
      <c r="C364" s="120" t="s">
        <v>951</v>
      </c>
      <c r="D364" s="441">
        <v>220.34</v>
      </c>
    </row>
    <row r="365" spans="1:4" ht="31.5" customHeight="1">
      <c r="A365" s="120">
        <v>98451</v>
      </c>
      <c r="B365" s="119" t="s">
        <v>1903</v>
      </c>
      <c r="C365" s="120" t="s">
        <v>951</v>
      </c>
      <c r="D365" s="441">
        <v>187.82</v>
      </c>
    </row>
    <row r="366" spans="1:4" ht="31.5" customHeight="1">
      <c r="A366" s="120">
        <v>98452</v>
      </c>
      <c r="B366" s="119" t="s">
        <v>1904</v>
      </c>
      <c r="C366" s="120" t="s">
        <v>951</v>
      </c>
      <c r="D366" s="441">
        <v>191.32</v>
      </c>
    </row>
    <row r="367" spans="1:4" ht="31.5" customHeight="1">
      <c r="A367" s="120">
        <v>98453</v>
      </c>
      <c r="B367" s="119" t="s">
        <v>1905</v>
      </c>
      <c r="C367" s="120" t="s">
        <v>951</v>
      </c>
      <c r="D367" s="441">
        <v>260.54000000000002</v>
      </c>
    </row>
    <row r="368" spans="1:4" ht="31.5" customHeight="1">
      <c r="A368" s="120">
        <v>98454</v>
      </c>
      <c r="B368" s="119" t="s">
        <v>1906</v>
      </c>
      <c r="C368" s="120" t="s">
        <v>951</v>
      </c>
      <c r="D368" s="441">
        <v>342.03</v>
      </c>
    </row>
    <row r="369" spans="1:4" ht="31.5" customHeight="1">
      <c r="A369" s="120">
        <v>98455</v>
      </c>
      <c r="B369" s="119" t="s">
        <v>1907</v>
      </c>
      <c r="C369" s="120" t="s">
        <v>951</v>
      </c>
      <c r="D369" s="441">
        <v>224.6</v>
      </c>
    </row>
    <row r="370" spans="1:4" ht="31.5" customHeight="1">
      <c r="A370" s="120">
        <v>98456</v>
      </c>
      <c r="B370" s="119" t="s">
        <v>1908</v>
      </c>
      <c r="C370" s="120" t="s">
        <v>951</v>
      </c>
      <c r="D370" s="441">
        <v>290.7</v>
      </c>
    </row>
    <row r="371" spans="1:4" ht="15.75" customHeight="1">
      <c r="A371" s="120">
        <v>98458</v>
      </c>
      <c r="B371" s="119" t="s">
        <v>1909</v>
      </c>
      <c r="C371" s="120" t="s">
        <v>951</v>
      </c>
      <c r="D371" s="441">
        <v>169.65</v>
      </c>
    </row>
    <row r="372" spans="1:4" ht="15.75" customHeight="1">
      <c r="A372" s="120">
        <v>98459</v>
      </c>
      <c r="B372" s="119" t="s">
        <v>1910</v>
      </c>
      <c r="C372" s="120" t="s">
        <v>951</v>
      </c>
      <c r="D372" s="441">
        <v>142.43</v>
      </c>
    </row>
    <row r="373" spans="1:4" ht="15.75" customHeight="1">
      <c r="A373" s="120">
        <v>98460</v>
      </c>
      <c r="B373" s="119" t="s">
        <v>1911</v>
      </c>
      <c r="C373" s="120" t="s">
        <v>951</v>
      </c>
      <c r="D373" s="441">
        <v>199.1</v>
      </c>
    </row>
    <row r="374" spans="1:4" ht="15.75" customHeight="1">
      <c r="A374" s="120">
        <v>98461</v>
      </c>
      <c r="B374" s="119" t="s">
        <v>1912</v>
      </c>
      <c r="C374" s="120" t="s">
        <v>331</v>
      </c>
      <c r="D374" s="442">
        <v>6520.89</v>
      </c>
    </row>
    <row r="375" spans="1:4" ht="15.75" customHeight="1">
      <c r="A375" s="120">
        <v>98462</v>
      </c>
      <c r="B375" s="119" t="s">
        <v>1913</v>
      </c>
      <c r="C375" s="120" t="s">
        <v>331</v>
      </c>
      <c r="D375" s="442">
        <v>9793.4599999999991</v>
      </c>
    </row>
    <row r="376" spans="1:4" ht="31.5" customHeight="1">
      <c r="A376" s="120">
        <v>5631</v>
      </c>
      <c r="B376" s="119" t="s">
        <v>1914</v>
      </c>
      <c r="C376" s="120" t="s">
        <v>1915</v>
      </c>
      <c r="D376" s="441">
        <v>222.57</v>
      </c>
    </row>
    <row r="377" spans="1:4" ht="47.25" customHeight="1">
      <c r="A377" s="120">
        <v>5678</v>
      </c>
      <c r="B377" s="119" t="s">
        <v>1916</v>
      </c>
      <c r="C377" s="120" t="s">
        <v>1915</v>
      </c>
      <c r="D377" s="441">
        <v>145.84</v>
      </c>
    </row>
    <row r="378" spans="1:4" ht="47.25" customHeight="1">
      <c r="A378" s="120">
        <v>5680</v>
      </c>
      <c r="B378" s="119" t="s">
        <v>1917</v>
      </c>
      <c r="C378" s="120" t="s">
        <v>1915</v>
      </c>
      <c r="D378" s="441">
        <v>133.63999999999999</v>
      </c>
    </row>
    <row r="379" spans="1:4" ht="31.5" customHeight="1">
      <c r="A379" s="120">
        <v>5684</v>
      </c>
      <c r="B379" s="119" t="s">
        <v>1918</v>
      </c>
      <c r="C379" s="120" t="s">
        <v>1915</v>
      </c>
      <c r="D379" s="441">
        <v>160.59</v>
      </c>
    </row>
    <row r="380" spans="1:4" ht="31.5" customHeight="1">
      <c r="A380" s="120">
        <v>5689</v>
      </c>
      <c r="B380" s="119" t="s">
        <v>1919</v>
      </c>
      <c r="C380" s="120" t="s">
        <v>1915</v>
      </c>
      <c r="D380" s="441">
        <v>7.17</v>
      </c>
    </row>
    <row r="381" spans="1:4" ht="15.75" customHeight="1">
      <c r="A381" s="120">
        <v>5795</v>
      </c>
      <c r="B381" s="119" t="s">
        <v>1920</v>
      </c>
      <c r="C381" s="120" t="s">
        <v>1915</v>
      </c>
      <c r="D381" s="441">
        <v>29.64</v>
      </c>
    </row>
    <row r="382" spans="1:4" ht="31.5" customHeight="1">
      <c r="A382" s="120">
        <v>5811</v>
      </c>
      <c r="B382" s="119" t="s">
        <v>1921</v>
      </c>
      <c r="C382" s="120" t="s">
        <v>1915</v>
      </c>
      <c r="D382" s="441">
        <v>197.92</v>
      </c>
    </row>
    <row r="383" spans="1:4" ht="15.75" customHeight="1">
      <c r="A383" s="120">
        <v>5823</v>
      </c>
      <c r="B383" s="119" t="s">
        <v>1922</v>
      </c>
      <c r="C383" s="120" t="s">
        <v>1915</v>
      </c>
      <c r="D383" s="441">
        <v>215.01</v>
      </c>
    </row>
    <row r="384" spans="1:4" ht="47.25" customHeight="1">
      <c r="A384" s="120">
        <v>5824</v>
      </c>
      <c r="B384" s="119" t="s">
        <v>1923</v>
      </c>
      <c r="C384" s="120" t="s">
        <v>1915</v>
      </c>
      <c r="D384" s="441">
        <v>210.23</v>
      </c>
    </row>
    <row r="385" spans="1:4" ht="31.5" customHeight="1">
      <c r="A385" s="120">
        <v>5835</v>
      </c>
      <c r="B385" s="119" t="s">
        <v>1924</v>
      </c>
      <c r="C385" s="120" t="s">
        <v>1915</v>
      </c>
      <c r="D385" s="441">
        <v>398.7</v>
      </c>
    </row>
    <row r="386" spans="1:4" ht="31.5" customHeight="1">
      <c r="A386" s="120">
        <v>5839</v>
      </c>
      <c r="B386" s="119" t="s">
        <v>1925</v>
      </c>
      <c r="C386" s="120" t="s">
        <v>1915</v>
      </c>
      <c r="D386" s="441">
        <v>10.78</v>
      </c>
    </row>
    <row r="387" spans="1:4" ht="15.75" customHeight="1">
      <c r="A387" s="120">
        <v>5843</v>
      </c>
      <c r="B387" s="119" t="s">
        <v>1926</v>
      </c>
      <c r="C387" s="120" t="s">
        <v>1915</v>
      </c>
      <c r="D387" s="441">
        <v>171.37</v>
      </c>
    </row>
    <row r="388" spans="1:4" ht="15.75" customHeight="1">
      <c r="A388" s="120">
        <v>5847</v>
      </c>
      <c r="B388" s="119" t="s">
        <v>1927</v>
      </c>
      <c r="C388" s="120" t="s">
        <v>1915</v>
      </c>
      <c r="D388" s="441">
        <v>261.77</v>
      </c>
    </row>
    <row r="389" spans="1:4" ht="31.5" customHeight="1">
      <c r="A389" s="120">
        <v>5851</v>
      </c>
      <c r="B389" s="119" t="s">
        <v>1928</v>
      </c>
      <c r="C389" s="120" t="s">
        <v>1915</v>
      </c>
      <c r="D389" s="441">
        <v>250.37</v>
      </c>
    </row>
    <row r="390" spans="1:4" ht="31.5" customHeight="1">
      <c r="A390" s="120">
        <v>5855</v>
      </c>
      <c r="B390" s="119" t="s">
        <v>1929</v>
      </c>
      <c r="C390" s="120" t="s">
        <v>1915</v>
      </c>
      <c r="D390" s="441">
        <v>656.87</v>
      </c>
    </row>
    <row r="391" spans="1:4" ht="31.5" customHeight="1">
      <c r="A391" s="120">
        <v>5863</v>
      </c>
      <c r="B391" s="119" t="s">
        <v>1930</v>
      </c>
      <c r="C391" s="120" t="s">
        <v>1915</v>
      </c>
      <c r="D391" s="441">
        <v>23.35</v>
      </c>
    </row>
    <row r="392" spans="1:4" ht="31.5" customHeight="1">
      <c r="A392" s="120">
        <v>5867</v>
      </c>
      <c r="B392" s="119" t="s">
        <v>1931</v>
      </c>
      <c r="C392" s="120" t="s">
        <v>1915</v>
      </c>
      <c r="D392" s="441">
        <v>162.41999999999999</v>
      </c>
    </row>
    <row r="393" spans="1:4" ht="47.25" customHeight="1">
      <c r="A393" s="120">
        <v>5875</v>
      </c>
      <c r="B393" s="119" t="s">
        <v>1932</v>
      </c>
      <c r="C393" s="120" t="s">
        <v>1915</v>
      </c>
      <c r="D393" s="441">
        <v>134.55000000000001</v>
      </c>
    </row>
    <row r="394" spans="1:4" ht="31.5" customHeight="1">
      <c r="A394" s="120">
        <v>5879</v>
      </c>
      <c r="B394" s="119" t="s">
        <v>1933</v>
      </c>
      <c r="C394" s="120" t="s">
        <v>1915</v>
      </c>
      <c r="D394" s="441">
        <v>145.02000000000001</v>
      </c>
    </row>
    <row r="395" spans="1:4" ht="31.5" customHeight="1">
      <c r="A395" s="120">
        <v>5882</v>
      </c>
      <c r="B395" s="119" t="s">
        <v>1934</v>
      </c>
      <c r="C395" s="120" t="s">
        <v>1915</v>
      </c>
      <c r="D395" s="441">
        <v>116.35</v>
      </c>
    </row>
    <row r="396" spans="1:4" ht="31.5" customHeight="1">
      <c r="A396" s="120">
        <v>5890</v>
      </c>
      <c r="B396" s="119" t="s">
        <v>1935</v>
      </c>
      <c r="C396" s="120" t="s">
        <v>1915</v>
      </c>
      <c r="D396" s="441">
        <v>196.89</v>
      </c>
    </row>
    <row r="397" spans="1:4" ht="31.5" customHeight="1">
      <c r="A397" s="120">
        <v>5894</v>
      </c>
      <c r="B397" s="119" t="s">
        <v>1936</v>
      </c>
      <c r="C397" s="120" t="s">
        <v>1915</v>
      </c>
      <c r="D397" s="441">
        <v>205.03</v>
      </c>
    </row>
    <row r="398" spans="1:4" ht="47.25" customHeight="1">
      <c r="A398" s="120">
        <v>5901</v>
      </c>
      <c r="B398" s="119" t="s">
        <v>1937</v>
      </c>
      <c r="C398" s="120" t="s">
        <v>1915</v>
      </c>
      <c r="D398" s="441">
        <v>307.06</v>
      </c>
    </row>
    <row r="399" spans="1:4" ht="31.5" customHeight="1">
      <c r="A399" s="120">
        <v>5909</v>
      </c>
      <c r="B399" s="119" t="s">
        <v>1938</v>
      </c>
      <c r="C399" s="120" t="s">
        <v>1915</v>
      </c>
      <c r="D399" s="441">
        <v>36.15</v>
      </c>
    </row>
    <row r="400" spans="1:4" ht="31.5" customHeight="1">
      <c r="A400" s="120">
        <v>5921</v>
      </c>
      <c r="B400" s="119" t="s">
        <v>1939</v>
      </c>
      <c r="C400" s="120" t="s">
        <v>1915</v>
      </c>
      <c r="D400" s="441">
        <v>5.63</v>
      </c>
    </row>
    <row r="401" spans="1:4" ht="47.25" customHeight="1">
      <c r="A401" s="120">
        <v>5928</v>
      </c>
      <c r="B401" s="119" t="s">
        <v>1940</v>
      </c>
      <c r="C401" s="120" t="s">
        <v>1915</v>
      </c>
      <c r="D401" s="441">
        <v>268.24</v>
      </c>
    </row>
    <row r="402" spans="1:4" ht="31.5" customHeight="1">
      <c r="A402" s="120">
        <v>5932</v>
      </c>
      <c r="B402" s="119" t="s">
        <v>1941</v>
      </c>
      <c r="C402" s="120" t="s">
        <v>1915</v>
      </c>
      <c r="D402" s="441">
        <v>269.37</v>
      </c>
    </row>
    <row r="403" spans="1:4" ht="31.5" customHeight="1">
      <c r="A403" s="120">
        <v>5940</v>
      </c>
      <c r="B403" s="119" t="s">
        <v>1942</v>
      </c>
      <c r="C403" s="120" t="s">
        <v>1915</v>
      </c>
      <c r="D403" s="441">
        <v>194.29</v>
      </c>
    </row>
    <row r="404" spans="1:4" ht="31.5" customHeight="1">
      <c r="A404" s="120">
        <v>5944</v>
      </c>
      <c r="B404" s="119" t="s">
        <v>1943</v>
      </c>
      <c r="C404" s="120" t="s">
        <v>1915</v>
      </c>
      <c r="D404" s="441">
        <v>234.11</v>
      </c>
    </row>
    <row r="405" spans="1:4" ht="31.5" customHeight="1">
      <c r="A405" s="120">
        <v>5953</v>
      </c>
      <c r="B405" s="119" t="s">
        <v>1944</v>
      </c>
      <c r="C405" s="120" t="s">
        <v>1915</v>
      </c>
      <c r="D405" s="441">
        <v>57.98</v>
      </c>
    </row>
    <row r="406" spans="1:4" ht="31.5" customHeight="1">
      <c r="A406" s="120">
        <v>6259</v>
      </c>
      <c r="B406" s="119" t="s">
        <v>1945</v>
      </c>
      <c r="C406" s="120" t="s">
        <v>1915</v>
      </c>
      <c r="D406" s="441">
        <v>247.34</v>
      </c>
    </row>
    <row r="407" spans="1:4" ht="31.5" customHeight="1">
      <c r="A407" s="120">
        <v>6879</v>
      </c>
      <c r="B407" s="119" t="s">
        <v>1946</v>
      </c>
      <c r="C407" s="120" t="s">
        <v>1915</v>
      </c>
      <c r="D407" s="441">
        <v>211.29</v>
      </c>
    </row>
    <row r="408" spans="1:4" ht="15.75" customHeight="1">
      <c r="A408" s="120">
        <v>7030</v>
      </c>
      <c r="B408" s="119" t="s">
        <v>1947</v>
      </c>
      <c r="C408" s="120" t="s">
        <v>1915</v>
      </c>
      <c r="D408" s="441">
        <v>260.45</v>
      </c>
    </row>
    <row r="409" spans="1:4" ht="31.5" customHeight="1">
      <c r="A409" s="120">
        <v>7042</v>
      </c>
      <c r="B409" s="119" t="s">
        <v>1948</v>
      </c>
      <c r="C409" s="120" t="s">
        <v>1915</v>
      </c>
      <c r="D409" s="441">
        <v>22.3</v>
      </c>
    </row>
    <row r="410" spans="1:4" ht="31.5" customHeight="1">
      <c r="A410" s="120">
        <v>7049</v>
      </c>
      <c r="B410" s="119" t="s">
        <v>1949</v>
      </c>
      <c r="C410" s="120" t="s">
        <v>1915</v>
      </c>
      <c r="D410" s="441">
        <v>221.76</v>
      </c>
    </row>
    <row r="411" spans="1:4" ht="31.5" customHeight="1">
      <c r="A411" s="120">
        <v>67826</v>
      </c>
      <c r="B411" s="119" t="s">
        <v>1950</v>
      </c>
      <c r="C411" s="120" t="s">
        <v>1915</v>
      </c>
      <c r="D411" s="441">
        <v>181.14</v>
      </c>
    </row>
    <row r="412" spans="1:4" ht="15.75" customHeight="1">
      <c r="A412" s="120">
        <v>73417</v>
      </c>
      <c r="B412" s="119" t="s">
        <v>1951</v>
      </c>
      <c r="C412" s="120" t="s">
        <v>1915</v>
      </c>
      <c r="D412" s="441">
        <v>185.71</v>
      </c>
    </row>
    <row r="413" spans="1:4" ht="31.5" customHeight="1">
      <c r="A413" s="120">
        <v>73436</v>
      </c>
      <c r="B413" s="119" t="s">
        <v>1952</v>
      </c>
      <c r="C413" s="120" t="s">
        <v>1915</v>
      </c>
      <c r="D413" s="441">
        <v>218.85</v>
      </c>
    </row>
    <row r="414" spans="1:4" ht="47.25" customHeight="1">
      <c r="A414" s="120">
        <v>73467</v>
      </c>
      <c r="B414" s="119" t="s">
        <v>1953</v>
      </c>
      <c r="C414" s="120" t="s">
        <v>1915</v>
      </c>
      <c r="D414" s="441">
        <v>241.38</v>
      </c>
    </row>
    <row r="415" spans="1:4" ht="31.5" customHeight="1">
      <c r="A415" s="120">
        <v>73536</v>
      </c>
      <c r="B415" s="119" t="s">
        <v>1954</v>
      </c>
      <c r="C415" s="120" t="s">
        <v>1915</v>
      </c>
      <c r="D415" s="441">
        <v>18.86</v>
      </c>
    </row>
    <row r="416" spans="1:4" ht="47.25" customHeight="1">
      <c r="A416" s="120">
        <v>83362</v>
      </c>
      <c r="B416" s="119" t="s">
        <v>1955</v>
      </c>
      <c r="C416" s="120" t="s">
        <v>1915</v>
      </c>
      <c r="D416" s="441">
        <v>254.92</v>
      </c>
    </row>
    <row r="417" spans="1:4" ht="31.5" customHeight="1">
      <c r="A417" s="120">
        <v>83765</v>
      </c>
      <c r="B417" s="119" t="s">
        <v>1956</v>
      </c>
      <c r="C417" s="120" t="s">
        <v>1915</v>
      </c>
      <c r="D417" s="441">
        <v>100.82</v>
      </c>
    </row>
    <row r="418" spans="1:4" ht="31.5" customHeight="1">
      <c r="A418" s="120">
        <v>87445</v>
      </c>
      <c r="B418" s="119" t="s">
        <v>1957</v>
      </c>
      <c r="C418" s="120" t="s">
        <v>1915</v>
      </c>
      <c r="D418" s="441">
        <v>5.04</v>
      </c>
    </row>
    <row r="419" spans="1:4" ht="31.5" customHeight="1">
      <c r="A419" s="120">
        <v>88386</v>
      </c>
      <c r="B419" s="119" t="s">
        <v>1958</v>
      </c>
      <c r="C419" s="120" t="s">
        <v>1915</v>
      </c>
      <c r="D419" s="441">
        <v>3.78</v>
      </c>
    </row>
    <row r="420" spans="1:4" ht="31.5" customHeight="1">
      <c r="A420" s="120">
        <v>88393</v>
      </c>
      <c r="B420" s="119" t="s">
        <v>1959</v>
      </c>
      <c r="C420" s="120" t="s">
        <v>1915</v>
      </c>
      <c r="D420" s="441">
        <v>5.12</v>
      </c>
    </row>
    <row r="421" spans="1:4" ht="31.5" customHeight="1">
      <c r="A421" s="120">
        <v>88399</v>
      </c>
      <c r="B421" s="119" t="s">
        <v>1960</v>
      </c>
      <c r="C421" s="120" t="s">
        <v>1915</v>
      </c>
      <c r="D421" s="441">
        <v>2.88</v>
      </c>
    </row>
    <row r="422" spans="1:4" ht="31.5" customHeight="1">
      <c r="A422" s="120">
        <v>88418</v>
      </c>
      <c r="B422" s="119" t="s">
        <v>1961</v>
      </c>
      <c r="C422" s="120" t="s">
        <v>1915</v>
      </c>
      <c r="D422" s="441">
        <v>12.49</v>
      </c>
    </row>
    <row r="423" spans="1:4" ht="31.5" customHeight="1">
      <c r="A423" s="120">
        <v>88433</v>
      </c>
      <c r="B423" s="119" t="s">
        <v>1962</v>
      </c>
      <c r="C423" s="120" t="s">
        <v>1915</v>
      </c>
      <c r="D423" s="441">
        <v>16.329999999999998</v>
      </c>
    </row>
    <row r="424" spans="1:4" ht="31.5" customHeight="1">
      <c r="A424" s="120">
        <v>88830</v>
      </c>
      <c r="B424" s="119" t="s">
        <v>1963</v>
      </c>
      <c r="C424" s="120" t="s">
        <v>1915</v>
      </c>
      <c r="D424" s="441">
        <v>1.46</v>
      </c>
    </row>
    <row r="425" spans="1:4" ht="31.5" customHeight="1">
      <c r="A425" s="120">
        <v>88843</v>
      </c>
      <c r="B425" s="119" t="s">
        <v>1964</v>
      </c>
      <c r="C425" s="120" t="s">
        <v>1915</v>
      </c>
      <c r="D425" s="441">
        <v>210.91</v>
      </c>
    </row>
    <row r="426" spans="1:4" ht="31.5" customHeight="1">
      <c r="A426" s="120">
        <v>88907</v>
      </c>
      <c r="B426" s="119" t="s">
        <v>1965</v>
      </c>
      <c r="C426" s="120" t="s">
        <v>1915</v>
      </c>
      <c r="D426" s="441">
        <v>261.77</v>
      </c>
    </row>
    <row r="427" spans="1:4" ht="31.5" customHeight="1">
      <c r="A427" s="120">
        <v>89021</v>
      </c>
      <c r="B427" s="119" t="s">
        <v>1966</v>
      </c>
      <c r="C427" s="120" t="s">
        <v>1915</v>
      </c>
      <c r="D427" s="441">
        <v>2.12</v>
      </c>
    </row>
    <row r="428" spans="1:4" ht="15.75" customHeight="1">
      <c r="A428" s="120">
        <v>89028</v>
      </c>
      <c r="B428" s="119" t="s">
        <v>1967</v>
      </c>
      <c r="C428" s="120" t="s">
        <v>1915</v>
      </c>
      <c r="D428" s="441">
        <v>175.22</v>
      </c>
    </row>
    <row r="429" spans="1:4" ht="31.5" customHeight="1">
      <c r="A429" s="120">
        <v>89032</v>
      </c>
      <c r="B429" s="119" t="s">
        <v>1968</v>
      </c>
      <c r="C429" s="120" t="s">
        <v>1915</v>
      </c>
      <c r="D429" s="441">
        <v>191.13</v>
      </c>
    </row>
    <row r="430" spans="1:4" ht="15.75" customHeight="1">
      <c r="A430" s="120">
        <v>89035</v>
      </c>
      <c r="B430" s="119" t="s">
        <v>1969</v>
      </c>
      <c r="C430" s="120" t="s">
        <v>1915</v>
      </c>
      <c r="D430" s="441">
        <v>131.05000000000001</v>
      </c>
    </row>
    <row r="431" spans="1:4" ht="31.5" customHeight="1">
      <c r="A431" s="120">
        <v>89225</v>
      </c>
      <c r="B431" s="119" t="s">
        <v>1970</v>
      </c>
      <c r="C431" s="120" t="s">
        <v>1915</v>
      </c>
      <c r="D431" s="441">
        <v>4.34</v>
      </c>
    </row>
    <row r="432" spans="1:4" ht="31.5" customHeight="1">
      <c r="A432" s="120">
        <v>89234</v>
      </c>
      <c r="B432" s="119" t="s">
        <v>1971</v>
      </c>
      <c r="C432" s="120" t="s">
        <v>1915</v>
      </c>
      <c r="D432" s="441">
        <v>607.59</v>
      </c>
    </row>
    <row r="433" spans="1:4" ht="31.5" customHeight="1">
      <c r="A433" s="120">
        <v>89242</v>
      </c>
      <c r="B433" s="119" t="s">
        <v>1972</v>
      </c>
      <c r="C433" s="120" t="s">
        <v>1915</v>
      </c>
      <c r="D433" s="442">
        <v>1428.51</v>
      </c>
    </row>
    <row r="434" spans="1:4" ht="31.5" customHeight="1">
      <c r="A434" s="120">
        <v>89250</v>
      </c>
      <c r="B434" s="119" t="s">
        <v>1973</v>
      </c>
      <c r="C434" s="120" t="s">
        <v>1915</v>
      </c>
      <c r="D434" s="442">
        <v>1238.2</v>
      </c>
    </row>
    <row r="435" spans="1:4" ht="31.5" customHeight="1">
      <c r="A435" s="120">
        <v>89257</v>
      </c>
      <c r="B435" s="119" t="s">
        <v>1974</v>
      </c>
      <c r="C435" s="120" t="s">
        <v>1915</v>
      </c>
      <c r="D435" s="441">
        <v>343.76</v>
      </c>
    </row>
    <row r="436" spans="1:4" ht="31.5" customHeight="1">
      <c r="A436" s="120">
        <v>89272</v>
      </c>
      <c r="B436" s="119" t="s">
        <v>1975</v>
      </c>
      <c r="C436" s="120" t="s">
        <v>1915</v>
      </c>
      <c r="D436" s="441">
        <v>239.51</v>
      </c>
    </row>
    <row r="437" spans="1:4" ht="31.5" customHeight="1">
      <c r="A437" s="120">
        <v>89278</v>
      </c>
      <c r="B437" s="119" t="s">
        <v>1976</v>
      </c>
      <c r="C437" s="120" t="s">
        <v>1915</v>
      </c>
      <c r="D437" s="441">
        <v>11.71</v>
      </c>
    </row>
    <row r="438" spans="1:4" ht="31.5" customHeight="1">
      <c r="A438" s="120">
        <v>89843</v>
      </c>
      <c r="B438" s="119" t="s">
        <v>1977</v>
      </c>
      <c r="C438" s="120" t="s">
        <v>1915</v>
      </c>
      <c r="D438" s="441">
        <v>209.16</v>
      </c>
    </row>
    <row r="439" spans="1:4" ht="31.5" customHeight="1">
      <c r="A439" s="120">
        <v>89876</v>
      </c>
      <c r="B439" s="119" t="s">
        <v>1978</v>
      </c>
      <c r="C439" s="120" t="s">
        <v>1915</v>
      </c>
      <c r="D439" s="441">
        <v>321.81</v>
      </c>
    </row>
    <row r="440" spans="1:4" ht="31.5" customHeight="1">
      <c r="A440" s="120">
        <v>89883</v>
      </c>
      <c r="B440" s="119" t="s">
        <v>1979</v>
      </c>
      <c r="C440" s="120" t="s">
        <v>1915</v>
      </c>
      <c r="D440" s="441">
        <v>356.98</v>
      </c>
    </row>
    <row r="441" spans="1:4" ht="31.5" customHeight="1">
      <c r="A441" s="120">
        <v>90586</v>
      </c>
      <c r="B441" s="119" t="s">
        <v>1980</v>
      </c>
      <c r="C441" s="120" t="s">
        <v>1915</v>
      </c>
      <c r="D441" s="441">
        <v>1.18</v>
      </c>
    </row>
    <row r="442" spans="1:4" ht="31.5" customHeight="1">
      <c r="A442" s="120">
        <v>90625</v>
      </c>
      <c r="B442" s="119" t="s">
        <v>1981</v>
      </c>
      <c r="C442" s="120" t="s">
        <v>1915</v>
      </c>
      <c r="D442" s="441">
        <v>6.22</v>
      </c>
    </row>
    <row r="443" spans="1:4" ht="31.5" customHeight="1">
      <c r="A443" s="120">
        <v>90631</v>
      </c>
      <c r="B443" s="119" t="s">
        <v>1982</v>
      </c>
      <c r="C443" s="120" t="s">
        <v>1915</v>
      </c>
      <c r="D443" s="441">
        <v>162.85</v>
      </c>
    </row>
    <row r="444" spans="1:4" ht="31.5" customHeight="1">
      <c r="A444" s="120">
        <v>90637</v>
      </c>
      <c r="B444" s="119" t="s">
        <v>1983</v>
      </c>
      <c r="C444" s="120" t="s">
        <v>1915</v>
      </c>
      <c r="D444" s="441">
        <v>12.49</v>
      </c>
    </row>
    <row r="445" spans="1:4" ht="31.5" customHeight="1">
      <c r="A445" s="120">
        <v>90643</v>
      </c>
      <c r="B445" s="119" t="s">
        <v>1984</v>
      </c>
      <c r="C445" s="120" t="s">
        <v>1915</v>
      </c>
      <c r="D445" s="441">
        <v>24.9</v>
      </c>
    </row>
    <row r="446" spans="1:4" ht="31.5" customHeight="1">
      <c r="A446" s="120">
        <v>90650</v>
      </c>
      <c r="B446" s="119" t="s">
        <v>1985</v>
      </c>
      <c r="C446" s="120" t="s">
        <v>1915</v>
      </c>
      <c r="D446" s="441">
        <v>7.97</v>
      </c>
    </row>
    <row r="447" spans="1:4" ht="15.75" customHeight="1">
      <c r="A447" s="120">
        <v>90656</v>
      </c>
      <c r="B447" s="119" t="s">
        <v>1986</v>
      </c>
      <c r="C447" s="120" t="s">
        <v>1915</v>
      </c>
      <c r="D447" s="441">
        <v>12.31</v>
      </c>
    </row>
    <row r="448" spans="1:4" ht="15.75" customHeight="1">
      <c r="A448" s="120">
        <v>90662</v>
      </c>
      <c r="B448" s="119" t="s">
        <v>1987</v>
      </c>
      <c r="C448" s="120" t="s">
        <v>1915</v>
      </c>
      <c r="D448" s="441">
        <v>12.89</v>
      </c>
    </row>
    <row r="449" spans="1:4" ht="47.25" customHeight="1">
      <c r="A449" s="120">
        <v>90668</v>
      </c>
      <c r="B449" s="119" t="s">
        <v>1988</v>
      </c>
      <c r="C449" s="120" t="s">
        <v>1915</v>
      </c>
      <c r="D449" s="441">
        <v>30.82</v>
      </c>
    </row>
    <row r="450" spans="1:4" ht="47.25" customHeight="1">
      <c r="A450" s="120">
        <v>90674</v>
      </c>
      <c r="B450" s="119" t="s">
        <v>1989</v>
      </c>
      <c r="C450" s="120" t="s">
        <v>1915</v>
      </c>
      <c r="D450" s="441">
        <v>747.2</v>
      </c>
    </row>
    <row r="451" spans="1:4" ht="47.25" customHeight="1">
      <c r="A451" s="120">
        <v>90680</v>
      </c>
      <c r="B451" s="119" t="s">
        <v>1990</v>
      </c>
      <c r="C451" s="120" t="s">
        <v>1915</v>
      </c>
      <c r="D451" s="441">
        <v>436.19</v>
      </c>
    </row>
    <row r="452" spans="1:4" ht="31.5" customHeight="1">
      <c r="A452" s="120">
        <v>90686</v>
      </c>
      <c r="B452" s="119" t="s">
        <v>1991</v>
      </c>
      <c r="C452" s="120" t="s">
        <v>1915</v>
      </c>
      <c r="D452" s="441">
        <v>144.71</v>
      </c>
    </row>
    <row r="453" spans="1:4" ht="31.5" customHeight="1">
      <c r="A453" s="120">
        <v>90692</v>
      </c>
      <c r="B453" s="119" t="s">
        <v>1992</v>
      </c>
      <c r="C453" s="120" t="s">
        <v>1915</v>
      </c>
      <c r="D453" s="441">
        <v>120.74</v>
      </c>
    </row>
    <row r="454" spans="1:4" ht="31.5" customHeight="1">
      <c r="A454" s="120">
        <v>90964</v>
      </c>
      <c r="B454" s="119" t="s">
        <v>1993</v>
      </c>
      <c r="C454" s="120" t="s">
        <v>1915</v>
      </c>
      <c r="D454" s="441">
        <v>30.75</v>
      </c>
    </row>
    <row r="455" spans="1:4" ht="31.5" customHeight="1">
      <c r="A455" s="120">
        <v>90972</v>
      </c>
      <c r="B455" s="119" t="s">
        <v>1994</v>
      </c>
      <c r="C455" s="120" t="s">
        <v>1915</v>
      </c>
      <c r="D455" s="441">
        <v>75.19</v>
      </c>
    </row>
    <row r="456" spans="1:4" ht="31.5" customHeight="1">
      <c r="A456" s="120">
        <v>90979</v>
      </c>
      <c r="B456" s="119" t="s">
        <v>1995</v>
      </c>
      <c r="C456" s="120" t="s">
        <v>1915</v>
      </c>
      <c r="D456" s="441">
        <v>194.19</v>
      </c>
    </row>
    <row r="457" spans="1:4" ht="31.5" customHeight="1">
      <c r="A457" s="120">
        <v>90991</v>
      </c>
      <c r="B457" s="119" t="s">
        <v>1996</v>
      </c>
      <c r="C457" s="120" t="s">
        <v>1915</v>
      </c>
      <c r="D457" s="441">
        <v>216.1</v>
      </c>
    </row>
    <row r="458" spans="1:4" ht="31.5" customHeight="1">
      <c r="A458" s="120">
        <v>90999</v>
      </c>
      <c r="B458" s="119" t="s">
        <v>1997</v>
      </c>
      <c r="C458" s="120" t="s">
        <v>1915</v>
      </c>
      <c r="D458" s="441">
        <v>99.34</v>
      </c>
    </row>
    <row r="459" spans="1:4" ht="31.5" customHeight="1">
      <c r="A459" s="120">
        <v>91031</v>
      </c>
      <c r="B459" s="119" t="s">
        <v>1998</v>
      </c>
      <c r="C459" s="120" t="s">
        <v>1915</v>
      </c>
      <c r="D459" s="441">
        <v>251.89</v>
      </c>
    </row>
    <row r="460" spans="1:4" ht="31.5" customHeight="1">
      <c r="A460" s="120">
        <v>91277</v>
      </c>
      <c r="B460" s="119" t="s">
        <v>1999</v>
      </c>
      <c r="C460" s="120" t="s">
        <v>1915</v>
      </c>
      <c r="D460" s="441">
        <v>8.8800000000000008</v>
      </c>
    </row>
    <row r="461" spans="1:4" ht="47.25" customHeight="1">
      <c r="A461" s="120">
        <v>91283</v>
      </c>
      <c r="B461" s="119" t="s">
        <v>2000</v>
      </c>
      <c r="C461" s="120" t="s">
        <v>1915</v>
      </c>
      <c r="D461" s="441">
        <v>9.49</v>
      </c>
    </row>
    <row r="462" spans="1:4" ht="47.25" customHeight="1">
      <c r="A462" s="120">
        <v>91386</v>
      </c>
      <c r="B462" s="119" t="s">
        <v>2001</v>
      </c>
      <c r="C462" s="120" t="s">
        <v>1915</v>
      </c>
      <c r="D462" s="441">
        <v>260.43</v>
      </c>
    </row>
    <row r="463" spans="1:4" ht="31.5" customHeight="1">
      <c r="A463" s="120">
        <v>91533</v>
      </c>
      <c r="B463" s="119" t="s">
        <v>2002</v>
      </c>
      <c r="C463" s="120" t="s">
        <v>1915</v>
      </c>
      <c r="D463" s="441">
        <v>38.659999999999997</v>
      </c>
    </row>
    <row r="464" spans="1:4" ht="47.25" customHeight="1">
      <c r="A464" s="120">
        <v>91634</v>
      </c>
      <c r="B464" s="119" t="s">
        <v>2003</v>
      </c>
      <c r="C464" s="120" t="s">
        <v>1915</v>
      </c>
      <c r="D464" s="441">
        <v>227.81</v>
      </c>
    </row>
    <row r="465" spans="1:4" ht="47.25" customHeight="1">
      <c r="A465" s="120">
        <v>91645</v>
      </c>
      <c r="B465" s="119" t="s">
        <v>2004</v>
      </c>
      <c r="C465" s="120" t="s">
        <v>1915</v>
      </c>
      <c r="D465" s="441">
        <v>451.42</v>
      </c>
    </row>
    <row r="466" spans="1:4" ht="31.5" customHeight="1">
      <c r="A466" s="120">
        <v>91692</v>
      </c>
      <c r="B466" s="119" t="s">
        <v>2005</v>
      </c>
      <c r="C466" s="120" t="s">
        <v>1915</v>
      </c>
      <c r="D466" s="441">
        <v>32.4</v>
      </c>
    </row>
    <row r="467" spans="1:4" ht="31.5" customHeight="1">
      <c r="A467" s="120">
        <v>92043</v>
      </c>
      <c r="B467" s="119" t="s">
        <v>2006</v>
      </c>
      <c r="C467" s="120" t="s">
        <v>1915</v>
      </c>
      <c r="D467" s="441">
        <v>11.48</v>
      </c>
    </row>
    <row r="468" spans="1:4" ht="47.25" customHeight="1">
      <c r="A468" s="120">
        <v>92106</v>
      </c>
      <c r="B468" s="119" t="s">
        <v>2007</v>
      </c>
      <c r="C468" s="120" t="s">
        <v>1915</v>
      </c>
      <c r="D468" s="441">
        <v>336.89</v>
      </c>
    </row>
    <row r="469" spans="1:4" ht="31.5" customHeight="1">
      <c r="A469" s="120">
        <v>92112</v>
      </c>
      <c r="B469" s="119" t="s">
        <v>2008</v>
      </c>
      <c r="C469" s="120" t="s">
        <v>1915</v>
      </c>
      <c r="D469" s="441">
        <v>2.91</v>
      </c>
    </row>
    <row r="470" spans="1:4" ht="15.75" customHeight="1">
      <c r="A470" s="120">
        <v>92118</v>
      </c>
      <c r="B470" s="119" t="s">
        <v>2009</v>
      </c>
      <c r="C470" s="120" t="s">
        <v>1915</v>
      </c>
      <c r="D470" s="441">
        <v>0.39</v>
      </c>
    </row>
    <row r="471" spans="1:4" ht="15.75" customHeight="1">
      <c r="A471" s="120">
        <v>92138</v>
      </c>
      <c r="B471" s="119" t="s">
        <v>2010</v>
      </c>
      <c r="C471" s="120" t="s">
        <v>1915</v>
      </c>
      <c r="D471" s="441">
        <v>96.07</v>
      </c>
    </row>
    <row r="472" spans="1:4" ht="31.5" customHeight="1">
      <c r="A472" s="120">
        <v>92145</v>
      </c>
      <c r="B472" s="119" t="s">
        <v>2011</v>
      </c>
      <c r="C472" s="120" t="s">
        <v>1915</v>
      </c>
      <c r="D472" s="441">
        <v>76.77</v>
      </c>
    </row>
    <row r="473" spans="1:4" ht="47.25" customHeight="1">
      <c r="A473" s="120">
        <v>92242</v>
      </c>
      <c r="B473" s="119" t="s">
        <v>2012</v>
      </c>
      <c r="C473" s="120" t="s">
        <v>1915</v>
      </c>
      <c r="D473" s="441">
        <v>392.99</v>
      </c>
    </row>
    <row r="474" spans="1:4" ht="31.5" customHeight="1">
      <c r="A474" s="120">
        <v>92716</v>
      </c>
      <c r="B474" s="119" t="s">
        <v>2013</v>
      </c>
      <c r="C474" s="120" t="s">
        <v>1915</v>
      </c>
      <c r="D474" s="441">
        <v>77.650000000000006</v>
      </c>
    </row>
    <row r="475" spans="1:4" ht="31.5">
      <c r="A475" s="120">
        <v>92960</v>
      </c>
      <c r="B475" s="119" t="s">
        <v>2014</v>
      </c>
      <c r="C475" s="120" t="s">
        <v>1915</v>
      </c>
      <c r="D475" s="441">
        <v>18.579999999999998</v>
      </c>
    </row>
    <row r="476" spans="1:4" ht="15.75" customHeight="1">
      <c r="A476" s="120">
        <v>92966</v>
      </c>
      <c r="B476" s="119" t="s">
        <v>2015</v>
      </c>
      <c r="C476" s="120" t="s">
        <v>1915</v>
      </c>
      <c r="D476" s="441">
        <v>29.74</v>
      </c>
    </row>
    <row r="477" spans="1:4" ht="47.25" customHeight="1">
      <c r="A477" s="120">
        <v>93224</v>
      </c>
      <c r="B477" s="119" t="s">
        <v>2016</v>
      </c>
      <c r="C477" s="120" t="s">
        <v>1915</v>
      </c>
      <c r="D477" s="442">
        <v>1115.49</v>
      </c>
    </row>
    <row r="478" spans="1:4" ht="31.5" customHeight="1">
      <c r="A478" s="120">
        <v>93233</v>
      </c>
      <c r="B478" s="119" t="s">
        <v>2017</v>
      </c>
      <c r="C478" s="120" t="s">
        <v>1915</v>
      </c>
      <c r="D478" s="441">
        <v>5</v>
      </c>
    </row>
    <row r="479" spans="1:4" ht="15.75" customHeight="1">
      <c r="A479" s="120">
        <v>93272</v>
      </c>
      <c r="B479" s="119" t="s">
        <v>2018</v>
      </c>
      <c r="C479" s="120" t="s">
        <v>1915</v>
      </c>
      <c r="D479" s="441">
        <v>125.87</v>
      </c>
    </row>
    <row r="480" spans="1:4" ht="31.5" customHeight="1">
      <c r="A480" s="120">
        <v>93281</v>
      </c>
      <c r="B480" s="119" t="s">
        <v>2019</v>
      </c>
      <c r="C480" s="120" t="s">
        <v>1915</v>
      </c>
      <c r="D480" s="441">
        <v>30.96</v>
      </c>
    </row>
    <row r="481" spans="1:4" ht="31.5" customHeight="1">
      <c r="A481" s="120">
        <v>93287</v>
      </c>
      <c r="B481" s="119" t="s">
        <v>2020</v>
      </c>
      <c r="C481" s="120" t="s">
        <v>1915</v>
      </c>
      <c r="D481" s="441">
        <v>355.73</v>
      </c>
    </row>
    <row r="482" spans="1:4" ht="47.25" customHeight="1">
      <c r="A482" s="120">
        <v>93402</v>
      </c>
      <c r="B482" s="119" t="s">
        <v>2021</v>
      </c>
      <c r="C482" s="120" t="s">
        <v>1915</v>
      </c>
      <c r="D482" s="441">
        <v>262.7</v>
      </c>
    </row>
    <row r="483" spans="1:4" ht="47.25" customHeight="1">
      <c r="A483" s="120">
        <v>93408</v>
      </c>
      <c r="B483" s="119" t="s">
        <v>2022</v>
      </c>
      <c r="C483" s="120" t="s">
        <v>1915</v>
      </c>
      <c r="D483" s="441">
        <v>92.44</v>
      </c>
    </row>
    <row r="484" spans="1:4" ht="31.5" customHeight="1">
      <c r="A484" s="120">
        <v>93415</v>
      </c>
      <c r="B484" s="119" t="s">
        <v>2023</v>
      </c>
      <c r="C484" s="120" t="s">
        <v>1915</v>
      </c>
      <c r="D484" s="441">
        <v>13.93</v>
      </c>
    </row>
    <row r="485" spans="1:4" ht="15.75" customHeight="1">
      <c r="A485" s="120">
        <v>93421</v>
      </c>
      <c r="B485" s="119" t="s">
        <v>2024</v>
      </c>
      <c r="C485" s="120" t="s">
        <v>1915</v>
      </c>
      <c r="D485" s="441">
        <v>73.81</v>
      </c>
    </row>
    <row r="486" spans="1:4" ht="15.75" customHeight="1">
      <c r="A486" s="120">
        <v>93427</v>
      </c>
      <c r="B486" s="119" t="s">
        <v>2025</v>
      </c>
      <c r="C486" s="120" t="s">
        <v>1915</v>
      </c>
      <c r="D486" s="441">
        <v>168.05</v>
      </c>
    </row>
    <row r="487" spans="1:4" ht="31.5" customHeight="1">
      <c r="A487" s="120">
        <v>93433</v>
      </c>
      <c r="B487" s="119" t="s">
        <v>2026</v>
      </c>
      <c r="C487" s="120" t="s">
        <v>1915</v>
      </c>
      <c r="D487" s="442">
        <v>2526.25</v>
      </c>
    </row>
    <row r="488" spans="1:4" ht="31.5" customHeight="1">
      <c r="A488" s="120">
        <v>93439</v>
      </c>
      <c r="B488" s="119" t="s">
        <v>2027</v>
      </c>
      <c r="C488" s="120" t="s">
        <v>1915</v>
      </c>
      <c r="D488" s="441">
        <v>252.9</v>
      </c>
    </row>
    <row r="489" spans="1:4" ht="15.75" customHeight="1">
      <c r="A489" s="120">
        <v>95121</v>
      </c>
      <c r="B489" s="119" t="s">
        <v>2028</v>
      </c>
      <c r="C489" s="120" t="s">
        <v>1915</v>
      </c>
      <c r="D489" s="441">
        <v>298.58</v>
      </c>
    </row>
    <row r="490" spans="1:4" ht="15.75" customHeight="1">
      <c r="A490" s="120">
        <v>95127</v>
      </c>
      <c r="B490" s="119" t="s">
        <v>2029</v>
      </c>
      <c r="C490" s="120" t="s">
        <v>1915</v>
      </c>
      <c r="D490" s="441">
        <v>211.45</v>
      </c>
    </row>
    <row r="491" spans="1:4" ht="31.5" customHeight="1">
      <c r="A491" s="120">
        <v>95133</v>
      </c>
      <c r="B491" s="119" t="s">
        <v>2030</v>
      </c>
      <c r="C491" s="120" t="s">
        <v>1915</v>
      </c>
      <c r="D491" s="441">
        <v>164.43</v>
      </c>
    </row>
    <row r="492" spans="1:4" ht="15.75" customHeight="1">
      <c r="A492" s="120">
        <v>95139</v>
      </c>
      <c r="B492" s="119" t="s">
        <v>2031</v>
      </c>
      <c r="C492" s="120" t="s">
        <v>1915</v>
      </c>
      <c r="D492" s="441">
        <v>0.05</v>
      </c>
    </row>
    <row r="493" spans="1:4" ht="15.75" customHeight="1">
      <c r="A493" s="120">
        <v>95212</v>
      </c>
      <c r="B493" s="119" t="s">
        <v>2032</v>
      </c>
      <c r="C493" s="120" t="s">
        <v>1915</v>
      </c>
      <c r="D493" s="441">
        <v>185.25</v>
      </c>
    </row>
    <row r="494" spans="1:4" ht="15.75" customHeight="1">
      <c r="A494" s="120">
        <v>95258</v>
      </c>
      <c r="B494" s="119" t="s">
        <v>2033</v>
      </c>
      <c r="C494" s="120" t="s">
        <v>1915</v>
      </c>
      <c r="D494" s="441">
        <v>29.3</v>
      </c>
    </row>
    <row r="495" spans="1:4" ht="31.5" customHeight="1">
      <c r="A495" s="120">
        <v>95264</v>
      </c>
      <c r="B495" s="119" t="s">
        <v>2034</v>
      </c>
      <c r="C495" s="120" t="s">
        <v>1915</v>
      </c>
      <c r="D495" s="441">
        <v>6.13</v>
      </c>
    </row>
    <row r="496" spans="1:4" ht="31.5" customHeight="1">
      <c r="A496" s="120">
        <v>95270</v>
      </c>
      <c r="B496" s="119" t="s">
        <v>2035</v>
      </c>
      <c r="C496" s="120" t="s">
        <v>1915</v>
      </c>
      <c r="D496" s="441">
        <v>8.7200000000000006</v>
      </c>
    </row>
    <row r="497" spans="1:4" ht="31.5" customHeight="1">
      <c r="A497" s="120">
        <v>95276</v>
      </c>
      <c r="B497" s="119" t="s">
        <v>2036</v>
      </c>
      <c r="C497" s="120" t="s">
        <v>1915</v>
      </c>
      <c r="D497" s="441">
        <v>2.54</v>
      </c>
    </row>
    <row r="498" spans="1:4" ht="31.5" customHeight="1">
      <c r="A498" s="120">
        <v>95282</v>
      </c>
      <c r="B498" s="119" t="s">
        <v>2037</v>
      </c>
      <c r="C498" s="120" t="s">
        <v>1915</v>
      </c>
      <c r="D498" s="441">
        <v>8.92</v>
      </c>
    </row>
    <row r="499" spans="1:4" ht="31.5" customHeight="1">
      <c r="A499" s="120">
        <v>95620</v>
      </c>
      <c r="B499" s="119" t="s">
        <v>2038</v>
      </c>
      <c r="C499" s="120" t="s">
        <v>1915</v>
      </c>
      <c r="D499" s="441">
        <v>28.79</v>
      </c>
    </row>
    <row r="500" spans="1:4" ht="31.5" customHeight="1">
      <c r="A500" s="120">
        <v>95631</v>
      </c>
      <c r="B500" s="119" t="s">
        <v>2039</v>
      </c>
      <c r="C500" s="120" t="s">
        <v>1915</v>
      </c>
      <c r="D500" s="441">
        <v>230.24</v>
      </c>
    </row>
    <row r="501" spans="1:4" ht="31.5" customHeight="1">
      <c r="A501" s="120">
        <v>95702</v>
      </c>
      <c r="B501" s="119" t="s">
        <v>2040</v>
      </c>
      <c r="C501" s="120" t="s">
        <v>1915</v>
      </c>
      <c r="D501" s="441">
        <v>42.75</v>
      </c>
    </row>
    <row r="502" spans="1:4" ht="31.5" customHeight="1">
      <c r="A502" s="120">
        <v>95708</v>
      </c>
      <c r="B502" s="119" t="s">
        <v>2041</v>
      </c>
      <c r="C502" s="120" t="s">
        <v>1915</v>
      </c>
      <c r="D502" s="441">
        <v>159.09</v>
      </c>
    </row>
    <row r="503" spans="1:4" ht="31.5" customHeight="1">
      <c r="A503" s="120">
        <v>95714</v>
      </c>
      <c r="B503" s="119" t="s">
        <v>2042</v>
      </c>
      <c r="C503" s="120" t="s">
        <v>1915</v>
      </c>
      <c r="D503" s="441">
        <v>269.45999999999998</v>
      </c>
    </row>
    <row r="504" spans="1:4" ht="47.25" customHeight="1">
      <c r="A504" s="120">
        <v>95720</v>
      </c>
      <c r="B504" s="119" t="s">
        <v>2043</v>
      </c>
      <c r="C504" s="120" t="s">
        <v>1915</v>
      </c>
      <c r="D504" s="441">
        <v>263.85000000000002</v>
      </c>
    </row>
    <row r="505" spans="1:4" ht="31.5" customHeight="1">
      <c r="A505" s="120">
        <v>95872</v>
      </c>
      <c r="B505" s="119" t="s">
        <v>2044</v>
      </c>
      <c r="C505" s="120" t="s">
        <v>1915</v>
      </c>
      <c r="D505" s="441">
        <v>285.02999999999997</v>
      </c>
    </row>
    <row r="506" spans="1:4" ht="31.5" customHeight="1">
      <c r="A506" s="120">
        <v>96013</v>
      </c>
      <c r="B506" s="119" t="s">
        <v>2045</v>
      </c>
      <c r="C506" s="120" t="s">
        <v>1915</v>
      </c>
      <c r="D506" s="441">
        <v>180.96</v>
      </c>
    </row>
    <row r="507" spans="1:4" ht="31.5" customHeight="1">
      <c r="A507" s="120">
        <v>96020</v>
      </c>
      <c r="B507" s="119" t="s">
        <v>2046</v>
      </c>
      <c r="C507" s="120" t="s">
        <v>1915</v>
      </c>
      <c r="D507" s="441">
        <v>180.43</v>
      </c>
    </row>
    <row r="508" spans="1:4" ht="31.5" customHeight="1">
      <c r="A508" s="120">
        <v>96028</v>
      </c>
      <c r="B508" s="119" t="s">
        <v>2047</v>
      </c>
      <c r="C508" s="120" t="s">
        <v>1915</v>
      </c>
      <c r="D508" s="441">
        <v>140.11000000000001</v>
      </c>
    </row>
    <row r="509" spans="1:4" ht="31.5" customHeight="1">
      <c r="A509" s="120">
        <v>96035</v>
      </c>
      <c r="B509" s="119" t="s">
        <v>2048</v>
      </c>
      <c r="C509" s="120" t="s">
        <v>1915</v>
      </c>
      <c r="D509" s="441">
        <v>269.35000000000002</v>
      </c>
    </row>
    <row r="510" spans="1:4" ht="31.5" customHeight="1">
      <c r="A510" s="120">
        <v>96157</v>
      </c>
      <c r="B510" s="119" t="s">
        <v>2049</v>
      </c>
      <c r="C510" s="120" t="s">
        <v>1915</v>
      </c>
      <c r="D510" s="441">
        <v>140.63999999999999</v>
      </c>
    </row>
    <row r="511" spans="1:4" ht="31.5" customHeight="1">
      <c r="A511" s="120">
        <v>96158</v>
      </c>
      <c r="B511" s="119" t="s">
        <v>2050</v>
      </c>
      <c r="C511" s="120" t="s">
        <v>1915</v>
      </c>
      <c r="D511" s="441">
        <v>135.91999999999999</v>
      </c>
    </row>
    <row r="512" spans="1:4" ht="31.5" customHeight="1">
      <c r="A512" s="120">
        <v>96245</v>
      </c>
      <c r="B512" s="119" t="s">
        <v>2051</v>
      </c>
      <c r="C512" s="120" t="s">
        <v>1915</v>
      </c>
      <c r="D512" s="441">
        <v>104.5</v>
      </c>
    </row>
    <row r="513" spans="1:4" ht="31.5" customHeight="1">
      <c r="A513" s="120">
        <v>96463</v>
      </c>
      <c r="B513" s="119" t="s">
        <v>2052</v>
      </c>
      <c r="C513" s="120" t="s">
        <v>1915</v>
      </c>
      <c r="D513" s="441">
        <v>218.14</v>
      </c>
    </row>
    <row r="514" spans="1:4" ht="31.5" customHeight="1">
      <c r="A514" s="120">
        <v>98764</v>
      </c>
      <c r="B514" s="119" t="s">
        <v>2053</v>
      </c>
      <c r="C514" s="120" t="s">
        <v>1915</v>
      </c>
      <c r="D514" s="441">
        <v>3.07</v>
      </c>
    </row>
    <row r="515" spans="1:4" ht="31.5" customHeight="1">
      <c r="A515" s="120">
        <v>99833</v>
      </c>
      <c r="B515" s="119" t="s">
        <v>2054</v>
      </c>
      <c r="C515" s="120" t="s">
        <v>1915</v>
      </c>
      <c r="D515" s="441">
        <v>3.13</v>
      </c>
    </row>
    <row r="516" spans="1:4" ht="31.5" customHeight="1">
      <c r="A516" s="120">
        <v>100641</v>
      </c>
      <c r="B516" s="119" t="s">
        <v>2055</v>
      </c>
      <c r="C516" s="120" t="s">
        <v>1915</v>
      </c>
      <c r="D516" s="442">
        <v>4590.22</v>
      </c>
    </row>
    <row r="517" spans="1:4" ht="15.75" customHeight="1">
      <c r="A517" s="120">
        <v>100647</v>
      </c>
      <c r="B517" s="119" t="s">
        <v>2056</v>
      </c>
      <c r="C517" s="120" t="s">
        <v>1915</v>
      </c>
      <c r="D517" s="442">
        <v>6148.75</v>
      </c>
    </row>
    <row r="518" spans="1:4" ht="31.5" customHeight="1">
      <c r="A518" s="120">
        <v>102275</v>
      </c>
      <c r="B518" s="119" t="s">
        <v>2057</v>
      </c>
      <c r="C518" s="120" t="s">
        <v>1915</v>
      </c>
      <c r="D518" s="441">
        <v>28.94</v>
      </c>
    </row>
    <row r="519" spans="1:4" ht="31.5" customHeight="1">
      <c r="A519" s="120">
        <v>104091</v>
      </c>
      <c r="B519" s="119" t="s">
        <v>2058</v>
      </c>
      <c r="C519" s="120" t="s">
        <v>1915</v>
      </c>
      <c r="D519" s="441">
        <v>0.61</v>
      </c>
    </row>
    <row r="520" spans="1:4" ht="31.5" customHeight="1">
      <c r="A520" s="120">
        <v>104097</v>
      </c>
      <c r="B520" s="119" t="s">
        <v>2059</v>
      </c>
      <c r="C520" s="120" t="s">
        <v>1915</v>
      </c>
      <c r="D520" s="441">
        <v>0.87</v>
      </c>
    </row>
    <row r="521" spans="1:4" ht="31.5" customHeight="1">
      <c r="A521" s="120">
        <v>5632</v>
      </c>
      <c r="B521" s="119" t="s">
        <v>2060</v>
      </c>
      <c r="C521" s="120" t="s">
        <v>2061</v>
      </c>
      <c r="D521" s="441">
        <v>92.78</v>
      </c>
    </row>
    <row r="522" spans="1:4" ht="47.25" customHeight="1">
      <c r="A522" s="120">
        <v>5679</v>
      </c>
      <c r="B522" s="119" t="s">
        <v>2062</v>
      </c>
      <c r="C522" s="120" t="s">
        <v>2061</v>
      </c>
      <c r="D522" s="441">
        <v>62.46</v>
      </c>
    </row>
    <row r="523" spans="1:4" ht="47.25" customHeight="1">
      <c r="A523" s="120">
        <v>5681</v>
      </c>
      <c r="B523" s="119" t="s">
        <v>2063</v>
      </c>
      <c r="C523" s="120" t="s">
        <v>2061</v>
      </c>
      <c r="D523" s="441">
        <v>59.06</v>
      </c>
    </row>
    <row r="524" spans="1:4" ht="31.5" customHeight="1">
      <c r="A524" s="120">
        <v>5685</v>
      </c>
      <c r="B524" s="119" t="s">
        <v>2064</v>
      </c>
      <c r="C524" s="120" t="s">
        <v>2061</v>
      </c>
      <c r="D524" s="441">
        <v>64.47</v>
      </c>
    </row>
    <row r="525" spans="1:4" ht="31.5" customHeight="1">
      <c r="A525" s="120">
        <v>5690</v>
      </c>
      <c r="B525" s="119" t="s">
        <v>2065</v>
      </c>
      <c r="C525" s="120" t="s">
        <v>2061</v>
      </c>
      <c r="D525" s="441">
        <v>4.45</v>
      </c>
    </row>
    <row r="526" spans="1:4" ht="31.5" customHeight="1">
      <c r="A526" s="120">
        <v>5806</v>
      </c>
      <c r="B526" s="119" t="s">
        <v>2066</v>
      </c>
      <c r="C526" s="120" t="s">
        <v>2061</v>
      </c>
      <c r="D526" s="441">
        <v>0.25</v>
      </c>
    </row>
    <row r="527" spans="1:4" ht="47.25" customHeight="1">
      <c r="A527" s="120">
        <v>5826</v>
      </c>
      <c r="B527" s="119" t="s">
        <v>2067</v>
      </c>
      <c r="C527" s="120" t="s">
        <v>2061</v>
      </c>
      <c r="D527" s="441">
        <v>57.08</v>
      </c>
    </row>
    <row r="528" spans="1:4" ht="15.75" customHeight="1">
      <c r="A528" s="120">
        <v>5829</v>
      </c>
      <c r="B528" s="119" t="s">
        <v>2068</v>
      </c>
      <c r="C528" s="120" t="s">
        <v>2061</v>
      </c>
      <c r="D528" s="441">
        <v>164.78</v>
      </c>
    </row>
    <row r="529" spans="1:4" ht="31.5" customHeight="1">
      <c r="A529" s="120">
        <v>5837</v>
      </c>
      <c r="B529" s="119" t="s">
        <v>2069</v>
      </c>
      <c r="C529" s="120" t="s">
        <v>2061</v>
      </c>
      <c r="D529" s="441">
        <v>149.80000000000001</v>
      </c>
    </row>
    <row r="530" spans="1:4" ht="31.5" customHeight="1">
      <c r="A530" s="120">
        <v>5841</v>
      </c>
      <c r="B530" s="119" t="s">
        <v>2070</v>
      </c>
      <c r="C530" s="120" t="s">
        <v>2061</v>
      </c>
      <c r="D530" s="441">
        <v>5.13</v>
      </c>
    </row>
    <row r="531" spans="1:4" ht="15.75" customHeight="1">
      <c r="A531" s="120">
        <v>5845</v>
      </c>
      <c r="B531" s="119" t="s">
        <v>2071</v>
      </c>
      <c r="C531" s="120" t="s">
        <v>2061</v>
      </c>
      <c r="D531" s="441">
        <v>55.69</v>
      </c>
    </row>
    <row r="532" spans="1:4" ht="15.75" customHeight="1">
      <c r="A532" s="120">
        <v>5849</v>
      </c>
      <c r="B532" s="119" t="s">
        <v>2072</v>
      </c>
      <c r="C532" s="120" t="s">
        <v>2061</v>
      </c>
      <c r="D532" s="441">
        <v>84.09</v>
      </c>
    </row>
    <row r="533" spans="1:4" ht="31.5" customHeight="1">
      <c r="A533" s="120">
        <v>5853</v>
      </c>
      <c r="B533" s="119" t="s">
        <v>2073</v>
      </c>
      <c r="C533" s="120" t="s">
        <v>2061</v>
      </c>
      <c r="D533" s="441">
        <v>84.4</v>
      </c>
    </row>
    <row r="534" spans="1:4" ht="31.5" customHeight="1">
      <c r="A534" s="120">
        <v>5857</v>
      </c>
      <c r="B534" s="119" t="s">
        <v>2074</v>
      </c>
      <c r="C534" s="120" t="s">
        <v>2061</v>
      </c>
      <c r="D534" s="441">
        <v>201.01</v>
      </c>
    </row>
    <row r="535" spans="1:4" ht="31.5" customHeight="1">
      <c r="A535" s="120">
        <v>5865</v>
      </c>
      <c r="B535" s="119" t="s">
        <v>2075</v>
      </c>
      <c r="C535" s="120" t="s">
        <v>2061</v>
      </c>
      <c r="D535" s="441">
        <v>11.12</v>
      </c>
    </row>
    <row r="536" spans="1:4" ht="31.5" customHeight="1">
      <c r="A536" s="120">
        <v>5869</v>
      </c>
      <c r="B536" s="119" t="s">
        <v>2076</v>
      </c>
      <c r="C536" s="120" t="s">
        <v>2061</v>
      </c>
      <c r="D536" s="441">
        <v>72.89</v>
      </c>
    </row>
    <row r="537" spans="1:4" ht="47.25" customHeight="1">
      <c r="A537" s="120">
        <v>5877</v>
      </c>
      <c r="B537" s="119" t="s">
        <v>2077</v>
      </c>
      <c r="C537" s="120" t="s">
        <v>2061</v>
      </c>
      <c r="D537" s="441">
        <v>61.38</v>
      </c>
    </row>
    <row r="538" spans="1:4" ht="31.5" customHeight="1">
      <c r="A538" s="120">
        <v>5881</v>
      </c>
      <c r="B538" s="119" t="s">
        <v>2078</v>
      </c>
      <c r="C538" s="120" t="s">
        <v>2061</v>
      </c>
      <c r="D538" s="441">
        <v>77.989999999999995</v>
      </c>
    </row>
    <row r="539" spans="1:4" ht="31.5" customHeight="1">
      <c r="A539" s="120">
        <v>5884</v>
      </c>
      <c r="B539" s="119" t="s">
        <v>2079</v>
      </c>
      <c r="C539" s="120" t="s">
        <v>2061</v>
      </c>
      <c r="D539" s="441">
        <v>50.38</v>
      </c>
    </row>
    <row r="540" spans="1:4" ht="31.5" customHeight="1">
      <c r="A540" s="120">
        <v>5892</v>
      </c>
      <c r="B540" s="119" t="s">
        <v>2080</v>
      </c>
      <c r="C540" s="120" t="s">
        <v>2061</v>
      </c>
      <c r="D540" s="441">
        <v>52.07</v>
      </c>
    </row>
    <row r="541" spans="1:4" ht="31.5" customHeight="1">
      <c r="A541" s="120">
        <v>5896</v>
      </c>
      <c r="B541" s="119" t="s">
        <v>2081</v>
      </c>
      <c r="C541" s="120" t="s">
        <v>2061</v>
      </c>
      <c r="D541" s="441">
        <v>54.5</v>
      </c>
    </row>
    <row r="542" spans="1:4" ht="47.25" customHeight="1">
      <c r="A542" s="120">
        <v>5903</v>
      </c>
      <c r="B542" s="119" t="s">
        <v>2082</v>
      </c>
      <c r="C542" s="120" t="s">
        <v>2061</v>
      </c>
      <c r="D542" s="441">
        <v>67.27</v>
      </c>
    </row>
    <row r="543" spans="1:4" ht="31.5" customHeight="1">
      <c r="A543" s="120">
        <v>5911</v>
      </c>
      <c r="B543" s="119" t="s">
        <v>2083</v>
      </c>
      <c r="C543" s="120" t="s">
        <v>2061</v>
      </c>
      <c r="D543" s="441">
        <v>29.35</v>
      </c>
    </row>
    <row r="544" spans="1:4" ht="31.5" customHeight="1">
      <c r="A544" s="120">
        <v>5923</v>
      </c>
      <c r="B544" s="119" t="s">
        <v>2084</v>
      </c>
      <c r="C544" s="120" t="s">
        <v>2061</v>
      </c>
      <c r="D544" s="441">
        <v>3.5</v>
      </c>
    </row>
    <row r="545" spans="1:4" ht="47.25" customHeight="1">
      <c r="A545" s="120">
        <v>5930</v>
      </c>
      <c r="B545" s="119" t="s">
        <v>2085</v>
      </c>
      <c r="C545" s="120" t="s">
        <v>2061</v>
      </c>
      <c r="D545" s="441">
        <v>67.58</v>
      </c>
    </row>
    <row r="546" spans="1:4" ht="31.5" customHeight="1">
      <c r="A546" s="120">
        <v>5934</v>
      </c>
      <c r="B546" s="119" t="s">
        <v>2086</v>
      </c>
      <c r="C546" s="120" t="s">
        <v>2061</v>
      </c>
      <c r="D546" s="441">
        <v>99.86</v>
      </c>
    </row>
    <row r="547" spans="1:4" ht="31.5" customHeight="1">
      <c r="A547" s="120">
        <v>5942</v>
      </c>
      <c r="B547" s="119" t="s">
        <v>2087</v>
      </c>
      <c r="C547" s="120" t="s">
        <v>2061</v>
      </c>
      <c r="D547" s="441">
        <v>76.739999999999995</v>
      </c>
    </row>
    <row r="548" spans="1:4" ht="31.5" customHeight="1">
      <c r="A548" s="120">
        <v>5946</v>
      </c>
      <c r="B548" s="119" t="s">
        <v>2088</v>
      </c>
      <c r="C548" s="120" t="s">
        <v>2061</v>
      </c>
      <c r="D548" s="441">
        <v>94.72</v>
      </c>
    </row>
    <row r="549" spans="1:4" ht="15.75" customHeight="1">
      <c r="A549" s="120">
        <v>5952</v>
      </c>
      <c r="B549" s="119" t="s">
        <v>2089</v>
      </c>
      <c r="C549" s="120" t="s">
        <v>2061</v>
      </c>
      <c r="D549" s="441">
        <v>27.97</v>
      </c>
    </row>
    <row r="550" spans="1:4" ht="31.5" customHeight="1">
      <c r="A550" s="120">
        <v>5954</v>
      </c>
      <c r="B550" s="119" t="s">
        <v>2090</v>
      </c>
      <c r="C550" s="120" t="s">
        <v>2061</v>
      </c>
      <c r="D550" s="441">
        <v>5.77</v>
      </c>
    </row>
    <row r="551" spans="1:4" ht="31.5" customHeight="1">
      <c r="A551" s="120">
        <v>5961</v>
      </c>
      <c r="B551" s="119" t="s">
        <v>2091</v>
      </c>
      <c r="C551" s="120" t="s">
        <v>2061</v>
      </c>
      <c r="D551" s="441">
        <v>57.51</v>
      </c>
    </row>
    <row r="552" spans="1:4" ht="31.5" customHeight="1">
      <c r="A552" s="120">
        <v>6260</v>
      </c>
      <c r="B552" s="119" t="s">
        <v>2092</v>
      </c>
      <c r="C552" s="120" t="s">
        <v>2061</v>
      </c>
      <c r="D552" s="441">
        <v>55.97</v>
      </c>
    </row>
    <row r="553" spans="1:4" ht="31.5" customHeight="1">
      <c r="A553" s="120">
        <v>6880</v>
      </c>
      <c r="B553" s="119" t="s">
        <v>2093</v>
      </c>
      <c r="C553" s="120" t="s">
        <v>2061</v>
      </c>
      <c r="D553" s="441">
        <v>85.25</v>
      </c>
    </row>
    <row r="554" spans="1:4" ht="15.75" customHeight="1">
      <c r="A554" s="120">
        <v>7031</v>
      </c>
      <c r="B554" s="119" t="s">
        <v>2094</v>
      </c>
      <c r="C554" s="120" t="s">
        <v>2061</v>
      </c>
      <c r="D554" s="441">
        <v>5.34</v>
      </c>
    </row>
    <row r="555" spans="1:4" ht="31.5" customHeight="1">
      <c r="A555" s="120">
        <v>7043</v>
      </c>
      <c r="B555" s="119" t="s">
        <v>2095</v>
      </c>
      <c r="C555" s="120" t="s">
        <v>2061</v>
      </c>
      <c r="D555" s="441">
        <v>0.31</v>
      </c>
    </row>
    <row r="556" spans="1:4" ht="31.5" customHeight="1">
      <c r="A556" s="120">
        <v>7050</v>
      </c>
      <c r="B556" s="119" t="s">
        <v>2096</v>
      </c>
      <c r="C556" s="120" t="s">
        <v>2061</v>
      </c>
      <c r="D556" s="441">
        <v>78.73</v>
      </c>
    </row>
    <row r="557" spans="1:4" ht="31.5" customHeight="1">
      <c r="A557" s="120">
        <v>67827</v>
      </c>
      <c r="B557" s="119" t="s">
        <v>2097</v>
      </c>
      <c r="C557" s="120" t="s">
        <v>2061</v>
      </c>
      <c r="D557" s="441">
        <v>58.58</v>
      </c>
    </row>
    <row r="558" spans="1:4" ht="15.75" customHeight="1">
      <c r="A558" s="120">
        <v>73395</v>
      </c>
      <c r="B558" s="119" t="s">
        <v>2098</v>
      </c>
      <c r="C558" s="120" t="s">
        <v>2061</v>
      </c>
      <c r="D558" s="441">
        <v>7.76</v>
      </c>
    </row>
    <row r="559" spans="1:4" ht="31.5" customHeight="1">
      <c r="A559" s="120">
        <v>83766</v>
      </c>
      <c r="B559" s="119" t="s">
        <v>2099</v>
      </c>
      <c r="C559" s="120" t="s">
        <v>2061</v>
      </c>
      <c r="D559" s="441">
        <v>44.17</v>
      </c>
    </row>
    <row r="560" spans="1:4" ht="31.5" customHeight="1">
      <c r="A560" s="120">
        <v>84013</v>
      </c>
      <c r="B560" s="119" t="s">
        <v>2100</v>
      </c>
      <c r="C560" s="120" t="s">
        <v>2061</v>
      </c>
      <c r="D560" s="441">
        <v>89.98</v>
      </c>
    </row>
    <row r="561" spans="1:4" ht="31.5" customHeight="1">
      <c r="A561" s="120">
        <v>87446</v>
      </c>
      <c r="B561" s="119" t="s">
        <v>2101</v>
      </c>
      <c r="C561" s="120" t="s">
        <v>2061</v>
      </c>
      <c r="D561" s="441">
        <v>0.45</v>
      </c>
    </row>
    <row r="562" spans="1:4" ht="31.5" customHeight="1">
      <c r="A562" s="120">
        <v>88392</v>
      </c>
      <c r="B562" s="119" t="s">
        <v>2102</v>
      </c>
      <c r="C562" s="120" t="s">
        <v>2061</v>
      </c>
      <c r="D562" s="441">
        <v>0.9</v>
      </c>
    </row>
    <row r="563" spans="1:4" ht="31.5" customHeight="1">
      <c r="A563" s="120">
        <v>88398</v>
      </c>
      <c r="B563" s="119" t="s">
        <v>2103</v>
      </c>
      <c r="C563" s="120" t="s">
        <v>2061</v>
      </c>
      <c r="D563" s="441">
        <v>1.07</v>
      </c>
    </row>
    <row r="564" spans="1:4" ht="31.5" customHeight="1">
      <c r="A564" s="120">
        <v>88404</v>
      </c>
      <c r="B564" s="119" t="s">
        <v>2104</v>
      </c>
      <c r="C564" s="120" t="s">
        <v>2061</v>
      </c>
      <c r="D564" s="441">
        <v>0.85</v>
      </c>
    </row>
    <row r="565" spans="1:4" ht="31.5" customHeight="1">
      <c r="A565" s="120">
        <v>88430</v>
      </c>
      <c r="B565" s="119" t="s">
        <v>2105</v>
      </c>
      <c r="C565" s="120" t="s">
        <v>2061</v>
      </c>
      <c r="D565" s="441">
        <v>5.58</v>
      </c>
    </row>
    <row r="566" spans="1:4" ht="31.5" customHeight="1">
      <c r="A566" s="120">
        <v>88438</v>
      </c>
      <c r="B566" s="119" t="s">
        <v>2106</v>
      </c>
      <c r="C566" s="120" t="s">
        <v>2061</v>
      </c>
      <c r="D566" s="441">
        <v>7.39</v>
      </c>
    </row>
    <row r="567" spans="1:4" ht="31.5" customHeight="1">
      <c r="A567" s="120">
        <v>88831</v>
      </c>
      <c r="B567" s="119" t="s">
        <v>2107</v>
      </c>
      <c r="C567" s="120" t="s">
        <v>2061</v>
      </c>
      <c r="D567" s="441">
        <v>0.33</v>
      </c>
    </row>
    <row r="568" spans="1:4" ht="31.5" customHeight="1">
      <c r="A568" s="120">
        <v>88844</v>
      </c>
      <c r="B568" s="119" t="s">
        <v>2108</v>
      </c>
      <c r="C568" s="120" t="s">
        <v>2061</v>
      </c>
      <c r="D568" s="441">
        <v>74.540000000000006</v>
      </c>
    </row>
    <row r="569" spans="1:4" ht="31.5" customHeight="1">
      <c r="A569" s="120">
        <v>88908</v>
      </c>
      <c r="B569" s="119" t="s">
        <v>2109</v>
      </c>
      <c r="C569" s="120" t="s">
        <v>2061</v>
      </c>
      <c r="D569" s="441">
        <v>99.64</v>
      </c>
    </row>
    <row r="570" spans="1:4" ht="31.5" customHeight="1">
      <c r="A570" s="120">
        <v>89022</v>
      </c>
      <c r="B570" s="119" t="s">
        <v>2110</v>
      </c>
      <c r="C570" s="120" t="s">
        <v>2061</v>
      </c>
      <c r="D570" s="441">
        <v>0.45</v>
      </c>
    </row>
    <row r="571" spans="1:4" ht="15.75" customHeight="1">
      <c r="A571" s="120">
        <v>89027</v>
      </c>
      <c r="B571" s="119" t="s">
        <v>2111</v>
      </c>
      <c r="C571" s="120" t="s">
        <v>2061</v>
      </c>
      <c r="D571" s="441">
        <v>4.34</v>
      </c>
    </row>
    <row r="572" spans="1:4" ht="31.5" customHeight="1">
      <c r="A572" s="120">
        <v>89031</v>
      </c>
      <c r="B572" s="119" t="s">
        <v>2112</v>
      </c>
      <c r="C572" s="120" t="s">
        <v>2061</v>
      </c>
      <c r="D572" s="441">
        <v>72.69</v>
      </c>
    </row>
    <row r="573" spans="1:4" ht="15.75" customHeight="1">
      <c r="A573" s="120">
        <v>89036</v>
      </c>
      <c r="B573" s="119" t="s">
        <v>2113</v>
      </c>
      <c r="C573" s="120" t="s">
        <v>2061</v>
      </c>
      <c r="D573" s="441">
        <v>49.67</v>
      </c>
    </row>
    <row r="574" spans="1:4" ht="31.5" customHeight="1">
      <c r="A574" s="120">
        <v>89218</v>
      </c>
      <c r="B574" s="119" t="s">
        <v>2114</v>
      </c>
      <c r="C574" s="120" t="s">
        <v>2061</v>
      </c>
      <c r="D574" s="441">
        <v>91.7</v>
      </c>
    </row>
    <row r="575" spans="1:4" ht="31.5" customHeight="1">
      <c r="A575" s="120">
        <v>89226</v>
      </c>
      <c r="B575" s="119" t="s">
        <v>2115</v>
      </c>
      <c r="C575" s="120" t="s">
        <v>2061</v>
      </c>
      <c r="D575" s="441">
        <v>1.38</v>
      </c>
    </row>
    <row r="576" spans="1:4" ht="31.5" customHeight="1">
      <c r="A576" s="120">
        <v>89235</v>
      </c>
      <c r="B576" s="119" t="s">
        <v>2116</v>
      </c>
      <c r="C576" s="120" t="s">
        <v>2061</v>
      </c>
      <c r="D576" s="441">
        <v>193.82</v>
      </c>
    </row>
    <row r="577" spans="1:4" ht="31.5" customHeight="1">
      <c r="A577" s="120">
        <v>89243</v>
      </c>
      <c r="B577" s="119" t="s">
        <v>2117</v>
      </c>
      <c r="C577" s="120" t="s">
        <v>2061</v>
      </c>
      <c r="D577" s="441">
        <v>411.8</v>
      </c>
    </row>
    <row r="578" spans="1:4" ht="31.5" customHeight="1">
      <c r="A578" s="120">
        <v>89251</v>
      </c>
      <c r="B578" s="119" t="s">
        <v>2118</v>
      </c>
      <c r="C578" s="120" t="s">
        <v>2061</v>
      </c>
      <c r="D578" s="441">
        <v>361.85</v>
      </c>
    </row>
    <row r="579" spans="1:4" ht="31.5" customHeight="1">
      <c r="A579" s="120">
        <v>89258</v>
      </c>
      <c r="B579" s="119" t="s">
        <v>2119</v>
      </c>
      <c r="C579" s="120" t="s">
        <v>2061</v>
      </c>
      <c r="D579" s="441">
        <v>128.30000000000001</v>
      </c>
    </row>
    <row r="580" spans="1:4" ht="31.5" customHeight="1">
      <c r="A580" s="120">
        <v>89273</v>
      </c>
      <c r="B580" s="119" t="s">
        <v>2120</v>
      </c>
      <c r="C580" s="120" t="s">
        <v>2061</v>
      </c>
      <c r="D580" s="441">
        <v>130.38999999999999</v>
      </c>
    </row>
    <row r="581" spans="1:4" ht="31.5" customHeight="1">
      <c r="A581" s="120">
        <v>89279</v>
      </c>
      <c r="B581" s="119" t="s">
        <v>2121</v>
      </c>
      <c r="C581" s="120" t="s">
        <v>2061</v>
      </c>
      <c r="D581" s="441">
        <v>1.68</v>
      </c>
    </row>
    <row r="582" spans="1:4" ht="31.5" customHeight="1">
      <c r="A582" s="120">
        <v>89877</v>
      </c>
      <c r="B582" s="119" t="s">
        <v>2122</v>
      </c>
      <c r="C582" s="120" t="s">
        <v>2061</v>
      </c>
      <c r="D582" s="441">
        <v>80.44</v>
      </c>
    </row>
    <row r="583" spans="1:4" ht="31.5" customHeight="1">
      <c r="A583" s="120">
        <v>89884</v>
      </c>
      <c r="B583" s="119" t="s">
        <v>2123</v>
      </c>
      <c r="C583" s="120" t="s">
        <v>2061</v>
      </c>
      <c r="D583" s="441">
        <v>84.48</v>
      </c>
    </row>
    <row r="584" spans="1:4" ht="31.5" customHeight="1">
      <c r="A584" s="120">
        <v>90587</v>
      </c>
      <c r="B584" s="119" t="s">
        <v>2124</v>
      </c>
      <c r="C584" s="120" t="s">
        <v>2061</v>
      </c>
      <c r="D584" s="441">
        <v>0.5</v>
      </c>
    </row>
    <row r="585" spans="1:4" ht="31.5" customHeight="1">
      <c r="A585" s="120">
        <v>90626</v>
      </c>
      <c r="B585" s="119" t="s">
        <v>2125</v>
      </c>
      <c r="C585" s="120" t="s">
        <v>2061</v>
      </c>
      <c r="D585" s="441">
        <v>1.99</v>
      </c>
    </row>
    <row r="586" spans="1:4" ht="31.5" customHeight="1">
      <c r="A586" s="120">
        <v>90632</v>
      </c>
      <c r="B586" s="119" t="s">
        <v>2126</v>
      </c>
      <c r="C586" s="120" t="s">
        <v>2061</v>
      </c>
      <c r="D586" s="441">
        <v>93.52</v>
      </c>
    </row>
    <row r="587" spans="1:4" ht="31.5" customHeight="1">
      <c r="A587" s="120">
        <v>90638</v>
      </c>
      <c r="B587" s="119" t="s">
        <v>2127</v>
      </c>
      <c r="C587" s="120" t="s">
        <v>2061</v>
      </c>
      <c r="D587" s="441">
        <v>4.29</v>
      </c>
    </row>
    <row r="588" spans="1:4" ht="31.5" customHeight="1">
      <c r="A588" s="120">
        <v>90644</v>
      </c>
      <c r="B588" s="119" t="s">
        <v>2128</v>
      </c>
      <c r="C588" s="120" t="s">
        <v>2061</v>
      </c>
      <c r="D588" s="441">
        <v>6.41</v>
      </c>
    </row>
    <row r="589" spans="1:4" ht="31.5" customHeight="1">
      <c r="A589" s="120">
        <v>90651</v>
      </c>
      <c r="B589" s="119" t="s">
        <v>2129</v>
      </c>
      <c r="C589" s="120" t="s">
        <v>2061</v>
      </c>
      <c r="D589" s="441">
        <v>0.9</v>
      </c>
    </row>
    <row r="590" spans="1:4" ht="15.75" customHeight="1">
      <c r="A590" s="120">
        <v>90657</v>
      </c>
      <c r="B590" s="119" t="s">
        <v>2130</v>
      </c>
      <c r="C590" s="120" t="s">
        <v>2061</v>
      </c>
      <c r="D590" s="441">
        <v>4.17</v>
      </c>
    </row>
    <row r="591" spans="1:4" ht="15.75" customHeight="1">
      <c r="A591" s="120">
        <v>90663</v>
      </c>
      <c r="B591" s="119" t="s">
        <v>2131</v>
      </c>
      <c r="C591" s="120" t="s">
        <v>2061</v>
      </c>
      <c r="D591" s="441">
        <v>4.46</v>
      </c>
    </row>
    <row r="592" spans="1:4" ht="47.25" customHeight="1">
      <c r="A592" s="120">
        <v>90669</v>
      </c>
      <c r="B592" s="119" t="s">
        <v>2132</v>
      </c>
      <c r="C592" s="120" t="s">
        <v>2061</v>
      </c>
      <c r="D592" s="441">
        <v>7.76</v>
      </c>
    </row>
    <row r="593" spans="1:4" ht="47.25" customHeight="1">
      <c r="A593" s="120">
        <v>90675</v>
      </c>
      <c r="B593" s="119" t="s">
        <v>2133</v>
      </c>
      <c r="C593" s="120" t="s">
        <v>2061</v>
      </c>
      <c r="D593" s="441">
        <v>317.01</v>
      </c>
    </row>
    <row r="594" spans="1:4" ht="47.25" customHeight="1">
      <c r="A594" s="120">
        <v>90681</v>
      </c>
      <c r="B594" s="119" t="s">
        <v>2134</v>
      </c>
      <c r="C594" s="120" t="s">
        <v>2061</v>
      </c>
      <c r="D594" s="441">
        <v>183.07</v>
      </c>
    </row>
    <row r="595" spans="1:4" ht="31.5" customHeight="1">
      <c r="A595" s="120">
        <v>90687</v>
      </c>
      <c r="B595" s="119" t="s">
        <v>2135</v>
      </c>
      <c r="C595" s="120" t="s">
        <v>2061</v>
      </c>
      <c r="D595" s="441">
        <v>60.15</v>
      </c>
    </row>
    <row r="596" spans="1:4" ht="31.5" customHeight="1">
      <c r="A596" s="120">
        <v>90693</v>
      </c>
      <c r="B596" s="119" t="s">
        <v>2136</v>
      </c>
      <c r="C596" s="120" t="s">
        <v>2061</v>
      </c>
      <c r="D596" s="441">
        <v>54.48</v>
      </c>
    </row>
    <row r="597" spans="1:4" ht="31.5" customHeight="1">
      <c r="A597" s="120">
        <v>90965</v>
      </c>
      <c r="B597" s="119" t="s">
        <v>2137</v>
      </c>
      <c r="C597" s="120" t="s">
        <v>2061</v>
      </c>
      <c r="D597" s="441">
        <v>7.72</v>
      </c>
    </row>
    <row r="598" spans="1:4" ht="31.5" customHeight="1">
      <c r="A598" s="120">
        <v>90973</v>
      </c>
      <c r="B598" s="119" t="s">
        <v>2138</v>
      </c>
      <c r="C598" s="120" t="s">
        <v>2061</v>
      </c>
      <c r="D598" s="441">
        <v>7.74</v>
      </c>
    </row>
    <row r="599" spans="1:4" ht="31.5" customHeight="1">
      <c r="A599" s="120">
        <v>90982</v>
      </c>
      <c r="B599" s="119" t="s">
        <v>2139</v>
      </c>
      <c r="C599" s="120" t="s">
        <v>2061</v>
      </c>
      <c r="D599" s="441">
        <v>19.649999999999999</v>
      </c>
    </row>
    <row r="600" spans="1:4" ht="31.5" customHeight="1">
      <c r="A600" s="120">
        <v>91001</v>
      </c>
      <c r="B600" s="119" t="s">
        <v>2140</v>
      </c>
      <c r="C600" s="120" t="s">
        <v>2061</v>
      </c>
      <c r="D600" s="441">
        <v>9.17</v>
      </c>
    </row>
    <row r="601" spans="1:4" ht="31.5" customHeight="1">
      <c r="A601" s="120">
        <v>91032</v>
      </c>
      <c r="B601" s="119" t="s">
        <v>2141</v>
      </c>
      <c r="C601" s="120" t="s">
        <v>2061</v>
      </c>
      <c r="D601" s="441">
        <v>62.25</v>
      </c>
    </row>
    <row r="602" spans="1:4" ht="31.5" customHeight="1">
      <c r="A602" s="120">
        <v>91278</v>
      </c>
      <c r="B602" s="119" t="s">
        <v>2142</v>
      </c>
      <c r="C602" s="120" t="s">
        <v>2061</v>
      </c>
      <c r="D602" s="441">
        <v>0.56999999999999995</v>
      </c>
    </row>
    <row r="603" spans="1:4" ht="47.25" customHeight="1">
      <c r="A603" s="120">
        <v>91285</v>
      </c>
      <c r="B603" s="119" t="s">
        <v>2143</v>
      </c>
      <c r="C603" s="120" t="s">
        <v>2061</v>
      </c>
      <c r="D603" s="441">
        <v>0.82</v>
      </c>
    </row>
    <row r="604" spans="1:4" ht="47.25" customHeight="1">
      <c r="A604" s="120">
        <v>91387</v>
      </c>
      <c r="B604" s="119" t="s">
        <v>2144</v>
      </c>
      <c r="C604" s="120" t="s">
        <v>2061</v>
      </c>
      <c r="D604" s="441">
        <v>67.47</v>
      </c>
    </row>
    <row r="605" spans="1:4" ht="47.25" customHeight="1">
      <c r="A605" s="120">
        <v>91395</v>
      </c>
      <c r="B605" s="119" t="s">
        <v>2145</v>
      </c>
      <c r="C605" s="120" t="s">
        <v>2061</v>
      </c>
      <c r="D605" s="441">
        <v>54.47</v>
      </c>
    </row>
    <row r="606" spans="1:4" ht="47.25" customHeight="1">
      <c r="A606" s="120">
        <v>91486</v>
      </c>
      <c r="B606" s="119" t="s">
        <v>2146</v>
      </c>
      <c r="C606" s="120" t="s">
        <v>2061</v>
      </c>
      <c r="D606" s="441">
        <v>61.5</v>
      </c>
    </row>
    <row r="607" spans="1:4" ht="31.5" customHeight="1">
      <c r="A607" s="120">
        <v>91534</v>
      </c>
      <c r="B607" s="119" t="s">
        <v>2147</v>
      </c>
      <c r="C607" s="120" t="s">
        <v>2061</v>
      </c>
      <c r="D607" s="441">
        <v>32.229999999999997</v>
      </c>
    </row>
    <row r="608" spans="1:4" ht="47.25" customHeight="1">
      <c r="A608" s="120">
        <v>91635</v>
      </c>
      <c r="B608" s="119" t="s">
        <v>2148</v>
      </c>
      <c r="C608" s="120" t="s">
        <v>2061</v>
      </c>
      <c r="D608" s="441">
        <v>60.07</v>
      </c>
    </row>
    <row r="609" spans="1:4" ht="47.25" customHeight="1">
      <c r="A609" s="120">
        <v>91646</v>
      </c>
      <c r="B609" s="119" t="s">
        <v>2149</v>
      </c>
      <c r="C609" s="120" t="s">
        <v>2061</v>
      </c>
      <c r="D609" s="441">
        <v>87.76</v>
      </c>
    </row>
    <row r="610" spans="1:4" ht="31.5" customHeight="1">
      <c r="A610" s="120">
        <v>91693</v>
      </c>
      <c r="B610" s="119" t="s">
        <v>2150</v>
      </c>
      <c r="C610" s="120" t="s">
        <v>2061</v>
      </c>
      <c r="D610" s="441">
        <v>31.47</v>
      </c>
    </row>
    <row r="611" spans="1:4" ht="31.5" customHeight="1">
      <c r="A611" s="120">
        <v>92044</v>
      </c>
      <c r="B611" s="119" t="s">
        <v>2151</v>
      </c>
      <c r="C611" s="120" t="s">
        <v>2061</v>
      </c>
      <c r="D611" s="441">
        <v>6.54</v>
      </c>
    </row>
    <row r="612" spans="1:4" ht="47.25" customHeight="1">
      <c r="A612" s="120">
        <v>92107</v>
      </c>
      <c r="B612" s="119" t="s">
        <v>2152</v>
      </c>
      <c r="C612" s="120" t="s">
        <v>2061</v>
      </c>
      <c r="D612" s="441">
        <v>81.66</v>
      </c>
    </row>
    <row r="613" spans="1:4" ht="31.5" customHeight="1">
      <c r="A613" s="120">
        <v>92113</v>
      </c>
      <c r="B613" s="119" t="s">
        <v>2153</v>
      </c>
      <c r="C613" s="120" t="s">
        <v>2061</v>
      </c>
      <c r="D613" s="441">
        <v>0.99</v>
      </c>
    </row>
    <row r="614" spans="1:4" ht="15.75" customHeight="1">
      <c r="A614" s="120">
        <v>92119</v>
      </c>
      <c r="B614" s="119" t="s">
        <v>2154</v>
      </c>
      <c r="C614" s="120" t="s">
        <v>2061</v>
      </c>
      <c r="D614" s="441">
        <v>0.24</v>
      </c>
    </row>
    <row r="615" spans="1:4" ht="15.75" customHeight="1">
      <c r="A615" s="120">
        <v>92139</v>
      </c>
      <c r="B615" s="119" t="s">
        <v>2155</v>
      </c>
      <c r="C615" s="120" t="s">
        <v>2061</v>
      </c>
      <c r="D615" s="441">
        <v>45.64</v>
      </c>
    </row>
    <row r="616" spans="1:4" ht="31.5" customHeight="1">
      <c r="A616" s="120">
        <v>92146</v>
      </c>
      <c r="B616" s="119" t="s">
        <v>2156</v>
      </c>
      <c r="C616" s="120" t="s">
        <v>2061</v>
      </c>
      <c r="D616" s="441">
        <v>35.130000000000003</v>
      </c>
    </row>
    <row r="617" spans="1:4" ht="47.25" customHeight="1">
      <c r="A617" s="120">
        <v>92243</v>
      </c>
      <c r="B617" s="119" t="s">
        <v>2157</v>
      </c>
      <c r="C617" s="120" t="s">
        <v>2061</v>
      </c>
      <c r="D617" s="441">
        <v>73.150000000000006</v>
      </c>
    </row>
    <row r="618" spans="1:4" ht="31.5" customHeight="1">
      <c r="A618" s="120">
        <v>92717</v>
      </c>
      <c r="B618" s="119" t="s">
        <v>2158</v>
      </c>
      <c r="C618" s="120" t="s">
        <v>2061</v>
      </c>
      <c r="D618" s="441">
        <v>0.19</v>
      </c>
    </row>
    <row r="619" spans="1:4" ht="31.5">
      <c r="A619" s="120">
        <v>92961</v>
      </c>
      <c r="B619" s="119" t="s">
        <v>2159</v>
      </c>
      <c r="C619" s="120" t="s">
        <v>2061</v>
      </c>
      <c r="D619" s="441">
        <v>4.83</v>
      </c>
    </row>
    <row r="620" spans="1:4" ht="15.75" customHeight="1">
      <c r="A620" s="120">
        <v>92967</v>
      </c>
      <c r="B620" s="119" t="s">
        <v>2160</v>
      </c>
      <c r="C620" s="120" t="s">
        <v>2061</v>
      </c>
      <c r="D620" s="441">
        <v>28.02</v>
      </c>
    </row>
    <row r="621" spans="1:4" ht="47.25" customHeight="1">
      <c r="A621" s="120">
        <v>93225</v>
      </c>
      <c r="B621" s="119" t="s">
        <v>2161</v>
      </c>
      <c r="C621" s="120" t="s">
        <v>2061</v>
      </c>
      <c r="D621" s="441">
        <v>475.51</v>
      </c>
    </row>
    <row r="622" spans="1:4" ht="31.5" customHeight="1">
      <c r="A622" s="120">
        <v>93234</v>
      </c>
      <c r="B622" s="119" t="s">
        <v>2162</v>
      </c>
      <c r="C622" s="120" t="s">
        <v>2061</v>
      </c>
      <c r="D622" s="441">
        <v>0.42</v>
      </c>
    </row>
    <row r="623" spans="1:4" ht="31.5" customHeight="1">
      <c r="A623" s="120">
        <v>93244</v>
      </c>
      <c r="B623" s="119" t="s">
        <v>2163</v>
      </c>
      <c r="C623" s="120" t="s">
        <v>2061</v>
      </c>
      <c r="D623" s="441">
        <v>65.94</v>
      </c>
    </row>
    <row r="624" spans="1:4" ht="15.75" customHeight="1">
      <c r="A624" s="120">
        <v>93274</v>
      </c>
      <c r="B624" s="119" t="s">
        <v>2164</v>
      </c>
      <c r="C624" s="120" t="s">
        <v>2061</v>
      </c>
      <c r="D624" s="441">
        <v>94.71</v>
      </c>
    </row>
    <row r="625" spans="1:4" ht="31.5" customHeight="1">
      <c r="A625" s="120">
        <v>93282</v>
      </c>
      <c r="B625" s="119" t="s">
        <v>2165</v>
      </c>
      <c r="C625" s="120" t="s">
        <v>2061</v>
      </c>
      <c r="D625" s="441">
        <v>30.19</v>
      </c>
    </row>
    <row r="626" spans="1:4" ht="31.5" customHeight="1">
      <c r="A626" s="120">
        <v>93288</v>
      </c>
      <c r="B626" s="119" t="s">
        <v>2166</v>
      </c>
      <c r="C626" s="120" t="s">
        <v>2061</v>
      </c>
      <c r="D626" s="441">
        <v>191.84</v>
      </c>
    </row>
    <row r="627" spans="1:4" ht="47.25" customHeight="1">
      <c r="A627" s="120">
        <v>93403</v>
      </c>
      <c r="B627" s="119" t="s">
        <v>2167</v>
      </c>
      <c r="C627" s="120" t="s">
        <v>2061</v>
      </c>
      <c r="D627" s="441">
        <v>64.83</v>
      </c>
    </row>
    <row r="628" spans="1:4" ht="47.25" customHeight="1">
      <c r="A628" s="120">
        <v>93409</v>
      </c>
      <c r="B628" s="119" t="s">
        <v>2168</v>
      </c>
      <c r="C628" s="120" t="s">
        <v>2061</v>
      </c>
      <c r="D628" s="441">
        <v>37.61</v>
      </c>
    </row>
    <row r="629" spans="1:4" ht="31.5" customHeight="1">
      <c r="A629" s="120">
        <v>93416</v>
      </c>
      <c r="B629" s="119" t="s">
        <v>2169</v>
      </c>
      <c r="C629" s="120" t="s">
        <v>2061</v>
      </c>
      <c r="D629" s="441">
        <v>0.36</v>
      </c>
    </row>
    <row r="630" spans="1:4" ht="15.75" customHeight="1">
      <c r="A630" s="120">
        <v>93422</v>
      </c>
      <c r="B630" s="119" t="s">
        <v>2170</v>
      </c>
      <c r="C630" s="120" t="s">
        <v>2061</v>
      </c>
      <c r="D630" s="441">
        <v>4.88</v>
      </c>
    </row>
    <row r="631" spans="1:4" ht="15.75" customHeight="1">
      <c r="A631" s="120">
        <v>93428</v>
      </c>
      <c r="B631" s="119" t="s">
        <v>2171</v>
      </c>
      <c r="C631" s="120" t="s">
        <v>2061</v>
      </c>
      <c r="D631" s="441">
        <v>6.91</v>
      </c>
    </row>
    <row r="632" spans="1:4" ht="15.75" customHeight="1">
      <c r="A632" s="120">
        <v>93434</v>
      </c>
      <c r="B632" s="119" t="s">
        <v>2172</v>
      </c>
      <c r="C632" s="120" t="s">
        <v>2061</v>
      </c>
      <c r="D632" s="441">
        <v>273.52</v>
      </c>
    </row>
    <row r="633" spans="1:4" ht="31.5" customHeight="1">
      <c r="A633" s="120">
        <v>93440</v>
      </c>
      <c r="B633" s="119" t="s">
        <v>2173</v>
      </c>
      <c r="C633" s="120" t="s">
        <v>2061</v>
      </c>
      <c r="D633" s="441">
        <v>135.93</v>
      </c>
    </row>
    <row r="634" spans="1:4" ht="15.75" customHeight="1">
      <c r="A634" s="120">
        <v>95122</v>
      </c>
      <c r="B634" s="119" t="s">
        <v>2174</v>
      </c>
      <c r="C634" s="120" t="s">
        <v>2061</v>
      </c>
      <c r="D634" s="441">
        <v>194.59</v>
      </c>
    </row>
    <row r="635" spans="1:4" ht="15.75" customHeight="1">
      <c r="A635" s="120">
        <v>95128</v>
      </c>
      <c r="B635" s="119" t="s">
        <v>2175</v>
      </c>
      <c r="C635" s="120" t="s">
        <v>2061</v>
      </c>
      <c r="D635" s="441">
        <v>50.32</v>
      </c>
    </row>
    <row r="636" spans="1:4" ht="15.75" customHeight="1">
      <c r="A636" s="120">
        <v>95140</v>
      </c>
      <c r="B636" s="119" t="s">
        <v>2176</v>
      </c>
      <c r="C636" s="120" t="s">
        <v>2061</v>
      </c>
      <c r="D636" s="441">
        <v>0.03</v>
      </c>
    </row>
    <row r="637" spans="1:4" ht="15.75" customHeight="1">
      <c r="A637" s="120">
        <v>95213</v>
      </c>
      <c r="B637" s="119" t="s">
        <v>2177</v>
      </c>
      <c r="C637" s="120" t="s">
        <v>2061</v>
      </c>
      <c r="D637" s="441">
        <v>122.21</v>
      </c>
    </row>
    <row r="638" spans="1:4" ht="15.75" customHeight="1">
      <c r="A638" s="120">
        <v>95259</v>
      </c>
      <c r="B638" s="119" t="s">
        <v>2178</v>
      </c>
      <c r="C638" s="120" t="s">
        <v>2061</v>
      </c>
      <c r="D638" s="441">
        <v>27.82</v>
      </c>
    </row>
    <row r="639" spans="1:4" ht="31.5" customHeight="1">
      <c r="A639" s="120">
        <v>95265</v>
      </c>
      <c r="B639" s="119" t="s">
        <v>2179</v>
      </c>
      <c r="C639" s="120" t="s">
        <v>2061</v>
      </c>
      <c r="D639" s="441">
        <v>0.73</v>
      </c>
    </row>
    <row r="640" spans="1:4" ht="31.5" customHeight="1">
      <c r="A640" s="120">
        <v>95271</v>
      </c>
      <c r="B640" s="119" t="s">
        <v>2180</v>
      </c>
      <c r="C640" s="120" t="s">
        <v>2061</v>
      </c>
      <c r="D640" s="441">
        <v>0.55000000000000004</v>
      </c>
    </row>
    <row r="641" spans="1:4" ht="31.5" customHeight="1">
      <c r="A641" s="120">
        <v>95277</v>
      </c>
      <c r="B641" s="119" t="s">
        <v>2181</v>
      </c>
      <c r="C641" s="120" t="s">
        <v>2061</v>
      </c>
      <c r="D641" s="441">
        <v>0.54</v>
      </c>
    </row>
    <row r="642" spans="1:4" ht="31.5" customHeight="1">
      <c r="A642" s="120">
        <v>95283</v>
      </c>
      <c r="B642" s="119" t="s">
        <v>2182</v>
      </c>
      <c r="C642" s="120" t="s">
        <v>2061</v>
      </c>
      <c r="D642" s="441">
        <v>0.66</v>
      </c>
    </row>
    <row r="643" spans="1:4" ht="31.5" customHeight="1">
      <c r="A643" s="120">
        <v>95621</v>
      </c>
      <c r="B643" s="119" t="s">
        <v>2183</v>
      </c>
      <c r="C643" s="120" t="s">
        <v>2061</v>
      </c>
      <c r="D643" s="441">
        <v>27.57</v>
      </c>
    </row>
    <row r="644" spans="1:4" ht="31.5" customHeight="1">
      <c r="A644" s="120">
        <v>95632</v>
      </c>
      <c r="B644" s="119" t="s">
        <v>2184</v>
      </c>
      <c r="C644" s="120" t="s">
        <v>2061</v>
      </c>
      <c r="D644" s="441">
        <v>82.77</v>
      </c>
    </row>
    <row r="645" spans="1:4" ht="31.5" customHeight="1">
      <c r="A645" s="120">
        <v>95703</v>
      </c>
      <c r="B645" s="119" t="s">
        <v>2185</v>
      </c>
      <c r="C645" s="120" t="s">
        <v>2061</v>
      </c>
      <c r="D645" s="441">
        <v>35.81</v>
      </c>
    </row>
    <row r="646" spans="1:4" ht="31.5" customHeight="1">
      <c r="A646" s="120">
        <v>95709</v>
      </c>
      <c r="B646" s="119" t="s">
        <v>2186</v>
      </c>
      <c r="C646" s="120" t="s">
        <v>2061</v>
      </c>
      <c r="D646" s="441">
        <v>90.93</v>
      </c>
    </row>
    <row r="647" spans="1:4" ht="31.5" customHeight="1">
      <c r="A647" s="120">
        <v>95715</v>
      </c>
      <c r="B647" s="119" t="s">
        <v>2187</v>
      </c>
      <c r="C647" s="120" t="s">
        <v>2061</v>
      </c>
      <c r="D647" s="441">
        <v>103.3</v>
      </c>
    </row>
    <row r="648" spans="1:4" ht="47.25" customHeight="1">
      <c r="A648" s="120">
        <v>95721</v>
      </c>
      <c r="B648" s="119" t="s">
        <v>2188</v>
      </c>
      <c r="C648" s="120" t="s">
        <v>2061</v>
      </c>
      <c r="D648" s="441">
        <v>100.63</v>
      </c>
    </row>
    <row r="649" spans="1:4" ht="31.5" customHeight="1">
      <c r="A649" s="120">
        <v>95873</v>
      </c>
      <c r="B649" s="119" t="s">
        <v>2189</v>
      </c>
      <c r="C649" s="120" t="s">
        <v>2061</v>
      </c>
      <c r="D649" s="441">
        <v>11.05</v>
      </c>
    </row>
    <row r="650" spans="1:4" ht="31.5" customHeight="1">
      <c r="A650" s="120">
        <v>96014</v>
      </c>
      <c r="B650" s="119" t="s">
        <v>2190</v>
      </c>
      <c r="C650" s="120" t="s">
        <v>2061</v>
      </c>
      <c r="D650" s="441">
        <v>60.58</v>
      </c>
    </row>
    <row r="651" spans="1:4" ht="31.5" customHeight="1">
      <c r="A651" s="120">
        <v>96021</v>
      </c>
      <c r="B651" s="119" t="s">
        <v>2191</v>
      </c>
      <c r="C651" s="120" t="s">
        <v>2061</v>
      </c>
      <c r="D651" s="441">
        <v>60.31</v>
      </c>
    </row>
    <row r="652" spans="1:4" ht="31.5" customHeight="1">
      <c r="A652" s="120">
        <v>96029</v>
      </c>
      <c r="B652" s="119" t="s">
        <v>2192</v>
      </c>
      <c r="C652" s="120" t="s">
        <v>2061</v>
      </c>
      <c r="D652" s="441">
        <v>54.29</v>
      </c>
    </row>
    <row r="653" spans="1:4" ht="31.5" customHeight="1">
      <c r="A653" s="120">
        <v>96036</v>
      </c>
      <c r="B653" s="119" t="s">
        <v>2193</v>
      </c>
      <c r="C653" s="120" t="s">
        <v>2061</v>
      </c>
      <c r="D653" s="441">
        <v>72.28</v>
      </c>
    </row>
    <row r="654" spans="1:4" ht="31.5" customHeight="1">
      <c r="A654" s="120">
        <v>96155</v>
      </c>
      <c r="B654" s="119" t="s">
        <v>2194</v>
      </c>
      <c r="C654" s="120" t="s">
        <v>2061</v>
      </c>
      <c r="D654" s="441">
        <v>54.56</v>
      </c>
    </row>
    <row r="655" spans="1:4" ht="31.5" customHeight="1">
      <c r="A655" s="120">
        <v>96156</v>
      </c>
      <c r="B655" s="119" t="s">
        <v>2195</v>
      </c>
      <c r="C655" s="120" t="s">
        <v>2061</v>
      </c>
      <c r="D655" s="441">
        <v>61.59</v>
      </c>
    </row>
    <row r="656" spans="1:4" ht="31.5" customHeight="1">
      <c r="A656" s="120">
        <v>96159</v>
      </c>
      <c r="B656" s="119" t="s">
        <v>2196</v>
      </c>
      <c r="C656" s="120" t="s">
        <v>2061</v>
      </c>
      <c r="D656" s="441">
        <v>81.48</v>
      </c>
    </row>
    <row r="657" spans="1:4" ht="31.5" customHeight="1">
      <c r="A657" s="120">
        <v>96246</v>
      </c>
      <c r="B657" s="119" t="s">
        <v>2197</v>
      </c>
      <c r="C657" s="120" t="s">
        <v>2061</v>
      </c>
      <c r="D657" s="441">
        <v>58.35</v>
      </c>
    </row>
    <row r="658" spans="1:4" ht="31.5" customHeight="1">
      <c r="A658" s="120">
        <v>96464</v>
      </c>
      <c r="B658" s="119" t="s">
        <v>2198</v>
      </c>
      <c r="C658" s="120" t="s">
        <v>2061</v>
      </c>
      <c r="D658" s="441">
        <v>88.79</v>
      </c>
    </row>
    <row r="659" spans="1:4" ht="31.5" customHeight="1">
      <c r="A659" s="120">
        <v>98765</v>
      </c>
      <c r="B659" s="119" t="s">
        <v>2199</v>
      </c>
      <c r="C659" s="120" t="s">
        <v>2061</v>
      </c>
      <c r="D659" s="441">
        <v>0.06</v>
      </c>
    </row>
    <row r="660" spans="1:4" ht="31.5" customHeight="1">
      <c r="A660" s="120">
        <v>99834</v>
      </c>
      <c r="B660" s="119" t="s">
        <v>2200</v>
      </c>
      <c r="C660" s="120" t="s">
        <v>2061</v>
      </c>
      <c r="D660" s="441">
        <v>0.19</v>
      </c>
    </row>
    <row r="661" spans="1:4" ht="31.5" customHeight="1">
      <c r="A661" s="120">
        <v>100642</v>
      </c>
      <c r="B661" s="119" t="s">
        <v>2201</v>
      </c>
      <c r="C661" s="120" t="s">
        <v>2061</v>
      </c>
      <c r="D661" s="441">
        <v>206.32</v>
      </c>
    </row>
    <row r="662" spans="1:4" ht="15.75" customHeight="1">
      <c r="A662" s="120">
        <v>100648</v>
      </c>
      <c r="B662" s="119" t="s">
        <v>2202</v>
      </c>
      <c r="C662" s="120" t="s">
        <v>2061</v>
      </c>
      <c r="D662" s="441">
        <v>401.26</v>
      </c>
    </row>
    <row r="663" spans="1:4" ht="31.5" customHeight="1">
      <c r="A663" s="120">
        <v>102274</v>
      </c>
      <c r="B663" s="119" t="s">
        <v>2203</v>
      </c>
      <c r="C663" s="120" t="s">
        <v>2061</v>
      </c>
      <c r="D663" s="441">
        <v>27.13</v>
      </c>
    </row>
    <row r="664" spans="1:4" ht="31.5" customHeight="1">
      <c r="A664" s="120">
        <v>104092</v>
      </c>
      <c r="B664" s="119" t="s">
        <v>2204</v>
      </c>
      <c r="C664" s="120" t="s">
        <v>2061</v>
      </c>
      <c r="D664" s="441">
        <v>0.11</v>
      </c>
    </row>
    <row r="665" spans="1:4" ht="31.5" customHeight="1">
      <c r="A665" s="120">
        <v>104098</v>
      </c>
      <c r="B665" s="119" t="s">
        <v>2205</v>
      </c>
      <c r="C665" s="120" t="s">
        <v>2061</v>
      </c>
      <c r="D665" s="441">
        <v>0.17</v>
      </c>
    </row>
    <row r="666" spans="1:4" ht="31.5" customHeight="1">
      <c r="A666" s="120">
        <v>5089</v>
      </c>
      <c r="B666" s="119" t="s">
        <v>2206</v>
      </c>
      <c r="C666" s="120" t="s">
        <v>324</v>
      </c>
      <c r="D666" s="441">
        <v>42.15</v>
      </c>
    </row>
    <row r="667" spans="1:4" ht="31.5" customHeight="1">
      <c r="A667" s="120">
        <v>5627</v>
      </c>
      <c r="B667" s="119" t="s">
        <v>2207</v>
      </c>
      <c r="C667" s="120" t="s">
        <v>324</v>
      </c>
      <c r="D667" s="441">
        <v>53.69</v>
      </c>
    </row>
    <row r="668" spans="1:4" ht="31.5" customHeight="1">
      <c r="A668" s="120">
        <v>5628</v>
      </c>
      <c r="B668" s="119" t="s">
        <v>2208</v>
      </c>
      <c r="C668" s="120" t="s">
        <v>324</v>
      </c>
      <c r="D668" s="441">
        <v>7.28</v>
      </c>
    </row>
    <row r="669" spans="1:4" ht="31.5" customHeight="1">
      <c r="A669" s="120">
        <v>5629</v>
      </c>
      <c r="B669" s="119" t="s">
        <v>2209</v>
      </c>
      <c r="C669" s="120" t="s">
        <v>324</v>
      </c>
      <c r="D669" s="441">
        <v>67.11</v>
      </c>
    </row>
    <row r="670" spans="1:4" ht="31.5" customHeight="1">
      <c r="A670" s="120">
        <v>5630</v>
      </c>
      <c r="B670" s="119" t="s">
        <v>2210</v>
      </c>
      <c r="C670" s="120" t="s">
        <v>324</v>
      </c>
      <c r="D670" s="441">
        <v>62.68</v>
      </c>
    </row>
    <row r="671" spans="1:4" ht="31.5" customHeight="1">
      <c r="A671" s="120">
        <v>5658</v>
      </c>
      <c r="B671" s="119" t="s">
        <v>2211</v>
      </c>
      <c r="C671" s="120" t="s">
        <v>324</v>
      </c>
      <c r="D671" s="441">
        <v>2.72</v>
      </c>
    </row>
    <row r="672" spans="1:4" ht="47.25" customHeight="1">
      <c r="A672" s="120">
        <v>5664</v>
      </c>
      <c r="B672" s="119" t="s">
        <v>2212</v>
      </c>
      <c r="C672" s="120" t="s">
        <v>324</v>
      </c>
      <c r="D672" s="441">
        <v>33.74</v>
      </c>
    </row>
    <row r="673" spans="1:4" ht="47.25" customHeight="1">
      <c r="A673" s="120">
        <v>5667</v>
      </c>
      <c r="B673" s="119" t="s">
        <v>2213</v>
      </c>
      <c r="C673" s="120" t="s">
        <v>324</v>
      </c>
      <c r="D673" s="441">
        <v>30</v>
      </c>
    </row>
    <row r="674" spans="1:4" ht="47.25" customHeight="1">
      <c r="A674" s="120">
        <v>5668</v>
      </c>
      <c r="B674" s="119" t="s">
        <v>2214</v>
      </c>
      <c r="C674" s="120" t="s">
        <v>324</v>
      </c>
      <c r="D674" s="441">
        <v>44.58</v>
      </c>
    </row>
    <row r="675" spans="1:4" ht="31.5" customHeight="1">
      <c r="A675" s="120">
        <v>5674</v>
      </c>
      <c r="B675" s="119" t="s">
        <v>2215</v>
      </c>
      <c r="C675" s="120" t="s">
        <v>324</v>
      </c>
      <c r="D675" s="441">
        <v>40.54</v>
      </c>
    </row>
    <row r="676" spans="1:4" ht="31.5" customHeight="1">
      <c r="A676" s="120">
        <v>5692</v>
      </c>
      <c r="B676" s="119" t="s">
        <v>2216</v>
      </c>
      <c r="C676" s="120" t="s">
        <v>324</v>
      </c>
      <c r="D676" s="441">
        <v>0.25</v>
      </c>
    </row>
    <row r="677" spans="1:4" ht="31.5" customHeight="1">
      <c r="A677" s="120">
        <v>5693</v>
      </c>
      <c r="B677" s="119" t="s">
        <v>2217</v>
      </c>
      <c r="C677" s="120" t="s">
        <v>324</v>
      </c>
      <c r="D677" s="441">
        <v>18.36</v>
      </c>
    </row>
    <row r="678" spans="1:4" ht="31.5" customHeight="1">
      <c r="A678" s="120">
        <v>5695</v>
      </c>
      <c r="B678" s="119" t="s">
        <v>2218</v>
      </c>
      <c r="C678" s="120" t="s">
        <v>324</v>
      </c>
      <c r="D678" s="441">
        <v>41.88</v>
      </c>
    </row>
    <row r="679" spans="1:4" ht="31.5" customHeight="1">
      <c r="A679" s="120">
        <v>5703</v>
      </c>
      <c r="B679" s="119" t="s">
        <v>2219</v>
      </c>
      <c r="C679" s="120" t="s">
        <v>324</v>
      </c>
      <c r="D679" s="441">
        <v>15.23</v>
      </c>
    </row>
    <row r="680" spans="1:4" ht="47.25" customHeight="1">
      <c r="A680" s="120">
        <v>5705</v>
      </c>
      <c r="B680" s="119" t="s">
        <v>2220</v>
      </c>
      <c r="C680" s="120" t="s">
        <v>324</v>
      </c>
      <c r="D680" s="441">
        <v>39.840000000000003</v>
      </c>
    </row>
    <row r="681" spans="1:4" ht="15.75" customHeight="1">
      <c r="A681" s="120">
        <v>5707</v>
      </c>
      <c r="B681" s="119" t="s">
        <v>2221</v>
      </c>
      <c r="C681" s="120" t="s">
        <v>324</v>
      </c>
      <c r="D681" s="441">
        <v>63.19</v>
      </c>
    </row>
    <row r="682" spans="1:4" ht="31.5" customHeight="1">
      <c r="A682" s="120">
        <v>5710</v>
      </c>
      <c r="B682" s="119" t="s">
        <v>2222</v>
      </c>
      <c r="C682" s="120" t="s">
        <v>324</v>
      </c>
      <c r="D682" s="441">
        <v>162.30000000000001</v>
      </c>
    </row>
    <row r="683" spans="1:4" ht="31.5" customHeight="1">
      <c r="A683" s="120">
        <v>5711</v>
      </c>
      <c r="B683" s="119" t="s">
        <v>2223</v>
      </c>
      <c r="C683" s="120" t="s">
        <v>324</v>
      </c>
      <c r="D683" s="441">
        <v>86.6</v>
      </c>
    </row>
    <row r="684" spans="1:4" ht="15.75" customHeight="1">
      <c r="A684" s="120">
        <v>5714</v>
      </c>
      <c r="B684" s="119" t="s">
        <v>2224</v>
      </c>
      <c r="C684" s="120" t="s">
        <v>324</v>
      </c>
      <c r="D684" s="441">
        <v>15.85</v>
      </c>
    </row>
    <row r="685" spans="1:4" ht="31.5" customHeight="1">
      <c r="A685" s="120">
        <v>5715</v>
      </c>
      <c r="B685" s="119" t="s">
        <v>2225</v>
      </c>
      <c r="C685" s="120" t="s">
        <v>324</v>
      </c>
      <c r="D685" s="441">
        <v>65.53</v>
      </c>
    </row>
    <row r="686" spans="1:4" ht="31.5" customHeight="1">
      <c r="A686" s="120">
        <v>5718</v>
      </c>
      <c r="B686" s="119" t="s">
        <v>2226</v>
      </c>
      <c r="C686" s="120" t="s">
        <v>324</v>
      </c>
      <c r="D686" s="441">
        <v>103.36</v>
      </c>
    </row>
    <row r="687" spans="1:4" ht="31.5" customHeight="1">
      <c r="A687" s="120">
        <v>5721</v>
      </c>
      <c r="B687" s="119" t="s">
        <v>2227</v>
      </c>
      <c r="C687" s="120" t="s">
        <v>324</v>
      </c>
      <c r="D687" s="441">
        <v>91.19</v>
      </c>
    </row>
    <row r="688" spans="1:4" ht="31.5" customHeight="1">
      <c r="A688" s="120">
        <v>5722</v>
      </c>
      <c r="B688" s="119" t="s">
        <v>2228</v>
      </c>
      <c r="C688" s="120" t="s">
        <v>324</v>
      </c>
      <c r="D688" s="441">
        <v>210.91</v>
      </c>
    </row>
    <row r="689" spans="1:4" ht="31.5" customHeight="1">
      <c r="A689" s="120">
        <v>5724</v>
      </c>
      <c r="B689" s="119" t="s">
        <v>2229</v>
      </c>
      <c r="C689" s="120" t="s">
        <v>324</v>
      </c>
      <c r="D689" s="441">
        <v>57.68</v>
      </c>
    </row>
    <row r="690" spans="1:4" ht="31.5" customHeight="1">
      <c r="A690" s="120">
        <v>5727</v>
      </c>
      <c r="B690" s="119" t="s">
        <v>2230</v>
      </c>
      <c r="C690" s="120" t="s">
        <v>324</v>
      </c>
      <c r="D690" s="441">
        <v>12.23</v>
      </c>
    </row>
    <row r="691" spans="1:4" ht="31.5" customHeight="1">
      <c r="A691" s="120">
        <v>5729</v>
      </c>
      <c r="B691" s="119" t="s">
        <v>2231</v>
      </c>
      <c r="C691" s="120" t="s">
        <v>324</v>
      </c>
      <c r="D691" s="441">
        <v>49.78</v>
      </c>
    </row>
    <row r="692" spans="1:4" ht="31.5" customHeight="1">
      <c r="A692" s="120">
        <v>5730</v>
      </c>
      <c r="B692" s="119" t="s">
        <v>2232</v>
      </c>
      <c r="C692" s="120" t="s">
        <v>324</v>
      </c>
      <c r="D692" s="441">
        <v>39.75</v>
      </c>
    </row>
    <row r="693" spans="1:4" ht="47.25" customHeight="1">
      <c r="A693" s="120">
        <v>5735</v>
      </c>
      <c r="B693" s="119" t="s">
        <v>2233</v>
      </c>
      <c r="C693" s="120" t="s">
        <v>324</v>
      </c>
      <c r="D693" s="441">
        <v>32.549999999999997</v>
      </c>
    </row>
    <row r="694" spans="1:4" ht="47.25" customHeight="1">
      <c r="A694" s="120">
        <v>5736</v>
      </c>
      <c r="B694" s="119" t="s">
        <v>2234</v>
      </c>
      <c r="C694" s="120" t="s">
        <v>324</v>
      </c>
      <c r="D694" s="441">
        <v>40.619999999999997</v>
      </c>
    </row>
    <row r="695" spans="1:4" ht="31.5" customHeight="1">
      <c r="A695" s="120">
        <v>5738</v>
      </c>
      <c r="B695" s="119" t="s">
        <v>2235</v>
      </c>
      <c r="C695" s="120" t="s">
        <v>324</v>
      </c>
      <c r="D695" s="441">
        <v>44.26</v>
      </c>
    </row>
    <row r="696" spans="1:4" ht="31.5" customHeight="1">
      <c r="A696" s="120">
        <v>5739</v>
      </c>
      <c r="B696" s="119" t="s">
        <v>2236</v>
      </c>
      <c r="C696" s="120" t="s">
        <v>324</v>
      </c>
      <c r="D696" s="441">
        <v>55.39</v>
      </c>
    </row>
    <row r="697" spans="1:4" ht="31.5" customHeight="1">
      <c r="A697" s="120">
        <v>5741</v>
      </c>
      <c r="B697" s="119" t="s">
        <v>2237</v>
      </c>
      <c r="C697" s="120" t="s">
        <v>324</v>
      </c>
      <c r="D697" s="441">
        <v>39.14</v>
      </c>
    </row>
    <row r="698" spans="1:4" ht="47.25" customHeight="1">
      <c r="A698" s="120">
        <v>5742</v>
      </c>
      <c r="B698" s="119" t="s">
        <v>2238</v>
      </c>
      <c r="C698" s="120" t="s">
        <v>324</v>
      </c>
      <c r="D698" s="441">
        <v>26.83</v>
      </c>
    </row>
    <row r="699" spans="1:4" ht="47.25" customHeight="1">
      <c r="A699" s="120">
        <v>5747</v>
      </c>
      <c r="B699" s="119" t="s">
        <v>2239</v>
      </c>
      <c r="C699" s="120" t="s">
        <v>324</v>
      </c>
      <c r="D699" s="441">
        <v>153.82</v>
      </c>
    </row>
    <row r="700" spans="1:4" ht="31.5" customHeight="1">
      <c r="A700" s="120">
        <v>5751</v>
      </c>
      <c r="B700" s="119" t="s">
        <v>2240</v>
      </c>
      <c r="C700" s="120" t="s">
        <v>324</v>
      </c>
      <c r="D700" s="441">
        <v>33.9</v>
      </c>
    </row>
    <row r="701" spans="1:4" ht="31.5" customHeight="1">
      <c r="A701" s="120">
        <v>5754</v>
      </c>
      <c r="B701" s="119" t="s">
        <v>2241</v>
      </c>
      <c r="C701" s="120" t="s">
        <v>324</v>
      </c>
      <c r="D701" s="441">
        <v>37.22</v>
      </c>
    </row>
    <row r="702" spans="1:4" ht="47.25" customHeight="1">
      <c r="A702" s="120">
        <v>5763</v>
      </c>
      <c r="B702" s="119" t="s">
        <v>2242</v>
      </c>
      <c r="C702" s="120" t="s">
        <v>324</v>
      </c>
      <c r="D702" s="441">
        <v>52.62</v>
      </c>
    </row>
    <row r="703" spans="1:4" ht="31.5" customHeight="1">
      <c r="A703" s="120">
        <v>5765</v>
      </c>
      <c r="B703" s="119" t="s">
        <v>2243</v>
      </c>
      <c r="C703" s="120" t="s">
        <v>324</v>
      </c>
      <c r="D703" s="441">
        <v>4.24</v>
      </c>
    </row>
    <row r="704" spans="1:4" ht="31.5" customHeight="1">
      <c r="A704" s="120">
        <v>5766</v>
      </c>
      <c r="B704" s="119" t="s">
        <v>2244</v>
      </c>
      <c r="C704" s="120" t="s">
        <v>324</v>
      </c>
      <c r="D704" s="441">
        <v>2.56</v>
      </c>
    </row>
    <row r="705" spans="1:4" ht="31.5" customHeight="1">
      <c r="A705" s="120">
        <v>5779</v>
      </c>
      <c r="B705" s="119" t="s">
        <v>2245</v>
      </c>
      <c r="C705" s="120" t="s">
        <v>324</v>
      </c>
      <c r="D705" s="441">
        <v>88.09</v>
      </c>
    </row>
    <row r="706" spans="1:4" ht="31.5" customHeight="1">
      <c r="A706" s="120">
        <v>5787</v>
      </c>
      <c r="B706" s="119" t="s">
        <v>2246</v>
      </c>
      <c r="C706" s="120" t="s">
        <v>324</v>
      </c>
      <c r="D706" s="441">
        <v>68.44</v>
      </c>
    </row>
    <row r="707" spans="1:4" ht="31.5" customHeight="1">
      <c r="A707" s="120">
        <v>5797</v>
      </c>
      <c r="B707" s="119" t="s">
        <v>2247</v>
      </c>
      <c r="C707" s="120" t="s">
        <v>324</v>
      </c>
      <c r="D707" s="441">
        <v>6.35</v>
      </c>
    </row>
    <row r="708" spans="1:4" ht="31.5" customHeight="1">
      <c r="A708" s="120">
        <v>5800</v>
      </c>
      <c r="B708" s="119" t="s">
        <v>2248</v>
      </c>
      <c r="C708" s="120" t="s">
        <v>324</v>
      </c>
      <c r="D708" s="441">
        <v>0.45</v>
      </c>
    </row>
    <row r="709" spans="1:4" ht="15.75" customHeight="1">
      <c r="A709" s="120">
        <v>7032</v>
      </c>
      <c r="B709" s="119" t="s">
        <v>2249</v>
      </c>
      <c r="C709" s="120" t="s">
        <v>324</v>
      </c>
      <c r="D709" s="441">
        <v>4.54</v>
      </c>
    </row>
    <row r="710" spans="1:4" ht="15.75" customHeight="1">
      <c r="A710" s="120">
        <v>7033</v>
      </c>
      <c r="B710" s="119" t="s">
        <v>2250</v>
      </c>
      <c r="C710" s="120" t="s">
        <v>324</v>
      </c>
      <c r="D710" s="441">
        <v>0.8</v>
      </c>
    </row>
    <row r="711" spans="1:4" ht="15.75" customHeight="1">
      <c r="A711" s="120">
        <v>7034</v>
      </c>
      <c r="B711" s="119" t="s">
        <v>2251</v>
      </c>
      <c r="C711" s="120" t="s">
        <v>324</v>
      </c>
      <c r="D711" s="441">
        <v>5.67</v>
      </c>
    </row>
    <row r="712" spans="1:4" ht="31.5" customHeight="1">
      <c r="A712" s="120">
        <v>7035</v>
      </c>
      <c r="B712" s="119" t="s">
        <v>2252</v>
      </c>
      <c r="C712" s="120" t="s">
        <v>324</v>
      </c>
      <c r="D712" s="441">
        <v>249.44</v>
      </c>
    </row>
    <row r="713" spans="1:4" ht="31.5" customHeight="1">
      <c r="A713" s="120">
        <v>7038</v>
      </c>
      <c r="B713" s="119" t="s">
        <v>2253</v>
      </c>
      <c r="C713" s="120" t="s">
        <v>324</v>
      </c>
      <c r="D713" s="441">
        <v>50.63</v>
      </c>
    </row>
    <row r="714" spans="1:4" ht="31.5" customHeight="1">
      <c r="A714" s="120">
        <v>7039</v>
      </c>
      <c r="B714" s="119" t="s">
        <v>2254</v>
      </c>
      <c r="C714" s="120" t="s">
        <v>324</v>
      </c>
      <c r="D714" s="441">
        <v>7.03</v>
      </c>
    </row>
    <row r="715" spans="1:4" ht="31.5" customHeight="1">
      <c r="A715" s="120">
        <v>7040</v>
      </c>
      <c r="B715" s="119" t="s">
        <v>2255</v>
      </c>
      <c r="C715" s="120" t="s">
        <v>324</v>
      </c>
      <c r="D715" s="441">
        <v>63.36</v>
      </c>
    </row>
    <row r="716" spans="1:4" ht="31.5" customHeight="1">
      <c r="A716" s="120">
        <v>7044</v>
      </c>
      <c r="B716" s="119" t="s">
        <v>2256</v>
      </c>
      <c r="C716" s="120" t="s">
        <v>324</v>
      </c>
      <c r="D716" s="441">
        <v>0.28000000000000003</v>
      </c>
    </row>
    <row r="717" spans="1:4" ht="31.5" customHeight="1">
      <c r="A717" s="120">
        <v>7045</v>
      </c>
      <c r="B717" s="119" t="s">
        <v>2257</v>
      </c>
      <c r="C717" s="120" t="s">
        <v>324</v>
      </c>
      <c r="D717" s="441">
        <v>0.03</v>
      </c>
    </row>
    <row r="718" spans="1:4" ht="31.5" customHeight="1">
      <c r="A718" s="120">
        <v>7046</v>
      </c>
      <c r="B718" s="119" t="s">
        <v>2258</v>
      </c>
      <c r="C718" s="120" t="s">
        <v>324</v>
      </c>
      <c r="D718" s="441">
        <v>0.31</v>
      </c>
    </row>
    <row r="719" spans="1:4" ht="47.25" customHeight="1">
      <c r="A719" s="120">
        <v>7047</v>
      </c>
      <c r="B719" s="119" t="s">
        <v>2259</v>
      </c>
      <c r="C719" s="120" t="s">
        <v>324</v>
      </c>
      <c r="D719" s="441">
        <v>21.68</v>
      </c>
    </row>
    <row r="720" spans="1:4" ht="31.5" customHeight="1">
      <c r="A720" s="120">
        <v>7051</v>
      </c>
      <c r="B720" s="119" t="s">
        <v>2260</v>
      </c>
      <c r="C720" s="120" t="s">
        <v>324</v>
      </c>
      <c r="D720" s="441">
        <v>44.91</v>
      </c>
    </row>
    <row r="721" spans="1:4" ht="31.5" customHeight="1">
      <c r="A721" s="120">
        <v>7052</v>
      </c>
      <c r="B721" s="119" t="s">
        <v>2261</v>
      </c>
      <c r="C721" s="120" t="s">
        <v>324</v>
      </c>
      <c r="D721" s="441">
        <v>6.23</v>
      </c>
    </row>
    <row r="722" spans="1:4" ht="31.5" customHeight="1">
      <c r="A722" s="120">
        <v>7053</v>
      </c>
      <c r="B722" s="119" t="s">
        <v>2262</v>
      </c>
      <c r="C722" s="120" t="s">
        <v>324</v>
      </c>
      <c r="D722" s="441">
        <v>56.2</v>
      </c>
    </row>
    <row r="723" spans="1:4" ht="47.25" customHeight="1">
      <c r="A723" s="120">
        <v>7054</v>
      </c>
      <c r="B723" s="119" t="s">
        <v>2263</v>
      </c>
      <c r="C723" s="120" t="s">
        <v>324</v>
      </c>
      <c r="D723" s="441">
        <v>86.83</v>
      </c>
    </row>
    <row r="724" spans="1:4" ht="31.5" customHeight="1">
      <c r="A724" s="120">
        <v>7058</v>
      </c>
      <c r="B724" s="119" t="s">
        <v>2264</v>
      </c>
      <c r="C724" s="120" t="s">
        <v>324</v>
      </c>
      <c r="D724" s="441">
        <v>24.15</v>
      </c>
    </row>
    <row r="725" spans="1:4" ht="31.5" customHeight="1">
      <c r="A725" s="120">
        <v>7059</v>
      </c>
      <c r="B725" s="119" t="s">
        <v>2265</v>
      </c>
      <c r="C725" s="120" t="s">
        <v>324</v>
      </c>
      <c r="D725" s="441">
        <v>4.6900000000000004</v>
      </c>
    </row>
    <row r="726" spans="1:4" ht="31.5" customHeight="1">
      <c r="A726" s="120">
        <v>7060</v>
      </c>
      <c r="B726" s="119" t="s">
        <v>2266</v>
      </c>
      <c r="C726" s="120" t="s">
        <v>324</v>
      </c>
      <c r="D726" s="441">
        <v>43.3</v>
      </c>
    </row>
    <row r="727" spans="1:4" ht="31.5" customHeight="1">
      <c r="A727" s="120">
        <v>7061</v>
      </c>
      <c r="B727" s="119" t="s">
        <v>2267</v>
      </c>
      <c r="C727" s="120" t="s">
        <v>324</v>
      </c>
      <c r="D727" s="441">
        <v>79.260000000000005</v>
      </c>
    </row>
    <row r="728" spans="1:4" ht="15.75" customHeight="1">
      <c r="A728" s="120">
        <v>7063</v>
      </c>
      <c r="B728" s="119" t="s">
        <v>2268</v>
      </c>
      <c r="C728" s="120" t="s">
        <v>324</v>
      </c>
      <c r="D728" s="441">
        <v>19.78</v>
      </c>
    </row>
    <row r="729" spans="1:4" ht="15.75" customHeight="1">
      <c r="A729" s="120">
        <v>7064</v>
      </c>
      <c r="B729" s="119" t="s">
        <v>2269</v>
      </c>
      <c r="C729" s="120" t="s">
        <v>324</v>
      </c>
      <c r="D729" s="441">
        <v>2.74</v>
      </c>
    </row>
    <row r="730" spans="1:4" ht="15.75" customHeight="1">
      <c r="A730" s="120">
        <v>7065</v>
      </c>
      <c r="B730" s="119" t="s">
        <v>2270</v>
      </c>
      <c r="C730" s="120" t="s">
        <v>324</v>
      </c>
      <c r="D730" s="441">
        <v>21.63</v>
      </c>
    </row>
    <row r="731" spans="1:4" ht="31.5" customHeight="1">
      <c r="A731" s="120">
        <v>7066</v>
      </c>
      <c r="B731" s="119" t="s">
        <v>2271</v>
      </c>
      <c r="C731" s="120" t="s">
        <v>324</v>
      </c>
      <c r="D731" s="441">
        <v>94.05</v>
      </c>
    </row>
    <row r="732" spans="1:4" ht="47.25" customHeight="1">
      <c r="A732" s="120">
        <v>53786</v>
      </c>
      <c r="B732" s="119" t="s">
        <v>2272</v>
      </c>
      <c r="C732" s="120" t="s">
        <v>324</v>
      </c>
      <c r="D732" s="441">
        <v>49.64</v>
      </c>
    </row>
    <row r="733" spans="1:4" ht="31.5" customHeight="1">
      <c r="A733" s="120">
        <v>53788</v>
      </c>
      <c r="B733" s="119" t="s">
        <v>2273</v>
      </c>
      <c r="C733" s="120" t="s">
        <v>324</v>
      </c>
      <c r="D733" s="441">
        <v>55.58</v>
      </c>
    </row>
    <row r="734" spans="1:4" ht="31.5" customHeight="1">
      <c r="A734" s="120">
        <v>53792</v>
      </c>
      <c r="B734" s="119" t="s">
        <v>2274</v>
      </c>
      <c r="C734" s="120" t="s">
        <v>324</v>
      </c>
      <c r="D734" s="441">
        <v>98.53</v>
      </c>
    </row>
    <row r="735" spans="1:4" ht="15.75" customHeight="1">
      <c r="A735" s="120">
        <v>53794</v>
      </c>
      <c r="B735" s="119" t="s">
        <v>2275</v>
      </c>
      <c r="C735" s="120" t="s">
        <v>324</v>
      </c>
      <c r="D735" s="441">
        <v>35</v>
      </c>
    </row>
    <row r="736" spans="1:4" ht="47.25" customHeight="1">
      <c r="A736" s="120">
        <v>53797</v>
      </c>
      <c r="B736" s="119" t="s">
        <v>2276</v>
      </c>
      <c r="C736" s="120" t="s">
        <v>324</v>
      </c>
      <c r="D736" s="441">
        <v>113.31</v>
      </c>
    </row>
    <row r="737" spans="1:4" ht="31.5" customHeight="1">
      <c r="A737" s="120">
        <v>53804</v>
      </c>
      <c r="B737" s="119" t="s">
        <v>2277</v>
      </c>
      <c r="C737" s="120" t="s">
        <v>324</v>
      </c>
      <c r="D737" s="441">
        <v>5.65</v>
      </c>
    </row>
    <row r="738" spans="1:4" ht="15.75" customHeight="1">
      <c r="A738" s="120">
        <v>53806</v>
      </c>
      <c r="B738" s="119" t="s">
        <v>2278</v>
      </c>
      <c r="C738" s="120" t="s">
        <v>324</v>
      </c>
      <c r="D738" s="441">
        <v>74.319999999999993</v>
      </c>
    </row>
    <row r="739" spans="1:4" ht="31.5" customHeight="1">
      <c r="A739" s="120">
        <v>53810</v>
      </c>
      <c r="B739" s="119" t="s">
        <v>2279</v>
      </c>
      <c r="C739" s="120" t="s">
        <v>324</v>
      </c>
      <c r="D739" s="441">
        <v>74.78</v>
      </c>
    </row>
    <row r="740" spans="1:4" ht="31.5" customHeight="1">
      <c r="A740" s="120">
        <v>53814</v>
      </c>
      <c r="B740" s="119" t="s">
        <v>2280</v>
      </c>
      <c r="C740" s="120" t="s">
        <v>324</v>
      </c>
      <c r="D740" s="441">
        <v>244.95</v>
      </c>
    </row>
    <row r="741" spans="1:4" ht="31.5" customHeight="1">
      <c r="A741" s="120">
        <v>53817</v>
      </c>
      <c r="B741" s="119" t="s">
        <v>2281</v>
      </c>
      <c r="C741" s="120" t="s">
        <v>324</v>
      </c>
      <c r="D741" s="441">
        <v>60.76</v>
      </c>
    </row>
    <row r="742" spans="1:4" ht="31.5" customHeight="1">
      <c r="A742" s="120">
        <v>53818</v>
      </c>
      <c r="B742" s="119" t="s">
        <v>2282</v>
      </c>
      <c r="C742" s="120" t="s">
        <v>324</v>
      </c>
      <c r="D742" s="441">
        <v>9.77</v>
      </c>
    </row>
    <row r="743" spans="1:4" ht="31.5" customHeight="1">
      <c r="A743" s="120">
        <v>53827</v>
      </c>
      <c r="B743" s="119" t="s">
        <v>2283</v>
      </c>
      <c r="C743" s="120" t="s">
        <v>324</v>
      </c>
      <c r="D743" s="441">
        <v>110.92</v>
      </c>
    </row>
    <row r="744" spans="1:4" ht="31.5" customHeight="1">
      <c r="A744" s="120">
        <v>53829</v>
      </c>
      <c r="B744" s="119" t="s">
        <v>2284</v>
      </c>
      <c r="C744" s="120" t="s">
        <v>324</v>
      </c>
      <c r="D744" s="441">
        <v>113.31</v>
      </c>
    </row>
    <row r="745" spans="1:4" ht="47.25" customHeight="1">
      <c r="A745" s="120">
        <v>53831</v>
      </c>
      <c r="B745" s="119" t="s">
        <v>2285</v>
      </c>
      <c r="C745" s="120" t="s">
        <v>324</v>
      </c>
      <c r="D745" s="441">
        <v>187.17</v>
      </c>
    </row>
    <row r="746" spans="1:4" ht="31.5" customHeight="1">
      <c r="A746" s="120">
        <v>53840</v>
      </c>
      <c r="B746" s="119" t="s">
        <v>2286</v>
      </c>
      <c r="C746" s="120" t="s">
        <v>324</v>
      </c>
      <c r="D746" s="441">
        <v>3.07</v>
      </c>
    </row>
    <row r="747" spans="1:4" ht="31.5" customHeight="1">
      <c r="A747" s="120">
        <v>53841</v>
      </c>
      <c r="B747" s="119" t="s">
        <v>2287</v>
      </c>
      <c r="C747" s="120" t="s">
        <v>324</v>
      </c>
      <c r="D747" s="441">
        <v>2.13</v>
      </c>
    </row>
    <row r="748" spans="1:4" ht="31.5" customHeight="1">
      <c r="A748" s="120">
        <v>53849</v>
      </c>
      <c r="B748" s="119" t="s">
        <v>2288</v>
      </c>
      <c r="C748" s="120" t="s">
        <v>324</v>
      </c>
      <c r="D748" s="441">
        <v>81.42</v>
      </c>
    </row>
    <row r="749" spans="1:4" ht="31.5" customHeight="1">
      <c r="A749" s="120">
        <v>53857</v>
      </c>
      <c r="B749" s="119" t="s">
        <v>2289</v>
      </c>
      <c r="C749" s="120" t="s">
        <v>324</v>
      </c>
      <c r="D749" s="441">
        <v>73.09</v>
      </c>
    </row>
    <row r="750" spans="1:4" ht="31.5" customHeight="1">
      <c r="A750" s="120">
        <v>53858</v>
      </c>
      <c r="B750" s="119" t="s">
        <v>2290</v>
      </c>
      <c r="C750" s="120" t="s">
        <v>324</v>
      </c>
      <c r="D750" s="441">
        <v>44.46</v>
      </c>
    </row>
    <row r="751" spans="1:4" ht="31.5" customHeight="1">
      <c r="A751" s="120">
        <v>53861</v>
      </c>
      <c r="B751" s="119" t="s">
        <v>2291</v>
      </c>
      <c r="C751" s="120" t="s">
        <v>324</v>
      </c>
      <c r="D751" s="441">
        <v>70.95</v>
      </c>
    </row>
    <row r="752" spans="1:4" ht="15.75" customHeight="1">
      <c r="A752" s="120">
        <v>53863</v>
      </c>
      <c r="B752" s="119" t="s">
        <v>2292</v>
      </c>
      <c r="C752" s="120" t="s">
        <v>324</v>
      </c>
      <c r="D752" s="441">
        <v>1.67</v>
      </c>
    </row>
    <row r="753" spans="1:4" ht="31.5" customHeight="1">
      <c r="A753" s="120">
        <v>53865</v>
      </c>
      <c r="B753" s="119" t="s">
        <v>2293</v>
      </c>
      <c r="C753" s="120" t="s">
        <v>324</v>
      </c>
      <c r="D753" s="441">
        <v>45.86</v>
      </c>
    </row>
    <row r="754" spans="1:4" ht="31.5" customHeight="1">
      <c r="A754" s="120">
        <v>53866</v>
      </c>
      <c r="B754" s="119" t="s">
        <v>2294</v>
      </c>
      <c r="C754" s="120" t="s">
        <v>324</v>
      </c>
      <c r="D754" s="441">
        <v>1.22</v>
      </c>
    </row>
    <row r="755" spans="1:4" ht="31.5" customHeight="1">
      <c r="A755" s="120">
        <v>53882</v>
      </c>
      <c r="B755" s="119" t="s">
        <v>2295</v>
      </c>
      <c r="C755" s="120" t="s">
        <v>324</v>
      </c>
      <c r="D755" s="441">
        <v>37.549999999999997</v>
      </c>
    </row>
    <row r="756" spans="1:4" ht="31.5" customHeight="1">
      <c r="A756" s="120">
        <v>55263</v>
      </c>
      <c r="B756" s="119" t="s">
        <v>2296</v>
      </c>
      <c r="C756" s="120" t="s">
        <v>324</v>
      </c>
      <c r="D756" s="441">
        <v>62.68</v>
      </c>
    </row>
    <row r="757" spans="1:4" ht="15.75" customHeight="1">
      <c r="A757" s="120">
        <v>73303</v>
      </c>
      <c r="B757" s="119" t="s">
        <v>2297</v>
      </c>
      <c r="C757" s="120" t="s">
        <v>324</v>
      </c>
      <c r="D757" s="441">
        <v>6.58</v>
      </c>
    </row>
    <row r="758" spans="1:4" ht="15.75" customHeight="1">
      <c r="A758" s="120">
        <v>73307</v>
      </c>
      <c r="B758" s="119" t="s">
        <v>2298</v>
      </c>
      <c r="C758" s="120" t="s">
        <v>324</v>
      </c>
      <c r="D758" s="441">
        <v>5.87</v>
      </c>
    </row>
    <row r="759" spans="1:4" ht="31.5" customHeight="1">
      <c r="A759" s="120">
        <v>73309</v>
      </c>
      <c r="B759" s="119" t="s">
        <v>2299</v>
      </c>
      <c r="C759" s="120" t="s">
        <v>324</v>
      </c>
      <c r="D759" s="441">
        <v>33.68</v>
      </c>
    </row>
    <row r="760" spans="1:4" ht="15.75" customHeight="1">
      <c r="A760" s="120">
        <v>73311</v>
      </c>
      <c r="B760" s="119" t="s">
        <v>2300</v>
      </c>
      <c r="C760" s="120" t="s">
        <v>324</v>
      </c>
      <c r="D760" s="441">
        <v>173.26</v>
      </c>
    </row>
    <row r="761" spans="1:4" ht="31.5" customHeight="1">
      <c r="A761" s="120">
        <v>73313</v>
      </c>
      <c r="B761" s="119" t="s">
        <v>2301</v>
      </c>
      <c r="C761" s="120" t="s">
        <v>324</v>
      </c>
      <c r="D761" s="441">
        <v>4.67</v>
      </c>
    </row>
    <row r="762" spans="1:4" ht="31.5" customHeight="1">
      <c r="A762" s="120">
        <v>73315</v>
      </c>
      <c r="B762" s="119" t="s">
        <v>2302</v>
      </c>
      <c r="C762" s="120" t="s">
        <v>324</v>
      </c>
      <c r="D762" s="441">
        <v>55.58</v>
      </c>
    </row>
    <row r="763" spans="1:4" ht="47.25" customHeight="1">
      <c r="A763" s="120">
        <v>73335</v>
      </c>
      <c r="B763" s="119" t="s">
        <v>2303</v>
      </c>
      <c r="C763" s="120" t="s">
        <v>324</v>
      </c>
      <c r="D763" s="441">
        <v>36.35</v>
      </c>
    </row>
    <row r="764" spans="1:4" ht="47.25" customHeight="1">
      <c r="A764" s="120">
        <v>73340</v>
      </c>
      <c r="B764" s="119" t="s">
        <v>2304</v>
      </c>
      <c r="C764" s="120" t="s">
        <v>324</v>
      </c>
      <c r="D764" s="441">
        <v>150.56</v>
      </c>
    </row>
    <row r="765" spans="1:4" ht="47.25" customHeight="1">
      <c r="A765" s="120">
        <v>83361</v>
      </c>
      <c r="B765" s="119" t="s">
        <v>2305</v>
      </c>
      <c r="C765" s="120" t="s">
        <v>324</v>
      </c>
      <c r="D765" s="441">
        <v>42.86</v>
      </c>
    </row>
    <row r="766" spans="1:4" ht="31.5" customHeight="1">
      <c r="A766" s="120">
        <v>83761</v>
      </c>
      <c r="B766" s="119" t="s">
        <v>2306</v>
      </c>
      <c r="C766" s="120" t="s">
        <v>324</v>
      </c>
      <c r="D766" s="441">
        <v>8.77</v>
      </c>
    </row>
    <row r="767" spans="1:4" ht="31.5" customHeight="1">
      <c r="A767" s="120">
        <v>83762</v>
      </c>
      <c r="B767" s="119" t="s">
        <v>2307</v>
      </c>
      <c r="C767" s="120" t="s">
        <v>324</v>
      </c>
      <c r="D767" s="441">
        <v>7.83</v>
      </c>
    </row>
    <row r="768" spans="1:4" ht="31.5" customHeight="1">
      <c r="A768" s="120">
        <v>83763</v>
      </c>
      <c r="B768" s="119" t="s">
        <v>2308</v>
      </c>
      <c r="C768" s="120" t="s">
        <v>324</v>
      </c>
      <c r="D768" s="441">
        <v>48.82</v>
      </c>
    </row>
    <row r="769" spans="1:4" ht="31.5" customHeight="1">
      <c r="A769" s="120">
        <v>83764</v>
      </c>
      <c r="B769" s="119" t="s">
        <v>2309</v>
      </c>
      <c r="C769" s="120" t="s">
        <v>324</v>
      </c>
      <c r="D769" s="441">
        <v>1.57</v>
      </c>
    </row>
    <row r="770" spans="1:4" ht="15.75" customHeight="1">
      <c r="A770" s="120">
        <v>87026</v>
      </c>
      <c r="B770" s="119" t="s">
        <v>2310</v>
      </c>
      <c r="C770" s="120" t="s">
        <v>324</v>
      </c>
      <c r="D770" s="441">
        <v>0.43</v>
      </c>
    </row>
    <row r="771" spans="1:4" ht="31.5" customHeight="1">
      <c r="A771" s="120">
        <v>87441</v>
      </c>
      <c r="B771" s="119" t="s">
        <v>2311</v>
      </c>
      <c r="C771" s="120" t="s">
        <v>324</v>
      </c>
      <c r="D771" s="441">
        <v>0.41</v>
      </c>
    </row>
    <row r="772" spans="1:4" ht="31.5" customHeight="1">
      <c r="A772" s="120">
        <v>87442</v>
      </c>
      <c r="B772" s="119" t="s">
        <v>2312</v>
      </c>
      <c r="C772" s="120" t="s">
        <v>324</v>
      </c>
      <c r="D772" s="441">
        <v>0.04</v>
      </c>
    </row>
    <row r="773" spans="1:4" ht="31.5" customHeight="1">
      <c r="A773" s="120">
        <v>87443</v>
      </c>
      <c r="B773" s="119" t="s">
        <v>2313</v>
      </c>
      <c r="C773" s="120" t="s">
        <v>324</v>
      </c>
      <c r="D773" s="441">
        <v>0.52</v>
      </c>
    </row>
    <row r="774" spans="1:4" ht="31.5" customHeight="1">
      <c r="A774" s="120">
        <v>87444</v>
      </c>
      <c r="B774" s="119" t="s">
        <v>2314</v>
      </c>
      <c r="C774" s="120" t="s">
        <v>324</v>
      </c>
      <c r="D774" s="441">
        <v>4.07</v>
      </c>
    </row>
    <row r="775" spans="1:4" ht="31.5" customHeight="1">
      <c r="A775" s="120">
        <v>88387</v>
      </c>
      <c r="B775" s="119" t="s">
        <v>2315</v>
      </c>
      <c r="C775" s="120" t="s">
        <v>324</v>
      </c>
      <c r="D775" s="441">
        <v>0.81</v>
      </c>
    </row>
    <row r="776" spans="1:4" ht="31.5" customHeight="1">
      <c r="A776" s="120">
        <v>88389</v>
      </c>
      <c r="B776" s="119" t="s">
        <v>2316</v>
      </c>
      <c r="C776" s="120" t="s">
        <v>324</v>
      </c>
      <c r="D776" s="441">
        <v>0.09</v>
      </c>
    </row>
    <row r="777" spans="1:4" ht="31.5" customHeight="1">
      <c r="A777" s="120">
        <v>88390</v>
      </c>
      <c r="B777" s="119" t="s">
        <v>2317</v>
      </c>
      <c r="C777" s="120" t="s">
        <v>324</v>
      </c>
      <c r="D777" s="441">
        <v>0.88</v>
      </c>
    </row>
    <row r="778" spans="1:4" ht="31.5" customHeight="1">
      <c r="A778" s="120">
        <v>88391</v>
      </c>
      <c r="B778" s="119" t="s">
        <v>2318</v>
      </c>
      <c r="C778" s="120" t="s">
        <v>324</v>
      </c>
      <c r="D778" s="441">
        <v>2</v>
      </c>
    </row>
    <row r="779" spans="1:4" ht="31.5" customHeight="1">
      <c r="A779" s="120">
        <v>88394</v>
      </c>
      <c r="B779" s="119" t="s">
        <v>2319</v>
      </c>
      <c r="C779" s="120" t="s">
        <v>324</v>
      </c>
      <c r="D779" s="441">
        <v>0.96</v>
      </c>
    </row>
    <row r="780" spans="1:4" ht="31.5" customHeight="1">
      <c r="A780" s="120">
        <v>88395</v>
      </c>
      <c r="B780" s="119" t="s">
        <v>2320</v>
      </c>
      <c r="C780" s="120" t="s">
        <v>324</v>
      </c>
      <c r="D780" s="441">
        <v>0.11</v>
      </c>
    </row>
    <row r="781" spans="1:4" ht="31.5" customHeight="1">
      <c r="A781" s="120">
        <v>88396</v>
      </c>
      <c r="B781" s="119" t="s">
        <v>2321</v>
      </c>
      <c r="C781" s="120" t="s">
        <v>324</v>
      </c>
      <c r="D781" s="441">
        <v>1.05</v>
      </c>
    </row>
    <row r="782" spans="1:4" ht="31.5" customHeight="1">
      <c r="A782" s="120">
        <v>88397</v>
      </c>
      <c r="B782" s="119" t="s">
        <v>2322</v>
      </c>
      <c r="C782" s="120" t="s">
        <v>324</v>
      </c>
      <c r="D782" s="441">
        <v>3</v>
      </c>
    </row>
    <row r="783" spans="1:4" ht="31.5" customHeight="1">
      <c r="A783" s="120">
        <v>88400</v>
      </c>
      <c r="B783" s="119" t="s">
        <v>2323</v>
      </c>
      <c r="C783" s="120" t="s">
        <v>324</v>
      </c>
      <c r="D783" s="441">
        <v>0.76</v>
      </c>
    </row>
    <row r="784" spans="1:4" ht="31.5" customHeight="1">
      <c r="A784" s="120">
        <v>88401</v>
      </c>
      <c r="B784" s="119" t="s">
        <v>2324</v>
      </c>
      <c r="C784" s="120" t="s">
        <v>324</v>
      </c>
      <c r="D784" s="441">
        <v>0.09</v>
      </c>
    </row>
    <row r="785" spans="1:4" ht="31.5" customHeight="1">
      <c r="A785" s="120">
        <v>88402</v>
      </c>
      <c r="B785" s="119" t="s">
        <v>2325</v>
      </c>
      <c r="C785" s="120" t="s">
        <v>324</v>
      </c>
      <c r="D785" s="441">
        <v>0.83</v>
      </c>
    </row>
    <row r="786" spans="1:4" ht="31.5" customHeight="1">
      <c r="A786" s="120">
        <v>88403</v>
      </c>
      <c r="B786" s="119" t="s">
        <v>2326</v>
      </c>
      <c r="C786" s="120" t="s">
        <v>324</v>
      </c>
      <c r="D786" s="441">
        <v>1.2</v>
      </c>
    </row>
    <row r="787" spans="1:4" ht="31.5" customHeight="1">
      <c r="A787" s="120">
        <v>88419</v>
      </c>
      <c r="B787" s="119" t="s">
        <v>2327</v>
      </c>
      <c r="C787" s="120" t="s">
        <v>324</v>
      </c>
      <c r="D787" s="441">
        <v>4.99</v>
      </c>
    </row>
    <row r="788" spans="1:4" ht="31.5" customHeight="1">
      <c r="A788" s="120">
        <v>88422</v>
      </c>
      <c r="B788" s="119" t="s">
        <v>2328</v>
      </c>
      <c r="C788" s="120" t="s">
        <v>324</v>
      </c>
      <c r="D788" s="441">
        <v>0.59</v>
      </c>
    </row>
    <row r="789" spans="1:4" ht="31.5" customHeight="1">
      <c r="A789" s="120">
        <v>88425</v>
      </c>
      <c r="B789" s="119" t="s">
        <v>2329</v>
      </c>
      <c r="C789" s="120" t="s">
        <v>324</v>
      </c>
      <c r="D789" s="441">
        <v>6.24</v>
      </c>
    </row>
    <row r="790" spans="1:4" ht="31.5" customHeight="1">
      <c r="A790" s="120">
        <v>88427</v>
      </c>
      <c r="B790" s="119" t="s">
        <v>2330</v>
      </c>
      <c r="C790" s="120" t="s">
        <v>324</v>
      </c>
      <c r="D790" s="441">
        <v>0.67</v>
      </c>
    </row>
    <row r="791" spans="1:4" ht="31.5" customHeight="1">
      <c r="A791" s="120">
        <v>88434</v>
      </c>
      <c r="B791" s="119" t="s">
        <v>2331</v>
      </c>
      <c r="C791" s="120" t="s">
        <v>324</v>
      </c>
      <c r="D791" s="441">
        <v>6.61</v>
      </c>
    </row>
    <row r="792" spans="1:4" ht="31.5" customHeight="1">
      <c r="A792" s="120">
        <v>88435</v>
      </c>
      <c r="B792" s="119" t="s">
        <v>2332</v>
      </c>
      <c r="C792" s="120" t="s">
        <v>324</v>
      </c>
      <c r="D792" s="441">
        <v>0.78</v>
      </c>
    </row>
    <row r="793" spans="1:4" ht="31.5" customHeight="1">
      <c r="A793" s="120">
        <v>88436</v>
      </c>
      <c r="B793" s="119" t="s">
        <v>2333</v>
      </c>
      <c r="C793" s="120" t="s">
        <v>324</v>
      </c>
      <c r="D793" s="441">
        <v>8.27</v>
      </c>
    </row>
    <row r="794" spans="1:4" ht="31.5" customHeight="1">
      <c r="A794" s="120">
        <v>88437</v>
      </c>
      <c r="B794" s="119" t="s">
        <v>2334</v>
      </c>
      <c r="C794" s="120" t="s">
        <v>324</v>
      </c>
      <c r="D794" s="441">
        <v>0.67</v>
      </c>
    </row>
    <row r="795" spans="1:4" ht="31.5" customHeight="1">
      <c r="A795" s="120">
        <v>88569</v>
      </c>
      <c r="B795" s="119" t="s">
        <v>2335</v>
      </c>
      <c r="C795" s="120" t="s">
        <v>324</v>
      </c>
      <c r="D795" s="441">
        <v>3.63</v>
      </c>
    </row>
    <row r="796" spans="1:4" ht="31.5" customHeight="1">
      <c r="A796" s="120">
        <v>88570</v>
      </c>
      <c r="B796" s="119" t="s">
        <v>2336</v>
      </c>
      <c r="C796" s="120" t="s">
        <v>324</v>
      </c>
      <c r="D796" s="441">
        <v>0.6</v>
      </c>
    </row>
    <row r="797" spans="1:4" ht="31.5" customHeight="1">
      <c r="A797" s="120">
        <v>88826</v>
      </c>
      <c r="B797" s="119" t="s">
        <v>2337</v>
      </c>
      <c r="C797" s="120" t="s">
        <v>324</v>
      </c>
      <c r="D797" s="441">
        <v>0.3</v>
      </c>
    </row>
    <row r="798" spans="1:4" ht="31.5" customHeight="1">
      <c r="A798" s="120">
        <v>88827</v>
      </c>
      <c r="B798" s="119" t="s">
        <v>2338</v>
      </c>
      <c r="C798" s="120" t="s">
        <v>324</v>
      </c>
      <c r="D798" s="441">
        <v>0.03</v>
      </c>
    </row>
    <row r="799" spans="1:4" ht="31.5" customHeight="1">
      <c r="A799" s="120">
        <v>88828</v>
      </c>
      <c r="B799" s="119" t="s">
        <v>2339</v>
      </c>
      <c r="C799" s="120" t="s">
        <v>324</v>
      </c>
      <c r="D799" s="441">
        <v>0.33</v>
      </c>
    </row>
    <row r="800" spans="1:4" ht="31.5" customHeight="1">
      <c r="A800" s="120">
        <v>88829</v>
      </c>
      <c r="B800" s="119" t="s">
        <v>2340</v>
      </c>
      <c r="C800" s="120" t="s">
        <v>324</v>
      </c>
      <c r="D800" s="441">
        <v>0.8</v>
      </c>
    </row>
    <row r="801" spans="1:4" ht="31.5" customHeight="1">
      <c r="A801" s="120">
        <v>88832</v>
      </c>
      <c r="B801" s="119" t="s">
        <v>2341</v>
      </c>
      <c r="C801" s="120" t="s">
        <v>324</v>
      </c>
      <c r="D801" s="441">
        <v>51.22</v>
      </c>
    </row>
    <row r="802" spans="1:4" ht="31.5" customHeight="1">
      <c r="A802" s="120">
        <v>88834</v>
      </c>
      <c r="B802" s="119" t="s">
        <v>2342</v>
      </c>
      <c r="C802" s="120" t="s">
        <v>324</v>
      </c>
      <c r="D802" s="441">
        <v>6.95</v>
      </c>
    </row>
    <row r="803" spans="1:4" ht="31.5" customHeight="1">
      <c r="A803" s="120">
        <v>88835</v>
      </c>
      <c r="B803" s="119" t="s">
        <v>2343</v>
      </c>
      <c r="C803" s="120" t="s">
        <v>324</v>
      </c>
      <c r="D803" s="441">
        <v>64.03</v>
      </c>
    </row>
    <row r="804" spans="1:4" ht="31.5" customHeight="1">
      <c r="A804" s="120">
        <v>88836</v>
      </c>
      <c r="B804" s="119" t="s">
        <v>2344</v>
      </c>
      <c r="C804" s="120" t="s">
        <v>324</v>
      </c>
      <c r="D804" s="441">
        <v>62.09</v>
      </c>
    </row>
    <row r="805" spans="1:4" ht="31.5" customHeight="1">
      <c r="A805" s="120">
        <v>88839</v>
      </c>
      <c r="B805" s="119" t="s">
        <v>2345</v>
      </c>
      <c r="C805" s="120" t="s">
        <v>324</v>
      </c>
      <c r="D805" s="441">
        <v>33.770000000000003</v>
      </c>
    </row>
    <row r="806" spans="1:4" ht="15.75" customHeight="1">
      <c r="A806" s="120">
        <v>88840</v>
      </c>
      <c r="B806" s="119" t="s">
        <v>2346</v>
      </c>
      <c r="C806" s="120" t="s">
        <v>324</v>
      </c>
      <c r="D806" s="441">
        <v>7.6</v>
      </c>
    </row>
    <row r="807" spans="1:4" ht="31.5" customHeight="1">
      <c r="A807" s="120">
        <v>88841</v>
      </c>
      <c r="B807" s="119" t="s">
        <v>2347</v>
      </c>
      <c r="C807" s="120" t="s">
        <v>324</v>
      </c>
      <c r="D807" s="441">
        <v>60.37</v>
      </c>
    </row>
    <row r="808" spans="1:4" ht="31.5" customHeight="1">
      <c r="A808" s="120">
        <v>88842</v>
      </c>
      <c r="B808" s="119" t="s">
        <v>2348</v>
      </c>
      <c r="C808" s="120" t="s">
        <v>324</v>
      </c>
      <c r="D808" s="441">
        <v>76</v>
      </c>
    </row>
    <row r="809" spans="1:4" ht="31.5" customHeight="1">
      <c r="A809" s="120">
        <v>88847</v>
      </c>
      <c r="B809" s="119" t="s">
        <v>2349</v>
      </c>
      <c r="C809" s="120" t="s">
        <v>324</v>
      </c>
      <c r="D809" s="441">
        <v>20.88</v>
      </c>
    </row>
    <row r="810" spans="1:4" ht="31.5" customHeight="1">
      <c r="A810" s="120">
        <v>88848</v>
      </c>
      <c r="B810" s="119" t="s">
        <v>2350</v>
      </c>
      <c r="C810" s="120" t="s">
        <v>324</v>
      </c>
      <c r="D810" s="441">
        <v>4.38</v>
      </c>
    </row>
    <row r="811" spans="1:4" ht="31.5" customHeight="1">
      <c r="A811" s="120">
        <v>88853</v>
      </c>
      <c r="B811" s="119" t="s">
        <v>2351</v>
      </c>
      <c r="C811" s="120" t="s">
        <v>324</v>
      </c>
      <c r="D811" s="441">
        <v>0.23</v>
      </c>
    </row>
    <row r="812" spans="1:4" ht="31.5" customHeight="1">
      <c r="A812" s="120">
        <v>88854</v>
      </c>
      <c r="B812" s="119" t="s">
        <v>2352</v>
      </c>
      <c r="C812" s="120" t="s">
        <v>324</v>
      </c>
      <c r="D812" s="441">
        <v>0.02</v>
      </c>
    </row>
    <row r="813" spans="1:4" ht="31.5" customHeight="1">
      <c r="A813" s="120">
        <v>88855</v>
      </c>
      <c r="B813" s="119" t="s">
        <v>2353</v>
      </c>
      <c r="C813" s="120" t="s">
        <v>324</v>
      </c>
      <c r="D813" s="441">
        <v>3.91</v>
      </c>
    </row>
    <row r="814" spans="1:4" ht="31.5" customHeight="1">
      <c r="A814" s="120">
        <v>88856</v>
      </c>
      <c r="B814" s="119" t="s">
        <v>2354</v>
      </c>
      <c r="C814" s="120" t="s">
        <v>324</v>
      </c>
      <c r="D814" s="441">
        <v>0.54</v>
      </c>
    </row>
    <row r="815" spans="1:4" ht="47.25" customHeight="1">
      <c r="A815" s="120">
        <v>88857</v>
      </c>
      <c r="B815" s="119" t="s">
        <v>2355</v>
      </c>
      <c r="C815" s="120" t="s">
        <v>324</v>
      </c>
      <c r="D815" s="441">
        <v>26.99</v>
      </c>
    </row>
    <row r="816" spans="1:4" ht="47.25" customHeight="1">
      <c r="A816" s="120">
        <v>88858</v>
      </c>
      <c r="B816" s="119" t="s">
        <v>2356</v>
      </c>
      <c r="C816" s="120" t="s">
        <v>324</v>
      </c>
      <c r="D816" s="441">
        <v>3.66</v>
      </c>
    </row>
    <row r="817" spans="1:4" ht="47.25" customHeight="1">
      <c r="A817" s="120">
        <v>88859</v>
      </c>
      <c r="B817" s="119" t="s">
        <v>2357</v>
      </c>
      <c r="C817" s="120" t="s">
        <v>324</v>
      </c>
      <c r="D817" s="441">
        <v>24</v>
      </c>
    </row>
    <row r="818" spans="1:4" ht="47.25" customHeight="1">
      <c r="A818" s="120">
        <v>88860</v>
      </c>
      <c r="B818" s="119" t="s">
        <v>2358</v>
      </c>
      <c r="C818" s="120" t="s">
        <v>324</v>
      </c>
      <c r="D818" s="441">
        <v>3.25</v>
      </c>
    </row>
    <row r="819" spans="1:4" ht="31.5" customHeight="1">
      <c r="A819" s="120">
        <v>88900</v>
      </c>
      <c r="B819" s="119" t="s">
        <v>2359</v>
      </c>
      <c r="C819" s="120" t="s">
        <v>324</v>
      </c>
      <c r="D819" s="441">
        <v>59.73</v>
      </c>
    </row>
    <row r="820" spans="1:4" ht="31.5" customHeight="1">
      <c r="A820" s="120">
        <v>88902</v>
      </c>
      <c r="B820" s="119" t="s">
        <v>2360</v>
      </c>
      <c r="C820" s="120" t="s">
        <v>324</v>
      </c>
      <c r="D820" s="441">
        <v>8.1</v>
      </c>
    </row>
    <row r="821" spans="1:4" ht="31.5" customHeight="1">
      <c r="A821" s="120">
        <v>88903</v>
      </c>
      <c r="B821" s="119" t="s">
        <v>2361</v>
      </c>
      <c r="C821" s="120" t="s">
        <v>324</v>
      </c>
      <c r="D821" s="441">
        <v>74.66</v>
      </c>
    </row>
    <row r="822" spans="1:4" ht="31.5" customHeight="1">
      <c r="A822" s="120">
        <v>88904</v>
      </c>
      <c r="B822" s="119" t="s">
        <v>2362</v>
      </c>
      <c r="C822" s="120" t="s">
        <v>324</v>
      </c>
      <c r="D822" s="441">
        <v>87.47</v>
      </c>
    </row>
    <row r="823" spans="1:4" ht="31.5" customHeight="1">
      <c r="A823" s="120">
        <v>89009</v>
      </c>
      <c r="B823" s="119" t="s">
        <v>2363</v>
      </c>
      <c r="C823" s="120" t="s">
        <v>324</v>
      </c>
      <c r="D823" s="441">
        <v>41.82</v>
      </c>
    </row>
    <row r="824" spans="1:4" ht="31.5" customHeight="1">
      <c r="A824" s="120">
        <v>89010</v>
      </c>
      <c r="B824" s="119" t="s">
        <v>2364</v>
      </c>
      <c r="C824" s="120" t="s">
        <v>324</v>
      </c>
      <c r="D824" s="441">
        <v>9.41</v>
      </c>
    </row>
    <row r="825" spans="1:4" ht="47.25" customHeight="1">
      <c r="A825" s="120">
        <v>89011</v>
      </c>
      <c r="B825" s="119" t="s">
        <v>2365</v>
      </c>
      <c r="C825" s="120" t="s">
        <v>324</v>
      </c>
      <c r="D825" s="441">
        <v>26.04</v>
      </c>
    </row>
    <row r="826" spans="1:4" ht="47.25" customHeight="1">
      <c r="A826" s="120">
        <v>89012</v>
      </c>
      <c r="B826" s="119" t="s">
        <v>2366</v>
      </c>
      <c r="C826" s="120" t="s">
        <v>324</v>
      </c>
      <c r="D826" s="441">
        <v>3.53</v>
      </c>
    </row>
    <row r="827" spans="1:4" ht="31.5" customHeight="1">
      <c r="A827" s="120">
        <v>89013</v>
      </c>
      <c r="B827" s="119" t="s">
        <v>2367</v>
      </c>
      <c r="C827" s="120" t="s">
        <v>324</v>
      </c>
      <c r="D827" s="441">
        <v>137.01</v>
      </c>
    </row>
    <row r="828" spans="1:4" ht="15.75" customHeight="1">
      <c r="A828" s="120">
        <v>89014</v>
      </c>
      <c r="B828" s="119" t="s">
        <v>2368</v>
      </c>
      <c r="C828" s="120" t="s">
        <v>324</v>
      </c>
      <c r="D828" s="441">
        <v>30.83</v>
      </c>
    </row>
    <row r="829" spans="1:4" ht="31.5" customHeight="1">
      <c r="A829" s="120">
        <v>89015</v>
      </c>
      <c r="B829" s="119" t="s">
        <v>2369</v>
      </c>
      <c r="C829" s="120" t="s">
        <v>324</v>
      </c>
      <c r="D829" s="441">
        <v>4.5199999999999996</v>
      </c>
    </row>
    <row r="830" spans="1:4" ht="31.5" customHeight="1">
      <c r="A830" s="120">
        <v>89016</v>
      </c>
      <c r="B830" s="119" t="s">
        <v>2370</v>
      </c>
      <c r="C830" s="120" t="s">
        <v>324</v>
      </c>
      <c r="D830" s="441">
        <v>0.61</v>
      </c>
    </row>
    <row r="831" spans="1:4" ht="15.75" customHeight="1">
      <c r="A831" s="120">
        <v>89017</v>
      </c>
      <c r="B831" s="119" t="s">
        <v>2371</v>
      </c>
      <c r="C831" s="120" t="s">
        <v>324</v>
      </c>
      <c r="D831" s="441">
        <v>41.57</v>
      </c>
    </row>
    <row r="832" spans="1:4" ht="15.75" customHeight="1">
      <c r="A832" s="120">
        <v>89018</v>
      </c>
      <c r="B832" s="119" t="s">
        <v>2372</v>
      </c>
      <c r="C832" s="120" t="s">
        <v>324</v>
      </c>
      <c r="D832" s="441">
        <v>9.35</v>
      </c>
    </row>
    <row r="833" spans="1:4" ht="31.5" customHeight="1">
      <c r="A833" s="120">
        <v>89019</v>
      </c>
      <c r="B833" s="119" t="s">
        <v>2373</v>
      </c>
      <c r="C833" s="120" t="s">
        <v>324</v>
      </c>
      <c r="D833" s="441">
        <v>0.41</v>
      </c>
    </row>
    <row r="834" spans="1:4" ht="31.5" customHeight="1">
      <c r="A834" s="120">
        <v>89020</v>
      </c>
      <c r="B834" s="119" t="s">
        <v>2374</v>
      </c>
      <c r="C834" s="120" t="s">
        <v>324</v>
      </c>
      <c r="D834" s="441">
        <v>0.04</v>
      </c>
    </row>
    <row r="835" spans="1:4" ht="15.75" customHeight="1">
      <c r="A835" s="120">
        <v>89023</v>
      </c>
      <c r="B835" s="119" t="s">
        <v>2375</v>
      </c>
      <c r="C835" s="120" t="s">
        <v>324</v>
      </c>
      <c r="D835" s="441">
        <v>3.69</v>
      </c>
    </row>
    <row r="836" spans="1:4" ht="15.75" customHeight="1">
      <c r="A836" s="120">
        <v>89024</v>
      </c>
      <c r="B836" s="119" t="s">
        <v>2376</v>
      </c>
      <c r="C836" s="120" t="s">
        <v>324</v>
      </c>
      <c r="D836" s="441">
        <v>0.65</v>
      </c>
    </row>
    <row r="837" spans="1:4" ht="15.75" customHeight="1">
      <c r="A837" s="120">
        <v>89025</v>
      </c>
      <c r="B837" s="119" t="s">
        <v>2377</v>
      </c>
      <c r="C837" s="120" t="s">
        <v>324</v>
      </c>
      <c r="D837" s="441">
        <v>4.6100000000000003</v>
      </c>
    </row>
    <row r="838" spans="1:4" ht="31.5" customHeight="1">
      <c r="A838" s="120">
        <v>89026</v>
      </c>
      <c r="B838" s="119" t="s">
        <v>2378</v>
      </c>
      <c r="C838" s="120" t="s">
        <v>324</v>
      </c>
      <c r="D838" s="441">
        <v>166.27</v>
      </c>
    </row>
    <row r="839" spans="1:4" ht="31.5" customHeight="1">
      <c r="A839" s="120">
        <v>89029</v>
      </c>
      <c r="B839" s="119" t="s">
        <v>2379</v>
      </c>
      <c r="C839" s="120" t="s">
        <v>324</v>
      </c>
      <c r="D839" s="441">
        <v>32.26</v>
      </c>
    </row>
    <row r="840" spans="1:4" ht="15.75" customHeight="1">
      <c r="A840" s="120">
        <v>89030</v>
      </c>
      <c r="B840" s="119" t="s">
        <v>2380</v>
      </c>
      <c r="C840" s="120" t="s">
        <v>324</v>
      </c>
      <c r="D840" s="441">
        <v>7.26</v>
      </c>
    </row>
    <row r="841" spans="1:4" ht="15.75" customHeight="1">
      <c r="A841" s="120">
        <v>89033</v>
      </c>
      <c r="B841" s="119" t="s">
        <v>2381</v>
      </c>
      <c r="C841" s="120" t="s">
        <v>324</v>
      </c>
      <c r="D841" s="441">
        <v>14.49</v>
      </c>
    </row>
    <row r="842" spans="1:4" ht="15.75" customHeight="1">
      <c r="A842" s="120">
        <v>89034</v>
      </c>
      <c r="B842" s="119" t="s">
        <v>2382</v>
      </c>
      <c r="C842" s="120" t="s">
        <v>324</v>
      </c>
      <c r="D842" s="441">
        <v>2.0099999999999998</v>
      </c>
    </row>
    <row r="843" spans="1:4" ht="31.5" customHeight="1">
      <c r="A843" s="120">
        <v>89128</v>
      </c>
      <c r="B843" s="119" t="s">
        <v>2383</v>
      </c>
      <c r="C843" s="120" t="s">
        <v>324</v>
      </c>
      <c r="D843" s="441">
        <v>40.93</v>
      </c>
    </row>
    <row r="844" spans="1:4" ht="31.5" customHeight="1">
      <c r="A844" s="120">
        <v>89129</v>
      </c>
      <c r="B844" s="119" t="s">
        <v>2384</v>
      </c>
      <c r="C844" s="120" t="s">
        <v>324</v>
      </c>
      <c r="D844" s="441">
        <v>5.55</v>
      </c>
    </row>
    <row r="845" spans="1:4" ht="31.5" customHeight="1">
      <c r="A845" s="120">
        <v>89130</v>
      </c>
      <c r="B845" s="119" t="s">
        <v>2385</v>
      </c>
      <c r="C845" s="120" t="s">
        <v>324</v>
      </c>
      <c r="D845" s="441">
        <v>56.76</v>
      </c>
    </row>
    <row r="846" spans="1:4" ht="31.5" customHeight="1">
      <c r="A846" s="120">
        <v>89131</v>
      </c>
      <c r="B846" s="119" t="s">
        <v>2386</v>
      </c>
      <c r="C846" s="120" t="s">
        <v>324</v>
      </c>
      <c r="D846" s="441">
        <v>7.7</v>
      </c>
    </row>
    <row r="847" spans="1:4" ht="31.5" customHeight="1">
      <c r="A847" s="120">
        <v>89210</v>
      </c>
      <c r="B847" s="119" t="s">
        <v>2387</v>
      </c>
      <c r="C847" s="120" t="s">
        <v>324</v>
      </c>
      <c r="D847" s="441">
        <v>32.39</v>
      </c>
    </row>
    <row r="848" spans="1:4" ht="31.5" customHeight="1">
      <c r="A848" s="120">
        <v>89211</v>
      </c>
      <c r="B848" s="119" t="s">
        <v>2388</v>
      </c>
      <c r="C848" s="120" t="s">
        <v>324</v>
      </c>
      <c r="D848" s="441">
        <v>4.49</v>
      </c>
    </row>
    <row r="849" spans="1:4" ht="31.5" customHeight="1">
      <c r="A849" s="120">
        <v>89212</v>
      </c>
      <c r="B849" s="119" t="s">
        <v>2389</v>
      </c>
      <c r="C849" s="120" t="s">
        <v>324</v>
      </c>
      <c r="D849" s="441">
        <v>28.91</v>
      </c>
    </row>
    <row r="850" spans="1:4" ht="15.75" customHeight="1">
      <c r="A850" s="120">
        <v>89213</v>
      </c>
      <c r="B850" s="119" t="s">
        <v>2390</v>
      </c>
      <c r="C850" s="120" t="s">
        <v>324</v>
      </c>
      <c r="D850" s="441">
        <v>4.55</v>
      </c>
    </row>
    <row r="851" spans="1:4" ht="31.5" customHeight="1">
      <c r="A851" s="120">
        <v>89214</v>
      </c>
      <c r="B851" s="119" t="s">
        <v>2391</v>
      </c>
      <c r="C851" s="120" t="s">
        <v>324</v>
      </c>
      <c r="D851" s="441">
        <v>27.14</v>
      </c>
    </row>
    <row r="852" spans="1:4" ht="31.5" customHeight="1">
      <c r="A852" s="120">
        <v>89215</v>
      </c>
      <c r="B852" s="119" t="s">
        <v>2392</v>
      </c>
      <c r="C852" s="120" t="s">
        <v>324</v>
      </c>
      <c r="D852" s="441">
        <v>90.32</v>
      </c>
    </row>
    <row r="853" spans="1:4" ht="31.5" customHeight="1">
      <c r="A853" s="120">
        <v>89221</v>
      </c>
      <c r="B853" s="119" t="s">
        <v>2393</v>
      </c>
      <c r="C853" s="120" t="s">
        <v>324</v>
      </c>
      <c r="D853" s="441">
        <v>1.24</v>
      </c>
    </row>
    <row r="854" spans="1:4" ht="31.5" customHeight="1">
      <c r="A854" s="120">
        <v>89222</v>
      </c>
      <c r="B854" s="119" t="s">
        <v>2394</v>
      </c>
      <c r="C854" s="120" t="s">
        <v>324</v>
      </c>
      <c r="D854" s="441">
        <v>0.14000000000000001</v>
      </c>
    </row>
    <row r="855" spans="1:4" ht="31.5" customHeight="1">
      <c r="A855" s="120">
        <v>89223</v>
      </c>
      <c r="B855" s="119" t="s">
        <v>2395</v>
      </c>
      <c r="C855" s="120" t="s">
        <v>324</v>
      </c>
      <c r="D855" s="441">
        <v>1.36</v>
      </c>
    </row>
    <row r="856" spans="1:4" ht="31.5" customHeight="1">
      <c r="A856" s="120">
        <v>89224</v>
      </c>
      <c r="B856" s="119" t="s">
        <v>2396</v>
      </c>
      <c r="C856" s="120" t="s">
        <v>324</v>
      </c>
      <c r="D856" s="441">
        <v>1.6</v>
      </c>
    </row>
    <row r="857" spans="1:4" ht="31.5" customHeight="1">
      <c r="A857" s="120">
        <v>89228</v>
      </c>
      <c r="B857" s="119" t="s">
        <v>2397</v>
      </c>
      <c r="C857" s="120" t="s">
        <v>324</v>
      </c>
      <c r="D857" s="441">
        <v>54.8</v>
      </c>
    </row>
    <row r="858" spans="1:4" ht="31.5" customHeight="1">
      <c r="A858" s="120">
        <v>89229</v>
      </c>
      <c r="B858" s="119" t="s">
        <v>2398</v>
      </c>
      <c r="C858" s="120" t="s">
        <v>324</v>
      </c>
      <c r="D858" s="441">
        <v>9.86</v>
      </c>
    </row>
    <row r="859" spans="1:4" ht="31.5" customHeight="1">
      <c r="A859" s="120">
        <v>89230</v>
      </c>
      <c r="B859" s="119" t="s">
        <v>2399</v>
      </c>
      <c r="C859" s="120" t="s">
        <v>324</v>
      </c>
      <c r="D859" s="441">
        <v>140.84</v>
      </c>
    </row>
    <row r="860" spans="1:4" ht="31.5" customHeight="1">
      <c r="A860" s="120">
        <v>89231</v>
      </c>
      <c r="B860" s="119" t="s">
        <v>2400</v>
      </c>
      <c r="C860" s="120" t="s">
        <v>324</v>
      </c>
      <c r="D860" s="441">
        <v>22.31</v>
      </c>
    </row>
    <row r="861" spans="1:4" ht="31.5" customHeight="1">
      <c r="A861" s="120">
        <v>89232</v>
      </c>
      <c r="B861" s="119" t="s">
        <v>2401</v>
      </c>
      <c r="C861" s="120" t="s">
        <v>324</v>
      </c>
      <c r="D861" s="441">
        <v>251.22</v>
      </c>
    </row>
    <row r="862" spans="1:4" ht="31.5" customHeight="1">
      <c r="A862" s="120">
        <v>89233</v>
      </c>
      <c r="B862" s="119" t="s">
        <v>2402</v>
      </c>
      <c r="C862" s="120" t="s">
        <v>324</v>
      </c>
      <c r="D862" s="441">
        <v>162.55000000000001</v>
      </c>
    </row>
    <row r="863" spans="1:4" ht="31.5" customHeight="1">
      <c r="A863" s="120">
        <v>89236</v>
      </c>
      <c r="B863" s="119" t="s">
        <v>2403</v>
      </c>
      <c r="C863" s="120" t="s">
        <v>324</v>
      </c>
      <c r="D863" s="441">
        <v>329</v>
      </c>
    </row>
    <row r="864" spans="1:4" ht="31.5" customHeight="1">
      <c r="A864" s="120">
        <v>89237</v>
      </c>
      <c r="B864" s="119" t="s">
        <v>2404</v>
      </c>
      <c r="C864" s="120" t="s">
        <v>324</v>
      </c>
      <c r="D864" s="441">
        <v>52.13</v>
      </c>
    </row>
    <row r="865" spans="1:4" ht="31.5" customHeight="1">
      <c r="A865" s="120">
        <v>89238</v>
      </c>
      <c r="B865" s="119" t="s">
        <v>2405</v>
      </c>
      <c r="C865" s="120" t="s">
        <v>324</v>
      </c>
      <c r="D865" s="441">
        <v>586.85</v>
      </c>
    </row>
    <row r="866" spans="1:4" ht="31.5" customHeight="1">
      <c r="A866" s="120">
        <v>89239</v>
      </c>
      <c r="B866" s="119" t="s">
        <v>2406</v>
      </c>
      <c r="C866" s="120" t="s">
        <v>324</v>
      </c>
      <c r="D866" s="441">
        <v>429.86</v>
      </c>
    </row>
    <row r="867" spans="1:4" ht="31.5" customHeight="1">
      <c r="A867" s="120">
        <v>89240</v>
      </c>
      <c r="B867" s="119" t="s">
        <v>2407</v>
      </c>
      <c r="C867" s="120" t="s">
        <v>324</v>
      </c>
      <c r="D867" s="441">
        <v>100.96</v>
      </c>
    </row>
    <row r="868" spans="1:4" ht="31.5" customHeight="1">
      <c r="A868" s="120">
        <v>89241</v>
      </c>
      <c r="B868" s="119" t="s">
        <v>2408</v>
      </c>
      <c r="C868" s="120" t="s">
        <v>324</v>
      </c>
      <c r="D868" s="441">
        <v>18.170000000000002</v>
      </c>
    </row>
    <row r="869" spans="1:4" ht="31.5" customHeight="1">
      <c r="A869" s="120">
        <v>89246</v>
      </c>
      <c r="B869" s="119" t="s">
        <v>2409</v>
      </c>
      <c r="C869" s="120" t="s">
        <v>324</v>
      </c>
      <c r="D869" s="441">
        <v>285.88</v>
      </c>
    </row>
    <row r="870" spans="1:4" ht="31.5" customHeight="1">
      <c r="A870" s="120">
        <v>89247</v>
      </c>
      <c r="B870" s="119" t="s">
        <v>2410</v>
      </c>
      <c r="C870" s="120" t="s">
        <v>324</v>
      </c>
      <c r="D870" s="441">
        <v>45.3</v>
      </c>
    </row>
    <row r="871" spans="1:4" ht="31.5" customHeight="1">
      <c r="A871" s="120">
        <v>89248</v>
      </c>
      <c r="B871" s="119" t="s">
        <v>2411</v>
      </c>
      <c r="C871" s="120" t="s">
        <v>324</v>
      </c>
      <c r="D871" s="441">
        <v>509.93</v>
      </c>
    </row>
    <row r="872" spans="1:4" ht="31.5" customHeight="1">
      <c r="A872" s="120">
        <v>89249</v>
      </c>
      <c r="B872" s="119" t="s">
        <v>2412</v>
      </c>
      <c r="C872" s="120" t="s">
        <v>324</v>
      </c>
      <c r="D872" s="441">
        <v>366.42</v>
      </c>
    </row>
    <row r="873" spans="1:4" ht="31.5" customHeight="1">
      <c r="A873" s="120">
        <v>89253</v>
      </c>
      <c r="B873" s="119" t="s">
        <v>2413</v>
      </c>
      <c r="C873" s="120" t="s">
        <v>324</v>
      </c>
      <c r="D873" s="441">
        <v>82.74</v>
      </c>
    </row>
    <row r="874" spans="1:4" ht="31.5" customHeight="1">
      <c r="A874" s="120">
        <v>89254</v>
      </c>
      <c r="B874" s="119" t="s">
        <v>2414</v>
      </c>
      <c r="C874" s="120" t="s">
        <v>324</v>
      </c>
      <c r="D874" s="441">
        <v>14.89</v>
      </c>
    </row>
    <row r="875" spans="1:4" ht="31.5" customHeight="1">
      <c r="A875" s="120">
        <v>89255</v>
      </c>
      <c r="B875" s="119" t="s">
        <v>2415</v>
      </c>
      <c r="C875" s="120" t="s">
        <v>324</v>
      </c>
      <c r="D875" s="441">
        <v>133</v>
      </c>
    </row>
    <row r="876" spans="1:4" ht="31.5" customHeight="1">
      <c r="A876" s="120">
        <v>89256</v>
      </c>
      <c r="B876" s="119" t="s">
        <v>2416</v>
      </c>
      <c r="C876" s="120" t="s">
        <v>324</v>
      </c>
      <c r="D876" s="441">
        <v>82.46</v>
      </c>
    </row>
    <row r="877" spans="1:4" ht="47.25" customHeight="1">
      <c r="A877" s="120">
        <v>89259</v>
      </c>
      <c r="B877" s="119" t="s">
        <v>2417</v>
      </c>
      <c r="C877" s="120" t="s">
        <v>324</v>
      </c>
      <c r="D877" s="441">
        <v>27.54</v>
      </c>
    </row>
    <row r="878" spans="1:4" ht="47.25" customHeight="1">
      <c r="A878" s="120">
        <v>89260</v>
      </c>
      <c r="B878" s="119" t="s">
        <v>2418</v>
      </c>
      <c r="C878" s="120" t="s">
        <v>324</v>
      </c>
      <c r="D878" s="441">
        <v>5.17</v>
      </c>
    </row>
    <row r="879" spans="1:4" ht="47.25" customHeight="1">
      <c r="A879" s="120">
        <v>89262</v>
      </c>
      <c r="B879" s="119" t="s">
        <v>2419</v>
      </c>
      <c r="C879" s="120" t="s">
        <v>324</v>
      </c>
      <c r="D879" s="441">
        <v>46.84</v>
      </c>
    </row>
    <row r="880" spans="1:4" ht="47.25" customHeight="1">
      <c r="A880" s="120">
        <v>89264</v>
      </c>
      <c r="B880" s="119" t="s">
        <v>2420</v>
      </c>
      <c r="C880" s="120" t="s">
        <v>324</v>
      </c>
      <c r="D880" s="441">
        <v>21.94</v>
      </c>
    </row>
    <row r="881" spans="1:4" ht="47.25" customHeight="1">
      <c r="A881" s="120">
        <v>89265</v>
      </c>
      <c r="B881" s="119" t="s">
        <v>2421</v>
      </c>
      <c r="C881" s="120" t="s">
        <v>324</v>
      </c>
      <c r="D881" s="441">
        <v>4.43</v>
      </c>
    </row>
    <row r="882" spans="1:4" ht="47.25" customHeight="1">
      <c r="A882" s="120">
        <v>89266</v>
      </c>
      <c r="B882" s="119" t="s">
        <v>2422</v>
      </c>
      <c r="C882" s="120" t="s">
        <v>324</v>
      </c>
      <c r="D882" s="441">
        <v>3.51</v>
      </c>
    </row>
    <row r="883" spans="1:4" ht="31.5" customHeight="1">
      <c r="A883" s="120">
        <v>89267</v>
      </c>
      <c r="B883" s="119" t="s">
        <v>2423</v>
      </c>
      <c r="C883" s="120" t="s">
        <v>324</v>
      </c>
      <c r="D883" s="441">
        <v>50.32</v>
      </c>
    </row>
    <row r="884" spans="1:4" ht="31.5" customHeight="1">
      <c r="A884" s="120">
        <v>89268</v>
      </c>
      <c r="B884" s="119" t="s">
        <v>2424</v>
      </c>
      <c r="C884" s="120" t="s">
        <v>324</v>
      </c>
      <c r="D884" s="441">
        <v>9.0500000000000007</v>
      </c>
    </row>
    <row r="885" spans="1:4" ht="31.5" customHeight="1">
      <c r="A885" s="120">
        <v>89269</v>
      </c>
      <c r="B885" s="119" t="s">
        <v>2425</v>
      </c>
      <c r="C885" s="120" t="s">
        <v>324</v>
      </c>
      <c r="D885" s="441">
        <v>7.17</v>
      </c>
    </row>
    <row r="886" spans="1:4" ht="31.5" customHeight="1">
      <c r="A886" s="120">
        <v>89270</v>
      </c>
      <c r="B886" s="119" t="s">
        <v>2426</v>
      </c>
      <c r="C886" s="120" t="s">
        <v>324</v>
      </c>
      <c r="D886" s="441">
        <v>80.900000000000006</v>
      </c>
    </row>
    <row r="887" spans="1:4" ht="31.5" customHeight="1">
      <c r="A887" s="120">
        <v>89271</v>
      </c>
      <c r="B887" s="119" t="s">
        <v>2427</v>
      </c>
      <c r="C887" s="120" t="s">
        <v>324</v>
      </c>
      <c r="D887" s="441">
        <v>28.22</v>
      </c>
    </row>
    <row r="888" spans="1:4" ht="31.5" customHeight="1">
      <c r="A888" s="120">
        <v>89274</v>
      </c>
      <c r="B888" s="119" t="s">
        <v>2428</v>
      </c>
      <c r="C888" s="120" t="s">
        <v>324</v>
      </c>
      <c r="D888" s="441">
        <v>1.51</v>
      </c>
    </row>
    <row r="889" spans="1:4" ht="31.5" customHeight="1">
      <c r="A889" s="120">
        <v>89275</v>
      </c>
      <c r="B889" s="119" t="s">
        <v>2429</v>
      </c>
      <c r="C889" s="120" t="s">
        <v>324</v>
      </c>
      <c r="D889" s="441">
        <v>0.17</v>
      </c>
    </row>
    <row r="890" spans="1:4" ht="31.5" customHeight="1">
      <c r="A890" s="120">
        <v>89276</v>
      </c>
      <c r="B890" s="119" t="s">
        <v>2430</v>
      </c>
      <c r="C890" s="120" t="s">
        <v>324</v>
      </c>
      <c r="D890" s="441">
        <v>1.89</v>
      </c>
    </row>
    <row r="891" spans="1:4" ht="31.5" customHeight="1">
      <c r="A891" s="120">
        <v>89277</v>
      </c>
      <c r="B891" s="119" t="s">
        <v>2431</v>
      </c>
      <c r="C891" s="120" t="s">
        <v>324</v>
      </c>
      <c r="D891" s="441">
        <v>8.14</v>
      </c>
    </row>
    <row r="892" spans="1:4" ht="31.5" customHeight="1">
      <c r="A892" s="120">
        <v>89280</v>
      </c>
      <c r="B892" s="119" t="s">
        <v>2432</v>
      </c>
      <c r="C892" s="120" t="s">
        <v>324</v>
      </c>
      <c r="D892" s="441">
        <v>39.78</v>
      </c>
    </row>
    <row r="893" spans="1:4" ht="31.5" customHeight="1">
      <c r="A893" s="120">
        <v>89281</v>
      </c>
      <c r="B893" s="119" t="s">
        <v>2433</v>
      </c>
      <c r="C893" s="120" t="s">
        <v>324</v>
      </c>
      <c r="D893" s="441">
        <v>5.52</v>
      </c>
    </row>
    <row r="894" spans="1:4" ht="31.5" customHeight="1">
      <c r="A894" s="120">
        <v>89870</v>
      </c>
      <c r="B894" s="119" t="s">
        <v>2434</v>
      </c>
      <c r="C894" s="120" t="s">
        <v>324</v>
      </c>
      <c r="D894" s="441">
        <v>41.45</v>
      </c>
    </row>
    <row r="895" spans="1:4" ht="31.5" customHeight="1">
      <c r="A895" s="120">
        <v>89871</v>
      </c>
      <c r="B895" s="119" t="s">
        <v>2435</v>
      </c>
      <c r="C895" s="120" t="s">
        <v>324</v>
      </c>
      <c r="D895" s="441">
        <v>7.23</v>
      </c>
    </row>
    <row r="896" spans="1:4" ht="47.25" customHeight="1">
      <c r="A896" s="120">
        <v>89872</v>
      </c>
      <c r="B896" s="119" t="s">
        <v>2436</v>
      </c>
      <c r="C896" s="120" t="s">
        <v>324</v>
      </c>
      <c r="D896" s="441">
        <v>5.73</v>
      </c>
    </row>
    <row r="897" spans="1:4" ht="31.5" customHeight="1">
      <c r="A897" s="120">
        <v>89873</v>
      </c>
      <c r="B897" s="119" t="s">
        <v>2437</v>
      </c>
      <c r="C897" s="120" t="s">
        <v>324</v>
      </c>
      <c r="D897" s="441">
        <v>69.86</v>
      </c>
    </row>
    <row r="898" spans="1:4" ht="47.25" customHeight="1">
      <c r="A898" s="120">
        <v>89874</v>
      </c>
      <c r="B898" s="119" t="s">
        <v>2438</v>
      </c>
      <c r="C898" s="120" t="s">
        <v>324</v>
      </c>
      <c r="D898" s="441">
        <v>171.51</v>
      </c>
    </row>
    <row r="899" spans="1:4" ht="31.5" customHeight="1">
      <c r="A899" s="120">
        <v>89878</v>
      </c>
      <c r="B899" s="119" t="s">
        <v>2439</v>
      </c>
      <c r="C899" s="120" t="s">
        <v>324</v>
      </c>
      <c r="D899" s="441">
        <v>44.72</v>
      </c>
    </row>
    <row r="900" spans="1:4" ht="31.5" customHeight="1">
      <c r="A900" s="120">
        <v>89879</v>
      </c>
      <c r="B900" s="119" t="s">
        <v>2440</v>
      </c>
      <c r="C900" s="120" t="s">
        <v>324</v>
      </c>
      <c r="D900" s="441">
        <v>7.66</v>
      </c>
    </row>
    <row r="901" spans="1:4" ht="47.25" customHeight="1">
      <c r="A901" s="120">
        <v>89880</v>
      </c>
      <c r="B901" s="119" t="s">
        <v>2441</v>
      </c>
      <c r="C901" s="120" t="s">
        <v>324</v>
      </c>
      <c r="D901" s="441">
        <v>6.07</v>
      </c>
    </row>
    <row r="902" spans="1:4" ht="31.5" customHeight="1">
      <c r="A902" s="120">
        <v>89881</v>
      </c>
      <c r="B902" s="119" t="s">
        <v>2442</v>
      </c>
      <c r="C902" s="120" t="s">
        <v>324</v>
      </c>
      <c r="D902" s="441">
        <v>74.62</v>
      </c>
    </row>
    <row r="903" spans="1:4" ht="47.25" customHeight="1">
      <c r="A903" s="120">
        <v>89882</v>
      </c>
      <c r="B903" s="119" t="s">
        <v>2443</v>
      </c>
      <c r="C903" s="120" t="s">
        <v>324</v>
      </c>
      <c r="D903" s="441">
        <v>197.88</v>
      </c>
    </row>
    <row r="904" spans="1:4" ht="31.5" customHeight="1">
      <c r="A904" s="120">
        <v>90582</v>
      </c>
      <c r="B904" s="119" t="s">
        <v>2444</v>
      </c>
      <c r="C904" s="120" t="s">
        <v>324</v>
      </c>
      <c r="D904" s="441">
        <v>0.45</v>
      </c>
    </row>
    <row r="905" spans="1:4" ht="31.5" customHeight="1">
      <c r="A905" s="120">
        <v>90583</v>
      </c>
      <c r="B905" s="119" t="s">
        <v>2445</v>
      </c>
      <c r="C905" s="120" t="s">
        <v>324</v>
      </c>
      <c r="D905" s="441">
        <v>0.05</v>
      </c>
    </row>
    <row r="906" spans="1:4" ht="31.5" customHeight="1">
      <c r="A906" s="120">
        <v>90584</v>
      </c>
      <c r="B906" s="119" t="s">
        <v>2446</v>
      </c>
      <c r="C906" s="120" t="s">
        <v>324</v>
      </c>
      <c r="D906" s="441">
        <v>0.35</v>
      </c>
    </row>
    <row r="907" spans="1:4" ht="31.5" customHeight="1">
      <c r="A907" s="120">
        <v>90585</v>
      </c>
      <c r="B907" s="119" t="s">
        <v>2447</v>
      </c>
      <c r="C907" s="120" t="s">
        <v>324</v>
      </c>
      <c r="D907" s="441">
        <v>0.33</v>
      </c>
    </row>
    <row r="908" spans="1:4" ht="31.5" customHeight="1">
      <c r="A908" s="120">
        <v>90621</v>
      </c>
      <c r="B908" s="119" t="s">
        <v>2448</v>
      </c>
      <c r="C908" s="120" t="s">
        <v>324</v>
      </c>
      <c r="D908" s="441">
        <v>1.78</v>
      </c>
    </row>
    <row r="909" spans="1:4" ht="31.5" customHeight="1">
      <c r="A909" s="120">
        <v>90622</v>
      </c>
      <c r="B909" s="119" t="s">
        <v>2449</v>
      </c>
      <c r="C909" s="120" t="s">
        <v>324</v>
      </c>
      <c r="D909" s="441">
        <v>0.21</v>
      </c>
    </row>
    <row r="910" spans="1:4" ht="31.5" customHeight="1">
      <c r="A910" s="120">
        <v>90623</v>
      </c>
      <c r="B910" s="119" t="s">
        <v>2450</v>
      </c>
      <c r="C910" s="120" t="s">
        <v>324</v>
      </c>
      <c r="D910" s="441">
        <v>2.23</v>
      </c>
    </row>
    <row r="911" spans="1:4" ht="31.5" customHeight="1">
      <c r="A911" s="120">
        <v>90624</v>
      </c>
      <c r="B911" s="119" t="s">
        <v>2451</v>
      </c>
      <c r="C911" s="120" t="s">
        <v>324</v>
      </c>
      <c r="D911" s="441">
        <v>2</v>
      </c>
    </row>
    <row r="912" spans="1:4" ht="31.5" customHeight="1">
      <c r="A912" s="120">
        <v>90627</v>
      </c>
      <c r="B912" s="119" t="s">
        <v>2452</v>
      </c>
      <c r="C912" s="120" t="s">
        <v>324</v>
      </c>
      <c r="D912" s="441">
        <v>54.65</v>
      </c>
    </row>
    <row r="913" spans="1:4" ht="31.5" customHeight="1">
      <c r="A913" s="120">
        <v>90628</v>
      </c>
      <c r="B913" s="119" t="s">
        <v>2453</v>
      </c>
      <c r="C913" s="120" t="s">
        <v>324</v>
      </c>
      <c r="D913" s="441">
        <v>7.48</v>
      </c>
    </row>
    <row r="914" spans="1:4" ht="31.5" customHeight="1">
      <c r="A914" s="120">
        <v>90629</v>
      </c>
      <c r="B914" s="119" t="s">
        <v>2454</v>
      </c>
      <c r="C914" s="120" t="s">
        <v>324</v>
      </c>
      <c r="D914" s="441">
        <v>68.38</v>
      </c>
    </row>
    <row r="915" spans="1:4" ht="31.5" customHeight="1">
      <c r="A915" s="120">
        <v>90630</v>
      </c>
      <c r="B915" s="119" t="s">
        <v>2455</v>
      </c>
      <c r="C915" s="120" t="s">
        <v>324</v>
      </c>
      <c r="D915" s="441">
        <v>0.95</v>
      </c>
    </row>
    <row r="916" spans="1:4" ht="31.5" customHeight="1">
      <c r="A916" s="120">
        <v>90633</v>
      </c>
      <c r="B916" s="119" t="s">
        <v>2456</v>
      </c>
      <c r="C916" s="120" t="s">
        <v>324</v>
      </c>
      <c r="D916" s="441">
        <v>3.84</v>
      </c>
    </row>
    <row r="917" spans="1:4" ht="31.5" customHeight="1">
      <c r="A917" s="120">
        <v>90634</v>
      </c>
      <c r="B917" s="119" t="s">
        <v>2457</v>
      </c>
      <c r="C917" s="120" t="s">
        <v>324</v>
      </c>
      <c r="D917" s="441">
        <v>0.45</v>
      </c>
    </row>
    <row r="918" spans="1:4" ht="31.5" customHeight="1">
      <c r="A918" s="120">
        <v>90635</v>
      </c>
      <c r="B918" s="119" t="s">
        <v>2458</v>
      </c>
      <c r="C918" s="120" t="s">
        <v>324</v>
      </c>
      <c r="D918" s="441">
        <v>4.2</v>
      </c>
    </row>
    <row r="919" spans="1:4" ht="47.25" customHeight="1">
      <c r="A919" s="120">
        <v>90636</v>
      </c>
      <c r="B919" s="119" t="s">
        <v>2459</v>
      </c>
      <c r="C919" s="120" t="s">
        <v>324</v>
      </c>
      <c r="D919" s="441">
        <v>4</v>
      </c>
    </row>
    <row r="920" spans="1:4" ht="31.5" customHeight="1">
      <c r="A920" s="120">
        <v>90639</v>
      </c>
      <c r="B920" s="119" t="s">
        <v>2460</v>
      </c>
      <c r="C920" s="120" t="s">
        <v>324</v>
      </c>
      <c r="D920" s="441">
        <v>5.73</v>
      </c>
    </row>
    <row r="921" spans="1:4" ht="31.5" customHeight="1">
      <c r="A921" s="120">
        <v>90640</v>
      </c>
      <c r="B921" s="119" t="s">
        <v>2461</v>
      </c>
      <c r="C921" s="120" t="s">
        <v>324</v>
      </c>
      <c r="D921" s="441">
        <v>0.68</v>
      </c>
    </row>
    <row r="922" spans="1:4" ht="31.5" customHeight="1">
      <c r="A922" s="120">
        <v>90641</v>
      </c>
      <c r="B922" s="119" t="s">
        <v>2462</v>
      </c>
      <c r="C922" s="120" t="s">
        <v>324</v>
      </c>
      <c r="D922" s="441">
        <v>6.27</v>
      </c>
    </row>
    <row r="923" spans="1:4" ht="31.5" customHeight="1">
      <c r="A923" s="120">
        <v>90642</v>
      </c>
      <c r="B923" s="119" t="s">
        <v>2463</v>
      </c>
      <c r="C923" s="120" t="s">
        <v>324</v>
      </c>
      <c r="D923" s="441">
        <v>12.22</v>
      </c>
    </row>
    <row r="924" spans="1:4" ht="31.5" customHeight="1">
      <c r="A924" s="120">
        <v>90646</v>
      </c>
      <c r="B924" s="119" t="s">
        <v>2464</v>
      </c>
      <c r="C924" s="120" t="s">
        <v>324</v>
      </c>
      <c r="D924" s="441">
        <v>0.81</v>
      </c>
    </row>
    <row r="925" spans="1:4" ht="31.5" customHeight="1">
      <c r="A925" s="120">
        <v>90647</v>
      </c>
      <c r="B925" s="119" t="s">
        <v>2465</v>
      </c>
      <c r="C925" s="120" t="s">
        <v>324</v>
      </c>
      <c r="D925" s="441">
        <v>0.09</v>
      </c>
    </row>
    <row r="926" spans="1:4" ht="31.5" customHeight="1">
      <c r="A926" s="120">
        <v>90648</v>
      </c>
      <c r="B926" s="119" t="s">
        <v>2466</v>
      </c>
      <c r="C926" s="120" t="s">
        <v>324</v>
      </c>
      <c r="D926" s="441">
        <v>0.89</v>
      </c>
    </row>
    <row r="927" spans="1:4" ht="31.5" customHeight="1">
      <c r="A927" s="120">
        <v>90649</v>
      </c>
      <c r="B927" s="119" t="s">
        <v>2467</v>
      </c>
      <c r="C927" s="120" t="s">
        <v>324</v>
      </c>
      <c r="D927" s="441">
        <v>6.18</v>
      </c>
    </row>
    <row r="928" spans="1:4" ht="15.75" customHeight="1">
      <c r="A928" s="120">
        <v>90652</v>
      </c>
      <c r="B928" s="119" t="s">
        <v>2468</v>
      </c>
      <c r="C928" s="120" t="s">
        <v>324</v>
      </c>
      <c r="D928" s="441">
        <v>3.73</v>
      </c>
    </row>
    <row r="929" spans="1:4" ht="15.75" customHeight="1">
      <c r="A929" s="120">
        <v>90653</v>
      </c>
      <c r="B929" s="119" t="s">
        <v>2469</v>
      </c>
      <c r="C929" s="120" t="s">
        <v>324</v>
      </c>
      <c r="D929" s="441">
        <v>0.44</v>
      </c>
    </row>
    <row r="930" spans="1:4" ht="15.75" customHeight="1">
      <c r="A930" s="120">
        <v>90654</v>
      </c>
      <c r="B930" s="119" t="s">
        <v>2470</v>
      </c>
      <c r="C930" s="120" t="s">
        <v>324</v>
      </c>
      <c r="D930" s="441">
        <v>4.08</v>
      </c>
    </row>
    <row r="931" spans="1:4" ht="31.5" customHeight="1">
      <c r="A931" s="120">
        <v>90655</v>
      </c>
      <c r="B931" s="119" t="s">
        <v>2471</v>
      </c>
      <c r="C931" s="120" t="s">
        <v>324</v>
      </c>
      <c r="D931" s="441">
        <v>4.0599999999999996</v>
      </c>
    </row>
    <row r="932" spans="1:4" ht="15.75" customHeight="1">
      <c r="A932" s="120">
        <v>90658</v>
      </c>
      <c r="B932" s="119" t="s">
        <v>2472</v>
      </c>
      <c r="C932" s="120" t="s">
        <v>324</v>
      </c>
      <c r="D932" s="441">
        <v>3.99</v>
      </c>
    </row>
    <row r="933" spans="1:4" ht="15.75" customHeight="1">
      <c r="A933" s="120">
        <v>90659</v>
      </c>
      <c r="B933" s="119" t="s">
        <v>2473</v>
      </c>
      <c r="C933" s="120" t="s">
        <v>324</v>
      </c>
      <c r="D933" s="441">
        <v>0.47</v>
      </c>
    </row>
    <row r="934" spans="1:4" ht="15.75" customHeight="1">
      <c r="A934" s="120">
        <v>90660</v>
      </c>
      <c r="B934" s="119" t="s">
        <v>2474</v>
      </c>
      <c r="C934" s="120" t="s">
        <v>324</v>
      </c>
      <c r="D934" s="441">
        <v>4.37</v>
      </c>
    </row>
    <row r="935" spans="1:4" ht="31.5" customHeight="1">
      <c r="A935" s="120">
        <v>90661</v>
      </c>
      <c r="B935" s="119" t="s">
        <v>2475</v>
      </c>
      <c r="C935" s="120" t="s">
        <v>324</v>
      </c>
      <c r="D935" s="441">
        <v>4.0599999999999996</v>
      </c>
    </row>
    <row r="936" spans="1:4" ht="47.25" customHeight="1">
      <c r="A936" s="120">
        <v>90664</v>
      </c>
      <c r="B936" s="119" t="s">
        <v>2476</v>
      </c>
      <c r="C936" s="120" t="s">
        <v>324</v>
      </c>
      <c r="D936" s="441">
        <v>6.82</v>
      </c>
    </row>
    <row r="937" spans="1:4" ht="47.25" customHeight="1">
      <c r="A937" s="120">
        <v>90665</v>
      </c>
      <c r="B937" s="119" t="s">
        <v>2477</v>
      </c>
      <c r="C937" s="120" t="s">
        <v>324</v>
      </c>
      <c r="D937" s="441">
        <v>0.94</v>
      </c>
    </row>
    <row r="938" spans="1:4" ht="47.25" customHeight="1">
      <c r="A938" s="120">
        <v>90666</v>
      </c>
      <c r="B938" s="119" t="s">
        <v>2478</v>
      </c>
      <c r="C938" s="120" t="s">
        <v>324</v>
      </c>
      <c r="D938" s="441">
        <v>8.51</v>
      </c>
    </row>
    <row r="939" spans="1:4" ht="47.25" customHeight="1">
      <c r="A939" s="120">
        <v>90667</v>
      </c>
      <c r="B939" s="119" t="s">
        <v>2479</v>
      </c>
      <c r="C939" s="120" t="s">
        <v>324</v>
      </c>
      <c r="D939" s="441">
        <v>14.55</v>
      </c>
    </row>
    <row r="940" spans="1:4" ht="47.25" customHeight="1">
      <c r="A940" s="120">
        <v>90670</v>
      </c>
      <c r="B940" s="119" t="s">
        <v>2480</v>
      </c>
      <c r="C940" s="120" t="s">
        <v>324</v>
      </c>
      <c r="D940" s="441">
        <v>250.8</v>
      </c>
    </row>
    <row r="941" spans="1:4" ht="47.25" customHeight="1">
      <c r="A941" s="120">
        <v>90671</v>
      </c>
      <c r="B941" s="119" t="s">
        <v>2481</v>
      </c>
      <c r="C941" s="120" t="s">
        <v>324</v>
      </c>
      <c r="D941" s="441">
        <v>34.82</v>
      </c>
    </row>
    <row r="942" spans="1:4" ht="47.25" customHeight="1">
      <c r="A942" s="120">
        <v>90672</v>
      </c>
      <c r="B942" s="119" t="s">
        <v>2482</v>
      </c>
      <c r="C942" s="120" t="s">
        <v>324</v>
      </c>
      <c r="D942" s="441">
        <v>313.85000000000002</v>
      </c>
    </row>
    <row r="943" spans="1:4" ht="47.25" customHeight="1">
      <c r="A943" s="120">
        <v>90673</v>
      </c>
      <c r="B943" s="119" t="s">
        <v>2483</v>
      </c>
      <c r="C943" s="120" t="s">
        <v>324</v>
      </c>
      <c r="D943" s="441">
        <v>116.34</v>
      </c>
    </row>
    <row r="944" spans="1:4" ht="47.25" customHeight="1">
      <c r="A944" s="120">
        <v>90676</v>
      </c>
      <c r="B944" s="119" t="s">
        <v>2484</v>
      </c>
      <c r="C944" s="120" t="s">
        <v>324</v>
      </c>
      <c r="D944" s="441">
        <v>119.13</v>
      </c>
    </row>
    <row r="945" spans="1:4" ht="47.25" customHeight="1">
      <c r="A945" s="120">
        <v>90677</v>
      </c>
      <c r="B945" s="119" t="s">
        <v>2485</v>
      </c>
      <c r="C945" s="120" t="s">
        <v>324</v>
      </c>
      <c r="D945" s="441">
        <v>18.23</v>
      </c>
    </row>
    <row r="946" spans="1:4" ht="47.25" customHeight="1">
      <c r="A946" s="120">
        <v>90678</v>
      </c>
      <c r="B946" s="119" t="s">
        <v>2486</v>
      </c>
      <c r="C946" s="120" t="s">
        <v>324</v>
      </c>
      <c r="D946" s="441">
        <v>163.9</v>
      </c>
    </row>
    <row r="947" spans="1:4" ht="47.25" customHeight="1">
      <c r="A947" s="120">
        <v>90679</v>
      </c>
      <c r="B947" s="119" t="s">
        <v>2487</v>
      </c>
      <c r="C947" s="120" t="s">
        <v>324</v>
      </c>
      <c r="D947" s="441">
        <v>89.22</v>
      </c>
    </row>
    <row r="948" spans="1:4" ht="31.5" customHeight="1">
      <c r="A948" s="120">
        <v>90682</v>
      </c>
      <c r="B948" s="119" t="s">
        <v>2488</v>
      </c>
      <c r="C948" s="120" t="s">
        <v>324</v>
      </c>
      <c r="D948" s="441">
        <v>26.72</v>
      </c>
    </row>
    <row r="949" spans="1:4" ht="31.5" customHeight="1">
      <c r="A949" s="120">
        <v>90683</v>
      </c>
      <c r="B949" s="119" t="s">
        <v>2489</v>
      </c>
      <c r="C949" s="120" t="s">
        <v>324</v>
      </c>
      <c r="D949" s="441">
        <v>3.17</v>
      </c>
    </row>
    <row r="950" spans="1:4" ht="31.5" customHeight="1">
      <c r="A950" s="120">
        <v>90684</v>
      </c>
      <c r="B950" s="119" t="s">
        <v>2490</v>
      </c>
      <c r="C950" s="120" t="s">
        <v>324</v>
      </c>
      <c r="D950" s="441">
        <v>29.22</v>
      </c>
    </row>
    <row r="951" spans="1:4" ht="31.5" customHeight="1">
      <c r="A951" s="120">
        <v>90685</v>
      </c>
      <c r="B951" s="119" t="s">
        <v>2491</v>
      </c>
      <c r="C951" s="120" t="s">
        <v>324</v>
      </c>
      <c r="D951" s="441">
        <v>55.34</v>
      </c>
    </row>
    <row r="952" spans="1:4" ht="31.5" customHeight="1">
      <c r="A952" s="120">
        <v>90688</v>
      </c>
      <c r="B952" s="119" t="s">
        <v>2492</v>
      </c>
      <c r="C952" s="120" t="s">
        <v>324</v>
      </c>
      <c r="D952" s="441">
        <v>22</v>
      </c>
    </row>
    <row r="953" spans="1:4" ht="31.5" customHeight="1">
      <c r="A953" s="120">
        <v>90689</v>
      </c>
      <c r="B953" s="119" t="s">
        <v>2493</v>
      </c>
      <c r="C953" s="120" t="s">
        <v>324</v>
      </c>
      <c r="D953" s="441">
        <v>2.2200000000000002</v>
      </c>
    </row>
    <row r="954" spans="1:4" ht="31.5" customHeight="1">
      <c r="A954" s="120">
        <v>90690</v>
      </c>
      <c r="B954" s="119" t="s">
        <v>2494</v>
      </c>
      <c r="C954" s="120" t="s">
        <v>324</v>
      </c>
      <c r="D954" s="441">
        <v>27.5</v>
      </c>
    </row>
    <row r="955" spans="1:4" ht="31.5" customHeight="1">
      <c r="A955" s="120">
        <v>90691</v>
      </c>
      <c r="B955" s="119" t="s">
        <v>2495</v>
      </c>
      <c r="C955" s="120" t="s">
        <v>324</v>
      </c>
      <c r="D955" s="441">
        <v>38.76</v>
      </c>
    </row>
    <row r="956" spans="1:4" ht="31.5" customHeight="1">
      <c r="A956" s="120">
        <v>90957</v>
      </c>
      <c r="B956" s="119" t="s">
        <v>2496</v>
      </c>
      <c r="C956" s="120" t="s">
        <v>324</v>
      </c>
      <c r="D956" s="441">
        <v>5.07</v>
      </c>
    </row>
    <row r="957" spans="1:4" ht="31.5" customHeight="1">
      <c r="A957" s="120">
        <v>90958</v>
      </c>
      <c r="B957" s="119" t="s">
        <v>2497</v>
      </c>
      <c r="C957" s="120" t="s">
        <v>324</v>
      </c>
      <c r="D957" s="441">
        <v>0.7</v>
      </c>
    </row>
    <row r="958" spans="1:4" ht="31.5" customHeight="1">
      <c r="A958" s="120">
        <v>90960</v>
      </c>
      <c r="B958" s="119" t="s">
        <v>2498</v>
      </c>
      <c r="C958" s="120" t="s">
        <v>324</v>
      </c>
      <c r="D958" s="441">
        <v>6.78</v>
      </c>
    </row>
    <row r="959" spans="1:4" ht="31.5" customHeight="1">
      <c r="A959" s="120">
        <v>90961</v>
      </c>
      <c r="B959" s="119" t="s">
        <v>2499</v>
      </c>
      <c r="C959" s="120" t="s">
        <v>324</v>
      </c>
      <c r="D959" s="441">
        <v>0.94</v>
      </c>
    </row>
    <row r="960" spans="1:4" ht="31.5" customHeight="1">
      <c r="A960" s="120">
        <v>90962</v>
      </c>
      <c r="B960" s="119" t="s">
        <v>2500</v>
      </c>
      <c r="C960" s="120" t="s">
        <v>324</v>
      </c>
      <c r="D960" s="441">
        <v>8.48</v>
      </c>
    </row>
    <row r="961" spans="1:4" ht="31.5" customHeight="1">
      <c r="A961" s="120">
        <v>90963</v>
      </c>
      <c r="B961" s="119" t="s">
        <v>2501</v>
      </c>
      <c r="C961" s="120" t="s">
        <v>324</v>
      </c>
      <c r="D961" s="441">
        <v>14.55</v>
      </c>
    </row>
    <row r="962" spans="1:4" ht="31.5" customHeight="1">
      <c r="A962" s="120">
        <v>90968</v>
      </c>
      <c r="B962" s="119" t="s">
        <v>2502</v>
      </c>
      <c r="C962" s="120" t="s">
        <v>324</v>
      </c>
      <c r="D962" s="441">
        <v>6.8</v>
      </c>
    </row>
    <row r="963" spans="1:4" ht="31.5" customHeight="1">
      <c r="A963" s="120">
        <v>90969</v>
      </c>
      <c r="B963" s="119" t="s">
        <v>2503</v>
      </c>
      <c r="C963" s="120" t="s">
        <v>324</v>
      </c>
      <c r="D963" s="441">
        <v>0.94</v>
      </c>
    </row>
    <row r="964" spans="1:4" ht="31.5" customHeight="1">
      <c r="A964" s="120">
        <v>90970</v>
      </c>
      <c r="B964" s="119" t="s">
        <v>2504</v>
      </c>
      <c r="C964" s="120" t="s">
        <v>324</v>
      </c>
      <c r="D964" s="441">
        <v>8.5</v>
      </c>
    </row>
    <row r="965" spans="1:4" ht="31.5" customHeight="1">
      <c r="A965" s="120">
        <v>90971</v>
      </c>
      <c r="B965" s="119" t="s">
        <v>2505</v>
      </c>
      <c r="C965" s="120" t="s">
        <v>324</v>
      </c>
      <c r="D965" s="441">
        <v>58.95</v>
      </c>
    </row>
    <row r="966" spans="1:4" ht="31.5" customHeight="1">
      <c r="A966" s="120">
        <v>90975</v>
      </c>
      <c r="B966" s="119" t="s">
        <v>2506</v>
      </c>
      <c r="C966" s="120" t="s">
        <v>324</v>
      </c>
      <c r="D966" s="441">
        <v>17.260000000000002</v>
      </c>
    </row>
    <row r="967" spans="1:4" ht="31.5" customHeight="1">
      <c r="A967" s="120">
        <v>90976</v>
      </c>
      <c r="B967" s="119" t="s">
        <v>2507</v>
      </c>
      <c r="C967" s="120" t="s">
        <v>324</v>
      </c>
      <c r="D967" s="441">
        <v>2.39</v>
      </c>
    </row>
    <row r="968" spans="1:4" ht="31.5" customHeight="1">
      <c r="A968" s="120">
        <v>90977</v>
      </c>
      <c r="B968" s="119" t="s">
        <v>2508</v>
      </c>
      <c r="C968" s="120" t="s">
        <v>324</v>
      </c>
      <c r="D968" s="441">
        <v>21.6</v>
      </c>
    </row>
    <row r="969" spans="1:4" ht="31.5" customHeight="1">
      <c r="A969" s="120">
        <v>90978</v>
      </c>
      <c r="B969" s="119" t="s">
        <v>2509</v>
      </c>
      <c r="C969" s="120" t="s">
        <v>324</v>
      </c>
      <c r="D969" s="441">
        <v>152.94</v>
      </c>
    </row>
    <row r="970" spans="1:4" ht="31.5" customHeight="1">
      <c r="A970" s="120">
        <v>90992</v>
      </c>
      <c r="B970" s="119" t="s">
        <v>2510</v>
      </c>
      <c r="C970" s="120" t="s">
        <v>324</v>
      </c>
      <c r="D970" s="441">
        <v>8.06</v>
      </c>
    </row>
    <row r="971" spans="1:4" ht="31.5" customHeight="1">
      <c r="A971" s="120">
        <v>90993</v>
      </c>
      <c r="B971" s="119" t="s">
        <v>2511</v>
      </c>
      <c r="C971" s="120" t="s">
        <v>324</v>
      </c>
      <c r="D971" s="441">
        <v>1.1100000000000001</v>
      </c>
    </row>
    <row r="972" spans="1:4" ht="31.5" customHeight="1">
      <c r="A972" s="120">
        <v>90994</v>
      </c>
      <c r="B972" s="119" t="s">
        <v>2512</v>
      </c>
      <c r="C972" s="120" t="s">
        <v>324</v>
      </c>
      <c r="D972" s="441">
        <v>10.09</v>
      </c>
    </row>
    <row r="973" spans="1:4" ht="31.5" customHeight="1">
      <c r="A973" s="120">
        <v>90995</v>
      </c>
      <c r="B973" s="119" t="s">
        <v>2513</v>
      </c>
      <c r="C973" s="120" t="s">
        <v>324</v>
      </c>
      <c r="D973" s="441">
        <v>80.08</v>
      </c>
    </row>
    <row r="974" spans="1:4" ht="47.25" customHeight="1">
      <c r="A974" s="120">
        <v>91021</v>
      </c>
      <c r="B974" s="119" t="s">
        <v>2514</v>
      </c>
      <c r="C974" s="120" t="s">
        <v>324</v>
      </c>
      <c r="D974" s="441">
        <v>14.32</v>
      </c>
    </row>
    <row r="975" spans="1:4" ht="31.5" customHeight="1">
      <c r="A975" s="120">
        <v>91026</v>
      </c>
      <c r="B975" s="119" t="s">
        <v>2515</v>
      </c>
      <c r="C975" s="120" t="s">
        <v>324</v>
      </c>
      <c r="D975" s="441">
        <v>25.68</v>
      </c>
    </row>
    <row r="976" spans="1:4" ht="31.5" customHeight="1">
      <c r="A976" s="120">
        <v>91027</v>
      </c>
      <c r="B976" s="119" t="s">
        <v>2516</v>
      </c>
      <c r="C976" s="120" t="s">
        <v>324</v>
      </c>
      <c r="D976" s="441">
        <v>5.23</v>
      </c>
    </row>
    <row r="977" spans="1:4" ht="31.5" customHeight="1">
      <c r="A977" s="120">
        <v>91028</v>
      </c>
      <c r="B977" s="119" t="s">
        <v>2517</v>
      </c>
      <c r="C977" s="120" t="s">
        <v>324</v>
      </c>
      <c r="D977" s="441">
        <v>4.1399999999999997</v>
      </c>
    </row>
    <row r="978" spans="1:4" ht="31.5" customHeight="1">
      <c r="A978" s="120">
        <v>91029</v>
      </c>
      <c r="B978" s="119" t="s">
        <v>2518</v>
      </c>
      <c r="C978" s="120" t="s">
        <v>324</v>
      </c>
      <c r="D978" s="441">
        <v>46.94</v>
      </c>
    </row>
    <row r="979" spans="1:4" ht="31.5" customHeight="1">
      <c r="A979" s="120">
        <v>91030</v>
      </c>
      <c r="B979" s="119" t="s">
        <v>2519</v>
      </c>
      <c r="C979" s="120" t="s">
        <v>324</v>
      </c>
      <c r="D979" s="441">
        <v>142.69999999999999</v>
      </c>
    </row>
    <row r="980" spans="1:4" ht="31.5" customHeight="1">
      <c r="A980" s="120">
        <v>91273</v>
      </c>
      <c r="B980" s="119" t="s">
        <v>2520</v>
      </c>
      <c r="C980" s="120" t="s">
        <v>324</v>
      </c>
      <c r="D980" s="441">
        <v>0.5</v>
      </c>
    </row>
    <row r="981" spans="1:4" ht="31.5" customHeight="1">
      <c r="A981" s="120">
        <v>91274</v>
      </c>
      <c r="B981" s="119" t="s">
        <v>2521</v>
      </c>
      <c r="C981" s="120" t="s">
        <v>324</v>
      </c>
      <c r="D981" s="441">
        <v>7.0000000000000007E-2</v>
      </c>
    </row>
    <row r="982" spans="1:4" ht="31.5" customHeight="1">
      <c r="A982" s="120">
        <v>91275</v>
      </c>
      <c r="B982" s="119" t="s">
        <v>2522</v>
      </c>
      <c r="C982" s="120" t="s">
        <v>324</v>
      </c>
      <c r="D982" s="441">
        <v>0.63</v>
      </c>
    </row>
    <row r="983" spans="1:4" ht="31.5" customHeight="1">
      <c r="A983" s="120">
        <v>91276</v>
      </c>
      <c r="B983" s="119" t="s">
        <v>2523</v>
      </c>
      <c r="C983" s="120" t="s">
        <v>324</v>
      </c>
      <c r="D983" s="441">
        <v>7.68</v>
      </c>
    </row>
    <row r="984" spans="1:4" ht="47.25" customHeight="1">
      <c r="A984" s="120">
        <v>91279</v>
      </c>
      <c r="B984" s="119" t="s">
        <v>2524</v>
      </c>
      <c r="C984" s="120" t="s">
        <v>324</v>
      </c>
      <c r="D984" s="441">
        <v>0.74</v>
      </c>
    </row>
    <row r="985" spans="1:4" ht="31.5" customHeight="1">
      <c r="A985" s="120">
        <v>91280</v>
      </c>
      <c r="B985" s="119" t="s">
        <v>2525</v>
      </c>
      <c r="C985" s="120" t="s">
        <v>324</v>
      </c>
      <c r="D985" s="441">
        <v>0.08</v>
      </c>
    </row>
    <row r="986" spans="1:4" ht="47.25" customHeight="1">
      <c r="A986" s="120">
        <v>91281</v>
      </c>
      <c r="B986" s="119" t="s">
        <v>2526</v>
      </c>
      <c r="C986" s="120" t="s">
        <v>324</v>
      </c>
      <c r="D986" s="441">
        <v>0.93</v>
      </c>
    </row>
    <row r="987" spans="1:4" ht="47.25" customHeight="1">
      <c r="A987" s="120">
        <v>91282</v>
      </c>
      <c r="B987" s="119" t="s">
        <v>2527</v>
      </c>
      <c r="C987" s="120" t="s">
        <v>324</v>
      </c>
      <c r="D987" s="441">
        <v>7.74</v>
      </c>
    </row>
    <row r="988" spans="1:4" ht="31.5" customHeight="1">
      <c r="A988" s="120">
        <v>91354</v>
      </c>
      <c r="B988" s="119" t="s">
        <v>2528</v>
      </c>
      <c r="C988" s="120" t="s">
        <v>324</v>
      </c>
      <c r="D988" s="441">
        <v>18.079999999999998</v>
      </c>
    </row>
    <row r="989" spans="1:4" ht="31.5" customHeight="1">
      <c r="A989" s="120">
        <v>91355</v>
      </c>
      <c r="B989" s="119" t="s">
        <v>2529</v>
      </c>
      <c r="C989" s="120" t="s">
        <v>324</v>
      </c>
      <c r="D989" s="441">
        <v>3.79</v>
      </c>
    </row>
    <row r="990" spans="1:4" ht="31.5" customHeight="1">
      <c r="A990" s="120">
        <v>91356</v>
      </c>
      <c r="B990" s="119" t="s">
        <v>2530</v>
      </c>
      <c r="C990" s="120" t="s">
        <v>324</v>
      </c>
      <c r="D990" s="441">
        <v>3</v>
      </c>
    </row>
    <row r="991" spans="1:4" ht="31.5" customHeight="1">
      <c r="A991" s="120">
        <v>91359</v>
      </c>
      <c r="B991" s="119" t="s">
        <v>2531</v>
      </c>
      <c r="C991" s="120" t="s">
        <v>324</v>
      </c>
      <c r="D991" s="441">
        <v>21.3</v>
      </c>
    </row>
    <row r="992" spans="1:4" ht="31.5" customHeight="1">
      <c r="A992" s="120">
        <v>91360</v>
      </c>
      <c r="B992" s="119" t="s">
        <v>2532</v>
      </c>
      <c r="C992" s="120" t="s">
        <v>324</v>
      </c>
      <c r="D992" s="441">
        <v>4.17</v>
      </c>
    </row>
    <row r="993" spans="1:4" ht="31.5" customHeight="1">
      <c r="A993" s="120">
        <v>91361</v>
      </c>
      <c r="B993" s="119" t="s">
        <v>2533</v>
      </c>
      <c r="C993" s="120" t="s">
        <v>324</v>
      </c>
      <c r="D993" s="441">
        <v>3.3</v>
      </c>
    </row>
    <row r="994" spans="1:4" ht="31.5" customHeight="1">
      <c r="A994" s="120">
        <v>91367</v>
      </c>
      <c r="B994" s="119" t="s">
        <v>2534</v>
      </c>
      <c r="C994" s="120" t="s">
        <v>324</v>
      </c>
      <c r="D994" s="441">
        <v>23.37</v>
      </c>
    </row>
    <row r="995" spans="1:4" ht="31.5" customHeight="1">
      <c r="A995" s="120">
        <v>91368</v>
      </c>
      <c r="B995" s="119" t="s">
        <v>2535</v>
      </c>
      <c r="C995" s="120" t="s">
        <v>324</v>
      </c>
      <c r="D995" s="441">
        <v>4.53</v>
      </c>
    </row>
    <row r="996" spans="1:4" ht="31.5" customHeight="1">
      <c r="A996" s="120">
        <v>91369</v>
      </c>
      <c r="B996" s="119" t="s">
        <v>2536</v>
      </c>
      <c r="C996" s="120" t="s">
        <v>324</v>
      </c>
      <c r="D996" s="441">
        <v>3.58</v>
      </c>
    </row>
    <row r="997" spans="1:4" ht="31.5" customHeight="1">
      <c r="A997" s="120">
        <v>91375</v>
      </c>
      <c r="B997" s="119" t="s">
        <v>2537</v>
      </c>
      <c r="C997" s="120" t="s">
        <v>324</v>
      </c>
      <c r="D997" s="441">
        <v>19.850000000000001</v>
      </c>
    </row>
    <row r="998" spans="1:4" ht="31.5" customHeight="1">
      <c r="A998" s="120">
        <v>91376</v>
      </c>
      <c r="B998" s="119" t="s">
        <v>2538</v>
      </c>
      <c r="C998" s="120" t="s">
        <v>324</v>
      </c>
      <c r="D998" s="441">
        <v>4.16</v>
      </c>
    </row>
    <row r="999" spans="1:4" ht="31.5" customHeight="1">
      <c r="A999" s="120">
        <v>91377</v>
      </c>
      <c r="B999" s="119" t="s">
        <v>2539</v>
      </c>
      <c r="C999" s="120" t="s">
        <v>324</v>
      </c>
      <c r="D999" s="441">
        <v>3.29</v>
      </c>
    </row>
    <row r="1000" spans="1:4" ht="47.25" customHeight="1">
      <c r="A1000" s="120">
        <v>91380</v>
      </c>
      <c r="B1000" s="119" t="s">
        <v>2540</v>
      </c>
      <c r="C1000" s="120" t="s">
        <v>324</v>
      </c>
      <c r="D1000" s="441">
        <v>30.77</v>
      </c>
    </row>
    <row r="1001" spans="1:4" ht="31.5" customHeight="1">
      <c r="A1001" s="120">
        <v>91381</v>
      </c>
      <c r="B1001" s="119" t="s">
        <v>2541</v>
      </c>
      <c r="C1001" s="120" t="s">
        <v>324</v>
      </c>
      <c r="D1001" s="441">
        <v>5.96</v>
      </c>
    </row>
    <row r="1002" spans="1:4" ht="47.25" customHeight="1">
      <c r="A1002" s="120">
        <v>91382</v>
      </c>
      <c r="B1002" s="119" t="s">
        <v>2542</v>
      </c>
      <c r="C1002" s="120" t="s">
        <v>324</v>
      </c>
      <c r="D1002" s="441">
        <v>4.71</v>
      </c>
    </row>
    <row r="1003" spans="1:4" ht="47.25" customHeight="1">
      <c r="A1003" s="120">
        <v>91383</v>
      </c>
      <c r="B1003" s="119" t="s">
        <v>2543</v>
      </c>
      <c r="C1003" s="120" t="s">
        <v>324</v>
      </c>
      <c r="D1003" s="441">
        <v>55.03</v>
      </c>
    </row>
    <row r="1004" spans="1:4" ht="47.25" customHeight="1">
      <c r="A1004" s="120">
        <v>91384</v>
      </c>
      <c r="B1004" s="119" t="s">
        <v>2544</v>
      </c>
      <c r="C1004" s="120" t="s">
        <v>324</v>
      </c>
      <c r="D1004" s="441">
        <v>137.93</v>
      </c>
    </row>
    <row r="1005" spans="1:4" ht="47.25" customHeight="1">
      <c r="A1005" s="120">
        <v>91390</v>
      </c>
      <c r="B1005" s="119" t="s">
        <v>2545</v>
      </c>
      <c r="C1005" s="120" t="s">
        <v>324</v>
      </c>
      <c r="D1005" s="441">
        <v>20.03</v>
      </c>
    </row>
    <row r="1006" spans="1:4" ht="47.25" customHeight="1">
      <c r="A1006" s="120">
        <v>91391</v>
      </c>
      <c r="B1006" s="119" t="s">
        <v>2546</v>
      </c>
      <c r="C1006" s="120" t="s">
        <v>324</v>
      </c>
      <c r="D1006" s="441">
        <v>4.04</v>
      </c>
    </row>
    <row r="1007" spans="1:4" ht="47.25" customHeight="1">
      <c r="A1007" s="120">
        <v>91392</v>
      </c>
      <c r="B1007" s="119" t="s">
        <v>2547</v>
      </c>
      <c r="C1007" s="120" t="s">
        <v>324</v>
      </c>
      <c r="D1007" s="441">
        <v>3.2</v>
      </c>
    </row>
    <row r="1008" spans="1:4" ht="47.25" customHeight="1">
      <c r="A1008" s="120">
        <v>91396</v>
      </c>
      <c r="B1008" s="119" t="s">
        <v>2548</v>
      </c>
      <c r="C1008" s="120" t="s">
        <v>324</v>
      </c>
      <c r="D1008" s="441">
        <v>29.59</v>
      </c>
    </row>
    <row r="1009" spans="1:4" ht="47.25" customHeight="1">
      <c r="A1009" s="120">
        <v>91397</v>
      </c>
      <c r="B1009" s="119" t="s">
        <v>2549</v>
      </c>
      <c r="C1009" s="120" t="s">
        <v>324</v>
      </c>
      <c r="D1009" s="441">
        <v>5.85</v>
      </c>
    </row>
    <row r="1010" spans="1:4" ht="47.25" customHeight="1">
      <c r="A1010" s="120">
        <v>91398</v>
      </c>
      <c r="B1010" s="119" t="s">
        <v>2550</v>
      </c>
      <c r="C1010" s="120" t="s">
        <v>324</v>
      </c>
      <c r="D1010" s="441">
        <v>4.63</v>
      </c>
    </row>
    <row r="1011" spans="1:4" ht="31.5" customHeight="1">
      <c r="A1011" s="120">
        <v>91402</v>
      </c>
      <c r="B1011" s="119" t="s">
        <v>2551</v>
      </c>
      <c r="C1011" s="120" t="s">
        <v>324</v>
      </c>
      <c r="D1011" s="441">
        <v>3.71</v>
      </c>
    </row>
    <row r="1012" spans="1:4" ht="47.25" customHeight="1">
      <c r="A1012" s="120">
        <v>91466</v>
      </c>
      <c r="B1012" s="119" t="s">
        <v>2552</v>
      </c>
      <c r="C1012" s="120" t="s">
        <v>324</v>
      </c>
      <c r="D1012" s="441">
        <v>4.09</v>
      </c>
    </row>
    <row r="1013" spans="1:4" ht="47.25" customHeight="1">
      <c r="A1013" s="120">
        <v>91467</v>
      </c>
      <c r="B1013" s="119" t="s">
        <v>2553</v>
      </c>
      <c r="C1013" s="120" t="s">
        <v>324</v>
      </c>
      <c r="D1013" s="441">
        <v>153.82</v>
      </c>
    </row>
    <row r="1014" spans="1:4" ht="47.25" customHeight="1">
      <c r="A1014" s="120">
        <v>91468</v>
      </c>
      <c r="B1014" s="119" t="s">
        <v>2554</v>
      </c>
      <c r="C1014" s="120" t="s">
        <v>324</v>
      </c>
      <c r="D1014" s="441">
        <v>25.24</v>
      </c>
    </row>
    <row r="1015" spans="1:4" ht="47.25" customHeight="1">
      <c r="A1015" s="120">
        <v>91469</v>
      </c>
      <c r="B1015" s="119" t="s">
        <v>2555</v>
      </c>
      <c r="C1015" s="120" t="s">
        <v>324</v>
      </c>
      <c r="D1015" s="441">
        <v>5.05</v>
      </c>
    </row>
    <row r="1016" spans="1:4" ht="47.25" customHeight="1">
      <c r="A1016" s="120">
        <v>91484</v>
      </c>
      <c r="B1016" s="119" t="s">
        <v>2556</v>
      </c>
      <c r="C1016" s="120" t="s">
        <v>324</v>
      </c>
      <c r="D1016" s="441">
        <v>4.01</v>
      </c>
    </row>
    <row r="1017" spans="1:4" ht="47.25" customHeight="1">
      <c r="A1017" s="120">
        <v>91485</v>
      </c>
      <c r="B1017" s="119" t="s">
        <v>2557</v>
      </c>
      <c r="C1017" s="120" t="s">
        <v>324</v>
      </c>
      <c r="D1017" s="441">
        <v>150.56</v>
      </c>
    </row>
    <row r="1018" spans="1:4" ht="31.5" customHeight="1">
      <c r="A1018" s="120">
        <v>91529</v>
      </c>
      <c r="B1018" s="119" t="s">
        <v>2558</v>
      </c>
      <c r="C1018" s="120" t="s">
        <v>324</v>
      </c>
      <c r="D1018" s="441">
        <v>0.74</v>
      </c>
    </row>
    <row r="1019" spans="1:4" ht="31.5" customHeight="1">
      <c r="A1019" s="120">
        <v>91530</v>
      </c>
      <c r="B1019" s="119" t="s">
        <v>2559</v>
      </c>
      <c r="C1019" s="120" t="s">
        <v>324</v>
      </c>
      <c r="D1019" s="441">
        <v>0.1</v>
      </c>
    </row>
    <row r="1020" spans="1:4" ht="31.5" customHeight="1">
      <c r="A1020" s="120">
        <v>91531</v>
      </c>
      <c r="B1020" s="119" t="s">
        <v>2560</v>
      </c>
      <c r="C1020" s="120" t="s">
        <v>324</v>
      </c>
      <c r="D1020" s="441">
        <v>0.93</v>
      </c>
    </row>
    <row r="1021" spans="1:4" ht="31.5" customHeight="1">
      <c r="A1021" s="120">
        <v>91532</v>
      </c>
      <c r="B1021" s="119" t="s">
        <v>2561</v>
      </c>
      <c r="C1021" s="120" t="s">
        <v>324</v>
      </c>
      <c r="D1021" s="441">
        <v>5.5</v>
      </c>
    </row>
    <row r="1022" spans="1:4" ht="47.25" customHeight="1">
      <c r="A1022" s="120">
        <v>91629</v>
      </c>
      <c r="B1022" s="119" t="s">
        <v>2562</v>
      </c>
      <c r="C1022" s="120" t="s">
        <v>324</v>
      </c>
      <c r="D1022" s="441">
        <v>21.84</v>
      </c>
    </row>
    <row r="1023" spans="1:4" ht="47.25" customHeight="1">
      <c r="A1023" s="120">
        <v>91630</v>
      </c>
      <c r="B1023" s="119" t="s">
        <v>2563</v>
      </c>
      <c r="C1023" s="120" t="s">
        <v>324</v>
      </c>
      <c r="D1023" s="441">
        <v>4.16</v>
      </c>
    </row>
    <row r="1024" spans="1:4" ht="47.25" customHeight="1">
      <c r="A1024" s="120">
        <v>91631</v>
      </c>
      <c r="B1024" s="119" t="s">
        <v>2564</v>
      </c>
      <c r="C1024" s="120" t="s">
        <v>324</v>
      </c>
      <c r="D1024" s="441">
        <v>3.29</v>
      </c>
    </row>
    <row r="1025" spans="1:4" ht="47.25" customHeight="1">
      <c r="A1025" s="120">
        <v>91632</v>
      </c>
      <c r="B1025" s="119" t="s">
        <v>2565</v>
      </c>
      <c r="C1025" s="120" t="s">
        <v>324</v>
      </c>
      <c r="D1025" s="441">
        <v>37.549999999999997</v>
      </c>
    </row>
    <row r="1026" spans="1:4" ht="47.25" customHeight="1">
      <c r="A1026" s="120">
        <v>91633</v>
      </c>
      <c r="B1026" s="119" t="s">
        <v>2566</v>
      </c>
      <c r="C1026" s="120" t="s">
        <v>324</v>
      </c>
      <c r="D1026" s="441">
        <v>130.19</v>
      </c>
    </row>
    <row r="1027" spans="1:4" ht="47.25" customHeight="1">
      <c r="A1027" s="120">
        <v>91640</v>
      </c>
      <c r="B1027" s="119" t="s">
        <v>2567</v>
      </c>
      <c r="C1027" s="120" t="s">
        <v>324</v>
      </c>
      <c r="D1027" s="441">
        <v>39.22</v>
      </c>
    </row>
    <row r="1028" spans="1:4" ht="47.25" customHeight="1">
      <c r="A1028" s="120">
        <v>91641</v>
      </c>
      <c r="B1028" s="119" t="s">
        <v>2568</v>
      </c>
      <c r="C1028" s="120" t="s">
        <v>324</v>
      </c>
      <c r="D1028" s="441">
        <v>8.07</v>
      </c>
    </row>
    <row r="1029" spans="1:4" ht="47.25" customHeight="1">
      <c r="A1029" s="120">
        <v>91642</v>
      </c>
      <c r="B1029" s="119" t="s">
        <v>2569</v>
      </c>
      <c r="C1029" s="120" t="s">
        <v>324</v>
      </c>
      <c r="D1029" s="441">
        <v>6.39</v>
      </c>
    </row>
    <row r="1030" spans="1:4" ht="47.25" customHeight="1">
      <c r="A1030" s="120">
        <v>91643</v>
      </c>
      <c r="B1030" s="119" t="s">
        <v>2570</v>
      </c>
      <c r="C1030" s="120" t="s">
        <v>324</v>
      </c>
      <c r="D1030" s="441">
        <v>70.69</v>
      </c>
    </row>
    <row r="1031" spans="1:4" ht="47.25" customHeight="1">
      <c r="A1031" s="120">
        <v>91644</v>
      </c>
      <c r="B1031" s="119" t="s">
        <v>2571</v>
      </c>
      <c r="C1031" s="120" t="s">
        <v>324</v>
      </c>
      <c r="D1031" s="441">
        <v>292.97000000000003</v>
      </c>
    </row>
    <row r="1032" spans="1:4" ht="31.5" customHeight="1">
      <c r="A1032" s="120">
        <v>91688</v>
      </c>
      <c r="B1032" s="119" t="s">
        <v>2572</v>
      </c>
      <c r="C1032" s="120" t="s">
        <v>324</v>
      </c>
      <c r="D1032" s="441">
        <v>0.08</v>
      </c>
    </row>
    <row r="1033" spans="1:4" ht="31.5" customHeight="1">
      <c r="A1033" s="120">
        <v>91689</v>
      </c>
      <c r="B1033" s="119" t="s">
        <v>2573</v>
      </c>
      <c r="C1033" s="120" t="s">
        <v>324</v>
      </c>
      <c r="D1033" s="441">
        <v>0</v>
      </c>
    </row>
    <row r="1034" spans="1:4" ht="31.5" customHeight="1">
      <c r="A1034" s="120">
        <v>91690</v>
      </c>
      <c r="B1034" s="119" t="s">
        <v>2574</v>
      </c>
      <c r="C1034" s="120" t="s">
        <v>324</v>
      </c>
      <c r="D1034" s="441">
        <v>0.06</v>
      </c>
    </row>
    <row r="1035" spans="1:4" ht="31.5" customHeight="1">
      <c r="A1035" s="120">
        <v>91691</v>
      </c>
      <c r="B1035" s="119" t="s">
        <v>2575</v>
      </c>
      <c r="C1035" s="120" t="s">
        <v>324</v>
      </c>
      <c r="D1035" s="441">
        <v>0.87</v>
      </c>
    </row>
    <row r="1036" spans="1:4" ht="31.5" customHeight="1">
      <c r="A1036" s="120">
        <v>92040</v>
      </c>
      <c r="B1036" s="119" t="s">
        <v>2576</v>
      </c>
      <c r="C1036" s="120" t="s">
        <v>324</v>
      </c>
      <c r="D1036" s="441">
        <v>5.92</v>
      </c>
    </row>
    <row r="1037" spans="1:4" ht="31.5" customHeight="1">
      <c r="A1037" s="120">
        <v>92041</v>
      </c>
      <c r="B1037" s="119" t="s">
        <v>2577</v>
      </c>
      <c r="C1037" s="120" t="s">
        <v>324</v>
      </c>
      <c r="D1037" s="441">
        <v>0.62</v>
      </c>
    </row>
    <row r="1038" spans="1:4" ht="31.5" customHeight="1">
      <c r="A1038" s="120">
        <v>92042</v>
      </c>
      <c r="B1038" s="119" t="s">
        <v>2578</v>
      </c>
      <c r="C1038" s="120" t="s">
        <v>324</v>
      </c>
      <c r="D1038" s="441">
        <v>4.9400000000000004</v>
      </c>
    </row>
    <row r="1039" spans="1:4" ht="47.25" customHeight="1">
      <c r="A1039" s="120">
        <v>92101</v>
      </c>
      <c r="B1039" s="119" t="s">
        <v>2579</v>
      </c>
      <c r="C1039" s="120" t="s">
        <v>324</v>
      </c>
      <c r="D1039" s="441">
        <v>41.94</v>
      </c>
    </row>
    <row r="1040" spans="1:4" ht="47.25" customHeight="1">
      <c r="A1040" s="120">
        <v>92102</v>
      </c>
      <c r="B1040" s="119" t="s">
        <v>2580</v>
      </c>
      <c r="C1040" s="120" t="s">
        <v>324</v>
      </c>
      <c r="D1040" s="441">
        <v>6.96</v>
      </c>
    </row>
    <row r="1041" spans="1:4" ht="47.25" customHeight="1">
      <c r="A1041" s="120">
        <v>92103</v>
      </c>
      <c r="B1041" s="119" t="s">
        <v>2581</v>
      </c>
      <c r="C1041" s="120" t="s">
        <v>324</v>
      </c>
      <c r="D1041" s="441">
        <v>5.56</v>
      </c>
    </row>
    <row r="1042" spans="1:4" ht="47.25" customHeight="1">
      <c r="A1042" s="120">
        <v>92104</v>
      </c>
      <c r="B1042" s="119" t="s">
        <v>2582</v>
      </c>
      <c r="C1042" s="120" t="s">
        <v>324</v>
      </c>
      <c r="D1042" s="441">
        <v>68.06</v>
      </c>
    </row>
    <row r="1043" spans="1:4" ht="47.25" customHeight="1">
      <c r="A1043" s="120">
        <v>92105</v>
      </c>
      <c r="B1043" s="119" t="s">
        <v>2583</v>
      </c>
      <c r="C1043" s="120" t="s">
        <v>324</v>
      </c>
      <c r="D1043" s="441">
        <v>187.17</v>
      </c>
    </row>
    <row r="1044" spans="1:4" ht="31.5" customHeight="1">
      <c r="A1044" s="120">
        <v>92108</v>
      </c>
      <c r="B1044" s="119" t="s">
        <v>2584</v>
      </c>
      <c r="C1044" s="120" t="s">
        <v>324</v>
      </c>
      <c r="D1044" s="441">
        <v>0.89</v>
      </c>
    </row>
    <row r="1045" spans="1:4" ht="31.5" customHeight="1">
      <c r="A1045" s="120">
        <v>92109</v>
      </c>
      <c r="B1045" s="119" t="s">
        <v>2585</v>
      </c>
      <c r="C1045" s="120" t="s">
        <v>324</v>
      </c>
      <c r="D1045" s="441">
        <v>0.1</v>
      </c>
    </row>
    <row r="1046" spans="1:4" ht="31.5" customHeight="1">
      <c r="A1046" s="120">
        <v>92110</v>
      </c>
      <c r="B1046" s="119" t="s">
        <v>2586</v>
      </c>
      <c r="C1046" s="120" t="s">
        <v>324</v>
      </c>
      <c r="D1046" s="441">
        <v>1.1200000000000001</v>
      </c>
    </row>
    <row r="1047" spans="1:4" ht="31.5" customHeight="1">
      <c r="A1047" s="120">
        <v>92111</v>
      </c>
      <c r="B1047" s="119" t="s">
        <v>2587</v>
      </c>
      <c r="C1047" s="120" t="s">
        <v>324</v>
      </c>
      <c r="D1047" s="441">
        <v>0.8</v>
      </c>
    </row>
    <row r="1048" spans="1:4" ht="15.75" customHeight="1">
      <c r="A1048" s="120">
        <v>92114</v>
      </c>
      <c r="B1048" s="119" t="s">
        <v>2588</v>
      </c>
      <c r="C1048" s="120" t="s">
        <v>324</v>
      </c>
      <c r="D1048" s="441">
        <v>0.22</v>
      </c>
    </row>
    <row r="1049" spans="1:4" ht="15.75" customHeight="1">
      <c r="A1049" s="120">
        <v>92115</v>
      </c>
      <c r="B1049" s="119" t="s">
        <v>2589</v>
      </c>
      <c r="C1049" s="120" t="s">
        <v>324</v>
      </c>
      <c r="D1049" s="441">
        <v>0.02</v>
      </c>
    </row>
    <row r="1050" spans="1:4" ht="15.75" customHeight="1">
      <c r="A1050" s="120">
        <v>92116</v>
      </c>
      <c r="B1050" s="119" t="s">
        <v>2590</v>
      </c>
      <c r="C1050" s="120" t="s">
        <v>324</v>
      </c>
      <c r="D1050" s="441">
        <v>0.15</v>
      </c>
    </row>
    <row r="1051" spans="1:4" ht="15.75" customHeight="1">
      <c r="A1051" s="120">
        <v>92133</v>
      </c>
      <c r="B1051" s="119" t="s">
        <v>2591</v>
      </c>
      <c r="C1051" s="120" t="s">
        <v>324</v>
      </c>
      <c r="D1051" s="441">
        <v>12.93</v>
      </c>
    </row>
    <row r="1052" spans="1:4" ht="15.75" customHeight="1">
      <c r="A1052" s="120">
        <v>92134</v>
      </c>
      <c r="B1052" s="119" t="s">
        <v>2592</v>
      </c>
      <c r="C1052" s="120" t="s">
        <v>324</v>
      </c>
      <c r="D1052" s="441">
        <v>2.04</v>
      </c>
    </row>
    <row r="1053" spans="1:4" ht="15.75" customHeight="1">
      <c r="A1053" s="120">
        <v>92135</v>
      </c>
      <c r="B1053" s="119" t="s">
        <v>2593</v>
      </c>
      <c r="C1053" s="120" t="s">
        <v>324</v>
      </c>
      <c r="D1053" s="441">
        <v>1.61</v>
      </c>
    </row>
    <row r="1054" spans="1:4" ht="15.75" customHeight="1">
      <c r="A1054" s="120">
        <v>92136</v>
      </c>
      <c r="B1054" s="119" t="s">
        <v>2594</v>
      </c>
      <c r="C1054" s="120" t="s">
        <v>324</v>
      </c>
      <c r="D1054" s="441">
        <v>16.16</v>
      </c>
    </row>
    <row r="1055" spans="1:4" ht="31.5" customHeight="1">
      <c r="A1055" s="120">
        <v>92137</v>
      </c>
      <c r="B1055" s="119" t="s">
        <v>2595</v>
      </c>
      <c r="C1055" s="120" t="s">
        <v>324</v>
      </c>
      <c r="D1055" s="441">
        <v>34.270000000000003</v>
      </c>
    </row>
    <row r="1056" spans="1:4" ht="31.5" customHeight="1">
      <c r="A1056" s="120">
        <v>92140</v>
      </c>
      <c r="B1056" s="119" t="s">
        <v>2596</v>
      </c>
      <c r="C1056" s="120" t="s">
        <v>324</v>
      </c>
      <c r="D1056" s="441">
        <v>4.7300000000000004</v>
      </c>
    </row>
    <row r="1057" spans="1:4" ht="31.5" customHeight="1">
      <c r="A1057" s="120">
        <v>92141</v>
      </c>
      <c r="B1057" s="119" t="s">
        <v>2597</v>
      </c>
      <c r="C1057" s="120" t="s">
        <v>324</v>
      </c>
      <c r="D1057" s="441">
        <v>0.75</v>
      </c>
    </row>
    <row r="1058" spans="1:4" ht="31.5" customHeight="1">
      <c r="A1058" s="120">
        <v>92142</v>
      </c>
      <c r="B1058" s="119" t="s">
        <v>2598</v>
      </c>
      <c r="C1058" s="120" t="s">
        <v>324</v>
      </c>
      <c r="D1058" s="441">
        <v>0.59</v>
      </c>
    </row>
    <row r="1059" spans="1:4" ht="31.5" customHeight="1">
      <c r="A1059" s="120">
        <v>92143</v>
      </c>
      <c r="B1059" s="119" t="s">
        <v>2599</v>
      </c>
      <c r="C1059" s="120" t="s">
        <v>324</v>
      </c>
      <c r="D1059" s="441">
        <v>5.92</v>
      </c>
    </row>
    <row r="1060" spans="1:4" ht="31.5" customHeight="1">
      <c r="A1060" s="120">
        <v>92144</v>
      </c>
      <c r="B1060" s="119" t="s">
        <v>2600</v>
      </c>
      <c r="C1060" s="120" t="s">
        <v>324</v>
      </c>
      <c r="D1060" s="441">
        <v>35.72</v>
      </c>
    </row>
    <row r="1061" spans="1:4" ht="47.25" customHeight="1">
      <c r="A1061" s="120">
        <v>92237</v>
      </c>
      <c r="B1061" s="119" t="s">
        <v>2601</v>
      </c>
      <c r="C1061" s="120" t="s">
        <v>324</v>
      </c>
      <c r="D1061" s="441">
        <v>28.57</v>
      </c>
    </row>
    <row r="1062" spans="1:4" ht="47.25" customHeight="1">
      <c r="A1062" s="120">
        <v>92238</v>
      </c>
      <c r="B1062" s="119" t="s">
        <v>2602</v>
      </c>
      <c r="C1062" s="120" t="s">
        <v>324</v>
      </c>
      <c r="D1062" s="441">
        <v>5.86</v>
      </c>
    </row>
    <row r="1063" spans="1:4" ht="47.25" customHeight="1">
      <c r="A1063" s="120">
        <v>92239</v>
      </c>
      <c r="B1063" s="119" t="s">
        <v>2603</v>
      </c>
      <c r="C1063" s="120" t="s">
        <v>324</v>
      </c>
      <c r="D1063" s="441">
        <v>4.6399999999999997</v>
      </c>
    </row>
    <row r="1064" spans="1:4" ht="47.25" customHeight="1">
      <c r="A1064" s="120">
        <v>92240</v>
      </c>
      <c r="B1064" s="119" t="s">
        <v>2604</v>
      </c>
      <c r="C1064" s="120" t="s">
        <v>324</v>
      </c>
      <c r="D1064" s="441">
        <v>51.25</v>
      </c>
    </row>
    <row r="1065" spans="1:4" ht="47.25" customHeight="1">
      <c r="A1065" s="120">
        <v>92241</v>
      </c>
      <c r="B1065" s="119" t="s">
        <v>2605</v>
      </c>
      <c r="C1065" s="120" t="s">
        <v>324</v>
      </c>
      <c r="D1065" s="441">
        <v>268.58999999999997</v>
      </c>
    </row>
    <row r="1066" spans="1:4" ht="31.5" customHeight="1">
      <c r="A1066" s="120">
        <v>92712</v>
      </c>
      <c r="B1066" s="119" t="s">
        <v>2606</v>
      </c>
      <c r="C1066" s="120" t="s">
        <v>324</v>
      </c>
      <c r="D1066" s="441">
        <v>0.17</v>
      </c>
    </row>
    <row r="1067" spans="1:4" ht="31.5" customHeight="1">
      <c r="A1067" s="120">
        <v>92713</v>
      </c>
      <c r="B1067" s="119" t="s">
        <v>2607</v>
      </c>
      <c r="C1067" s="120" t="s">
        <v>324</v>
      </c>
      <c r="D1067" s="441">
        <v>0.02</v>
      </c>
    </row>
    <row r="1068" spans="1:4" ht="31.5" customHeight="1">
      <c r="A1068" s="120">
        <v>92714</v>
      </c>
      <c r="B1068" s="119" t="s">
        <v>2608</v>
      </c>
      <c r="C1068" s="120" t="s">
        <v>324</v>
      </c>
      <c r="D1068" s="441">
        <v>0.21</v>
      </c>
    </row>
    <row r="1069" spans="1:4" ht="31.5" customHeight="1">
      <c r="A1069" s="120">
        <v>92715</v>
      </c>
      <c r="B1069" s="119" t="s">
        <v>2609</v>
      </c>
      <c r="C1069" s="120" t="s">
        <v>324</v>
      </c>
      <c r="D1069" s="441">
        <v>77.25</v>
      </c>
    </row>
    <row r="1070" spans="1:4" ht="31.5">
      <c r="A1070" s="120">
        <v>92956</v>
      </c>
      <c r="B1070" s="119" t="s">
        <v>2610</v>
      </c>
      <c r="C1070" s="120" t="s">
        <v>324</v>
      </c>
      <c r="D1070" s="441">
        <v>4.32</v>
      </c>
    </row>
    <row r="1071" spans="1:4" ht="31.5">
      <c r="A1071" s="120">
        <v>92957</v>
      </c>
      <c r="B1071" s="119" t="s">
        <v>2611</v>
      </c>
      <c r="C1071" s="120" t="s">
        <v>324</v>
      </c>
      <c r="D1071" s="441">
        <v>0.51</v>
      </c>
    </row>
    <row r="1072" spans="1:4" ht="31.5">
      <c r="A1072" s="120">
        <v>92958</v>
      </c>
      <c r="B1072" s="119" t="s">
        <v>2612</v>
      </c>
      <c r="C1072" s="120" t="s">
        <v>324</v>
      </c>
      <c r="D1072" s="441">
        <v>4.7300000000000004</v>
      </c>
    </row>
    <row r="1073" spans="1:4" ht="31.5">
      <c r="A1073" s="120">
        <v>92959</v>
      </c>
      <c r="B1073" s="119" t="s">
        <v>2613</v>
      </c>
      <c r="C1073" s="120" t="s">
        <v>324</v>
      </c>
      <c r="D1073" s="441">
        <v>9.02</v>
      </c>
    </row>
    <row r="1074" spans="1:4" ht="15.75" customHeight="1">
      <c r="A1074" s="120">
        <v>92963</v>
      </c>
      <c r="B1074" s="119" t="s">
        <v>2614</v>
      </c>
      <c r="C1074" s="120" t="s">
        <v>324</v>
      </c>
      <c r="D1074" s="441">
        <v>1.37</v>
      </c>
    </row>
    <row r="1075" spans="1:4" ht="15.75" customHeight="1">
      <c r="A1075" s="120">
        <v>92964</v>
      </c>
      <c r="B1075" s="119" t="s">
        <v>2615</v>
      </c>
      <c r="C1075" s="120" t="s">
        <v>324</v>
      </c>
      <c r="D1075" s="441">
        <v>0.16</v>
      </c>
    </row>
    <row r="1076" spans="1:4" ht="15.75" customHeight="1">
      <c r="A1076" s="120">
        <v>92965</v>
      </c>
      <c r="B1076" s="119" t="s">
        <v>2616</v>
      </c>
      <c r="C1076" s="120" t="s">
        <v>324</v>
      </c>
      <c r="D1076" s="441">
        <v>1.72</v>
      </c>
    </row>
    <row r="1077" spans="1:4" ht="47.25" customHeight="1">
      <c r="A1077" s="120">
        <v>93220</v>
      </c>
      <c r="B1077" s="119" t="s">
        <v>2617</v>
      </c>
      <c r="C1077" s="120" t="s">
        <v>324</v>
      </c>
      <c r="D1077" s="441">
        <v>389.98</v>
      </c>
    </row>
    <row r="1078" spans="1:4" ht="47.25" customHeight="1">
      <c r="A1078" s="120">
        <v>93221</v>
      </c>
      <c r="B1078" s="119" t="s">
        <v>2618</v>
      </c>
      <c r="C1078" s="120" t="s">
        <v>324</v>
      </c>
      <c r="D1078" s="441">
        <v>54.14</v>
      </c>
    </row>
    <row r="1079" spans="1:4" ht="47.25" customHeight="1">
      <c r="A1079" s="120">
        <v>93222</v>
      </c>
      <c r="B1079" s="119" t="s">
        <v>2619</v>
      </c>
      <c r="C1079" s="120" t="s">
        <v>324</v>
      </c>
      <c r="D1079" s="441">
        <v>488.02</v>
      </c>
    </row>
    <row r="1080" spans="1:4" ht="47.25" customHeight="1">
      <c r="A1080" s="120">
        <v>93223</v>
      </c>
      <c r="B1080" s="119" t="s">
        <v>2620</v>
      </c>
      <c r="C1080" s="120" t="s">
        <v>324</v>
      </c>
      <c r="D1080" s="441">
        <v>151.96</v>
      </c>
    </row>
    <row r="1081" spans="1:4" ht="31.5" customHeight="1">
      <c r="A1081" s="120">
        <v>93229</v>
      </c>
      <c r="B1081" s="119" t="s">
        <v>2621</v>
      </c>
      <c r="C1081" s="120" t="s">
        <v>324</v>
      </c>
      <c r="D1081" s="441">
        <v>0.38</v>
      </c>
    </row>
    <row r="1082" spans="1:4" ht="31.5" customHeight="1">
      <c r="A1082" s="120">
        <v>93230</v>
      </c>
      <c r="B1082" s="119" t="s">
        <v>2622</v>
      </c>
      <c r="C1082" s="120" t="s">
        <v>324</v>
      </c>
      <c r="D1082" s="441">
        <v>0.04</v>
      </c>
    </row>
    <row r="1083" spans="1:4" ht="31.5" customHeight="1">
      <c r="A1083" s="120">
        <v>93231</v>
      </c>
      <c r="B1083" s="119" t="s">
        <v>2623</v>
      </c>
      <c r="C1083" s="120" t="s">
        <v>324</v>
      </c>
      <c r="D1083" s="441">
        <v>0.47</v>
      </c>
    </row>
    <row r="1084" spans="1:4" ht="31.5" customHeight="1">
      <c r="A1084" s="120">
        <v>93232</v>
      </c>
      <c r="B1084" s="119" t="s">
        <v>2624</v>
      </c>
      <c r="C1084" s="120" t="s">
        <v>324</v>
      </c>
      <c r="D1084" s="441">
        <v>4.1100000000000003</v>
      </c>
    </row>
    <row r="1085" spans="1:4" ht="15.75" customHeight="1">
      <c r="A1085" s="120">
        <v>93235</v>
      </c>
      <c r="B1085" s="119" t="s">
        <v>2625</v>
      </c>
      <c r="C1085" s="120" t="s">
        <v>324</v>
      </c>
      <c r="D1085" s="441">
        <v>1.18</v>
      </c>
    </row>
    <row r="1086" spans="1:4" ht="31.5" customHeight="1">
      <c r="A1086" s="120">
        <v>93238</v>
      </c>
      <c r="B1086" s="119" t="s">
        <v>2626</v>
      </c>
      <c r="C1086" s="120" t="s">
        <v>324</v>
      </c>
      <c r="D1086" s="441">
        <v>1.35</v>
      </c>
    </row>
    <row r="1087" spans="1:4" ht="31.5" customHeight="1">
      <c r="A1087" s="120">
        <v>93239</v>
      </c>
      <c r="B1087" s="119" t="s">
        <v>2627</v>
      </c>
      <c r="C1087" s="120" t="s">
        <v>324</v>
      </c>
      <c r="D1087" s="441">
        <v>6.14</v>
      </c>
    </row>
    <row r="1088" spans="1:4" ht="31.5" customHeight="1">
      <c r="A1088" s="120">
        <v>93240</v>
      </c>
      <c r="B1088" s="119" t="s">
        <v>2628</v>
      </c>
      <c r="C1088" s="120" t="s">
        <v>324</v>
      </c>
      <c r="D1088" s="441">
        <v>11.64</v>
      </c>
    </row>
    <row r="1089" spans="1:4" ht="15.75" customHeight="1">
      <c r="A1089" s="120">
        <v>93267</v>
      </c>
      <c r="B1089" s="119" t="s">
        <v>2629</v>
      </c>
      <c r="C1089" s="120" t="s">
        <v>324</v>
      </c>
      <c r="D1089" s="441">
        <v>25.9</v>
      </c>
    </row>
    <row r="1090" spans="1:4" ht="15.75" customHeight="1">
      <c r="A1090" s="120">
        <v>93269</v>
      </c>
      <c r="B1090" s="119" t="s">
        <v>2630</v>
      </c>
      <c r="C1090" s="120" t="s">
        <v>324</v>
      </c>
      <c r="D1090" s="441">
        <v>4.96</v>
      </c>
    </row>
    <row r="1091" spans="1:4" ht="31.5" customHeight="1">
      <c r="A1091" s="120">
        <v>93270</v>
      </c>
      <c r="B1091" s="119" t="s">
        <v>2631</v>
      </c>
      <c r="C1091" s="120" t="s">
        <v>324</v>
      </c>
      <c r="D1091" s="441">
        <v>25.18</v>
      </c>
    </row>
    <row r="1092" spans="1:4" ht="31.5" customHeight="1">
      <c r="A1092" s="120">
        <v>93271</v>
      </c>
      <c r="B1092" s="119" t="s">
        <v>2632</v>
      </c>
      <c r="C1092" s="120" t="s">
        <v>324</v>
      </c>
      <c r="D1092" s="441">
        <v>5.98</v>
      </c>
    </row>
    <row r="1093" spans="1:4" ht="31.5" customHeight="1">
      <c r="A1093" s="120">
        <v>93277</v>
      </c>
      <c r="B1093" s="119" t="s">
        <v>2633</v>
      </c>
      <c r="C1093" s="120" t="s">
        <v>324</v>
      </c>
      <c r="D1093" s="441">
        <v>0.3</v>
      </c>
    </row>
    <row r="1094" spans="1:4" ht="31.5" customHeight="1">
      <c r="A1094" s="120">
        <v>93278</v>
      </c>
      <c r="B1094" s="119" t="s">
        <v>2634</v>
      </c>
      <c r="C1094" s="120" t="s">
        <v>324</v>
      </c>
      <c r="D1094" s="441">
        <v>0.03</v>
      </c>
    </row>
    <row r="1095" spans="1:4" ht="31.5" customHeight="1">
      <c r="A1095" s="120">
        <v>93279</v>
      </c>
      <c r="B1095" s="119" t="s">
        <v>2635</v>
      </c>
      <c r="C1095" s="120" t="s">
        <v>324</v>
      </c>
      <c r="D1095" s="441">
        <v>0.28000000000000003</v>
      </c>
    </row>
    <row r="1096" spans="1:4" ht="31.5" customHeight="1">
      <c r="A1096" s="120">
        <v>93280</v>
      </c>
      <c r="B1096" s="119" t="s">
        <v>2636</v>
      </c>
      <c r="C1096" s="120" t="s">
        <v>324</v>
      </c>
      <c r="D1096" s="441">
        <v>0.49</v>
      </c>
    </row>
    <row r="1097" spans="1:4" ht="31.5" customHeight="1">
      <c r="A1097" s="120">
        <v>93283</v>
      </c>
      <c r="B1097" s="119" t="s">
        <v>2637</v>
      </c>
      <c r="C1097" s="120" t="s">
        <v>324</v>
      </c>
      <c r="D1097" s="441">
        <v>96.78</v>
      </c>
    </row>
    <row r="1098" spans="1:4" ht="31.5" customHeight="1">
      <c r="A1098" s="120">
        <v>93284</v>
      </c>
      <c r="B1098" s="119" t="s">
        <v>2638</v>
      </c>
      <c r="C1098" s="120" t="s">
        <v>324</v>
      </c>
      <c r="D1098" s="441">
        <v>17.420000000000002</v>
      </c>
    </row>
    <row r="1099" spans="1:4" ht="31.5" customHeight="1">
      <c r="A1099" s="120">
        <v>93285</v>
      </c>
      <c r="B1099" s="119" t="s">
        <v>2639</v>
      </c>
      <c r="C1099" s="120" t="s">
        <v>324</v>
      </c>
      <c r="D1099" s="441">
        <v>155.57</v>
      </c>
    </row>
    <row r="1100" spans="1:4" ht="31.5" customHeight="1">
      <c r="A1100" s="120">
        <v>93286</v>
      </c>
      <c r="B1100" s="119" t="s">
        <v>2640</v>
      </c>
      <c r="C1100" s="120" t="s">
        <v>324</v>
      </c>
      <c r="D1100" s="441">
        <v>8.32</v>
      </c>
    </row>
    <row r="1101" spans="1:4" ht="31.5" customHeight="1">
      <c r="A1101" s="120">
        <v>93296</v>
      </c>
      <c r="B1101" s="119" t="s">
        <v>2641</v>
      </c>
      <c r="C1101" s="120" t="s">
        <v>324</v>
      </c>
      <c r="D1101" s="441">
        <v>13.79</v>
      </c>
    </row>
    <row r="1102" spans="1:4" ht="47.25" customHeight="1">
      <c r="A1102" s="120">
        <v>93397</v>
      </c>
      <c r="B1102" s="119" t="s">
        <v>2642</v>
      </c>
      <c r="C1102" s="120" t="s">
        <v>324</v>
      </c>
      <c r="D1102" s="441">
        <v>25.31</v>
      </c>
    </row>
    <row r="1103" spans="1:4" ht="47.25" customHeight="1">
      <c r="A1103" s="120">
        <v>93398</v>
      </c>
      <c r="B1103" s="119" t="s">
        <v>2643</v>
      </c>
      <c r="C1103" s="120" t="s">
        <v>324</v>
      </c>
      <c r="D1103" s="441">
        <v>4.88</v>
      </c>
    </row>
    <row r="1104" spans="1:4" ht="47.25" customHeight="1">
      <c r="A1104" s="120">
        <v>93399</v>
      </c>
      <c r="B1104" s="119" t="s">
        <v>2644</v>
      </c>
      <c r="C1104" s="120" t="s">
        <v>324</v>
      </c>
      <c r="D1104" s="441">
        <v>3.86</v>
      </c>
    </row>
    <row r="1105" spans="1:4" ht="47.25" customHeight="1">
      <c r="A1105" s="120">
        <v>93400</v>
      </c>
      <c r="B1105" s="119" t="s">
        <v>2645</v>
      </c>
      <c r="C1105" s="120" t="s">
        <v>324</v>
      </c>
      <c r="D1105" s="441">
        <v>44.05</v>
      </c>
    </row>
    <row r="1106" spans="1:4" ht="47.25" customHeight="1">
      <c r="A1106" s="120">
        <v>93401</v>
      </c>
      <c r="B1106" s="119" t="s">
        <v>2646</v>
      </c>
      <c r="C1106" s="120" t="s">
        <v>324</v>
      </c>
      <c r="D1106" s="441">
        <v>153.82</v>
      </c>
    </row>
    <row r="1107" spans="1:4" ht="47.25" customHeight="1">
      <c r="A1107" s="120">
        <v>93404</v>
      </c>
      <c r="B1107" s="119" t="s">
        <v>2647</v>
      </c>
      <c r="C1107" s="120" t="s">
        <v>324</v>
      </c>
      <c r="D1107" s="441">
        <v>7.47</v>
      </c>
    </row>
    <row r="1108" spans="1:4" ht="47.25" customHeight="1">
      <c r="A1108" s="120">
        <v>93405</v>
      </c>
      <c r="B1108" s="119" t="s">
        <v>2648</v>
      </c>
      <c r="C1108" s="120" t="s">
        <v>324</v>
      </c>
      <c r="D1108" s="441">
        <v>0.97</v>
      </c>
    </row>
    <row r="1109" spans="1:4" ht="47.25" customHeight="1">
      <c r="A1109" s="120">
        <v>93406</v>
      </c>
      <c r="B1109" s="119" t="s">
        <v>2649</v>
      </c>
      <c r="C1109" s="120" t="s">
        <v>324</v>
      </c>
      <c r="D1109" s="441">
        <v>8.9700000000000006</v>
      </c>
    </row>
    <row r="1110" spans="1:4" ht="47.25" customHeight="1">
      <c r="A1110" s="120">
        <v>93407</v>
      </c>
      <c r="B1110" s="119" t="s">
        <v>2650</v>
      </c>
      <c r="C1110" s="120" t="s">
        <v>324</v>
      </c>
      <c r="D1110" s="441">
        <v>45.86</v>
      </c>
    </row>
    <row r="1111" spans="1:4" ht="31.5" customHeight="1">
      <c r="A1111" s="120">
        <v>93411</v>
      </c>
      <c r="B1111" s="119" t="s">
        <v>2651</v>
      </c>
      <c r="C1111" s="120" t="s">
        <v>324</v>
      </c>
      <c r="D1111" s="441">
        <v>0.31</v>
      </c>
    </row>
    <row r="1112" spans="1:4" ht="31.5" customHeight="1">
      <c r="A1112" s="120">
        <v>93412</v>
      </c>
      <c r="B1112" s="119" t="s">
        <v>2652</v>
      </c>
      <c r="C1112" s="120" t="s">
        <v>324</v>
      </c>
      <c r="D1112" s="441">
        <v>0.05</v>
      </c>
    </row>
    <row r="1113" spans="1:4" ht="31.5" customHeight="1">
      <c r="A1113" s="120">
        <v>93413</v>
      </c>
      <c r="B1113" s="119" t="s">
        <v>2653</v>
      </c>
      <c r="C1113" s="120" t="s">
        <v>324</v>
      </c>
      <c r="D1113" s="441">
        <v>0.28000000000000003</v>
      </c>
    </row>
    <row r="1114" spans="1:4" ht="31.5" customHeight="1">
      <c r="A1114" s="120">
        <v>93414</v>
      </c>
      <c r="B1114" s="119" t="s">
        <v>2654</v>
      </c>
      <c r="C1114" s="120" t="s">
        <v>324</v>
      </c>
      <c r="D1114" s="441">
        <v>13.29</v>
      </c>
    </row>
    <row r="1115" spans="1:4" ht="15.75" customHeight="1">
      <c r="A1115" s="120">
        <v>93417</v>
      </c>
      <c r="B1115" s="119" t="s">
        <v>2655</v>
      </c>
      <c r="C1115" s="120" t="s">
        <v>324</v>
      </c>
      <c r="D1115" s="441">
        <v>4.1399999999999997</v>
      </c>
    </row>
    <row r="1116" spans="1:4" ht="15.75" customHeight="1">
      <c r="A1116" s="120">
        <v>93418</v>
      </c>
      <c r="B1116" s="119" t="s">
        <v>2656</v>
      </c>
      <c r="C1116" s="120" t="s">
        <v>324</v>
      </c>
      <c r="D1116" s="441">
        <v>0.74</v>
      </c>
    </row>
    <row r="1117" spans="1:4" ht="15.75" customHeight="1">
      <c r="A1117" s="120">
        <v>93419</v>
      </c>
      <c r="B1117" s="119" t="s">
        <v>2657</v>
      </c>
      <c r="C1117" s="120" t="s">
        <v>324</v>
      </c>
      <c r="D1117" s="441">
        <v>3.69</v>
      </c>
    </row>
    <row r="1118" spans="1:4" ht="15.75" customHeight="1">
      <c r="A1118" s="120">
        <v>93420</v>
      </c>
      <c r="B1118" s="119" t="s">
        <v>2658</v>
      </c>
      <c r="C1118" s="120" t="s">
        <v>324</v>
      </c>
      <c r="D1118" s="441">
        <v>65.239999999999995</v>
      </c>
    </row>
    <row r="1119" spans="1:4" ht="15.75" customHeight="1">
      <c r="A1119" s="120">
        <v>93423</v>
      </c>
      <c r="B1119" s="119" t="s">
        <v>2659</v>
      </c>
      <c r="C1119" s="120" t="s">
        <v>324</v>
      </c>
      <c r="D1119" s="441">
        <v>5.86</v>
      </c>
    </row>
    <row r="1120" spans="1:4" ht="15.75" customHeight="1">
      <c r="A1120" s="120">
        <v>93424</v>
      </c>
      <c r="B1120" s="119" t="s">
        <v>2660</v>
      </c>
      <c r="C1120" s="120" t="s">
        <v>324</v>
      </c>
      <c r="D1120" s="441">
        <v>1.05</v>
      </c>
    </row>
    <row r="1121" spans="1:4" ht="15.75" customHeight="1">
      <c r="A1121" s="120">
        <v>93425</v>
      </c>
      <c r="B1121" s="119" t="s">
        <v>2661</v>
      </c>
      <c r="C1121" s="120" t="s">
        <v>324</v>
      </c>
      <c r="D1121" s="441">
        <v>5.23</v>
      </c>
    </row>
    <row r="1122" spans="1:4" ht="15.75" customHeight="1">
      <c r="A1122" s="120">
        <v>93426</v>
      </c>
      <c r="B1122" s="119" t="s">
        <v>2662</v>
      </c>
      <c r="C1122" s="120" t="s">
        <v>324</v>
      </c>
      <c r="D1122" s="441">
        <v>155.91</v>
      </c>
    </row>
    <row r="1123" spans="1:4" ht="31.5" customHeight="1">
      <c r="A1123" s="120">
        <v>93429</v>
      </c>
      <c r="B1123" s="119" t="s">
        <v>2663</v>
      </c>
      <c r="C1123" s="120" t="s">
        <v>324</v>
      </c>
      <c r="D1123" s="441">
        <v>125.93</v>
      </c>
    </row>
    <row r="1124" spans="1:4" ht="15.75" customHeight="1">
      <c r="A1124" s="120">
        <v>93430</v>
      </c>
      <c r="B1124" s="119" t="s">
        <v>2664</v>
      </c>
      <c r="C1124" s="120" t="s">
        <v>324</v>
      </c>
      <c r="D1124" s="441">
        <v>19.84</v>
      </c>
    </row>
    <row r="1125" spans="1:4" ht="31.5" customHeight="1">
      <c r="A1125" s="120">
        <v>93431</v>
      </c>
      <c r="B1125" s="119" t="s">
        <v>2665</v>
      </c>
      <c r="C1125" s="120" t="s">
        <v>324</v>
      </c>
      <c r="D1125" s="441">
        <v>157.53</v>
      </c>
    </row>
    <row r="1126" spans="1:4" ht="31.5" customHeight="1">
      <c r="A1126" s="120">
        <v>93432</v>
      </c>
      <c r="B1126" s="119" t="s">
        <v>2666</v>
      </c>
      <c r="C1126" s="120" t="s">
        <v>324</v>
      </c>
      <c r="D1126" s="442">
        <v>2095.1999999999998</v>
      </c>
    </row>
    <row r="1127" spans="1:4" ht="31.5" customHeight="1">
      <c r="A1127" s="120">
        <v>93435</v>
      </c>
      <c r="B1127" s="119" t="s">
        <v>2667</v>
      </c>
      <c r="C1127" s="120" t="s">
        <v>324</v>
      </c>
      <c r="D1127" s="441">
        <v>7.07</v>
      </c>
    </row>
    <row r="1128" spans="1:4" ht="15.75" customHeight="1">
      <c r="A1128" s="120">
        <v>93436</v>
      </c>
      <c r="B1128" s="119" t="s">
        <v>2668</v>
      </c>
      <c r="C1128" s="120" t="s">
        <v>324</v>
      </c>
      <c r="D1128" s="441">
        <v>1.1100000000000001</v>
      </c>
    </row>
    <row r="1129" spans="1:4" ht="31.5" customHeight="1">
      <c r="A1129" s="120">
        <v>93437</v>
      </c>
      <c r="B1129" s="119" t="s">
        <v>2669</v>
      </c>
      <c r="C1129" s="120" t="s">
        <v>324</v>
      </c>
      <c r="D1129" s="441">
        <v>7.73</v>
      </c>
    </row>
    <row r="1130" spans="1:4" ht="31.5" customHeight="1">
      <c r="A1130" s="120">
        <v>93438</v>
      </c>
      <c r="B1130" s="119" t="s">
        <v>2670</v>
      </c>
      <c r="C1130" s="120" t="s">
        <v>324</v>
      </c>
      <c r="D1130" s="441">
        <v>109.24</v>
      </c>
    </row>
    <row r="1131" spans="1:4" ht="15.75" customHeight="1">
      <c r="A1131" s="120">
        <v>95114</v>
      </c>
      <c r="B1131" s="119" t="s">
        <v>2671</v>
      </c>
      <c r="C1131" s="120" t="s">
        <v>324</v>
      </c>
      <c r="D1131" s="441">
        <v>1.33</v>
      </c>
    </row>
    <row r="1132" spans="1:4" ht="15.75" customHeight="1">
      <c r="A1132" s="120">
        <v>95115</v>
      </c>
      <c r="B1132" s="119" t="s">
        <v>2672</v>
      </c>
      <c r="C1132" s="120" t="s">
        <v>324</v>
      </c>
      <c r="D1132" s="441">
        <v>0.15</v>
      </c>
    </row>
    <row r="1133" spans="1:4" ht="15.75" customHeight="1">
      <c r="A1133" s="120">
        <v>95116</v>
      </c>
      <c r="B1133" s="119" t="s">
        <v>2673</v>
      </c>
      <c r="C1133" s="120" t="s">
        <v>324</v>
      </c>
      <c r="D1133" s="441">
        <v>31.99</v>
      </c>
    </row>
    <row r="1134" spans="1:4" ht="15.75" customHeight="1">
      <c r="A1134" s="120">
        <v>95117</v>
      </c>
      <c r="B1134" s="119" t="s">
        <v>2674</v>
      </c>
      <c r="C1134" s="120" t="s">
        <v>324</v>
      </c>
      <c r="D1134" s="441">
        <v>5.04</v>
      </c>
    </row>
    <row r="1135" spans="1:4" ht="15.75" customHeight="1">
      <c r="A1135" s="120">
        <v>95118</v>
      </c>
      <c r="B1135" s="119" t="s">
        <v>2675</v>
      </c>
      <c r="C1135" s="120" t="s">
        <v>324</v>
      </c>
      <c r="D1135" s="441">
        <v>57.75</v>
      </c>
    </row>
    <row r="1136" spans="1:4" ht="15.75" customHeight="1">
      <c r="A1136" s="120">
        <v>95119</v>
      </c>
      <c r="B1136" s="119" t="s">
        <v>2676</v>
      </c>
      <c r="C1136" s="120" t="s">
        <v>324</v>
      </c>
      <c r="D1136" s="441">
        <v>9.09</v>
      </c>
    </row>
    <row r="1137" spans="1:4" ht="31.5" customHeight="1">
      <c r="A1137" s="120">
        <v>95120</v>
      </c>
      <c r="B1137" s="119" t="s">
        <v>2677</v>
      </c>
      <c r="C1137" s="120" t="s">
        <v>324</v>
      </c>
      <c r="D1137" s="441">
        <v>40.799999999999997</v>
      </c>
    </row>
    <row r="1138" spans="1:4" ht="15.75" customHeight="1">
      <c r="A1138" s="120">
        <v>95123</v>
      </c>
      <c r="B1138" s="119" t="s">
        <v>2678</v>
      </c>
      <c r="C1138" s="120" t="s">
        <v>324</v>
      </c>
      <c r="D1138" s="441">
        <v>16.36</v>
      </c>
    </row>
    <row r="1139" spans="1:4" ht="15.75" customHeight="1">
      <c r="A1139" s="120">
        <v>95124</v>
      </c>
      <c r="B1139" s="119" t="s">
        <v>2679</v>
      </c>
      <c r="C1139" s="120" t="s">
        <v>324</v>
      </c>
      <c r="D1139" s="441">
        <v>2.57</v>
      </c>
    </row>
    <row r="1140" spans="1:4" ht="31.5" customHeight="1">
      <c r="A1140" s="120">
        <v>95125</v>
      </c>
      <c r="B1140" s="119" t="s">
        <v>2680</v>
      </c>
      <c r="C1140" s="120" t="s">
        <v>324</v>
      </c>
      <c r="D1140" s="441">
        <v>17.899999999999999</v>
      </c>
    </row>
    <row r="1141" spans="1:4" ht="31.5" customHeight="1">
      <c r="A1141" s="120">
        <v>95126</v>
      </c>
      <c r="B1141" s="119" t="s">
        <v>2681</v>
      </c>
      <c r="C1141" s="120" t="s">
        <v>324</v>
      </c>
      <c r="D1141" s="441">
        <v>143.22999999999999</v>
      </c>
    </row>
    <row r="1142" spans="1:4" ht="31.5" customHeight="1">
      <c r="A1142" s="120">
        <v>95129</v>
      </c>
      <c r="B1142" s="119" t="s">
        <v>2682</v>
      </c>
      <c r="C1142" s="120" t="s">
        <v>324</v>
      </c>
      <c r="D1142" s="441">
        <v>43.83</v>
      </c>
    </row>
    <row r="1143" spans="1:4" ht="15.75" customHeight="1">
      <c r="A1143" s="120">
        <v>95130</v>
      </c>
      <c r="B1143" s="119" t="s">
        <v>2683</v>
      </c>
      <c r="C1143" s="120" t="s">
        <v>324</v>
      </c>
      <c r="D1143" s="441">
        <v>8.1199999999999992</v>
      </c>
    </row>
    <row r="1144" spans="1:4" ht="31.5" customHeight="1">
      <c r="A1144" s="120">
        <v>95131</v>
      </c>
      <c r="B1144" s="119" t="s">
        <v>2684</v>
      </c>
      <c r="C1144" s="120" t="s">
        <v>324</v>
      </c>
      <c r="D1144" s="441">
        <v>51.59</v>
      </c>
    </row>
    <row r="1145" spans="1:4" ht="31.5" customHeight="1">
      <c r="A1145" s="120">
        <v>95132</v>
      </c>
      <c r="B1145" s="119" t="s">
        <v>2685</v>
      </c>
      <c r="C1145" s="120" t="s">
        <v>324</v>
      </c>
      <c r="D1145" s="441">
        <v>31.36</v>
      </c>
    </row>
    <row r="1146" spans="1:4" ht="15.75" customHeight="1">
      <c r="A1146" s="120">
        <v>95136</v>
      </c>
      <c r="B1146" s="119" t="s">
        <v>2686</v>
      </c>
      <c r="C1146" s="120" t="s">
        <v>324</v>
      </c>
      <c r="D1146" s="441">
        <v>0.03</v>
      </c>
    </row>
    <row r="1147" spans="1:4" ht="15.75" customHeight="1">
      <c r="A1147" s="120">
        <v>95137</v>
      </c>
      <c r="B1147" s="119" t="s">
        <v>2687</v>
      </c>
      <c r="C1147" s="120" t="s">
        <v>324</v>
      </c>
      <c r="D1147" s="441">
        <v>0</v>
      </c>
    </row>
    <row r="1148" spans="1:4" ht="15.75" customHeight="1">
      <c r="A1148" s="120">
        <v>95138</v>
      </c>
      <c r="B1148" s="119" t="s">
        <v>2688</v>
      </c>
      <c r="C1148" s="120" t="s">
        <v>324</v>
      </c>
      <c r="D1148" s="441">
        <v>0.02</v>
      </c>
    </row>
    <row r="1149" spans="1:4" ht="15.75" customHeight="1">
      <c r="A1149" s="120">
        <v>95208</v>
      </c>
      <c r="B1149" s="119" t="s">
        <v>2689</v>
      </c>
      <c r="C1149" s="120" t="s">
        <v>324</v>
      </c>
      <c r="D1149" s="441">
        <v>52.17</v>
      </c>
    </row>
    <row r="1150" spans="1:4" ht="15.75" customHeight="1">
      <c r="A1150" s="120">
        <v>95209</v>
      </c>
      <c r="B1150" s="119" t="s">
        <v>2690</v>
      </c>
      <c r="C1150" s="120" t="s">
        <v>324</v>
      </c>
      <c r="D1150" s="441">
        <v>6.19</v>
      </c>
    </row>
    <row r="1151" spans="1:4" ht="15.75" customHeight="1">
      <c r="A1151" s="120">
        <v>95210</v>
      </c>
      <c r="B1151" s="119" t="s">
        <v>2691</v>
      </c>
      <c r="C1151" s="120" t="s">
        <v>324</v>
      </c>
      <c r="D1151" s="441">
        <v>57.06</v>
      </c>
    </row>
    <row r="1152" spans="1:4" ht="31.5" customHeight="1">
      <c r="A1152" s="120">
        <v>95211</v>
      </c>
      <c r="B1152" s="119" t="s">
        <v>2692</v>
      </c>
      <c r="C1152" s="120" t="s">
        <v>324</v>
      </c>
      <c r="D1152" s="441">
        <v>5.98</v>
      </c>
    </row>
    <row r="1153" spans="1:4" ht="31.5" customHeight="1">
      <c r="A1153" s="120">
        <v>95217</v>
      </c>
      <c r="B1153" s="119" t="s">
        <v>2693</v>
      </c>
      <c r="C1153" s="120" t="s">
        <v>324</v>
      </c>
      <c r="D1153" s="441">
        <v>0.4</v>
      </c>
    </row>
    <row r="1154" spans="1:4" ht="15.75" customHeight="1">
      <c r="A1154" s="120">
        <v>95255</v>
      </c>
      <c r="B1154" s="119" t="s">
        <v>2694</v>
      </c>
      <c r="C1154" s="120" t="s">
        <v>324</v>
      </c>
      <c r="D1154" s="441">
        <v>1.19</v>
      </c>
    </row>
    <row r="1155" spans="1:4" ht="15.75" customHeight="1">
      <c r="A1155" s="120">
        <v>95256</v>
      </c>
      <c r="B1155" s="119" t="s">
        <v>2695</v>
      </c>
      <c r="C1155" s="120" t="s">
        <v>324</v>
      </c>
      <c r="D1155" s="441">
        <v>0.14000000000000001</v>
      </c>
    </row>
    <row r="1156" spans="1:4" ht="15.75" customHeight="1">
      <c r="A1156" s="120">
        <v>95257</v>
      </c>
      <c r="B1156" s="119" t="s">
        <v>2696</v>
      </c>
      <c r="C1156" s="120" t="s">
        <v>324</v>
      </c>
      <c r="D1156" s="441">
        <v>1.48</v>
      </c>
    </row>
    <row r="1157" spans="1:4" ht="31.5" customHeight="1">
      <c r="A1157" s="120">
        <v>95260</v>
      </c>
      <c r="B1157" s="119" t="s">
        <v>2697</v>
      </c>
      <c r="C1157" s="120" t="s">
        <v>324</v>
      </c>
      <c r="D1157" s="441">
        <v>0.6</v>
      </c>
    </row>
    <row r="1158" spans="1:4" ht="15.75" customHeight="1">
      <c r="A1158" s="120">
        <v>95261</v>
      </c>
      <c r="B1158" s="119" t="s">
        <v>2698</v>
      </c>
      <c r="C1158" s="120" t="s">
        <v>324</v>
      </c>
      <c r="D1158" s="441">
        <v>0.13</v>
      </c>
    </row>
    <row r="1159" spans="1:4" ht="31.5" customHeight="1">
      <c r="A1159" s="120">
        <v>95262</v>
      </c>
      <c r="B1159" s="119" t="s">
        <v>2699</v>
      </c>
      <c r="C1159" s="120" t="s">
        <v>324</v>
      </c>
      <c r="D1159" s="441">
        <v>1.24</v>
      </c>
    </row>
    <row r="1160" spans="1:4" ht="31.5" customHeight="1">
      <c r="A1160" s="120">
        <v>95263</v>
      </c>
      <c r="B1160" s="119" t="s">
        <v>2700</v>
      </c>
      <c r="C1160" s="120" t="s">
        <v>324</v>
      </c>
      <c r="D1160" s="441">
        <v>4.16</v>
      </c>
    </row>
    <row r="1161" spans="1:4" ht="31.5" customHeight="1">
      <c r="A1161" s="120">
        <v>95266</v>
      </c>
      <c r="B1161" s="119" t="s">
        <v>2701</v>
      </c>
      <c r="C1161" s="120" t="s">
        <v>324</v>
      </c>
      <c r="D1161" s="441">
        <v>0.5</v>
      </c>
    </row>
    <row r="1162" spans="1:4" ht="31.5" customHeight="1">
      <c r="A1162" s="120">
        <v>95267</v>
      </c>
      <c r="B1162" s="119" t="s">
        <v>2702</v>
      </c>
      <c r="C1162" s="120" t="s">
        <v>324</v>
      </c>
      <c r="D1162" s="441">
        <v>0.05</v>
      </c>
    </row>
    <row r="1163" spans="1:4" ht="31.5" customHeight="1">
      <c r="A1163" s="120">
        <v>95268</v>
      </c>
      <c r="B1163" s="119" t="s">
        <v>2703</v>
      </c>
      <c r="C1163" s="120" t="s">
        <v>324</v>
      </c>
      <c r="D1163" s="441">
        <v>0.49</v>
      </c>
    </row>
    <row r="1164" spans="1:4" ht="31.5" customHeight="1">
      <c r="A1164" s="120">
        <v>95269</v>
      </c>
      <c r="B1164" s="119" t="s">
        <v>2704</v>
      </c>
      <c r="C1164" s="120" t="s">
        <v>324</v>
      </c>
      <c r="D1164" s="441">
        <v>7.68</v>
      </c>
    </row>
    <row r="1165" spans="1:4" ht="31.5" customHeight="1">
      <c r="A1165" s="120">
        <v>95272</v>
      </c>
      <c r="B1165" s="119" t="s">
        <v>2705</v>
      </c>
      <c r="C1165" s="120" t="s">
        <v>324</v>
      </c>
      <c r="D1165" s="441">
        <v>0.49</v>
      </c>
    </row>
    <row r="1166" spans="1:4" ht="31.5" customHeight="1">
      <c r="A1166" s="120">
        <v>95273</v>
      </c>
      <c r="B1166" s="119" t="s">
        <v>2706</v>
      </c>
      <c r="C1166" s="120" t="s">
        <v>324</v>
      </c>
      <c r="D1166" s="441">
        <v>0.05</v>
      </c>
    </row>
    <row r="1167" spans="1:4" ht="31.5" customHeight="1">
      <c r="A1167" s="120">
        <v>95274</v>
      </c>
      <c r="B1167" s="119" t="s">
        <v>2707</v>
      </c>
      <c r="C1167" s="120" t="s">
        <v>324</v>
      </c>
      <c r="D1167" s="441">
        <v>0.38</v>
      </c>
    </row>
    <row r="1168" spans="1:4" ht="31.5" customHeight="1">
      <c r="A1168" s="120">
        <v>95275</v>
      </c>
      <c r="B1168" s="119" t="s">
        <v>2708</v>
      </c>
      <c r="C1168" s="120" t="s">
        <v>324</v>
      </c>
      <c r="D1168" s="441">
        <v>1.62</v>
      </c>
    </row>
    <row r="1169" spans="1:4" ht="31.5" customHeight="1">
      <c r="A1169" s="120">
        <v>95278</v>
      </c>
      <c r="B1169" s="119" t="s">
        <v>2709</v>
      </c>
      <c r="C1169" s="120" t="s">
        <v>324</v>
      </c>
      <c r="D1169" s="441">
        <v>0.6</v>
      </c>
    </row>
    <row r="1170" spans="1:4" ht="31.5" customHeight="1">
      <c r="A1170" s="120">
        <v>95279</v>
      </c>
      <c r="B1170" s="119" t="s">
        <v>2710</v>
      </c>
      <c r="C1170" s="120" t="s">
        <v>324</v>
      </c>
      <c r="D1170" s="441">
        <v>0.06</v>
      </c>
    </row>
    <row r="1171" spans="1:4" ht="31.5" customHeight="1">
      <c r="A1171" s="120">
        <v>95280</v>
      </c>
      <c r="B1171" s="119" t="s">
        <v>2711</v>
      </c>
      <c r="C1171" s="120" t="s">
        <v>324</v>
      </c>
      <c r="D1171" s="441">
        <v>0.57999999999999996</v>
      </c>
    </row>
    <row r="1172" spans="1:4" ht="31.5" customHeight="1">
      <c r="A1172" s="120">
        <v>95281</v>
      </c>
      <c r="B1172" s="119" t="s">
        <v>2712</v>
      </c>
      <c r="C1172" s="120" t="s">
        <v>324</v>
      </c>
      <c r="D1172" s="441">
        <v>7.68</v>
      </c>
    </row>
    <row r="1173" spans="1:4" ht="31.5" customHeight="1">
      <c r="A1173" s="120">
        <v>95617</v>
      </c>
      <c r="B1173" s="119" t="s">
        <v>2713</v>
      </c>
      <c r="C1173" s="120" t="s">
        <v>324</v>
      </c>
      <c r="D1173" s="441">
        <v>0.97</v>
      </c>
    </row>
    <row r="1174" spans="1:4" ht="31.5" customHeight="1">
      <c r="A1174" s="120">
        <v>95618</v>
      </c>
      <c r="B1174" s="119" t="s">
        <v>2714</v>
      </c>
      <c r="C1174" s="120" t="s">
        <v>324</v>
      </c>
      <c r="D1174" s="441">
        <v>0.11</v>
      </c>
    </row>
    <row r="1175" spans="1:4" ht="31.5" customHeight="1">
      <c r="A1175" s="120">
        <v>95619</v>
      </c>
      <c r="B1175" s="119" t="s">
        <v>2715</v>
      </c>
      <c r="C1175" s="120" t="s">
        <v>324</v>
      </c>
      <c r="D1175" s="441">
        <v>1.22</v>
      </c>
    </row>
    <row r="1176" spans="1:4" ht="31.5" customHeight="1">
      <c r="A1176" s="120">
        <v>95627</v>
      </c>
      <c r="B1176" s="119" t="s">
        <v>2716</v>
      </c>
      <c r="C1176" s="120" t="s">
        <v>324</v>
      </c>
      <c r="D1176" s="441">
        <v>48.46</v>
      </c>
    </row>
    <row r="1177" spans="1:4" ht="31.5" customHeight="1">
      <c r="A1177" s="120">
        <v>95628</v>
      </c>
      <c r="B1177" s="119" t="s">
        <v>2717</v>
      </c>
      <c r="C1177" s="120" t="s">
        <v>324</v>
      </c>
      <c r="D1177" s="441">
        <v>6.72</v>
      </c>
    </row>
    <row r="1178" spans="1:4" ht="31.5" customHeight="1">
      <c r="A1178" s="120">
        <v>95629</v>
      </c>
      <c r="B1178" s="119" t="s">
        <v>2718</v>
      </c>
      <c r="C1178" s="120" t="s">
        <v>324</v>
      </c>
      <c r="D1178" s="441">
        <v>60.64</v>
      </c>
    </row>
    <row r="1179" spans="1:4" ht="31.5" customHeight="1">
      <c r="A1179" s="120">
        <v>95630</v>
      </c>
      <c r="B1179" s="119" t="s">
        <v>2719</v>
      </c>
      <c r="C1179" s="120" t="s">
        <v>324</v>
      </c>
      <c r="D1179" s="441">
        <v>86.83</v>
      </c>
    </row>
    <row r="1180" spans="1:4" ht="31.5" customHeight="1">
      <c r="A1180" s="120">
        <v>95698</v>
      </c>
      <c r="B1180" s="119" t="s">
        <v>2720</v>
      </c>
      <c r="C1180" s="120" t="s">
        <v>324</v>
      </c>
      <c r="D1180" s="441">
        <v>3.95</v>
      </c>
    </row>
    <row r="1181" spans="1:4" ht="31.5" customHeight="1">
      <c r="A1181" s="120">
        <v>95699</v>
      </c>
      <c r="B1181" s="119" t="s">
        <v>2721</v>
      </c>
      <c r="C1181" s="120" t="s">
        <v>324</v>
      </c>
      <c r="D1181" s="441">
        <v>0.47</v>
      </c>
    </row>
    <row r="1182" spans="1:4" ht="31.5" customHeight="1">
      <c r="A1182" s="120">
        <v>95700</v>
      </c>
      <c r="B1182" s="119" t="s">
        <v>2722</v>
      </c>
      <c r="C1182" s="120" t="s">
        <v>324</v>
      </c>
      <c r="D1182" s="441">
        <v>4.9400000000000004</v>
      </c>
    </row>
    <row r="1183" spans="1:4" ht="31.5" customHeight="1">
      <c r="A1183" s="120">
        <v>95701</v>
      </c>
      <c r="B1183" s="119" t="s">
        <v>2723</v>
      </c>
      <c r="C1183" s="120" t="s">
        <v>324</v>
      </c>
      <c r="D1183" s="441">
        <v>2</v>
      </c>
    </row>
    <row r="1184" spans="1:4" ht="31.5" customHeight="1">
      <c r="A1184" s="120">
        <v>95704</v>
      </c>
      <c r="B1184" s="119" t="s">
        <v>2724</v>
      </c>
      <c r="C1184" s="120" t="s">
        <v>324</v>
      </c>
      <c r="D1184" s="441">
        <v>52.37</v>
      </c>
    </row>
    <row r="1185" spans="1:4" ht="31.5" customHeight="1">
      <c r="A1185" s="120">
        <v>95705</v>
      </c>
      <c r="B1185" s="119" t="s">
        <v>2725</v>
      </c>
      <c r="C1185" s="120" t="s">
        <v>324</v>
      </c>
      <c r="D1185" s="441">
        <v>7.17</v>
      </c>
    </row>
    <row r="1186" spans="1:4" ht="31.5" customHeight="1">
      <c r="A1186" s="120">
        <v>95706</v>
      </c>
      <c r="B1186" s="119" t="s">
        <v>2726</v>
      </c>
      <c r="C1186" s="120" t="s">
        <v>324</v>
      </c>
      <c r="D1186" s="441">
        <v>65.540000000000006</v>
      </c>
    </row>
    <row r="1187" spans="1:4" ht="31.5" customHeight="1">
      <c r="A1187" s="120">
        <v>95707</v>
      </c>
      <c r="B1187" s="119" t="s">
        <v>2727</v>
      </c>
      <c r="C1187" s="120" t="s">
        <v>324</v>
      </c>
      <c r="D1187" s="441">
        <v>2.62</v>
      </c>
    </row>
    <row r="1188" spans="1:4" ht="31.5" customHeight="1">
      <c r="A1188" s="120">
        <v>95710</v>
      </c>
      <c r="B1188" s="119" t="s">
        <v>2728</v>
      </c>
      <c r="C1188" s="120" t="s">
        <v>324</v>
      </c>
      <c r="D1188" s="441">
        <v>62.95</v>
      </c>
    </row>
    <row r="1189" spans="1:4" ht="31.5" customHeight="1">
      <c r="A1189" s="120">
        <v>95711</v>
      </c>
      <c r="B1189" s="119" t="s">
        <v>2729</v>
      </c>
      <c r="C1189" s="120" t="s">
        <v>324</v>
      </c>
      <c r="D1189" s="441">
        <v>8.5399999999999991</v>
      </c>
    </row>
    <row r="1190" spans="1:4" ht="31.5" customHeight="1">
      <c r="A1190" s="120">
        <v>95712</v>
      </c>
      <c r="B1190" s="119" t="s">
        <v>2730</v>
      </c>
      <c r="C1190" s="120" t="s">
        <v>324</v>
      </c>
      <c r="D1190" s="441">
        <v>78.69</v>
      </c>
    </row>
    <row r="1191" spans="1:4" ht="31.5" customHeight="1">
      <c r="A1191" s="120">
        <v>95713</v>
      </c>
      <c r="B1191" s="119" t="s">
        <v>2731</v>
      </c>
      <c r="C1191" s="120" t="s">
        <v>324</v>
      </c>
      <c r="D1191" s="441">
        <v>87.47</v>
      </c>
    </row>
    <row r="1192" spans="1:4" ht="47.25" customHeight="1">
      <c r="A1192" s="120">
        <v>95716</v>
      </c>
      <c r="B1192" s="119" t="s">
        <v>2732</v>
      </c>
      <c r="C1192" s="120" t="s">
        <v>324</v>
      </c>
      <c r="D1192" s="441">
        <v>60.6</v>
      </c>
    </row>
    <row r="1193" spans="1:4" ht="47.25" customHeight="1">
      <c r="A1193" s="120">
        <v>95717</v>
      </c>
      <c r="B1193" s="119" t="s">
        <v>2733</v>
      </c>
      <c r="C1193" s="120" t="s">
        <v>324</v>
      </c>
      <c r="D1193" s="441">
        <v>8.2200000000000006</v>
      </c>
    </row>
    <row r="1194" spans="1:4" ht="47.25" customHeight="1">
      <c r="A1194" s="120">
        <v>95718</v>
      </c>
      <c r="B1194" s="119" t="s">
        <v>2734</v>
      </c>
      <c r="C1194" s="120" t="s">
        <v>324</v>
      </c>
      <c r="D1194" s="441">
        <v>75.75</v>
      </c>
    </row>
    <row r="1195" spans="1:4" ht="47.25" customHeight="1">
      <c r="A1195" s="120">
        <v>95719</v>
      </c>
      <c r="B1195" s="119" t="s">
        <v>2735</v>
      </c>
      <c r="C1195" s="120" t="s">
        <v>324</v>
      </c>
      <c r="D1195" s="441">
        <v>87.47</v>
      </c>
    </row>
    <row r="1196" spans="1:4" ht="31.5" customHeight="1">
      <c r="A1196" s="120">
        <v>95869</v>
      </c>
      <c r="B1196" s="119" t="s">
        <v>2736</v>
      </c>
      <c r="C1196" s="120" t="s">
        <v>324</v>
      </c>
      <c r="D1196" s="441">
        <v>1.68</v>
      </c>
    </row>
    <row r="1197" spans="1:4" ht="31.5" customHeight="1">
      <c r="A1197" s="120">
        <v>95870</v>
      </c>
      <c r="B1197" s="119" t="s">
        <v>2737</v>
      </c>
      <c r="C1197" s="120" t="s">
        <v>324</v>
      </c>
      <c r="D1197" s="441">
        <v>8.36</v>
      </c>
    </row>
    <row r="1198" spans="1:4" ht="31.5" customHeight="1">
      <c r="A1198" s="120">
        <v>95871</v>
      </c>
      <c r="B1198" s="119" t="s">
        <v>2738</v>
      </c>
      <c r="C1198" s="120" t="s">
        <v>324</v>
      </c>
      <c r="D1198" s="441">
        <v>265.62</v>
      </c>
    </row>
    <row r="1199" spans="1:4" ht="31.5" customHeight="1">
      <c r="A1199" s="120">
        <v>95874</v>
      </c>
      <c r="B1199" s="119" t="s">
        <v>2739</v>
      </c>
      <c r="C1199" s="120" t="s">
        <v>324</v>
      </c>
      <c r="D1199" s="441">
        <v>9.3699999999999992</v>
      </c>
    </row>
    <row r="1200" spans="1:4" ht="31.5" customHeight="1">
      <c r="A1200" s="120">
        <v>96008</v>
      </c>
      <c r="B1200" s="119" t="s">
        <v>2740</v>
      </c>
      <c r="C1200" s="120" t="s">
        <v>324</v>
      </c>
      <c r="D1200" s="441">
        <v>24.08</v>
      </c>
    </row>
    <row r="1201" spans="1:4" ht="31.5" customHeight="1">
      <c r="A1201" s="120">
        <v>96009</v>
      </c>
      <c r="B1201" s="119" t="s">
        <v>2741</v>
      </c>
      <c r="C1201" s="120" t="s">
        <v>324</v>
      </c>
      <c r="D1201" s="441">
        <v>3.33</v>
      </c>
    </row>
    <row r="1202" spans="1:4" ht="31.5" customHeight="1">
      <c r="A1202" s="120">
        <v>96011</v>
      </c>
      <c r="B1202" s="119" t="s">
        <v>2742</v>
      </c>
      <c r="C1202" s="120" t="s">
        <v>324</v>
      </c>
      <c r="D1202" s="441">
        <v>26.33</v>
      </c>
    </row>
    <row r="1203" spans="1:4" ht="31.5" customHeight="1">
      <c r="A1203" s="120">
        <v>96012</v>
      </c>
      <c r="B1203" s="119" t="s">
        <v>2743</v>
      </c>
      <c r="C1203" s="120" t="s">
        <v>324</v>
      </c>
      <c r="D1203" s="441">
        <v>94.05</v>
      </c>
    </row>
    <row r="1204" spans="1:4" ht="31.5" customHeight="1">
      <c r="A1204" s="120">
        <v>96015</v>
      </c>
      <c r="B1204" s="119" t="s">
        <v>2744</v>
      </c>
      <c r="C1204" s="120" t="s">
        <v>324</v>
      </c>
      <c r="D1204" s="441">
        <v>23.84</v>
      </c>
    </row>
    <row r="1205" spans="1:4" ht="31.5" customHeight="1">
      <c r="A1205" s="120">
        <v>96016</v>
      </c>
      <c r="B1205" s="119" t="s">
        <v>2745</v>
      </c>
      <c r="C1205" s="120" t="s">
        <v>324</v>
      </c>
      <c r="D1205" s="441">
        <v>3.3</v>
      </c>
    </row>
    <row r="1206" spans="1:4" ht="31.5" customHeight="1">
      <c r="A1206" s="120">
        <v>96018</v>
      </c>
      <c r="B1206" s="119" t="s">
        <v>2746</v>
      </c>
      <c r="C1206" s="120" t="s">
        <v>324</v>
      </c>
      <c r="D1206" s="441">
        <v>26.07</v>
      </c>
    </row>
    <row r="1207" spans="1:4" ht="31.5" customHeight="1">
      <c r="A1207" s="120">
        <v>96019</v>
      </c>
      <c r="B1207" s="119" t="s">
        <v>2747</v>
      </c>
      <c r="C1207" s="120" t="s">
        <v>324</v>
      </c>
      <c r="D1207" s="441">
        <v>94.05</v>
      </c>
    </row>
    <row r="1208" spans="1:4" ht="31.5" customHeight="1">
      <c r="A1208" s="120">
        <v>96023</v>
      </c>
      <c r="B1208" s="119" t="s">
        <v>2748</v>
      </c>
      <c r="C1208" s="120" t="s">
        <v>324</v>
      </c>
      <c r="D1208" s="441">
        <v>18.55</v>
      </c>
    </row>
    <row r="1209" spans="1:4" ht="15.75" customHeight="1">
      <c r="A1209" s="120">
        <v>96024</v>
      </c>
      <c r="B1209" s="119" t="s">
        <v>2749</v>
      </c>
      <c r="C1209" s="120" t="s">
        <v>324</v>
      </c>
      <c r="D1209" s="441">
        <v>2.57</v>
      </c>
    </row>
    <row r="1210" spans="1:4" ht="31.5" customHeight="1">
      <c r="A1210" s="120">
        <v>96026</v>
      </c>
      <c r="B1210" s="119" t="s">
        <v>2750</v>
      </c>
      <c r="C1210" s="120" t="s">
        <v>324</v>
      </c>
      <c r="D1210" s="441">
        <v>20.29</v>
      </c>
    </row>
    <row r="1211" spans="1:4" ht="31.5" customHeight="1">
      <c r="A1211" s="120">
        <v>96027</v>
      </c>
      <c r="B1211" s="119" t="s">
        <v>2751</v>
      </c>
      <c r="C1211" s="120" t="s">
        <v>324</v>
      </c>
      <c r="D1211" s="441">
        <v>65.53</v>
      </c>
    </row>
    <row r="1212" spans="1:4" ht="31.5" customHeight="1">
      <c r="A1212" s="120">
        <v>96030</v>
      </c>
      <c r="B1212" s="119" t="s">
        <v>2752</v>
      </c>
      <c r="C1212" s="120" t="s">
        <v>324</v>
      </c>
      <c r="D1212" s="441">
        <v>34.53</v>
      </c>
    </row>
    <row r="1213" spans="1:4" ht="31.5" customHeight="1">
      <c r="A1213" s="120">
        <v>96031</v>
      </c>
      <c r="B1213" s="119" t="s">
        <v>2753</v>
      </c>
      <c r="C1213" s="120" t="s">
        <v>324</v>
      </c>
      <c r="D1213" s="441">
        <v>6.55</v>
      </c>
    </row>
    <row r="1214" spans="1:4" ht="31.5" customHeight="1">
      <c r="A1214" s="120">
        <v>96032</v>
      </c>
      <c r="B1214" s="119" t="s">
        <v>2754</v>
      </c>
      <c r="C1214" s="120" t="s">
        <v>324</v>
      </c>
      <c r="D1214" s="441">
        <v>5.17</v>
      </c>
    </row>
    <row r="1215" spans="1:4" ht="31.5" customHeight="1">
      <c r="A1215" s="120">
        <v>96033</v>
      </c>
      <c r="B1215" s="119" t="s">
        <v>2755</v>
      </c>
      <c r="C1215" s="120" t="s">
        <v>324</v>
      </c>
      <c r="D1215" s="441">
        <v>59.14</v>
      </c>
    </row>
    <row r="1216" spans="1:4" ht="31.5" customHeight="1">
      <c r="A1216" s="120">
        <v>96034</v>
      </c>
      <c r="B1216" s="119" t="s">
        <v>2756</v>
      </c>
      <c r="C1216" s="120" t="s">
        <v>324</v>
      </c>
      <c r="D1216" s="441">
        <v>137.93</v>
      </c>
    </row>
    <row r="1217" spans="1:4" ht="31.5" customHeight="1">
      <c r="A1217" s="120">
        <v>96053</v>
      </c>
      <c r="B1217" s="119" t="s">
        <v>2757</v>
      </c>
      <c r="C1217" s="120" t="s">
        <v>324</v>
      </c>
      <c r="D1217" s="441">
        <v>18.79</v>
      </c>
    </row>
    <row r="1218" spans="1:4" ht="31.5" customHeight="1">
      <c r="A1218" s="120">
        <v>96054</v>
      </c>
      <c r="B1218" s="119" t="s">
        <v>2758</v>
      </c>
      <c r="C1218" s="120" t="s">
        <v>324</v>
      </c>
      <c r="D1218" s="441">
        <v>28.46</v>
      </c>
    </row>
    <row r="1219" spans="1:4" ht="31.5" customHeight="1">
      <c r="A1219" s="120">
        <v>96055</v>
      </c>
      <c r="B1219" s="119" t="s">
        <v>2759</v>
      </c>
      <c r="C1219" s="120" t="s">
        <v>324</v>
      </c>
      <c r="D1219" s="441">
        <v>2.6</v>
      </c>
    </row>
    <row r="1220" spans="1:4" ht="31.5" customHeight="1">
      <c r="A1220" s="120">
        <v>96056</v>
      </c>
      <c r="B1220" s="119" t="s">
        <v>2760</v>
      </c>
      <c r="C1220" s="120" t="s">
        <v>324</v>
      </c>
      <c r="D1220" s="441">
        <v>20.55</v>
      </c>
    </row>
    <row r="1221" spans="1:4" ht="31.5" customHeight="1">
      <c r="A1221" s="120">
        <v>96057</v>
      </c>
      <c r="B1221" s="119" t="s">
        <v>2761</v>
      </c>
      <c r="C1221" s="120" t="s">
        <v>324</v>
      </c>
      <c r="D1221" s="441">
        <v>65.53</v>
      </c>
    </row>
    <row r="1222" spans="1:4" ht="31.5" customHeight="1">
      <c r="A1222" s="120">
        <v>96060</v>
      </c>
      <c r="B1222" s="119" t="s">
        <v>2762</v>
      </c>
      <c r="C1222" s="120" t="s">
        <v>324</v>
      </c>
      <c r="D1222" s="441">
        <v>2.87</v>
      </c>
    </row>
    <row r="1223" spans="1:4" ht="31.5" customHeight="1">
      <c r="A1223" s="120">
        <v>96061</v>
      </c>
      <c r="B1223" s="119" t="s">
        <v>2763</v>
      </c>
      <c r="C1223" s="120" t="s">
        <v>324</v>
      </c>
      <c r="D1223" s="441">
        <v>35.57</v>
      </c>
    </row>
    <row r="1224" spans="1:4" ht="31.5" customHeight="1">
      <c r="A1224" s="120">
        <v>96062</v>
      </c>
      <c r="B1224" s="119" t="s">
        <v>2764</v>
      </c>
      <c r="C1224" s="120" t="s">
        <v>324</v>
      </c>
      <c r="D1224" s="441">
        <v>38.76</v>
      </c>
    </row>
    <row r="1225" spans="1:4" ht="31.5" customHeight="1">
      <c r="A1225" s="120">
        <v>96241</v>
      </c>
      <c r="B1225" s="119" t="s">
        <v>2765</v>
      </c>
      <c r="C1225" s="120" t="s">
        <v>324</v>
      </c>
      <c r="D1225" s="441">
        <v>23.37</v>
      </c>
    </row>
    <row r="1226" spans="1:4" ht="31.5" customHeight="1">
      <c r="A1226" s="120">
        <v>96242</v>
      </c>
      <c r="B1226" s="119" t="s">
        <v>2766</v>
      </c>
      <c r="C1226" s="120" t="s">
        <v>324</v>
      </c>
      <c r="D1226" s="441">
        <v>3.17</v>
      </c>
    </row>
    <row r="1227" spans="1:4" ht="31.5" customHeight="1">
      <c r="A1227" s="120">
        <v>96243</v>
      </c>
      <c r="B1227" s="119" t="s">
        <v>2767</v>
      </c>
      <c r="C1227" s="120" t="s">
        <v>324</v>
      </c>
      <c r="D1227" s="441">
        <v>29.22</v>
      </c>
    </row>
    <row r="1228" spans="1:4" ht="31.5" customHeight="1">
      <c r="A1228" s="120">
        <v>96244</v>
      </c>
      <c r="B1228" s="119" t="s">
        <v>2768</v>
      </c>
      <c r="C1228" s="120" t="s">
        <v>324</v>
      </c>
      <c r="D1228" s="441">
        <v>16.93</v>
      </c>
    </row>
    <row r="1229" spans="1:4" ht="31.5" customHeight="1">
      <c r="A1229" s="120">
        <v>96301</v>
      </c>
      <c r="B1229" s="119" t="s">
        <v>2769</v>
      </c>
      <c r="C1229" s="120" t="s">
        <v>324</v>
      </c>
      <c r="D1229" s="441">
        <v>47.78</v>
      </c>
    </row>
    <row r="1230" spans="1:4" ht="31.5" customHeight="1">
      <c r="A1230" s="120">
        <v>96457</v>
      </c>
      <c r="B1230" s="119" t="s">
        <v>2770</v>
      </c>
      <c r="C1230" s="120" t="s">
        <v>324</v>
      </c>
      <c r="D1230" s="441">
        <v>62.09</v>
      </c>
    </row>
    <row r="1231" spans="1:4" ht="31.5" customHeight="1">
      <c r="A1231" s="120">
        <v>96458</v>
      </c>
      <c r="B1231" s="119" t="s">
        <v>2771</v>
      </c>
      <c r="C1231" s="120" t="s">
        <v>324</v>
      </c>
      <c r="D1231" s="441">
        <v>67.260000000000005</v>
      </c>
    </row>
    <row r="1232" spans="1:4" ht="31.5" customHeight="1">
      <c r="A1232" s="120">
        <v>96459</v>
      </c>
      <c r="B1232" s="119" t="s">
        <v>2772</v>
      </c>
      <c r="C1232" s="120" t="s">
        <v>324</v>
      </c>
      <c r="D1232" s="441">
        <v>7.46</v>
      </c>
    </row>
    <row r="1233" spans="1:4" ht="31.5" customHeight="1">
      <c r="A1233" s="120">
        <v>96460</v>
      </c>
      <c r="B1233" s="119" t="s">
        <v>2773</v>
      </c>
      <c r="C1233" s="120" t="s">
        <v>324</v>
      </c>
      <c r="D1233" s="441">
        <v>53.74</v>
      </c>
    </row>
    <row r="1234" spans="1:4" ht="31.5" customHeight="1">
      <c r="A1234" s="120">
        <v>98760</v>
      </c>
      <c r="B1234" s="119" t="s">
        <v>2774</v>
      </c>
      <c r="C1234" s="120" t="s">
        <v>324</v>
      </c>
      <c r="D1234" s="441">
        <v>0.06</v>
      </c>
    </row>
    <row r="1235" spans="1:4" ht="31.5" customHeight="1">
      <c r="A1235" s="120">
        <v>98761</v>
      </c>
      <c r="B1235" s="119" t="s">
        <v>2775</v>
      </c>
      <c r="C1235" s="120" t="s">
        <v>324</v>
      </c>
      <c r="D1235" s="441">
        <v>0</v>
      </c>
    </row>
    <row r="1236" spans="1:4" ht="31.5" customHeight="1">
      <c r="A1236" s="120">
        <v>98762</v>
      </c>
      <c r="B1236" s="119" t="s">
        <v>2776</v>
      </c>
      <c r="C1236" s="120" t="s">
        <v>324</v>
      </c>
      <c r="D1236" s="441">
        <v>0.08</v>
      </c>
    </row>
    <row r="1237" spans="1:4" ht="31.5" customHeight="1">
      <c r="A1237" s="120">
        <v>98763</v>
      </c>
      <c r="B1237" s="119" t="s">
        <v>2777</v>
      </c>
      <c r="C1237" s="120" t="s">
        <v>324</v>
      </c>
      <c r="D1237" s="441">
        <v>2.93</v>
      </c>
    </row>
    <row r="1238" spans="1:4" ht="31.5" customHeight="1">
      <c r="A1238" s="120">
        <v>99829</v>
      </c>
      <c r="B1238" s="119" t="s">
        <v>2778</v>
      </c>
      <c r="C1238" s="120" t="s">
        <v>324</v>
      </c>
      <c r="D1238" s="441">
        <v>0.18</v>
      </c>
    </row>
    <row r="1239" spans="1:4" ht="31.5" customHeight="1">
      <c r="A1239" s="120">
        <v>99830</v>
      </c>
      <c r="B1239" s="119" t="s">
        <v>2779</v>
      </c>
      <c r="C1239" s="120" t="s">
        <v>324</v>
      </c>
      <c r="D1239" s="441">
        <v>0.01</v>
      </c>
    </row>
    <row r="1240" spans="1:4" ht="31.5" customHeight="1">
      <c r="A1240" s="120">
        <v>99831</v>
      </c>
      <c r="B1240" s="119" t="s">
        <v>2780</v>
      </c>
      <c r="C1240" s="120" t="s">
        <v>324</v>
      </c>
      <c r="D1240" s="441">
        <v>0.12</v>
      </c>
    </row>
    <row r="1241" spans="1:4" ht="31.5" customHeight="1">
      <c r="A1241" s="120">
        <v>99832</v>
      </c>
      <c r="B1241" s="119" t="s">
        <v>2781</v>
      </c>
      <c r="C1241" s="120" t="s">
        <v>324</v>
      </c>
      <c r="D1241" s="441">
        <v>2.82</v>
      </c>
    </row>
    <row r="1242" spans="1:4" ht="31.5" customHeight="1">
      <c r="A1242" s="120">
        <v>100637</v>
      </c>
      <c r="B1242" s="119" t="s">
        <v>2782</v>
      </c>
      <c r="C1242" s="120" t="s">
        <v>324</v>
      </c>
      <c r="D1242" s="441">
        <v>154.68</v>
      </c>
    </row>
    <row r="1243" spans="1:4" ht="15.75" customHeight="1">
      <c r="A1243" s="120">
        <v>100638</v>
      </c>
      <c r="B1243" s="119" t="s">
        <v>2783</v>
      </c>
      <c r="C1243" s="120" t="s">
        <v>324</v>
      </c>
      <c r="D1243" s="441">
        <v>24.37</v>
      </c>
    </row>
    <row r="1244" spans="1:4" ht="31.5" customHeight="1">
      <c r="A1244" s="120">
        <v>100639</v>
      </c>
      <c r="B1244" s="119" t="s">
        <v>2784</v>
      </c>
      <c r="C1244" s="120" t="s">
        <v>324</v>
      </c>
      <c r="D1244" s="441">
        <v>193.5</v>
      </c>
    </row>
    <row r="1245" spans="1:4" ht="31.5" customHeight="1">
      <c r="A1245" s="120">
        <v>100640</v>
      </c>
      <c r="B1245" s="119" t="s">
        <v>2785</v>
      </c>
      <c r="C1245" s="120" t="s">
        <v>324</v>
      </c>
      <c r="D1245" s="442">
        <v>4190.3999999999996</v>
      </c>
    </row>
    <row r="1246" spans="1:4" ht="15.75" customHeight="1">
      <c r="A1246" s="120">
        <v>100643</v>
      </c>
      <c r="B1246" s="119" t="s">
        <v>2786</v>
      </c>
      <c r="C1246" s="120" t="s">
        <v>324</v>
      </c>
      <c r="D1246" s="441">
        <v>316.94</v>
      </c>
    </row>
    <row r="1247" spans="1:4" ht="15.75" customHeight="1">
      <c r="A1247" s="120">
        <v>100644</v>
      </c>
      <c r="B1247" s="119" t="s">
        <v>2787</v>
      </c>
      <c r="C1247" s="120" t="s">
        <v>324</v>
      </c>
      <c r="D1247" s="441">
        <v>57.05</v>
      </c>
    </row>
    <row r="1248" spans="1:4" ht="15.75" customHeight="1">
      <c r="A1248" s="120">
        <v>100645</v>
      </c>
      <c r="B1248" s="119" t="s">
        <v>2788</v>
      </c>
      <c r="C1248" s="120" t="s">
        <v>324</v>
      </c>
      <c r="D1248" s="441">
        <v>509.49</v>
      </c>
    </row>
    <row r="1249" spans="1:4" ht="15.75" customHeight="1">
      <c r="A1249" s="120">
        <v>100646</v>
      </c>
      <c r="B1249" s="119" t="s">
        <v>2789</v>
      </c>
      <c r="C1249" s="120" t="s">
        <v>324</v>
      </c>
      <c r="D1249" s="442">
        <v>5238</v>
      </c>
    </row>
    <row r="1250" spans="1:4" ht="31.5" customHeight="1">
      <c r="A1250" s="120">
        <v>102270</v>
      </c>
      <c r="B1250" s="119" t="s">
        <v>2790</v>
      </c>
      <c r="C1250" s="120" t="s">
        <v>324</v>
      </c>
      <c r="D1250" s="441">
        <v>0.57999999999999996</v>
      </c>
    </row>
    <row r="1251" spans="1:4" ht="31.5" customHeight="1">
      <c r="A1251" s="120">
        <v>102271</v>
      </c>
      <c r="B1251" s="119" t="s">
        <v>2791</v>
      </c>
      <c r="C1251" s="120" t="s">
        <v>324</v>
      </c>
      <c r="D1251" s="441">
        <v>0.06</v>
      </c>
    </row>
    <row r="1252" spans="1:4" ht="31.5" customHeight="1">
      <c r="A1252" s="120">
        <v>102272</v>
      </c>
      <c r="B1252" s="119" t="s">
        <v>2792</v>
      </c>
      <c r="C1252" s="120" t="s">
        <v>324</v>
      </c>
      <c r="D1252" s="441">
        <v>0.73</v>
      </c>
    </row>
    <row r="1253" spans="1:4" ht="31.5" customHeight="1">
      <c r="A1253" s="120">
        <v>102273</v>
      </c>
      <c r="B1253" s="119" t="s">
        <v>2793</v>
      </c>
      <c r="C1253" s="120" t="s">
        <v>324</v>
      </c>
      <c r="D1253" s="441">
        <v>1.08</v>
      </c>
    </row>
    <row r="1254" spans="1:4" ht="15.75" customHeight="1">
      <c r="A1254" s="120">
        <v>102809</v>
      </c>
      <c r="B1254" s="119" t="s">
        <v>2794</v>
      </c>
      <c r="C1254" s="120" t="s">
        <v>324</v>
      </c>
      <c r="D1254" s="441">
        <v>16.59</v>
      </c>
    </row>
    <row r="1255" spans="1:4" ht="47.25" customHeight="1">
      <c r="A1255" s="120">
        <v>102815</v>
      </c>
      <c r="B1255" s="119" t="s">
        <v>2795</v>
      </c>
      <c r="C1255" s="120" t="s">
        <v>324</v>
      </c>
      <c r="D1255" s="441">
        <v>2.17</v>
      </c>
    </row>
    <row r="1256" spans="1:4" ht="31.5" customHeight="1">
      <c r="A1256" s="120">
        <v>102826</v>
      </c>
      <c r="B1256" s="119" t="s">
        <v>2796</v>
      </c>
      <c r="C1256" s="120" t="s">
        <v>324</v>
      </c>
      <c r="D1256" s="441">
        <v>4.08</v>
      </c>
    </row>
    <row r="1257" spans="1:4" ht="31.5" customHeight="1">
      <c r="A1257" s="120">
        <v>102832</v>
      </c>
      <c r="B1257" s="119" t="s">
        <v>2797</v>
      </c>
      <c r="C1257" s="120" t="s">
        <v>324</v>
      </c>
      <c r="D1257" s="441">
        <v>5.44</v>
      </c>
    </row>
    <row r="1258" spans="1:4" ht="31.5" customHeight="1">
      <c r="A1258" s="120">
        <v>102843</v>
      </c>
      <c r="B1258" s="119" t="s">
        <v>2798</v>
      </c>
      <c r="C1258" s="120" t="s">
        <v>324</v>
      </c>
      <c r="D1258" s="441">
        <v>130.94999999999999</v>
      </c>
    </row>
    <row r="1259" spans="1:4" ht="31.5" customHeight="1">
      <c r="A1259" s="120">
        <v>102849</v>
      </c>
      <c r="B1259" s="119" t="s">
        <v>2799</v>
      </c>
      <c r="C1259" s="120" t="s">
        <v>324</v>
      </c>
      <c r="D1259" s="441">
        <v>64.02</v>
      </c>
    </row>
    <row r="1260" spans="1:4" ht="31.5" customHeight="1">
      <c r="A1260" s="120">
        <v>102855</v>
      </c>
      <c r="B1260" s="119" t="s">
        <v>2800</v>
      </c>
      <c r="C1260" s="120" t="s">
        <v>324</v>
      </c>
      <c r="D1260" s="441">
        <v>64.02</v>
      </c>
    </row>
    <row r="1261" spans="1:4" ht="31.5" customHeight="1">
      <c r="A1261" s="120">
        <v>102861</v>
      </c>
      <c r="B1261" s="119" t="s">
        <v>2801</v>
      </c>
      <c r="C1261" s="120" t="s">
        <v>324</v>
      </c>
      <c r="D1261" s="441">
        <v>0.8</v>
      </c>
    </row>
    <row r="1262" spans="1:4" ht="31.5" customHeight="1">
      <c r="A1262" s="120">
        <v>102867</v>
      </c>
      <c r="B1262" s="119" t="s">
        <v>2802</v>
      </c>
      <c r="C1262" s="120" t="s">
        <v>324</v>
      </c>
      <c r="D1262" s="441">
        <v>0.43</v>
      </c>
    </row>
    <row r="1263" spans="1:4" ht="31.5" customHeight="1">
      <c r="A1263" s="120">
        <v>102873</v>
      </c>
      <c r="B1263" s="119" t="s">
        <v>2803</v>
      </c>
      <c r="C1263" s="120" t="s">
        <v>324</v>
      </c>
      <c r="D1263" s="441">
        <v>116.34</v>
      </c>
    </row>
    <row r="1264" spans="1:4" ht="31.5" customHeight="1">
      <c r="A1264" s="120">
        <v>102879</v>
      </c>
      <c r="B1264" s="119" t="s">
        <v>2804</v>
      </c>
      <c r="C1264" s="120" t="s">
        <v>324</v>
      </c>
      <c r="D1264" s="441">
        <v>174.6</v>
      </c>
    </row>
    <row r="1265" spans="1:4" ht="15.75" customHeight="1">
      <c r="A1265" s="120">
        <v>102885</v>
      </c>
      <c r="B1265" s="119" t="s">
        <v>2805</v>
      </c>
      <c r="C1265" s="120" t="s">
        <v>324</v>
      </c>
      <c r="D1265" s="441">
        <v>0.81</v>
      </c>
    </row>
    <row r="1266" spans="1:4" ht="15.75" customHeight="1">
      <c r="A1266" s="120">
        <v>102891</v>
      </c>
      <c r="B1266" s="119" t="s">
        <v>2806</v>
      </c>
      <c r="C1266" s="120" t="s">
        <v>324</v>
      </c>
      <c r="D1266" s="441">
        <v>0.81</v>
      </c>
    </row>
    <row r="1267" spans="1:4" ht="31.5" customHeight="1">
      <c r="A1267" s="120">
        <v>102897</v>
      </c>
      <c r="B1267" s="119" t="s">
        <v>2807</v>
      </c>
      <c r="C1267" s="120" t="s">
        <v>324</v>
      </c>
      <c r="D1267" s="441">
        <v>87.47</v>
      </c>
    </row>
    <row r="1268" spans="1:4" ht="31.5" customHeight="1">
      <c r="A1268" s="120">
        <v>102903</v>
      </c>
      <c r="B1268" s="119" t="s">
        <v>2808</v>
      </c>
      <c r="C1268" s="120" t="s">
        <v>324</v>
      </c>
      <c r="D1268" s="441">
        <v>11.34</v>
      </c>
    </row>
    <row r="1269" spans="1:4" ht="15.75" customHeight="1">
      <c r="A1269" s="120">
        <v>102909</v>
      </c>
      <c r="B1269" s="119" t="s">
        <v>2809</v>
      </c>
      <c r="C1269" s="120" t="s">
        <v>324</v>
      </c>
      <c r="D1269" s="441">
        <v>62.56</v>
      </c>
    </row>
    <row r="1270" spans="1:4" ht="15.75" customHeight="1">
      <c r="A1270" s="120">
        <v>102915</v>
      </c>
      <c r="B1270" s="119" t="s">
        <v>2810</v>
      </c>
      <c r="C1270" s="120" t="s">
        <v>324</v>
      </c>
      <c r="D1270" s="441">
        <v>0.4</v>
      </c>
    </row>
    <row r="1271" spans="1:4" ht="31.5" customHeight="1">
      <c r="A1271" s="120">
        <v>102927</v>
      </c>
      <c r="B1271" s="119" t="s">
        <v>2811</v>
      </c>
      <c r="C1271" s="120" t="s">
        <v>324</v>
      </c>
      <c r="D1271" s="441">
        <v>0.6</v>
      </c>
    </row>
    <row r="1272" spans="1:4" ht="47.25" customHeight="1">
      <c r="A1272" s="120">
        <v>102933</v>
      </c>
      <c r="B1272" s="119" t="s">
        <v>2812</v>
      </c>
      <c r="C1272" s="120" t="s">
        <v>324</v>
      </c>
      <c r="D1272" s="441">
        <v>0.6</v>
      </c>
    </row>
    <row r="1273" spans="1:4" ht="15.75" customHeight="1">
      <c r="A1273" s="120">
        <v>102939</v>
      </c>
      <c r="B1273" s="119" t="s">
        <v>2813</v>
      </c>
      <c r="C1273" s="120" t="s">
        <v>324</v>
      </c>
      <c r="D1273" s="441">
        <v>5.98</v>
      </c>
    </row>
    <row r="1274" spans="1:4" ht="31.5" customHeight="1">
      <c r="A1274" s="120">
        <v>102945</v>
      </c>
      <c r="B1274" s="119" t="s">
        <v>2814</v>
      </c>
      <c r="C1274" s="120" t="s">
        <v>324</v>
      </c>
      <c r="D1274" s="441">
        <v>0.01</v>
      </c>
    </row>
    <row r="1275" spans="1:4" ht="31.5" customHeight="1">
      <c r="A1275" s="120">
        <v>102951</v>
      </c>
      <c r="B1275" s="119" t="s">
        <v>2815</v>
      </c>
      <c r="C1275" s="120" t="s">
        <v>324</v>
      </c>
      <c r="D1275" s="441">
        <v>0.4</v>
      </c>
    </row>
    <row r="1276" spans="1:4" ht="31.5" customHeight="1">
      <c r="A1276" s="120">
        <v>102957</v>
      </c>
      <c r="B1276" s="119" t="s">
        <v>2816</v>
      </c>
      <c r="C1276" s="120" t="s">
        <v>324</v>
      </c>
      <c r="D1276" s="441">
        <v>49.64</v>
      </c>
    </row>
    <row r="1277" spans="1:4" ht="31.5" customHeight="1">
      <c r="A1277" s="120">
        <v>102963</v>
      </c>
      <c r="B1277" s="119" t="s">
        <v>2817</v>
      </c>
      <c r="C1277" s="120" t="s">
        <v>324</v>
      </c>
      <c r="D1277" s="441">
        <v>82.46</v>
      </c>
    </row>
    <row r="1278" spans="1:4" ht="31.5" customHeight="1">
      <c r="A1278" s="120">
        <v>102969</v>
      </c>
      <c r="B1278" s="119" t="s">
        <v>2818</v>
      </c>
      <c r="C1278" s="120" t="s">
        <v>324</v>
      </c>
      <c r="D1278" s="441">
        <v>0.81</v>
      </c>
    </row>
    <row r="1279" spans="1:4" ht="31.5" customHeight="1">
      <c r="A1279" s="120">
        <v>102985</v>
      </c>
      <c r="B1279" s="119" t="s">
        <v>2819</v>
      </c>
      <c r="C1279" s="120" t="s">
        <v>324</v>
      </c>
      <c r="D1279" s="441">
        <v>2.91</v>
      </c>
    </row>
    <row r="1280" spans="1:4" ht="31.5" customHeight="1">
      <c r="A1280" s="120">
        <v>103156</v>
      </c>
      <c r="B1280" s="119" t="s">
        <v>2820</v>
      </c>
      <c r="C1280" s="120" t="s">
        <v>324</v>
      </c>
      <c r="D1280" s="441">
        <v>1.52</v>
      </c>
    </row>
    <row r="1281" spans="1:4" ht="31.5" customHeight="1">
      <c r="A1281" s="120">
        <v>103162</v>
      </c>
      <c r="B1281" s="119" t="s">
        <v>2821</v>
      </c>
      <c r="C1281" s="120" t="s">
        <v>324</v>
      </c>
      <c r="D1281" s="441">
        <v>1.9</v>
      </c>
    </row>
    <row r="1282" spans="1:4" ht="31.5" customHeight="1">
      <c r="A1282" s="120">
        <v>103168</v>
      </c>
      <c r="B1282" s="119" t="s">
        <v>2822</v>
      </c>
      <c r="C1282" s="120" t="s">
        <v>324</v>
      </c>
      <c r="D1282" s="441">
        <v>0.48</v>
      </c>
    </row>
    <row r="1283" spans="1:4" ht="31.5" customHeight="1">
      <c r="A1283" s="120">
        <v>103174</v>
      </c>
      <c r="B1283" s="119" t="s">
        <v>2823</v>
      </c>
      <c r="C1283" s="120" t="s">
        <v>324</v>
      </c>
      <c r="D1283" s="441">
        <v>1.21</v>
      </c>
    </row>
    <row r="1284" spans="1:4" ht="47.25" customHeight="1">
      <c r="A1284" s="120">
        <v>103180</v>
      </c>
      <c r="B1284" s="119" t="s">
        <v>2824</v>
      </c>
      <c r="C1284" s="120" t="s">
        <v>324</v>
      </c>
      <c r="D1284" s="441">
        <v>2.79</v>
      </c>
    </row>
    <row r="1285" spans="1:4" ht="31.5" customHeight="1">
      <c r="A1285" s="120">
        <v>103223</v>
      </c>
      <c r="B1285" s="119" t="s">
        <v>2825</v>
      </c>
      <c r="C1285" s="120" t="s">
        <v>324</v>
      </c>
      <c r="D1285" s="441">
        <v>34.1</v>
      </c>
    </row>
    <row r="1286" spans="1:4" ht="31.5" customHeight="1">
      <c r="A1286" s="120">
        <v>103229</v>
      </c>
      <c r="B1286" s="119" t="s">
        <v>2826</v>
      </c>
      <c r="C1286" s="120" t="s">
        <v>324</v>
      </c>
      <c r="D1286" s="441">
        <v>56.45</v>
      </c>
    </row>
    <row r="1287" spans="1:4" ht="31.5" customHeight="1">
      <c r="A1287" s="120">
        <v>103235</v>
      </c>
      <c r="B1287" s="119" t="s">
        <v>2827</v>
      </c>
      <c r="C1287" s="120" t="s">
        <v>324</v>
      </c>
      <c r="D1287" s="441">
        <v>149.80000000000001</v>
      </c>
    </row>
    <row r="1288" spans="1:4" ht="31.5" customHeight="1">
      <c r="A1288" s="120">
        <v>103241</v>
      </c>
      <c r="B1288" s="119" t="s">
        <v>2828</v>
      </c>
      <c r="C1288" s="120" t="s">
        <v>324</v>
      </c>
      <c r="D1288" s="441">
        <v>5.79</v>
      </c>
    </row>
    <row r="1289" spans="1:4" ht="15.75" customHeight="1">
      <c r="A1289" s="120">
        <v>103660</v>
      </c>
      <c r="B1289" s="119" t="s">
        <v>2829</v>
      </c>
      <c r="C1289" s="120" t="s">
        <v>324</v>
      </c>
      <c r="D1289" s="441">
        <v>10.35</v>
      </c>
    </row>
    <row r="1290" spans="1:4" ht="31.5" customHeight="1">
      <c r="A1290" s="120">
        <v>103666</v>
      </c>
      <c r="B1290" s="119" t="s">
        <v>2830</v>
      </c>
      <c r="C1290" s="120" t="s">
        <v>324</v>
      </c>
      <c r="D1290" s="441">
        <v>90.32</v>
      </c>
    </row>
    <row r="1291" spans="1:4" ht="47.25" customHeight="1">
      <c r="A1291" s="120">
        <v>103792</v>
      </c>
      <c r="B1291" s="119" t="s">
        <v>2831</v>
      </c>
      <c r="C1291" s="120" t="s">
        <v>324</v>
      </c>
      <c r="D1291" s="441">
        <v>0.17</v>
      </c>
    </row>
    <row r="1292" spans="1:4" ht="47.25" customHeight="1">
      <c r="A1292" s="120">
        <v>103937</v>
      </c>
      <c r="B1292" s="119" t="s">
        <v>2832</v>
      </c>
      <c r="C1292" s="120" t="s">
        <v>324</v>
      </c>
      <c r="D1292" s="441">
        <v>0.97</v>
      </c>
    </row>
    <row r="1293" spans="1:4" ht="47.25" customHeight="1">
      <c r="A1293" s="120">
        <v>103943</v>
      </c>
      <c r="B1293" s="119" t="s">
        <v>2833</v>
      </c>
      <c r="C1293" s="120" t="s">
        <v>324</v>
      </c>
      <c r="D1293" s="441">
        <v>0.97</v>
      </c>
    </row>
    <row r="1294" spans="1:4" ht="31.5" customHeight="1">
      <c r="A1294" s="120">
        <v>104087</v>
      </c>
      <c r="B1294" s="119" t="s">
        <v>2834</v>
      </c>
      <c r="C1294" s="120" t="s">
        <v>324</v>
      </c>
      <c r="D1294" s="441">
        <v>0.05</v>
      </c>
    </row>
    <row r="1295" spans="1:4" ht="31.5" customHeight="1">
      <c r="A1295" s="120">
        <v>104088</v>
      </c>
      <c r="B1295" s="119" t="s">
        <v>2835</v>
      </c>
      <c r="C1295" s="120" t="s">
        <v>324</v>
      </c>
      <c r="D1295" s="441">
        <v>0.06</v>
      </c>
    </row>
    <row r="1296" spans="1:4" ht="31.5" customHeight="1">
      <c r="A1296" s="120">
        <v>104089</v>
      </c>
      <c r="B1296" s="119" t="s">
        <v>2836</v>
      </c>
      <c r="C1296" s="120" t="s">
        <v>324</v>
      </c>
      <c r="D1296" s="441">
        <v>7.0000000000000007E-2</v>
      </c>
    </row>
    <row r="1297" spans="1:4" ht="31.5" customHeight="1">
      <c r="A1297" s="120">
        <v>104090</v>
      </c>
      <c r="B1297" s="119" t="s">
        <v>2837</v>
      </c>
      <c r="C1297" s="120" t="s">
        <v>324</v>
      </c>
      <c r="D1297" s="441">
        <v>0.43</v>
      </c>
    </row>
    <row r="1298" spans="1:4" ht="31.5" customHeight="1">
      <c r="A1298" s="120">
        <v>104093</v>
      </c>
      <c r="B1298" s="119" t="s">
        <v>2838</v>
      </c>
      <c r="C1298" s="120" t="s">
        <v>324</v>
      </c>
      <c r="D1298" s="441">
        <v>0.08</v>
      </c>
    </row>
    <row r="1299" spans="1:4" ht="31.5" customHeight="1">
      <c r="A1299" s="120">
        <v>104094</v>
      </c>
      <c r="B1299" s="119" t="s">
        <v>2839</v>
      </c>
      <c r="C1299" s="120" t="s">
        <v>324</v>
      </c>
      <c r="D1299" s="441">
        <v>0.09</v>
      </c>
    </row>
    <row r="1300" spans="1:4" ht="31.5" customHeight="1">
      <c r="A1300" s="120">
        <v>104095</v>
      </c>
      <c r="B1300" s="119" t="s">
        <v>2840</v>
      </c>
      <c r="C1300" s="120" t="s">
        <v>324</v>
      </c>
      <c r="D1300" s="441">
        <v>0.1</v>
      </c>
    </row>
    <row r="1301" spans="1:4" ht="31.5" customHeight="1">
      <c r="A1301" s="120">
        <v>104096</v>
      </c>
      <c r="B1301" s="119" t="s">
        <v>2841</v>
      </c>
      <c r="C1301" s="120" t="s">
        <v>324</v>
      </c>
      <c r="D1301" s="441">
        <v>0.6</v>
      </c>
    </row>
    <row r="1302" spans="1:4" ht="31.5" customHeight="1">
      <c r="A1302" s="120">
        <v>104519</v>
      </c>
      <c r="B1302" s="119" t="s">
        <v>2842</v>
      </c>
      <c r="C1302" s="120" t="s">
        <v>324</v>
      </c>
      <c r="D1302" s="441">
        <v>0.4</v>
      </c>
    </row>
    <row r="1303" spans="1:4" ht="31.5" customHeight="1">
      <c r="A1303" s="120">
        <v>92259</v>
      </c>
      <c r="B1303" s="119" t="s">
        <v>2843</v>
      </c>
      <c r="C1303" s="120" t="s">
        <v>331</v>
      </c>
      <c r="D1303" s="441">
        <v>578.41</v>
      </c>
    </row>
    <row r="1304" spans="1:4" ht="31.5" customHeight="1">
      <c r="A1304" s="120">
        <v>92260</v>
      </c>
      <c r="B1304" s="119" t="s">
        <v>2844</v>
      </c>
      <c r="C1304" s="120" t="s">
        <v>331</v>
      </c>
      <c r="D1304" s="441">
        <v>654.83000000000004</v>
      </c>
    </row>
    <row r="1305" spans="1:4" ht="31.5" customHeight="1">
      <c r="A1305" s="120">
        <v>92261</v>
      </c>
      <c r="B1305" s="119" t="s">
        <v>2845</v>
      </c>
      <c r="C1305" s="120" t="s">
        <v>331</v>
      </c>
      <c r="D1305" s="441">
        <v>728.91</v>
      </c>
    </row>
    <row r="1306" spans="1:4" ht="31.5" customHeight="1">
      <c r="A1306" s="120">
        <v>92262</v>
      </c>
      <c r="B1306" s="119" t="s">
        <v>2846</v>
      </c>
      <c r="C1306" s="120" t="s">
        <v>331</v>
      </c>
      <c r="D1306" s="441">
        <v>848.21</v>
      </c>
    </row>
    <row r="1307" spans="1:4" ht="31.5" customHeight="1">
      <c r="A1307" s="120">
        <v>92539</v>
      </c>
      <c r="B1307" s="119" t="s">
        <v>2847</v>
      </c>
      <c r="C1307" s="120" t="s">
        <v>951</v>
      </c>
      <c r="D1307" s="441">
        <v>98.6</v>
      </c>
    </row>
    <row r="1308" spans="1:4" ht="31.5" customHeight="1">
      <c r="A1308" s="120">
        <v>92540</v>
      </c>
      <c r="B1308" s="119" t="s">
        <v>2848</v>
      </c>
      <c r="C1308" s="120" t="s">
        <v>951</v>
      </c>
      <c r="D1308" s="441">
        <v>110.07</v>
      </c>
    </row>
    <row r="1309" spans="1:4" ht="31.5" customHeight="1">
      <c r="A1309" s="120">
        <v>92541</v>
      </c>
      <c r="B1309" s="119" t="s">
        <v>2849</v>
      </c>
      <c r="C1309" s="120" t="s">
        <v>951</v>
      </c>
      <c r="D1309" s="441">
        <v>106.52</v>
      </c>
    </row>
    <row r="1310" spans="1:4" ht="31.5" customHeight="1">
      <c r="A1310" s="120">
        <v>92542</v>
      </c>
      <c r="B1310" s="119" t="s">
        <v>2850</v>
      </c>
      <c r="C1310" s="120" t="s">
        <v>951</v>
      </c>
      <c r="D1310" s="441">
        <v>128.91999999999999</v>
      </c>
    </row>
    <row r="1311" spans="1:4" ht="31.5" customHeight="1">
      <c r="A1311" s="120">
        <v>92543</v>
      </c>
      <c r="B1311" s="119" t="s">
        <v>2851</v>
      </c>
      <c r="C1311" s="120" t="s">
        <v>951</v>
      </c>
      <c r="D1311" s="441">
        <v>29.97</v>
      </c>
    </row>
    <row r="1312" spans="1:4" ht="31.5" customHeight="1">
      <c r="A1312" s="120">
        <v>92544</v>
      </c>
      <c r="B1312" s="119" t="s">
        <v>2852</v>
      </c>
      <c r="C1312" s="120" t="s">
        <v>951</v>
      </c>
      <c r="D1312" s="441">
        <v>23.88</v>
      </c>
    </row>
    <row r="1313" spans="1:4" ht="31.5" customHeight="1">
      <c r="A1313" s="120">
        <v>92545</v>
      </c>
      <c r="B1313" s="119" t="s">
        <v>2853</v>
      </c>
      <c r="C1313" s="120" t="s">
        <v>331</v>
      </c>
      <c r="D1313" s="442">
        <v>1259.23</v>
      </c>
    </row>
    <row r="1314" spans="1:4" ht="31.5" customHeight="1">
      <c r="A1314" s="120">
        <v>92546</v>
      </c>
      <c r="B1314" s="119" t="s">
        <v>2854</v>
      </c>
      <c r="C1314" s="120" t="s">
        <v>331</v>
      </c>
      <c r="D1314" s="442">
        <v>1552.15</v>
      </c>
    </row>
    <row r="1315" spans="1:4" ht="31.5" customHeight="1">
      <c r="A1315" s="120">
        <v>92547</v>
      </c>
      <c r="B1315" s="119" t="s">
        <v>2855</v>
      </c>
      <c r="C1315" s="120" t="s">
        <v>331</v>
      </c>
      <c r="D1315" s="442">
        <v>1645.95</v>
      </c>
    </row>
    <row r="1316" spans="1:4" ht="31.5" customHeight="1">
      <c r="A1316" s="120">
        <v>92548</v>
      </c>
      <c r="B1316" s="119" t="s">
        <v>2856</v>
      </c>
      <c r="C1316" s="120" t="s">
        <v>331</v>
      </c>
      <c r="D1316" s="442">
        <v>1834.71</v>
      </c>
    </row>
    <row r="1317" spans="1:4" ht="31.5" customHeight="1">
      <c r="A1317" s="120">
        <v>92549</v>
      </c>
      <c r="B1317" s="119" t="s">
        <v>2857</v>
      </c>
      <c r="C1317" s="120" t="s">
        <v>331</v>
      </c>
      <c r="D1317" s="442">
        <v>2294.08</v>
      </c>
    </row>
    <row r="1318" spans="1:4" ht="31.5" customHeight="1">
      <c r="A1318" s="120">
        <v>92550</v>
      </c>
      <c r="B1318" s="119" t="s">
        <v>2858</v>
      </c>
      <c r="C1318" s="120" t="s">
        <v>331</v>
      </c>
      <c r="D1318" s="442">
        <v>2794.88</v>
      </c>
    </row>
    <row r="1319" spans="1:4" ht="31.5" customHeight="1">
      <c r="A1319" s="120">
        <v>92551</v>
      </c>
      <c r="B1319" s="119" t="s">
        <v>2859</v>
      </c>
      <c r="C1319" s="120" t="s">
        <v>331</v>
      </c>
      <c r="D1319" s="442">
        <v>2915.71</v>
      </c>
    </row>
    <row r="1320" spans="1:4" ht="31.5" customHeight="1">
      <c r="A1320" s="120">
        <v>92552</v>
      </c>
      <c r="B1320" s="119" t="s">
        <v>2860</v>
      </c>
      <c r="C1320" s="120" t="s">
        <v>331</v>
      </c>
      <c r="D1320" s="442">
        <v>3174.41</v>
      </c>
    </row>
    <row r="1321" spans="1:4" ht="31.5" customHeight="1">
      <c r="A1321" s="120">
        <v>92553</v>
      </c>
      <c r="B1321" s="119" t="s">
        <v>2861</v>
      </c>
      <c r="C1321" s="120" t="s">
        <v>331</v>
      </c>
      <c r="D1321" s="442">
        <v>3645.13</v>
      </c>
    </row>
    <row r="1322" spans="1:4" ht="31.5" customHeight="1">
      <c r="A1322" s="120">
        <v>92554</v>
      </c>
      <c r="B1322" s="119" t="s">
        <v>2862</v>
      </c>
      <c r="C1322" s="120" t="s">
        <v>331</v>
      </c>
      <c r="D1322" s="442">
        <v>3783.74</v>
      </c>
    </row>
    <row r="1323" spans="1:4" ht="31.5" customHeight="1">
      <c r="A1323" s="120">
        <v>92555</v>
      </c>
      <c r="B1323" s="119" t="s">
        <v>2863</v>
      </c>
      <c r="C1323" s="120" t="s">
        <v>331</v>
      </c>
      <c r="D1323" s="442">
        <v>1240.67</v>
      </c>
    </row>
    <row r="1324" spans="1:4" ht="31.5" customHeight="1">
      <c r="A1324" s="120">
        <v>92556</v>
      </c>
      <c r="B1324" s="119" t="s">
        <v>2864</v>
      </c>
      <c r="C1324" s="120" t="s">
        <v>331</v>
      </c>
      <c r="D1324" s="442">
        <v>1519.63</v>
      </c>
    </row>
    <row r="1325" spans="1:4" ht="31.5" customHeight="1">
      <c r="A1325" s="120">
        <v>92557</v>
      </c>
      <c r="B1325" s="119" t="s">
        <v>2865</v>
      </c>
      <c r="C1325" s="120" t="s">
        <v>331</v>
      </c>
      <c r="D1325" s="442">
        <v>1613.42</v>
      </c>
    </row>
    <row r="1326" spans="1:4" ht="31.5" customHeight="1">
      <c r="A1326" s="120">
        <v>92558</v>
      </c>
      <c r="B1326" s="119" t="s">
        <v>2866</v>
      </c>
      <c r="C1326" s="120" t="s">
        <v>331</v>
      </c>
      <c r="D1326" s="442">
        <v>1816.15</v>
      </c>
    </row>
    <row r="1327" spans="1:4" ht="31.5" customHeight="1">
      <c r="A1327" s="120">
        <v>92559</v>
      </c>
      <c r="B1327" s="119" t="s">
        <v>2867</v>
      </c>
      <c r="C1327" s="120" t="s">
        <v>331</v>
      </c>
      <c r="D1327" s="442">
        <v>2259.52</v>
      </c>
    </row>
    <row r="1328" spans="1:4" ht="31.5" customHeight="1">
      <c r="A1328" s="120">
        <v>92560</v>
      </c>
      <c r="B1328" s="119" t="s">
        <v>2868</v>
      </c>
      <c r="C1328" s="120" t="s">
        <v>331</v>
      </c>
      <c r="D1328" s="442">
        <v>2747.81</v>
      </c>
    </row>
    <row r="1329" spans="1:4" ht="31.5" customHeight="1">
      <c r="A1329" s="120">
        <v>92561</v>
      </c>
      <c r="B1329" s="119" t="s">
        <v>2869</v>
      </c>
      <c r="C1329" s="120" t="s">
        <v>331</v>
      </c>
      <c r="D1329" s="442">
        <v>2869.92</v>
      </c>
    </row>
    <row r="1330" spans="1:4" ht="31.5" customHeight="1">
      <c r="A1330" s="120">
        <v>92562</v>
      </c>
      <c r="B1330" s="119" t="s">
        <v>2870</v>
      </c>
      <c r="C1330" s="120" t="s">
        <v>331</v>
      </c>
      <c r="D1330" s="442">
        <v>3096.1</v>
      </c>
    </row>
    <row r="1331" spans="1:4" ht="31.5" customHeight="1">
      <c r="A1331" s="120">
        <v>92563</v>
      </c>
      <c r="B1331" s="119" t="s">
        <v>2871</v>
      </c>
      <c r="C1331" s="120" t="s">
        <v>331</v>
      </c>
      <c r="D1331" s="442">
        <v>3553.56</v>
      </c>
    </row>
    <row r="1332" spans="1:4" ht="31.5" customHeight="1">
      <c r="A1332" s="120">
        <v>92564</v>
      </c>
      <c r="B1332" s="119" t="s">
        <v>2872</v>
      </c>
      <c r="C1332" s="120" t="s">
        <v>331</v>
      </c>
      <c r="D1332" s="442">
        <v>3671.58</v>
      </c>
    </row>
    <row r="1333" spans="1:4" ht="31.5" customHeight="1">
      <c r="A1333" s="120">
        <v>92565</v>
      </c>
      <c r="B1333" s="119" t="s">
        <v>2873</v>
      </c>
      <c r="C1333" s="120" t="s">
        <v>951</v>
      </c>
      <c r="D1333" s="441">
        <v>47.59</v>
      </c>
    </row>
    <row r="1334" spans="1:4" ht="47.25" customHeight="1">
      <c r="A1334" s="120">
        <v>92566</v>
      </c>
      <c r="B1334" s="119" t="s">
        <v>2874</v>
      </c>
      <c r="C1334" s="120" t="s">
        <v>951</v>
      </c>
      <c r="D1334" s="441">
        <v>29.97</v>
      </c>
    </row>
    <row r="1335" spans="1:4" ht="31.5" customHeight="1">
      <c r="A1335" s="120">
        <v>92567</v>
      </c>
      <c r="B1335" s="119" t="s">
        <v>2875</v>
      </c>
      <c r="C1335" s="120" t="s">
        <v>951</v>
      </c>
      <c r="D1335" s="441">
        <v>42.81</v>
      </c>
    </row>
    <row r="1336" spans="1:4" ht="47.25" customHeight="1">
      <c r="A1336" s="120">
        <v>100379</v>
      </c>
      <c r="B1336" s="119" t="s">
        <v>2876</v>
      </c>
      <c r="C1336" s="120" t="s">
        <v>951</v>
      </c>
      <c r="D1336" s="441">
        <v>47.59</v>
      </c>
    </row>
    <row r="1337" spans="1:4" ht="47.25" customHeight="1">
      <c r="A1337" s="120">
        <v>100380</v>
      </c>
      <c r="B1337" s="119" t="s">
        <v>2877</v>
      </c>
      <c r="C1337" s="120" t="s">
        <v>951</v>
      </c>
      <c r="D1337" s="441">
        <v>62.79</v>
      </c>
    </row>
    <row r="1338" spans="1:4" ht="47.25" customHeight="1">
      <c r="A1338" s="120">
        <v>100381</v>
      </c>
      <c r="B1338" s="119" t="s">
        <v>2878</v>
      </c>
      <c r="C1338" s="120" t="s">
        <v>951</v>
      </c>
      <c r="D1338" s="441">
        <v>70.25</v>
      </c>
    </row>
    <row r="1339" spans="1:4" ht="47.25" customHeight="1">
      <c r="A1339" s="120">
        <v>100383</v>
      </c>
      <c r="B1339" s="119" t="s">
        <v>2879</v>
      </c>
      <c r="C1339" s="120" t="s">
        <v>951</v>
      </c>
      <c r="D1339" s="441">
        <v>32.49</v>
      </c>
    </row>
    <row r="1340" spans="1:4" ht="47.25" customHeight="1">
      <c r="A1340" s="120">
        <v>100384</v>
      </c>
      <c r="B1340" s="119" t="s">
        <v>2880</v>
      </c>
      <c r="C1340" s="120" t="s">
        <v>951</v>
      </c>
      <c r="D1340" s="441">
        <v>34.04</v>
      </c>
    </row>
    <row r="1341" spans="1:4" ht="47.25" customHeight="1">
      <c r="A1341" s="120">
        <v>100385</v>
      </c>
      <c r="B1341" s="119" t="s">
        <v>2881</v>
      </c>
      <c r="C1341" s="120" t="s">
        <v>951</v>
      </c>
      <c r="D1341" s="441">
        <v>42.81</v>
      </c>
    </row>
    <row r="1342" spans="1:4" ht="47.25" customHeight="1">
      <c r="A1342" s="120">
        <v>100386</v>
      </c>
      <c r="B1342" s="119" t="s">
        <v>2882</v>
      </c>
      <c r="C1342" s="120" t="s">
        <v>951</v>
      </c>
      <c r="D1342" s="441">
        <v>54.95</v>
      </c>
    </row>
    <row r="1343" spans="1:4" ht="47.25" customHeight="1">
      <c r="A1343" s="120">
        <v>100387</v>
      </c>
      <c r="B1343" s="119" t="s">
        <v>2883</v>
      </c>
      <c r="C1343" s="120" t="s">
        <v>951</v>
      </c>
      <c r="D1343" s="441">
        <v>67.37</v>
      </c>
    </row>
    <row r="1344" spans="1:4" ht="31.5" customHeight="1">
      <c r="A1344" s="120">
        <v>100388</v>
      </c>
      <c r="B1344" s="119" t="s">
        <v>2884</v>
      </c>
      <c r="C1344" s="120" t="s">
        <v>951</v>
      </c>
      <c r="D1344" s="441">
        <v>24.19</v>
      </c>
    </row>
    <row r="1345" spans="1:4" ht="31.5" customHeight="1">
      <c r="A1345" s="120">
        <v>100389</v>
      </c>
      <c r="B1345" s="119" t="s">
        <v>2885</v>
      </c>
      <c r="C1345" s="120" t="s">
        <v>951</v>
      </c>
      <c r="D1345" s="441">
        <v>21.27</v>
      </c>
    </row>
    <row r="1346" spans="1:4" ht="31.5" customHeight="1">
      <c r="A1346" s="120">
        <v>100390</v>
      </c>
      <c r="B1346" s="119" t="s">
        <v>2886</v>
      </c>
      <c r="C1346" s="120" t="s">
        <v>951</v>
      </c>
      <c r="D1346" s="441">
        <v>28.7</v>
      </c>
    </row>
    <row r="1347" spans="1:4" ht="31.5" customHeight="1">
      <c r="A1347" s="120">
        <v>100391</v>
      </c>
      <c r="B1347" s="119" t="s">
        <v>2887</v>
      </c>
      <c r="C1347" s="120" t="s">
        <v>951</v>
      </c>
      <c r="D1347" s="441">
        <v>24.27</v>
      </c>
    </row>
    <row r="1348" spans="1:4" ht="31.5" customHeight="1">
      <c r="A1348" s="120">
        <v>100392</v>
      </c>
      <c r="B1348" s="119" t="s">
        <v>2888</v>
      </c>
      <c r="C1348" s="120" t="s">
        <v>951</v>
      </c>
      <c r="D1348" s="441">
        <v>19.04</v>
      </c>
    </row>
    <row r="1349" spans="1:4" ht="31.5" customHeight="1">
      <c r="A1349" s="120">
        <v>100393</v>
      </c>
      <c r="B1349" s="119" t="s">
        <v>2889</v>
      </c>
      <c r="C1349" s="120" t="s">
        <v>951</v>
      </c>
      <c r="D1349" s="441">
        <v>24.42</v>
      </c>
    </row>
    <row r="1350" spans="1:4" ht="31.5" customHeight="1">
      <c r="A1350" s="120">
        <v>100394</v>
      </c>
      <c r="B1350" s="119" t="s">
        <v>2890</v>
      </c>
      <c r="C1350" s="120" t="s">
        <v>951</v>
      </c>
      <c r="D1350" s="441">
        <v>22.58</v>
      </c>
    </row>
    <row r="1351" spans="1:4" ht="31.5" customHeight="1">
      <c r="A1351" s="120">
        <v>100395</v>
      </c>
      <c r="B1351" s="119" t="s">
        <v>2891</v>
      </c>
      <c r="C1351" s="120" t="s">
        <v>951</v>
      </c>
      <c r="D1351" s="441">
        <v>28.94</v>
      </c>
    </row>
    <row r="1352" spans="1:4" ht="31.5" customHeight="1">
      <c r="A1352" s="120">
        <v>94189</v>
      </c>
      <c r="B1352" s="119" t="s">
        <v>2892</v>
      </c>
      <c r="C1352" s="120" t="s">
        <v>951</v>
      </c>
      <c r="D1352" s="441">
        <v>34.76</v>
      </c>
    </row>
    <row r="1353" spans="1:4" ht="31.5" customHeight="1">
      <c r="A1353" s="120">
        <v>94192</v>
      </c>
      <c r="B1353" s="119" t="s">
        <v>2893</v>
      </c>
      <c r="C1353" s="120" t="s">
        <v>951</v>
      </c>
      <c r="D1353" s="441">
        <v>37.83</v>
      </c>
    </row>
    <row r="1354" spans="1:4" ht="31.5" customHeight="1">
      <c r="A1354" s="120">
        <v>94195</v>
      </c>
      <c r="B1354" s="119" t="s">
        <v>2894</v>
      </c>
      <c r="C1354" s="120" t="s">
        <v>951</v>
      </c>
      <c r="D1354" s="441">
        <v>38.909999999999997</v>
      </c>
    </row>
    <row r="1355" spans="1:4" ht="31.5" customHeight="1">
      <c r="A1355" s="120">
        <v>94198</v>
      </c>
      <c r="B1355" s="119" t="s">
        <v>2895</v>
      </c>
      <c r="C1355" s="120" t="s">
        <v>951</v>
      </c>
      <c r="D1355" s="441">
        <v>42.98</v>
      </c>
    </row>
    <row r="1356" spans="1:4" ht="31.5" customHeight="1">
      <c r="A1356" s="120">
        <v>94201</v>
      </c>
      <c r="B1356" s="119" t="s">
        <v>2896</v>
      </c>
      <c r="C1356" s="120" t="s">
        <v>951</v>
      </c>
      <c r="D1356" s="441">
        <v>55.67</v>
      </c>
    </row>
    <row r="1357" spans="1:4" ht="31.5" customHeight="1">
      <c r="A1357" s="120">
        <v>94204</v>
      </c>
      <c r="B1357" s="119" t="s">
        <v>2897</v>
      </c>
      <c r="C1357" s="120" t="s">
        <v>951</v>
      </c>
      <c r="D1357" s="441">
        <v>62.57</v>
      </c>
    </row>
    <row r="1358" spans="1:4" ht="15.75" customHeight="1">
      <c r="A1358" s="120">
        <v>94224</v>
      </c>
      <c r="B1358" s="119" t="s">
        <v>2898</v>
      </c>
      <c r="C1358" s="120" t="s">
        <v>328</v>
      </c>
      <c r="D1358" s="441">
        <v>29.07</v>
      </c>
    </row>
    <row r="1359" spans="1:4" ht="31.5" customHeight="1">
      <c r="A1359" s="120">
        <v>94226</v>
      </c>
      <c r="B1359" s="119" t="s">
        <v>2899</v>
      </c>
      <c r="C1359" s="120" t="s">
        <v>951</v>
      </c>
      <c r="D1359" s="441">
        <v>20.059999999999999</v>
      </c>
    </row>
    <row r="1360" spans="1:4" ht="15.75" customHeight="1">
      <c r="A1360" s="120">
        <v>94232</v>
      </c>
      <c r="B1360" s="119" t="s">
        <v>2900</v>
      </c>
      <c r="C1360" s="120" t="s">
        <v>331</v>
      </c>
      <c r="D1360" s="441">
        <v>3.41</v>
      </c>
    </row>
    <row r="1361" spans="1:4" ht="31.5" customHeight="1">
      <c r="A1361" s="120">
        <v>94440</v>
      </c>
      <c r="B1361" s="119" t="s">
        <v>2901</v>
      </c>
      <c r="C1361" s="120" t="s">
        <v>951</v>
      </c>
      <c r="D1361" s="441">
        <v>38.909999999999997</v>
      </c>
    </row>
    <row r="1362" spans="1:4" ht="31.5" customHeight="1">
      <c r="A1362" s="120">
        <v>94441</v>
      </c>
      <c r="B1362" s="119" t="s">
        <v>2902</v>
      </c>
      <c r="C1362" s="120" t="s">
        <v>951</v>
      </c>
      <c r="D1362" s="441">
        <v>42.98</v>
      </c>
    </row>
    <row r="1363" spans="1:4" ht="31.5" customHeight="1">
      <c r="A1363" s="120">
        <v>94442</v>
      </c>
      <c r="B1363" s="119" t="s">
        <v>2903</v>
      </c>
      <c r="C1363" s="120" t="s">
        <v>951</v>
      </c>
      <c r="D1363" s="441">
        <v>38.909999999999997</v>
      </c>
    </row>
    <row r="1364" spans="1:4" ht="31.5" customHeight="1">
      <c r="A1364" s="120">
        <v>94443</v>
      </c>
      <c r="B1364" s="119" t="s">
        <v>2904</v>
      </c>
      <c r="C1364" s="120" t="s">
        <v>951</v>
      </c>
      <c r="D1364" s="441">
        <v>42.98</v>
      </c>
    </row>
    <row r="1365" spans="1:4" ht="31.5" customHeight="1">
      <c r="A1365" s="120">
        <v>94445</v>
      </c>
      <c r="B1365" s="119" t="s">
        <v>2905</v>
      </c>
      <c r="C1365" s="120" t="s">
        <v>951</v>
      </c>
      <c r="D1365" s="441">
        <v>55.67</v>
      </c>
    </row>
    <row r="1366" spans="1:4" ht="31.5" customHeight="1">
      <c r="A1366" s="120">
        <v>94446</v>
      </c>
      <c r="B1366" s="119" t="s">
        <v>2906</v>
      </c>
      <c r="C1366" s="120" t="s">
        <v>951</v>
      </c>
      <c r="D1366" s="441">
        <v>62.57</v>
      </c>
    </row>
    <row r="1367" spans="1:4" ht="31.5" customHeight="1">
      <c r="A1367" s="120">
        <v>94447</v>
      </c>
      <c r="B1367" s="119" t="s">
        <v>2907</v>
      </c>
      <c r="C1367" s="120" t="s">
        <v>951</v>
      </c>
      <c r="D1367" s="441">
        <v>55.67</v>
      </c>
    </row>
    <row r="1368" spans="1:4" ht="31.5" customHeight="1">
      <c r="A1368" s="120">
        <v>94448</v>
      </c>
      <c r="B1368" s="119" t="s">
        <v>2908</v>
      </c>
      <c r="C1368" s="120" t="s">
        <v>951</v>
      </c>
      <c r="D1368" s="441">
        <v>62.57</v>
      </c>
    </row>
    <row r="1369" spans="1:4" ht="31.5" customHeight="1">
      <c r="A1369" s="120">
        <v>94207</v>
      </c>
      <c r="B1369" s="119" t="s">
        <v>2909</v>
      </c>
      <c r="C1369" s="120" t="s">
        <v>951</v>
      </c>
      <c r="D1369" s="441">
        <v>47.59</v>
      </c>
    </row>
    <row r="1370" spans="1:4" ht="31.5" customHeight="1">
      <c r="A1370" s="120">
        <v>94210</v>
      </c>
      <c r="B1370" s="119" t="s">
        <v>2910</v>
      </c>
      <c r="C1370" s="120" t="s">
        <v>951</v>
      </c>
      <c r="D1370" s="441">
        <v>50.71</v>
      </c>
    </row>
    <row r="1371" spans="1:4" ht="31.5" customHeight="1">
      <c r="A1371" s="120">
        <v>94218</v>
      </c>
      <c r="B1371" s="119" t="s">
        <v>2911</v>
      </c>
      <c r="C1371" s="120" t="s">
        <v>951</v>
      </c>
      <c r="D1371" s="441">
        <v>123.77</v>
      </c>
    </row>
    <row r="1372" spans="1:4" ht="15.75" customHeight="1">
      <c r="A1372" s="120">
        <v>94213</v>
      </c>
      <c r="B1372" s="119" t="s">
        <v>2912</v>
      </c>
      <c r="C1372" s="120" t="s">
        <v>951</v>
      </c>
      <c r="D1372" s="441">
        <v>79.680000000000007</v>
      </c>
    </row>
    <row r="1373" spans="1:4" ht="31.5" customHeight="1">
      <c r="A1373" s="120">
        <v>94216</v>
      </c>
      <c r="B1373" s="119" t="s">
        <v>2913</v>
      </c>
      <c r="C1373" s="120" t="s">
        <v>951</v>
      </c>
      <c r="D1373" s="441">
        <v>233.59</v>
      </c>
    </row>
    <row r="1374" spans="1:4" ht="31.5" customHeight="1">
      <c r="A1374" s="120">
        <v>94219</v>
      </c>
      <c r="B1374" s="119" t="s">
        <v>2914</v>
      </c>
      <c r="C1374" s="120" t="s">
        <v>328</v>
      </c>
      <c r="D1374" s="441">
        <v>35.31</v>
      </c>
    </row>
    <row r="1375" spans="1:4" ht="31.5" customHeight="1">
      <c r="A1375" s="120">
        <v>94220</v>
      </c>
      <c r="B1375" s="119" t="s">
        <v>2915</v>
      </c>
      <c r="C1375" s="120" t="s">
        <v>328</v>
      </c>
      <c r="D1375" s="441">
        <v>51.3</v>
      </c>
    </row>
    <row r="1376" spans="1:4" ht="31.5" customHeight="1">
      <c r="A1376" s="120">
        <v>94221</v>
      </c>
      <c r="B1376" s="119" t="s">
        <v>2916</v>
      </c>
      <c r="C1376" s="120" t="s">
        <v>328</v>
      </c>
      <c r="D1376" s="441">
        <v>27.28</v>
      </c>
    </row>
    <row r="1377" spans="1:4" ht="31.5" customHeight="1">
      <c r="A1377" s="120">
        <v>94222</v>
      </c>
      <c r="B1377" s="119" t="s">
        <v>2917</v>
      </c>
      <c r="C1377" s="120" t="s">
        <v>328</v>
      </c>
      <c r="D1377" s="441">
        <v>43.27</v>
      </c>
    </row>
    <row r="1378" spans="1:4" ht="31.5" customHeight="1">
      <c r="A1378" s="120">
        <v>94223</v>
      </c>
      <c r="B1378" s="119" t="s">
        <v>2918</v>
      </c>
      <c r="C1378" s="120" t="s">
        <v>328</v>
      </c>
      <c r="D1378" s="441">
        <v>78.37</v>
      </c>
    </row>
    <row r="1379" spans="1:4" ht="31.5" customHeight="1">
      <c r="A1379" s="120">
        <v>94451</v>
      </c>
      <c r="B1379" s="119" t="s">
        <v>2919</v>
      </c>
      <c r="C1379" s="120" t="s">
        <v>328</v>
      </c>
      <c r="D1379" s="441">
        <v>87.89</v>
      </c>
    </row>
    <row r="1380" spans="1:4" ht="31.5" customHeight="1">
      <c r="A1380" s="120">
        <v>100325</v>
      </c>
      <c r="B1380" s="119" t="s">
        <v>2920</v>
      </c>
      <c r="C1380" s="120" t="s">
        <v>328</v>
      </c>
      <c r="D1380" s="441">
        <v>85.1</v>
      </c>
    </row>
    <row r="1381" spans="1:4" ht="31.5" customHeight="1">
      <c r="A1381" s="120">
        <v>100327</v>
      </c>
      <c r="B1381" s="119" t="s">
        <v>2921</v>
      </c>
      <c r="C1381" s="120" t="s">
        <v>328</v>
      </c>
      <c r="D1381" s="441">
        <v>70.430000000000007</v>
      </c>
    </row>
    <row r="1382" spans="1:4" ht="31.5" customHeight="1">
      <c r="A1382" s="120">
        <v>100328</v>
      </c>
      <c r="B1382" s="119" t="s">
        <v>2922</v>
      </c>
      <c r="C1382" s="120" t="s">
        <v>951</v>
      </c>
      <c r="D1382" s="441">
        <v>15.68</v>
      </c>
    </row>
    <row r="1383" spans="1:4" ht="31.5" customHeight="1">
      <c r="A1383" s="120">
        <v>100329</v>
      </c>
      <c r="B1383" s="119" t="s">
        <v>2923</v>
      </c>
      <c r="C1383" s="120" t="s">
        <v>951</v>
      </c>
      <c r="D1383" s="441">
        <v>19.75</v>
      </c>
    </row>
    <row r="1384" spans="1:4" ht="31.5" customHeight="1">
      <c r="A1384" s="120">
        <v>100330</v>
      </c>
      <c r="B1384" s="119" t="s">
        <v>2924</v>
      </c>
      <c r="C1384" s="120" t="s">
        <v>951</v>
      </c>
      <c r="D1384" s="441">
        <v>21.24</v>
      </c>
    </row>
    <row r="1385" spans="1:4" ht="31.5" customHeight="1">
      <c r="A1385" s="120">
        <v>100331</v>
      </c>
      <c r="B1385" s="119" t="s">
        <v>2925</v>
      </c>
      <c r="C1385" s="120" t="s">
        <v>951</v>
      </c>
      <c r="D1385" s="441">
        <v>28.19</v>
      </c>
    </row>
    <row r="1386" spans="1:4" ht="31.5" customHeight="1">
      <c r="A1386" s="120">
        <v>100434</v>
      </c>
      <c r="B1386" s="119" t="s">
        <v>2926</v>
      </c>
      <c r="C1386" s="120" t="s">
        <v>328</v>
      </c>
      <c r="D1386" s="441">
        <v>166.12</v>
      </c>
    </row>
    <row r="1387" spans="1:4" ht="31.5" customHeight="1">
      <c r="A1387" s="120">
        <v>100435</v>
      </c>
      <c r="B1387" s="119" t="s">
        <v>2927</v>
      </c>
      <c r="C1387" s="120" t="s">
        <v>328</v>
      </c>
      <c r="D1387" s="441">
        <v>64.069999999999993</v>
      </c>
    </row>
    <row r="1388" spans="1:4" ht="31.5" customHeight="1">
      <c r="A1388" s="120">
        <v>94227</v>
      </c>
      <c r="B1388" s="119" t="s">
        <v>2928</v>
      </c>
      <c r="C1388" s="120" t="s">
        <v>328</v>
      </c>
      <c r="D1388" s="441">
        <v>79.58</v>
      </c>
    </row>
    <row r="1389" spans="1:4" ht="31.5" customHeight="1">
      <c r="A1389" s="120">
        <v>94228</v>
      </c>
      <c r="B1389" s="119" t="s">
        <v>2929</v>
      </c>
      <c r="C1389" s="120" t="s">
        <v>328</v>
      </c>
      <c r="D1389" s="441">
        <v>107.22</v>
      </c>
    </row>
    <row r="1390" spans="1:4" ht="31.5" customHeight="1">
      <c r="A1390" s="120">
        <v>94229</v>
      </c>
      <c r="B1390" s="119" t="s">
        <v>2930</v>
      </c>
      <c r="C1390" s="120" t="s">
        <v>328</v>
      </c>
      <c r="D1390" s="441">
        <v>207.23</v>
      </c>
    </row>
    <row r="1391" spans="1:4" ht="31.5" customHeight="1">
      <c r="A1391" s="120">
        <v>94231</v>
      </c>
      <c r="B1391" s="119" t="s">
        <v>2931</v>
      </c>
      <c r="C1391" s="120" t="s">
        <v>328</v>
      </c>
      <c r="D1391" s="441">
        <v>62.87</v>
      </c>
    </row>
    <row r="1392" spans="1:4" ht="31.5" customHeight="1">
      <c r="A1392" s="120">
        <v>94449</v>
      </c>
      <c r="B1392" s="119" t="s">
        <v>2932</v>
      </c>
      <c r="C1392" s="120" t="s">
        <v>951</v>
      </c>
      <c r="D1392" s="441">
        <v>67.16</v>
      </c>
    </row>
    <row r="1393" spans="1:4" ht="31.5" customHeight="1">
      <c r="A1393" s="120">
        <v>92255</v>
      </c>
      <c r="B1393" s="119" t="s">
        <v>2933</v>
      </c>
      <c r="C1393" s="120" t="s">
        <v>331</v>
      </c>
      <c r="D1393" s="441">
        <v>208.8</v>
      </c>
    </row>
    <row r="1394" spans="1:4" ht="31.5" customHeight="1">
      <c r="A1394" s="120">
        <v>92256</v>
      </c>
      <c r="B1394" s="119" t="s">
        <v>2934</v>
      </c>
      <c r="C1394" s="120" t="s">
        <v>331</v>
      </c>
      <c r="D1394" s="441">
        <v>261.95999999999998</v>
      </c>
    </row>
    <row r="1395" spans="1:4" ht="31.5" customHeight="1">
      <c r="A1395" s="120">
        <v>92257</v>
      </c>
      <c r="B1395" s="119" t="s">
        <v>2935</v>
      </c>
      <c r="C1395" s="120" t="s">
        <v>331</v>
      </c>
      <c r="D1395" s="441">
        <v>314.51</v>
      </c>
    </row>
    <row r="1396" spans="1:4" ht="31.5" customHeight="1">
      <c r="A1396" s="120">
        <v>92258</v>
      </c>
      <c r="B1396" s="119" t="s">
        <v>2936</v>
      </c>
      <c r="C1396" s="120" t="s">
        <v>331</v>
      </c>
      <c r="D1396" s="441">
        <v>399.01</v>
      </c>
    </row>
    <row r="1397" spans="1:4" ht="31.5" customHeight="1">
      <c r="A1397" s="120">
        <v>92568</v>
      </c>
      <c r="B1397" s="119" t="s">
        <v>2937</v>
      </c>
      <c r="C1397" s="120" t="s">
        <v>951</v>
      </c>
      <c r="D1397" s="441">
        <v>148.41</v>
      </c>
    </row>
    <row r="1398" spans="1:4" ht="31.5" customHeight="1">
      <c r="A1398" s="120">
        <v>92569</v>
      </c>
      <c r="B1398" s="119" t="s">
        <v>2938</v>
      </c>
      <c r="C1398" s="120" t="s">
        <v>951</v>
      </c>
      <c r="D1398" s="441">
        <v>82.23</v>
      </c>
    </row>
    <row r="1399" spans="1:4" ht="31.5" customHeight="1">
      <c r="A1399" s="120">
        <v>92570</v>
      </c>
      <c r="B1399" s="119" t="s">
        <v>2939</v>
      </c>
      <c r="C1399" s="120" t="s">
        <v>951</v>
      </c>
      <c r="D1399" s="441">
        <v>51.77</v>
      </c>
    </row>
    <row r="1400" spans="1:4" ht="31.5" customHeight="1">
      <c r="A1400" s="120">
        <v>92571</v>
      </c>
      <c r="B1400" s="119" t="s">
        <v>2940</v>
      </c>
      <c r="C1400" s="120" t="s">
        <v>951</v>
      </c>
      <c r="D1400" s="441">
        <v>158.66</v>
      </c>
    </row>
    <row r="1401" spans="1:4" ht="31.5" customHeight="1">
      <c r="A1401" s="120">
        <v>92572</v>
      </c>
      <c r="B1401" s="119" t="s">
        <v>2941</v>
      </c>
      <c r="C1401" s="120" t="s">
        <v>951</v>
      </c>
      <c r="D1401" s="441">
        <v>94.67</v>
      </c>
    </row>
    <row r="1402" spans="1:4" ht="31.5" customHeight="1">
      <c r="A1402" s="120">
        <v>92573</v>
      </c>
      <c r="B1402" s="119" t="s">
        <v>2942</v>
      </c>
      <c r="C1402" s="120" t="s">
        <v>951</v>
      </c>
      <c r="D1402" s="441">
        <v>56.13</v>
      </c>
    </row>
    <row r="1403" spans="1:4" ht="31.5" customHeight="1">
      <c r="A1403" s="120">
        <v>92574</v>
      </c>
      <c r="B1403" s="119" t="s">
        <v>2943</v>
      </c>
      <c r="C1403" s="120" t="s">
        <v>951</v>
      </c>
      <c r="D1403" s="441">
        <v>150.94</v>
      </c>
    </row>
    <row r="1404" spans="1:4" ht="31.5" customHeight="1">
      <c r="A1404" s="120">
        <v>92575</v>
      </c>
      <c r="B1404" s="119" t="s">
        <v>2944</v>
      </c>
      <c r="C1404" s="120" t="s">
        <v>951</v>
      </c>
      <c r="D1404" s="441">
        <v>75.28</v>
      </c>
    </row>
    <row r="1405" spans="1:4" ht="31.5" customHeight="1">
      <c r="A1405" s="120">
        <v>92576</v>
      </c>
      <c r="B1405" s="119" t="s">
        <v>2945</v>
      </c>
      <c r="C1405" s="120" t="s">
        <v>951</v>
      </c>
      <c r="D1405" s="441">
        <v>40.82</v>
      </c>
    </row>
    <row r="1406" spans="1:4" ht="31.5" customHeight="1">
      <c r="A1406" s="120">
        <v>92577</v>
      </c>
      <c r="B1406" s="119" t="s">
        <v>2946</v>
      </c>
      <c r="C1406" s="120" t="s">
        <v>951</v>
      </c>
      <c r="D1406" s="441">
        <v>161.66999999999999</v>
      </c>
    </row>
    <row r="1407" spans="1:4" ht="31.5" customHeight="1">
      <c r="A1407" s="120">
        <v>92578</v>
      </c>
      <c r="B1407" s="119" t="s">
        <v>2947</v>
      </c>
      <c r="C1407" s="120" t="s">
        <v>951</v>
      </c>
      <c r="D1407" s="441">
        <v>81.28</v>
      </c>
    </row>
    <row r="1408" spans="1:4" ht="31.5" customHeight="1">
      <c r="A1408" s="120">
        <v>92579</v>
      </c>
      <c r="B1408" s="119" t="s">
        <v>2948</v>
      </c>
      <c r="C1408" s="120" t="s">
        <v>951</v>
      </c>
      <c r="D1408" s="441">
        <v>44.31</v>
      </c>
    </row>
    <row r="1409" spans="1:4" ht="31.5" customHeight="1">
      <c r="A1409" s="120">
        <v>92580</v>
      </c>
      <c r="B1409" s="119" t="s">
        <v>2949</v>
      </c>
      <c r="C1409" s="120" t="s">
        <v>951</v>
      </c>
      <c r="D1409" s="441">
        <v>55.67</v>
      </c>
    </row>
    <row r="1410" spans="1:4" ht="31.5" customHeight="1">
      <c r="A1410" s="120">
        <v>92581</v>
      </c>
      <c r="B1410" s="119" t="s">
        <v>2950</v>
      </c>
      <c r="C1410" s="120" t="s">
        <v>951</v>
      </c>
      <c r="D1410" s="441">
        <v>57.97</v>
      </c>
    </row>
    <row r="1411" spans="1:4" ht="31.5" customHeight="1">
      <c r="A1411" s="120">
        <v>92582</v>
      </c>
      <c r="B1411" s="119" t="s">
        <v>2951</v>
      </c>
      <c r="C1411" s="120" t="s">
        <v>331</v>
      </c>
      <c r="D1411" s="441">
        <v>808.58</v>
      </c>
    </row>
    <row r="1412" spans="1:4" ht="31.5" customHeight="1">
      <c r="A1412" s="120">
        <v>92584</v>
      </c>
      <c r="B1412" s="119" t="s">
        <v>2952</v>
      </c>
      <c r="C1412" s="120" t="s">
        <v>331</v>
      </c>
      <c r="D1412" s="441">
        <v>947.87</v>
      </c>
    </row>
    <row r="1413" spans="1:4" ht="31.5" customHeight="1">
      <c r="A1413" s="120">
        <v>92586</v>
      </c>
      <c r="B1413" s="119" t="s">
        <v>2953</v>
      </c>
      <c r="C1413" s="120" t="s">
        <v>331</v>
      </c>
      <c r="D1413" s="442">
        <v>1087.1400000000001</v>
      </c>
    </row>
    <row r="1414" spans="1:4" ht="31.5" customHeight="1">
      <c r="A1414" s="120">
        <v>92588</v>
      </c>
      <c r="B1414" s="119" t="s">
        <v>2954</v>
      </c>
      <c r="C1414" s="120" t="s">
        <v>331</v>
      </c>
      <c r="D1414" s="442">
        <v>1380.36</v>
      </c>
    </row>
    <row r="1415" spans="1:4" ht="31.5" customHeight="1">
      <c r="A1415" s="120">
        <v>92590</v>
      </c>
      <c r="B1415" s="119" t="s">
        <v>2955</v>
      </c>
      <c r="C1415" s="120" t="s">
        <v>331</v>
      </c>
      <c r="D1415" s="442">
        <v>1519.65</v>
      </c>
    </row>
    <row r="1416" spans="1:4" ht="31.5" customHeight="1">
      <c r="A1416" s="120">
        <v>92592</v>
      </c>
      <c r="B1416" s="119" t="s">
        <v>2956</v>
      </c>
      <c r="C1416" s="120" t="s">
        <v>331</v>
      </c>
      <c r="D1416" s="442">
        <v>1711.47</v>
      </c>
    </row>
    <row r="1417" spans="1:4" ht="31.5" customHeight="1">
      <c r="A1417" s="120">
        <v>92593</v>
      </c>
      <c r="B1417" s="119" t="s">
        <v>2957</v>
      </c>
      <c r="C1417" s="120" t="s">
        <v>327</v>
      </c>
      <c r="D1417" s="441">
        <v>13</v>
      </c>
    </row>
    <row r="1418" spans="1:4" ht="31.5" customHeight="1">
      <c r="A1418" s="120">
        <v>92594</v>
      </c>
      <c r="B1418" s="119" t="s">
        <v>2958</v>
      </c>
      <c r="C1418" s="120" t="s">
        <v>331</v>
      </c>
      <c r="D1418" s="442">
        <v>1986.77</v>
      </c>
    </row>
    <row r="1419" spans="1:4" ht="31.5" customHeight="1">
      <c r="A1419" s="120">
        <v>92596</v>
      </c>
      <c r="B1419" s="119" t="s">
        <v>2959</v>
      </c>
      <c r="C1419" s="120" t="s">
        <v>331</v>
      </c>
      <c r="D1419" s="442">
        <v>2216.52</v>
      </c>
    </row>
    <row r="1420" spans="1:4" ht="31.5" customHeight="1">
      <c r="A1420" s="120">
        <v>92598</v>
      </c>
      <c r="B1420" s="119" t="s">
        <v>2960</v>
      </c>
      <c r="C1420" s="120" t="s">
        <v>331</v>
      </c>
      <c r="D1420" s="442">
        <v>2355.8000000000002</v>
      </c>
    </row>
    <row r="1421" spans="1:4" ht="31.5" customHeight="1">
      <c r="A1421" s="120">
        <v>92600</v>
      </c>
      <c r="B1421" s="119" t="s">
        <v>2961</v>
      </c>
      <c r="C1421" s="120" t="s">
        <v>331</v>
      </c>
      <c r="D1421" s="442">
        <v>2530.33</v>
      </c>
    </row>
    <row r="1422" spans="1:4" ht="31.5" customHeight="1">
      <c r="A1422" s="120">
        <v>92602</v>
      </c>
      <c r="B1422" s="119" t="s">
        <v>2962</v>
      </c>
      <c r="C1422" s="120" t="s">
        <v>331</v>
      </c>
      <c r="D1422" s="441">
        <v>808.58</v>
      </c>
    </row>
    <row r="1423" spans="1:4" ht="31.5" customHeight="1">
      <c r="A1423" s="120">
        <v>92604</v>
      </c>
      <c r="B1423" s="119" t="s">
        <v>2963</v>
      </c>
      <c r="C1423" s="120" t="s">
        <v>331</v>
      </c>
      <c r="D1423" s="441">
        <v>912.62</v>
      </c>
    </row>
    <row r="1424" spans="1:4" ht="31.5" customHeight="1">
      <c r="A1424" s="120">
        <v>92606</v>
      </c>
      <c r="B1424" s="119" t="s">
        <v>2964</v>
      </c>
      <c r="C1424" s="120" t="s">
        <v>331</v>
      </c>
      <c r="D1424" s="442">
        <v>1051.9000000000001</v>
      </c>
    </row>
    <row r="1425" spans="1:4" ht="31.5" customHeight="1">
      <c r="A1425" s="120">
        <v>92608</v>
      </c>
      <c r="B1425" s="119" t="s">
        <v>2965</v>
      </c>
      <c r="C1425" s="120" t="s">
        <v>331</v>
      </c>
      <c r="D1425" s="442">
        <v>1309.8699999999999</v>
      </c>
    </row>
    <row r="1426" spans="1:4" ht="31.5" customHeight="1">
      <c r="A1426" s="120">
        <v>92610</v>
      </c>
      <c r="B1426" s="119" t="s">
        <v>2966</v>
      </c>
      <c r="C1426" s="120" t="s">
        <v>331</v>
      </c>
      <c r="D1426" s="442">
        <v>1449.16</v>
      </c>
    </row>
    <row r="1427" spans="1:4" ht="31.5" customHeight="1">
      <c r="A1427" s="120">
        <v>92612</v>
      </c>
      <c r="B1427" s="119" t="s">
        <v>2967</v>
      </c>
      <c r="C1427" s="120" t="s">
        <v>331</v>
      </c>
      <c r="D1427" s="442">
        <v>1640.98</v>
      </c>
    </row>
    <row r="1428" spans="1:4" ht="31.5" customHeight="1">
      <c r="A1428" s="120">
        <v>92614</v>
      </c>
      <c r="B1428" s="119" t="s">
        <v>2968</v>
      </c>
      <c r="C1428" s="120" t="s">
        <v>331</v>
      </c>
      <c r="D1428" s="442">
        <v>1845.78</v>
      </c>
    </row>
    <row r="1429" spans="1:4" ht="31.5" customHeight="1">
      <c r="A1429" s="120">
        <v>92616</v>
      </c>
      <c r="B1429" s="119" t="s">
        <v>2969</v>
      </c>
      <c r="C1429" s="120" t="s">
        <v>331</v>
      </c>
      <c r="D1429" s="442">
        <v>2110.79</v>
      </c>
    </row>
    <row r="1430" spans="1:4" ht="31.5" customHeight="1">
      <c r="A1430" s="120">
        <v>92618</v>
      </c>
      <c r="B1430" s="119" t="s">
        <v>2970</v>
      </c>
      <c r="C1430" s="120" t="s">
        <v>331</v>
      </c>
      <c r="D1430" s="442">
        <v>2250.06</v>
      </c>
    </row>
    <row r="1431" spans="1:4" ht="31.5" customHeight="1">
      <c r="A1431" s="120">
        <v>92620</v>
      </c>
      <c r="B1431" s="119" t="s">
        <v>2971</v>
      </c>
      <c r="C1431" s="120" t="s">
        <v>331</v>
      </c>
      <c r="D1431" s="442">
        <v>2389.35</v>
      </c>
    </row>
    <row r="1432" spans="1:4" ht="31.5" customHeight="1">
      <c r="A1432" s="120">
        <v>100357</v>
      </c>
      <c r="B1432" s="119" t="s">
        <v>2972</v>
      </c>
      <c r="C1432" s="120" t="s">
        <v>331</v>
      </c>
      <c r="D1432" s="442">
        <v>1312.04</v>
      </c>
    </row>
    <row r="1433" spans="1:4" ht="31.5" customHeight="1">
      <c r="A1433" s="120">
        <v>100358</v>
      </c>
      <c r="B1433" s="119" t="s">
        <v>2973</v>
      </c>
      <c r="C1433" s="120" t="s">
        <v>331</v>
      </c>
      <c r="D1433" s="442">
        <v>1778.33</v>
      </c>
    </row>
    <row r="1434" spans="1:4" ht="31.5" customHeight="1">
      <c r="A1434" s="120">
        <v>100359</v>
      </c>
      <c r="B1434" s="119" t="s">
        <v>2974</v>
      </c>
      <c r="C1434" s="120" t="s">
        <v>331</v>
      </c>
      <c r="D1434" s="442">
        <v>1874.42</v>
      </c>
    </row>
    <row r="1435" spans="1:4" ht="31.5" customHeight="1">
      <c r="A1435" s="120">
        <v>100360</v>
      </c>
      <c r="B1435" s="119" t="s">
        <v>2975</v>
      </c>
      <c r="C1435" s="120" t="s">
        <v>331</v>
      </c>
      <c r="D1435" s="442">
        <v>2082.77</v>
      </c>
    </row>
    <row r="1436" spans="1:4" ht="31.5" customHeight="1">
      <c r="A1436" s="120">
        <v>100361</v>
      </c>
      <c r="B1436" s="119" t="s">
        <v>2976</v>
      </c>
      <c r="C1436" s="120" t="s">
        <v>331</v>
      </c>
      <c r="D1436" s="442">
        <v>2590.2199999999998</v>
      </c>
    </row>
    <row r="1437" spans="1:4" ht="31.5" customHeight="1">
      <c r="A1437" s="120">
        <v>100362</v>
      </c>
      <c r="B1437" s="119" t="s">
        <v>2977</v>
      </c>
      <c r="C1437" s="120" t="s">
        <v>331</v>
      </c>
      <c r="D1437" s="442">
        <v>3390.35</v>
      </c>
    </row>
    <row r="1438" spans="1:4" ht="31.5" customHeight="1">
      <c r="A1438" s="120">
        <v>100363</v>
      </c>
      <c r="B1438" s="119" t="s">
        <v>2978</v>
      </c>
      <c r="C1438" s="120" t="s">
        <v>331</v>
      </c>
      <c r="D1438" s="442">
        <v>3507.07</v>
      </c>
    </row>
    <row r="1439" spans="1:4" ht="31.5" customHeight="1">
      <c r="A1439" s="120">
        <v>100364</v>
      </c>
      <c r="B1439" s="119" t="s">
        <v>2979</v>
      </c>
      <c r="C1439" s="120" t="s">
        <v>331</v>
      </c>
      <c r="D1439" s="442">
        <v>3815.35</v>
      </c>
    </row>
    <row r="1440" spans="1:4" ht="31.5" customHeight="1">
      <c r="A1440" s="120">
        <v>100365</v>
      </c>
      <c r="B1440" s="119" t="s">
        <v>2980</v>
      </c>
      <c r="C1440" s="120" t="s">
        <v>331</v>
      </c>
      <c r="D1440" s="442">
        <v>4393.37</v>
      </c>
    </row>
    <row r="1441" spans="1:4" ht="31.5" customHeight="1">
      <c r="A1441" s="120">
        <v>100366</v>
      </c>
      <c r="B1441" s="119" t="s">
        <v>2981</v>
      </c>
      <c r="C1441" s="120" t="s">
        <v>331</v>
      </c>
      <c r="D1441" s="442">
        <v>4709.34</v>
      </c>
    </row>
    <row r="1442" spans="1:4" ht="31.5" customHeight="1">
      <c r="A1442" s="120">
        <v>100367</v>
      </c>
      <c r="B1442" s="119" t="s">
        <v>2982</v>
      </c>
      <c r="C1442" s="120" t="s">
        <v>331</v>
      </c>
      <c r="D1442" s="442">
        <v>1274.92</v>
      </c>
    </row>
    <row r="1443" spans="1:4" ht="31.5" customHeight="1">
      <c r="A1443" s="120">
        <v>100368</v>
      </c>
      <c r="B1443" s="119" t="s">
        <v>2983</v>
      </c>
      <c r="C1443" s="120" t="s">
        <v>331</v>
      </c>
      <c r="D1443" s="442">
        <v>1732.54</v>
      </c>
    </row>
    <row r="1444" spans="1:4" ht="31.5" customHeight="1">
      <c r="A1444" s="120">
        <v>100369</v>
      </c>
      <c r="B1444" s="119" t="s">
        <v>2984</v>
      </c>
      <c r="C1444" s="120" t="s">
        <v>331</v>
      </c>
      <c r="D1444" s="442">
        <v>1828.64</v>
      </c>
    </row>
    <row r="1445" spans="1:4" ht="31.5" customHeight="1">
      <c r="A1445" s="120">
        <v>100370</v>
      </c>
      <c r="B1445" s="119" t="s">
        <v>2985</v>
      </c>
      <c r="C1445" s="120" t="s">
        <v>331</v>
      </c>
      <c r="D1445" s="442">
        <v>2178.84</v>
      </c>
    </row>
    <row r="1446" spans="1:4" ht="31.5" customHeight="1">
      <c r="A1446" s="120">
        <v>100371</v>
      </c>
      <c r="B1446" s="119" t="s">
        <v>2986</v>
      </c>
      <c r="C1446" s="120" t="s">
        <v>331</v>
      </c>
      <c r="D1446" s="442">
        <v>2468.12</v>
      </c>
    </row>
    <row r="1447" spans="1:4" ht="31.5" customHeight="1">
      <c r="A1447" s="120">
        <v>100372</v>
      </c>
      <c r="B1447" s="119" t="s">
        <v>2987</v>
      </c>
      <c r="C1447" s="120" t="s">
        <v>331</v>
      </c>
      <c r="D1447" s="442">
        <v>3181.13</v>
      </c>
    </row>
    <row r="1448" spans="1:4" ht="31.5" customHeight="1">
      <c r="A1448" s="120">
        <v>100373</v>
      </c>
      <c r="B1448" s="119" t="s">
        <v>2988</v>
      </c>
      <c r="C1448" s="120" t="s">
        <v>331</v>
      </c>
      <c r="D1448" s="442">
        <v>3297.63</v>
      </c>
    </row>
    <row r="1449" spans="1:4" ht="31.5" customHeight="1">
      <c r="A1449" s="120">
        <v>100374</v>
      </c>
      <c r="B1449" s="119" t="s">
        <v>2989</v>
      </c>
      <c r="C1449" s="120" t="s">
        <v>331</v>
      </c>
      <c r="D1449" s="442">
        <v>3540.06</v>
      </c>
    </row>
    <row r="1450" spans="1:4" ht="31.5" customHeight="1">
      <c r="A1450" s="120">
        <v>100375</v>
      </c>
      <c r="B1450" s="119" t="s">
        <v>2990</v>
      </c>
      <c r="C1450" s="120" t="s">
        <v>331</v>
      </c>
      <c r="D1450" s="442">
        <v>3982.54</v>
      </c>
    </row>
    <row r="1451" spans="1:4" ht="31.5" customHeight="1">
      <c r="A1451" s="120">
        <v>100376</v>
      </c>
      <c r="B1451" s="119" t="s">
        <v>2991</v>
      </c>
      <c r="C1451" s="120" t="s">
        <v>331</v>
      </c>
      <c r="D1451" s="442">
        <v>3891.66</v>
      </c>
    </row>
    <row r="1452" spans="1:4" ht="31.5" customHeight="1">
      <c r="A1452" s="120">
        <v>100377</v>
      </c>
      <c r="B1452" s="119" t="s">
        <v>2992</v>
      </c>
      <c r="C1452" s="120" t="s">
        <v>327</v>
      </c>
      <c r="D1452" s="441">
        <v>13.47</v>
      </c>
    </row>
    <row r="1453" spans="1:4" ht="31.5" customHeight="1">
      <c r="A1453" s="120">
        <v>100378</v>
      </c>
      <c r="B1453" s="119" t="s">
        <v>2993</v>
      </c>
      <c r="C1453" s="120" t="s">
        <v>327</v>
      </c>
      <c r="D1453" s="441">
        <v>12.59</v>
      </c>
    </row>
    <row r="1454" spans="1:4" ht="47.25" customHeight="1">
      <c r="A1454" s="120">
        <v>100382</v>
      </c>
      <c r="B1454" s="119" t="s">
        <v>2994</v>
      </c>
      <c r="C1454" s="120" t="s">
        <v>951</v>
      </c>
      <c r="D1454" s="441">
        <v>29.97</v>
      </c>
    </row>
    <row r="1455" spans="1:4" ht="31.5" customHeight="1">
      <c r="A1455" s="120">
        <v>104314</v>
      </c>
      <c r="B1455" s="119" t="s">
        <v>2995</v>
      </c>
      <c r="C1455" s="120" t="s">
        <v>327</v>
      </c>
      <c r="D1455" s="441">
        <v>12.83</v>
      </c>
    </row>
    <row r="1456" spans="1:4" ht="31.5" customHeight="1">
      <c r="A1456" s="120">
        <v>94444</v>
      </c>
      <c r="B1456" s="119" t="s">
        <v>2996</v>
      </c>
      <c r="C1456" s="120" t="s">
        <v>951</v>
      </c>
      <c r="D1456" s="441">
        <v>659.23</v>
      </c>
    </row>
    <row r="1457" spans="1:4" ht="15.75" customHeight="1">
      <c r="A1457" s="120">
        <v>104482</v>
      </c>
      <c r="B1457" s="119" t="s">
        <v>2997</v>
      </c>
      <c r="C1457" s="120" t="s">
        <v>324</v>
      </c>
      <c r="D1457" s="441">
        <v>33.81</v>
      </c>
    </row>
    <row r="1458" spans="1:4" ht="31.5" customHeight="1">
      <c r="A1458" s="120">
        <v>104184</v>
      </c>
      <c r="B1458" s="119" t="s">
        <v>2998</v>
      </c>
      <c r="C1458" s="120" t="s">
        <v>331</v>
      </c>
      <c r="D1458" s="441">
        <v>36.61</v>
      </c>
    </row>
    <row r="1459" spans="1:4" ht="47.25" customHeight="1">
      <c r="A1459" s="120">
        <v>104185</v>
      </c>
      <c r="B1459" s="119" t="s">
        <v>2999</v>
      </c>
      <c r="C1459" s="120" t="s">
        <v>331</v>
      </c>
      <c r="D1459" s="441">
        <v>28.77</v>
      </c>
    </row>
    <row r="1460" spans="1:4" ht="31.5" customHeight="1">
      <c r="A1460" s="120">
        <v>104189</v>
      </c>
      <c r="B1460" s="119" t="s">
        <v>3000</v>
      </c>
      <c r="C1460" s="120" t="s">
        <v>950</v>
      </c>
      <c r="D1460" s="441">
        <v>142.52000000000001</v>
      </c>
    </row>
    <row r="1461" spans="1:4" ht="31.5" customHeight="1">
      <c r="A1461" s="120">
        <v>104190</v>
      </c>
      <c r="B1461" s="119" t="s">
        <v>3001</v>
      </c>
      <c r="C1461" s="120" t="s">
        <v>331</v>
      </c>
      <c r="D1461" s="441">
        <v>771.4</v>
      </c>
    </row>
    <row r="1462" spans="1:4" ht="31.5" customHeight="1">
      <c r="A1462" s="120">
        <v>102661</v>
      </c>
      <c r="B1462" s="119" t="s">
        <v>3002</v>
      </c>
      <c r="C1462" s="120" t="s">
        <v>328</v>
      </c>
      <c r="D1462" s="441">
        <v>34.299999999999997</v>
      </c>
    </row>
    <row r="1463" spans="1:4" ht="31.5" customHeight="1">
      <c r="A1463" s="120">
        <v>102662</v>
      </c>
      <c r="B1463" s="119" t="s">
        <v>3003</v>
      </c>
      <c r="C1463" s="120" t="s">
        <v>328</v>
      </c>
      <c r="D1463" s="441">
        <v>89.6</v>
      </c>
    </row>
    <row r="1464" spans="1:4" ht="31.5" customHeight="1">
      <c r="A1464" s="120">
        <v>102663</v>
      </c>
      <c r="B1464" s="119" t="s">
        <v>3004</v>
      </c>
      <c r="C1464" s="120" t="s">
        <v>328</v>
      </c>
      <c r="D1464" s="441">
        <v>43.35</v>
      </c>
    </row>
    <row r="1465" spans="1:4" ht="31.5" customHeight="1">
      <c r="A1465" s="120">
        <v>102664</v>
      </c>
      <c r="B1465" s="119" t="s">
        <v>3005</v>
      </c>
      <c r="C1465" s="120" t="s">
        <v>328</v>
      </c>
      <c r="D1465" s="441">
        <v>41.7</v>
      </c>
    </row>
    <row r="1466" spans="1:4" ht="15.75" customHeight="1">
      <c r="A1466" s="120">
        <v>102665</v>
      </c>
      <c r="B1466" s="119" t="s">
        <v>3006</v>
      </c>
      <c r="C1466" s="120" t="s">
        <v>328</v>
      </c>
      <c r="D1466" s="441">
        <v>18.399999999999999</v>
      </c>
    </row>
    <row r="1467" spans="1:4" ht="31.5" customHeight="1">
      <c r="A1467" s="120">
        <v>102666</v>
      </c>
      <c r="B1467" s="119" t="s">
        <v>3007</v>
      </c>
      <c r="C1467" s="120" t="s">
        <v>328</v>
      </c>
      <c r="D1467" s="441">
        <v>53.15</v>
      </c>
    </row>
    <row r="1468" spans="1:4" ht="31.5" customHeight="1">
      <c r="A1468" s="120">
        <v>102668</v>
      </c>
      <c r="B1468" s="119" t="s">
        <v>3008</v>
      </c>
      <c r="C1468" s="120" t="s">
        <v>328</v>
      </c>
      <c r="D1468" s="441">
        <v>108.46</v>
      </c>
    </row>
    <row r="1469" spans="1:4" ht="31.5" customHeight="1">
      <c r="A1469" s="120">
        <v>102669</v>
      </c>
      <c r="B1469" s="119" t="s">
        <v>3009</v>
      </c>
      <c r="C1469" s="120" t="s">
        <v>328</v>
      </c>
      <c r="D1469" s="441">
        <v>62.91</v>
      </c>
    </row>
    <row r="1470" spans="1:4" ht="31.5" customHeight="1">
      <c r="A1470" s="120">
        <v>102670</v>
      </c>
      <c r="B1470" s="119" t="s">
        <v>3010</v>
      </c>
      <c r="C1470" s="120" t="s">
        <v>328</v>
      </c>
      <c r="D1470" s="441">
        <v>99.76</v>
      </c>
    </row>
    <row r="1471" spans="1:4" ht="31.5" customHeight="1">
      <c r="A1471" s="120">
        <v>102672</v>
      </c>
      <c r="B1471" s="119" t="s">
        <v>3011</v>
      </c>
      <c r="C1471" s="120" t="s">
        <v>328</v>
      </c>
      <c r="D1471" s="441">
        <v>169.74</v>
      </c>
    </row>
    <row r="1472" spans="1:4" ht="31.5" customHeight="1">
      <c r="A1472" s="120">
        <v>102673</v>
      </c>
      <c r="B1472" s="119" t="s">
        <v>3012</v>
      </c>
      <c r="C1472" s="120" t="s">
        <v>328</v>
      </c>
      <c r="D1472" s="441">
        <v>136.86000000000001</v>
      </c>
    </row>
    <row r="1473" spans="1:4" ht="31.5" customHeight="1">
      <c r="A1473" s="120">
        <v>102674</v>
      </c>
      <c r="B1473" s="119" t="s">
        <v>3013</v>
      </c>
      <c r="C1473" s="120" t="s">
        <v>328</v>
      </c>
      <c r="D1473" s="441">
        <v>105.37</v>
      </c>
    </row>
    <row r="1474" spans="1:4" ht="31.5" customHeight="1">
      <c r="A1474" s="120">
        <v>102676</v>
      </c>
      <c r="B1474" s="119" t="s">
        <v>3014</v>
      </c>
      <c r="C1474" s="120" t="s">
        <v>328</v>
      </c>
      <c r="D1474" s="441">
        <v>164.19</v>
      </c>
    </row>
    <row r="1475" spans="1:4" ht="31.5" customHeight="1">
      <c r="A1475" s="120">
        <v>102677</v>
      </c>
      <c r="B1475" s="119" t="s">
        <v>3015</v>
      </c>
      <c r="C1475" s="120" t="s">
        <v>328</v>
      </c>
      <c r="D1475" s="441">
        <v>120.58</v>
      </c>
    </row>
    <row r="1476" spans="1:4" ht="31.5" customHeight="1">
      <c r="A1476" s="120">
        <v>102678</v>
      </c>
      <c r="B1476" s="119" t="s">
        <v>3016</v>
      </c>
      <c r="C1476" s="120" t="s">
        <v>328</v>
      </c>
      <c r="D1476" s="441">
        <v>114.33</v>
      </c>
    </row>
    <row r="1477" spans="1:4" ht="31.5" customHeight="1">
      <c r="A1477" s="120">
        <v>102679</v>
      </c>
      <c r="B1477" s="119" t="s">
        <v>3017</v>
      </c>
      <c r="C1477" s="120" t="s">
        <v>328</v>
      </c>
      <c r="D1477" s="441">
        <v>117.69</v>
      </c>
    </row>
    <row r="1478" spans="1:4" ht="31.5" customHeight="1">
      <c r="A1478" s="120">
        <v>102680</v>
      </c>
      <c r="B1478" s="119" t="s">
        <v>3018</v>
      </c>
      <c r="C1478" s="120" t="s">
        <v>328</v>
      </c>
      <c r="D1478" s="441">
        <v>127.04</v>
      </c>
    </row>
    <row r="1479" spans="1:4" ht="31.5" customHeight="1">
      <c r="A1479" s="120">
        <v>102681</v>
      </c>
      <c r="B1479" s="119" t="s">
        <v>3019</v>
      </c>
      <c r="C1479" s="120" t="s">
        <v>328</v>
      </c>
      <c r="D1479" s="441">
        <v>185.84</v>
      </c>
    </row>
    <row r="1480" spans="1:4" ht="31.5" customHeight="1">
      <c r="A1480" s="120">
        <v>102683</v>
      </c>
      <c r="B1480" s="119" t="s">
        <v>3020</v>
      </c>
      <c r="C1480" s="120" t="s">
        <v>328</v>
      </c>
      <c r="D1480" s="441">
        <v>147.44999999999999</v>
      </c>
    </row>
    <row r="1481" spans="1:4" ht="31.5" customHeight="1">
      <c r="A1481" s="120">
        <v>102684</v>
      </c>
      <c r="B1481" s="119" t="s">
        <v>3021</v>
      </c>
      <c r="C1481" s="120" t="s">
        <v>328</v>
      </c>
      <c r="D1481" s="441">
        <v>130.4</v>
      </c>
    </row>
    <row r="1482" spans="1:4" ht="31.5" customHeight="1">
      <c r="A1482" s="120">
        <v>102685</v>
      </c>
      <c r="B1482" s="119" t="s">
        <v>3022</v>
      </c>
      <c r="C1482" s="120" t="s">
        <v>328</v>
      </c>
      <c r="D1482" s="441">
        <v>189.21</v>
      </c>
    </row>
    <row r="1483" spans="1:4" ht="31.5" customHeight="1">
      <c r="A1483" s="120">
        <v>102687</v>
      </c>
      <c r="B1483" s="119" t="s">
        <v>3023</v>
      </c>
      <c r="C1483" s="120" t="s">
        <v>328</v>
      </c>
      <c r="D1483" s="441">
        <v>146.30000000000001</v>
      </c>
    </row>
    <row r="1484" spans="1:4" ht="31.5" customHeight="1">
      <c r="A1484" s="120">
        <v>102688</v>
      </c>
      <c r="B1484" s="119" t="s">
        <v>3024</v>
      </c>
      <c r="C1484" s="120" t="s">
        <v>328</v>
      </c>
      <c r="D1484" s="441">
        <v>40.93</v>
      </c>
    </row>
    <row r="1485" spans="1:4" ht="31.5" customHeight="1">
      <c r="A1485" s="120">
        <v>102689</v>
      </c>
      <c r="B1485" s="119" t="s">
        <v>3025</v>
      </c>
      <c r="C1485" s="120" t="s">
        <v>328</v>
      </c>
      <c r="D1485" s="441">
        <v>88.94</v>
      </c>
    </row>
    <row r="1486" spans="1:4" ht="31.5" customHeight="1">
      <c r="A1486" s="120">
        <v>102690</v>
      </c>
      <c r="B1486" s="119" t="s">
        <v>3026</v>
      </c>
      <c r="C1486" s="120" t="s">
        <v>328</v>
      </c>
      <c r="D1486" s="441">
        <v>59.78</v>
      </c>
    </row>
    <row r="1487" spans="1:4" ht="31.5" customHeight="1">
      <c r="A1487" s="120">
        <v>102693</v>
      </c>
      <c r="B1487" s="119" t="s">
        <v>3027</v>
      </c>
      <c r="C1487" s="120" t="s">
        <v>328</v>
      </c>
      <c r="D1487" s="441">
        <v>112.24</v>
      </c>
    </row>
    <row r="1488" spans="1:4" ht="31.5" customHeight="1">
      <c r="A1488" s="120">
        <v>102694</v>
      </c>
      <c r="B1488" s="119" t="s">
        <v>3028</v>
      </c>
      <c r="C1488" s="120" t="s">
        <v>328</v>
      </c>
      <c r="D1488" s="441">
        <v>73.28</v>
      </c>
    </row>
    <row r="1489" spans="1:4" ht="31.5" customHeight="1">
      <c r="A1489" s="120">
        <v>102696</v>
      </c>
      <c r="B1489" s="119" t="s">
        <v>3029</v>
      </c>
      <c r="C1489" s="120" t="s">
        <v>328</v>
      </c>
      <c r="D1489" s="441">
        <v>125.7</v>
      </c>
    </row>
    <row r="1490" spans="1:4" ht="31.5" customHeight="1">
      <c r="A1490" s="120">
        <v>102697</v>
      </c>
      <c r="B1490" s="119" t="s">
        <v>3030</v>
      </c>
      <c r="C1490" s="120" t="s">
        <v>328</v>
      </c>
      <c r="D1490" s="441">
        <v>93.76</v>
      </c>
    </row>
    <row r="1491" spans="1:4" ht="31.5" customHeight="1">
      <c r="A1491" s="120">
        <v>102703</v>
      </c>
      <c r="B1491" s="119" t="s">
        <v>3031</v>
      </c>
      <c r="C1491" s="120" t="s">
        <v>328</v>
      </c>
      <c r="D1491" s="441">
        <v>146.18</v>
      </c>
    </row>
    <row r="1492" spans="1:4" ht="31.5" customHeight="1">
      <c r="A1492" s="120">
        <v>102704</v>
      </c>
      <c r="B1492" s="119" t="s">
        <v>3032</v>
      </c>
      <c r="C1492" s="120" t="s">
        <v>328</v>
      </c>
      <c r="D1492" s="441">
        <v>11.87</v>
      </c>
    </row>
    <row r="1493" spans="1:4" ht="31.5" customHeight="1">
      <c r="A1493" s="120">
        <v>102705</v>
      </c>
      <c r="B1493" s="119" t="s">
        <v>3033</v>
      </c>
      <c r="C1493" s="120" t="s">
        <v>328</v>
      </c>
      <c r="D1493" s="441">
        <v>63.04</v>
      </c>
    </row>
    <row r="1494" spans="1:4" ht="15.75" customHeight="1">
      <c r="A1494" s="120">
        <v>102707</v>
      </c>
      <c r="B1494" s="119" t="s">
        <v>3034</v>
      </c>
      <c r="C1494" s="120" t="s">
        <v>328</v>
      </c>
      <c r="D1494" s="441">
        <v>24.58</v>
      </c>
    </row>
    <row r="1495" spans="1:4" ht="31.5" customHeight="1">
      <c r="A1495" s="120">
        <v>102708</v>
      </c>
      <c r="B1495" s="119" t="s">
        <v>3035</v>
      </c>
      <c r="C1495" s="120" t="s">
        <v>331</v>
      </c>
      <c r="D1495" s="441">
        <v>27.31</v>
      </c>
    </row>
    <row r="1496" spans="1:4" ht="31.5" customHeight="1">
      <c r="A1496" s="120">
        <v>102710</v>
      </c>
      <c r="B1496" s="119" t="s">
        <v>3036</v>
      </c>
      <c r="C1496" s="120" t="s">
        <v>331</v>
      </c>
      <c r="D1496" s="441">
        <v>65.75</v>
      </c>
    </row>
    <row r="1497" spans="1:4" ht="31.5" customHeight="1">
      <c r="A1497" s="120">
        <v>102711</v>
      </c>
      <c r="B1497" s="119" t="s">
        <v>3037</v>
      </c>
      <c r="C1497" s="120" t="s">
        <v>331</v>
      </c>
      <c r="D1497" s="441">
        <v>83.98</v>
      </c>
    </row>
    <row r="1498" spans="1:4" ht="31.5" customHeight="1">
      <c r="A1498" s="120">
        <v>102712</v>
      </c>
      <c r="B1498" s="119" t="s">
        <v>3038</v>
      </c>
      <c r="C1498" s="120" t="s">
        <v>951</v>
      </c>
      <c r="D1498" s="441">
        <v>9.11</v>
      </c>
    </row>
    <row r="1499" spans="1:4" ht="31.5" customHeight="1">
      <c r="A1499" s="120">
        <v>102713</v>
      </c>
      <c r="B1499" s="119" t="s">
        <v>3039</v>
      </c>
      <c r="C1499" s="120" t="s">
        <v>951</v>
      </c>
      <c r="D1499" s="441">
        <v>12.5</v>
      </c>
    </row>
    <row r="1500" spans="1:4" ht="31.5" customHeight="1">
      <c r="A1500" s="120">
        <v>102715</v>
      </c>
      <c r="B1500" s="119" t="s">
        <v>3040</v>
      </c>
      <c r="C1500" s="120" t="s">
        <v>951</v>
      </c>
      <c r="D1500" s="441">
        <v>24.65</v>
      </c>
    </row>
    <row r="1501" spans="1:4" ht="15.75" customHeight="1">
      <c r="A1501" s="120">
        <v>102716</v>
      </c>
      <c r="B1501" s="119" t="s">
        <v>3041</v>
      </c>
      <c r="C1501" s="120" t="s">
        <v>950</v>
      </c>
      <c r="D1501" s="441">
        <v>122.31</v>
      </c>
    </row>
    <row r="1502" spans="1:4" ht="15.75" customHeight="1">
      <c r="A1502" s="120">
        <v>102717</v>
      </c>
      <c r="B1502" s="119" t="s">
        <v>3042</v>
      </c>
      <c r="C1502" s="120" t="s">
        <v>950</v>
      </c>
      <c r="D1502" s="441">
        <v>93.12</v>
      </c>
    </row>
    <row r="1503" spans="1:4" ht="15.75" customHeight="1">
      <c r="A1503" s="120">
        <v>102718</v>
      </c>
      <c r="B1503" s="119" t="s">
        <v>3043</v>
      </c>
      <c r="C1503" s="120" t="s">
        <v>950</v>
      </c>
      <c r="D1503" s="441">
        <v>136.69</v>
      </c>
    </row>
    <row r="1504" spans="1:4" ht="15.75" customHeight="1">
      <c r="A1504" s="120">
        <v>102719</v>
      </c>
      <c r="B1504" s="119" t="s">
        <v>3044</v>
      </c>
      <c r="C1504" s="120" t="s">
        <v>950</v>
      </c>
      <c r="D1504" s="441">
        <v>107.5</v>
      </c>
    </row>
    <row r="1505" spans="1:4" ht="31.5" customHeight="1">
      <c r="A1505" s="120">
        <v>102722</v>
      </c>
      <c r="B1505" s="119" t="s">
        <v>3045</v>
      </c>
      <c r="C1505" s="120" t="s">
        <v>328</v>
      </c>
      <c r="D1505" s="441">
        <v>52.44</v>
      </c>
    </row>
    <row r="1506" spans="1:4" ht="31.5" customHeight="1">
      <c r="A1506" s="120">
        <v>102723</v>
      </c>
      <c r="B1506" s="119" t="s">
        <v>3046</v>
      </c>
      <c r="C1506" s="120" t="s">
        <v>328</v>
      </c>
      <c r="D1506" s="441">
        <v>52.97</v>
      </c>
    </row>
    <row r="1507" spans="1:4" ht="15.75" customHeight="1">
      <c r="A1507" s="120">
        <v>102724</v>
      </c>
      <c r="B1507" s="119" t="s">
        <v>3047</v>
      </c>
      <c r="C1507" s="120" t="s">
        <v>331</v>
      </c>
      <c r="D1507" s="441">
        <v>30.37</v>
      </c>
    </row>
    <row r="1508" spans="1:4" ht="15.75" customHeight="1">
      <c r="A1508" s="120">
        <v>102725</v>
      </c>
      <c r="B1508" s="119" t="s">
        <v>3048</v>
      </c>
      <c r="C1508" s="120" t="s">
        <v>331</v>
      </c>
      <c r="D1508" s="441">
        <v>29.69</v>
      </c>
    </row>
    <row r="1509" spans="1:4" ht="15.75" customHeight="1">
      <c r="A1509" s="120">
        <v>102726</v>
      </c>
      <c r="B1509" s="119" t="s">
        <v>3049</v>
      </c>
      <c r="C1509" s="120" t="s">
        <v>331</v>
      </c>
      <c r="D1509" s="441">
        <v>27.68</v>
      </c>
    </row>
    <row r="1510" spans="1:4" ht="31.5" customHeight="1">
      <c r="A1510" s="120">
        <v>103653</v>
      </c>
      <c r="B1510" s="119" t="s">
        <v>3050</v>
      </c>
      <c r="C1510" s="120" t="s">
        <v>951</v>
      </c>
      <c r="D1510" s="441">
        <v>29.42</v>
      </c>
    </row>
    <row r="1511" spans="1:4" ht="47.25" customHeight="1">
      <c r="A1511" s="120">
        <v>92743</v>
      </c>
      <c r="B1511" s="119" t="s">
        <v>3051</v>
      </c>
      <c r="C1511" s="120" t="s">
        <v>950</v>
      </c>
      <c r="D1511" s="441">
        <v>660.93</v>
      </c>
    </row>
    <row r="1512" spans="1:4" ht="47.25" customHeight="1">
      <c r="A1512" s="120">
        <v>92744</v>
      </c>
      <c r="B1512" s="119" t="s">
        <v>3052</v>
      </c>
      <c r="C1512" s="120" t="s">
        <v>950</v>
      </c>
      <c r="D1512" s="441">
        <v>613.36</v>
      </c>
    </row>
    <row r="1513" spans="1:4" ht="47.25" customHeight="1">
      <c r="A1513" s="120">
        <v>92745</v>
      </c>
      <c r="B1513" s="119" t="s">
        <v>3053</v>
      </c>
      <c r="C1513" s="120" t="s">
        <v>950</v>
      </c>
      <c r="D1513" s="441">
        <v>829.05</v>
      </c>
    </row>
    <row r="1514" spans="1:4" ht="47.25" customHeight="1">
      <c r="A1514" s="120">
        <v>92746</v>
      </c>
      <c r="B1514" s="119" t="s">
        <v>3054</v>
      </c>
      <c r="C1514" s="120" t="s">
        <v>950</v>
      </c>
      <c r="D1514" s="441">
        <v>739.65</v>
      </c>
    </row>
    <row r="1515" spans="1:4" ht="47.25" customHeight="1">
      <c r="A1515" s="120">
        <v>92747</v>
      </c>
      <c r="B1515" s="119" t="s">
        <v>3055</v>
      </c>
      <c r="C1515" s="120" t="s">
        <v>950</v>
      </c>
      <c r="D1515" s="441">
        <v>924.62</v>
      </c>
    </row>
    <row r="1516" spans="1:4" ht="47.25" customHeight="1">
      <c r="A1516" s="120">
        <v>92748</v>
      </c>
      <c r="B1516" s="119" t="s">
        <v>3056</v>
      </c>
      <c r="C1516" s="120" t="s">
        <v>950</v>
      </c>
      <c r="D1516" s="441">
        <v>811.92</v>
      </c>
    </row>
    <row r="1517" spans="1:4" ht="31.5" customHeight="1">
      <c r="A1517" s="120">
        <v>92749</v>
      </c>
      <c r="B1517" s="119" t="s">
        <v>3057</v>
      </c>
      <c r="C1517" s="120" t="s">
        <v>950</v>
      </c>
      <c r="D1517" s="441">
        <v>950.46</v>
      </c>
    </row>
    <row r="1518" spans="1:4" ht="31.5" customHeight="1">
      <c r="A1518" s="120">
        <v>92750</v>
      </c>
      <c r="B1518" s="119" t="s">
        <v>3058</v>
      </c>
      <c r="C1518" s="120" t="s">
        <v>950</v>
      </c>
      <c r="D1518" s="442">
        <v>1653.55</v>
      </c>
    </row>
    <row r="1519" spans="1:4" ht="31.5" customHeight="1">
      <c r="A1519" s="120">
        <v>92751</v>
      </c>
      <c r="B1519" s="119" t="s">
        <v>3059</v>
      </c>
      <c r="C1519" s="120" t="s">
        <v>950</v>
      </c>
      <c r="D1519" s="442">
        <v>2061.52</v>
      </c>
    </row>
    <row r="1520" spans="1:4" ht="31.5" customHeight="1">
      <c r="A1520" s="120">
        <v>92752</v>
      </c>
      <c r="B1520" s="119" t="s">
        <v>3060</v>
      </c>
      <c r="C1520" s="120" t="s">
        <v>950</v>
      </c>
      <c r="D1520" s="442">
        <v>2467.65</v>
      </c>
    </row>
    <row r="1521" spans="1:4" ht="47.25" customHeight="1">
      <c r="A1521" s="120">
        <v>92753</v>
      </c>
      <c r="B1521" s="119" t="s">
        <v>3061</v>
      </c>
      <c r="C1521" s="120" t="s">
        <v>950</v>
      </c>
      <c r="D1521" s="441">
        <v>631.71</v>
      </c>
    </row>
    <row r="1522" spans="1:4" ht="47.25" customHeight="1">
      <c r="A1522" s="120">
        <v>92754</v>
      </c>
      <c r="B1522" s="119" t="s">
        <v>3062</v>
      </c>
      <c r="C1522" s="120" t="s">
        <v>950</v>
      </c>
      <c r="D1522" s="441">
        <v>573.36</v>
      </c>
    </row>
    <row r="1523" spans="1:4" ht="31.5" customHeight="1">
      <c r="A1523" s="120">
        <v>92755</v>
      </c>
      <c r="B1523" s="119" t="s">
        <v>3063</v>
      </c>
      <c r="C1523" s="120" t="s">
        <v>951</v>
      </c>
      <c r="D1523" s="441">
        <v>249.36</v>
      </c>
    </row>
    <row r="1524" spans="1:4" ht="31.5" customHeight="1">
      <c r="A1524" s="120">
        <v>92756</v>
      </c>
      <c r="B1524" s="119" t="s">
        <v>3064</v>
      </c>
      <c r="C1524" s="120" t="s">
        <v>951</v>
      </c>
      <c r="D1524" s="441">
        <v>281.99</v>
      </c>
    </row>
    <row r="1525" spans="1:4" ht="31.5" customHeight="1">
      <c r="A1525" s="120">
        <v>92757</v>
      </c>
      <c r="B1525" s="119" t="s">
        <v>3065</v>
      </c>
      <c r="C1525" s="120" t="s">
        <v>951</v>
      </c>
      <c r="D1525" s="441">
        <v>321.66000000000003</v>
      </c>
    </row>
    <row r="1526" spans="1:4" ht="31.5" customHeight="1">
      <c r="A1526" s="120">
        <v>92758</v>
      </c>
      <c r="B1526" s="119" t="s">
        <v>3066</v>
      </c>
      <c r="C1526" s="120" t="s">
        <v>950</v>
      </c>
      <c r="D1526" s="441">
        <v>731.41</v>
      </c>
    </row>
    <row r="1527" spans="1:4" ht="47.25" customHeight="1">
      <c r="A1527" s="120">
        <v>91069</v>
      </c>
      <c r="B1527" s="119" t="s">
        <v>3067</v>
      </c>
      <c r="C1527" s="120" t="s">
        <v>951</v>
      </c>
      <c r="D1527" s="441">
        <v>119.62</v>
      </c>
    </row>
    <row r="1528" spans="1:4" ht="47.25" customHeight="1">
      <c r="A1528" s="120">
        <v>91070</v>
      </c>
      <c r="B1528" s="119" t="s">
        <v>3068</v>
      </c>
      <c r="C1528" s="120" t="s">
        <v>951</v>
      </c>
      <c r="D1528" s="441">
        <v>131.44999999999999</v>
      </c>
    </row>
    <row r="1529" spans="1:4" ht="47.25" customHeight="1">
      <c r="A1529" s="120">
        <v>91071</v>
      </c>
      <c r="B1529" s="119" t="s">
        <v>3069</v>
      </c>
      <c r="C1529" s="120" t="s">
        <v>951</v>
      </c>
      <c r="D1529" s="441">
        <v>172.21</v>
      </c>
    </row>
    <row r="1530" spans="1:4" ht="47.25" customHeight="1">
      <c r="A1530" s="120">
        <v>91072</v>
      </c>
      <c r="B1530" s="119" t="s">
        <v>3070</v>
      </c>
      <c r="C1530" s="120" t="s">
        <v>951</v>
      </c>
      <c r="D1530" s="441">
        <v>184.01</v>
      </c>
    </row>
    <row r="1531" spans="1:4" ht="47.25" customHeight="1">
      <c r="A1531" s="120">
        <v>91073</v>
      </c>
      <c r="B1531" s="119" t="s">
        <v>3071</v>
      </c>
      <c r="C1531" s="120" t="s">
        <v>951</v>
      </c>
      <c r="D1531" s="441">
        <v>137.34</v>
      </c>
    </row>
    <row r="1532" spans="1:4" ht="47.25" customHeight="1">
      <c r="A1532" s="120">
        <v>91074</v>
      </c>
      <c r="B1532" s="119" t="s">
        <v>3072</v>
      </c>
      <c r="C1532" s="120" t="s">
        <v>951</v>
      </c>
      <c r="D1532" s="441">
        <v>151.02000000000001</v>
      </c>
    </row>
    <row r="1533" spans="1:4" ht="47.25" customHeight="1">
      <c r="A1533" s="120">
        <v>91075</v>
      </c>
      <c r="B1533" s="119" t="s">
        <v>3073</v>
      </c>
      <c r="C1533" s="120" t="s">
        <v>951</v>
      </c>
      <c r="D1533" s="441">
        <v>193.04</v>
      </c>
    </row>
    <row r="1534" spans="1:4" ht="47.25" customHeight="1">
      <c r="A1534" s="120">
        <v>91076</v>
      </c>
      <c r="B1534" s="119" t="s">
        <v>3074</v>
      </c>
      <c r="C1534" s="120" t="s">
        <v>951</v>
      </c>
      <c r="D1534" s="441">
        <v>206.78</v>
      </c>
    </row>
    <row r="1535" spans="1:4" ht="47.25" customHeight="1">
      <c r="A1535" s="120">
        <v>91077</v>
      </c>
      <c r="B1535" s="119" t="s">
        <v>3075</v>
      </c>
      <c r="C1535" s="120" t="s">
        <v>951</v>
      </c>
      <c r="D1535" s="441">
        <v>131.41999999999999</v>
      </c>
    </row>
    <row r="1536" spans="1:4" ht="47.25" customHeight="1">
      <c r="A1536" s="120">
        <v>91078</v>
      </c>
      <c r="B1536" s="119" t="s">
        <v>3076</v>
      </c>
      <c r="C1536" s="120" t="s">
        <v>951</v>
      </c>
      <c r="D1536" s="441">
        <v>153.77000000000001</v>
      </c>
    </row>
    <row r="1537" spans="1:4" ht="47.25" customHeight="1">
      <c r="A1537" s="120">
        <v>91079</v>
      </c>
      <c r="B1537" s="119" t="s">
        <v>3077</v>
      </c>
      <c r="C1537" s="120" t="s">
        <v>951</v>
      </c>
      <c r="D1537" s="441">
        <v>138.91</v>
      </c>
    </row>
    <row r="1538" spans="1:4" ht="47.25" customHeight="1">
      <c r="A1538" s="120">
        <v>91080</v>
      </c>
      <c r="B1538" s="119" t="s">
        <v>3078</v>
      </c>
      <c r="C1538" s="120" t="s">
        <v>951</v>
      </c>
      <c r="D1538" s="441">
        <v>161</v>
      </c>
    </row>
    <row r="1539" spans="1:4" ht="47.25" customHeight="1">
      <c r="A1539" s="120">
        <v>91081</v>
      </c>
      <c r="B1539" s="119" t="s">
        <v>3079</v>
      </c>
      <c r="C1539" s="120" t="s">
        <v>951</v>
      </c>
      <c r="D1539" s="441">
        <v>151.34</v>
      </c>
    </row>
    <row r="1540" spans="1:4" ht="47.25" customHeight="1">
      <c r="A1540" s="120">
        <v>91082</v>
      </c>
      <c r="B1540" s="119" t="s">
        <v>3080</v>
      </c>
      <c r="C1540" s="120" t="s">
        <v>951</v>
      </c>
      <c r="D1540" s="441">
        <v>175.29</v>
      </c>
    </row>
    <row r="1541" spans="1:4" ht="47.25" customHeight="1">
      <c r="A1541" s="120">
        <v>91083</v>
      </c>
      <c r="B1541" s="119" t="s">
        <v>3081</v>
      </c>
      <c r="C1541" s="120" t="s">
        <v>951</v>
      </c>
      <c r="D1541" s="441">
        <v>164.49</v>
      </c>
    </row>
    <row r="1542" spans="1:4" ht="47.25" customHeight="1">
      <c r="A1542" s="120">
        <v>91084</v>
      </c>
      <c r="B1542" s="119" t="s">
        <v>3082</v>
      </c>
      <c r="C1542" s="120" t="s">
        <v>951</v>
      </c>
      <c r="D1542" s="441">
        <v>188.18</v>
      </c>
    </row>
    <row r="1543" spans="1:4" ht="47.25" customHeight="1">
      <c r="A1543" s="120">
        <v>91086</v>
      </c>
      <c r="B1543" s="119" t="s">
        <v>3083</v>
      </c>
      <c r="C1543" s="120" t="s">
        <v>951</v>
      </c>
      <c r="D1543" s="441">
        <v>133.32</v>
      </c>
    </row>
    <row r="1544" spans="1:4" ht="47.25" customHeight="1">
      <c r="A1544" s="120">
        <v>91087</v>
      </c>
      <c r="B1544" s="119" t="s">
        <v>3084</v>
      </c>
      <c r="C1544" s="120" t="s">
        <v>951</v>
      </c>
      <c r="D1544" s="441">
        <v>145.57</v>
      </c>
    </row>
    <row r="1545" spans="1:4" ht="47.25" customHeight="1">
      <c r="A1545" s="120">
        <v>91088</v>
      </c>
      <c r="B1545" s="119" t="s">
        <v>3085</v>
      </c>
      <c r="C1545" s="120" t="s">
        <v>951</v>
      </c>
      <c r="D1545" s="441">
        <v>187.83</v>
      </c>
    </row>
    <row r="1546" spans="1:4" ht="47.25" customHeight="1">
      <c r="A1546" s="120">
        <v>91089</v>
      </c>
      <c r="B1546" s="119" t="s">
        <v>3086</v>
      </c>
      <c r="C1546" s="120" t="s">
        <v>951</v>
      </c>
      <c r="D1546" s="441">
        <v>200.26</v>
      </c>
    </row>
    <row r="1547" spans="1:4" ht="47.25" customHeight="1">
      <c r="A1547" s="120">
        <v>91090</v>
      </c>
      <c r="B1547" s="119" t="s">
        <v>3087</v>
      </c>
      <c r="C1547" s="120" t="s">
        <v>951</v>
      </c>
      <c r="D1547" s="441">
        <v>148.46</v>
      </c>
    </row>
    <row r="1548" spans="1:4" ht="47.25" customHeight="1">
      <c r="A1548" s="120">
        <v>91091</v>
      </c>
      <c r="B1548" s="119" t="s">
        <v>3088</v>
      </c>
      <c r="C1548" s="120" t="s">
        <v>951</v>
      </c>
      <c r="D1548" s="441">
        <v>162.79</v>
      </c>
    </row>
    <row r="1549" spans="1:4" ht="47.25" customHeight="1">
      <c r="A1549" s="120">
        <v>91092</v>
      </c>
      <c r="B1549" s="119" t="s">
        <v>3089</v>
      </c>
      <c r="C1549" s="120" t="s">
        <v>951</v>
      </c>
      <c r="D1549" s="441">
        <v>205.44</v>
      </c>
    </row>
    <row r="1550" spans="1:4" ht="47.25" customHeight="1">
      <c r="A1550" s="120">
        <v>91093</v>
      </c>
      <c r="B1550" s="119" t="s">
        <v>3090</v>
      </c>
      <c r="C1550" s="120" t="s">
        <v>951</v>
      </c>
      <c r="D1550" s="441">
        <v>220.2</v>
      </c>
    </row>
    <row r="1551" spans="1:4" ht="47.25" customHeight="1">
      <c r="A1551" s="120">
        <v>91094</v>
      </c>
      <c r="B1551" s="119" t="s">
        <v>3091</v>
      </c>
      <c r="C1551" s="120" t="s">
        <v>951</v>
      </c>
      <c r="D1551" s="441">
        <v>139.78</v>
      </c>
    </row>
    <row r="1552" spans="1:4" ht="47.25" customHeight="1">
      <c r="A1552" s="120">
        <v>91095</v>
      </c>
      <c r="B1552" s="119" t="s">
        <v>3092</v>
      </c>
      <c r="C1552" s="120" t="s">
        <v>951</v>
      </c>
      <c r="D1552" s="441">
        <v>162.62</v>
      </c>
    </row>
    <row r="1553" spans="1:4" ht="47.25" customHeight="1">
      <c r="A1553" s="120">
        <v>91096</v>
      </c>
      <c r="B1553" s="119" t="s">
        <v>3093</v>
      </c>
      <c r="C1553" s="120" t="s">
        <v>951</v>
      </c>
      <c r="D1553" s="441">
        <v>143.53</v>
      </c>
    </row>
    <row r="1554" spans="1:4" ht="47.25" customHeight="1">
      <c r="A1554" s="120">
        <v>91097</v>
      </c>
      <c r="B1554" s="119" t="s">
        <v>3094</v>
      </c>
      <c r="C1554" s="120" t="s">
        <v>951</v>
      </c>
      <c r="D1554" s="441">
        <v>166.15</v>
      </c>
    </row>
    <row r="1555" spans="1:4" ht="47.25" customHeight="1">
      <c r="A1555" s="120">
        <v>91098</v>
      </c>
      <c r="B1555" s="119" t="s">
        <v>3095</v>
      </c>
      <c r="C1555" s="120" t="s">
        <v>951</v>
      </c>
      <c r="D1555" s="441">
        <v>159.47</v>
      </c>
    </row>
    <row r="1556" spans="1:4" ht="47.25" customHeight="1">
      <c r="A1556" s="120">
        <v>91099</v>
      </c>
      <c r="B1556" s="119" t="s">
        <v>3096</v>
      </c>
      <c r="C1556" s="120" t="s">
        <v>951</v>
      </c>
      <c r="D1556" s="441">
        <v>184.07</v>
      </c>
    </row>
    <row r="1557" spans="1:4" ht="47.25" customHeight="1">
      <c r="A1557" s="120">
        <v>91100</v>
      </c>
      <c r="B1557" s="119" t="s">
        <v>3097</v>
      </c>
      <c r="C1557" s="120" t="s">
        <v>951</v>
      </c>
      <c r="D1557" s="441">
        <v>169.94</v>
      </c>
    </row>
    <row r="1558" spans="1:4" ht="47.25" customHeight="1">
      <c r="A1558" s="120">
        <v>91101</v>
      </c>
      <c r="B1558" s="119" t="s">
        <v>3098</v>
      </c>
      <c r="C1558" s="120" t="s">
        <v>951</v>
      </c>
      <c r="D1558" s="441">
        <v>194.42</v>
      </c>
    </row>
    <row r="1559" spans="1:4" ht="31.5" customHeight="1">
      <c r="A1559" s="120">
        <v>93952</v>
      </c>
      <c r="B1559" s="119" t="s">
        <v>3099</v>
      </c>
      <c r="C1559" s="120" t="s">
        <v>328</v>
      </c>
      <c r="D1559" s="441">
        <v>235.96</v>
      </c>
    </row>
    <row r="1560" spans="1:4" ht="47.25" customHeight="1">
      <c r="A1560" s="120">
        <v>93953</v>
      </c>
      <c r="B1560" s="119" t="s">
        <v>3100</v>
      </c>
      <c r="C1560" s="120" t="s">
        <v>328</v>
      </c>
      <c r="D1560" s="441">
        <v>217.93</v>
      </c>
    </row>
    <row r="1561" spans="1:4" ht="47.25" customHeight="1">
      <c r="A1561" s="120">
        <v>93954</v>
      </c>
      <c r="B1561" s="119" t="s">
        <v>3101</v>
      </c>
      <c r="C1561" s="120" t="s">
        <v>328</v>
      </c>
      <c r="D1561" s="441">
        <v>207.13</v>
      </c>
    </row>
    <row r="1562" spans="1:4" ht="47.25" customHeight="1">
      <c r="A1562" s="120">
        <v>93955</v>
      </c>
      <c r="B1562" s="119" t="s">
        <v>3102</v>
      </c>
      <c r="C1562" s="120" t="s">
        <v>328</v>
      </c>
      <c r="D1562" s="441">
        <v>199.52</v>
      </c>
    </row>
    <row r="1563" spans="1:4" ht="31.5" customHeight="1">
      <c r="A1563" s="120">
        <v>93956</v>
      </c>
      <c r="B1563" s="119" t="s">
        <v>3103</v>
      </c>
      <c r="C1563" s="120" t="s">
        <v>328</v>
      </c>
      <c r="D1563" s="441">
        <v>193.48</v>
      </c>
    </row>
    <row r="1564" spans="1:4" ht="31.5" customHeight="1">
      <c r="A1564" s="120">
        <v>93957</v>
      </c>
      <c r="B1564" s="119" t="s">
        <v>3104</v>
      </c>
      <c r="C1564" s="120" t="s">
        <v>328</v>
      </c>
      <c r="D1564" s="441">
        <v>249.69</v>
      </c>
    </row>
    <row r="1565" spans="1:4" ht="47.25" customHeight="1">
      <c r="A1565" s="120">
        <v>93958</v>
      </c>
      <c r="B1565" s="119" t="s">
        <v>3105</v>
      </c>
      <c r="C1565" s="120" t="s">
        <v>328</v>
      </c>
      <c r="D1565" s="441">
        <v>230.65</v>
      </c>
    </row>
    <row r="1566" spans="1:4" ht="47.25" customHeight="1">
      <c r="A1566" s="120">
        <v>93959</v>
      </c>
      <c r="B1566" s="119" t="s">
        <v>3106</v>
      </c>
      <c r="C1566" s="120" t="s">
        <v>328</v>
      </c>
      <c r="D1566" s="441">
        <v>219.34</v>
      </c>
    </row>
    <row r="1567" spans="1:4" ht="47.25" customHeight="1">
      <c r="A1567" s="120">
        <v>93960</v>
      </c>
      <c r="B1567" s="119" t="s">
        <v>3107</v>
      </c>
      <c r="C1567" s="120" t="s">
        <v>328</v>
      </c>
      <c r="D1567" s="441">
        <v>211.4</v>
      </c>
    </row>
    <row r="1568" spans="1:4" ht="31.5" customHeight="1">
      <c r="A1568" s="120">
        <v>93961</v>
      </c>
      <c r="B1568" s="119" t="s">
        <v>3108</v>
      </c>
      <c r="C1568" s="120" t="s">
        <v>328</v>
      </c>
      <c r="D1568" s="441">
        <v>205.17</v>
      </c>
    </row>
    <row r="1569" spans="1:4" ht="31.5" customHeight="1">
      <c r="A1569" s="120">
        <v>93962</v>
      </c>
      <c r="B1569" s="119" t="s">
        <v>3109</v>
      </c>
      <c r="C1569" s="120" t="s">
        <v>328</v>
      </c>
      <c r="D1569" s="441">
        <v>222.6</v>
      </c>
    </row>
    <row r="1570" spans="1:4" ht="47.25" customHeight="1">
      <c r="A1570" s="120">
        <v>93963</v>
      </c>
      <c r="B1570" s="119" t="s">
        <v>3110</v>
      </c>
      <c r="C1570" s="120" t="s">
        <v>328</v>
      </c>
      <c r="D1570" s="441">
        <v>204.64</v>
      </c>
    </row>
    <row r="1571" spans="1:4" ht="47.25" customHeight="1">
      <c r="A1571" s="120">
        <v>93964</v>
      </c>
      <c r="B1571" s="119" t="s">
        <v>3111</v>
      </c>
      <c r="C1571" s="120" t="s">
        <v>328</v>
      </c>
      <c r="D1571" s="441">
        <v>193.89</v>
      </c>
    </row>
    <row r="1572" spans="1:4" ht="47.25" customHeight="1">
      <c r="A1572" s="120">
        <v>93965</v>
      </c>
      <c r="B1572" s="119" t="s">
        <v>3112</v>
      </c>
      <c r="C1572" s="120" t="s">
        <v>328</v>
      </c>
      <c r="D1572" s="441">
        <v>183.18</v>
      </c>
    </row>
    <row r="1573" spans="1:4" ht="31.5" customHeight="1">
      <c r="A1573" s="120">
        <v>93966</v>
      </c>
      <c r="B1573" s="119" t="s">
        <v>3113</v>
      </c>
      <c r="C1573" s="120" t="s">
        <v>328</v>
      </c>
      <c r="D1573" s="441">
        <v>180.34</v>
      </c>
    </row>
    <row r="1574" spans="1:4" ht="31.5" customHeight="1">
      <c r="A1574" s="120">
        <v>93967</v>
      </c>
      <c r="B1574" s="119" t="s">
        <v>3114</v>
      </c>
      <c r="C1574" s="120" t="s">
        <v>328</v>
      </c>
      <c r="D1574" s="441">
        <v>236.34</v>
      </c>
    </row>
    <row r="1575" spans="1:4" ht="47.25" customHeight="1">
      <c r="A1575" s="120">
        <v>93968</v>
      </c>
      <c r="B1575" s="119" t="s">
        <v>3115</v>
      </c>
      <c r="C1575" s="120" t="s">
        <v>328</v>
      </c>
      <c r="D1575" s="441">
        <v>217.35</v>
      </c>
    </row>
    <row r="1576" spans="1:4" ht="47.25" customHeight="1">
      <c r="A1576" s="120">
        <v>93969</v>
      </c>
      <c r="B1576" s="119" t="s">
        <v>3116</v>
      </c>
      <c r="C1576" s="120" t="s">
        <v>328</v>
      </c>
      <c r="D1576" s="441">
        <v>206.1</v>
      </c>
    </row>
    <row r="1577" spans="1:4" ht="47.25" customHeight="1">
      <c r="A1577" s="120">
        <v>93970</v>
      </c>
      <c r="B1577" s="119" t="s">
        <v>3117</v>
      </c>
      <c r="C1577" s="120" t="s">
        <v>328</v>
      </c>
      <c r="D1577" s="441">
        <v>198.2</v>
      </c>
    </row>
    <row r="1578" spans="1:4" ht="31.5" customHeight="1">
      <c r="A1578" s="120">
        <v>93971</v>
      </c>
      <c r="B1578" s="119" t="s">
        <v>3118</v>
      </c>
      <c r="C1578" s="120" t="s">
        <v>328</v>
      </c>
      <c r="D1578" s="441">
        <v>185.53</v>
      </c>
    </row>
    <row r="1579" spans="1:4" ht="31.5" customHeight="1">
      <c r="A1579" s="120">
        <v>95108</v>
      </c>
      <c r="B1579" s="119" t="s">
        <v>3119</v>
      </c>
      <c r="C1579" s="120" t="s">
        <v>331</v>
      </c>
      <c r="D1579" s="441">
        <v>35.97</v>
      </c>
    </row>
    <row r="1580" spans="1:4" ht="31.5" customHeight="1">
      <c r="A1580" s="120">
        <v>100332</v>
      </c>
      <c r="B1580" s="119" t="s">
        <v>3120</v>
      </c>
      <c r="C1580" s="120" t="s">
        <v>951</v>
      </c>
      <c r="D1580" s="441">
        <v>944.24</v>
      </c>
    </row>
    <row r="1581" spans="1:4" ht="31.5" customHeight="1">
      <c r="A1581" s="120">
        <v>100333</v>
      </c>
      <c r="B1581" s="119" t="s">
        <v>3121</v>
      </c>
      <c r="C1581" s="120" t="s">
        <v>951</v>
      </c>
      <c r="D1581" s="441">
        <v>570.12</v>
      </c>
    </row>
    <row r="1582" spans="1:4" ht="31.5" customHeight="1">
      <c r="A1582" s="120">
        <v>100334</v>
      </c>
      <c r="B1582" s="119" t="s">
        <v>3122</v>
      </c>
      <c r="C1582" s="120" t="s">
        <v>951</v>
      </c>
      <c r="D1582" s="441">
        <v>741.29</v>
      </c>
    </row>
    <row r="1583" spans="1:4" ht="31.5" customHeight="1">
      <c r="A1583" s="120">
        <v>100335</v>
      </c>
      <c r="B1583" s="119" t="s">
        <v>3123</v>
      </c>
      <c r="C1583" s="120" t="s">
        <v>951</v>
      </c>
      <c r="D1583" s="441">
        <v>460.69</v>
      </c>
    </row>
    <row r="1584" spans="1:4" ht="31.5" customHeight="1">
      <c r="A1584" s="120">
        <v>100341</v>
      </c>
      <c r="B1584" s="119" t="s">
        <v>3124</v>
      </c>
      <c r="C1584" s="120" t="s">
        <v>951</v>
      </c>
      <c r="D1584" s="441">
        <v>39.270000000000003</v>
      </c>
    </row>
    <row r="1585" spans="1:4" ht="31.5" customHeight="1">
      <c r="A1585" s="120">
        <v>100342</v>
      </c>
      <c r="B1585" s="119" t="s">
        <v>3125</v>
      </c>
      <c r="C1585" s="120" t="s">
        <v>327</v>
      </c>
      <c r="D1585" s="441">
        <v>15.43</v>
      </c>
    </row>
    <row r="1586" spans="1:4" ht="31.5" customHeight="1">
      <c r="A1586" s="120">
        <v>100343</v>
      </c>
      <c r="B1586" s="119" t="s">
        <v>3126</v>
      </c>
      <c r="C1586" s="120" t="s">
        <v>327</v>
      </c>
      <c r="D1586" s="441">
        <v>14.25</v>
      </c>
    </row>
    <row r="1587" spans="1:4" ht="31.5" customHeight="1">
      <c r="A1587" s="120">
        <v>100344</v>
      </c>
      <c r="B1587" s="119" t="s">
        <v>3127</v>
      </c>
      <c r="C1587" s="120" t="s">
        <v>327</v>
      </c>
      <c r="D1587" s="441">
        <v>12.62</v>
      </c>
    </row>
    <row r="1588" spans="1:4" ht="31.5" customHeight="1">
      <c r="A1588" s="120">
        <v>100345</v>
      </c>
      <c r="B1588" s="119" t="s">
        <v>3128</v>
      </c>
      <c r="C1588" s="120" t="s">
        <v>327</v>
      </c>
      <c r="D1588" s="441">
        <v>10.63</v>
      </c>
    </row>
    <row r="1589" spans="1:4" ht="31.5" customHeight="1">
      <c r="A1589" s="120">
        <v>100346</v>
      </c>
      <c r="B1589" s="119" t="s">
        <v>3129</v>
      </c>
      <c r="C1589" s="120" t="s">
        <v>327</v>
      </c>
      <c r="D1589" s="441">
        <v>9.9700000000000006</v>
      </c>
    </row>
    <row r="1590" spans="1:4" ht="31.5" customHeight="1">
      <c r="A1590" s="120">
        <v>100347</v>
      </c>
      <c r="B1590" s="119" t="s">
        <v>3130</v>
      </c>
      <c r="C1590" s="120" t="s">
        <v>327</v>
      </c>
      <c r="D1590" s="441">
        <v>11.04</v>
      </c>
    </row>
    <row r="1591" spans="1:4" ht="31.5" customHeight="1">
      <c r="A1591" s="120">
        <v>100348</v>
      </c>
      <c r="B1591" s="119" t="s">
        <v>3131</v>
      </c>
      <c r="C1591" s="120" t="s">
        <v>327</v>
      </c>
      <c r="D1591" s="441">
        <v>10.73</v>
      </c>
    </row>
    <row r="1592" spans="1:4" ht="31.5" customHeight="1">
      <c r="A1592" s="120">
        <v>100349</v>
      </c>
      <c r="B1592" s="119" t="s">
        <v>3132</v>
      </c>
      <c r="C1592" s="120" t="s">
        <v>950</v>
      </c>
      <c r="D1592" s="441">
        <v>554.71</v>
      </c>
    </row>
    <row r="1593" spans="1:4" ht="15.75" customHeight="1">
      <c r="A1593" s="120">
        <v>102989</v>
      </c>
      <c r="B1593" s="119" t="s">
        <v>3133</v>
      </c>
      <c r="C1593" s="120" t="s">
        <v>328</v>
      </c>
      <c r="D1593" s="441">
        <v>26.49</v>
      </c>
    </row>
    <row r="1594" spans="1:4" ht="15.75" customHeight="1">
      <c r="A1594" s="120">
        <v>102990</v>
      </c>
      <c r="B1594" s="119" t="s">
        <v>3134</v>
      </c>
      <c r="C1594" s="120" t="s">
        <v>328</v>
      </c>
      <c r="D1594" s="441">
        <v>31.99</v>
      </c>
    </row>
    <row r="1595" spans="1:4" ht="15.75" customHeight="1">
      <c r="A1595" s="120">
        <v>102991</v>
      </c>
      <c r="B1595" s="119" t="s">
        <v>3135</v>
      </c>
      <c r="C1595" s="120" t="s">
        <v>328</v>
      </c>
      <c r="D1595" s="441">
        <v>41.13</v>
      </c>
    </row>
    <row r="1596" spans="1:4" ht="15.75" customHeight="1">
      <c r="A1596" s="120">
        <v>102992</v>
      </c>
      <c r="B1596" s="119" t="s">
        <v>3136</v>
      </c>
      <c r="C1596" s="120" t="s">
        <v>328</v>
      </c>
      <c r="D1596" s="441">
        <v>56</v>
      </c>
    </row>
    <row r="1597" spans="1:4" ht="15.75" customHeight="1">
      <c r="A1597" s="120">
        <v>102993</v>
      </c>
      <c r="B1597" s="119" t="s">
        <v>3137</v>
      </c>
      <c r="C1597" s="120" t="s">
        <v>328</v>
      </c>
      <c r="D1597" s="441">
        <v>73.39</v>
      </c>
    </row>
    <row r="1598" spans="1:4" ht="15.75" customHeight="1">
      <c r="A1598" s="120">
        <v>102994</v>
      </c>
      <c r="B1598" s="119" t="s">
        <v>3138</v>
      </c>
      <c r="C1598" s="120" t="s">
        <v>328</v>
      </c>
      <c r="D1598" s="441">
        <v>114.79</v>
      </c>
    </row>
    <row r="1599" spans="1:4" ht="31.5" customHeight="1">
      <c r="A1599" s="120">
        <v>102995</v>
      </c>
      <c r="B1599" s="119" t="s">
        <v>3139</v>
      </c>
      <c r="C1599" s="120" t="s">
        <v>328</v>
      </c>
      <c r="D1599" s="441">
        <v>50.52</v>
      </c>
    </row>
    <row r="1600" spans="1:4" ht="31.5" customHeight="1">
      <c r="A1600" s="120">
        <v>102996</v>
      </c>
      <c r="B1600" s="119" t="s">
        <v>3140</v>
      </c>
      <c r="C1600" s="120" t="s">
        <v>328</v>
      </c>
      <c r="D1600" s="441">
        <v>71.27</v>
      </c>
    </row>
    <row r="1601" spans="1:4" ht="31.5" customHeight="1">
      <c r="A1601" s="120">
        <v>102997</v>
      </c>
      <c r="B1601" s="119" t="s">
        <v>3141</v>
      </c>
      <c r="C1601" s="120" t="s">
        <v>328</v>
      </c>
      <c r="D1601" s="441">
        <v>93.81</v>
      </c>
    </row>
    <row r="1602" spans="1:4" ht="31.5" customHeight="1">
      <c r="A1602" s="120">
        <v>102998</v>
      </c>
      <c r="B1602" s="119" t="s">
        <v>3142</v>
      </c>
      <c r="C1602" s="120" t="s">
        <v>328</v>
      </c>
      <c r="D1602" s="441">
        <v>90.07</v>
      </c>
    </row>
    <row r="1603" spans="1:4" ht="31.5" customHeight="1">
      <c r="A1603" s="120">
        <v>102999</v>
      </c>
      <c r="B1603" s="119" t="s">
        <v>3143</v>
      </c>
      <c r="C1603" s="120" t="s">
        <v>328</v>
      </c>
      <c r="D1603" s="441">
        <v>113.87</v>
      </c>
    </row>
    <row r="1604" spans="1:4" ht="31.5" customHeight="1">
      <c r="A1604" s="120">
        <v>103000</v>
      </c>
      <c r="B1604" s="119" t="s">
        <v>3144</v>
      </c>
      <c r="C1604" s="120" t="s">
        <v>328</v>
      </c>
      <c r="D1604" s="441">
        <v>114.34</v>
      </c>
    </row>
    <row r="1605" spans="1:4" ht="31.5" customHeight="1">
      <c r="A1605" s="120">
        <v>103001</v>
      </c>
      <c r="B1605" s="119" t="s">
        <v>3145</v>
      </c>
      <c r="C1605" s="120" t="s">
        <v>331</v>
      </c>
      <c r="D1605" s="441">
        <v>257.82</v>
      </c>
    </row>
    <row r="1606" spans="1:4" ht="31.5" customHeight="1">
      <c r="A1606" s="120">
        <v>103002</v>
      </c>
      <c r="B1606" s="119" t="s">
        <v>3146</v>
      </c>
      <c r="C1606" s="120" t="s">
        <v>331</v>
      </c>
      <c r="D1606" s="441">
        <v>320.91000000000003</v>
      </c>
    </row>
    <row r="1607" spans="1:4" ht="31.5" customHeight="1">
      <c r="A1607" s="120">
        <v>103003</v>
      </c>
      <c r="B1607" s="119" t="s">
        <v>3147</v>
      </c>
      <c r="C1607" s="120" t="s">
        <v>331</v>
      </c>
      <c r="D1607" s="441">
        <v>447.12</v>
      </c>
    </row>
    <row r="1608" spans="1:4" ht="31.5" customHeight="1">
      <c r="A1608" s="120">
        <v>103005</v>
      </c>
      <c r="B1608" s="119" t="s">
        <v>3148</v>
      </c>
      <c r="C1608" s="120" t="s">
        <v>331</v>
      </c>
      <c r="D1608" s="441">
        <v>641.29999999999995</v>
      </c>
    </row>
    <row r="1609" spans="1:4" ht="31.5" customHeight="1">
      <c r="A1609" s="120">
        <v>103006</v>
      </c>
      <c r="B1609" s="119" t="s">
        <v>3149</v>
      </c>
      <c r="C1609" s="120" t="s">
        <v>331</v>
      </c>
      <c r="D1609" s="441">
        <v>875.48</v>
      </c>
    </row>
    <row r="1610" spans="1:4" ht="31.5" customHeight="1">
      <c r="A1610" s="120">
        <v>103007</v>
      </c>
      <c r="B1610" s="119" t="s">
        <v>3150</v>
      </c>
      <c r="C1610" s="120" t="s">
        <v>331</v>
      </c>
      <c r="D1610" s="442">
        <v>1159.04</v>
      </c>
    </row>
    <row r="1611" spans="1:4" ht="31.5" customHeight="1">
      <c r="A1611" s="120">
        <v>97933</v>
      </c>
      <c r="B1611" s="119" t="s">
        <v>3151</v>
      </c>
      <c r="C1611" s="120" t="s">
        <v>331</v>
      </c>
      <c r="D1611" s="441">
        <v>779.23</v>
      </c>
    </row>
    <row r="1612" spans="1:4" ht="31.5" customHeight="1">
      <c r="A1612" s="120">
        <v>97934</v>
      </c>
      <c r="B1612" s="119" t="s">
        <v>3152</v>
      </c>
      <c r="C1612" s="120" t="s">
        <v>331</v>
      </c>
      <c r="D1612" s="442">
        <v>2137.39</v>
      </c>
    </row>
    <row r="1613" spans="1:4" ht="31.5" customHeight="1">
      <c r="A1613" s="120">
        <v>97935</v>
      </c>
      <c r="B1613" s="119" t="s">
        <v>3153</v>
      </c>
      <c r="C1613" s="120" t="s">
        <v>331</v>
      </c>
      <c r="D1613" s="441">
        <v>732.57</v>
      </c>
    </row>
    <row r="1614" spans="1:4" ht="31.5" customHeight="1">
      <c r="A1614" s="120">
        <v>97936</v>
      </c>
      <c r="B1614" s="119" t="s">
        <v>3154</v>
      </c>
      <c r="C1614" s="120" t="s">
        <v>331</v>
      </c>
      <c r="D1614" s="442">
        <v>2073.12</v>
      </c>
    </row>
    <row r="1615" spans="1:4" ht="31.5" customHeight="1">
      <c r="A1615" s="120">
        <v>97947</v>
      </c>
      <c r="B1615" s="119" t="s">
        <v>3155</v>
      </c>
      <c r="C1615" s="120" t="s">
        <v>331</v>
      </c>
      <c r="D1615" s="442">
        <v>1737.19</v>
      </c>
    </row>
    <row r="1616" spans="1:4" ht="31.5" customHeight="1">
      <c r="A1616" s="120">
        <v>97948</v>
      </c>
      <c r="B1616" s="119" t="s">
        <v>3156</v>
      </c>
      <c r="C1616" s="120" t="s">
        <v>331</v>
      </c>
      <c r="D1616" s="442">
        <v>3167.41</v>
      </c>
    </row>
    <row r="1617" spans="1:4" ht="31.5" customHeight="1">
      <c r="A1617" s="120">
        <v>97949</v>
      </c>
      <c r="B1617" s="119" t="s">
        <v>3157</v>
      </c>
      <c r="C1617" s="120" t="s">
        <v>331</v>
      </c>
      <c r="D1617" s="442">
        <v>1898.21</v>
      </c>
    </row>
    <row r="1618" spans="1:4" ht="31.5" customHeight="1">
      <c r="A1618" s="120">
        <v>97950</v>
      </c>
      <c r="B1618" s="119" t="s">
        <v>3158</v>
      </c>
      <c r="C1618" s="120" t="s">
        <v>331</v>
      </c>
      <c r="D1618" s="442">
        <v>3328.18</v>
      </c>
    </row>
    <row r="1619" spans="1:4" ht="31.5" customHeight="1">
      <c r="A1619" s="120">
        <v>97951</v>
      </c>
      <c r="B1619" s="119" t="s">
        <v>3159</v>
      </c>
      <c r="C1619" s="120" t="s">
        <v>331</v>
      </c>
      <c r="D1619" s="442">
        <v>2879.7</v>
      </c>
    </row>
    <row r="1620" spans="1:4" ht="31.5" customHeight="1">
      <c r="A1620" s="120">
        <v>97952</v>
      </c>
      <c r="B1620" s="119" t="s">
        <v>3160</v>
      </c>
      <c r="C1620" s="120" t="s">
        <v>331</v>
      </c>
      <c r="D1620" s="442">
        <v>4917.9799999999996</v>
      </c>
    </row>
    <row r="1621" spans="1:4" ht="31.5" customHeight="1">
      <c r="A1621" s="120">
        <v>97953</v>
      </c>
      <c r="B1621" s="119" t="s">
        <v>3161</v>
      </c>
      <c r="C1621" s="120" t="s">
        <v>331</v>
      </c>
      <c r="D1621" s="442">
        <v>1225.21</v>
      </c>
    </row>
    <row r="1622" spans="1:4" ht="31.5" customHeight="1">
      <c r="A1622" s="120">
        <v>97955</v>
      </c>
      <c r="B1622" s="119" t="s">
        <v>3162</v>
      </c>
      <c r="C1622" s="120" t="s">
        <v>331</v>
      </c>
      <c r="D1622" s="442">
        <v>2655.52</v>
      </c>
    </row>
    <row r="1623" spans="1:4" ht="31.5" customHeight="1">
      <c r="A1623" s="120">
        <v>97956</v>
      </c>
      <c r="B1623" s="119" t="s">
        <v>3163</v>
      </c>
      <c r="C1623" s="120" t="s">
        <v>331</v>
      </c>
      <c r="D1623" s="442">
        <v>1444.59</v>
      </c>
    </row>
    <row r="1624" spans="1:4" ht="31.5" customHeight="1">
      <c r="A1624" s="120">
        <v>97957</v>
      </c>
      <c r="B1624" s="119" t="s">
        <v>3164</v>
      </c>
      <c r="C1624" s="120" t="s">
        <v>331</v>
      </c>
      <c r="D1624" s="442">
        <v>2598.16</v>
      </c>
    </row>
    <row r="1625" spans="1:4" ht="31.5" customHeight="1">
      <c r="A1625" s="120">
        <v>97961</v>
      </c>
      <c r="B1625" s="119" t="s">
        <v>3165</v>
      </c>
      <c r="C1625" s="120" t="s">
        <v>331</v>
      </c>
      <c r="D1625" s="442">
        <v>2230.7600000000002</v>
      </c>
    </row>
    <row r="1626" spans="1:4" ht="31.5" customHeight="1">
      <c r="A1626" s="120">
        <v>97973</v>
      </c>
      <c r="B1626" s="119" t="s">
        <v>3166</v>
      </c>
      <c r="C1626" s="120" t="s">
        <v>331</v>
      </c>
      <c r="D1626" s="442">
        <v>4160</v>
      </c>
    </row>
    <row r="1627" spans="1:4" ht="31.5" customHeight="1">
      <c r="A1627" s="120">
        <v>97974</v>
      </c>
      <c r="B1627" s="119" t="s">
        <v>3167</v>
      </c>
      <c r="C1627" s="120" t="s">
        <v>331</v>
      </c>
      <c r="D1627" s="441">
        <v>420.53</v>
      </c>
    </row>
    <row r="1628" spans="1:4" ht="31.5" customHeight="1">
      <c r="A1628" s="120">
        <v>97975</v>
      </c>
      <c r="B1628" s="119" t="s">
        <v>3168</v>
      </c>
      <c r="C1628" s="120" t="s">
        <v>331</v>
      </c>
      <c r="D1628" s="441">
        <v>531.27</v>
      </c>
    </row>
    <row r="1629" spans="1:4" ht="31.5" customHeight="1">
      <c r="A1629" s="120">
        <v>97976</v>
      </c>
      <c r="B1629" s="119" t="s">
        <v>3169</v>
      </c>
      <c r="C1629" s="120" t="s">
        <v>331</v>
      </c>
      <c r="D1629" s="442">
        <v>1178.6300000000001</v>
      </c>
    </row>
    <row r="1630" spans="1:4" ht="31.5" customHeight="1">
      <c r="A1630" s="120">
        <v>97977</v>
      </c>
      <c r="B1630" s="119" t="s">
        <v>3170</v>
      </c>
      <c r="C1630" s="120" t="s">
        <v>331</v>
      </c>
      <c r="D1630" s="442">
        <v>1693.84</v>
      </c>
    </row>
    <row r="1631" spans="1:4" ht="31.5" customHeight="1">
      <c r="A1631" s="120">
        <v>97978</v>
      </c>
      <c r="B1631" s="119" t="s">
        <v>3171</v>
      </c>
      <c r="C1631" s="120" t="s">
        <v>331</v>
      </c>
      <c r="D1631" s="441">
        <v>860.74</v>
      </c>
    </row>
    <row r="1632" spans="1:4" ht="31.5" customHeight="1">
      <c r="A1632" s="120">
        <v>97980</v>
      </c>
      <c r="B1632" s="119" t="s">
        <v>3172</v>
      </c>
      <c r="C1632" s="120" t="s">
        <v>331</v>
      </c>
      <c r="D1632" s="442">
        <v>2173.5</v>
      </c>
    </row>
    <row r="1633" spans="1:4" ht="31.5" customHeight="1">
      <c r="A1633" s="120">
        <v>97981</v>
      </c>
      <c r="B1633" s="119" t="s">
        <v>3173</v>
      </c>
      <c r="C1633" s="120" t="s">
        <v>328</v>
      </c>
      <c r="D1633" s="442">
        <v>1279.73</v>
      </c>
    </row>
    <row r="1634" spans="1:4" ht="31.5" customHeight="1">
      <c r="A1634" s="120">
        <v>97983</v>
      </c>
      <c r="B1634" s="119" t="s">
        <v>3174</v>
      </c>
      <c r="C1634" s="120" t="s">
        <v>328</v>
      </c>
      <c r="D1634" s="441">
        <v>389.73</v>
      </c>
    </row>
    <row r="1635" spans="1:4" ht="31.5" customHeight="1">
      <c r="A1635" s="120">
        <v>97985</v>
      </c>
      <c r="B1635" s="119" t="s">
        <v>3175</v>
      </c>
      <c r="C1635" s="120" t="s">
        <v>328</v>
      </c>
      <c r="D1635" s="442">
        <v>1547.58</v>
      </c>
    </row>
    <row r="1636" spans="1:4" ht="31.5" customHeight="1">
      <c r="A1636" s="120">
        <v>97987</v>
      </c>
      <c r="B1636" s="119" t="s">
        <v>3176</v>
      </c>
      <c r="C1636" s="120" t="s">
        <v>328</v>
      </c>
      <c r="D1636" s="441">
        <v>514.49</v>
      </c>
    </row>
    <row r="1637" spans="1:4" ht="31.5" customHeight="1">
      <c r="A1637" s="120">
        <v>97988</v>
      </c>
      <c r="B1637" s="119" t="s">
        <v>3177</v>
      </c>
      <c r="C1637" s="120" t="s">
        <v>331</v>
      </c>
      <c r="D1637" s="442">
        <v>3174.32</v>
      </c>
    </row>
    <row r="1638" spans="1:4" ht="31.5" customHeight="1">
      <c r="A1638" s="120">
        <v>97989</v>
      </c>
      <c r="B1638" s="119" t="s">
        <v>3178</v>
      </c>
      <c r="C1638" s="120" t="s">
        <v>328</v>
      </c>
      <c r="D1638" s="442">
        <v>1815.35</v>
      </c>
    </row>
    <row r="1639" spans="1:4" ht="31.5" customHeight="1">
      <c r="A1639" s="120">
        <v>97991</v>
      </c>
      <c r="B1639" s="119" t="s">
        <v>3179</v>
      </c>
      <c r="C1639" s="120" t="s">
        <v>328</v>
      </c>
      <c r="D1639" s="441">
        <v>702.44</v>
      </c>
    </row>
    <row r="1640" spans="1:4" ht="31.5" customHeight="1">
      <c r="A1640" s="120">
        <v>97992</v>
      </c>
      <c r="B1640" s="119" t="s">
        <v>3180</v>
      </c>
      <c r="C1640" s="120" t="s">
        <v>331</v>
      </c>
      <c r="D1640" s="442">
        <v>4055.48</v>
      </c>
    </row>
    <row r="1641" spans="1:4" ht="31.5" customHeight="1">
      <c r="A1641" s="120">
        <v>97993</v>
      </c>
      <c r="B1641" s="119" t="s">
        <v>3181</v>
      </c>
      <c r="C1641" s="120" t="s">
        <v>328</v>
      </c>
      <c r="D1641" s="442">
        <v>2217.11</v>
      </c>
    </row>
    <row r="1642" spans="1:4" ht="31.5" customHeight="1">
      <c r="A1642" s="120">
        <v>97994</v>
      </c>
      <c r="B1642" s="119" t="s">
        <v>3182</v>
      </c>
      <c r="C1642" s="120" t="s">
        <v>331</v>
      </c>
      <c r="D1642" s="442">
        <v>2614.61</v>
      </c>
    </row>
    <row r="1643" spans="1:4" ht="31.5" customHeight="1">
      <c r="A1643" s="120">
        <v>97995</v>
      </c>
      <c r="B1643" s="119" t="s">
        <v>3183</v>
      </c>
      <c r="C1643" s="120" t="s">
        <v>328</v>
      </c>
      <c r="D1643" s="442">
        <v>1333.68</v>
      </c>
    </row>
    <row r="1644" spans="1:4" ht="31.5" customHeight="1">
      <c r="A1644" s="120">
        <v>97996</v>
      </c>
      <c r="B1644" s="119" t="s">
        <v>3184</v>
      </c>
      <c r="C1644" s="120" t="s">
        <v>331</v>
      </c>
      <c r="D1644" s="442">
        <v>3304.13</v>
      </c>
    </row>
    <row r="1645" spans="1:4" ht="31.5" customHeight="1">
      <c r="A1645" s="120">
        <v>97997</v>
      </c>
      <c r="B1645" s="119" t="s">
        <v>3185</v>
      </c>
      <c r="C1645" s="120" t="s">
        <v>328</v>
      </c>
      <c r="D1645" s="442">
        <v>1594.33</v>
      </c>
    </row>
    <row r="1646" spans="1:4" ht="31.5" customHeight="1">
      <c r="A1646" s="120">
        <v>97999</v>
      </c>
      <c r="B1646" s="119" t="s">
        <v>3186</v>
      </c>
      <c r="C1646" s="120" t="s">
        <v>328</v>
      </c>
      <c r="D1646" s="442">
        <v>1855.08</v>
      </c>
    </row>
    <row r="1647" spans="1:4" ht="31.5" customHeight="1">
      <c r="A1647" s="120">
        <v>98001</v>
      </c>
      <c r="B1647" s="119" t="s">
        <v>3187</v>
      </c>
      <c r="C1647" s="120" t="s">
        <v>328</v>
      </c>
      <c r="D1647" s="442">
        <v>2115.73</v>
      </c>
    </row>
    <row r="1648" spans="1:4" ht="31.5" customHeight="1">
      <c r="A1648" s="120">
        <v>98002</v>
      </c>
      <c r="B1648" s="119" t="s">
        <v>3188</v>
      </c>
      <c r="C1648" s="120" t="s">
        <v>331</v>
      </c>
      <c r="D1648" s="442">
        <v>5411.33</v>
      </c>
    </row>
    <row r="1649" spans="1:4" ht="31.5" customHeight="1">
      <c r="A1649" s="120">
        <v>98003</v>
      </c>
      <c r="B1649" s="119" t="s">
        <v>3189</v>
      </c>
      <c r="C1649" s="120" t="s">
        <v>328</v>
      </c>
      <c r="D1649" s="442">
        <v>2376.46</v>
      </c>
    </row>
    <row r="1650" spans="1:4" ht="31.5" customHeight="1">
      <c r="A1650" s="120">
        <v>98005</v>
      </c>
      <c r="B1650" s="119" t="s">
        <v>3190</v>
      </c>
      <c r="C1650" s="120" t="s">
        <v>328</v>
      </c>
      <c r="D1650" s="442">
        <v>2637.2</v>
      </c>
    </row>
    <row r="1651" spans="1:4" ht="31.5" customHeight="1">
      <c r="A1651" s="120">
        <v>98006</v>
      </c>
      <c r="B1651" s="119" t="s">
        <v>3191</v>
      </c>
      <c r="C1651" s="120" t="s">
        <v>331</v>
      </c>
      <c r="D1651" s="442">
        <v>6800.08</v>
      </c>
    </row>
    <row r="1652" spans="1:4" ht="31.5" customHeight="1">
      <c r="A1652" s="120">
        <v>98007</v>
      </c>
      <c r="B1652" s="119" t="s">
        <v>3192</v>
      </c>
      <c r="C1652" s="120" t="s">
        <v>328</v>
      </c>
      <c r="D1652" s="442">
        <v>2897.86</v>
      </c>
    </row>
    <row r="1653" spans="1:4" ht="31.5" customHeight="1">
      <c r="A1653" s="120">
        <v>98008</v>
      </c>
      <c r="B1653" s="119" t="s">
        <v>3193</v>
      </c>
      <c r="C1653" s="120" t="s">
        <v>331</v>
      </c>
      <c r="D1653" s="442">
        <v>4074.51</v>
      </c>
    </row>
    <row r="1654" spans="1:4" ht="31.5" customHeight="1">
      <c r="A1654" s="120">
        <v>98009</v>
      </c>
      <c r="B1654" s="119" t="s">
        <v>3194</v>
      </c>
      <c r="C1654" s="120" t="s">
        <v>328</v>
      </c>
      <c r="D1654" s="442">
        <v>1855.08</v>
      </c>
    </row>
    <row r="1655" spans="1:4" ht="31.5" customHeight="1">
      <c r="A1655" s="120">
        <v>98010</v>
      </c>
      <c r="B1655" s="119" t="s">
        <v>3195</v>
      </c>
      <c r="C1655" s="120" t="s">
        <v>331</v>
      </c>
      <c r="D1655" s="442">
        <v>4971.1000000000004</v>
      </c>
    </row>
    <row r="1656" spans="1:4" ht="31.5" customHeight="1">
      <c r="A1656" s="120">
        <v>98011</v>
      </c>
      <c r="B1656" s="119" t="s">
        <v>3196</v>
      </c>
      <c r="C1656" s="120" t="s">
        <v>328</v>
      </c>
      <c r="D1656" s="442">
        <v>2115.73</v>
      </c>
    </row>
    <row r="1657" spans="1:4" ht="31.5" customHeight="1">
      <c r="A1657" s="120">
        <v>98012</v>
      </c>
      <c r="B1657" s="119" t="s">
        <v>3197</v>
      </c>
      <c r="C1657" s="120" t="s">
        <v>331</v>
      </c>
      <c r="D1657" s="442">
        <v>5837.04</v>
      </c>
    </row>
    <row r="1658" spans="1:4" ht="31.5" customHeight="1">
      <c r="A1658" s="120">
        <v>98013</v>
      </c>
      <c r="B1658" s="119" t="s">
        <v>3198</v>
      </c>
      <c r="C1658" s="120" t="s">
        <v>328</v>
      </c>
      <c r="D1658" s="442">
        <v>2376.46</v>
      </c>
    </row>
    <row r="1659" spans="1:4" ht="31.5" customHeight="1">
      <c r="A1659" s="120">
        <v>98014</v>
      </c>
      <c r="B1659" s="119" t="s">
        <v>3199</v>
      </c>
      <c r="C1659" s="120" t="s">
        <v>331</v>
      </c>
      <c r="D1659" s="442">
        <v>6702.85</v>
      </c>
    </row>
    <row r="1660" spans="1:4" ht="31.5" customHeight="1">
      <c r="A1660" s="120">
        <v>98015</v>
      </c>
      <c r="B1660" s="119" t="s">
        <v>3200</v>
      </c>
      <c r="C1660" s="120" t="s">
        <v>328</v>
      </c>
      <c r="D1660" s="442">
        <v>2637.2</v>
      </c>
    </row>
    <row r="1661" spans="1:4" ht="31.5" customHeight="1">
      <c r="A1661" s="120">
        <v>98016</v>
      </c>
      <c r="B1661" s="119" t="s">
        <v>3201</v>
      </c>
      <c r="C1661" s="120" t="s">
        <v>331</v>
      </c>
      <c r="D1661" s="442">
        <v>7568.79</v>
      </c>
    </row>
    <row r="1662" spans="1:4" ht="31.5" customHeight="1">
      <c r="A1662" s="120">
        <v>98017</v>
      </c>
      <c r="B1662" s="119" t="s">
        <v>3202</v>
      </c>
      <c r="C1662" s="120" t="s">
        <v>328</v>
      </c>
      <c r="D1662" s="442">
        <v>2897.86</v>
      </c>
    </row>
    <row r="1663" spans="1:4" ht="31.5" customHeight="1">
      <c r="A1663" s="120">
        <v>98018</v>
      </c>
      <c r="B1663" s="119" t="s">
        <v>3203</v>
      </c>
      <c r="C1663" s="120" t="s">
        <v>331</v>
      </c>
      <c r="D1663" s="442">
        <v>8434.67</v>
      </c>
    </row>
    <row r="1664" spans="1:4" ht="31.5" customHeight="1">
      <c r="A1664" s="120">
        <v>98019</v>
      </c>
      <c r="B1664" s="119" t="s">
        <v>3204</v>
      </c>
      <c r="C1664" s="120" t="s">
        <v>328</v>
      </c>
      <c r="D1664" s="442">
        <v>3182.35</v>
      </c>
    </row>
    <row r="1665" spans="1:4" ht="31.5" customHeight="1">
      <c r="A1665" s="120">
        <v>98020</v>
      </c>
      <c r="B1665" s="119" t="s">
        <v>3205</v>
      </c>
      <c r="C1665" s="120" t="s">
        <v>331</v>
      </c>
      <c r="D1665" s="442">
        <v>5987.77</v>
      </c>
    </row>
    <row r="1666" spans="1:4" ht="31.5" customHeight="1">
      <c r="A1666" s="120">
        <v>98021</v>
      </c>
      <c r="B1666" s="119" t="s">
        <v>3206</v>
      </c>
      <c r="C1666" s="120" t="s">
        <v>328</v>
      </c>
      <c r="D1666" s="442">
        <v>2400.3000000000002</v>
      </c>
    </row>
    <row r="1667" spans="1:4" ht="31.5" customHeight="1">
      <c r="A1667" s="120">
        <v>98022</v>
      </c>
      <c r="B1667" s="119" t="s">
        <v>3207</v>
      </c>
      <c r="C1667" s="120" t="s">
        <v>331</v>
      </c>
      <c r="D1667" s="442">
        <v>7011.95</v>
      </c>
    </row>
    <row r="1668" spans="1:4" ht="31.5" customHeight="1">
      <c r="A1668" s="120">
        <v>98023</v>
      </c>
      <c r="B1668" s="119" t="s">
        <v>3208</v>
      </c>
      <c r="C1668" s="120" t="s">
        <v>328</v>
      </c>
      <c r="D1668" s="442">
        <v>2660.97</v>
      </c>
    </row>
    <row r="1669" spans="1:4" ht="31.5" customHeight="1">
      <c r="A1669" s="120">
        <v>98024</v>
      </c>
      <c r="B1669" s="119" t="s">
        <v>3209</v>
      </c>
      <c r="C1669" s="120" t="s">
        <v>331</v>
      </c>
      <c r="D1669" s="442">
        <v>8104.07</v>
      </c>
    </row>
    <row r="1670" spans="1:4" ht="31.5" customHeight="1">
      <c r="A1670" s="120">
        <v>98025</v>
      </c>
      <c r="B1670" s="119" t="s">
        <v>3210</v>
      </c>
      <c r="C1670" s="120" t="s">
        <v>328</v>
      </c>
      <c r="D1670" s="442">
        <v>2921.69</v>
      </c>
    </row>
    <row r="1671" spans="1:4" ht="31.5" customHeight="1">
      <c r="A1671" s="120">
        <v>98026</v>
      </c>
      <c r="B1671" s="119" t="s">
        <v>3211</v>
      </c>
      <c r="C1671" s="120" t="s">
        <v>331</v>
      </c>
      <c r="D1671" s="442">
        <v>9136.85</v>
      </c>
    </row>
    <row r="1672" spans="1:4" ht="31.5" customHeight="1">
      <c r="A1672" s="120">
        <v>98027</v>
      </c>
      <c r="B1672" s="119" t="s">
        <v>3212</v>
      </c>
      <c r="C1672" s="120" t="s">
        <v>328</v>
      </c>
      <c r="D1672" s="442">
        <v>3182.35</v>
      </c>
    </row>
    <row r="1673" spans="1:4" ht="31.5" customHeight="1">
      <c r="A1673" s="120">
        <v>98028</v>
      </c>
      <c r="B1673" s="119" t="s">
        <v>3213</v>
      </c>
      <c r="C1673" s="120" t="s">
        <v>331</v>
      </c>
      <c r="D1673" s="442">
        <v>10169.67</v>
      </c>
    </row>
    <row r="1674" spans="1:4" ht="31.5" customHeight="1">
      <c r="A1674" s="120">
        <v>98029</v>
      </c>
      <c r="B1674" s="119" t="s">
        <v>3214</v>
      </c>
      <c r="C1674" s="120" t="s">
        <v>328</v>
      </c>
      <c r="D1674" s="442">
        <v>3447.95</v>
      </c>
    </row>
    <row r="1675" spans="1:4" ht="31.5" customHeight="1">
      <c r="A1675" s="120">
        <v>98030</v>
      </c>
      <c r="B1675" s="119" t="s">
        <v>3215</v>
      </c>
      <c r="C1675" s="120" t="s">
        <v>331</v>
      </c>
      <c r="D1675" s="442">
        <v>8262.06</v>
      </c>
    </row>
    <row r="1676" spans="1:4" ht="31.5" customHeight="1">
      <c r="A1676" s="120">
        <v>98031</v>
      </c>
      <c r="B1676" s="119" t="s">
        <v>3216</v>
      </c>
      <c r="C1676" s="120" t="s">
        <v>328</v>
      </c>
      <c r="D1676" s="442">
        <v>2926.66</v>
      </c>
    </row>
    <row r="1677" spans="1:4" ht="31.5" customHeight="1">
      <c r="A1677" s="120">
        <v>98032</v>
      </c>
      <c r="B1677" s="119" t="s">
        <v>3217</v>
      </c>
      <c r="C1677" s="120" t="s">
        <v>331</v>
      </c>
      <c r="D1677" s="442">
        <v>9498.06</v>
      </c>
    </row>
    <row r="1678" spans="1:4" ht="31.5" customHeight="1">
      <c r="A1678" s="120">
        <v>98033</v>
      </c>
      <c r="B1678" s="119" t="s">
        <v>3218</v>
      </c>
      <c r="C1678" s="120" t="s">
        <v>328</v>
      </c>
      <c r="D1678" s="442">
        <v>3187.32</v>
      </c>
    </row>
    <row r="1679" spans="1:4" ht="31.5" customHeight="1">
      <c r="A1679" s="120">
        <v>98034</v>
      </c>
      <c r="B1679" s="119" t="s">
        <v>3219</v>
      </c>
      <c r="C1679" s="120" t="s">
        <v>331</v>
      </c>
      <c r="D1679" s="442">
        <v>10734.06</v>
      </c>
    </row>
    <row r="1680" spans="1:4" ht="31.5" customHeight="1">
      <c r="A1680" s="120">
        <v>98035</v>
      </c>
      <c r="B1680" s="119" t="s">
        <v>3220</v>
      </c>
      <c r="C1680" s="120" t="s">
        <v>328</v>
      </c>
      <c r="D1680" s="442">
        <v>3447.95</v>
      </c>
    </row>
    <row r="1681" spans="1:4" ht="31.5" customHeight="1">
      <c r="A1681" s="120">
        <v>98036</v>
      </c>
      <c r="B1681" s="119" t="s">
        <v>3221</v>
      </c>
      <c r="C1681" s="120" t="s">
        <v>331</v>
      </c>
      <c r="D1681" s="442">
        <v>11970.04</v>
      </c>
    </row>
    <row r="1682" spans="1:4" ht="31.5" customHeight="1">
      <c r="A1682" s="120">
        <v>98037</v>
      </c>
      <c r="B1682" s="119" t="s">
        <v>3222</v>
      </c>
      <c r="C1682" s="120" t="s">
        <v>328</v>
      </c>
      <c r="D1682" s="442">
        <v>3713.57</v>
      </c>
    </row>
    <row r="1683" spans="1:4" ht="31.5" customHeight="1">
      <c r="A1683" s="120">
        <v>98038</v>
      </c>
      <c r="B1683" s="119" t="s">
        <v>3223</v>
      </c>
      <c r="C1683" s="120" t="s">
        <v>331</v>
      </c>
      <c r="D1683" s="442">
        <v>10950.75</v>
      </c>
    </row>
    <row r="1684" spans="1:4" ht="31.5" customHeight="1">
      <c r="A1684" s="120">
        <v>98039</v>
      </c>
      <c r="B1684" s="119" t="s">
        <v>3224</v>
      </c>
      <c r="C1684" s="120" t="s">
        <v>328</v>
      </c>
      <c r="D1684" s="442">
        <v>3452.92</v>
      </c>
    </row>
    <row r="1685" spans="1:4" ht="31.5" customHeight="1">
      <c r="A1685" s="120">
        <v>98040</v>
      </c>
      <c r="B1685" s="119" t="s">
        <v>3225</v>
      </c>
      <c r="C1685" s="120" t="s">
        <v>331</v>
      </c>
      <c r="D1685" s="442">
        <v>12367.28</v>
      </c>
    </row>
    <row r="1686" spans="1:4" ht="31.5" customHeight="1">
      <c r="A1686" s="120">
        <v>98041</v>
      </c>
      <c r="B1686" s="119" t="s">
        <v>3226</v>
      </c>
      <c r="C1686" s="120" t="s">
        <v>328</v>
      </c>
      <c r="D1686" s="442">
        <v>3713.57</v>
      </c>
    </row>
    <row r="1687" spans="1:4" ht="31.5" customHeight="1">
      <c r="A1687" s="120">
        <v>98042</v>
      </c>
      <c r="B1687" s="119" t="s">
        <v>3227</v>
      </c>
      <c r="C1687" s="120" t="s">
        <v>331</v>
      </c>
      <c r="D1687" s="442">
        <v>13783.87</v>
      </c>
    </row>
    <row r="1688" spans="1:4" ht="31.5" customHeight="1">
      <c r="A1688" s="120">
        <v>98043</v>
      </c>
      <c r="B1688" s="119" t="s">
        <v>3228</v>
      </c>
      <c r="C1688" s="120" t="s">
        <v>328</v>
      </c>
      <c r="D1688" s="442">
        <v>3979.28</v>
      </c>
    </row>
    <row r="1689" spans="1:4" ht="31.5" customHeight="1">
      <c r="A1689" s="120">
        <v>98044</v>
      </c>
      <c r="B1689" s="119" t="s">
        <v>3229</v>
      </c>
      <c r="C1689" s="120" t="s">
        <v>331</v>
      </c>
      <c r="D1689" s="442">
        <v>14000.64</v>
      </c>
    </row>
    <row r="1690" spans="1:4" ht="31.5" customHeight="1">
      <c r="A1690" s="120">
        <v>98045</v>
      </c>
      <c r="B1690" s="119" t="s">
        <v>3230</v>
      </c>
      <c r="C1690" s="120" t="s">
        <v>328</v>
      </c>
      <c r="D1690" s="442">
        <v>3979.28</v>
      </c>
    </row>
    <row r="1691" spans="1:4" ht="31.5" customHeight="1">
      <c r="A1691" s="120">
        <v>98046</v>
      </c>
      <c r="B1691" s="119" t="s">
        <v>3231</v>
      </c>
      <c r="C1691" s="120" t="s">
        <v>331</v>
      </c>
      <c r="D1691" s="442">
        <v>15597.58</v>
      </c>
    </row>
    <row r="1692" spans="1:4" ht="31.5" customHeight="1">
      <c r="A1692" s="120">
        <v>98047</v>
      </c>
      <c r="B1692" s="119" t="s">
        <v>3232</v>
      </c>
      <c r="C1692" s="120" t="s">
        <v>328</v>
      </c>
      <c r="D1692" s="442">
        <v>4244.91</v>
      </c>
    </row>
    <row r="1693" spans="1:4" ht="31.5" customHeight="1">
      <c r="A1693" s="120">
        <v>98048</v>
      </c>
      <c r="B1693" s="119" t="s">
        <v>3233</v>
      </c>
      <c r="C1693" s="120" t="s">
        <v>331</v>
      </c>
      <c r="D1693" s="442">
        <v>17411.45</v>
      </c>
    </row>
    <row r="1694" spans="1:4" ht="31.5" customHeight="1">
      <c r="A1694" s="120">
        <v>98049</v>
      </c>
      <c r="B1694" s="119" t="s">
        <v>3234</v>
      </c>
      <c r="C1694" s="120" t="s">
        <v>328</v>
      </c>
      <c r="D1694" s="442">
        <v>4461.99</v>
      </c>
    </row>
    <row r="1695" spans="1:4" ht="31.5" customHeight="1">
      <c r="A1695" s="120">
        <v>98050</v>
      </c>
      <c r="B1695" s="119" t="s">
        <v>3235</v>
      </c>
      <c r="C1695" s="120" t="s">
        <v>328</v>
      </c>
      <c r="D1695" s="441">
        <v>214.1</v>
      </c>
    </row>
    <row r="1696" spans="1:4" ht="31.5" customHeight="1">
      <c r="A1696" s="120">
        <v>98051</v>
      </c>
      <c r="B1696" s="119" t="s">
        <v>3236</v>
      </c>
      <c r="C1696" s="120" t="s">
        <v>328</v>
      </c>
      <c r="D1696" s="442">
        <v>1019.42</v>
      </c>
    </row>
    <row r="1697" spans="1:4" ht="31.5" customHeight="1">
      <c r="A1697" s="120">
        <v>98405</v>
      </c>
      <c r="B1697" s="119" t="s">
        <v>3237</v>
      </c>
      <c r="C1697" s="120" t="s">
        <v>331</v>
      </c>
      <c r="D1697" s="442">
        <v>2675.63</v>
      </c>
    </row>
    <row r="1698" spans="1:4" ht="31.5" customHeight="1">
      <c r="A1698" s="120">
        <v>98406</v>
      </c>
      <c r="B1698" s="119" t="s">
        <v>3238</v>
      </c>
      <c r="C1698" s="120" t="s">
        <v>331</v>
      </c>
      <c r="D1698" s="442">
        <v>6105.65</v>
      </c>
    </row>
    <row r="1699" spans="1:4" ht="31.5" customHeight="1">
      <c r="A1699" s="120">
        <v>98407</v>
      </c>
      <c r="B1699" s="119" t="s">
        <v>3239</v>
      </c>
      <c r="C1699" s="120" t="s">
        <v>331</v>
      </c>
      <c r="D1699" s="442">
        <v>3993.56</v>
      </c>
    </row>
    <row r="1700" spans="1:4" ht="31.5" customHeight="1">
      <c r="A1700" s="120">
        <v>98408</v>
      </c>
      <c r="B1700" s="119" t="s">
        <v>3240</v>
      </c>
      <c r="C1700" s="120" t="s">
        <v>331</v>
      </c>
      <c r="D1700" s="442">
        <v>4683.05</v>
      </c>
    </row>
    <row r="1701" spans="1:4" ht="31.5" customHeight="1">
      <c r="A1701" s="120">
        <v>98409</v>
      </c>
      <c r="B1701" s="119" t="s">
        <v>3241</v>
      </c>
      <c r="C1701" s="120" t="s">
        <v>328</v>
      </c>
      <c r="D1701" s="441">
        <v>297.39</v>
      </c>
    </row>
    <row r="1702" spans="1:4" ht="31.5" customHeight="1">
      <c r="A1702" s="120">
        <v>98410</v>
      </c>
      <c r="B1702" s="119" t="s">
        <v>3242</v>
      </c>
      <c r="C1702" s="120" t="s">
        <v>331</v>
      </c>
      <c r="D1702" s="442">
        <v>1101.44</v>
      </c>
    </row>
    <row r="1703" spans="1:4" ht="31.5" customHeight="1">
      <c r="A1703" s="120">
        <v>99240</v>
      </c>
      <c r="B1703" s="119" t="s">
        <v>3243</v>
      </c>
      <c r="C1703" s="120" t="s">
        <v>328</v>
      </c>
      <c r="D1703" s="441">
        <v>511.16</v>
      </c>
    </row>
    <row r="1704" spans="1:4" ht="31.5" customHeight="1">
      <c r="A1704" s="120">
        <v>99241</v>
      </c>
      <c r="B1704" s="119" t="s">
        <v>3244</v>
      </c>
      <c r="C1704" s="120" t="s">
        <v>328</v>
      </c>
      <c r="D1704" s="442">
        <v>1785.24</v>
      </c>
    </row>
    <row r="1705" spans="1:4" ht="31.5" customHeight="1">
      <c r="A1705" s="120">
        <v>99242</v>
      </c>
      <c r="B1705" s="119" t="s">
        <v>3245</v>
      </c>
      <c r="C1705" s="120" t="s">
        <v>331</v>
      </c>
      <c r="D1705" s="442">
        <v>3079.36</v>
      </c>
    </row>
    <row r="1706" spans="1:4" ht="31.5" customHeight="1">
      <c r="A1706" s="120">
        <v>99243</v>
      </c>
      <c r="B1706" s="119" t="s">
        <v>3246</v>
      </c>
      <c r="C1706" s="120" t="s">
        <v>328</v>
      </c>
      <c r="D1706" s="442">
        <v>1725.41</v>
      </c>
    </row>
    <row r="1707" spans="1:4" ht="31.5" customHeight="1">
      <c r="A1707" s="120">
        <v>99244</v>
      </c>
      <c r="B1707" s="119" t="s">
        <v>3247</v>
      </c>
      <c r="C1707" s="120" t="s">
        <v>331</v>
      </c>
      <c r="D1707" s="442">
        <v>4857.01</v>
      </c>
    </row>
    <row r="1708" spans="1:4" ht="31.5" customHeight="1">
      <c r="A1708" s="120">
        <v>99246</v>
      </c>
      <c r="B1708" s="119" t="s">
        <v>3248</v>
      </c>
      <c r="C1708" s="120" t="s">
        <v>328</v>
      </c>
      <c r="D1708" s="441">
        <v>697.9</v>
      </c>
    </row>
    <row r="1709" spans="1:4" ht="31.5" customHeight="1">
      <c r="A1709" s="120">
        <v>99247</v>
      </c>
      <c r="B1709" s="119" t="s">
        <v>3249</v>
      </c>
      <c r="C1709" s="120" t="s">
        <v>328</v>
      </c>
      <c r="D1709" s="442">
        <v>2035.64</v>
      </c>
    </row>
    <row r="1710" spans="1:4" ht="31.5" customHeight="1">
      <c r="A1710" s="120">
        <v>99248</v>
      </c>
      <c r="B1710" s="119" t="s">
        <v>3250</v>
      </c>
      <c r="C1710" s="120" t="s">
        <v>331</v>
      </c>
      <c r="D1710" s="442">
        <v>3940.87</v>
      </c>
    </row>
    <row r="1711" spans="1:4" ht="31.5" customHeight="1">
      <c r="A1711" s="120">
        <v>99249</v>
      </c>
      <c r="B1711" s="119" t="s">
        <v>3251</v>
      </c>
      <c r="C1711" s="120" t="s">
        <v>328</v>
      </c>
      <c r="D1711" s="442">
        <v>2113.1799999999998</v>
      </c>
    </row>
    <row r="1712" spans="1:4" ht="31.5" customHeight="1">
      <c r="A1712" s="120">
        <v>99252</v>
      </c>
      <c r="B1712" s="119" t="s">
        <v>3252</v>
      </c>
      <c r="C1712" s="120" t="s">
        <v>331</v>
      </c>
      <c r="D1712" s="442">
        <v>2555.14</v>
      </c>
    </row>
    <row r="1713" spans="1:4" ht="31.5" customHeight="1">
      <c r="A1713" s="120">
        <v>99254</v>
      </c>
      <c r="B1713" s="119" t="s">
        <v>3253</v>
      </c>
      <c r="C1713" s="120" t="s">
        <v>328</v>
      </c>
      <c r="D1713" s="442">
        <v>1284.3800000000001</v>
      </c>
    </row>
    <row r="1714" spans="1:4" ht="31.5" customHeight="1">
      <c r="A1714" s="120">
        <v>99256</v>
      </c>
      <c r="B1714" s="119" t="s">
        <v>3254</v>
      </c>
      <c r="C1714" s="120" t="s">
        <v>331</v>
      </c>
      <c r="D1714" s="442">
        <v>5702.38</v>
      </c>
    </row>
    <row r="1715" spans="1:4" ht="31.5" customHeight="1">
      <c r="A1715" s="120">
        <v>99259</v>
      </c>
      <c r="B1715" s="119" t="s">
        <v>3255</v>
      </c>
      <c r="C1715" s="120" t="s">
        <v>331</v>
      </c>
      <c r="D1715" s="442">
        <v>3228.24</v>
      </c>
    </row>
    <row r="1716" spans="1:4" ht="31.5" customHeight="1">
      <c r="A1716" s="120">
        <v>99261</v>
      </c>
      <c r="B1716" s="119" t="s">
        <v>3256</v>
      </c>
      <c r="C1716" s="120" t="s">
        <v>328</v>
      </c>
      <c r="D1716" s="442">
        <v>1534.77</v>
      </c>
    </row>
    <row r="1717" spans="1:4" ht="31.5" customHeight="1">
      <c r="A1717" s="120">
        <v>99263</v>
      </c>
      <c r="B1717" s="119" t="s">
        <v>3257</v>
      </c>
      <c r="C1717" s="120" t="s">
        <v>328</v>
      </c>
      <c r="D1717" s="442">
        <v>2286.09</v>
      </c>
    </row>
    <row r="1718" spans="1:4" ht="31.5" customHeight="1">
      <c r="A1718" s="120">
        <v>99265</v>
      </c>
      <c r="B1718" s="119" t="s">
        <v>3258</v>
      </c>
      <c r="C1718" s="120" t="s">
        <v>331</v>
      </c>
      <c r="D1718" s="442">
        <v>3901.26</v>
      </c>
    </row>
    <row r="1719" spans="1:4" ht="31.5" customHeight="1">
      <c r="A1719" s="120">
        <v>99266</v>
      </c>
      <c r="B1719" s="119" t="s">
        <v>3259</v>
      </c>
      <c r="C1719" s="120" t="s">
        <v>328</v>
      </c>
      <c r="D1719" s="442">
        <v>1785.24</v>
      </c>
    </row>
    <row r="1720" spans="1:4" ht="31.5" customHeight="1">
      <c r="A1720" s="120">
        <v>99267</v>
      </c>
      <c r="B1720" s="119" t="s">
        <v>3260</v>
      </c>
      <c r="C1720" s="120" t="s">
        <v>331</v>
      </c>
      <c r="D1720" s="442">
        <v>4574.34</v>
      </c>
    </row>
    <row r="1721" spans="1:4" ht="31.5" customHeight="1">
      <c r="A1721" s="120">
        <v>99268</v>
      </c>
      <c r="B1721" s="119" t="s">
        <v>3261</v>
      </c>
      <c r="C1721" s="120" t="s">
        <v>331</v>
      </c>
      <c r="D1721" s="441">
        <v>416.28</v>
      </c>
    </row>
    <row r="1722" spans="1:4" ht="31.5" customHeight="1">
      <c r="A1722" s="120">
        <v>99269</v>
      </c>
      <c r="B1722" s="119" t="s">
        <v>3262</v>
      </c>
      <c r="C1722" s="120" t="s">
        <v>328</v>
      </c>
      <c r="D1722" s="442">
        <v>2035.64</v>
      </c>
    </row>
    <row r="1723" spans="1:4" ht="31.5" customHeight="1">
      <c r="A1723" s="120">
        <v>99270</v>
      </c>
      <c r="B1723" s="119" t="s">
        <v>3263</v>
      </c>
      <c r="C1723" s="120" t="s">
        <v>331</v>
      </c>
      <c r="D1723" s="441">
        <v>526.29999999999995</v>
      </c>
    </row>
    <row r="1724" spans="1:4" ht="31.5" customHeight="1">
      <c r="A1724" s="120">
        <v>99271</v>
      </c>
      <c r="B1724" s="119" t="s">
        <v>3264</v>
      </c>
      <c r="C1724" s="120" t="s">
        <v>331</v>
      </c>
      <c r="D1724" s="442">
        <v>6547.61</v>
      </c>
    </row>
    <row r="1725" spans="1:4" ht="31.5" customHeight="1">
      <c r="A1725" s="120">
        <v>99272</v>
      </c>
      <c r="B1725" s="119" t="s">
        <v>3265</v>
      </c>
      <c r="C1725" s="120" t="s">
        <v>331</v>
      </c>
      <c r="D1725" s="442">
        <v>1135.8800000000001</v>
      </c>
    </row>
    <row r="1726" spans="1:4" ht="31.5" customHeight="1">
      <c r="A1726" s="120">
        <v>99273</v>
      </c>
      <c r="B1726" s="119" t="s">
        <v>3266</v>
      </c>
      <c r="C1726" s="120" t="s">
        <v>331</v>
      </c>
      <c r="D1726" s="442">
        <v>1618.07</v>
      </c>
    </row>
    <row r="1727" spans="1:4" ht="31.5" customHeight="1">
      <c r="A1727" s="120">
        <v>99274</v>
      </c>
      <c r="B1727" s="119" t="s">
        <v>3267</v>
      </c>
      <c r="C1727" s="120" t="s">
        <v>331</v>
      </c>
      <c r="D1727" s="442">
        <v>5286.21</v>
      </c>
    </row>
    <row r="1728" spans="1:4" ht="31.5" customHeight="1">
      <c r="A1728" s="120">
        <v>99275</v>
      </c>
      <c r="B1728" s="119" t="s">
        <v>3268</v>
      </c>
      <c r="C1728" s="120" t="s">
        <v>331</v>
      </c>
      <c r="D1728" s="441">
        <v>852.4</v>
      </c>
    </row>
    <row r="1729" spans="1:4" ht="31.5" customHeight="1">
      <c r="A1729" s="120">
        <v>99276</v>
      </c>
      <c r="B1729" s="119" t="s">
        <v>3269</v>
      </c>
      <c r="C1729" s="120" t="s">
        <v>328</v>
      </c>
      <c r="D1729" s="442">
        <v>2536.5500000000002</v>
      </c>
    </row>
    <row r="1730" spans="1:4" ht="31.5" customHeight="1">
      <c r="A1730" s="120">
        <v>99277</v>
      </c>
      <c r="B1730" s="119" t="s">
        <v>3270</v>
      </c>
      <c r="C1730" s="120" t="s">
        <v>328</v>
      </c>
      <c r="D1730" s="442">
        <v>2286.09</v>
      </c>
    </row>
    <row r="1731" spans="1:4" ht="31.5" customHeight="1">
      <c r="A1731" s="120">
        <v>99278</v>
      </c>
      <c r="B1731" s="119" t="s">
        <v>3271</v>
      </c>
      <c r="C1731" s="120" t="s">
        <v>328</v>
      </c>
      <c r="D1731" s="441">
        <v>295.37</v>
      </c>
    </row>
    <row r="1732" spans="1:4" ht="31.5" customHeight="1">
      <c r="A1732" s="120">
        <v>99279</v>
      </c>
      <c r="B1732" s="119" t="s">
        <v>3272</v>
      </c>
      <c r="C1732" s="120" t="s">
        <v>331</v>
      </c>
      <c r="D1732" s="442">
        <v>5964.12</v>
      </c>
    </row>
    <row r="1733" spans="1:4" ht="31.5" customHeight="1">
      <c r="A1733" s="120">
        <v>99280</v>
      </c>
      <c r="B1733" s="119" t="s">
        <v>3273</v>
      </c>
      <c r="C1733" s="120" t="s">
        <v>331</v>
      </c>
      <c r="D1733" s="442">
        <v>2098.61</v>
      </c>
    </row>
    <row r="1734" spans="1:4" ht="31.5" customHeight="1">
      <c r="A1734" s="120">
        <v>99281</v>
      </c>
      <c r="B1734" s="119" t="s">
        <v>3274</v>
      </c>
      <c r="C1734" s="120" t="s">
        <v>328</v>
      </c>
      <c r="D1734" s="442">
        <v>2536.5500000000002</v>
      </c>
    </row>
    <row r="1735" spans="1:4" ht="31.5" customHeight="1">
      <c r="A1735" s="120">
        <v>99282</v>
      </c>
      <c r="B1735" s="119" t="s">
        <v>3275</v>
      </c>
      <c r="C1735" s="120" t="s">
        <v>328</v>
      </c>
      <c r="D1735" s="442">
        <v>2812.01</v>
      </c>
    </row>
    <row r="1736" spans="1:4" ht="31.5" customHeight="1">
      <c r="A1736" s="120">
        <v>99283</v>
      </c>
      <c r="B1736" s="119" t="s">
        <v>3276</v>
      </c>
      <c r="C1736" s="120" t="s">
        <v>328</v>
      </c>
      <c r="D1736" s="442">
        <v>1208.45</v>
      </c>
    </row>
    <row r="1737" spans="1:4" ht="31.5" customHeight="1">
      <c r="A1737" s="120">
        <v>99284</v>
      </c>
      <c r="B1737" s="119" t="s">
        <v>3277</v>
      </c>
      <c r="C1737" s="120" t="s">
        <v>331</v>
      </c>
      <c r="D1737" s="442">
        <v>7392.97</v>
      </c>
    </row>
    <row r="1738" spans="1:4" ht="31.5" customHeight="1">
      <c r="A1738" s="120">
        <v>99285</v>
      </c>
      <c r="B1738" s="119" t="s">
        <v>3278</v>
      </c>
      <c r="C1738" s="120" t="s">
        <v>331</v>
      </c>
      <c r="D1738" s="442">
        <v>1175.94</v>
      </c>
    </row>
    <row r="1739" spans="1:4" ht="31.5" customHeight="1">
      <c r="A1739" s="120">
        <v>99286</v>
      </c>
      <c r="B1739" s="119" t="s">
        <v>3279</v>
      </c>
      <c r="C1739" s="120" t="s">
        <v>331</v>
      </c>
      <c r="D1739" s="442">
        <v>6642.14</v>
      </c>
    </row>
    <row r="1740" spans="1:4" ht="31.5" customHeight="1">
      <c r="A1740" s="120">
        <v>99287</v>
      </c>
      <c r="B1740" s="119" t="s">
        <v>3280</v>
      </c>
      <c r="C1740" s="120" t="s">
        <v>331</v>
      </c>
      <c r="D1740" s="442">
        <v>9274.2900000000009</v>
      </c>
    </row>
    <row r="1741" spans="1:4" ht="31.5" customHeight="1">
      <c r="A1741" s="120">
        <v>99288</v>
      </c>
      <c r="B1741" s="119" t="s">
        <v>3281</v>
      </c>
      <c r="C1741" s="120" t="s">
        <v>328</v>
      </c>
      <c r="D1741" s="441">
        <v>387.07</v>
      </c>
    </row>
    <row r="1742" spans="1:4" ht="31.5" customHeight="1">
      <c r="A1742" s="120">
        <v>99289</v>
      </c>
      <c r="B1742" s="119" t="s">
        <v>3282</v>
      </c>
      <c r="C1742" s="120" t="s">
        <v>328</v>
      </c>
      <c r="D1742" s="442">
        <v>2786.95</v>
      </c>
    </row>
    <row r="1743" spans="1:4" ht="31.5" customHeight="1">
      <c r="A1743" s="120">
        <v>99290</v>
      </c>
      <c r="B1743" s="119" t="s">
        <v>3283</v>
      </c>
      <c r="C1743" s="120" t="s">
        <v>331</v>
      </c>
      <c r="D1743" s="442">
        <v>3981</v>
      </c>
    </row>
    <row r="1744" spans="1:4" ht="31.5" customHeight="1">
      <c r="A1744" s="120">
        <v>99291</v>
      </c>
      <c r="B1744" s="119" t="s">
        <v>3284</v>
      </c>
      <c r="C1744" s="120" t="s">
        <v>328</v>
      </c>
      <c r="D1744" s="442">
        <v>2786.95</v>
      </c>
    </row>
    <row r="1745" spans="1:4" ht="31.5" customHeight="1">
      <c r="A1745" s="120">
        <v>99292</v>
      </c>
      <c r="B1745" s="119" t="s">
        <v>3285</v>
      </c>
      <c r="C1745" s="120" t="s">
        <v>331</v>
      </c>
      <c r="D1745" s="442">
        <v>2590.2399999999998</v>
      </c>
    </row>
    <row r="1746" spans="1:4" ht="31.5" customHeight="1">
      <c r="A1746" s="120">
        <v>99293</v>
      </c>
      <c r="B1746" s="119" t="s">
        <v>3286</v>
      </c>
      <c r="C1746" s="120" t="s">
        <v>328</v>
      </c>
      <c r="D1746" s="442">
        <v>1466.97</v>
      </c>
    </row>
    <row r="1747" spans="1:4" ht="31.5" customHeight="1">
      <c r="A1747" s="120">
        <v>99294</v>
      </c>
      <c r="B1747" s="119" t="s">
        <v>3287</v>
      </c>
      <c r="C1747" s="120" t="s">
        <v>331</v>
      </c>
      <c r="D1747" s="442">
        <v>8238.2800000000007</v>
      </c>
    </row>
    <row r="1748" spans="1:4" ht="31.5" customHeight="1">
      <c r="A1748" s="120">
        <v>99296</v>
      </c>
      <c r="B1748" s="119" t="s">
        <v>3288</v>
      </c>
      <c r="C1748" s="120" t="s">
        <v>328</v>
      </c>
      <c r="D1748" s="442">
        <v>3062.42</v>
      </c>
    </row>
    <row r="1749" spans="1:4" ht="31.5" customHeight="1">
      <c r="A1749" s="120">
        <v>99297</v>
      </c>
      <c r="B1749" s="119" t="s">
        <v>3289</v>
      </c>
      <c r="C1749" s="120" t="s">
        <v>328</v>
      </c>
      <c r="D1749" s="442">
        <v>3058.08</v>
      </c>
    </row>
    <row r="1750" spans="1:4" ht="31.5" customHeight="1">
      <c r="A1750" s="120">
        <v>99298</v>
      </c>
      <c r="B1750" s="119" t="s">
        <v>3290</v>
      </c>
      <c r="C1750" s="120" t="s">
        <v>331</v>
      </c>
      <c r="D1750" s="442">
        <v>10480.23</v>
      </c>
    </row>
    <row r="1751" spans="1:4" ht="31.5" customHeight="1">
      <c r="A1751" s="120">
        <v>99299</v>
      </c>
      <c r="B1751" s="119" t="s">
        <v>3291</v>
      </c>
      <c r="C1751" s="120" t="s">
        <v>328</v>
      </c>
      <c r="D1751" s="442">
        <v>3312.77</v>
      </c>
    </row>
    <row r="1752" spans="1:4" ht="31.5" customHeight="1">
      <c r="A1752" s="120">
        <v>99300</v>
      </c>
      <c r="B1752" s="119" t="s">
        <v>3292</v>
      </c>
      <c r="C1752" s="120" t="s">
        <v>331</v>
      </c>
      <c r="D1752" s="442">
        <v>11686.14</v>
      </c>
    </row>
    <row r="1753" spans="1:4" ht="31.5" customHeight="1">
      <c r="A1753" s="120">
        <v>99301</v>
      </c>
      <c r="B1753" s="119" t="s">
        <v>3293</v>
      </c>
      <c r="C1753" s="120" t="s">
        <v>331</v>
      </c>
      <c r="D1753" s="442">
        <v>5848.79</v>
      </c>
    </row>
    <row r="1754" spans="1:4" ht="31.5" customHeight="1">
      <c r="A1754" s="120">
        <v>99302</v>
      </c>
      <c r="B1754" s="119" t="s">
        <v>3294</v>
      </c>
      <c r="C1754" s="120" t="s">
        <v>328</v>
      </c>
      <c r="D1754" s="442">
        <v>3567.48</v>
      </c>
    </row>
    <row r="1755" spans="1:4" ht="31.5" customHeight="1">
      <c r="A1755" s="120">
        <v>99303</v>
      </c>
      <c r="B1755" s="119" t="s">
        <v>3295</v>
      </c>
      <c r="C1755" s="120" t="s">
        <v>331</v>
      </c>
      <c r="D1755" s="442">
        <v>10691.16</v>
      </c>
    </row>
    <row r="1756" spans="1:4" ht="31.5" customHeight="1">
      <c r="A1756" s="120">
        <v>99304</v>
      </c>
      <c r="B1756" s="119" t="s">
        <v>3296</v>
      </c>
      <c r="C1756" s="120" t="s">
        <v>328</v>
      </c>
      <c r="D1756" s="442">
        <v>3317.09</v>
      </c>
    </row>
    <row r="1757" spans="1:4" ht="31.5" customHeight="1">
      <c r="A1757" s="120">
        <v>99305</v>
      </c>
      <c r="B1757" s="119" t="s">
        <v>3297</v>
      </c>
      <c r="C1757" s="120" t="s">
        <v>331</v>
      </c>
      <c r="D1757" s="442">
        <v>12073.25</v>
      </c>
    </row>
    <row r="1758" spans="1:4" ht="31.5" customHeight="1">
      <c r="A1758" s="120">
        <v>99306</v>
      </c>
      <c r="B1758" s="119" t="s">
        <v>3298</v>
      </c>
      <c r="C1758" s="120" t="s">
        <v>328</v>
      </c>
      <c r="D1758" s="442">
        <v>3567.48</v>
      </c>
    </row>
    <row r="1759" spans="1:4" ht="31.5" customHeight="1">
      <c r="A1759" s="120">
        <v>99307</v>
      </c>
      <c r="B1759" s="119" t="s">
        <v>3299</v>
      </c>
      <c r="C1759" s="120" t="s">
        <v>328</v>
      </c>
      <c r="D1759" s="442">
        <v>2306.84</v>
      </c>
    </row>
    <row r="1760" spans="1:4" ht="31.5" customHeight="1">
      <c r="A1760" s="120">
        <v>99308</v>
      </c>
      <c r="B1760" s="119" t="s">
        <v>3300</v>
      </c>
      <c r="C1760" s="120" t="s">
        <v>331</v>
      </c>
      <c r="D1760" s="442">
        <v>13455.39</v>
      </c>
    </row>
    <row r="1761" spans="1:4" ht="31.5" customHeight="1">
      <c r="A1761" s="120">
        <v>99309</v>
      </c>
      <c r="B1761" s="119" t="s">
        <v>3301</v>
      </c>
      <c r="C1761" s="120" t="s">
        <v>328</v>
      </c>
      <c r="D1761" s="442">
        <v>3822.26</v>
      </c>
    </row>
    <row r="1762" spans="1:4" ht="31.5" customHeight="1">
      <c r="A1762" s="120">
        <v>99310</v>
      </c>
      <c r="B1762" s="119" t="s">
        <v>3302</v>
      </c>
      <c r="C1762" s="120" t="s">
        <v>331</v>
      </c>
      <c r="D1762" s="442">
        <v>13666.4</v>
      </c>
    </row>
    <row r="1763" spans="1:4" ht="31.5" customHeight="1">
      <c r="A1763" s="120">
        <v>99311</v>
      </c>
      <c r="B1763" s="119" t="s">
        <v>3303</v>
      </c>
      <c r="C1763" s="120" t="s">
        <v>328</v>
      </c>
      <c r="D1763" s="442">
        <v>3822.26</v>
      </c>
    </row>
    <row r="1764" spans="1:4" ht="31.5" customHeight="1">
      <c r="A1764" s="120">
        <v>99312</v>
      </c>
      <c r="B1764" s="119" t="s">
        <v>3304</v>
      </c>
      <c r="C1764" s="120" t="s">
        <v>331</v>
      </c>
      <c r="D1764" s="442">
        <v>6848.74</v>
      </c>
    </row>
    <row r="1765" spans="1:4" ht="31.5" customHeight="1">
      <c r="A1765" s="120">
        <v>99313</v>
      </c>
      <c r="B1765" s="119" t="s">
        <v>3305</v>
      </c>
      <c r="C1765" s="120" t="s">
        <v>331</v>
      </c>
      <c r="D1765" s="442">
        <v>15224.53</v>
      </c>
    </row>
    <row r="1766" spans="1:4" ht="31.5" customHeight="1">
      <c r="A1766" s="120">
        <v>99314</v>
      </c>
      <c r="B1766" s="119" t="s">
        <v>3306</v>
      </c>
      <c r="C1766" s="120" t="s">
        <v>328</v>
      </c>
      <c r="D1766" s="442">
        <v>4076.99</v>
      </c>
    </row>
    <row r="1767" spans="1:4" ht="31.5" customHeight="1">
      <c r="A1767" s="120">
        <v>99315</v>
      </c>
      <c r="B1767" s="119" t="s">
        <v>3307</v>
      </c>
      <c r="C1767" s="120" t="s">
        <v>331</v>
      </c>
      <c r="D1767" s="442">
        <v>16993.810000000001</v>
      </c>
    </row>
    <row r="1768" spans="1:4" ht="31.5" customHeight="1">
      <c r="A1768" s="120">
        <v>99317</v>
      </c>
      <c r="B1768" s="119" t="s">
        <v>3308</v>
      </c>
      <c r="C1768" s="120" t="s">
        <v>328</v>
      </c>
      <c r="D1768" s="442">
        <v>2557.2399999999998</v>
      </c>
    </row>
    <row r="1769" spans="1:4" ht="31.5" customHeight="1">
      <c r="A1769" s="120">
        <v>99318</v>
      </c>
      <c r="B1769" s="119" t="s">
        <v>3309</v>
      </c>
      <c r="C1769" s="120" t="s">
        <v>328</v>
      </c>
      <c r="D1769" s="441">
        <v>213.19</v>
      </c>
    </row>
    <row r="1770" spans="1:4" ht="31.5" customHeight="1">
      <c r="A1770" s="120">
        <v>99319</v>
      </c>
      <c r="B1770" s="119" t="s">
        <v>3310</v>
      </c>
      <c r="C1770" s="120" t="s">
        <v>328</v>
      </c>
      <c r="D1770" s="441">
        <v>959.79</v>
      </c>
    </row>
    <row r="1771" spans="1:4" ht="31.5" customHeight="1">
      <c r="A1771" s="120">
        <v>99320</v>
      </c>
      <c r="B1771" s="119" t="s">
        <v>3311</v>
      </c>
      <c r="C1771" s="120" t="s">
        <v>331</v>
      </c>
      <c r="D1771" s="442">
        <v>7916.61</v>
      </c>
    </row>
    <row r="1772" spans="1:4" ht="31.5" customHeight="1">
      <c r="A1772" s="120">
        <v>99321</v>
      </c>
      <c r="B1772" s="119" t="s">
        <v>3312</v>
      </c>
      <c r="C1772" s="120" t="s">
        <v>328</v>
      </c>
      <c r="D1772" s="442">
        <v>2807.69</v>
      </c>
    </row>
    <row r="1773" spans="1:4" ht="31.5" customHeight="1">
      <c r="A1773" s="120">
        <v>99322</v>
      </c>
      <c r="B1773" s="119" t="s">
        <v>3313</v>
      </c>
      <c r="C1773" s="120" t="s">
        <v>331</v>
      </c>
      <c r="D1773" s="442">
        <v>8925.16</v>
      </c>
    </row>
    <row r="1774" spans="1:4" ht="31.5" customHeight="1">
      <c r="A1774" s="120">
        <v>99323</v>
      </c>
      <c r="B1774" s="119" t="s">
        <v>3314</v>
      </c>
      <c r="C1774" s="120" t="s">
        <v>328</v>
      </c>
      <c r="D1774" s="442">
        <v>3058.08</v>
      </c>
    </row>
    <row r="1775" spans="1:4" ht="31.5" customHeight="1">
      <c r="A1775" s="120">
        <v>99324</v>
      </c>
      <c r="B1775" s="119" t="s">
        <v>3315</v>
      </c>
      <c r="C1775" s="120" t="s">
        <v>331</v>
      </c>
      <c r="D1775" s="442">
        <v>9933.73</v>
      </c>
    </row>
    <row r="1776" spans="1:4" ht="31.5" customHeight="1">
      <c r="A1776" s="120">
        <v>99325</v>
      </c>
      <c r="B1776" s="119" t="s">
        <v>3316</v>
      </c>
      <c r="C1776" s="120" t="s">
        <v>328</v>
      </c>
      <c r="D1776" s="442">
        <v>3312.77</v>
      </c>
    </row>
    <row r="1777" spans="1:4" ht="31.5" customHeight="1">
      <c r="A1777" s="120">
        <v>99326</v>
      </c>
      <c r="B1777" s="119" t="s">
        <v>3317</v>
      </c>
      <c r="C1777" s="120" t="s">
        <v>331</v>
      </c>
      <c r="D1777" s="442">
        <v>8068.36</v>
      </c>
    </row>
    <row r="1778" spans="1:4" ht="31.5" customHeight="1">
      <c r="A1778" s="120">
        <v>99327</v>
      </c>
      <c r="B1778" s="119" t="s">
        <v>3318</v>
      </c>
      <c r="C1778" s="120" t="s">
        <v>328</v>
      </c>
      <c r="D1778" s="442">
        <v>4289.45</v>
      </c>
    </row>
    <row r="1779" spans="1:4" ht="31.5" customHeight="1">
      <c r="A1779" s="120">
        <v>101800</v>
      </c>
      <c r="B1779" s="119" t="s">
        <v>3319</v>
      </c>
      <c r="C1779" s="120" t="s">
        <v>331</v>
      </c>
      <c r="D1779" s="442">
        <v>1608.12</v>
      </c>
    </row>
    <row r="1780" spans="1:4" ht="31.5" customHeight="1">
      <c r="A1780" s="120">
        <v>101801</v>
      </c>
      <c r="B1780" s="119" t="s">
        <v>3320</v>
      </c>
      <c r="C1780" s="120" t="s">
        <v>331</v>
      </c>
      <c r="D1780" s="442">
        <v>1101.6199999999999</v>
      </c>
    </row>
    <row r="1781" spans="1:4" ht="31.5" customHeight="1">
      <c r="A1781" s="120">
        <v>101806</v>
      </c>
      <c r="B1781" s="119" t="s">
        <v>3321</v>
      </c>
      <c r="C1781" s="120" t="s">
        <v>331</v>
      </c>
      <c r="D1781" s="441">
        <v>584.87</v>
      </c>
    </row>
    <row r="1782" spans="1:4" ht="31.5" customHeight="1">
      <c r="A1782" s="120">
        <v>101807</v>
      </c>
      <c r="B1782" s="119" t="s">
        <v>3322</v>
      </c>
      <c r="C1782" s="120" t="s">
        <v>331</v>
      </c>
      <c r="D1782" s="441">
        <v>516.72</v>
      </c>
    </row>
    <row r="1783" spans="1:4" ht="31.5" customHeight="1">
      <c r="A1783" s="120">
        <v>101808</v>
      </c>
      <c r="B1783" s="119" t="s">
        <v>3323</v>
      </c>
      <c r="C1783" s="120" t="s">
        <v>331</v>
      </c>
      <c r="D1783" s="441">
        <v>417.43</v>
      </c>
    </row>
    <row r="1784" spans="1:4" ht="31.5" customHeight="1">
      <c r="A1784" s="120">
        <v>101809</v>
      </c>
      <c r="B1784" s="119" t="s">
        <v>3324</v>
      </c>
      <c r="C1784" s="120" t="s">
        <v>331</v>
      </c>
      <c r="D1784" s="442">
        <v>3012.76</v>
      </c>
    </row>
    <row r="1785" spans="1:4" ht="31.5" customHeight="1">
      <c r="A1785" s="120">
        <v>102139</v>
      </c>
      <c r="B1785" s="119" t="s">
        <v>3325</v>
      </c>
      <c r="C1785" s="120" t="s">
        <v>331</v>
      </c>
      <c r="D1785" s="442">
        <v>1512.79</v>
      </c>
    </row>
    <row r="1786" spans="1:4" ht="31.5" customHeight="1">
      <c r="A1786" s="120">
        <v>102141</v>
      </c>
      <c r="B1786" s="119" t="s">
        <v>3326</v>
      </c>
      <c r="C1786" s="120" t="s">
        <v>331</v>
      </c>
      <c r="D1786" s="442">
        <v>2328.39</v>
      </c>
    </row>
    <row r="1787" spans="1:4" ht="31.5" customHeight="1">
      <c r="A1787" s="120">
        <v>102142</v>
      </c>
      <c r="B1787" s="119" t="s">
        <v>3327</v>
      </c>
      <c r="C1787" s="120" t="s">
        <v>331</v>
      </c>
      <c r="D1787" s="442">
        <v>2290.71</v>
      </c>
    </row>
    <row r="1788" spans="1:4" ht="31.5" customHeight="1">
      <c r="A1788" s="120">
        <v>102457</v>
      </c>
      <c r="B1788" s="119" t="s">
        <v>3328</v>
      </c>
      <c r="C1788" s="120" t="s">
        <v>331</v>
      </c>
      <c r="D1788" s="442">
        <v>1466.19</v>
      </c>
    </row>
    <row r="1789" spans="1:4" ht="31.5">
      <c r="A1789" s="120">
        <v>94263</v>
      </c>
      <c r="B1789" s="119" t="s">
        <v>3329</v>
      </c>
      <c r="C1789" s="120" t="s">
        <v>328</v>
      </c>
      <c r="D1789" s="441">
        <v>35.21</v>
      </c>
    </row>
    <row r="1790" spans="1:4" ht="31.5">
      <c r="A1790" s="120">
        <v>94264</v>
      </c>
      <c r="B1790" s="119" t="s">
        <v>3330</v>
      </c>
      <c r="C1790" s="120" t="s">
        <v>328</v>
      </c>
      <c r="D1790" s="441">
        <v>39.53</v>
      </c>
    </row>
    <row r="1791" spans="1:4" ht="31.5">
      <c r="A1791" s="120">
        <v>94265</v>
      </c>
      <c r="B1791" s="119" t="s">
        <v>3331</v>
      </c>
      <c r="C1791" s="120" t="s">
        <v>328</v>
      </c>
      <c r="D1791" s="441">
        <v>44.89</v>
      </c>
    </row>
    <row r="1792" spans="1:4" ht="31.5">
      <c r="A1792" s="120">
        <v>94266</v>
      </c>
      <c r="B1792" s="119" t="s">
        <v>3332</v>
      </c>
      <c r="C1792" s="120" t="s">
        <v>328</v>
      </c>
      <c r="D1792" s="441">
        <v>49.81</v>
      </c>
    </row>
    <row r="1793" spans="1:4" ht="31.5">
      <c r="A1793" s="120">
        <v>94267</v>
      </c>
      <c r="B1793" s="119" t="s">
        <v>3333</v>
      </c>
      <c r="C1793" s="120" t="s">
        <v>328</v>
      </c>
      <c r="D1793" s="441">
        <v>52.62</v>
      </c>
    </row>
    <row r="1794" spans="1:4" ht="31.5">
      <c r="A1794" s="120">
        <v>94268</v>
      </c>
      <c r="B1794" s="119" t="s">
        <v>3334</v>
      </c>
      <c r="C1794" s="120" t="s">
        <v>328</v>
      </c>
      <c r="D1794" s="441">
        <v>58.05</v>
      </c>
    </row>
    <row r="1795" spans="1:4" ht="31.5">
      <c r="A1795" s="120">
        <v>94269</v>
      </c>
      <c r="B1795" s="119" t="s">
        <v>3335</v>
      </c>
      <c r="C1795" s="120" t="s">
        <v>328</v>
      </c>
      <c r="D1795" s="441">
        <v>73.760000000000005</v>
      </c>
    </row>
    <row r="1796" spans="1:4" ht="31.5">
      <c r="A1796" s="120">
        <v>94270</v>
      </c>
      <c r="B1796" s="119" t="s">
        <v>3336</v>
      </c>
      <c r="C1796" s="120" t="s">
        <v>328</v>
      </c>
      <c r="D1796" s="441">
        <v>81.34</v>
      </c>
    </row>
    <row r="1797" spans="1:4" ht="31.5">
      <c r="A1797" s="120">
        <v>94271</v>
      </c>
      <c r="B1797" s="119" t="s">
        <v>3337</v>
      </c>
      <c r="C1797" s="120" t="s">
        <v>328</v>
      </c>
      <c r="D1797" s="441">
        <v>89.77</v>
      </c>
    </row>
    <row r="1798" spans="1:4" ht="31.5">
      <c r="A1798" s="120">
        <v>94272</v>
      </c>
      <c r="B1798" s="119" t="s">
        <v>3338</v>
      </c>
      <c r="C1798" s="120" t="s">
        <v>328</v>
      </c>
      <c r="D1798" s="441">
        <v>99.89</v>
      </c>
    </row>
    <row r="1799" spans="1:4" ht="47.25">
      <c r="A1799" s="120">
        <v>94273</v>
      </c>
      <c r="B1799" s="119" t="s">
        <v>3339</v>
      </c>
      <c r="C1799" s="120" t="s">
        <v>328</v>
      </c>
      <c r="D1799" s="441">
        <v>56.41</v>
      </c>
    </row>
    <row r="1800" spans="1:4" ht="47.25">
      <c r="A1800" s="120">
        <v>94274</v>
      </c>
      <c r="B1800" s="119" t="s">
        <v>3340</v>
      </c>
      <c r="C1800" s="120" t="s">
        <v>328</v>
      </c>
      <c r="D1800" s="441">
        <v>61.55</v>
      </c>
    </row>
    <row r="1801" spans="1:4" ht="47.25">
      <c r="A1801" s="120">
        <v>94275</v>
      </c>
      <c r="B1801" s="119" t="s">
        <v>3341</v>
      </c>
      <c r="C1801" s="120" t="s">
        <v>328</v>
      </c>
      <c r="D1801" s="441">
        <v>50.81</v>
      </c>
    </row>
    <row r="1802" spans="1:4" ht="47.25">
      <c r="A1802" s="120">
        <v>94276</v>
      </c>
      <c r="B1802" s="119" t="s">
        <v>3342</v>
      </c>
      <c r="C1802" s="120" t="s">
        <v>328</v>
      </c>
      <c r="D1802" s="441">
        <v>55.94</v>
      </c>
    </row>
    <row r="1803" spans="1:4" ht="47.25">
      <c r="A1803" s="120">
        <v>94277</v>
      </c>
      <c r="B1803" s="119" t="s">
        <v>3343</v>
      </c>
      <c r="C1803" s="120" t="s">
        <v>328</v>
      </c>
      <c r="D1803" s="441">
        <v>45.01</v>
      </c>
    </row>
    <row r="1804" spans="1:4" ht="47.25">
      <c r="A1804" s="120">
        <v>94278</v>
      </c>
      <c r="B1804" s="119" t="s">
        <v>3344</v>
      </c>
      <c r="C1804" s="120" t="s">
        <v>328</v>
      </c>
      <c r="D1804" s="441">
        <v>50.15</v>
      </c>
    </row>
    <row r="1805" spans="1:4" ht="47.25">
      <c r="A1805" s="120">
        <v>94279</v>
      </c>
      <c r="B1805" s="119" t="s">
        <v>3345</v>
      </c>
      <c r="C1805" s="120" t="s">
        <v>328</v>
      </c>
      <c r="D1805" s="441">
        <v>51.14</v>
      </c>
    </row>
    <row r="1806" spans="1:4" ht="47.25">
      <c r="A1806" s="120">
        <v>94280</v>
      </c>
      <c r="B1806" s="119" t="s">
        <v>3346</v>
      </c>
      <c r="C1806" s="120" t="s">
        <v>328</v>
      </c>
      <c r="D1806" s="441">
        <v>56.27</v>
      </c>
    </row>
    <row r="1807" spans="1:4" ht="31.5" customHeight="1">
      <c r="A1807" s="120">
        <v>94281</v>
      </c>
      <c r="B1807" s="119" t="s">
        <v>3347</v>
      </c>
      <c r="C1807" s="120" t="s">
        <v>328</v>
      </c>
      <c r="D1807" s="441">
        <v>57.51</v>
      </c>
    </row>
    <row r="1808" spans="1:4" ht="31.5" customHeight="1">
      <c r="A1808" s="120">
        <v>94282</v>
      </c>
      <c r="B1808" s="119" t="s">
        <v>3348</v>
      </c>
      <c r="C1808" s="120" t="s">
        <v>328</v>
      </c>
      <c r="D1808" s="441">
        <v>73.150000000000006</v>
      </c>
    </row>
    <row r="1809" spans="1:4" ht="31.5" customHeight="1">
      <c r="A1809" s="120">
        <v>94283</v>
      </c>
      <c r="B1809" s="119" t="s">
        <v>3349</v>
      </c>
      <c r="C1809" s="120" t="s">
        <v>328</v>
      </c>
      <c r="D1809" s="441">
        <v>72.040000000000006</v>
      </c>
    </row>
    <row r="1810" spans="1:4" ht="31.5" customHeight="1">
      <c r="A1810" s="120">
        <v>94284</v>
      </c>
      <c r="B1810" s="119" t="s">
        <v>3350</v>
      </c>
      <c r="C1810" s="120" t="s">
        <v>328</v>
      </c>
      <c r="D1810" s="441">
        <v>87.66</v>
      </c>
    </row>
    <row r="1811" spans="1:4" ht="31.5" customHeight="1">
      <c r="A1811" s="120">
        <v>94285</v>
      </c>
      <c r="B1811" s="119" t="s">
        <v>3351</v>
      </c>
      <c r="C1811" s="120" t="s">
        <v>328</v>
      </c>
      <c r="D1811" s="441">
        <v>85.79</v>
      </c>
    </row>
    <row r="1812" spans="1:4" ht="31.5" customHeight="1">
      <c r="A1812" s="120">
        <v>94286</v>
      </c>
      <c r="B1812" s="119" t="s">
        <v>3352</v>
      </c>
      <c r="C1812" s="120" t="s">
        <v>328</v>
      </c>
      <c r="D1812" s="441">
        <v>101.42</v>
      </c>
    </row>
    <row r="1813" spans="1:4" ht="31.5" customHeight="1">
      <c r="A1813" s="120">
        <v>94287</v>
      </c>
      <c r="B1813" s="119" t="s">
        <v>3353</v>
      </c>
      <c r="C1813" s="120" t="s">
        <v>328</v>
      </c>
      <c r="D1813" s="441">
        <v>45.67</v>
      </c>
    </row>
    <row r="1814" spans="1:4" ht="31.5" customHeight="1">
      <c r="A1814" s="120">
        <v>94288</v>
      </c>
      <c r="B1814" s="119" t="s">
        <v>3354</v>
      </c>
      <c r="C1814" s="120" t="s">
        <v>328</v>
      </c>
      <c r="D1814" s="441">
        <v>59.34</v>
      </c>
    </row>
    <row r="1815" spans="1:4" ht="31.5" customHeight="1">
      <c r="A1815" s="120">
        <v>94289</v>
      </c>
      <c r="B1815" s="119" t="s">
        <v>3355</v>
      </c>
      <c r="C1815" s="120" t="s">
        <v>328</v>
      </c>
      <c r="D1815" s="441">
        <v>56.2</v>
      </c>
    </row>
    <row r="1816" spans="1:4" ht="31.5" customHeight="1">
      <c r="A1816" s="120">
        <v>94290</v>
      </c>
      <c r="B1816" s="119" t="s">
        <v>3356</v>
      </c>
      <c r="C1816" s="120" t="s">
        <v>328</v>
      </c>
      <c r="D1816" s="441">
        <v>69.88</v>
      </c>
    </row>
    <row r="1817" spans="1:4" ht="31.5" customHeight="1">
      <c r="A1817" s="120">
        <v>94291</v>
      </c>
      <c r="B1817" s="119" t="s">
        <v>3357</v>
      </c>
      <c r="C1817" s="120" t="s">
        <v>328</v>
      </c>
      <c r="D1817" s="441">
        <v>66.05</v>
      </c>
    </row>
    <row r="1818" spans="1:4" ht="31.5" customHeight="1">
      <c r="A1818" s="120">
        <v>94292</v>
      </c>
      <c r="B1818" s="119" t="s">
        <v>3358</v>
      </c>
      <c r="C1818" s="120" t="s">
        <v>328</v>
      </c>
      <c r="D1818" s="441">
        <v>79.709999999999994</v>
      </c>
    </row>
    <row r="1819" spans="1:4" ht="31.5" customHeight="1">
      <c r="A1819" s="120">
        <v>94293</v>
      </c>
      <c r="B1819" s="119" t="s">
        <v>3359</v>
      </c>
      <c r="C1819" s="120" t="s">
        <v>328</v>
      </c>
      <c r="D1819" s="441">
        <v>167.02</v>
      </c>
    </row>
    <row r="1820" spans="1:4">
      <c r="A1820" s="120">
        <v>94294</v>
      </c>
      <c r="B1820" s="119" t="s">
        <v>3360</v>
      </c>
      <c r="C1820" s="120" t="s">
        <v>328</v>
      </c>
      <c r="D1820" s="441">
        <v>8.7200000000000006</v>
      </c>
    </row>
    <row r="1821" spans="1:4" ht="47.25" customHeight="1">
      <c r="A1821" s="120">
        <v>104491</v>
      </c>
      <c r="B1821" s="119" t="s">
        <v>3361</v>
      </c>
      <c r="C1821" s="120" t="s">
        <v>328</v>
      </c>
      <c r="D1821" s="442">
        <v>2794.79</v>
      </c>
    </row>
    <row r="1822" spans="1:4" ht="47.25" customHeight="1">
      <c r="A1822" s="120">
        <v>104492</v>
      </c>
      <c r="B1822" s="119" t="s">
        <v>3362</v>
      </c>
      <c r="C1822" s="120" t="s">
        <v>328</v>
      </c>
      <c r="D1822" s="442">
        <v>3491.41</v>
      </c>
    </row>
    <row r="1823" spans="1:4" ht="47.25" customHeight="1">
      <c r="A1823" s="120">
        <v>104494</v>
      </c>
      <c r="B1823" s="119" t="s">
        <v>3363</v>
      </c>
      <c r="C1823" s="120" t="s">
        <v>328</v>
      </c>
      <c r="D1823" s="442">
        <v>4706.59</v>
      </c>
    </row>
    <row r="1824" spans="1:4" ht="47.25" customHeight="1">
      <c r="A1824" s="120">
        <v>104497</v>
      </c>
      <c r="B1824" s="119" t="s">
        <v>3364</v>
      </c>
      <c r="C1824" s="120" t="s">
        <v>328</v>
      </c>
      <c r="D1824" s="442">
        <v>5674.7</v>
      </c>
    </row>
    <row r="1825" spans="1:4" ht="31.5" customHeight="1">
      <c r="A1825" s="120">
        <v>104515</v>
      </c>
      <c r="B1825" s="119" t="s">
        <v>3365</v>
      </c>
      <c r="C1825" s="120" t="s">
        <v>951</v>
      </c>
      <c r="D1825" s="441">
        <v>25.43</v>
      </c>
    </row>
    <row r="1826" spans="1:4" ht="31.5" customHeight="1">
      <c r="A1826" s="120">
        <v>102727</v>
      </c>
      <c r="B1826" s="119" t="s">
        <v>3366</v>
      </c>
      <c r="C1826" s="120" t="s">
        <v>951</v>
      </c>
      <c r="D1826" s="441">
        <v>98.49</v>
      </c>
    </row>
    <row r="1827" spans="1:4" ht="15.75" customHeight="1">
      <c r="A1827" s="120">
        <v>102728</v>
      </c>
      <c r="B1827" s="119" t="s">
        <v>3367</v>
      </c>
      <c r="C1827" s="120" t="s">
        <v>327</v>
      </c>
      <c r="D1827" s="441">
        <v>15.89</v>
      </c>
    </row>
    <row r="1828" spans="1:4" ht="15.75" customHeight="1">
      <c r="A1828" s="120">
        <v>102729</v>
      </c>
      <c r="B1828" s="119" t="s">
        <v>3368</v>
      </c>
      <c r="C1828" s="120" t="s">
        <v>327</v>
      </c>
      <c r="D1828" s="441">
        <v>14.59</v>
      </c>
    </row>
    <row r="1829" spans="1:4" ht="15.75" customHeight="1">
      <c r="A1829" s="120">
        <v>102730</v>
      </c>
      <c r="B1829" s="119" t="s">
        <v>3369</v>
      </c>
      <c r="C1829" s="120" t="s">
        <v>327</v>
      </c>
      <c r="D1829" s="441">
        <v>12.88</v>
      </c>
    </row>
    <row r="1830" spans="1:4" ht="15.75" customHeight="1">
      <c r="A1830" s="120">
        <v>102731</v>
      </c>
      <c r="B1830" s="119" t="s">
        <v>3370</v>
      </c>
      <c r="C1830" s="120" t="s">
        <v>327</v>
      </c>
      <c r="D1830" s="441">
        <v>10.8</v>
      </c>
    </row>
    <row r="1831" spans="1:4" ht="15.75" customHeight="1">
      <c r="A1831" s="120">
        <v>102732</v>
      </c>
      <c r="B1831" s="119" t="s">
        <v>3371</v>
      </c>
      <c r="C1831" s="120" t="s">
        <v>327</v>
      </c>
      <c r="D1831" s="441">
        <v>10.09</v>
      </c>
    </row>
    <row r="1832" spans="1:4" ht="15.75" customHeight="1">
      <c r="A1832" s="120">
        <v>102733</v>
      </c>
      <c r="B1832" s="119" t="s">
        <v>3372</v>
      </c>
      <c r="C1832" s="120" t="s">
        <v>327</v>
      </c>
      <c r="D1832" s="441">
        <v>11.12</v>
      </c>
    </row>
    <row r="1833" spans="1:4" ht="15.75" customHeight="1">
      <c r="A1833" s="120">
        <v>102734</v>
      </c>
      <c r="B1833" s="119" t="s">
        <v>3373</v>
      </c>
      <c r="C1833" s="120" t="s">
        <v>327</v>
      </c>
      <c r="D1833" s="441">
        <v>14.75</v>
      </c>
    </row>
    <row r="1834" spans="1:4" ht="15.75" customHeight="1">
      <c r="A1834" s="120">
        <v>102735</v>
      </c>
      <c r="B1834" s="119" t="s">
        <v>3374</v>
      </c>
      <c r="C1834" s="120" t="s">
        <v>327</v>
      </c>
      <c r="D1834" s="441">
        <v>13.62</v>
      </c>
    </row>
    <row r="1835" spans="1:4" ht="31.5" customHeight="1">
      <c r="A1835" s="120">
        <v>102736</v>
      </c>
      <c r="B1835" s="119" t="s">
        <v>3375</v>
      </c>
      <c r="C1835" s="120" t="s">
        <v>950</v>
      </c>
      <c r="D1835" s="441">
        <v>542.24</v>
      </c>
    </row>
    <row r="1836" spans="1:4" ht="31.5" customHeight="1">
      <c r="A1836" s="120">
        <v>102737</v>
      </c>
      <c r="B1836" s="119" t="s">
        <v>3376</v>
      </c>
      <c r="C1836" s="120" t="s">
        <v>331</v>
      </c>
      <c r="D1836" s="442">
        <v>1062.8900000000001</v>
      </c>
    </row>
    <row r="1837" spans="1:4" ht="31.5" customHeight="1">
      <c r="A1837" s="120">
        <v>102738</v>
      </c>
      <c r="B1837" s="119" t="s">
        <v>3377</v>
      </c>
      <c r="C1837" s="120" t="s">
        <v>331</v>
      </c>
      <c r="D1837" s="442">
        <v>2174.66</v>
      </c>
    </row>
    <row r="1838" spans="1:4" ht="31.5" customHeight="1">
      <c r="A1838" s="120">
        <v>102739</v>
      </c>
      <c r="B1838" s="119" t="s">
        <v>3378</v>
      </c>
      <c r="C1838" s="120" t="s">
        <v>331</v>
      </c>
      <c r="D1838" s="442">
        <v>3642.94</v>
      </c>
    </row>
    <row r="1839" spans="1:4" ht="31.5" customHeight="1">
      <c r="A1839" s="120">
        <v>102740</v>
      </c>
      <c r="B1839" s="119" t="s">
        <v>3379</v>
      </c>
      <c r="C1839" s="120" t="s">
        <v>331</v>
      </c>
      <c r="D1839" s="442">
        <v>5459.81</v>
      </c>
    </row>
    <row r="1840" spans="1:4" ht="31.5" customHeight="1">
      <c r="A1840" s="120">
        <v>102741</v>
      </c>
      <c r="B1840" s="119" t="s">
        <v>3380</v>
      </c>
      <c r="C1840" s="120" t="s">
        <v>331</v>
      </c>
      <c r="D1840" s="442">
        <v>7661.45</v>
      </c>
    </row>
    <row r="1841" spans="1:4" ht="31.5" customHeight="1">
      <c r="A1841" s="120">
        <v>102742</v>
      </c>
      <c r="B1841" s="119" t="s">
        <v>3381</v>
      </c>
      <c r="C1841" s="120" t="s">
        <v>331</v>
      </c>
      <c r="D1841" s="442">
        <v>13260.83</v>
      </c>
    </row>
    <row r="1842" spans="1:4" ht="31.5" customHeight="1">
      <c r="A1842" s="120">
        <v>102743</v>
      </c>
      <c r="B1842" s="119" t="s">
        <v>3382</v>
      </c>
      <c r="C1842" s="120" t="s">
        <v>331</v>
      </c>
      <c r="D1842" s="442">
        <v>4405.47</v>
      </c>
    </row>
    <row r="1843" spans="1:4" ht="31.5" customHeight="1">
      <c r="A1843" s="120">
        <v>102744</v>
      </c>
      <c r="B1843" s="119" t="s">
        <v>3383</v>
      </c>
      <c r="C1843" s="120" t="s">
        <v>331</v>
      </c>
      <c r="D1843" s="442">
        <v>6599.6</v>
      </c>
    </row>
    <row r="1844" spans="1:4" ht="31.5" customHeight="1">
      <c r="A1844" s="120">
        <v>102745</v>
      </c>
      <c r="B1844" s="119" t="s">
        <v>3384</v>
      </c>
      <c r="C1844" s="120" t="s">
        <v>331</v>
      </c>
      <c r="D1844" s="442">
        <v>9274.2900000000009</v>
      </c>
    </row>
    <row r="1845" spans="1:4" ht="31.5" customHeight="1">
      <c r="A1845" s="120">
        <v>102746</v>
      </c>
      <c r="B1845" s="119" t="s">
        <v>3385</v>
      </c>
      <c r="C1845" s="120" t="s">
        <v>331</v>
      </c>
      <c r="D1845" s="442">
        <v>16071.2</v>
      </c>
    </row>
    <row r="1846" spans="1:4" ht="31.5" customHeight="1">
      <c r="A1846" s="120">
        <v>102747</v>
      </c>
      <c r="B1846" s="119" t="s">
        <v>3386</v>
      </c>
      <c r="C1846" s="120" t="s">
        <v>331</v>
      </c>
      <c r="D1846" s="442">
        <v>8184.69</v>
      </c>
    </row>
    <row r="1847" spans="1:4" ht="31.5" customHeight="1">
      <c r="A1847" s="120">
        <v>102748</v>
      </c>
      <c r="B1847" s="119" t="s">
        <v>3387</v>
      </c>
      <c r="C1847" s="120" t="s">
        <v>331</v>
      </c>
      <c r="D1847" s="442">
        <v>11452.43</v>
      </c>
    </row>
    <row r="1848" spans="1:4" ht="31.5" customHeight="1">
      <c r="A1848" s="120">
        <v>102749</v>
      </c>
      <c r="B1848" s="119" t="s">
        <v>3388</v>
      </c>
      <c r="C1848" s="120" t="s">
        <v>331</v>
      </c>
      <c r="D1848" s="442">
        <v>19653.400000000001</v>
      </c>
    </row>
    <row r="1849" spans="1:4" ht="31.5" customHeight="1">
      <c r="A1849" s="120">
        <v>102750</v>
      </c>
      <c r="B1849" s="119" t="s">
        <v>3389</v>
      </c>
      <c r="C1849" s="120" t="s">
        <v>331</v>
      </c>
      <c r="D1849" s="442">
        <v>2651.22</v>
      </c>
    </row>
    <row r="1850" spans="1:4" ht="31.5" customHeight="1">
      <c r="A1850" s="120">
        <v>102751</v>
      </c>
      <c r="B1850" s="119" t="s">
        <v>3390</v>
      </c>
      <c r="C1850" s="120" t="s">
        <v>331</v>
      </c>
      <c r="D1850" s="442">
        <v>4607.41</v>
      </c>
    </row>
    <row r="1851" spans="1:4" ht="31.5" customHeight="1">
      <c r="A1851" s="120">
        <v>102752</v>
      </c>
      <c r="B1851" s="119" t="s">
        <v>3391</v>
      </c>
      <c r="C1851" s="120" t="s">
        <v>331</v>
      </c>
      <c r="D1851" s="442">
        <v>7341.32</v>
      </c>
    </row>
    <row r="1852" spans="1:4" ht="31.5" customHeight="1">
      <c r="A1852" s="120">
        <v>102753</v>
      </c>
      <c r="B1852" s="119" t="s">
        <v>3392</v>
      </c>
      <c r="C1852" s="120" t="s">
        <v>331</v>
      </c>
      <c r="D1852" s="442">
        <v>10869.26</v>
      </c>
    </row>
    <row r="1853" spans="1:4" ht="31.5" customHeight="1">
      <c r="A1853" s="120">
        <v>102754</v>
      </c>
      <c r="B1853" s="119" t="s">
        <v>3393</v>
      </c>
      <c r="C1853" s="120" t="s">
        <v>331</v>
      </c>
      <c r="D1853" s="442">
        <v>20648.560000000001</v>
      </c>
    </row>
    <row r="1854" spans="1:4" ht="31.5" customHeight="1">
      <c r="A1854" s="120">
        <v>102755</v>
      </c>
      <c r="B1854" s="119" t="s">
        <v>3394</v>
      </c>
      <c r="C1854" s="120" t="s">
        <v>331</v>
      </c>
      <c r="D1854" s="442">
        <v>10243.120000000001</v>
      </c>
    </row>
    <row r="1855" spans="1:4" ht="31.5" customHeight="1">
      <c r="A1855" s="120">
        <v>102756</v>
      </c>
      <c r="B1855" s="119" t="s">
        <v>3395</v>
      </c>
      <c r="C1855" s="120" t="s">
        <v>331</v>
      </c>
      <c r="D1855" s="442">
        <v>15214.74</v>
      </c>
    </row>
    <row r="1856" spans="1:4" ht="31.5" customHeight="1">
      <c r="A1856" s="120">
        <v>102757</v>
      </c>
      <c r="B1856" s="119" t="s">
        <v>3396</v>
      </c>
      <c r="C1856" s="120" t="s">
        <v>331</v>
      </c>
      <c r="D1856" s="442">
        <v>28283.96</v>
      </c>
    </row>
    <row r="1857" spans="1:4" ht="31.5" customHeight="1">
      <c r="A1857" s="120">
        <v>102758</v>
      </c>
      <c r="B1857" s="119" t="s">
        <v>3397</v>
      </c>
      <c r="C1857" s="120" t="s">
        <v>331</v>
      </c>
      <c r="D1857" s="442">
        <v>13159.74</v>
      </c>
    </row>
    <row r="1858" spans="1:4" ht="31.5" customHeight="1">
      <c r="A1858" s="120">
        <v>102759</v>
      </c>
      <c r="B1858" s="119" t="s">
        <v>3398</v>
      </c>
      <c r="C1858" s="120" t="s">
        <v>331</v>
      </c>
      <c r="D1858" s="442">
        <v>19582.75</v>
      </c>
    </row>
    <row r="1859" spans="1:4" ht="31.5" customHeight="1">
      <c r="A1859" s="120">
        <v>102760</v>
      </c>
      <c r="B1859" s="119" t="s">
        <v>3399</v>
      </c>
      <c r="C1859" s="120" t="s">
        <v>331</v>
      </c>
      <c r="D1859" s="442">
        <v>36069.03</v>
      </c>
    </row>
    <row r="1860" spans="1:4" ht="31.5" customHeight="1">
      <c r="A1860" s="120">
        <v>102761</v>
      </c>
      <c r="B1860" s="119" t="s">
        <v>3400</v>
      </c>
      <c r="C1860" s="120" t="s">
        <v>331</v>
      </c>
      <c r="D1860" s="442">
        <v>12660.5</v>
      </c>
    </row>
    <row r="1861" spans="1:4" ht="31.5" customHeight="1">
      <c r="A1861" s="120">
        <v>102762</v>
      </c>
      <c r="B1861" s="119" t="s">
        <v>3401</v>
      </c>
      <c r="C1861" s="120" t="s">
        <v>331</v>
      </c>
      <c r="D1861" s="442">
        <v>19477.830000000002</v>
      </c>
    </row>
    <row r="1862" spans="1:4" ht="31.5" customHeight="1">
      <c r="A1862" s="120">
        <v>102763</v>
      </c>
      <c r="B1862" s="119" t="s">
        <v>3402</v>
      </c>
      <c r="C1862" s="120" t="s">
        <v>331</v>
      </c>
      <c r="D1862" s="442">
        <v>27069.37</v>
      </c>
    </row>
    <row r="1863" spans="1:4" ht="31.5" customHeight="1">
      <c r="A1863" s="120">
        <v>102764</v>
      </c>
      <c r="B1863" s="119" t="s">
        <v>3403</v>
      </c>
      <c r="C1863" s="120" t="s">
        <v>331</v>
      </c>
      <c r="D1863" s="442">
        <v>38073.08</v>
      </c>
    </row>
    <row r="1864" spans="1:4" ht="31.5" customHeight="1">
      <c r="A1864" s="120">
        <v>102765</v>
      </c>
      <c r="B1864" s="119" t="s">
        <v>3404</v>
      </c>
      <c r="C1864" s="120" t="s">
        <v>331</v>
      </c>
      <c r="D1864" s="442">
        <v>15715.42</v>
      </c>
    </row>
    <row r="1865" spans="1:4" ht="31.5" customHeight="1">
      <c r="A1865" s="120">
        <v>102766</v>
      </c>
      <c r="B1865" s="119" t="s">
        <v>3405</v>
      </c>
      <c r="C1865" s="120" t="s">
        <v>331</v>
      </c>
      <c r="D1865" s="442">
        <v>23590.23</v>
      </c>
    </row>
    <row r="1866" spans="1:4" ht="31.5" customHeight="1">
      <c r="A1866" s="120">
        <v>102767</v>
      </c>
      <c r="B1866" s="119" t="s">
        <v>3406</v>
      </c>
      <c r="C1866" s="120" t="s">
        <v>331</v>
      </c>
      <c r="D1866" s="442">
        <v>33022.129999999997</v>
      </c>
    </row>
    <row r="1867" spans="1:4" ht="31.5" customHeight="1">
      <c r="A1867" s="120">
        <v>102768</v>
      </c>
      <c r="B1867" s="119" t="s">
        <v>3407</v>
      </c>
      <c r="C1867" s="120" t="s">
        <v>331</v>
      </c>
      <c r="D1867" s="442">
        <v>46032.44</v>
      </c>
    </row>
    <row r="1868" spans="1:4" ht="31.5" customHeight="1">
      <c r="A1868" s="120">
        <v>102769</v>
      </c>
      <c r="B1868" s="119" t="s">
        <v>3408</v>
      </c>
      <c r="C1868" s="120" t="s">
        <v>331</v>
      </c>
      <c r="D1868" s="442">
        <v>18126.27</v>
      </c>
    </row>
    <row r="1869" spans="1:4" ht="31.5" customHeight="1">
      <c r="A1869" s="120">
        <v>102770</v>
      </c>
      <c r="B1869" s="119" t="s">
        <v>3409</v>
      </c>
      <c r="C1869" s="120" t="s">
        <v>331</v>
      </c>
      <c r="D1869" s="442">
        <v>27757.53</v>
      </c>
    </row>
    <row r="1870" spans="1:4" ht="31.5" customHeight="1">
      <c r="A1870" s="120">
        <v>102771</v>
      </c>
      <c r="B1870" s="119" t="s">
        <v>3410</v>
      </c>
      <c r="C1870" s="120" t="s">
        <v>331</v>
      </c>
      <c r="D1870" s="442">
        <v>38832.54</v>
      </c>
    </row>
    <row r="1871" spans="1:4" ht="31.5" customHeight="1">
      <c r="A1871" s="120">
        <v>102772</v>
      </c>
      <c r="B1871" s="119" t="s">
        <v>3411</v>
      </c>
      <c r="C1871" s="120" t="s">
        <v>331</v>
      </c>
      <c r="D1871" s="442">
        <v>54554.01</v>
      </c>
    </row>
    <row r="1872" spans="1:4" ht="31.5" customHeight="1">
      <c r="A1872" s="120">
        <v>102773</v>
      </c>
      <c r="B1872" s="119" t="s">
        <v>3412</v>
      </c>
      <c r="C1872" s="120" t="s">
        <v>331</v>
      </c>
      <c r="D1872" s="442">
        <v>8107.34</v>
      </c>
    </row>
    <row r="1873" spans="1:4" ht="31.5" customHeight="1">
      <c r="A1873" s="120">
        <v>102774</v>
      </c>
      <c r="B1873" s="119" t="s">
        <v>3413</v>
      </c>
      <c r="C1873" s="120" t="s">
        <v>331</v>
      </c>
      <c r="D1873" s="442">
        <v>8107.34</v>
      </c>
    </row>
    <row r="1874" spans="1:4" ht="31.5" customHeight="1">
      <c r="A1874" s="120">
        <v>102775</v>
      </c>
      <c r="B1874" s="119" t="s">
        <v>3414</v>
      </c>
      <c r="C1874" s="120" t="s">
        <v>331</v>
      </c>
      <c r="D1874" s="442">
        <v>12072.92</v>
      </c>
    </row>
    <row r="1875" spans="1:4" ht="31.5" customHeight="1">
      <c r="A1875" s="120">
        <v>102776</v>
      </c>
      <c r="B1875" s="119" t="s">
        <v>3415</v>
      </c>
      <c r="C1875" s="120" t="s">
        <v>331</v>
      </c>
      <c r="D1875" s="442">
        <v>12072.92</v>
      </c>
    </row>
    <row r="1876" spans="1:4" ht="31.5" customHeight="1">
      <c r="A1876" s="120">
        <v>102777</v>
      </c>
      <c r="B1876" s="119" t="s">
        <v>3416</v>
      </c>
      <c r="C1876" s="120" t="s">
        <v>331</v>
      </c>
      <c r="D1876" s="442">
        <v>18254.8</v>
      </c>
    </row>
    <row r="1877" spans="1:4" ht="31.5" customHeight="1">
      <c r="A1877" s="120">
        <v>102778</v>
      </c>
      <c r="B1877" s="119" t="s">
        <v>3417</v>
      </c>
      <c r="C1877" s="120" t="s">
        <v>331</v>
      </c>
      <c r="D1877" s="442">
        <v>27058.73</v>
      </c>
    </row>
    <row r="1878" spans="1:4" ht="31.5" customHeight="1">
      <c r="A1878" s="120">
        <v>102779</v>
      </c>
      <c r="B1878" s="119" t="s">
        <v>3418</v>
      </c>
      <c r="C1878" s="120" t="s">
        <v>331</v>
      </c>
      <c r="D1878" s="442">
        <v>8107.34</v>
      </c>
    </row>
    <row r="1879" spans="1:4" ht="31.5" customHeight="1">
      <c r="A1879" s="120">
        <v>102780</v>
      </c>
      <c r="B1879" s="119" t="s">
        <v>3419</v>
      </c>
      <c r="C1879" s="120" t="s">
        <v>331</v>
      </c>
      <c r="D1879" s="442">
        <v>9332.25</v>
      </c>
    </row>
    <row r="1880" spans="1:4" ht="31.5" customHeight="1">
      <c r="A1880" s="120">
        <v>102781</v>
      </c>
      <c r="B1880" s="119" t="s">
        <v>3420</v>
      </c>
      <c r="C1880" s="120" t="s">
        <v>331</v>
      </c>
      <c r="D1880" s="442">
        <v>13793.52</v>
      </c>
    </row>
    <row r="1881" spans="1:4" ht="31.5" customHeight="1">
      <c r="A1881" s="120">
        <v>102782</v>
      </c>
      <c r="B1881" s="119" t="s">
        <v>3421</v>
      </c>
      <c r="C1881" s="120" t="s">
        <v>331</v>
      </c>
      <c r="D1881" s="442">
        <v>15323.85</v>
      </c>
    </row>
    <row r="1882" spans="1:4" ht="31.5" customHeight="1">
      <c r="A1882" s="120">
        <v>102783</v>
      </c>
      <c r="B1882" s="119" t="s">
        <v>3422</v>
      </c>
      <c r="C1882" s="120" t="s">
        <v>331</v>
      </c>
      <c r="D1882" s="442">
        <v>20280.830000000002</v>
      </c>
    </row>
    <row r="1883" spans="1:4" ht="31.5" customHeight="1">
      <c r="A1883" s="120">
        <v>102784</v>
      </c>
      <c r="B1883" s="119" t="s">
        <v>3423</v>
      </c>
      <c r="C1883" s="120" t="s">
        <v>331</v>
      </c>
      <c r="D1883" s="442">
        <v>31460.7</v>
      </c>
    </row>
    <row r="1884" spans="1:4" ht="31.5" customHeight="1">
      <c r="A1884" s="120">
        <v>102785</v>
      </c>
      <c r="B1884" s="119" t="s">
        <v>3424</v>
      </c>
      <c r="C1884" s="120" t="s">
        <v>331</v>
      </c>
      <c r="D1884" s="442">
        <v>9332.25</v>
      </c>
    </row>
    <row r="1885" spans="1:4" ht="31.5" customHeight="1">
      <c r="A1885" s="120">
        <v>102786</v>
      </c>
      <c r="B1885" s="119" t="s">
        <v>3425</v>
      </c>
      <c r="C1885" s="120" t="s">
        <v>331</v>
      </c>
      <c r="D1885" s="442">
        <v>10366.879999999999</v>
      </c>
    </row>
    <row r="1886" spans="1:4" ht="31.5" customHeight="1">
      <c r="A1886" s="120">
        <v>102787</v>
      </c>
      <c r="B1886" s="119" t="s">
        <v>3426</v>
      </c>
      <c r="C1886" s="120" t="s">
        <v>331</v>
      </c>
      <c r="D1886" s="442">
        <v>15323.85</v>
      </c>
    </row>
    <row r="1887" spans="1:4" ht="31.5" customHeight="1">
      <c r="A1887" s="120">
        <v>102788</v>
      </c>
      <c r="B1887" s="119" t="s">
        <v>3427</v>
      </c>
      <c r="C1887" s="120" t="s">
        <v>331</v>
      </c>
      <c r="D1887" s="442">
        <v>16818.5</v>
      </c>
    </row>
    <row r="1888" spans="1:4" ht="31.5" customHeight="1">
      <c r="A1888" s="120">
        <v>102789</v>
      </c>
      <c r="B1888" s="119" t="s">
        <v>3428</v>
      </c>
      <c r="C1888" s="120" t="s">
        <v>331</v>
      </c>
      <c r="D1888" s="442">
        <v>22092.79</v>
      </c>
    </row>
    <row r="1889" spans="1:4" ht="31.5" customHeight="1">
      <c r="A1889" s="120">
        <v>102790</v>
      </c>
      <c r="B1889" s="119" t="s">
        <v>3429</v>
      </c>
      <c r="C1889" s="120" t="s">
        <v>331</v>
      </c>
      <c r="D1889" s="442">
        <v>36457.29</v>
      </c>
    </row>
    <row r="1890" spans="1:4" ht="31.5" customHeight="1">
      <c r="A1890" s="120">
        <v>102791</v>
      </c>
      <c r="B1890" s="119" t="s">
        <v>3430</v>
      </c>
      <c r="C1890" s="120" t="s">
        <v>331</v>
      </c>
      <c r="D1890" s="442">
        <v>29424.61</v>
      </c>
    </row>
    <row r="1891" spans="1:4" ht="31.5" customHeight="1">
      <c r="A1891" s="120">
        <v>102792</v>
      </c>
      <c r="B1891" s="119" t="s">
        <v>3431</v>
      </c>
      <c r="C1891" s="120" t="s">
        <v>331</v>
      </c>
      <c r="D1891" s="442">
        <v>47792.02</v>
      </c>
    </row>
    <row r="1892" spans="1:4" ht="31.5" customHeight="1">
      <c r="A1892" s="120">
        <v>102793</v>
      </c>
      <c r="B1892" s="119" t="s">
        <v>3432</v>
      </c>
      <c r="C1892" s="120" t="s">
        <v>331</v>
      </c>
      <c r="D1892" s="442">
        <v>64286.91</v>
      </c>
    </row>
    <row r="1893" spans="1:4" ht="31.5" customHeight="1">
      <c r="A1893" s="120">
        <v>102794</v>
      </c>
      <c r="B1893" s="119" t="s">
        <v>3433</v>
      </c>
      <c r="C1893" s="120" t="s">
        <v>331</v>
      </c>
      <c r="D1893" s="442">
        <v>91957.82</v>
      </c>
    </row>
    <row r="1894" spans="1:4" ht="31.5" customHeight="1">
      <c r="A1894" s="120">
        <v>102795</v>
      </c>
      <c r="B1894" s="119" t="s">
        <v>3434</v>
      </c>
      <c r="C1894" s="120" t="s">
        <v>331</v>
      </c>
      <c r="D1894" s="442">
        <v>31423.23</v>
      </c>
    </row>
    <row r="1895" spans="1:4" ht="31.5" customHeight="1">
      <c r="A1895" s="120">
        <v>102796</v>
      </c>
      <c r="B1895" s="119" t="s">
        <v>3435</v>
      </c>
      <c r="C1895" s="120" t="s">
        <v>331</v>
      </c>
      <c r="D1895" s="442">
        <v>50589.95</v>
      </c>
    </row>
    <row r="1896" spans="1:4" ht="31.5" customHeight="1">
      <c r="A1896" s="120">
        <v>102797</v>
      </c>
      <c r="B1896" s="119" t="s">
        <v>3436</v>
      </c>
      <c r="C1896" s="120" t="s">
        <v>331</v>
      </c>
      <c r="D1896" s="442">
        <v>71726.62</v>
      </c>
    </row>
    <row r="1897" spans="1:4" ht="31.5" customHeight="1">
      <c r="A1897" s="120">
        <v>102798</v>
      </c>
      <c r="B1897" s="119" t="s">
        <v>3437</v>
      </c>
      <c r="C1897" s="120" t="s">
        <v>331</v>
      </c>
      <c r="D1897" s="442">
        <v>87696.67</v>
      </c>
    </row>
    <row r="1898" spans="1:4" ht="31.5" customHeight="1">
      <c r="A1898" s="120">
        <v>102799</v>
      </c>
      <c r="B1898" s="119" t="s">
        <v>3438</v>
      </c>
      <c r="C1898" s="120" t="s">
        <v>331</v>
      </c>
      <c r="D1898" s="442">
        <v>32084.16</v>
      </c>
    </row>
    <row r="1899" spans="1:4" ht="31.5" customHeight="1">
      <c r="A1899" s="120">
        <v>102800</v>
      </c>
      <c r="B1899" s="119" t="s">
        <v>3439</v>
      </c>
      <c r="C1899" s="120" t="s">
        <v>331</v>
      </c>
      <c r="D1899" s="442">
        <v>55559.68</v>
      </c>
    </row>
    <row r="1900" spans="1:4" ht="31.5" customHeight="1">
      <c r="A1900" s="120">
        <v>102801</v>
      </c>
      <c r="B1900" s="119" t="s">
        <v>3440</v>
      </c>
      <c r="C1900" s="120" t="s">
        <v>331</v>
      </c>
      <c r="D1900" s="442">
        <v>77778.559999999998</v>
      </c>
    </row>
    <row r="1901" spans="1:4" ht="31.5" customHeight="1">
      <c r="A1901" s="120">
        <v>102802</v>
      </c>
      <c r="B1901" s="119" t="s">
        <v>3441</v>
      </c>
      <c r="C1901" s="120" t="s">
        <v>331</v>
      </c>
      <c r="D1901" s="442">
        <v>93222.43</v>
      </c>
    </row>
    <row r="1902" spans="1:4" ht="31.5" customHeight="1">
      <c r="A1902" s="120">
        <v>101570</v>
      </c>
      <c r="B1902" s="119" t="s">
        <v>3442</v>
      </c>
      <c r="C1902" s="120" t="s">
        <v>951</v>
      </c>
      <c r="D1902" s="441">
        <v>28.28</v>
      </c>
    </row>
    <row r="1903" spans="1:4" ht="31.5" customHeight="1">
      <c r="A1903" s="120">
        <v>101571</v>
      </c>
      <c r="B1903" s="119" t="s">
        <v>3443</v>
      </c>
      <c r="C1903" s="120" t="s">
        <v>951</v>
      </c>
      <c r="D1903" s="441">
        <v>38.26</v>
      </c>
    </row>
    <row r="1904" spans="1:4" ht="31.5" customHeight="1">
      <c r="A1904" s="120">
        <v>101572</v>
      </c>
      <c r="B1904" s="119" t="s">
        <v>3444</v>
      </c>
      <c r="C1904" s="120" t="s">
        <v>951</v>
      </c>
      <c r="D1904" s="441">
        <v>22.22</v>
      </c>
    </row>
    <row r="1905" spans="1:4" ht="31.5" customHeight="1">
      <c r="A1905" s="120">
        <v>101573</v>
      </c>
      <c r="B1905" s="119" t="s">
        <v>3445</v>
      </c>
      <c r="C1905" s="120" t="s">
        <v>951</v>
      </c>
      <c r="D1905" s="441">
        <v>32.21</v>
      </c>
    </row>
    <row r="1906" spans="1:4" ht="31.5" customHeight="1">
      <c r="A1906" s="120">
        <v>101574</v>
      </c>
      <c r="B1906" s="119" t="s">
        <v>3446</v>
      </c>
      <c r="C1906" s="120" t="s">
        <v>951</v>
      </c>
      <c r="D1906" s="441">
        <v>17.059999999999999</v>
      </c>
    </row>
    <row r="1907" spans="1:4" ht="31.5" customHeight="1">
      <c r="A1907" s="120">
        <v>101575</v>
      </c>
      <c r="B1907" s="119" t="s">
        <v>3447</v>
      </c>
      <c r="C1907" s="120" t="s">
        <v>951</v>
      </c>
      <c r="D1907" s="441">
        <v>27.25</v>
      </c>
    </row>
    <row r="1908" spans="1:4" ht="31.5" customHeight="1">
      <c r="A1908" s="120">
        <v>101576</v>
      </c>
      <c r="B1908" s="119" t="s">
        <v>3448</v>
      </c>
      <c r="C1908" s="120" t="s">
        <v>951</v>
      </c>
      <c r="D1908" s="441">
        <v>51.08</v>
      </c>
    </row>
    <row r="1909" spans="1:4" ht="31.5" customHeight="1">
      <c r="A1909" s="120">
        <v>101577</v>
      </c>
      <c r="B1909" s="119" t="s">
        <v>3449</v>
      </c>
      <c r="C1909" s="120" t="s">
        <v>951</v>
      </c>
      <c r="D1909" s="441">
        <v>63.87</v>
      </c>
    </row>
    <row r="1910" spans="1:4" ht="31.5" customHeight="1">
      <c r="A1910" s="120">
        <v>101578</v>
      </c>
      <c r="B1910" s="119" t="s">
        <v>3450</v>
      </c>
      <c r="C1910" s="120" t="s">
        <v>951</v>
      </c>
      <c r="D1910" s="441">
        <v>42.3</v>
      </c>
    </row>
    <row r="1911" spans="1:4" ht="31.5" customHeight="1">
      <c r="A1911" s="120">
        <v>101579</v>
      </c>
      <c r="B1911" s="119" t="s">
        <v>3451</v>
      </c>
      <c r="C1911" s="120" t="s">
        <v>951</v>
      </c>
      <c r="D1911" s="441">
        <v>55.09</v>
      </c>
    </row>
    <row r="1912" spans="1:4" ht="31.5" customHeight="1">
      <c r="A1912" s="120">
        <v>101580</v>
      </c>
      <c r="B1912" s="119" t="s">
        <v>3452</v>
      </c>
      <c r="C1912" s="120" t="s">
        <v>951</v>
      </c>
      <c r="D1912" s="441">
        <v>37.590000000000003</v>
      </c>
    </row>
    <row r="1913" spans="1:4" ht="31.5" customHeight="1">
      <c r="A1913" s="120">
        <v>101581</v>
      </c>
      <c r="B1913" s="119" t="s">
        <v>3453</v>
      </c>
      <c r="C1913" s="120" t="s">
        <v>951</v>
      </c>
      <c r="D1913" s="441">
        <v>50.57</v>
      </c>
    </row>
    <row r="1914" spans="1:4" ht="31.5" customHeight="1">
      <c r="A1914" s="120">
        <v>101582</v>
      </c>
      <c r="B1914" s="119" t="s">
        <v>3454</v>
      </c>
      <c r="C1914" s="120" t="s">
        <v>951</v>
      </c>
      <c r="D1914" s="441">
        <v>84</v>
      </c>
    </row>
    <row r="1915" spans="1:4" ht="31.5" customHeight="1">
      <c r="A1915" s="120">
        <v>101583</v>
      </c>
      <c r="B1915" s="119" t="s">
        <v>3455</v>
      </c>
      <c r="C1915" s="120" t="s">
        <v>951</v>
      </c>
      <c r="D1915" s="441">
        <v>103.95</v>
      </c>
    </row>
    <row r="1916" spans="1:4" ht="31.5" customHeight="1">
      <c r="A1916" s="120">
        <v>101584</v>
      </c>
      <c r="B1916" s="119" t="s">
        <v>3456</v>
      </c>
      <c r="C1916" s="120" t="s">
        <v>951</v>
      </c>
      <c r="D1916" s="441">
        <v>69.16</v>
      </c>
    </row>
    <row r="1917" spans="1:4" ht="31.5" customHeight="1">
      <c r="A1917" s="120">
        <v>101585</v>
      </c>
      <c r="B1917" s="119" t="s">
        <v>3457</v>
      </c>
      <c r="C1917" s="120" t="s">
        <v>951</v>
      </c>
      <c r="D1917" s="441">
        <v>89.11</v>
      </c>
    </row>
    <row r="1918" spans="1:4" ht="31.5" customHeight="1">
      <c r="A1918" s="120">
        <v>101586</v>
      </c>
      <c r="B1918" s="119" t="s">
        <v>3458</v>
      </c>
      <c r="C1918" s="120" t="s">
        <v>951</v>
      </c>
      <c r="D1918" s="441">
        <v>59.99</v>
      </c>
    </row>
    <row r="1919" spans="1:4" ht="31.5" customHeight="1">
      <c r="A1919" s="120">
        <v>101587</v>
      </c>
      <c r="B1919" s="119" t="s">
        <v>3459</v>
      </c>
      <c r="C1919" s="120" t="s">
        <v>951</v>
      </c>
      <c r="D1919" s="441">
        <v>80.12</v>
      </c>
    </row>
    <row r="1920" spans="1:4" ht="31.5" customHeight="1">
      <c r="A1920" s="120">
        <v>101588</v>
      </c>
      <c r="B1920" s="119" t="s">
        <v>3460</v>
      </c>
      <c r="C1920" s="120" t="s">
        <v>951</v>
      </c>
      <c r="D1920" s="441">
        <v>102.3</v>
      </c>
    </row>
    <row r="1921" spans="1:4" ht="31.5" customHeight="1">
      <c r="A1921" s="120">
        <v>101589</v>
      </c>
      <c r="B1921" s="119" t="s">
        <v>3461</v>
      </c>
      <c r="C1921" s="120" t="s">
        <v>951</v>
      </c>
      <c r="D1921" s="441">
        <v>148.71</v>
      </c>
    </row>
    <row r="1922" spans="1:4" ht="31.5" customHeight="1">
      <c r="A1922" s="120">
        <v>101590</v>
      </c>
      <c r="B1922" s="119" t="s">
        <v>3462</v>
      </c>
      <c r="C1922" s="120" t="s">
        <v>951</v>
      </c>
      <c r="D1922" s="441">
        <v>77.64</v>
      </c>
    </row>
    <row r="1923" spans="1:4" ht="31.5" customHeight="1">
      <c r="A1923" s="120">
        <v>101591</v>
      </c>
      <c r="B1923" s="119" t="s">
        <v>3463</v>
      </c>
      <c r="C1923" s="120" t="s">
        <v>951</v>
      </c>
      <c r="D1923" s="441">
        <v>124.05</v>
      </c>
    </row>
    <row r="1924" spans="1:4" ht="31.5" customHeight="1">
      <c r="A1924" s="120">
        <v>101592</v>
      </c>
      <c r="B1924" s="119" t="s">
        <v>3464</v>
      </c>
      <c r="C1924" s="120" t="s">
        <v>951</v>
      </c>
      <c r="D1924" s="441">
        <v>55.04</v>
      </c>
    </row>
    <row r="1925" spans="1:4" ht="31.5" customHeight="1">
      <c r="A1925" s="120">
        <v>101593</v>
      </c>
      <c r="B1925" s="119" t="s">
        <v>3465</v>
      </c>
      <c r="C1925" s="120" t="s">
        <v>951</v>
      </c>
      <c r="D1925" s="441">
        <v>101.61</v>
      </c>
    </row>
    <row r="1926" spans="1:4" ht="31.5" customHeight="1">
      <c r="A1926" s="120">
        <v>101600</v>
      </c>
      <c r="B1926" s="119" t="s">
        <v>3466</v>
      </c>
      <c r="C1926" s="120" t="s">
        <v>951</v>
      </c>
      <c r="D1926" s="441">
        <v>19.02</v>
      </c>
    </row>
    <row r="1927" spans="1:4" ht="31.5" customHeight="1">
      <c r="A1927" s="120">
        <v>101601</v>
      </c>
      <c r="B1927" s="119" t="s">
        <v>3467</v>
      </c>
      <c r="C1927" s="120" t="s">
        <v>951</v>
      </c>
      <c r="D1927" s="441">
        <v>28.15</v>
      </c>
    </row>
    <row r="1928" spans="1:4" ht="31.5" customHeight="1">
      <c r="A1928" s="120">
        <v>101602</v>
      </c>
      <c r="B1928" s="119" t="s">
        <v>3468</v>
      </c>
      <c r="C1928" s="120" t="s">
        <v>951</v>
      </c>
      <c r="D1928" s="441">
        <v>14.11</v>
      </c>
    </row>
    <row r="1929" spans="1:4" ht="31.5" customHeight="1">
      <c r="A1929" s="120">
        <v>101603</v>
      </c>
      <c r="B1929" s="119" t="s">
        <v>3469</v>
      </c>
      <c r="C1929" s="120" t="s">
        <v>951</v>
      </c>
      <c r="D1929" s="441">
        <v>23.25</v>
      </c>
    </row>
    <row r="1930" spans="1:4" ht="31.5" customHeight="1">
      <c r="A1930" s="120">
        <v>101604</v>
      </c>
      <c r="B1930" s="119" t="s">
        <v>3470</v>
      </c>
      <c r="C1930" s="120" t="s">
        <v>951</v>
      </c>
      <c r="D1930" s="441">
        <v>9.23</v>
      </c>
    </row>
    <row r="1931" spans="1:4" ht="31.5" customHeight="1">
      <c r="A1931" s="120">
        <v>101605</v>
      </c>
      <c r="B1931" s="119" t="s">
        <v>3471</v>
      </c>
      <c r="C1931" s="120" t="s">
        <v>951</v>
      </c>
      <c r="D1931" s="441">
        <v>18.36</v>
      </c>
    </row>
    <row r="1932" spans="1:4" ht="47.25" customHeight="1">
      <c r="A1932" s="120">
        <v>90788</v>
      </c>
      <c r="B1932" s="119" t="s">
        <v>3472</v>
      </c>
      <c r="C1932" s="120" t="s">
        <v>331</v>
      </c>
      <c r="D1932" s="441">
        <v>790.32</v>
      </c>
    </row>
    <row r="1933" spans="1:4" ht="47.25" customHeight="1">
      <c r="A1933" s="120">
        <v>90789</v>
      </c>
      <c r="B1933" s="119" t="s">
        <v>3473</v>
      </c>
      <c r="C1933" s="120" t="s">
        <v>331</v>
      </c>
      <c r="D1933" s="441">
        <v>792.41</v>
      </c>
    </row>
    <row r="1934" spans="1:4" ht="47.25" customHeight="1">
      <c r="A1934" s="120">
        <v>90790</v>
      </c>
      <c r="B1934" s="119" t="s">
        <v>3474</v>
      </c>
      <c r="C1934" s="120" t="s">
        <v>331</v>
      </c>
      <c r="D1934" s="441">
        <v>817.59</v>
      </c>
    </row>
    <row r="1935" spans="1:4" ht="47.25" customHeight="1">
      <c r="A1935" s="120">
        <v>90791</v>
      </c>
      <c r="B1935" s="119" t="s">
        <v>3475</v>
      </c>
      <c r="C1935" s="120" t="s">
        <v>331</v>
      </c>
      <c r="D1935" s="441">
        <v>959.16</v>
      </c>
    </row>
    <row r="1936" spans="1:4" ht="47.25" customHeight="1">
      <c r="A1936" s="120">
        <v>90793</v>
      </c>
      <c r="B1936" s="119" t="s">
        <v>3476</v>
      </c>
      <c r="C1936" s="120" t="s">
        <v>331</v>
      </c>
      <c r="D1936" s="442">
        <v>1015.66</v>
      </c>
    </row>
    <row r="1937" spans="1:4" ht="31.5" customHeight="1">
      <c r="A1937" s="120">
        <v>90794</v>
      </c>
      <c r="B1937" s="119" t="s">
        <v>3477</v>
      </c>
      <c r="C1937" s="120" t="s">
        <v>331</v>
      </c>
      <c r="D1937" s="441">
        <v>696.77</v>
      </c>
    </row>
    <row r="1938" spans="1:4" ht="31.5" customHeight="1">
      <c r="A1938" s="120">
        <v>90795</v>
      </c>
      <c r="B1938" s="119" t="s">
        <v>3478</v>
      </c>
      <c r="C1938" s="120" t="s">
        <v>331</v>
      </c>
      <c r="D1938" s="441">
        <v>705.59</v>
      </c>
    </row>
    <row r="1939" spans="1:4" ht="31.5" customHeight="1">
      <c r="A1939" s="120">
        <v>90796</v>
      </c>
      <c r="B1939" s="119" t="s">
        <v>3479</v>
      </c>
      <c r="C1939" s="120" t="s">
        <v>331</v>
      </c>
      <c r="D1939" s="441">
        <v>714.4</v>
      </c>
    </row>
    <row r="1940" spans="1:4" ht="31.5" customHeight="1">
      <c r="A1940" s="120">
        <v>90797</v>
      </c>
      <c r="B1940" s="119" t="s">
        <v>3480</v>
      </c>
      <c r="C1940" s="120" t="s">
        <v>331</v>
      </c>
      <c r="D1940" s="441">
        <v>723.23</v>
      </c>
    </row>
    <row r="1941" spans="1:4" ht="31.5" customHeight="1">
      <c r="A1941" s="120">
        <v>90798</v>
      </c>
      <c r="B1941" s="119" t="s">
        <v>3481</v>
      </c>
      <c r="C1941" s="120" t="s">
        <v>331</v>
      </c>
      <c r="D1941" s="442">
        <v>1038.47</v>
      </c>
    </row>
    <row r="1942" spans="1:4" ht="31.5" customHeight="1">
      <c r="A1942" s="120">
        <v>90799</v>
      </c>
      <c r="B1942" s="119" t="s">
        <v>3482</v>
      </c>
      <c r="C1942" s="120" t="s">
        <v>331</v>
      </c>
      <c r="D1942" s="442">
        <v>1073.1500000000001</v>
      </c>
    </row>
    <row r="1943" spans="1:4" ht="15.75" customHeight="1">
      <c r="A1943" s="120">
        <v>90801</v>
      </c>
      <c r="B1943" s="119" t="s">
        <v>3483</v>
      </c>
      <c r="C1943" s="120" t="s">
        <v>331</v>
      </c>
      <c r="D1943" s="441">
        <v>337.16</v>
      </c>
    </row>
    <row r="1944" spans="1:4" ht="31.5" customHeight="1">
      <c r="A1944" s="120">
        <v>90806</v>
      </c>
      <c r="B1944" s="119" t="s">
        <v>3484</v>
      </c>
      <c r="C1944" s="120" t="s">
        <v>331</v>
      </c>
      <c r="D1944" s="441">
        <v>442.68</v>
      </c>
    </row>
    <row r="1945" spans="1:4" ht="31.5" customHeight="1">
      <c r="A1945" s="120">
        <v>90820</v>
      </c>
      <c r="B1945" s="119" t="s">
        <v>3485</v>
      </c>
      <c r="C1945" s="120" t="s">
        <v>331</v>
      </c>
      <c r="D1945" s="441">
        <v>326.97000000000003</v>
      </c>
    </row>
    <row r="1946" spans="1:4" ht="31.5" customHeight="1">
      <c r="A1946" s="120">
        <v>90821</v>
      </c>
      <c r="B1946" s="119" t="s">
        <v>3486</v>
      </c>
      <c r="C1946" s="120" t="s">
        <v>331</v>
      </c>
      <c r="D1946" s="441">
        <v>334.44</v>
      </c>
    </row>
    <row r="1947" spans="1:4" ht="31.5" customHeight="1">
      <c r="A1947" s="120">
        <v>90822</v>
      </c>
      <c r="B1947" s="119" t="s">
        <v>3487</v>
      </c>
      <c r="C1947" s="120" t="s">
        <v>331</v>
      </c>
      <c r="D1947" s="441">
        <v>358.16</v>
      </c>
    </row>
    <row r="1948" spans="1:4" ht="31.5" customHeight="1">
      <c r="A1948" s="120">
        <v>90823</v>
      </c>
      <c r="B1948" s="119" t="s">
        <v>3488</v>
      </c>
      <c r="C1948" s="120" t="s">
        <v>331</v>
      </c>
      <c r="D1948" s="441">
        <v>435.33</v>
      </c>
    </row>
    <row r="1949" spans="1:4" ht="31.5" customHeight="1">
      <c r="A1949" s="120">
        <v>90824</v>
      </c>
      <c r="B1949" s="119" t="s">
        <v>3489</v>
      </c>
      <c r="C1949" s="120" t="s">
        <v>331</v>
      </c>
      <c r="D1949" s="441">
        <v>614.94000000000005</v>
      </c>
    </row>
    <row r="1950" spans="1:4" ht="31.5" customHeight="1">
      <c r="A1950" s="120">
        <v>90825</v>
      </c>
      <c r="B1950" s="119" t="s">
        <v>3490</v>
      </c>
      <c r="C1950" s="120" t="s">
        <v>331</v>
      </c>
      <c r="D1950" s="441">
        <v>682.91</v>
      </c>
    </row>
    <row r="1951" spans="1:4" ht="31.5" customHeight="1">
      <c r="A1951" s="120">
        <v>90830</v>
      </c>
      <c r="B1951" s="119" t="s">
        <v>3491</v>
      </c>
      <c r="C1951" s="120" t="s">
        <v>331</v>
      </c>
      <c r="D1951" s="441">
        <v>193.58</v>
      </c>
    </row>
    <row r="1952" spans="1:4" ht="31.5" customHeight="1">
      <c r="A1952" s="120">
        <v>90831</v>
      </c>
      <c r="B1952" s="119" t="s">
        <v>3492</v>
      </c>
      <c r="C1952" s="120" t="s">
        <v>331</v>
      </c>
      <c r="D1952" s="441">
        <v>169.31</v>
      </c>
    </row>
    <row r="1953" spans="1:4" ht="47.25" customHeight="1">
      <c r="A1953" s="120">
        <v>90841</v>
      </c>
      <c r="B1953" s="119" t="s">
        <v>3493</v>
      </c>
      <c r="C1953" s="120" t="s">
        <v>331</v>
      </c>
      <c r="D1953" s="442">
        <v>1056.8399999999999</v>
      </c>
    </row>
    <row r="1954" spans="1:4" ht="47.25" customHeight="1">
      <c r="A1954" s="120">
        <v>90842</v>
      </c>
      <c r="B1954" s="119" t="s">
        <v>3494</v>
      </c>
      <c r="C1954" s="120" t="s">
        <v>331</v>
      </c>
      <c r="D1954" s="442">
        <v>1066.77</v>
      </c>
    </row>
    <row r="1955" spans="1:4" ht="47.25" customHeight="1">
      <c r="A1955" s="120">
        <v>90843</v>
      </c>
      <c r="B1955" s="119" t="s">
        <v>3495</v>
      </c>
      <c r="C1955" s="120" t="s">
        <v>331</v>
      </c>
      <c r="D1955" s="442">
        <v>1117.22</v>
      </c>
    </row>
    <row r="1956" spans="1:4" ht="47.25" customHeight="1">
      <c r="A1956" s="120">
        <v>90844</v>
      </c>
      <c r="B1956" s="119" t="s">
        <v>3496</v>
      </c>
      <c r="C1956" s="120" t="s">
        <v>331</v>
      </c>
      <c r="D1956" s="442">
        <v>1196.8399999999999</v>
      </c>
    </row>
    <row r="1957" spans="1:4" ht="47.25" customHeight="1">
      <c r="A1957" s="120">
        <v>90845</v>
      </c>
      <c r="B1957" s="119" t="s">
        <v>3497</v>
      </c>
      <c r="C1957" s="120" t="s">
        <v>331</v>
      </c>
      <c r="D1957" s="442">
        <v>1374</v>
      </c>
    </row>
    <row r="1958" spans="1:4" ht="47.25" customHeight="1">
      <c r="A1958" s="120">
        <v>90846</v>
      </c>
      <c r="B1958" s="119" t="s">
        <v>3498</v>
      </c>
      <c r="C1958" s="120" t="s">
        <v>331</v>
      </c>
      <c r="D1958" s="442">
        <v>1444.42</v>
      </c>
    </row>
    <row r="1959" spans="1:4" ht="47.25" customHeight="1">
      <c r="A1959" s="120">
        <v>90847</v>
      </c>
      <c r="B1959" s="119" t="s">
        <v>3499</v>
      </c>
      <c r="C1959" s="120" t="s">
        <v>331</v>
      </c>
      <c r="D1959" s="441">
        <v>887.53</v>
      </c>
    </row>
    <row r="1960" spans="1:4" ht="47.25" customHeight="1">
      <c r="A1960" s="120">
        <v>90848</v>
      </c>
      <c r="B1960" s="119" t="s">
        <v>3500</v>
      </c>
      <c r="C1960" s="120" t="s">
        <v>331</v>
      </c>
      <c r="D1960" s="441">
        <v>897.46</v>
      </c>
    </row>
    <row r="1961" spans="1:4" ht="47.25" customHeight="1">
      <c r="A1961" s="120">
        <v>90849</v>
      </c>
      <c r="B1961" s="119" t="s">
        <v>3501</v>
      </c>
      <c r="C1961" s="120" t="s">
        <v>331</v>
      </c>
      <c r="D1961" s="441">
        <v>923.64</v>
      </c>
    </row>
    <row r="1962" spans="1:4" ht="47.25" customHeight="1">
      <c r="A1962" s="120">
        <v>90850</v>
      </c>
      <c r="B1962" s="119" t="s">
        <v>3502</v>
      </c>
      <c r="C1962" s="120" t="s">
        <v>331</v>
      </c>
      <c r="D1962" s="442">
        <v>1003.26</v>
      </c>
    </row>
    <row r="1963" spans="1:4" ht="47.25" customHeight="1">
      <c r="A1963" s="120">
        <v>90851</v>
      </c>
      <c r="B1963" s="119" t="s">
        <v>3503</v>
      </c>
      <c r="C1963" s="120" t="s">
        <v>331</v>
      </c>
      <c r="D1963" s="442">
        <v>1180.42</v>
      </c>
    </row>
    <row r="1964" spans="1:4" ht="47.25" customHeight="1">
      <c r="A1964" s="120">
        <v>90852</v>
      </c>
      <c r="B1964" s="119" t="s">
        <v>3504</v>
      </c>
      <c r="C1964" s="120" t="s">
        <v>331</v>
      </c>
      <c r="D1964" s="442">
        <v>1250.8399999999999</v>
      </c>
    </row>
    <row r="1965" spans="1:4" ht="31.5" customHeight="1">
      <c r="A1965" s="120">
        <v>91009</v>
      </c>
      <c r="B1965" s="119" t="s">
        <v>3505</v>
      </c>
      <c r="C1965" s="120" t="s">
        <v>331</v>
      </c>
      <c r="D1965" s="441">
        <v>337.68</v>
      </c>
    </row>
    <row r="1966" spans="1:4" ht="31.5" customHeight="1">
      <c r="A1966" s="120">
        <v>91010</v>
      </c>
      <c r="B1966" s="119" t="s">
        <v>3506</v>
      </c>
      <c r="C1966" s="120" t="s">
        <v>331</v>
      </c>
      <c r="D1966" s="441">
        <v>345.65</v>
      </c>
    </row>
    <row r="1967" spans="1:4" ht="31.5" customHeight="1">
      <c r="A1967" s="120">
        <v>91011</v>
      </c>
      <c r="B1967" s="119" t="s">
        <v>3507</v>
      </c>
      <c r="C1967" s="120" t="s">
        <v>331</v>
      </c>
      <c r="D1967" s="441">
        <v>401.6</v>
      </c>
    </row>
    <row r="1968" spans="1:4" ht="31.5" customHeight="1">
      <c r="A1968" s="120">
        <v>91012</v>
      </c>
      <c r="B1968" s="119" t="s">
        <v>3508</v>
      </c>
      <c r="C1968" s="120" t="s">
        <v>331</v>
      </c>
      <c r="D1968" s="441">
        <v>444.82</v>
      </c>
    </row>
    <row r="1969" spans="1:4" ht="47.25" customHeight="1">
      <c r="A1969" s="120">
        <v>91013</v>
      </c>
      <c r="B1969" s="119" t="s">
        <v>3509</v>
      </c>
      <c r="C1969" s="120" t="s">
        <v>331</v>
      </c>
      <c r="D1969" s="441">
        <v>898.24</v>
      </c>
    </row>
    <row r="1970" spans="1:4" ht="47.25" customHeight="1">
      <c r="A1970" s="120">
        <v>91014</v>
      </c>
      <c r="B1970" s="119" t="s">
        <v>3510</v>
      </c>
      <c r="C1970" s="120" t="s">
        <v>331</v>
      </c>
      <c r="D1970" s="441">
        <v>908.67</v>
      </c>
    </row>
    <row r="1971" spans="1:4" ht="47.25" customHeight="1">
      <c r="A1971" s="120">
        <v>91015</v>
      </c>
      <c r="B1971" s="119" t="s">
        <v>3511</v>
      </c>
      <c r="C1971" s="120" t="s">
        <v>331</v>
      </c>
      <c r="D1971" s="441">
        <v>967.08</v>
      </c>
    </row>
    <row r="1972" spans="1:4" ht="47.25" customHeight="1">
      <c r="A1972" s="120">
        <v>91016</v>
      </c>
      <c r="B1972" s="119" t="s">
        <v>3512</v>
      </c>
      <c r="C1972" s="120" t="s">
        <v>331</v>
      </c>
      <c r="D1972" s="442">
        <v>1012.75</v>
      </c>
    </row>
    <row r="1973" spans="1:4" ht="15.75" customHeight="1">
      <c r="A1973" s="120">
        <v>91287</v>
      </c>
      <c r="B1973" s="119" t="s">
        <v>3513</v>
      </c>
      <c r="C1973" s="120" t="s">
        <v>331</v>
      </c>
      <c r="D1973" s="441">
        <v>254.65</v>
      </c>
    </row>
    <row r="1974" spans="1:4" ht="31.5" customHeight="1">
      <c r="A1974" s="120">
        <v>91292</v>
      </c>
      <c r="B1974" s="119" t="s">
        <v>3514</v>
      </c>
      <c r="C1974" s="120" t="s">
        <v>331</v>
      </c>
      <c r="D1974" s="441">
        <v>360.17</v>
      </c>
    </row>
    <row r="1975" spans="1:4" ht="31.5" customHeight="1">
      <c r="A1975" s="120">
        <v>91295</v>
      </c>
      <c r="B1975" s="119" t="s">
        <v>3515</v>
      </c>
      <c r="C1975" s="120" t="s">
        <v>331</v>
      </c>
      <c r="D1975" s="441">
        <v>346.94</v>
      </c>
    </row>
    <row r="1976" spans="1:4" ht="31.5" customHeight="1">
      <c r="A1976" s="120">
        <v>91296</v>
      </c>
      <c r="B1976" s="119" t="s">
        <v>3516</v>
      </c>
      <c r="C1976" s="120" t="s">
        <v>331</v>
      </c>
      <c r="D1976" s="441">
        <v>371.54</v>
      </c>
    </row>
    <row r="1977" spans="1:4" ht="31.5" customHeight="1">
      <c r="A1977" s="120">
        <v>91297</v>
      </c>
      <c r="B1977" s="119" t="s">
        <v>3517</v>
      </c>
      <c r="C1977" s="120" t="s">
        <v>331</v>
      </c>
      <c r="D1977" s="441">
        <v>407.78</v>
      </c>
    </row>
    <row r="1978" spans="1:4" ht="31.5" customHeight="1">
      <c r="A1978" s="120">
        <v>91298</v>
      </c>
      <c r="B1978" s="119" t="s">
        <v>3518</v>
      </c>
      <c r="C1978" s="120" t="s">
        <v>331</v>
      </c>
      <c r="D1978" s="442">
        <v>1037.6300000000001</v>
      </c>
    </row>
    <row r="1979" spans="1:4" ht="31.5" customHeight="1">
      <c r="A1979" s="120">
        <v>91299</v>
      </c>
      <c r="B1979" s="119" t="s">
        <v>3519</v>
      </c>
      <c r="C1979" s="120" t="s">
        <v>331</v>
      </c>
      <c r="D1979" s="442">
        <v>1455.15</v>
      </c>
    </row>
    <row r="1980" spans="1:4" ht="31.5" customHeight="1">
      <c r="A1980" s="120">
        <v>91304</v>
      </c>
      <c r="B1980" s="119" t="s">
        <v>3520</v>
      </c>
      <c r="C1980" s="120" t="s">
        <v>331</v>
      </c>
      <c r="D1980" s="441">
        <v>119.32</v>
      </c>
    </row>
    <row r="1981" spans="1:4" ht="31.5" customHeight="1">
      <c r="A1981" s="120">
        <v>91305</v>
      </c>
      <c r="B1981" s="119" t="s">
        <v>3521</v>
      </c>
      <c r="C1981" s="120" t="s">
        <v>331</v>
      </c>
      <c r="D1981" s="441">
        <v>118.22</v>
      </c>
    </row>
    <row r="1982" spans="1:4" ht="31.5" customHeight="1">
      <c r="A1982" s="120">
        <v>91306</v>
      </c>
      <c r="B1982" s="119" t="s">
        <v>3522</v>
      </c>
      <c r="C1982" s="120" t="s">
        <v>331</v>
      </c>
      <c r="D1982" s="441">
        <v>169.31</v>
      </c>
    </row>
    <row r="1983" spans="1:4" ht="31.5" customHeight="1">
      <c r="A1983" s="120">
        <v>91307</v>
      </c>
      <c r="B1983" s="119" t="s">
        <v>3523</v>
      </c>
      <c r="C1983" s="120" t="s">
        <v>331</v>
      </c>
      <c r="D1983" s="441">
        <v>100.98</v>
      </c>
    </row>
    <row r="1984" spans="1:4" ht="47.25" customHeight="1">
      <c r="A1984" s="120">
        <v>91312</v>
      </c>
      <c r="B1984" s="119" t="s">
        <v>3524</v>
      </c>
      <c r="C1984" s="120" t="s">
        <v>331</v>
      </c>
      <c r="D1984" s="441">
        <v>887.63</v>
      </c>
    </row>
    <row r="1985" spans="1:4" ht="47.25" customHeight="1">
      <c r="A1985" s="120">
        <v>91313</v>
      </c>
      <c r="B1985" s="119" t="s">
        <v>3525</v>
      </c>
      <c r="C1985" s="120" t="s">
        <v>331</v>
      </c>
      <c r="D1985" s="441">
        <v>879.57</v>
      </c>
    </row>
    <row r="1986" spans="1:4" ht="47.25" customHeight="1">
      <c r="A1986" s="120">
        <v>91314</v>
      </c>
      <c r="B1986" s="119" t="s">
        <v>3526</v>
      </c>
      <c r="C1986" s="120" t="s">
        <v>331</v>
      </c>
      <c r="D1986" s="441">
        <v>923.35</v>
      </c>
    </row>
    <row r="1987" spans="1:4" ht="47.25" customHeight="1">
      <c r="A1987" s="120">
        <v>91315</v>
      </c>
      <c r="B1987" s="119" t="s">
        <v>3527</v>
      </c>
      <c r="C1987" s="120" t="s">
        <v>331</v>
      </c>
      <c r="D1987" s="442">
        <v>1002.23</v>
      </c>
    </row>
    <row r="1988" spans="1:4" ht="47.25" customHeight="1">
      <c r="A1988" s="120">
        <v>91316</v>
      </c>
      <c r="B1988" s="119" t="s">
        <v>3528</v>
      </c>
      <c r="C1988" s="120" t="s">
        <v>331</v>
      </c>
      <c r="D1988" s="442">
        <v>1180.1300000000001</v>
      </c>
    </row>
    <row r="1989" spans="1:4" ht="47.25" customHeight="1">
      <c r="A1989" s="120">
        <v>91317</v>
      </c>
      <c r="B1989" s="119" t="s">
        <v>3529</v>
      </c>
      <c r="C1989" s="120" t="s">
        <v>331</v>
      </c>
      <c r="D1989" s="442">
        <v>1249.81</v>
      </c>
    </row>
    <row r="1990" spans="1:4" ht="47.25" customHeight="1">
      <c r="A1990" s="120">
        <v>91318</v>
      </c>
      <c r="B1990" s="119" t="s">
        <v>3530</v>
      </c>
      <c r="C1990" s="120" t="s">
        <v>331</v>
      </c>
      <c r="D1990" s="441">
        <v>769.41</v>
      </c>
    </row>
    <row r="1991" spans="1:4" ht="47.25" customHeight="1">
      <c r="A1991" s="120">
        <v>91319</v>
      </c>
      <c r="B1991" s="119" t="s">
        <v>3531</v>
      </c>
      <c r="C1991" s="120" t="s">
        <v>331</v>
      </c>
      <c r="D1991" s="441">
        <v>778.59</v>
      </c>
    </row>
    <row r="1992" spans="1:4" ht="47.25" customHeight="1">
      <c r="A1992" s="120">
        <v>91320</v>
      </c>
      <c r="B1992" s="119" t="s">
        <v>3532</v>
      </c>
      <c r="C1992" s="120" t="s">
        <v>331</v>
      </c>
      <c r="D1992" s="441">
        <v>804.03</v>
      </c>
    </row>
    <row r="1993" spans="1:4" ht="47.25" customHeight="1">
      <c r="A1993" s="120">
        <v>91321</v>
      </c>
      <c r="B1993" s="119" t="s">
        <v>3533</v>
      </c>
      <c r="C1993" s="120" t="s">
        <v>331</v>
      </c>
      <c r="D1993" s="441">
        <v>882.91</v>
      </c>
    </row>
    <row r="1994" spans="1:4" ht="47.25" customHeight="1">
      <c r="A1994" s="120">
        <v>91322</v>
      </c>
      <c r="B1994" s="119" t="s">
        <v>3534</v>
      </c>
      <c r="C1994" s="120" t="s">
        <v>331</v>
      </c>
      <c r="D1994" s="442">
        <v>1060.81</v>
      </c>
    </row>
    <row r="1995" spans="1:4" ht="47.25" customHeight="1">
      <c r="A1995" s="120">
        <v>91323</v>
      </c>
      <c r="B1995" s="119" t="s">
        <v>3535</v>
      </c>
      <c r="C1995" s="120" t="s">
        <v>331</v>
      </c>
      <c r="D1995" s="442">
        <v>1130.49</v>
      </c>
    </row>
    <row r="1996" spans="1:4" ht="47.25" customHeight="1">
      <c r="A1996" s="120">
        <v>91324</v>
      </c>
      <c r="B1996" s="119" t="s">
        <v>3536</v>
      </c>
      <c r="C1996" s="120" t="s">
        <v>331</v>
      </c>
      <c r="D1996" s="441">
        <v>780.12</v>
      </c>
    </row>
    <row r="1997" spans="1:4" ht="47.25" customHeight="1">
      <c r="A1997" s="120">
        <v>91325</v>
      </c>
      <c r="B1997" s="119" t="s">
        <v>3537</v>
      </c>
      <c r="C1997" s="120" t="s">
        <v>331</v>
      </c>
      <c r="D1997" s="441">
        <v>789.8</v>
      </c>
    </row>
    <row r="1998" spans="1:4" ht="47.25" customHeight="1">
      <c r="A1998" s="120">
        <v>91326</v>
      </c>
      <c r="B1998" s="119" t="s">
        <v>3538</v>
      </c>
      <c r="C1998" s="120" t="s">
        <v>331</v>
      </c>
      <c r="D1998" s="441">
        <v>847.47</v>
      </c>
    </row>
    <row r="1999" spans="1:4" ht="47.25" customHeight="1">
      <c r="A1999" s="120">
        <v>91327</v>
      </c>
      <c r="B1999" s="119" t="s">
        <v>3539</v>
      </c>
      <c r="C1999" s="120" t="s">
        <v>331</v>
      </c>
      <c r="D1999" s="441">
        <v>892.4</v>
      </c>
    </row>
    <row r="2000" spans="1:4" ht="47.25" customHeight="1">
      <c r="A2000" s="120">
        <v>91328</v>
      </c>
      <c r="B2000" s="119" t="s">
        <v>3540</v>
      </c>
      <c r="C2000" s="120" t="s">
        <v>331</v>
      </c>
      <c r="D2000" s="441">
        <v>907.5</v>
      </c>
    </row>
    <row r="2001" spans="1:4" ht="47.25" customHeight="1">
      <c r="A2001" s="120">
        <v>91329</v>
      </c>
      <c r="B2001" s="119" t="s">
        <v>3541</v>
      </c>
      <c r="C2001" s="120" t="s">
        <v>331</v>
      </c>
      <c r="D2001" s="441">
        <v>789.38</v>
      </c>
    </row>
    <row r="2002" spans="1:4" ht="47.25" customHeight="1">
      <c r="A2002" s="120">
        <v>91330</v>
      </c>
      <c r="B2002" s="119" t="s">
        <v>3542</v>
      </c>
      <c r="C2002" s="120" t="s">
        <v>331</v>
      </c>
      <c r="D2002" s="441">
        <v>934.56</v>
      </c>
    </row>
    <row r="2003" spans="1:4" ht="47.25" customHeight="1">
      <c r="A2003" s="120">
        <v>91331</v>
      </c>
      <c r="B2003" s="119" t="s">
        <v>3543</v>
      </c>
      <c r="C2003" s="120" t="s">
        <v>331</v>
      </c>
      <c r="D2003" s="441">
        <v>815.69</v>
      </c>
    </row>
    <row r="2004" spans="1:4" ht="47.25" customHeight="1">
      <c r="A2004" s="120">
        <v>91332</v>
      </c>
      <c r="B2004" s="119" t="s">
        <v>3544</v>
      </c>
      <c r="C2004" s="120" t="s">
        <v>331</v>
      </c>
      <c r="D2004" s="441">
        <v>973.26</v>
      </c>
    </row>
    <row r="2005" spans="1:4" ht="47.25" customHeight="1">
      <c r="A2005" s="120">
        <v>91333</v>
      </c>
      <c r="B2005" s="119" t="s">
        <v>3545</v>
      </c>
      <c r="C2005" s="120" t="s">
        <v>331</v>
      </c>
      <c r="D2005" s="441">
        <v>853.65</v>
      </c>
    </row>
    <row r="2006" spans="1:4" ht="47.25" customHeight="1">
      <c r="A2006" s="120">
        <v>91334</v>
      </c>
      <c r="B2006" s="119" t="s">
        <v>3546</v>
      </c>
      <c r="C2006" s="120" t="s">
        <v>331</v>
      </c>
      <c r="D2006" s="442">
        <v>1603.11</v>
      </c>
    </row>
    <row r="2007" spans="1:4" ht="47.25" customHeight="1">
      <c r="A2007" s="120">
        <v>91335</v>
      </c>
      <c r="B2007" s="119" t="s">
        <v>3547</v>
      </c>
      <c r="C2007" s="120" t="s">
        <v>331</v>
      </c>
      <c r="D2007" s="442">
        <v>1483.5</v>
      </c>
    </row>
    <row r="2008" spans="1:4" ht="47.25" customHeight="1">
      <c r="A2008" s="120">
        <v>91336</v>
      </c>
      <c r="B2008" s="119" t="s">
        <v>3548</v>
      </c>
      <c r="C2008" s="120" t="s">
        <v>331</v>
      </c>
      <c r="D2008" s="442">
        <v>2020.63</v>
      </c>
    </row>
    <row r="2009" spans="1:4" ht="47.25" customHeight="1">
      <c r="A2009" s="120">
        <v>91337</v>
      </c>
      <c r="B2009" s="119" t="s">
        <v>3549</v>
      </c>
      <c r="C2009" s="120" t="s">
        <v>331</v>
      </c>
      <c r="D2009" s="442">
        <v>1901.02</v>
      </c>
    </row>
    <row r="2010" spans="1:4" ht="31.5" customHeight="1">
      <c r="A2010" s="120">
        <v>100659</v>
      </c>
      <c r="B2010" s="119" t="s">
        <v>3550</v>
      </c>
      <c r="C2010" s="120" t="s">
        <v>328</v>
      </c>
      <c r="D2010" s="441">
        <v>12.28</v>
      </c>
    </row>
    <row r="2011" spans="1:4" ht="31.5" customHeight="1">
      <c r="A2011" s="120">
        <v>100660</v>
      </c>
      <c r="B2011" s="119" t="s">
        <v>3551</v>
      </c>
      <c r="C2011" s="120" t="s">
        <v>328</v>
      </c>
      <c r="D2011" s="441">
        <v>8.57</v>
      </c>
    </row>
    <row r="2012" spans="1:4" ht="47.25" customHeight="1">
      <c r="A2012" s="120">
        <v>100675</v>
      </c>
      <c r="B2012" s="119" t="s">
        <v>3552</v>
      </c>
      <c r="C2012" s="120" t="s">
        <v>331</v>
      </c>
      <c r="D2012" s="441">
        <v>903.78</v>
      </c>
    </row>
    <row r="2013" spans="1:4" ht="15.75" customHeight="1">
      <c r="A2013" s="120">
        <v>100676</v>
      </c>
      <c r="B2013" s="119" t="s">
        <v>3553</v>
      </c>
      <c r="C2013" s="120" t="s">
        <v>331</v>
      </c>
      <c r="D2013" s="441">
        <v>214.72</v>
      </c>
    </row>
    <row r="2014" spans="1:4" ht="47.25" customHeight="1">
      <c r="A2014" s="120">
        <v>100678</v>
      </c>
      <c r="B2014" s="119" t="s">
        <v>3554</v>
      </c>
      <c r="C2014" s="120" t="s">
        <v>331</v>
      </c>
      <c r="D2014" s="442">
        <v>1067.55</v>
      </c>
    </row>
    <row r="2015" spans="1:4" ht="47.25" customHeight="1">
      <c r="A2015" s="120">
        <v>100679</v>
      </c>
      <c r="B2015" s="119" t="s">
        <v>3555</v>
      </c>
      <c r="C2015" s="120" t="s">
        <v>331</v>
      </c>
      <c r="D2015" s="441">
        <v>898.34</v>
      </c>
    </row>
    <row r="2016" spans="1:4" ht="47.25" customHeight="1">
      <c r="A2016" s="120">
        <v>100680</v>
      </c>
      <c r="B2016" s="119" t="s">
        <v>3556</v>
      </c>
      <c r="C2016" s="120" t="s">
        <v>331</v>
      </c>
      <c r="D2016" s="442">
        <v>1077.98</v>
      </c>
    </row>
    <row r="2017" spans="1:4" ht="47.25" customHeight="1">
      <c r="A2017" s="120">
        <v>100681</v>
      </c>
      <c r="B2017" s="119" t="s">
        <v>3557</v>
      </c>
      <c r="C2017" s="120" t="s">
        <v>331</v>
      </c>
      <c r="D2017" s="442">
        <v>1103.8699999999999</v>
      </c>
    </row>
    <row r="2018" spans="1:4" ht="47.25" customHeight="1">
      <c r="A2018" s="120">
        <v>100682</v>
      </c>
      <c r="B2018" s="119" t="s">
        <v>3558</v>
      </c>
      <c r="C2018" s="120" t="s">
        <v>331</v>
      </c>
      <c r="D2018" s="441">
        <v>916.67</v>
      </c>
    </row>
    <row r="2019" spans="1:4" ht="47.25" customHeight="1">
      <c r="A2019" s="120">
        <v>100683</v>
      </c>
      <c r="B2019" s="119" t="s">
        <v>3559</v>
      </c>
      <c r="C2019" s="120" t="s">
        <v>331</v>
      </c>
      <c r="D2019" s="442">
        <v>1160.6600000000001</v>
      </c>
    </row>
    <row r="2020" spans="1:4" ht="47.25" customHeight="1">
      <c r="A2020" s="120">
        <v>100684</v>
      </c>
      <c r="B2020" s="119" t="s">
        <v>3560</v>
      </c>
      <c r="C2020" s="120" t="s">
        <v>331</v>
      </c>
      <c r="D2020" s="441">
        <v>966.79</v>
      </c>
    </row>
    <row r="2021" spans="1:4" ht="47.25" customHeight="1">
      <c r="A2021" s="120">
        <v>100685</v>
      </c>
      <c r="B2021" s="119" t="s">
        <v>3561</v>
      </c>
      <c r="C2021" s="120" t="s">
        <v>331</v>
      </c>
      <c r="D2021" s="442">
        <v>1206.33</v>
      </c>
    </row>
    <row r="2022" spans="1:4" ht="47.25" customHeight="1">
      <c r="A2022" s="120">
        <v>100686</v>
      </c>
      <c r="B2022" s="119" t="s">
        <v>3562</v>
      </c>
      <c r="C2022" s="120" t="s">
        <v>331</v>
      </c>
      <c r="D2022" s="442">
        <v>1011.72</v>
      </c>
    </row>
    <row r="2023" spans="1:4" ht="47.25" customHeight="1">
      <c r="A2023" s="120">
        <v>100687</v>
      </c>
      <c r="B2023" s="119" t="s">
        <v>3563</v>
      </c>
      <c r="C2023" s="120" t="s">
        <v>331</v>
      </c>
      <c r="D2023" s="442">
        <v>1076.81</v>
      </c>
    </row>
    <row r="2024" spans="1:4" ht="47.25" customHeight="1">
      <c r="A2024" s="120">
        <v>100688</v>
      </c>
      <c r="B2024" s="119" t="s">
        <v>3564</v>
      </c>
      <c r="C2024" s="120" t="s">
        <v>331</v>
      </c>
      <c r="D2024" s="441">
        <v>907.6</v>
      </c>
    </row>
    <row r="2025" spans="1:4" ht="47.25" customHeight="1">
      <c r="A2025" s="120">
        <v>100689</v>
      </c>
      <c r="B2025" s="119" t="s">
        <v>3565</v>
      </c>
      <c r="C2025" s="120" t="s">
        <v>331</v>
      </c>
      <c r="D2025" s="442">
        <v>1166.8399999999999</v>
      </c>
    </row>
    <row r="2026" spans="1:4" ht="47.25" customHeight="1">
      <c r="A2026" s="120">
        <v>100690</v>
      </c>
      <c r="B2026" s="119" t="s">
        <v>3566</v>
      </c>
      <c r="C2026" s="120" t="s">
        <v>331</v>
      </c>
      <c r="D2026" s="441">
        <v>972.97</v>
      </c>
    </row>
    <row r="2027" spans="1:4" ht="47.25" customHeight="1">
      <c r="A2027" s="120">
        <v>100691</v>
      </c>
      <c r="B2027" s="119" t="s">
        <v>3567</v>
      </c>
      <c r="C2027" s="120" t="s">
        <v>331</v>
      </c>
      <c r="D2027" s="442">
        <v>1796.69</v>
      </c>
    </row>
    <row r="2028" spans="1:4" ht="47.25" customHeight="1">
      <c r="A2028" s="120">
        <v>100692</v>
      </c>
      <c r="B2028" s="119" t="s">
        <v>3568</v>
      </c>
      <c r="C2028" s="120" t="s">
        <v>331</v>
      </c>
      <c r="D2028" s="442">
        <v>1602.82</v>
      </c>
    </row>
    <row r="2029" spans="1:4" ht="47.25" customHeight="1">
      <c r="A2029" s="120">
        <v>100693</v>
      </c>
      <c r="B2029" s="119" t="s">
        <v>3569</v>
      </c>
      <c r="C2029" s="120" t="s">
        <v>331</v>
      </c>
      <c r="D2029" s="442">
        <v>2214.21</v>
      </c>
    </row>
    <row r="2030" spans="1:4" ht="47.25" customHeight="1">
      <c r="A2030" s="120">
        <v>100694</v>
      </c>
      <c r="B2030" s="119" t="s">
        <v>3570</v>
      </c>
      <c r="C2030" s="120" t="s">
        <v>331</v>
      </c>
      <c r="D2030" s="442">
        <v>2020.34</v>
      </c>
    </row>
    <row r="2031" spans="1:4" ht="31.5" customHeight="1">
      <c r="A2031" s="120">
        <v>100695</v>
      </c>
      <c r="B2031" s="119" t="s">
        <v>3571</v>
      </c>
      <c r="C2031" s="120" t="s">
        <v>331</v>
      </c>
      <c r="D2031" s="441">
        <v>70.290000000000006</v>
      </c>
    </row>
    <row r="2032" spans="1:4" ht="31.5" customHeight="1">
      <c r="A2032" s="120">
        <v>100696</v>
      </c>
      <c r="B2032" s="119" t="s">
        <v>3572</v>
      </c>
      <c r="C2032" s="120" t="s">
        <v>331</v>
      </c>
      <c r="D2032" s="441">
        <v>78.260000000000005</v>
      </c>
    </row>
    <row r="2033" spans="1:4" ht="31.5" customHeight="1">
      <c r="A2033" s="120">
        <v>100697</v>
      </c>
      <c r="B2033" s="119" t="s">
        <v>3573</v>
      </c>
      <c r="C2033" s="120" t="s">
        <v>331</v>
      </c>
      <c r="D2033" s="441">
        <v>86.26</v>
      </c>
    </row>
    <row r="2034" spans="1:4" ht="31.5" customHeight="1">
      <c r="A2034" s="120">
        <v>100698</v>
      </c>
      <c r="B2034" s="119" t="s">
        <v>3574</v>
      </c>
      <c r="C2034" s="120" t="s">
        <v>331</v>
      </c>
      <c r="D2034" s="441">
        <v>94.25</v>
      </c>
    </row>
    <row r="2035" spans="1:4" ht="31.5" customHeight="1">
      <c r="A2035" s="120">
        <v>100699</v>
      </c>
      <c r="B2035" s="119" t="s">
        <v>3575</v>
      </c>
      <c r="C2035" s="120" t="s">
        <v>331</v>
      </c>
      <c r="D2035" s="441">
        <v>112.22</v>
      </c>
    </row>
    <row r="2036" spans="1:4" ht="31.5" customHeight="1">
      <c r="A2036" s="120">
        <v>100700</v>
      </c>
      <c r="B2036" s="119" t="s">
        <v>3576</v>
      </c>
      <c r="C2036" s="120" t="s">
        <v>331</v>
      </c>
      <c r="D2036" s="441">
        <v>863.75</v>
      </c>
    </row>
    <row r="2037" spans="1:4" ht="47.25" customHeight="1">
      <c r="A2037" s="120">
        <v>100712</v>
      </c>
      <c r="B2037" s="119" t="s">
        <v>3577</v>
      </c>
      <c r="C2037" s="120" t="s">
        <v>331</v>
      </c>
      <c r="D2037" s="441">
        <v>890.78</v>
      </c>
    </row>
    <row r="2038" spans="1:4" ht="47.25" customHeight="1">
      <c r="A2038" s="120">
        <v>100665</v>
      </c>
      <c r="B2038" s="119" t="s">
        <v>3578</v>
      </c>
      <c r="C2038" s="120" t="s">
        <v>951</v>
      </c>
      <c r="D2038" s="441">
        <v>679.21</v>
      </c>
    </row>
    <row r="2039" spans="1:4" ht="47.25" customHeight="1">
      <c r="A2039" s="120">
        <v>100666</v>
      </c>
      <c r="B2039" s="119" t="s">
        <v>3579</v>
      </c>
      <c r="C2039" s="120" t="s">
        <v>951</v>
      </c>
      <c r="D2039" s="441">
        <v>549.99</v>
      </c>
    </row>
    <row r="2040" spans="1:4" ht="47.25" customHeight="1">
      <c r="A2040" s="120">
        <v>100667</v>
      </c>
      <c r="B2040" s="119" t="s">
        <v>3580</v>
      </c>
      <c r="C2040" s="120" t="s">
        <v>951</v>
      </c>
      <c r="D2040" s="441">
        <v>861.88</v>
      </c>
    </row>
    <row r="2041" spans="1:4" ht="31.5" customHeight="1">
      <c r="A2041" s="120">
        <v>100668</v>
      </c>
      <c r="B2041" s="119" t="s">
        <v>3581</v>
      </c>
      <c r="C2041" s="120" t="s">
        <v>951</v>
      </c>
      <c r="D2041" s="442">
        <v>1121.57</v>
      </c>
    </row>
    <row r="2042" spans="1:4" ht="47.25" customHeight="1">
      <c r="A2042" s="120">
        <v>100669</v>
      </c>
      <c r="B2042" s="119" t="s">
        <v>3582</v>
      </c>
      <c r="C2042" s="120" t="s">
        <v>951</v>
      </c>
      <c r="D2042" s="441">
        <v>648.35</v>
      </c>
    </row>
    <row r="2043" spans="1:4" ht="47.25" customHeight="1">
      <c r="A2043" s="120">
        <v>100670</v>
      </c>
      <c r="B2043" s="119" t="s">
        <v>3583</v>
      </c>
      <c r="C2043" s="120" t="s">
        <v>951</v>
      </c>
      <c r="D2043" s="441">
        <v>836.81</v>
      </c>
    </row>
    <row r="2044" spans="1:4" ht="47.25" customHeight="1">
      <c r="A2044" s="120">
        <v>100671</v>
      </c>
      <c r="B2044" s="119" t="s">
        <v>3584</v>
      </c>
      <c r="C2044" s="120" t="s">
        <v>951</v>
      </c>
      <c r="D2044" s="442">
        <v>1022.65</v>
      </c>
    </row>
    <row r="2045" spans="1:4" ht="47.25" customHeight="1">
      <c r="A2045" s="120">
        <v>100672</v>
      </c>
      <c r="B2045" s="119" t="s">
        <v>3585</v>
      </c>
      <c r="C2045" s="120" t="s">
        <v>951</v>
      </c>
      <c r="D2045" s="441">
        <v>683.87</v>
      </c>
    </row>
    <row r="2046" spans="1:4" ht="15.75" customHeight="1">
      <c r="A2046" s="120">
        <v>100701</v>
      </c>
      <c r="B2046" s="119" t="s">
        <v>3586</v>
      </c>
      <c r="C2046" s="120" t="s">
        <v>951</v>
      </c>
      <c r="D2046" s="442">
        <v>1492.6</v>
      </c>
    </row>
    <row r="2047" spans="1:4" ht="31.5" customHeight="1">
      <c r="A2047" s="120">
        <v>94559</v>
      </c>
      <c r="B2047" s="119" t="s">
        <v>3587</v>
      </c>
      <c r="C2047" s="120" t="s">
        <v>951</v>
      </c>
      <c r="D2047" s="441">
        <v>855.97</v>
      </c>
    </row>
    <row r="2048" spans="1:4" ht="31.5" customHeight="1">
      <c r="A2048" s="120">
        <v>94562</v>
      </c>
      <c r="B2048" s="119" t="s">
        <v>3588</v>
      </c>
      <c r="C2048" s="120" t="s">
        <v>951</v>
      </c>
      <c r="D2048" s="441">
        <v>802.61</v>
      </c>
    </row>
    <row r="2049" spans="1:4" ht="15.75" customHeight="1">
      <c r="A2049" s="120">
        <v>94587</v>
      </c>
      <c r="B2049" s="119" t="s">
        <v>3589</v>
      </c>
      <c r="C2049" s="120" t="s">
        <v>328</v>
      </c>
      <c r="D2049" s="441">
        <v>74.98</v>
      </c>
    </row>
    <row r="2050" spans="1:4" ht="15.75" customHeight="1">
      <c r="A2050" s="120">
        <v>94588</v>
      </c>
      <c r="B2050" s="119" t="s">
        <v>3590</v>
      </c>
      <c r="C2050" s="120" t="s">
        <v>328</v>
      </c>
      <c r="D2050" s="441">
        <v>65.03</v>
      </c>
    </row>
    <row r="2051" spans="1:4" ht="47.25" customHeight="1">
      <c r="A2051" s="120">
        <v>99837</v>
      </c>
      <c r="B2051" s="119" t="s">
        <v>3591</v>
      </c>
      <c r="C2051" s="120" t="s">
        <v>328</v>
      </c>
      <c r="D2051" s="441">
        <v>658.51</v>
      </c>
    </row>
    <row r="2052" spans="1:4" ht="47.25" customHeight="1">
      <c r="A2052" s="120">
        <v>99839</v>
      </c>
      <c r="B2052" s="119" t="s">
        <v>3592</v>
      </c>
      <c r="C2052" s="120" t="s">
        <v>328</v>
      </c>
      <c r="D2052" s="441">
        <v>548.13</v>
      </c>
    </row>
    <row r="2053" spans="1:4" ht="31.5" customHeight="1">
      <c r="A2053" s="120">
        <v>99841</v>
      </c>
      <c r="B2053" s="119" t="s">
        <v>3593</v>
      </c>
      <c r="C2053" s="120" t="s">
        <v>328</v>
      </c>
      <c r="D2053" s="442">
        <v>1129.81</v>
      </c>
    </row>
    <row r="2054" spans="1:4" ht="15.75" customHeight="1">
      <c r="A2054" s="120">
        <v>99855</v>
      </c>
      <c r="B2054" s="119" t="s">
        <v>3594</v>
      </c>
      <c r="C2054" s="120" t="s">
        <v>328</v>
      </c>
      <c r="D2054" s="441">
        <v>118.81</v>
      </c>
    </row>
    <row r="2055" spans="1:4" ht="15.75" customHeight="1">
      <c r="A2055" s="120">
        <v>99857</v>
      </c>
      <c r="B2055" s="119" t="s">
        <v>3595</v>
      </c>
      <c r="C2055" s="120" t="s">
        <v>328</v>
      </c>
      <c r="D2055" s="441">
        <v>102.06</v>
      </c>
    </row>
    <row r="2056" spans="1:4" ht="15.75" customHeight="1">
      <c r="A2056" s="120">
        <v>99861</v>
      </c>
      <c r="B2056" s="119" t="s">
        <v>3596</v>
      </c>
      <c r="C2056" s="120" t="s">
        <v>951</v>
      </c>
      <c r="D2056" s="441">
        <v>690.72</v>
      </c>
    </row>
    <row r="2057" spans="1:4" ht="15.75" customHeight="1">
      <c r="A2057" s="120">
        <v>99862</v>
      </c>
      <c r="B2057" s="119" t="s">
        <v>3597</v>
      </c>
      <c r="C2057" s="120" t="s">
        <v>951</v>
      </c>
      <c r="D2057" s="441">
        <v>684.4</v>
      </c>
    </row>
    <row r="2058" spans="1:4" ht="15.75" customHeight="1">
      <c r="A2058" s="120">
        <v>90838</v>
      </c>
      <c r="B2058" s="119" t="s">
        <v>3598</v>
      </c>
      <c r="C2058" s="120" t="s">
        <v>331</v>
      </c>
      <c r="D2058" s="442">
        <v>3640.84</v>
      </c>
    </row>
    <row r="2059" spans="1:4" ht="31.5" customHeight="1">
      <c r="A2059" s="120">
        <v>91338</v>
      </c>
      <c r="B2059" s="119" t="s">
        <v>3599</v>
      </c>
      <c r="C2059" s="120" t="s">
        <v>951</v>
      </c>
      <c r="D2059" s="442">
        <v>1479.34</v>
      </c>
    </row>
    <row r="2060" spans="1:4" ht="31.5" customHeight="1">
      <c r="A2060" s="120">
        <v>91341</v>
      </c>
      <c r="B2060" s="119" t="s">
        <v>3600</v>
      </c>
      <c r="C2060" s="120" t="s">
        <v>951</v>
      </c>
      <c r="D2060" s="442">
        <v>1151.3599999999999</v>
      </c>
    </row>
    <row r="2061" spans="1:4" ht="31.5" customHeight="1">
      <c r="A2061" s="120">
        <v>94805</v>
      </c>
      <c r="B2061" s="119" t="s">
        <v>3601</v>
      </c>
      <c r="C2061" s="120" t="s">
        <v>331</v>
      </c>
      <c r="D2061" s="442">
        <v>1411.22</v>
      </c>
    </row>
    <row r="2062" spans="1:4" ht="31.5" customHeight="1">
      <c r="A2062" s="120">
        <v>94806</v>
      </c>
      <c r="B2062" s="119" t="s">
        <v>3602</v>
      </c>
      <c r="C2062" s="120" t="s">
        <v>331</v>
      </c>
      <c r="D2062" s="442">
        <v>1662.07</v>
      </c>
    </row>
    <row r="2063" spans="1:4" ht="31.5" customHeight="1">
      <c r="A2063" s="120">
        <v>94807</v>
      </c>
      <c r="B2063" s="119" t="s">
        <v>3603</v>
      </c>
      <c r="C2063" s="120" t="s">
        <v>331</v>
      </c>
      <c r="D2063" s="442">
        <v>1501.86</v>
      </c>
    </row>
    <row r="2064" spans="1:4" ht="31.5" customHeight="1">
      <c r="A2064" s="120">
        <v>100702</v>
      </c>
      <c r="B2064" s="119" t="s">
        <v>3604</v>
      </c>
      <c r="C2064" s="120" t="s">
        <v>951</v>
      </c>
      <c r="D2064" s="441">
        <v>820.23</v>
      </c>
    </row>
    <row r="2065" spans="1:4" ht="15.75" customHeight="1">
      <c r="A2065" s="120">
        <v>102188</v>
      </c>
      <c r="B2065" s="119" t="s">
        <v>3605</v>
      </c>
      <c r="C2065" s="120" t="s">
        <v>331</v>
      </c>
      <c r="D2065" s="442">
        <v>1046.6400000000001</v>
      </c>
    </row>
    <row r="2066" spans="1:4" ht="47.25" customHeight="1">
      <c r="A2066" s="120">
        <v>102189</v>
      </c>
      <c r="B2066" s="119" t="s">
        <v>3606</v>
      </c>
      <c r="C2066" s="120" t="s">
        <v>331</v>
      </c>
      <c r="D2066" s="441">
        <v>290.31</v>
      </c>
    </row>
    <row r="2067" spans="1:4" ht="15.75" customHeight="1">
      <c r="A2067" s="120">
        <v>100703</v>
      </c>
      <c r="B2067" s="119" t="s">
        <v>3607</v>
      </c>
      <c r="C2067" s="120" t="s">
        <v>331</v>
      </c>
      <c r="D2067" s="441">
        <v>34.65</v>
      </c>
    </row>
    <row r="2068" spans="1:4" ht="15.75" customHeight="1">
      <c r="A2068" s="120">
        <v>100704</v>
      </c>
      <c r="B2068" s="119" t="s">
        <v>3608</v>
      </c>
      <c r="C2068" s="120" t="s">
        <v>331</v>
      </c>
      <c r="D2068" s="441">
        <v>72.22</v>
      </c>
    </row>
    <row r="2069" spans="1:4" ht="15.75" customHeight="1">
      <c r="A2069" s="120">
        <v>100705</v>
      </c>
      <c r="B2069" s="119" t="s">
        <v>3609</v>
      </c>
      <c r="C2069" s="120" t="s">
        <v>331</v>
      </c>
      <c r="D2069" s="441">
        <v>85.39</v>
      </c>
    </row>
    <row r="2070" spans="1:4" ht="15.75" customHeight="1">
      <c r="A2070" s="120">
        <v>100706</v>
      </c>
      <c r="B2070" s="119" t="s">
        <v>3610</v>
      </c>
      <c r="C2070" s="120" t="s">
        <v>331</v>
      </c>
      <c r="D2070" s="441">
        <v>78.88</v>
      </c>
    </row>
    <row r="2071" spans="1:4" ht="15.75" customHeight="1">
      <c r="A2071" s="120">
        <v>100707</v>
      </c>
      <c r="B2071" s="119" t="s">
        <v>3611</v>
      </c>
      <c r="C2071" s="120" t="s">
        <v>331</v>
      </c>
      <c r="D2071" s="441">
        <v>152.80000000000001</v>
      </c>
    </row>
    <row r="2072" spans="1:4" ht="15.75" customHeight="1">
      <c r="A2072" s="120">
        <v>100708</v>
      </c>
      <c r="B2072" s="119" t="s">
        <v>3612</v>
      </c>
      <c r="C2072" s="120" t="s">
        <v>331</v>
      </c>
      <c r="D2072" s="441">
        <v>190.15</v>
      </c>
    </row>
    <row r="2073" spans="1:4" ht="31.5" customHeight="1">
      <c r="A2073" s="120">
        <v>100709</v>
      </c>
      <c r="B2073" s="119" t="s">
        <v>3613</v>
      </c>
      <c r="C2073" s="120" t="s">
        <v>331</v>
      </c>
      <c r="D2073" s="441">
        <v>53.89</v>
      </c>
    </row>
    <row r="2074" spans="1:4" ht="15.75" customHeight="1">
      <c r="A2074" s="120">
        <v>100710</v>
      </c>
      <c r="B2074" s="119" t="s">
        <v>3614</v>
      </c>
      <c r="C2074" s="120" t="s">
        <v>331</v>
      </c>
      <c r="D2074" s="441">
        <v>128.16999999999999</v>
      </c>
    </row>
    <row r="2075" spans="1:4" ht="15.75" customHeight="1">
      <c r="A2075" s="120">
        <v>102151</v>
      </c>
      <c r="B2075" s="119" t="s">
        <v>3615</v>
      </c>
      <c r="C2075" s="120" t="s">
        <v>951</v>
      </c>
      <c r="D2075" s="441">
        <v>172.67</v>
      </c>
    </row>
    <row r="2076" spans="1:4" ht="15.75" customHeight="1">
      <c r="A2076" s="120">
        <v>102152</v>
      </c>
      <c r="B2076" s="119" t="s">
        <v>3616</v>
      </c>
      <c r="C2076" s="120" t="s">
        <v>951</v>
      </c>
      <c r="D2076" s="441">
        <v>190.17</v>
      </c>
    </row>
    <row r="2077" spans="1:4" ht="15.75" customHeight="1">
      <c r="A2077" s="120">
        <v>102153</v>
      </c>
      <c r="B2077" s="119" t="s">
        <v>3617</v>
      </c>
      <c r="C2077" s="120" t="s">
        <v>951</v>
      </c>
      <c r="D2077" s="441">
        <v>236.83</v>
      </c>
    </row>
    <row r="2078" spans="1:4" ht="15.75" customHeight="1">
      <c r="A2078" s="120">
        <v>102154</v>
      </c>
      <c r="B2078" s="119" t="s">
        <v>3618</v>
      </c>
      <c r="C2078" s="120" t="s">
        <v>951</v>
      </c>
      <c r="D2078" s="441">
        <v>203.64</v>
      </c>
    </row>
    <row r="2079" spans="1:4" ht="15.75" customHeight="1">
      <c r="A2079" s="120">
        <v>102155</v>
      </c>
      <c r="B2079" s="119" t="s">
        <v>3619</v>
      </c>
      <c r="C2079" s="120" t="s">
        <v>951</v>
      </c>
      <c r="D2079" s="441">
        <v>241.81</v>
      </c>
    </row>
    <row r="2080" spans="1:4" ht="15.75" customHeight="1">
      <c r="A2080" s="120">
        <v>102156</v>
      </c>
      <c r="B2080" s="119" t="s">
        <v>3620</v>
      </c>
      <c r="C2080" s="120" t="s">
        <v>951</v>
      </c>
      <c r="D2080" s="441">
        <v>229.22</v>
      </c>
    </row>
    <row r="2081" spans="1:4" ht="15.75" customHeight="1">
      <c r="A2081" s="120">
        <v>102157</v>
      </c>
      <c r="B2081" s="119" t="s">
        <v>3621</v>
      </c>
      <c r="C2081" s="120" t="s">
        <v>951</v>
      </c>
      <c r="D2081" s="441">
        <v>310.89</v>
      </c>
    </row>
    <row r="2082" spans="1:4" ht="15.75" customHeight="1">
      <c r="A2082" s="120">
        <v>102158</v>
      </c>
      <c r="B2082" s="119" t="s">
        <v>3622</v>
      </c>
      <c r="C2082" s="120" t="s">
        <v>951</v>
      </c>
      <c r="D2082" s="441">
        <v>312.26</v>
      </c>
    </row>
    <row r="2083" spans="1:4" ht="31.5" customHeight="1">
      <c r="A2083" s="120">
        <v>102159</v>
      </c>
      <c r="B2083" s="119" t="s">
        <v>3623</v>
      </c>
      <c r="C2083" s="120" t="s">
        <v>951</v>
      </c>
      <c r="D2083" s="441">
        <v>370.09</v>
      </c>
    </row>
    <row r="2084" spans="1:4" ht="15.75" customHeight="1">
      <c r="A2084" s="120">
        <v>102160</v>
      </c>
      <c r="B2084" s="119" t="s">
        <v>3624</v>
      </c>
      <c r="C2084" s="120" t="s">
        <v>951</v>
      </c>
      <c r="D2084" s="441">
        <v>166.83</v>
      </c>
    </row>
    <row r="2085" spans="1:4" ht="31.5" customHeight="1">
      <c r="A2085" s="120">
        <v>102161</v>
      </c>
      <c r="B2085" s="119" t="s">
        <v>3625</v>
      </c>
      <c r="C2085" s="120" t="s">
        <v>951</v>
      </c>
      <c r="D2085" s="441">
        <v>364.63</v>
      </c>
    </row>
    <row r="2086" spans="1:4" ht="31.5" customHeight="1">
      <c r="A2086" s="120">
        <v>102162</v>
      </c>
      <c r="B2086" s="119" t="s">
        <v>3626</v>
      </c>
      <c r="C2086" s="120" t="s">
        <v>951</v>
      </c>
      <c r="D2086" s="441">
        <v>382.13</v>
      </c>
    </row>
    <row r="2087" spans="1:4" ht="31.5" customHeight="1">
      <c r="A2087" s="120">
        <v>102163</v>
      </c>
      <c r="B2087" s="119" t="s">
        <v>3627</v>
      </c>
      <c r="C2087" s="120" t="s">
        <v>951</v>
      </c>
      <c r="D2087" s="441">
        <v>428.79</v>
      </c>
    </row>
    <row r="2088" spans="1:4" ht="31.5" customHeight="1">
      <c r="A2088" s="120">
        <v>102164</v>
      </c>
      <c r="B2088" s="119" t="s">
        <v>3628</v>
      </c>
      <c r="C2088" s="120" t="s">
        <v>951</v>
      </c>
      <c r="D2088" s="441">
        <v>360.32</v>
      </c>
    </row>
    <row r="2089" spans="1:4" ht="31.5" customHeight="1">
      <c r="A2089" s="120">
        <v>102165</v>
      </c>
      <c r="B2089" s="119" t="s">
        <v>3629</v>
      </c>
      <c r="C2089" s="120" t="s">
        <v>951</v>
      </c>
      <c r="D2089" s="441">
        <v>398.49</v>
      </c>
    </row>
    <row r="2090" spans="1:4" ht="31.5" customHeight="1">
      <c r="A2090" s="120">
        <v>102166</v>
      </c>
      <c r="B2090" s="119" t="s">
        <v>3630</v>
      </c>
      <c r="C2090" s="120" t="s">
        <v>951</v>
      </c>
      <c r="D2090" s="441">
        <v>350.55</v>
      </c>
    </row>
    <row r="2091" spans="1:4" ht="31.5" customHeight="1">
      <c r="A2091" s="120">
        <v>102167</v>
      </c>
      <c r="B2091" s="119" t="s">
        <v>3631</v>
      </c>
      <c r="C2091" s="120" t="s">
        <v>951</v>
      </c>
      <c r="D2091" s="441">
        <v>432.22</v>
      </c>
    </row>
    <row r="2092" spans="1:4" ht="31.5" customHeight="1">
      <c r="A2092" s="120">
        <v>102168</v>
      </c>
      <c r="B2092" s="119" t="s">
        <v>3632</v>
      </c>
      <c r="C2092" s="120" t="s">
        <v>951</v>
      </c>
      <c r="D2092" s="441">
        <v>402.2</v>
      </c>
    </row>
    <row r="2093" spans="1:4" ht="31.5" customHeight="1">
      <c r="A2093" s="120">
        <v>102169</v>
      </c>
      <c r="B2093" s="119" t="s">
        <v>3633</v>
      </c>
      <c r="C2093" s="120" t="s">
        <v>951</v>
      </c>
      <c r="D2093" s="441">
        <v>448.41</v>
      </c>
    </row>
    <row r="2094" spans="1:4" ht="31.5" customHeight="1">
      <c r="A2094" s="120">
        <v>102170</v>
      </c>
      <c r="B2094" s="119" t="s">
        <v>3634</v>
      </c>
      <c r="C2094" s="120" t="s">
        <v>951</v>
      </c>
      <c r="D2094" s="441">
        <v>358.79</v>
      </c>
    </row>
    <row r="2095" spans="1:4" ht="31.5" customHeight="1">
      <c r="A2095" s="120">
        <v>102171</v>
      </c>
      <c r="B2095" s="119" t="s">
        <v>3635</v>
      </c>
      <c r="C2095" s="120" t="s">
        <v>951</v>
      </c>
      <c r="D2095" s="441">
        <v>546.99</v>
      </c>
    </row>
    <row r="2096" spans="1:4" ht="31.5" customHeight="1">
      <c r="A2096" s="120">
        <v>102172</v>
      </c>
      <c r="B2096" s="119" t="s">
        <v>3636</v>
      </c>
      <c r="C2096" s="120" t="s">
        <v>951</v>
      </c>
      <c r="D2096" s="441">
        <v>513.88</v>
      </c>
    </row>
    <row r="2097" spans="1:4" ht="15.75" customHeight="1">
      <c r="A2097" s="120">
        <v>102176</v>
      </c>
      <c r="B2097" s="119" t="s">
        <v>3637</v>
      </c>
      <c r="C2097" s="120" t="s">
        <v>951</v>
      </c>
      <c r="D2097" s="441">
        <v>902.52</v>
      </c>
    </row>
    <row r="2098" spans="1:4" ht="15.75" customHeight="1">
      <c r="A2098" s="120">
        <v>102177</v>
      </c>
      <c r="B2098" s="119" t="s">
        <v>3638</v>
      </c>
      <c r="C2098" s="120" t="s">
        <v>951</v>
      </c>
      <c r="D2098" s="442">
        <v>1722.61</v>
      </c>
    </row>
    <row r="2099" spans="1:4" ht="15.75" customHeight="1">
      <c r="A2099" s="120">
        <v>102178</v>
      </c>
      <c r="B2099" s="119" t="s">
        <v>3639</v>
      </c>
      <c r="C2099" s="120" t="s">
        <v>951</v>
      </c>
      <c r="D2099" s="442">
        <v>1959.03</v>
      </c>
    </row>
    <row r="2100" spans="1:4" ht="15.75" customHeight="1">
      <c r="A2100" s="120">
        <v>102179</v>
      </c>
      <c r="B2100" s="119" t="s">
        <v>3640</v>
      </c>
      <c r="C2100" s="120" t="s">
        <v>951</v>
      </c>
      <c r="D2100" s="441">
        <v>408.55</v>
      </c>
    </row>
    <row r="2101" spans="1:4" ht="15.75" customHeight="1">
      <c r="A2101" s="120">
        <v>102180</v>
      </c>
      <c r="B2101" s="119" t="s">
        <v>3641</v>
      </c>
      <c r="C2101" s="120" t="s">
        <v>951</v>
      </c>
      <c r="D2101" s="441">
        <v>474.62</v>
      </c>
    </row>
    <row r="2102" spans="1:4" ht="15.75" customHeight="1">
      <c r="A2102" s="120">
        <v>102181</v>
      </c>
      <c r="B2102" s="119" t="s">
        <v>3642</v>
      </c>
      <c r="C2102" s="120" t="s">
        <v>951</v>
      </c>
      <c r="D2102" s="441">
        <v>563.29999999999995</v>
      </c>
    </row>
    <row r="2103" spans="1:4" ht="15.75" customHeight="1">
      <c r="A2103" s="120">
        <v>102182</v>
      </c>
      <c r="B2103" s="119" t="s">
        <v>3643</v>
      </c>
      <c r="C2103" s="120" t="s">
        <v>331</v>
      </c>
      <c r="D2103" s="442">
        <v>1172.97</v>
      </c>
    </row>
    <row r="2104" spans="1:4" ht="31.5" customHeight="1">
      <c r="A2104" s="120">
        <v>102183</v>
      </c>
      <c r="B2104" s="119" t="s">
        <v>3644</v>
      </c>
      <c r="C2104" s="120" t="s">
        <v>331</v>
      </c>
      <c r="D2104" s="442">
        <v>2360.84</v>
      </c>
    </row>
    <row r="2105" spans="1:4" ht="31.5" customHeight="1">
      <c r="A2105" s="120">
        <v>102184</v>
      </c>
      <c r="B2105" s="119" t="s">
        <v>3645</v>
      </c>
      <c r="C2105" s="120" t="s">
        <v>331</v>
      </c>
      <c r="D2105" s="442">
        <v>2191.89</v>
      </c>
    </row>
    <row r="2106" spans="1:4" ht="31.5" customHeight="1">
      <c r="A2106" s="120">
        <v>102185</v>
      </c>
      <c r="B2106" s="119" t="s">
        <v>3646</v>
      </c>
      <c r="C2106" s="120" t="s">
        <v>331</v>
      </c>
      <c r="D2106" s="442">
        <v>4398.28</v>
      </c>
    </row>
    <row r="2107" spans="1:4" ht="15.75" customHeight="1">
      <c r="A2107" s="120">
        <v>102190</v>
      </c>
      <c r="B2107" s="119" t="s">
        <v>3647</v>
      </c>
      <c r="C2107" s="120" t="s">
        <v>951</v>
      </c>
      <c r="D2107" s="441">
        <v>22.91</v>
      </c>
    </row>
    <row r="2108" spans="1:4" ht="15.75" customHeight="1">
      <c r="A2108" s="120">
        <v>102191</v>
      </c>
      <c r="B2108" s="119" t="s">
        <v>3648</v>
      </c>
      <c r="C2108" s="120" t="s">
        <v>951</v>
      </c>
      <c r="D2108" s="441">
        <v>27.83</v>
      </c>
    </row>
    <row r="2109" spans="1:4" ht="15.75" customHeight="1">
      <c r="A2109" s="120">
        <v>102192</v>
      </c>
      <c r="B2109" s="119" t="s">
        <v>3649</v>
      </c>
      <c r="C2109" s="120" t="s">
        <v>951</v>
      </c>
      <c r="D2109" s="441">
        <v>19.88</v>
      </c>
    </row>
    <row r="2110" spans="1:4" ht="31.5" customHeight="1">
      <c r="A2110" s="120">
        <v>94569</v>
      </c>
      <c r="B2110" s="119" t="s">
        <v>3650</v>
      </c>
      <c r="C2110" s="120" t="s">
        <v>951</v>
      </c>
      <c r="D2110" s="442">
        <v>1206.69</v>
      </c>
    </row>
    <row r="2111" spans="1:4" ht="47.25" customHeight="1">
      <c r="A2111" s="120">
        <v>94570</v>
      </c>
      <c r="B2111" s="119" t="s">
        <v>3651</v>
      </c>
      <c r="C2111" s="120" t="s">
        <v>951</v>
      </c>
      <c r="D2111" s="441">
        <v>635.12</v>
      </c>
    </row>
    <row r="2112" spans="1:4" ht="31.5" customHeight="1">
      <c r="A2112" s="120">
        <v>94572</v>
      </c>
      <c r="B2112" s="119" t="s">
        <v>3652</v>
      </c>
      <c r="C2112" s="120" t="s">
        <v>951</v>
      </c>
      <c r="D2112" s="441">
        <v>912.29</v>
      </c>
    </row>
    <row r="2113" spans="1:4" ht="47.25" customHeight="1">
      <c r="A2113" s="120">
        <v>94573</v>
      </c>
      <c r="B2113" s="119" t="s">
        <v>3653</v>
      </c>
      <c r="C2113" s="120" t="s">
        <v>951</v>
      </c>
      <c r="D2113" s="441">
        <v>731.06</v>
      </c>
    </row>
    <row r="2114" spans="1:4" ht="47.25" customHeight="1">
      <c r="A2114" s="120">
        <v>94580</v>
      </c>
      <c r="B2114" s="119" t="s">
        <v>3654</v>
      </c>
      <c r="C2114" s="120" t="s">
        <v>951</v>
      </c>
      <c r="D2114" s="442">
        <v>1012.87</v>
      </c>
    </row>
    <row r="2115" spans="1:4" ht="15.75" customHeight="1">
      <c r="A2115" s="120">
        <v>94589</v>
      </c>
      <c r="B2115" s="119" t="s">
        <v>3655</v>
      </c>
      <c r="C2115" s="120" t="s">
        <v>328</v>
      </c>
      <c r="D2115" s="441">
        <v>30.67</v>
      </c>
    </row>
    <row r="2116" spans="1:4" ht="15.75" customHeight="1">
      <c r="A2116" s="120">
        <v>94590</v>
      </c>
      <c r="B2116" s="119" t="s">
        <v>3656</v>
      </c>
      <c r="C2116" s="120" t="s">
        <v>328</v>
      </c>
      <c r="D2116" s="441">
        <v>25.97</v>
      </c>
    </row>
    <row r="2117" spans="1:4" ht="31.5" customHeight="1">
      <c r="A2117" s="120">
        <v>100674</v>
      </c>
      <c r="B2117" s="119" t="s">
        <v>3657</v>
      </c>
      <c r="C2117" s="120" t="s">
        <v>951</v>
      </c>
      <c r="D2117" s="442">
        <v>1350.07</v>
      </c>
    </row>
    <row r="2118" spans="1:4" ht="31.5" customHeight="1">
      <c r="A2118" s="120">
        <v>101096</v>
      </c>
      <c r="B2118" s="119" t="s">
        <v>3658</v>
      </c>
      <c r="C2118" s="120" t="s">
        <v>950</v>
      </c>
      <c r="D2118" s="442">
        <v>1242.3599999999999</v>
      </c>
    </row>
    <row r="2119" spans="1:4" ht="31.5" customHeight="1">
      <c r="A2119" s="120">
        <v>101097</v>
      </c>
      <c r="B2119" s="119" t="s">
        <v>3659</v>
      </c>
      <c r="C2119" s="120" t="s">
        <v>950</v>
      </c>
      <c r="D2119" s="442">
        <v>1171.03</v>
      </c>
    </row>
    <row r="2120" spans="1:4" ht="31.5" customHeight="1">
      <c r="A2120" s="120">
        <v>101098</v>
      </c>
      <c r="B2120" s="119" t="s">
        <v>3660</v>
      </c>
      <c r="C2120" s="120" t="s">
        <v>950</v>
      </c>
      <c r="D2120" s="442">
        <v>1079.5999999999999</v>
      </c>
    </row>
    <row r="2121" spans="1:4" ht="31.5" customHeight="1">
      <c r="A2121" s="120">
        <v>101099</v>
      </c>
      <c r="B2121" s="119" t="s">
        <v>3661</v>
      </c>
      <c r="C2121" s="120" t="s">
        <v>950</v>
      </c>
      <c r="D2121" s="441">
        <v>984.58</v>
      </c>
    </row>
    <row r="2122" spans="1:4" ht="31.5" customHeight="1">
      <c r="A2122" s="120">
        <v>101100</v>
      </c>
      <c r="B2122" s="119" t="s">
        <v>3662</v>
      </c>
      <c r="C2122" s="120" t="s">
        <v>950</v>
      </c>
      <c r="D2122" s="441">
        <v>883.92</v>
      </c>
    </row>
    <row r="2123" spans="1:4" ht="31.5" customHeight="1">
      <c r="A2123" s="120">
        <v>101101</v>
      </c>
      <c r="B2123" s="119" t="s">
        <v>3663</v>
      </c>
      <c r="C2123" s="120" t="s">
        <v>950</v>
      </c>
      <c r="D2123" s="441">
        <v>861.45</v>
      </c>
    </row>
    <row r="2124" spans="1:4" ht="31.5" customHeight="1">
      <c r="A2124" s="120">
        <v>101102</v>
      </c>
      <c r="B2124" s="119" t="s">
        <v>3664</v>
      </c>
      <c r="C2124" s="120" t="s">
        <v>950</v>
      </c>
      <c r="D2124" s="441">
        <v>837.45</v>
      </c>
    </row>
    <row r="2125" spans="1:4" ht="31.5" customHeight="1">
      <c r="A2125" s="120">
        <v>101103</v>
      </c>
      <c r="B2125" s="119" t="s">
        <v>3665</v>
      </c>
      <c r="C2125" s="120" t="s">
        <v>950</v>
      </c>
      <c r="D2125" s="441">
        <v>786.23</v>
      </c>
    </row>
    <row r="2126" spans="1:4" ht="31.5" customHeight="1">
      <c r="A2126" s="120">
        <v>101104</v>
      </c>
      <c r="B2126" s="119" t="s">
        <v>3666</v>
      </c>
      <c r="C2126" s="120" t="s">
        <v>950</v>
      </c>
      <c r="D2126" s="442">
        <v>1221.47</v>
      </c>
    </row>
    <row r="2127" spans="1:4" ht="31.5" customHeight="1">
      <c r="A2127" s="120">
        <v>101105</v>
      </c>
      <c r="B2127" s="119" t="s">
        <v>3667</v>
      </c>
      <c r="C2127" s="120" t="s">
        <v>950</v>
      </c>
      <c r="D2127" s="442">
        <v>1150.73</v>
      </c>
    </row>
    <row r="2128" spans="1:4" ht="31.5" customHeight="1">
      <c r="A2128" s="120">
        <v>101106</v>
      </c>
      <c r="B2128" s="119" t="s">
        <v>3668</v>
      </c>
      <c r="C2128" s="120" t="s">
        <v>950</v>
      </c>
      <c r="D2128" s="442">
        <v>1060.7</v>
      </c>
    </row>
    <row r="2129" spans="1:4" ht="31.5" customHeight="1">
      <c r="A2129" s="120">
        <v>101107</v>
      </c>
      <c r="B2129" s="119" t="s">
        <v>3669</v>
      </c>
      <c r="C2129" s="120" t="s">
        <v>950</v>
      </c>
      <c r="D2129" s="441">
        <v>966.83</v>
      </c>
    </row>
    <row r="2130" spans="1:4" ht="31.5" customHeight="1">
      <c r="A2130" s="120">
        <v>101108</v>
      </c>
      <c r="B2130" s="119" t="s">
        <v>3670</v>
      </c>
      <c r="C2130" s="120" t="s">
        <v>950</v>
      </c>
      <c r="D2130" s="441">
        <v>856.84</v>
      </c>
    </row>
    <row r="2131" spans="1:4" ht="31.5" customHeight="1">
      <c r="A2131" s="120">
        <v>101109</v>
      </c>
      <c r="B2131" s="119" t="s">
        <v>3671</v>
      </c>
      <c r="C2131" s="120" t="s">
        <v>950</v>
      </c>
      <c r="D2131" s="441">
        <v>835.29</v>
      </c>
    </row>
    <row r="2132" spans="1:4" ht="31.5" customHeight="1">
      <c r="A2132" s="120">
        <v>101110</v>
      </c>
      <c r="B2132" s="119" t="s">
        <v>3672</v>
      </c>
      <c r="C2132" s="120" t="s">
        <v>950</v>
      </c>
      <c r="D2132" s="441">
        <v>813.38</v>
      </c>
    </row>
    <row r="2133" spans="1:4" ht="31.5" customHeight="1">
      <c r="A2133" s="120">
        <v>101111</v>
      </c>
      <c r="B2133" s="119" t="s">
        <v>3673</v>
      </c>
      <c r="C2133" s="120" t="s">
        <v>950</v>
      </c>
      <c r="D2133" s="441">
        <v>764.02</v>
      </c>
    </row>
    <row r="2134" spans="1:4" ht="31.5" customHeight="1">
      <c r="A2134" s="120">
        <v>101112</v>
      </c>
      <c r="B2134" s="119" t="s">
        <v>3674</v>
      </c>
      <c r="C2134" s="120" t="s">
        <v>950</v>
      </c>
      <c r="D2134" s="441">
        <v>860.53</v>
      </c>
    </row>
    <row r="2135" spans="1:4" ht="31.5" customHeight="1">
      <c r="A2135" s="120">
        <v>101113</v>
      </c>
      <c r="B2135" s="119" t="s">
        <v>3675</v>
      </c>
      <c r="C2135" s="120" t="s">
        <v>950</v>
      </c>
      <c r="D2135" s="441">
        <v>844.68</v>
      </c>
    </row>
    <row r="2136" spans="1:4" ht="15.75" customHeight="1">
      <c r="A2136" s="120">
        <v>95601</v>
      </c>
      <c r="B2136" s="119" t="s">
        <v>3676</v>
      </c>
      <c r="C2136" s="120" t="s">
        <v>331</v>
      </c>
      <c r="D2136" s="441">
        <v>19.239999999999998</v>
      </c>
    </row>
    <row r="2137" spans="1:4" ht="15.75" customHeight="1">
      <c r="A2137" s="120">
        <v>95602</v>
      </c>
      <c r="B2137" s="119" t="s">
        <v>3677</v>
      </c>
      <c r="C2137" s="120" t="s">
        <v>331</v>
      </c>
      <c r="D2137" s="441">
        <v>30.8</v>
      </c>
    </row>
    <row r="2138" spans="1:4" ht="15.75" customHeight="1">
      <c r="A2138" s="120">
        <v>95603</v>
      </c>
      <c r="B2138" s="119" t="s">
        <v>3678</v>
      </c>
      <c r="C2138" s="120" t="s">
        <v>331</v>
      </c>
      <c r="D2138" s="441">
        <v>52.55</v>
      </c>
    </row>
    <row r="2139" spans="1:4" ht="15.75" customHeight="1">
      <c r="A2139" s="120">
        <v>95604</v>
      </c>
      <c r="B2139" s="119" t="s">
        <v>3679</v>
      </c>
      <c r="C2139" s="120" t="s">
        <v>331</v>
      </c>
      <c r="D2139" s="441">
        <v>81.55</v>
      </c>
    </row>
    <row r="2140" spans="1:4" ht="15.75" customHeight="1">
      <c r="A2140" s="120">
        <v>95605</v>
      </c>
      <c r="B2140" s="119" t="s">
        <v>3680</v>
      </c>
      <c r="C2140" s="120" t="s">
        <v>331</v>
      </c>
      <c r="D2140" s="441">
        <v>149.77000000000001</v>
      </c>
    </row>
    <row r="2141" spans="1:4" ht="15.75" customHeight="1">
      <c r="A2141" s="120">
        <v>95607</v>
      </c>
      <c r="B2141" s="119" t="s">
        <v>3681</v>
      </c>
      <c r="C2141" s="120" t="s">
        <v>331</v>
      </c>
      <c r="D2141" s="441">
        <v>22.76</v>
      </c>
    </row>
    <row r="2142" spans="1:4" ht="15.75" customHeight="1">
      <c r="A2142" s="120">
        <v>95608</v>
      </c>
      <c r="B2142" s="119" t="s">
        <v>3682</v>
      </c>
      <c r="C2142" s="120" t="s">
        <v>331</v>
      </c>
      <c r="D2142" s="441">
        <v>33.03</v>
      </c>
    </row>
    <row r="2143" spans="1:4" ht="15.75" customHeight="1">
      <c r="A2143" s="120">
        <v>95609</v>
      </c>
      <c r="B2143" s="119" t="s">
        <v>3683</v>
      </c>
      <c r="C2143" s="120" t="s">
        <v>331</v>
      </c>
      <c r="D2143" s="441">
        <v>41.88</v>
      </c>
    </row>
    <row r="2144" spans="1:4" ht="31.5" customHeight="1">
      <c r="A2144" s="120">
        <v>100651</v>
      </c>
      <c r="B2144" s="119" t="s">
        <v>3684</v>
      </c>
      <c r="C2144" s="120" t="s">
        <v>328</v>
      </c>
      <c r="D2144" s="441">
        <v>130.96</v>
      </c>
    </row>
    <row r="2145" spans="1:4" ht="31.5" customHeight="1">
      <c r="A2145" s="120">
        <v>100652</v>
      </c>
      <c r="B2145" s="119" t="s">
        <v>3685</v>
      </c>
      <c r="C2145" s="120" t="s">
        <v>328</v>
      </c>
      <c r="D2145" s="441">
        <v>241.38</v>
      </c>
    </row>
    <row r="2146" spans="1:4" ht="31.5" customHeight="1">
      <c r="A2146" s="120">
        <v>100653</v>
      </c>
      <c r="B2146" s="119" t="s">
        <v>3686</v>
      </c>
      <c r="C2146" s="120" t="s">
        <v>328</v>
      </c>
      <c r="D2146" s="441">
        <v>394.48</v>
      </c>
    </row>
    <row r="2147" spans="1:4" ht="31.5" customHeight="1">
      <c r="A2147" s="120">
        <v>100654</v>
      </c>
      <c r="B2147" s="119" t="s">
        <v>3687</v>
      </c>
      <c r="C2147" s="120" t="s">
        <v>328</v>
      </c>
      <c r="D2147" s="441">
        <v>531.86</v>
      </c>
    </row>
    <row r="2148" spans="1:4" ht="31.5" customHeight="1">
      <c r="A2148" s="120">
        <v>100655</v>
      </c>
      <c r="B2148" s="119" t="s">
        <v>3688</v>
      </c>
      <c r="C2148" s="120" t="s">
        <v>328</v>
      </c>
      <c r="D2148" s="441">
        <v>612.63</v>
      </c>
    </row>
    <row r="2149" spans="1:4" ht="31.5" customHeight="1">
      <c r="A2149" s="120">
        <v>100656</v>
      </c>
      <c r="B2149" s="119" t="s">
        <v>3689</v>
      </c>
      <c r="C2149" s="120" t="s">
        <v>328</v>
      </c>
      <c r="D2149" s="441">
        <v>107.38</v>
      </c>
    </row>
    <row r="2150" spans="1:4" ht="31.5" customHeight="1">
      <c r="A2150" s="120">
        <v>100657</v>
      </c>
      <c r="B2150" s="119" t="s">
        <v>3690</v>
      </c>
      <c r="C2150" s="120" t="s">
        <v>328</v>
      </c>
      <c r="D2150" s="441">
        <v>137.86000000000001</v>
      </c>
    </row>
    <row r="2151" spans="1:4" ht="31.5" customHeight="1">
      <c r="A2151" s="120">
        <v>100658</v>
      </c>
      <c r="B2151" s="119" t="s">
        <v>3691</v>
      </c>
      <c r="C2151" s="120" t="s">
        <v>328</v>
      </c>
      <c r="D2151" s="441">
        <v>315.02999999999997</v>
      </c>
    </row>
    <row r="2152" spans="1:4" ht="31.5" customHeight="1">
      <c r="A2152" s="120">
        <v>100889</v>
      </c>
      <c r="B2152" s="119" t="s">
        <v>3692</v>
      </c>
      <c r="C2152" s="120" t="s">
        <v>327</v>
      </c>
      <c r="D2152" s="441">
        <v>15.45</v>
      </c>
    </row>
    <row r="2153" spans="1:4" ht="31.5" customHeight="1">
      <c r="A2153" s="120">
        <v>100890</v>
      </c>
      <c r="B2153" s="119" t="s">
        <v>3693</v>
      </c>
      <c r="C2153" s="120" t="s">
        <v>327</v>
      </c>
      <c r="D2153" s="441">
        <v>15.27</v>
      </c>
    </row>
    <row r="2154" spans="1:4" ht="31.5" customHeight="1">
      <c r="A2154" s="120">
        <v>100892</v>
      </c>
      <c r="B2154" s="119" t="s">
        <v>3694</v>
      </c>
      <c r="C2154" s="120" t="s">
        <v>327</v>
      </c>
      <c r="D2154" s="441">
        <v>14.71</v>
      </c>
    </row>
    <row r="2155" spans="1:4" ht="31.5" customHeight="1">
      <c r="A2155" s="120">
        <v>100893</v>
      </c>
      <c r="B2155" s="119" t="s">
        <v>3695</v>
      </c>
      <c r="C2155" s="120" t="s">
        <v>327</v>
      </c>
      <c r="D2155" s="441">
        <v>14.52</v>
      </c>
    </row>
    <row r="2156" spans="1:4" ht="31.5" customHeight="1">
      <c r="A2156" s="120">
        <v>100894</v>
      </c>
      <c r="B2156" s="119" t="s">
        <v>3696</v>
      </c>
      <c r="C2156" s="120" t="s">
        <v>327</v>
      </c>
      <c r="D2156" s="441">
        <v>14.39</v>
      </c>
    </row>
    <row r="2157" spans="1:4" ht="31.5" customHeight="1">
      <c r="A2157" s="120">
        <v>100896</v>
      </c>
      <c r="B2157" s="119" t="s">
        <v>3697</v>
      </c>
      <c r="C2157" s="120" t="s">
        <v>328</v>
      </c>
      <c r="D2157" s="441">
        <v>59.1</v>
      </c>
    </row>
    <row r="2158" spans="1:4" ht="31.5" customHeight="1">
      <c r="A2158" s="120">
        <v>100897</v>
      </c>
      <c r="B2158" s="119" t="s">
        <v>3698</v>
      </c>
      <c r="C2158" s="120" t="s">
        <v>328</v>
      </c>
      <c r="D2158" s="441">
        <v>110.62</v>
      </c>
    </row>
    <row r="2159" spans="1:4" ht="31.5" customHeight="1">
      <c r="A2159" s="120">
        <v>100898</v>
      </c>
      <c r="B2159" s="119" t="s">
        <v>3699</v>
      </c>
      <c r="C2159" s="120" t="s">
        <v>328</v>
      </c>
      <c r="D2159" s="441">
        <v>207.08</v>
      </c>
    </row>
    <row r="2160" spans="1:4" ht="31.5" customHeight="1">
      <c r="A2160" s="120">
        <v>100899</v>
      </c>
      <c r="B2160" s="119" t="s">
        <v>3700</v>
      </c>
      <c r="C2160" s="120" t="s">
        <v>328</v>
      </c>
      <c r="D2160" s="441">
        <v>88.03</v>
      </c>
    </row>
    <row r="2161" spans="1:4" ht="31.5" customHeight="1">
      <c r="A2161" s="120">
        <v>100900</v>
      </c>
      <c r="B2161" s="119" t="s">
        <v>3701</v>
      </c>
      <c r="C2161" s="120" t="s">
        <v>328</v>
      </c>
      <c r="D2161" s="441">
        <v>237.36</v>
      </c>
    </row>
    <row r="2162" spans="1:4" ht="31.5" customHeight="1">
      <c r="A2162" s="120">
        <v>101173</v>
      </c>
      <c r="B2162" s="119" t="s">
        <v>3702</v>
      </c>
      <c r="C2162" s="120" t="s">
        <v>328</v>
      </c>
      <c r="D2162" s="441">
        <v>62.98</v>
      </c>
    </row>
    <row r="2163" spans="1:4" ht="31.5" customHeight="1">
      <c r="A2163" s="120">
        <v>101174</v>
      </c>
      <c r="B2163" s="119" t="s">
        <v>3703</v>
      </c>
      <c r="C2163" s="120" t="s">
        <v>328</v>
      </c>
      <c r="D2163" s="441">
        <v>89.05</v>
      </c>
    </row>
    <row r="2164" spans="1:4" ht="31.5" customHeight="1">
      <c r="A2164" s="120">
        <v>101175</v>
      </c>
      <c r="B2164" s="119" t="s">
        <v>3704</v>
      </c>
      <c r="C2164" s="120" t="s">
        <v>328</v>
      </c>
      <c r="D2164" s="441">
        <v>121.51</v>
      </c>
    </row>
    <row r="2165" spans="1:4" ht="31.5" customHeight="1">
      <c r="A2165" s="120">
        <v>101176</v>
      </c>
      <c r="B2165" s="119" t="s">
        <v>3705</v>
      </c>
      <c r="C2165" s="120" t="s">
        <v>328</v>
      </c>
      <c r="D2165" s="441">
        <v>151.63999999999999</v>
      </c>
    </row>
    <row r="2166" spans="1:4" ht="15.75" customHeight="1">
      <c r="A2166" s="120">
        <v>102521</v>
      </c>
      <c r="B2166" s="119" t="s">
        <v>3706</v>
      </c>
      <c r="C2166" s="120" t="s">
        <v>331</v>
      </c>
      <c r="D2166" s="441">
        <v>123.55</v>
      </c>
    </row>
    <row r="2167" spans="1:4" ht="15.75" customHeight="1">
      <c r="A2167" s="120">
        <v>102522</v>
      </c>
      <c r="B2167" s="119" t="s">
        <v>3707</v>
      </c>
      <c r="C2167" s="120" t="s">
        <v>331</v>
      </c>
      <c r="D2167" s="441">
        <v>181.25</v>
      </c>
    </row>
    <row r="2168" spans="1:4" ht="15.75" customHeight="1">
      <c r="A2168" s="120">
        <v>102523</v>
      </c>
      <c r="B2168" s="119" t="s">
        <v>3708</v>
      </c>
      <c r="C2168" s="120" t="s">
        <v>331</v>
      </c>
      <c r="D2168" s="441">
        <v>238.95</v>
      </c>
    </row>
    <row r="2169" spans="1:4" ht="31.5" customHeight="1">
      <c r="A2169" s="120">
        <v>95240</v>
      </c>
      <c r="B2169" s="119" t="s">
        <v>3709</v>
      </c>
      <c r="C2169" s="120" t="s">
        <v>951</v>
      </c>
      <c r="D2169" s="441">
        <v>17.87</v>
      </c>
    </row>
    <row r="2170" spans="1:4" ht="31.5" customHeight="1">
      <c r="A2170" s="120">
        <v>95241</v>
      </c>
      <c r="B2170" s="119" t="s">
        <v>3710</v>
      </c>
      <c r="C2170" s="120" t="s">
        <v>951</v>
      </c>
      <c r="D2170" s="441">
        <v>29.8</v>
      </c>
    </row>
    <row r="2171" spans="1:4" ht="15.75" customHeight="1">
      <c r="A2171" s="120">
        <v>96616</v>
      </c>
      <c r="B2171" s="119" t="s">
        <v>3711</v>
      </c>
      <c r="C2171" s="120" t="s">
        <v>950</v>
      </c>
      <c r="D2171" s="441">
        <v>626.78</v>
      </c>
    </row>
    <row r="2172" spans="1:4" ht="31.5" customHeight="1">
      <c r="A2172" s="120">
        <v>96617</v>
      </c>
      <c r="B2172" s="119" t="s">
        <v>3712</v>
      </c>
      <c r="C2172" s="120" t="s">
        <v>951</v>
      </c>
      <c r="D2172" s="441">
        <v>18.79</v>
      </c>
    </row>
    <row r="2173" spans="1:4" ht="31.5" customHeight="1">
      <c r="A2173" s="120">
        <v>96619</v>
      </c>
      <c r="B2173" s="119" t="s">
        <v>3713</v>
      </c>
      <c r="C2173" s="120" t="s">
        <v>951</v>
      </c>
      <c r="D2173" s="441">
        <v>31.33</v>
      </c>
    </row>
    <row r="2174" spans="1:4" ht="15.75" customHeight="1">
      <c r="A2174" s="120">
        <v>96620</v>
      </c>
      <c r="B2174" s="119" t="s">
        <v>3714</v>
      </c>
      <c r="C2174" s="120" t="s">
        <v>950</v>
      </c>
      <c r="D2174" s="441">
        <v>596.25</v>
      </c>
    </row>
    <row r="2175" spans="1:4" ht="15.75" customHeight="1">
      <c r="A2175" s="120">
        <v>96621</v>
      </c>
      <c r="B2175" s="119" t="s">
        <v>3715</v>
      </c>
      <c r="C2175" s="120" t="s">
        <v>950</v>
      </c>
      <c r="D2175" s="441">
        <v>208.75</v>
      </c>
    </row>
    <row r="2176" spans="1:4" ht="31.5" customHeight="1">
      <c r="A2176" s="120">
        <v>96622</v>
      </c>
      <c r="B2176" s="119" t="s">
        <v>3716</v>
      </c>
      <c r="C2176" s="120" t="s">
        <v>950</v>
      </c>
      <c r="D2176" s="441">
        <v>119.1</v>
      </c>
    </row>
    <row r="2177" spans="1:4" ht="15.75" customHeight="1">
      <c r="A2177" s="120">
        <v>96623</v>
      </c>
      <c r="B2177" s="119" t="s">
        <v>3717</v>
      </c>
      <c r="C2177" s="120" t="s">
        <v>950</v>
      </c>
      <c r="D2177" s="441">
        <v>187.86</v>
      </c>
    </row>
    <row r="2178" spans="1:4" ht="31.5" customHeight="1">
      <c r="A2178" s="120">
        <v>96624</v>
      </c>
      <c r="B2178" s="119" t="s">
        <v>3718</v>
      </c>
      <c r="C2178" s="120" t="s">
        <v>950</v>
      </c>
      <c r="D2178" s="441">
        <v>111.73</v>
      </c>
    </row>
    <row r="2179" spans="1:4" ht="15.75" customHeight="1">
      <c r="A2179" s="120">
        <v>97082</v>
      </c>
      <c r="B2179" s="119" t="s">
        <v>3719</v>
      </c>
      <c r="C2179" s="120" t="s">
        <v>950</v>
      </c>
      <c r="D2179" s="441">
        <v>72.94</v>
      </c>
    </row>
    <row r="2180" spans="1:4" ht="31.5" customHeight="1">
      <c r="A2180" s="120">
        <v>97083</v>
      </c>
      <c r="B2180" s="119" t="s">
        <v>3720</v>
      </c>
      <c r="C2180" s="120" t="s">
        <v>951</v>
      </c>
      <c r="D2180" s="441">
        <v>3.87</v>
      </c>
    </row>
    <row r="2181" spans="1:4" ht="31.5" customHeight="1">
      <c r="A2181" s="120">
        <v>97084</v>
      </c>
      <c r="B2181" s="119" t="s">
        <v>3721</v>
      </c>
      <c r="C2181" s="120" t="s">
        <v>951</v>
      </c>
      <c r="D2181" s="441">
        <v>0.8</v>
      </c>
    </row>
    <row r="2182" spans="1:4" ht="31.5" customHeight="1">
      <c r="A2182" s="120">
        <v>97086</v>
      </c>
      <c r="B2182" s="119" t="s">
        <v>3722</v>
      </c>
      <c r="C2182" s="120" t="s">
        <v>951</v>
      </c>
      <c r="D2182" s="441">
        <v>153.72</v>
      </c>
    </row>
    <row r="2183" spans="1:4" ht="31.5" customHeight="1">
      <c r="A2183" s="120">
        <v>97087</v>
      </c>
      <c r="B2183" s="119" t="s">
        <v>3723</v>
      </c>
      <c r="C2183" s="120" t="s">
        <v>951</v>
      </c>
      <c r="D2183" s="441">
        <v>3.21</v>
      </c>
    </row>
    <row r="2184" spans="1:4" ht="31.5" customHeight="1">
      <c r="A2184" s="120">
        <v>97088</v>
      </c>
      <c r="B2184" s="119" t="s">
        <v>3724</v>
      </c>
      <c r="C2184" s="120" t="s">
        <v>327</v>
      </c>
      <c r="D2184" s="441">
        <v>20.89</v>
      </c>
    </row>
    <row r="2185" spans="1:4" ht="31.5" customHeight="1">
      <c r="A2185" s="120">
        <v>97089</v>
      </c>
      <c r="B2185" s="119" t="s">
        <v>3725</v>
      </c>
      <c r="C2185" s="120" t="s">
        <v>327</v>
      </c>
      <c r="D2185" s="441">
        <v>19.09</v>
      </c>
    </row>
    <row r="2186" spans="1:4" ht="31.5" customHeight="1">
      <c r="A2186" s="120">
        <v>97090</v>
      </c>
      <c r="B2186" s="119" t="s">
        <v>3726</v>
      </c>
      <c r="C2186" s="120" t="s">
        <v>327</v>
      </c>
      <c r="D2186" s="441">
        <v>18.73</v>
      </c>
    </row>
    <row r="2187" spans="1:4" ht="31.5" customHeight="1">
      <c r="A2187" s="120">
        <v>97091</v>
      </c>
      <c r="B2187" s="119" t="s">
        <v>3727</v>
      </c>
      <c r="C2187" s="120" t="s">
        <v>327</v>
      </c>
      <c r="D2187" s="441">
        <v>18.14</v>
      </c>
    </row>
    <row r="2188" spans="1:4" ht="31.5" customHeight="1">
      <c r="A2188" s="120">
        <v>97092</v>
      </c>
      <c r="B2188" s="119" t="s">
        <v>3728</v>
      </c>
      <c r="C2188" s="120" t="s">
        <v>327</v>
      </c>
      <c r="D2188" s="441">
        <v>17.55</v>
      </c>
    </row>
    <row r="2189" spans="1:4" ht="31.5" customHeight="1">
      <c r="A2189" s="120">
        <v>97093</v>
      </c>
      <c r="B2189" s="119" t="s">
        <v>3729</v>
      </c>
      <c r="C2189" s="120" t="s">
        <v>327</v>
      </c>
      <c r="D2189" s="441">
        <v>16.440000000000001</v>
      </c>
    </row>
    <row r="2190" spans="1:4" ht="31.5" customHeight="1">
      <c r="A2190" s="120">
        <v>97096</v>
      </c>
      <c r="B2190" s="119" t="s">
        <v>3730</v>
      </c>
      <c r="C2190" s="120" t="s">
        <v>950</v>
      </c>
      <c r="D2190" s="441">
        <v>522.74</v>
      </c>
    </row>
    <row r="2191" spans="1:4" ht="15.75" customHeight="1">
      <c r="A2191" s="120">
        <v>97097</v>
      </c>
      <c r="B2191" s="119" t="s">
        <v>3731</v>
      </c>
      <c r="C2191" s="120" t="s">
        <v>951</v>
      </c>
      <c r="D2191" s="441">
        <v>37.32</v>
      </c>
    </row>
    <row r="2192" spans="1:4" ht="31.5" customHeight="1">
      <c r="A2192" s="120">
        <v>97101</v>
      </c>
      <c r="B2192" s="119" t="s">
        <v>3732</v>
      </c>
      <c r="C2192" s="120" t="s">
        <v>951</v>
      </c>
      <c r="D2192" s="441">
        <v>173.14</v>
      </c>
    </row>
    <row r="2193" spans="1:4" ht="31.5" customHeight="1">
      <c r="A2193" s="120">
        <v>97102</v>
      </c>
      <c r="B2193" s="119" t="s">
        <v>3733</v>
      </c>
      <c r="C2193" s="120" t="s">
        <v>951</v>
      </c>
      <c r="D2193" s="441">
        <v>216.05</v>
      </c>
    </row>
    <row r="2194" spans="1:4" ht="31.5" customHeight="1">
      <c r="A2194" s="120">
        <v>97103</v>
      </c>
      <c r="B2194" s="119" t="s">
        <v>3734</v>
      </c>
      <c r="C2194" s="120" t="s">
        <v>951</v>
      </c>
      <c r="D2194" s="441">
        <v>254.27</v>
      </c>
    </row>
    <row r="2195" spans="1:4" ht="31.5" customHeight="1">
      <c r="A2195" s="120">
        <v>100322</v>
      </c>
      <c r="B2195" s="119" t="s">
        <v>3735</v>
      </c>
      <c r="C2195" s="120" t="s">
        <v>950</v>
      </c>
      <c r="D2195" s="441">
        <v>107.54</v>
      </c>
    </row>
    <row r="2196" spans="1:4" ht="31.5" customHeight="1">
      <c r="A2196" s="120">
        <v>100323</v>
      </c>
      <c r="B2196" s="119" t="s">
        <v>3736</v>
      </c>
      <c r="C2196" s="120" t="s">
        <v>950</v>
      </c>
      <c r="D2196" s="441">
        <v>140.44</v>
      </c>
    </row>
    <row r="2197" spans="1:4" ht="31.5" customHeight="1">
      <c r="A2197" s="120">
        <v>100324</v>
      </c>
      <c r="B2197" s="119" t="s">
        <v>3737</v>
      </c>
      <c r="C2197" s="120" t="s">
        <v>950</v>
      </c>
      <c r="D2197" s="441">
        <v>111.54</v>
      </c>
    </row>
    <row r="2198" spans="1:4" ht="31.5" customHeight="1">
      <c r="A2198" s="120">
        <v>103072</v>
      </c>
      <c r="B2198" s="119" t="s">
        <v>3738</v>
      </c>
      <c r="C2198" s="120" t="s">
        <v>951</v>
      </c>
      <c r="D2198" s="441">
        <v>301.23</v>
      </c>
    </row>
    <row r="2199" spans="1:4" ht="31.5" customHeight="1">
      <c r="A2199" s="120">
        <v>103073</v>
      </c>
      <c r="B2199" s="119" t="s">
        <v>3739</v>
      </c>
      <c r="C2199" s="120" t="s">
        <v>951</v>
      </c>
      <c r="D2199" s="441">
        <v>368.57</v>
      </c>
    </row>
    <row r="2200" spans="1:4" ht="31.5" customHeight="1">
      <c r="A2200" s="120">
        <v>103074</v>
      </c>
      <c r="B2200" s="119" t="s">
        <v>3740</v>
      </c>
      <c r="C2200" s="120" t="s">
        <v>951</v>
      </c>
      <c r="D2200" s="441">
        <v>166.61</v>
      </c>
    </row>
    <row r="2201" spans="1:4" ht="31.5" customHeight="1">
      <c r="A2201" s="120">
        <v>103075</v>
      </c>
      <c r="B2201" s="119" t="s">
        <v>3741</v>
      </c>
      <c r="C2201" s="120" t="s">
        <v>951</v>
      </c>
      <c r="D2201" s="441">
        <v>203.93</v>
      </c>
    </row>
    <row r="2202" spans="1:4" ht="31.5" customHeight="1">
      <c r="A2202" s="120">
        <v>103076</v>
      </c>
      <c r="B2202" s="119" t="s">
        <v>3742</v>
      </c>
      <c r="C2202" s="120" t="s">
        <v>951</v>
      </c>
      <c r="D2202" s="441">
        <v>151.53</v>
      </c>
    </row>
    <row r="2203" spans="1:4" ht="31.5" customHeight="1">
      <c r="A2203" s="120">
        <v>103077</v>
      </c>
      <c r="B2203" s="119" t="s">
        <v>3743</v>
      </c>
      <c r="C2203" s="120" t="s">
        <v>951</v>
      </c>
      <c r="D2203" s="441">
        <v>194.44</v>
      </c>
    </row>
    <row r="2204" spans="1:4" ht="31.5" customHeight="1">
      <c r="A2204" s="120">
        <v>103078</v>
      </c>
      <c r="B2204" s="119" t="s">
        <v>3744</v>
      </c>
      <c r="C2204" s="120" t="s">
        <v>951</v>
      </c>
      <c r="D2204" s="441">
        <v>232.65</v>
      </c>
    </row>
    <row r="2205" spans="1:4" ht="31.5" customHeight="1">
      <c r="A2205" s="120">
        <v>103079</v>
      </c>
      <c r="B2205" s="119" t="s">
        <v>3745</v>
      </c>
      <c r="C2205" s="120" t="s">
        <v>951</v>
      </c>
      <c r="D2205" s="441">
        <v>279.61</v>
      </c>
    </row>
    <row r="2206" spans="1:4" ht="31.5" customHeight="1">
      <c r="A2206" s="120">
        <v>103080</v>
      </c>
      <c r="B2206" s="119" t="s">
        <v>3746</v>
      </c>
      <c r="C2206" s="120" t="s">
        <v>951</v>
      </c>
      <c r="D2206" s="441">
        <v>346.96</v>
      </c>
    </row>
    <row r="2207" spans="1:4" ht="31.5" customHeight="1">
      <c r="A2207" s="120">
        <v>92263</v>
      </c>
      <c r="B2207" s="119" t="s">
        <v>3747</v>
      </c>
      <c r="C2207" s="120" t="s">
        <v>951</v>
      </c>
      <c r="D2207" s="441">
        <v>159.63</v>
      </c>
    </row>
    <row r="2208" spans="1:4" ht="31.5" customHeight="1">
      <c r="A2208" s="120">
        <v>92264</v>
      </c>
      <c r="B2208" s="119" t="s">
        <v>3748</v>
      </c>
      <c r="C2208" s="120" t="s">
        <v>951</v>
      </c>
      <c r="D2208" s="441">
        <v>203.52</v>
      </c>
    </row>
    <row r="2209" spans="1:4" ht="15.75" customHeight="1">
      <c r="A2209" s="120">
        <v>92265</v>
      </c>
      <c r="B2209" s="119" t="s">
        <v>3749</v>
      </c>
      <c r="C2209" s="120" t="s">
        <v>951</v>
      </c>
      <c r="D2209" s="441">
        <v>118.79</v>
      </c>
    </row>
    <row r="2210" spans="1:4" ht="15.75" customHeight="1">
      <c r="A2210" s="120">
        <v>92266</v>
      </c>
      <c r="B2210" s="119" t="s">
        <v>3750</v>
      </c>
      <c r="C2210" s="120" t="s">
        <v>951</v>
      </c>
      <c r="D2210" s="441">
        <v>156.44</v>
      </c>
    </row>
    <row r="2211" spans="1:4" ht="15.75" customHeight="1">
      <c r="A2211" s="120">
        <v>92267</v>
      </c>
      <c r="B2211" s="119" t="s">
        <v>3751</v>
      </c>
      <c r="C2211" s="120" t="s">
        <v>951</v>
      </c>
      <c r="D2211" s="441">
        <v>50.88</v>
      </c>
    </row>
    <row r="2212" spans="1:4" ht="15.75" customHeight="1">
      <c r="A2212" s="120">
        <v>92268</v>
      </c>
      <c r="B2212" s="119" t="s">
        <v>3752</v>
      </c>
      <c r="C2212" s="120" t="s">
        <v>951</v>
      </c>
      <c r="D2212" s="441">
        <v>85.38</v>
      </c>
    </row>
    <row r="2213" spans="1:4" ht="15.75" customHeight="1">
      <c r="A2213" s="120">
        <v>92269</v>
      </c>
      <c r="B2213" s="119" t="s">
        <v>3753</v>
      </c>
      <c r="C2213" s="120" t="s">
        <v>951</v>
      </c>
      <c r="D2213" s="441">
        <v>279.77999999999997</v>
      </c>
    </row>
    <row r="2214" spans="1:4" ht="15.75" customHeight="1">
      <c r="A2214" s="120">
        <v>92270</v>
      </c>
      <c r="B2214" s="119" t="s">
        <v>3754</v>
      </c>
      <c r="C2214" s="120" t="s">
        <v>951</v>
      </c>
      <c r="D2214" s="441">
        <v>212.61</v>
      </c>
    </row>
    <row r="2215" spans="1:4" ht="15.75" customHeight="1">
      <c r="A2215" s="120">
        <v>92271</v>
      </c>
      <c r="B2215" s="119" t="s">
        <v>3755</v>
      </c>
      <c r="C2215" s="120" t="s">
        <v>951</v>
      </c>
      <c r="D2215" s="441">
        <v>140.08000000000001</v>
      </c>
    </row>
    <row r="2216" spans="1:4" ht="15.75" customHeight="1">
      <c r="A2216" s="120">
        <v>92272</v>
      </c>
      <c r="B2216" s="119" t="s">
        <v>3756</v>
      </c>
      <c r="C2216" s="120" t="s">
        <v>328</v>
      </c>
      <c r="D2216" s="441">
        <v>33.99</v>
      </c>
    </row>
    <row r="2217" spans="1:4" ht="15.75" customHeight="1">
      <c r="A2217" s="120">
        <v>92273</v>
      </c>
      <c r="B2217" s="119" t="s">
        <v>3757</v>
      </c>
      <c r="C2217" s="120" t="s">
        <v>328</v>
      </c>
      <c r="D2217" s="441">
        <v>13.97</v>
      </c>
    </row>
    <row r="2218" spans="1:4" ht="31.5" customHeight="1">
      <c r="A2218" s="120">
        <v>92409</v>
      </c>
      <c r="B2218" s="119" t="s">
        <v>3758</v>
      </c>
      <c r="C2218" s="120" t="s">
        <v>951</v>
      </c>
      <c r="D2218" s="441">
        <v>397.92</v>
      </c>
    </row>
    <row r="2219" spans="1:4" ht="31.5" customHeight="1">
      <c r="A2219" s="120">
        <v>92411</v>
      </c>
      <c r="B2219" s="119" t="s">
        <v>3759</v>
      </c>
      <c r="C2219" s="120" t="s">
        <v>951</v>
      </c>
      <c r="D2219" s="441">
        <v>247.71</v>
      </c>
    </row>
    <row r="2220" spans="1:4" ht="31.5" customHeight="1">
      <c r="A2220" s="120">
        <v>92413</v>
      </c>
      <c r="B2220" s="119" t="s">
        <v>3760</v>
      </c>
      <c r="C2220" s="120" t="s">
        <v>951</v>
      </c>
      <c r="D2220" s="441">
        <v>153.58000000000001</v>
      </c>
    </row>
    <row r="2221" spans="1:4" ht="31.5" customHeight="1">
      <c r="A2221" s="120">
        <v>92415</v>
      </c>
      <c r="B2221" s="119" t="s">
        <v>3761</v>
      </c>
      <c r="C2221" s="120" t="s">
        <v>951</v>
      </c>
      <c r="D2221" s="441">
        <v>139.87</v>
      </c>
    </row>
    <row r="2222" spans="1:4" ht="31.5" customHeight="1">
      <c r="A2222" s="120">
        <v>92417</v>
      </c>
      <c r="B2222" s="119" t="s">
        <v>3762</v>
      </c>
      <c r="C2222" s="120" t="s">
        <v>951</v>
      </c>
      <c r="D2222" s="441">
        <v>166.78</v>
      </c>
    </row>
    <row r="2223" spans="1:4" ht="31.5" customHeight="1">
      <c r="A2223" s="120">
        <v>92419</v>
      </c>
      <c r="B2223" s="119" t="s">
        <v>3763</v>
      </c>
      <c r="C2223" s="120" t="s">
        <v>951</v>
      </c>
      <c r="D2223" s="441">
        <v>88.49</v>
      </c>
    </row>
    <row r="2224" spans="1:4" ht="31.5" customHeight="1">
      <c r="A2224" s="120">
        <v>92421</v>
      </c>
      <c r="B2224" s="119" t="s">
        <v>3764</v>
      </c>
      <c r="C2224" s="120" t="s">
        <v>951</v>
      </c>
      <c r="D2224" s="441">
        <v>109.12</v>
      </c>
    </row>
    <row r="2225" spans="1:4" ht="31.5" customHeight="1">
      <c r="A2225" s="120">
        <v>92423</v>
      </c>
      <c r="B2225" s="119" t="s">
        <v>3765</v>
      </c>
      <c r="C2225" s="120" t="s">
        <v>951</v>
      </c>
      <c r="D2225" s="441">
        <v>72.31</v>
      </c>
    </row>
    <row r="2226" spans="1:4" ht="31.5" customHeight="1">
      <c r="A2226" s="120">
        <v>92425</v>
      </c>
      <c r="B2226" s="119" t="s">
        <v>3766</v>
      </c>
      <c r="C2226" s="120" t="s">
        <v>951</v>
      </c>
      <c r="D2226" s="441">
        <v>90.24</v>
      </c>
    </row>
    <row r="2227" spans="1:4" ht="31.5" customHeight="1">
      <c r="A2227" s="120">
        <v>92427</v>
      </c>
      <c r="B2227" s="119" t="s">
        <v>3767</v>
      </c>
      <c r="C2227" s="120" t="s">
        <v>951</v>
      </c>
      <c r="D2227" s="441">
        <v>64.11</v>
      </c>
    </row>
    <row r="2228" spans="1:4" ht="31.5" customHeight="1">
      <c r="A2228" s="120">
        <v>92429</v>
      </c>
      <c r="B2228" s="119" t="s">
        <v>3768</v>
      </c>
      <c r="C2228" s="120" t="s">
        <v>951</v>
      </c>
      <c r="D2228" s="441">
        <v>80.73</v>
      </c>
    </row>
    <row r="2229" spans="1:4" ht="31.5" customHeight="1">
      <c r="A2229" s="120">
        <v>92431</v>
      </c>
      <c r="B2229" s="119" t="s">
        <v>3769</v>
      </c>
      <c r="C2229" s="120" t="s">
        <v>951</v>
      </c>
      <c r="D2229" s="441">
        <v>60.24</v>
      </c>
    </row>
    <row r="2230" spans="1:4" ht="31.5" customHeight="1">
      <c r="A2230" s="120">
        <v>92433</v>
      </c>
      <c r="B2230" s="119" t="s">
        <v>3770</v>
      </c>
      <c r="C2230" s="120" t="s">
        <v>951</v>
      </c>
      <c r="D2230" s="441">
        <v>76.02</v>
      </c>
    </row>
    <row r="2231" spans="1:4" ht="31.5" customHeight="1">
      <c r="A2231" s="120">
        <v>92435</v>
      </c>
      <c r="B2231" s="119" t="s">
        <v>3771</v>
      </c>
      <c r="C2231" s="120" t="s">
        <v>951</v>
      </c>
      <c r="D2231" s="441">
        <v>57.16</v>
      </c>
    </row>
    <row r="2232" spans="1:4" ht="31.5" customHeight="1">
      <c r="A2232" s="120">
        <v>92437</v>
      </c>
      <c r="B2232" s="119" t="s">
        <v>3772</v>
      </c>
      <c r="C2232" s="120" t="s">
        <v>951</v>
      </c>
      <c r="D2232" s="441">
        <v>72.41</v>
      </c>
    </row>
    <row r="2233" spans="1:4" ht="31.5" customHeight="1">
      <c r="A2233" s="120">
        <v>92439</v>
      </c>
      <c r="B2233" s="119" t="s">
        <v>3773</v>
      </c>
      <c r="C2233" s="120" t="s">
        <v>951</v>
      </c>
      <c r="D2233" s="441">
        <v>54.94</v>
      </c>
    </row>
    <row r="2234" spans="1:4" ht="31.5" customHeight="1">
      <c r="A2234" s="120">
        <v>92441</v>
      </c>
      <c r="B2234" s="119" t="s">
        <v>3774</v>
      </c>
      <c r="C2234" s="120" t="s">
        <v>951</v>
      </c>
      <c r="D2234" s="441">
        <v>69.819999999999993</v>
      </c>
    </row>
    <row r="2235" spans="1:4" ht="31.5" customHeight="1">
      <c r="A2235" s="120">
        <v>92443</v>
      </c>
      <c r="B2235" s="119" t="s">
        <v>3775</v>
      </c>
      <c r="C2235" s="120" t="s">
        <v>951</v>
      </c>
      <c r="D2235" s="441">
        <v>50.25</v>
      </c>
    </row>
    <row r="2236" spans="1:4" ht="31.5" customHeight="1">
      <c r="A2236" s="120">
        <v>92445</v>
      </c>
      <c r="B2236" s="119" t="s">
        <v>3776</v>
      </c>
      <c r="C2236" s="120" t="s">
        <v>951</v>
      </c>
      <c r="D2236" s="441">
        <v>64.599999999999994</v>
      </c>
    </row>
    <row r="2237" spans="1:4" ht="31.5" customHeight="1">
      <c r="A2237" s="120">
        <v>92446</v>
      </c>
      <c r="B2237" s="119" t="s">
        <v>3777</v>
      </c>
      <c r="C2237" s="120" t="s">
        <v>951</v>
      </c>
      <c r="D2237" s="441">
        <v>356.49</v>
      </c>
    </row>
    <row r="2238" spans="1:4" ht="31.5" customHeight="1">
      <c r="A2238" s="120">
        <v>92447</v>
      </c>
      <c r="B2238" s="119" t="s">
        <v>3778</v>
      </c>
      <c r="C2238" s="120" t="s">
        <v>951</v>
      </c>
      <c r="D2238" s="441">
        <v>244.85</v>
      </c>
    </row>
    <row r="2239" spans="1:4" ht="31.5" customHeight="1">
      <c r="A2239" s="120">
        <v>92448</v>
      </c>
      <c r="B2239" s="119" t="s">
        <v>3779</v>
      </c>
      <c r="C2239" s="120" t="s">
        <v>951</v>
      </c>
      <c r="D2239" s="441">
        <v>187.55</v>
      </c>
    </row>
    <row r="2240" spans="1:4" ht="31.5" customHeight="1">
      <c r="A2240" s="120">
        <v>92449</v>
      </c>
      <c r="B2240" s="119" t="s">
        <v>3780</v>
      </c>
      <c r="C2240" s="120" t="s">
        <v>951</v>
      </c>
      <c r="D2240" s="441">
        <v>277.08</v>
      </c>
    </row>
    <row r="2241" spans="1:4" ht="31.5" customHeight="1">
      <c r="A2241" s="120">
        <v>92450</v>
      </c>
      <c r="B2241" s="119" t="s">
        <v>3781</v>
      </c>
      <c r="C2241" s="120" t="s">
        <v>951</v>
      </c>
      <c r="D2241" s="441">
        <v>332.68</v>
      </c>
    </row>
    <row r="2242" spans="1:4" ht="31.5" customHeight="1">
      <c r="A2242" s="120">
        <v>92451</v>
      </c>
      <c r="B2242" s="119" t="s">
        <v>3782</v>
      </c>
      <c r="C2242" s="120" t="s">
        <v>951</v>
      </c>
      <c r="D2242" s="441">
        <v>189.92</v>
      </c>
    </row>
    <row r="2243" spans="1:4" ht="31.5" customHeight="1">
      <c r="A2243" s="120">
        <v>92452</v>
      </c>
      <c r="B2243" s="119" t="s">
        <v>3783</v>
      </c>
      <c r="C2243" s="120" t="s">
        <v>951</v>
      </c>
      <c r="D2243" s="441">
        <v>170.55</v>
      </c>
    </row>
    <row r="2244" spans="1:4" ht="31.5" customHeight="1">
      <c r="A2244" s="120">
        <v>92453</v>
      </c>
      <c r="B2244" s="119" t="s">
        <v>3784</v>
      </c>
      <c r="C2244" s="120" t="s">
        <v>951</v>
      </c>
      <c r="D2244" s="441">
        <v>236.63</v>
      </c>
    </row>
    <row r="2245" spans="1:4" ht="31.5" customHeight="1">
      <c r="A2245" s="120">
        <v>92454</v>
      </c>
      <c r="B2245" s="119" t="s">
        <v>3785</v>
      </c>
      <c r="C2245" s="120" t="s">
        <v>951</v>
      </c>
      <c r="D2245" s="441">
        <v>301.52999999999997</v>
      </c>
    </row>
    <row r="2246" spans="1:4" ht="31.5" customHeight="1">
      <c r="A2246" s="120">
        <v>92455</v>
      </c>
      <c r="B2246" s="119" t="s">
        <v>3786</v>
      </c>
      <c r="C2246" s="120" t="s">
        <v>951</v>
      </c>
      <c r="D2246" s="441">
        <v>155.62</v>
      </c>
    </row>
    <row r="2247" spans="1:4" ht="31.5" customHeight="1">
      <c r="A2247" s="120">
        <v>92456</v>
      </c>
      <c r="B2247" s="119" t="s">
        <v>3787</v>
      </c>
      <c r="C2247" s="120" t="s">
        <v>951</v>
      </c>
      <c r="D2247" s="441">
        <v>139.62</v>
      </c>
    </row>
    <row r="2248" spans="1:4" ht="31.5" customHeight="1">
      <c r="A2248" s="120">
        <v>92457</v>
      </c>
      <c r="B2248" s="119" t="s">
        <v>3788</v>
      </c>
      <c r="C2248" s="120" t="s">
        <v>951</v>
      </c>
      <c r="D2248" s="441">
        <v>206.33</v>
      </c>
    </row>
    <row r="2249" spans="1:4" ht="31.5" customHeight="1">
      <c r="A2249" s="120">
        <v>92458</v>
      </c>
      <c r="B2249" s="119" t="s">
        <v>3789</v>
      </c>
      <c r="C2249" s="120" t="s">
        <v>951</v>
      </c>
      <c r="D2249" s="441">
        <v>281.51</v>
      </c>
    </row>
    <row r="2250" spans="1:4" ht="31.5" customHeight="1">
      <c r="A2250" s="120">
        <v>92459</v>
      </c>
      <c r="B2250" s="119" t="s">
        <v>3790</v>
      </c>
      <c r="C2250" s="120" t="s">
        <v>951</v>
      </c>
      <c r="D2250" s="441">
        <v>132.77000000000001</v>
      </c>
    </row>
    <row r="2251" spans="1:4" ht="31.5" customHeight="1">
      <c r="A2251" s="120">
        <v>92460</v>
      </c>
      <c r="B2251" s="119" t="s">
        <v>3791</v>
      </c>
      <c r="C2251" s="120" t="s">
        <v>951</v>
      </c>
      <c r="D2251" s="441">
        <v>114.96</v>
      </c>
    </row>
    <row r="2252" spans="1:4" ht="31.5" customHeight="1">
      <c r="A2252" s="120">
        <v>92461</v>
      </c>
      <c r="B2252" s="119" t="s">
        <v>3792</v>
      </c>
      <c r="C2252" s="120" t="s">
        <v>951</v>
      </c>
      <c r="D2252" s="441">
        <v>190.44</v>
      </c>
    </row>
    <row r="2253" spans="1:4" ht="31.5" customHeight="1">
      <c r="A2253" s="120">
        <v>92462</v>
      </c>
      <c r="B2253" s="119" t="s">
        <v>3793</v>
      </c>
      <c r="C2253" s="120" t="s">
        <v>951</v>
      </c>
      <c r="D2253" s="441">
        <v>268.60000000000002</v>
      </c>
    </row>
    <row r="2254" spans="1:4" ht="31.5" customHeight="1">
      <c r="A2254" s="120">
        <v>92463</v>
      </c>
      <c r="B2254" s="119" t="s">
        <v>3794</v>
      </c>
      <c r="C2254" s="120" t="s">
        <v>951</v>
      </c>
      <c r="D2254" s="441">
        <v>120.5</v>
      </c>
    </row>
    <row r="2255" spans="1:4" ht="31.5" customHeight="1">
      <c r="A2255" s="120">
        <v>92464</v>
      </c>
      <c r="B2255" s="119" t="s">
        <v>3795</v>
      </c>
      <c r="C2255" s="120" t="s">
        <v>951</v>
      </c>
      <c r="D2255" s="441">
        <v>108.16</v>
      </c>
    </row>
    <row r="2256" spans="1:4" ht="31.5" customHeight="1">
      <c r="A2256" s="120">
        <v>92465</v>
      </c>
      <c r="B2256" s="119" t="s">
        <v>3796</v>
      </c>
      <c r="C2256" s="120" t="s">
        <v>951</v>
      </c>
      <c r="D2256" s="441">
        <v>154.31</v>
      </c>
    </row>
    <row r="2257" spans="1:4" ht="31.5" customHeight="1">
      <c r="A2257" s="120">
        <v>92466</v>
      </c>
      <c r="B2257" s="119" t="s">
        <v>3797</v>
      </c>
      <c r="C2257" s="120" t="s">
        <v>951</v>
      </c>
      <c r="D2257" s="441">
        <v>261.14999999999998</v>
      </c>
    </row>
    <row r="2258" spans="1:4" ht="31.5" customHeight="1">
      <c r="A2258" s="120">
        <v>92467</v>
      </c>
      <c r="B2258" s="119" t="s">
        <v>3798</v>
      </c>
      <c r="C2258" s="120" t="s">
        <v>951</v>
      </c>
      <c r="D2258" s="441">
        <v>100.68</v>
      </c>
    </row>
    <row r="2259" spans="1:4" ht="31.5" customHeight="1">
      <c r="A2259" s="120">
        <v>92468</v>
      </c>
      <c r="B2259" s="119" t="s">
        <v>3799</v>
      </c>
      <c r="C2259" s="120" t="s">
        <v>951</v>
      </c>
      <c r="D2259" s="441">
        <v>101.39</v>
      </c>
    </row>
    <row r="2260" spans="1:4" ht="31.5" customHeight="1">
      <c r="A2260" s="120">
        <v>92469</v>
      </c>
      <c r="B2260" s="119" t="s">
        <v>3800</v>
      </c>
      <c r="C2260" s="120" t="s">
        <v>951</v>
      </c>
      <c r="D2260" s="441">
        <v>140.97</v>
      </c>
    </row>
    <row r="2261" spans="1:4" ht="31.5" customHeight="1">
      <c r="A2261" s="120">
        <v>92470</v>
      </c>
      <c r="B2261" s="119" t="s">
        <v>3801</v>
      </c>
      <c r="C2261" s="120" t="s">
        <v>951</v>
      </c>
      <c r="D2261" s="441">
        <v>253.68</v>
      </c>
    </row>
    <row r="2262" spans="1:4" ht="31.5" customHeight="1">
      <c r="A2262" s="120">
        <v>92471</v>
      </c>
      <c r="B2262" s="119" t="s">
        <v>3802</v>
      </c>
      <c r="C2262" s="120" t="s">
        <v>951</v>
      </c>
      <c r="D2262" s="441">
        <v>92.09</v>
      </c>
    </row>
    <row r="2263" spans="1:4" ht="31.5" customHeight="1">
      <c r="A2263" s="120">
        <v>92472</v>
      </c>
      <c r="B2263" s="119" t="s">
        <v>3803</v>
      </c>
      <c r="C2263" s="120" t="s">
        <v>951</v>
      </c>
      <c r="D2263" s="441">
        <v>94.97</v>
      </c>
    </row>
    <row r="2264" spans="1:4" ht="31.5" customHeight="1">
      <c r="A2264" s="120">
        <v>92473</v>
      </c>
      <c r="B2264" s="119" t="s">
        <v>3804</v>
      </c>
      <c r="C2264" s="120" t="s">
        <v>951</v>
      </c>
      <c r="D2264" s="441">
        <v>130.09</v>
      </c>
    </row>
    <row r="2265" spans="1:4" ht="31.5" customHeight="1">
      <c r="A2265" s="120">
        <v>92474</v>
      </c>
      <c r="B2265" s="119" t="s">
        <v>3805</v>
      </c>
      <c r="C2265" s="120" t="s">
        <v>951</v>
      </c>
      <c r="D2265" s="441">
        <v>247.21</v>
      </c>
    </row>
    <row r="2266" spans="1:4" ht="31.5" customHeight="1">
      <c r="A2266" s="120">
        <v>92475</v>
      </c>
      <c r="B2266" s="119" t="s">
        <v>3806</v>
      </c>
      <c r="C2266" s="120" t="s">
        <v>951</v>
      </c>
      <c r="D2266" s="441">
        <v>85.07</v>
      </c>
    </row>
    <row r="2267" spans="1:4" ht="31.5" customHeight="1">
      <c r="A2267" s="120">
        <v>92476</v>
      </c>
      <c r="B2267" s="119" t="s">
        <v>3807</v>
      </c>
      <c r="C2267" s="120" t="s">
        <v>951</v>
      </c>
      <c r="D2267" s="441">
        <v>89.46</v>
      </c>
    </row>
    <row r="2268" spans="1:4" ht="31.5" customHeight="1">
      <c r="A2268" s="120">
        <v>92477</v>
      </c>
      <c r="B2268" s="119" t="s">
        <v>3808</v>
      </c>
      <c r="C2268" s="120" t="s">
        <v>951</v>
      </c>
      <c r="D2268" s="441">
        <v>107.09</v>
      </c>
    </row>
    <row r="2269" spans="1:4" ht="31.5" customHeight="1">
      <c r="A2269" s="120">
        <v>92478</v>
      </c>
      <c r="B2269" s="119" t="s">
        <v>3809</v>
      </c>
      <c r="C2269" s="120" t="s">
        <v>951</v>
      </c>
      <c r="D2269" s="441">
        <v>234.55</v>
      </c>
    </row>
    <row r="2270" spans="1:4" ht="31.5" customHeight="1">
      <c r="A2270" s="120">
        <v>92479</v>
      </c>
      <c r="B2270" s="119" t="s">
        <v>3810</v>
      </c>
      <c r="C2270" s="120" t="s">
        <v>951</v>
      </c>
      <c r="D2270" s="441">
        <v>70.209999999999994</v>
      </c>
    </row>
    <row r="2271" spans="1:4" ht="31.5" customHeight="1">
      <c r="A2271" s="120">
        <v>92480</v>
      </c>
      <c r="B2271" s="119" t="s">
        <v>3811</v>
      </c>
      <c r="C2271" s="120" t="s">
        <v>951</v>
      </c>
      <c r="D2271" s="441">
        <v>78.58</v>
      </c>
    </row>
    <row r="2272" spans="1:4" ht="31.5" customHeight="1">
      <c r="A2272" s="120">
        <v>92482</v>
      </c>
      <c r="B2272" s="119" t="s">
        <v>3812</v>
      </c>
      <c r="C2272" s="120" t="s">
        <v>951</v>
      </c>
      <c r="D2272" s="441">
        <v>405.87</v>
      </c>
    </row>
    <row r="2273" spans="1:4" ht="31.5" customHeight="1">
      <c r="A2273" s="120">
        <v>92484</v>
      </c>
      <c r="B2273" s="119" t="s">
        <v>3813</v>
      </c>
      <c r="C2273" s="120" t="s">
        <v>951</v>
      </c>
      <c r="D2273" s="441">
        <v>276.36</v>
      </c>
    </row>
    <row r="2274" spans="1:4" ht="31.5" customHeight="1">
      <c r="A2274" s="120">
        <v>92486</v>
      </c>
      <c r="B2274" s="119" t="s">
        <v>3814</v>
      </c>
      <c r="C2274" s="120" t="s">
        <v>951</v>
      </c>
      <c r="D2274" s="441">
        <v>194.55</v>
      </c>
    </row>
    <row r="2275" spans="1:4" ht="31.5" customHeight="1">
      <c r="A2275" s="120">
        <v>92488</v>
      </c>
      <c r="B2275" s="119" t="s">
        <v>3815</v>
      </c>
      <c r="C2275" s="120" t="s">
        <v>951</v>
      </c>
      <c r="D2275" s="441">
        <v>125.56</v>
      </c>
    </row>
    <row r="2276" spans="1:4" ht="31.5" customHeight="1">
      <c r="A2276" s="120">
        <v>92490</v>
      </c>
      <c r="B2276" s="119" t="s">
        <v>3816</v>
      </c>
      <c r="C2276" s="120" t="s">
        <v>951</v>
      </c>
      <c r="D2276" s="441">
        <v>78.78</v>
      </c>
    </row>
    <row r="2277" spans="1:4" ht="31.5" customHeight="1">
      <c r="A2277" s="120">
        <v>92492</v>
      </c>
      <c r="B2277" s="119" t="s">
        <v>3817</v>
      </c>
      <c r="C2277" s="120" t="s">
        <v>951</v>
      </c>
      <c r="D2277" s="441">
        <v>119.38</v>
      </c>
    </row>
    <row r="2278" spans="1:4" ht="31.5" customHeight="1">
      <c r="A2278" s="120">
        <v>92494</v>
      </c>
      <c r="B2278" s="119" t="s">
        <v>3818</v>
      </c>
      <c r="C2278" s="120" t="s">
        <v>951</v>
      </c>
      <c r="D2278" s="441">
        <v>73.87</v>
      </c>
    </row>
    <row r="2279" spans="1:4" ht="31.5" customHeight="1">
      <c r="A2279" s="120">
        <v>92496</v>
      </c>
      <c r="B2279" s="119" t="s">
        <v>3819</v>
      </c>
      <c r="C2279" s="120" t="s">
        <v>951</v>
      </c>
      <c r="D2279" s="441">
        <v>114.17</v>
      </c>
    </row>
    <row r="2280" spans="1:4" ht="31.5" customHeight="1">
      <c r="A2280" s="120">
        <v>92498</v>
      </c>
      <c r="B2280" s="119" t="s">
        <v>3820</v>
      </c>
      <c r="C2280" s="120" t="s">
        <v>951</v>
      </c>
      <c r="D2280" s="441">
        <v>69.760000000000005</v>
      </c>
    </row>
    <row r="2281" spans="1:4" ht="31.5" customHeight="1">
      <c r="A2281" s="120">
        <v>92500</v>
      </c>
      <c r="B2281" s="119" t="s">
        <v>3821</v>
      </c>
      <c r="C2281" s="120" t="s">
        <v>951</v>
      </c>
      <c r="D2281" s="441">
        <v>109.89</v>
      </c>
    </row>
    <row r="2282" spans="1:4" ht="31.5" customHeight="1">
      <c r="A2282" s="120">
        <v>92502</v>
      </c>
      <c r="B2282" s="119" t="s">
        <v>3822</v>
      </c>
      <c r="C2282" s="120" t="s">
        <v>951</v>
      </c>
      <c r="D2282" s="441">
        <v>66.55</v>
      </c>
    </row>
    <row r="2283" spans="1:4" ht="31.5" customHeight="1">
      <c r="A2283" s="120">
        <v>92504</v>
      </c>
      <c r="B2283" s="119" t="s">
        <v>3823</v>
      </c>
      <c r="C2283" s="120" t="s">
        <v>951</v>
      </c>
      <c r="D2283" s="441">
        <v>71.53</v>
      </c>
    </row>
    <row r="2284" spans="1:4" ht="31.5" customHeight="1">
      <c r="A2284" s="120">
        <v>92506</v>
      </c>
      <c r="B2284" s="119" t="s">
        <v>3824</v>
      </c>
      <c r="C2284" s="120" t="s">
        <v>951</v>
      </c>
      <c r="D2284" s="441">
        <v>60.64</v>
      </c>
    </row>
    <row r="2285" spans="1:4" ht="31.5" customHeight="1">
      <c r="A2285" s="120">
        <v>92508</v>
      </c>
      <c r="B2285" s="119" t="s">
        <v>3825</v>
      </c>
      <c r="C2285" s="120" t="s">
        <v>951</v>
      </c>
      <c r="D2285" s="441">
        <v>119.27</v>
      </c>
    </row>
    <row r="2286" spans="1:4" ht="31.5" customHeight="1">
      <c r="A2286" s="120">
        <v>92510</v>
      </c>
      <c r="B2286" s="119" t="s">
        <v>3826</v>
      </c>
      <c r="C2286" s="120" t="s">
        <v>951</v>
      </c>
      <c r="D2286" s="441">
        <v>70.27</v>
      </c>
    </row>
    <row r="2287" spans="1:4" ht="31.5" customHeight="1">
      <c r="A2287" s="120">
        <v>92512</v>
      </c>
      <c r="B2287" s="119" t="s">
        <v>3827</v>
      </c>
      <c r="C2287" s="120" t="s">
        <v>951</v>
      </c>
      <c r="D2287" s="441">
        <v>103.96</v>
      </c>
    </row>
    <row r="2288" spans="1:4" ht="31.5" customHeight="1">
      <c r="A2288" s="120">
        <v>92514</v>
      </c>
      <c r="B2288" s="119" t="s">
        <v>3828</v>
      </c>
      <c r="C2288" s="120" t="s">
        <v>951</v>
      </c>
      <c r="D2288" s="441">
        <v>56.33</v>
      </c>
    </row>
    <row r="2289" spans="1:4" ht="31.5" customHeight="1">
      <c r="A2289" s="120">
        <v>92515</v>
      </c>
      <c r="B2289" s="119" t="s">
        <v>3829</v>
      </c>
      <c r="C2289" s="120" t="s">
        <v>951</v>
      </c>
      <c r="D2289" s="441">
        <v>96</v>
      </c>
    </row>
    <row r="2290" spans="1:4" ht="31.5" customHeight="1">
      <c r="A2290" s="120">
        <v>92518</v>
      </c>
      <c r="B2290" s="119" t="s">
        <v>3830</v>
      </c>
      <c r="C2290" s="120" t="s">
        <v>951</v>
      </c>
      <c r="D2290" s="441">
        <v>49.69</v>
      </c>
    </row>
    <row r="2291" spans="1:4" ht="31.5" customHeight="1">
      <c r="A2291" s="120">
        <v>92520</v>
      </c>
      <c r="B2291" s="119" t="s">
        <v>3831</v>
      </c>
      <c r="C2291" s="120" t="s">
        <v>951</v>
      </c>
      <c r="D2291" s="441">
        <v>90.62</v>
      </c>
    </row>
    <row r="2292" spans="1:4" ht="31.5" customHeight="1">
      <c r="A2292" s="120">
        <v>92522</v>
      </c>
      <c r="B2292" s="119" t="s">
        <v>3832</v>
      </c>
      <c r="C2292" s="120" t="s">
        <v>951</v>
      </c>
      <c r="D2292" s="441">
        <v>45.49</v>
      </c>
    </row>
    <row r="2293" spans="1:4" ht="31.5" customHeight="1">
      <c r="A2293" s="120">
        <v>92524</v>
      </c>
      <c r="B2293" s="119" t="s">
        <v>3833</v>
      </c>
      <c r="C2293" s="120" t="s">
        <v>951</v>
      </c>
      <c r="D2293" s="441">
        <v>89.64</v>
      </c>
    </row>
    <row r="2294" spans="1:4" ht="31.5" customHeight="1">
      <c r="A2294" s="120">
        <v>92526</v>
      </c>
      <c r="B2294" s="119" t="s">
        <v>3834</v>
      </c>
      <c r="C2294" s="120" t="s">
        <v>951</v>
      </c>
      <c r="D2294" s="441">
        <v>45.64</v>
      </c>
    </row>
    <row r="2295" spans="1:4" ht="31.5" customHeight="1">
      <c r="A2295" s="120">
        <v>92528</v>
      </c>
      <c r="B2295" s="119" t="s">
        <v>3835</v>
      </c>
      <c r="C2295" s="120" t="s">
        <v>951</v>
      </c>
      <c r="D2295" s="441">
        <v>86</v>
      </c>
    </row>
    <row r="2296" spans="1:4" ht="31.5" customHeight="1">
      <c r="A2296" s="120">
        <v>92530</v>
      </c>
      <c r="B2296" s="119" t="s">
        <v>3836</v>
      </c>
      <c r="C2296" s="120" t="s">
        <v>951</v>
      </c>
      <c r="D2296" s="441">
        <v>43.03</v>
      </c>
    </row>
    <row r="2297" spans="1:4" ht="31.5" customHeight="1">
      <c r="A2297" s="120">
        <v>92532</v>
      </c>
      <c r="B2297" s="119" t="s">
        <v>3837</v>
      </c>
      <c r="C2297" s="120" t="s">
        <v>951</v>
      </c>
      <c r="D2297" s="441">
        <v>82.85</v>
      </c>
    </row>
    <row r="2298" spans="1:4" ht="31.5" customHeight="1">
      <c r="A2298" s="120">
        <v>92534</v>
      </c>
      <c r="B2298" s="119" t="s">
        <v>3838</v>
      </c>
      <c r="C2298" s="120" t="s">
        <v>951</v>
      </c>
      <c r="D2298" s="441">
        <v>40.81</v>
      </c>
    </row>
    <row r="2299" spans="1:4" ht="31.5" customHeight="1">
      <c r="A2299" s="120">
        <v>92536</v>
      </c>
      <c r="B2299" s="119" t="s">
        <v>3839</v>
      </c>
      <c r="C2299" s="120" t="s">
        <v>951</v>
      </c>
      <c r="D2299" s="441">
        <v>76.8</v>
      </c>
    </row>
    <row r="2300" spans="1:4" ht="31.5" customHeight="1">
      <c r="A2300" s="120">
        <v>92538</v>
      </c>
      <c r="B2300" s="119" t="s">
        <v>3840</v>
      </c>
      <c r="C2300" s="120" t="s">
        <v>951</v>
      </c>
      <c r="D2300" s="441">
        <v>36.42</v>
      </c>
    </row>
    <row r="2301" spans="1:4" ht="15.75" customHeight="1">
      <c r="A2301" s="120">
        <v>96252</v>
      </c>
      <c r="B2301" s="119" t="s">
        <v>3841</v>
      </c>
      <c r="C2301" s="120" t="s">
        <v>951</v>
      </c>
      <c r="D2301" s="441">
        <v>258.67</v>
      </c>
    </row>
    <row r="2302" spans="1:4" ht="31.5" customHeight="1">
      <c r="A2302" s="120">
        <v>96257</v>
      </c>
      <c r="B2302" s="119" t="s">
        <v>3842</v>
      </c>
      <c r="C2302" s="120" t="s">
        <v>951</v>
      </c>
      <c r="D2302" s="441">
        <v>219.59</v>
      </c>
    </row>
    <row r="2303" spans="1:4" ht="31.5" customHeight="1">
      <c r="A2303" s="120">
        <v>96258</v>
      </c>
      <c r="B2303" s="119" t="s">
        <v>3843</v>
      </c>
      <c r="C2303" s="120" t="s">
        <v>951</v>
      </c>
      <c r="D2303" s="441">
        <v>205.5</v>
      </c>
    </row>
    <row r="2304" spans="1:4" ht="31.5" customHeight="1">
      <c r="A2304" s="120">
        <v>96259</v>
      </c>
      <c r="B2304" s="119" t="s">
        <v>3844</v>
      </c>
      <c r="C2304" s="120" t="s">
        <v>951</v>
      </c>
      <c r="D2304" s="441">
        <v>248.65</v>
      </c>
    </row>
    <row r="2305" spans="1:4" ht="31.5" customHeight="1">
      <c r="A2305" s="120">
        <v>96529</v>
      </c>
      <c r="B2305" s="119" t="s">
        <v>3845</v>
      </c>
      <c r="C2305" s="120" t="s">
        <v>951</v>
      </c>
      <c r="D2305" s="441">
        <v>409.15</v>
      </c>
    </row>
    <row r="2306" spans="1:4" ht="31.5" customHeight="1">
      <c r="A2306" s="120">
        <v>96530</v>
      </c>
      <c r="B2306" s="119" t="s">
        <v>3846</v>
      </c>
      <c r="C2306" s="120" t="s">
        <v>951</v>
      </c>
      <c r="D2306" s="441">
        <v>227.11</v>
      </c>
    </row>
    <row r="2307" spans="1:4" ht="31.5" customHeight="1">
      <c r="A2307" s="120">
        <v>96531</v>
      </c>
      <c r="B2307" s="119" t="s">
        <v>3847</v>
      </c>
      <c r="C2307" s="120" t="s">
        <v>951</v>
      </c>
      <c r="D2307" s="441">
        <v>156.53</v>
      </c>
    </row>
    <row r="2308" spans="1:4" ht="31.5" customHeight="1">
      <c r="A2308" s="120">
        <v>96532</v>
      </c>
      <c r="B2308" s="119" t="s">
        <v>3848</v>
      </c>
      <c r="C2308" s="120" t="s">
        <v>951</v>
      </c>
      <c r="D2308" s="441">
        <v>258.67</v>
      </c>
    </row>
    <row r="2309" spans="1:4" ht="31.5" customHeight="1">
      <c r="A2309" s="120">
        <v>96533</v>
      </c>
      <c r="B2309" s="119" t="s">
        <v>3849</v>
      </c>
      <c r="C2309" s="120" t="s">
        <v>951</v>
      </c>
      <c r="D2309" s="441">
        <v>139.31</v>
      </c>
    </row>
    <row r="2310" spans="1:4" ht="31.5" customHeight="1">
      <c r="A2310" s="120">
        <v>96534</v>
      </c>
      <c r="B2310" s="119" t="s">
        <v>3850</v>
      </c>
      <c r="C2310" s="120" t="s">
        <v>951</v>
      </c>
      <c r="D2310" s="441">
        <v>108.17</v>
      </c>
    </row>
    <row r="2311" spans="1:4" ht="31.5" customHeight="1">
      <c r="A2311" s="120">
        <v>96535</v>
      </c>
      <c r="B2311" s="119" t="s">
        <v>3851</v>
      </c>
      <c r="C2311" s="120" t="s">
        <v>951</v>
      </c>
      <c r="D2311" s="441">
        <v>180.32</v>
      </c>
    </row>
    <row r="2312" spans="1:4" ht="31.5" customHeight="1">
      <c r="A2312" s="120">
        <v>96536</v>
      </c>
      <c r="B2312" s="119" t="s">
        <v>3852</v>
      </c>
      <c r="C2312" s="120" t="s">
        <v>951</v>
      </c>
      <c r="D2312" s="441">
        <v>93.62</v>
      </c>
    </row>
    <row r="2313" spans="1:4" ht="31.5" customHeight="1">
      <c r="A2313" s="120">
        <v>96537</v>
      </c>
      <c r="B2313" s="119" t="s">
        <v>3853</v>
      </c>
      <c r="C2313" s="120" t="s">
        <v>951</v>
      </c>
      <c r="D2313" s="441">
        <v>213.65</v>
      </c>
    </row>
    <row r="2314" spans="1:4" ht="31.5" customHeight="1">
      <c r="A2314" s="120">
        <v>96538</v>
      </c>
      <c r="B2314" s="119" t="s">
        <v>3854</v>
      </c>
      <c r="C2314" s="120" t="s">
        <v>951</v>
      </c>
      <c r="D2314" s="441">
        <v>295</v>
      </c>
    </row>
    <row r="2315" spans="1:4" ht="31.5" customHeight="1">
      <c r="A2315" s="120">
        <v>96539</v>
      </c>
      <c r="B2315" s="119" t="s">
        <v>3855</v>
      </c>
      <c r="C2315" s="120" t="s">
        <v>951</v>
      </c>
      <c r="D2315" s="441">
        <v>133.05000000000001</v>
      </c>
    </row>
    <row r="2316" spans="1:4" ht="31.5" customHeight="1">
      <c r="A2316" s="120">
        <v>96540</v>
      </c>
      <c r="B2316" s="119" t="s">
        <v>3856</v>
      </c>
      <c r="C2316" s="120" t="s">
        <v>951</v>
      </c>
      <c r="D2316" s="441">
        <v>150.69</v>
      </c>
    </row>
    <row r="2317" spans="1:4" ht="31.5" customHeight="1">
      <c r="A2317" s="120">
        <v>96541</v>
      </c>
      <c r="B2317" s="119" t="s">
        <v>3857</v>
      </c>
      <c r="C2317" s="120" t="s">
        <v>951</v>
      </c>
      <c r="D2317" s="441">
        <v>212.99</v>
      </c>
    </row>
    <row r="2318" spans="1:4" ht="31.5" customHeight="1">
      <c r="A2318" s="120">
        <v>96542</v>
      </c>
      <c r="B2318" s="119" t="s">
        <v>3858</v>
      </c>
      <c r="C2318" s="120" t="s">
        <v>951</v>
      </c>
      <c r="D2318" s="441">
        <v>102.39</v>
      </c>
    </row>
    <row r="2319" spans="1:4" ht="15.75" customHeight="1">
      <c r="A2319" s="120">
        <v>96543</v>
      </c>
      <c r="B2319" s="119" t="s">
        <v>3859</v>
      </c>
      <c r="C2319" s="120" t="s">
        <v>327</v>
      </c>
      <c r="D2319" s="441">
        <v>19.61</v>
      </c>
    </row>
    <row r="2320" spans="1:4" ht="31.5" customHeight="1">
      <c r="A2320" s="120">
        <v>97747</v>
      </c>
      <c r="B2320" s="119" t="s">
        <v>3860</v>
      </c>
      <c r="C2320" s="120" t="s">
        <v>951</v>
      </c>
      <c r="D2320" s="441">
        <v>230.38</v>
      </c>
    </row>
    <row r="2321" spans="1:4" ht="15.75" customHeight="1">
      <c r="A2321" s="120">
        <v>101791</v>
      </c>
      <c r="B2321" s="119" t="s">
        <v>3861</v>
      </c>
      <c r="C2321" s="120" t="s">
        <v>328</v>
      </c>
      <c r="D2321" s="441">
        <v>22.23</v>
      </c>
    </row>
    <row r="2322" spans="1:4" ht="31.5" customHeight="1">
      <c r="A2322" s="120">
        <v>101792</v>
      </c>
      <c r="B2322" s="119" t="s">
        <v>3862</v>
      </c>
      <c r="C2322" s="120" t="s">
        <v>950</v>
      </c>
      <c r="D2322" s="441">
        <v>17.88</v>
      </c>
    </row>
    <row r="2323" spans="1:4" ht="31.5" customHeight="1">
      <c r="A2323" s="120">
        <v>101793</v>
      </c>
      <c r="B2323" s="119" t="s">
        <v>3863</v>
      </c>
      <c r="C2323" s="120" t="s">
        <v>950</v>
      </c>
      <c r="D2323" s="441">
        <v>25.78</v>
      </c>
    </row>
    <row r="2324" spans="1:4" ht="31.5" customHeight="1">
      <c r="A2324" s="120">
        <v>101969</v>
      </c>
      <c r="B2324" s="119" t="s">
        <v>3864</v>
      </c>
      <c r="C2324" s="120" t="s">
        <v>951</v>
      </c>
      <c r="D2324" s="441">
        <v>180.04</v>
      </c>
    </row>
    <row r="2325" spans="1:4" ht="31.5" customHeight="1">
      <c r="A2325" s="120">
        <v>101971</v>
      </c>
      <c r="B2325" s="119" t="s">
        <v>3865</v>
      </c>
      <c r="C2325" s="120" t="s">
        <v>951</v>
      </c>
      <c r="D2325" s="441">
        <v>140.69</v>
      </c>
    </row>
    <row r="2326" spans="1:4" ht="31.5" customHeight="1">
      <c r="A2326" s="120">
        <v>101973</v>
      </c>
      <c r="B2326" s="119" t="s">
        <v>3866</v>
      </c>
      <c r="C2326" s="120" t="s">
        <v>951</v>
      </c>
      <c r="D2326" s="441">
        <v>258.47000000000003</v>
      </c>
    </row>
    <row r="2327" spans="1:4" ht="31.5" customHeight="1">
      <c r="A2327" s="120">
        <v>101974</v>
      </c>
      <c r="B2327" s="119" t="s">
        <v>3867</v>
      </c>
      <c r="C2327" s="120" t="s">
        <v>951</v>
      </c>
      <c r="D2327" s="441">
        <v>568.20000000000005</v>
      </c>
    </row>
    <row r="2328" spans="1:4" ht="31.5" customHeight="1">
      <c r="A2328" s="120">
        <v>101975</v>
      </c>
      <c r="B2328" s="119" t="s">
        <v>3868</v>
      </c>
      <c r="C2328" s="120" t="s">
        <v>951</v>
      </c>
      <c r="D2328" s="441">
        <v>482.6</v>
      </c>
    </row>
    <row r="2329" spans="1:4" ht="31.5" customHeight="1">
      <c r="A2329" s="120">
        <v>101977</v>
      </c>
      <c r="B2329" s="119" t="s">
        <v>3869</v>
      </c>
      <c r="C2329" s="120" t="s">
        <v>951</v>
      </c>
      <c r="D2329" s="441">
        <v>307.43</v>
      </c>
    </row>
    <row r="2330" spans="1:4" ht="31.5" customHeight="1">
      <c r="A2330" s="120">
        <v>101980</v>
      </c>
      <c r="B2330" s="119" t="s">
        <v>3870</v>
      </c>
      <c r="C2330" s="120" t="s">
        <v>951</v>
      </c>
      <c r="D2330" s="441">
        <v>272.49</v>
      </c>
    </row>
    <row r="2331" spans="1:4" ht="31.5" customHeight="1">
      <c r="A2331" s="120">
        <v>101981</v>
      </c>
      <c r="B2331" s="119" t="s">
        <v>3871</v>
      </c>
      <c r="C2331" s="120" t="s">
        <v>951</v>
      </c>
      <c r="D2331" s="441">
        <v>233.81</v>
      </c>
    </row>
    <row r="2332" spans="1:4" ht="31.5" customHeight="1">
      <c r="A2332" s="120">
        <v>101982</v>
      </c>
      <c r="B2332" s="119" t="s">
        <v>3872</v>
      </c>
      <c r="C2332" s="120" t="s">
        <v>951</v>
      </c>
      <c r="D2332" s="441">
        <v>207.58</v>
      </c>
    </row>
    <row r="2333" spans="1:4" ht="31.5" customHeight="1">
      <c r="A2333" s="120">
        <v>101983</v>
      </c>
      <c r="B2333" s="119" t="s">
        <v>3873</v>
      </c>
      <c r="C2333" s="120" t="s">
        <v>951</v>
      </c>
      <c r="D2333" s="441">
        <v>191.14</v>
      </c>
    </row>
    <row r="2334" spans="1:4" ht="31.5" customHeight="1">
      <c r="A2334" s="120">
        <v>101985</v>
      </c>
      <c r="B2334" s="119" t="s">
        <v>3874</v>
      </c>
      <c r="C2334" s="120" t="s">
        <v>951</v>
      </c>
      <c r="D2334" s="441">
        <v>192.04</v>
      </c>
    </row>
    <row r="2335" spans="1:4" ht="31.5" customHeight="1">
      <c r="A2335" s="120">
        <v>101986</v>
      </c>
      <c r="B2335" s="119" t="s">
        <v>3875</v>
      </c>
      <c r="C2335" s="120" t="s">
        <v>951</v>
      </c>
      <c r="D2335" s="441">
        <v>142</v>
      </c>
    </row>
    <row r="2336" spans="1:4" ht="31.5" customHeight="1">
      <c r="A2336" s="120">
        <v>101987</v>
      </c>
      <c r="B2336" s="119" t="s">
        <v>3876</v>
      </c>
      <c r="C2336" s="120" t="s">
        <v>951</v>
      </c>
      <c r="D2336" s="441">
        <v>308.69</v>
      </c>
    </row>
    <row r="2337" spans="1:4" ht="31.5" customHeight="1">
      <c r="A2337" s="120">
        <v>101988</v>
      </c>
      <c r="B2337" s="119" t="s">
        <v>3877</v>
      </c>
      <c r="C2337" s="120" t="s">
        <v>951</v>
      </c>
      <c r="D2337" s="441">
        <v>188.13</v>
      </c>
    </row>
    <row r="2338" spans="1:4" ht="31.5" customHeight="1">
      <c r="A2338" s="120">
        <v>101989</v>
      </c>
      <c r="B2338" s="119" t="s">
        <v>3878</v>
      </c>
      <c r="C2338" s="120" t="s">
        <v>951</v>
      </c>
      <c r="D2338" s="441">
        <v>149.27000000000001</v>
      </c>
    </row>
    <row r="2339" spans="1:4" ht="31.5" customHeight="1">
      <c r="A2339" s="120">
        <v>101990</v>
      </c>
      <c r="B2339" s="119" t="s">
        <v>3879</v>
      </c>
      <c r="C2339" s="120" t="s">
        <v>951</v>
      </c>
      <c r="D2339" s="441">
        <v>278.38</v>
      </c>
    </row>
    <row r="2340" spans="1:4" ht="31.5" customHeight="1">
      <c r="A2340" s="120">
        <v>101991</v>
      </c>
      <c r="B2340" s="119" t="s">
        <v>3880</v>
      </c>
      <c r="C2340" s="120" t="s">
        <v>951</v>
      </c>
      <c r="D2340" s="441">
        <v>193.42</v>
      </c>
    </row>
    <row r="2341" spans="1:4" ht="31.5" customHeight="1">
      <c r="A2341" s="120">
        <v>101992</v>
      </c>
      <c r="B2341" s="119" t="s">
        <v>3881</v>
      </c>
      <c r="C2341" s="120" t="s">
        <v>951</v>
      </c>
      <c r="D2341" s="441">
        <v>145.59</v>
      </c>
    </row>
    <row r="2342" spans="1:4" ht="31.5" customHeight="1">
      <c r="A2342" s="120">
        <v>101993</v>
      </c>
      <c r="B2342" s="119" t="s">
        <v>3882</v>
      </c>
      <c r="C2342" s="120" t="s">
        <v>951</v>
      </c>
      <c r="D2342" s="441">
        <v>363.74</v>
      </c>
    </row>
    <row r="2343" spans="1:4" ht="31.5" customHeight="1">
      <c r="A2343" s="120">
        <v>101994</v>
      </c>
      <c r="B2343" s="119" t="s">
        <v>3883</v>
      </c>
      <c r="C2343" s="120" t="s">
        <v>951</v>
      </c>
      <c r="D2343" s="441">
        <v>198.69</v>
      </c>
    </row>
    <row r="2344" spans="1:4" ht="31.5" customHeight="1">
      <c r="A2344" s="120">
        <v>101995</v>
      </c>
      <c r="B2344" s="119" t="s">
        <v>3884</v>
      </c>
      <c r="C2344" s="120" t="s">
        <v>951</v>
      </c>
      <c r="D2344" s="441">
        <v>155.07</v>
      </c>
    </row>
    <row r="2345" spans="1:4" ht="31.5" customHeight="1">
      <c r="A2345" s="120">
        <v>101996</v>
      </c>
      <c r="B2345" s="119" t="s">
        <v>3885</v>
      </c>
      <c r="C2345" s="120" t="s">
        <v>951</v>
      </c>
      <c r="D2345" s="441">
        <v>299.88</v>
      </c>
    </row>
    <row r="2346" spans="1:4" ht="31.5" customHeight="1">
      <c r="A2346" s="120">
        <v>101997</v>
      </c>
      <c r="B2346" s="119" t="s">
        <v>3886</v>
      </c>
      <c r="C2346" s="120" t="s">
        <v>951</v>
      </c>
      <c r="D2346" s="441">
        <v>193.41</v>
      </c>
    </row>
    <row r="2347" spans="1:4" ht="31.5" customHeight="1">
      <c r="A2347" s="120">
        <v>101998</v>
      </c>
      <c r="B2347" s="119" t="s">
        <v>3887</v>
      </c>
      <c r="C2347" s="120" t="s">
        <v>951</v>
      </c>
      <c r="D2347" s="441">
        <v>144.49</v>
      </c>
    </row>
    <row r="2348" spans="1:4" ht="31.5" customHeight="1">
      <c r="A2348" s="120">
        <v>101999</v>
      </c>
      <c r="B2348" s="119" t="s">
        <v>3888</v>
      </c>
      <c r="C2348" s="120" t="s">
        <v>951</v>
      </c>
      <c r="D2348" s="441">
        <v>390.38</v>
      </c>
    </row>
    <row r="2349" spans="1:4" ht="31.5" customHeight="1">
      <c r="A2349" s="120">
        <v>102000</v>
      </c>
      <c r="B2349" s="119" t="s">
        <v>3889</v>
      </c>
      <c r="C2349" s="120" t="s">
        <v>951</v>
      </c>
      <c r="D2349" s="441">
        <v>594.39</v>
      </c>
    </row>
    <row r="2350" spans="1:4" ht="31.5" customHeight="1">
      <c r="A2350" s="120">
        <v>102001</v>
      </c>
      <c r="B2350" s="119" t="s">
        <v>3890</v>
      </c>
      <c r="C2350" s="120" t="s">
        <v>951</v>
      </c>
      <c r="D2350" s="441">
        <v>512.24</v>
      </c>
    </row>
    <row r="2351" spans="1:4" ht="31.5" customHeight="1">
      <c r="A2351" s="120">
        <v>102002</v>
      </c>
      <c r="B2351" s="119" t="s">
        <v>3891</v>
      </c>
      <c r="C2351" s="120" t="s">
        <v>951</v>
      </c>
      <c r="D2351" s="441">
        <v>307.81</v>
      </c>
    </row>
    <row r="2352" spans="1:4" ht="31.5" customHeight="1">
      <c r="A2352" s="120">
        <v>102003</v>
      </c>
      <c r="B2352" s="119" t="s">
        <v>3892</v>
      </c>
      <c r="C2352" s="120" t="s">
        <v>951</v>
      </c>
      <c r="D2352" s="441">
        <v>274</v>
      </c>
    </row>
    <row r="2353" spans="1:4" ht="31.5" customHeight="1">
      <c r="A2353" s="120">
        <v>102004</v>
      </c>
      <c r="B2353" s="119" t="s">
        <v>3893</v>
      </c>
      <c r="C2353" s="120" t="s">
        <v>951</v>
      </c>
      <c r="D2353" s="441">
        <v>239.02</v>
      </c>
    </row>
    <row r="2354" spans="1:4" ht="31.5" customHeight="1">
      <c r="A2354" s="120">
        <v>102005</v>
      </c>
      <c r="B2354" s="119" t="s">
        <v>3894</v>
      </c>
      <c r="C2354" s="120" t="s">
        <v>951</v>
      </c>
      <c r="D2354" s="441">
        <v>211.47</v>
      </c>
    </row>
    <row r="2355" spans="1:4" ht="31.5" customHeight="1">
      <c r="A2355" s="120">
        <v>102006</v>
      </c>
      <c r="B2355" s="119" t="s">
        <v>3895</v>
      </c>
      <c r="C2355" s="120" t="s">
        <v>951</v>
      </c>
      <c r="D2355" s="441">
        <v>194.19</v>
      </c>
    </row>
    <row r="2356" spans="1:4" ht="31.5" customHeight="1">
      <c r="A2356" s="120">
        <v>102007</v>
      </c>
      <c r="B2356" s="119" t="s">
        <v>3896</v>
      </c>
      <c r="C2356" s="120" t="s">
        <v>951</v>
      </c>
      <c r="D2356" s="441">
        <v>566.72</v>
      </c>
    </row>
    <row r="2357" spans="1:4" ht="31.5" customHeight="1">
      <c r="A2357" s="120">
        <v>102008</v>
      </c>
      <c r="B2357" s="119" t="s">
        <v>3897</v>
      </c>
      <c r="C2357" s="120" t="s">
        <v>951</v>
      </c>
      <c r="D2357" s="441">
        <v>472.79</v>
      </c>
    </row>
    <row r="2358" spans="1:4" ht="31.5" customHeight="1">
      <c r="A2358" s="120">
        <v>102009</v>
      </c>
      <c r="B2358" s="119" t="s">
        <v>3898</v>
      </c>
      <c r="C2358" s="120" t="s">
        <v>951</v>
      </c>
      <c r="D2358" s="441">
        <v>311.32</v>
      </c>
    </row>
    <row r="2359" spans="1:4" ht="31.5" customHeight="1">
      <c r="A2359" s="120">
        <v>102010</v>
      </c>
      <c r="B2359" s="119" t="s">
        <v>3899</v>
      </c>
      <c r="C2359" s="120" t="s">
        <v>951</v>
      </c>
      <c r="D2359" s="441">
        <v>274.27</v>
      </c>
    </row>
    <row r="2360" spans="1:4" ht="31.5" customHeight="1">
      <c r="A2360" s="120">
        <v>102011</v>
      </c>
      <c r="B2360" s="119" t="s">
        <v>3900</v>
      </c>
      <c r="C2360" s="120" t="s">
        <v>951</v>
      </c>
      <c r="D2360" s="441">
        <v>233.12</v>
      </c>
    </row>
    <row r="2361" spans="1:4" ht="31.5" customHeight="1">
      <c r="A2361" s="120">
        <v>102012</v>
      </c>
      <c r="B2361" s="119" t="s">
        <v>3901</v>
      </c>
      <c r="C2361" s="120" t="s">
        <v>951</v>
      </c>
      <c r="D2361" s="441">
        <v>206</v>
      </c>
    </row>
    <row r="2362" spans="1:4" ht="31.5" customHeight="1">
      <c r="A2362" s="120">
        <v>102013</v>
      </c>
      <c r="B2362" s="119" t="s">
        <v>3902</v>
      </c>
      <c r="C2362" s="120" t="s">
        <v>951</v>
      </c>
      <c r="D2362" s="441">
        <v>190.87</v>
      </c>
    </row>
    <row r="2363" spans="1:4" ht="31.5" customHeight="1">
      <c r="A2363" s="120">
        <v>102014</v>
      </c>
      <c r="B2363" s="119" t="s">
        <v>3903</v>
      </c>
      <c r="C2363" s="120" t="s">
        <v>951</v>
      </c>
      <c r="D2363" s="441">
        <v>649.79999999999995</v>
      </c>
    </row>
    <row r="2364" spans="1:4" ht="31.5" customHeight="1">
      <c r="A2364" s="120">
        <v>102015</v>
      </c>
      <c r="B2364" s="119" t="s">
        <v>3904</v>
      </c>
      <c r="C2364" s="120" t="s">
        <v>951</v>
      </c>
      <c r="D2364" s="441">
        <v>544.02</v>
      </c>
    </row>
    <row r="2365" spans="1:4" ht="31.5" customHeight="1">
      <c r="A2365" s="120">
        <v>102016</v>
      </c>
      <c r="B2365" s="119" t="s">
        <v>3905</v>
      </c>
      <c r="C2365" s="120" t="s">
        <v>951</v>
      </c>
      <c r="D2365" s="441">
        <v>307.82</v>
      </c>
    </row>
    <row r="2366" spans="1:4" ht="31.5" customHeight="1">
      <c r="A2366" s="120">
        <v>102017</v>
      </c>
      <c r="B2366" s="119" t="s">
        <v>3906</v>
      </c>
      <c r="C2366" s="120" t="s">
        <v>951</v>
      </c>
      <c r="D2366" s="441">
        <v>272.3</v>
      </c>
    </row>
    <row r="2367" spans="1:4" ht="31.5" customHeight="1">
      <c r="A2367" s="120">
        <v>102036</v>
      </c>
      <c r="B2367" s="119" t="s">
        <v>3907</v>
      </c>
      <c r="C2367" s="120" t="s">
        <v>951</v>
      </c>
      <c r="D2367" s="441">
        <v>235.25</v>
      </c>
    </row>
    <row r="2368" spans="1:4" ht="31.5" customHeight="1">
      <c r="A2368" s="120">
        <v>102037</v>
      </c>
      <c r="B2368" s="119" t="s">
        <v>3908</v>
      </c>
      <c r="C2368" s="120" t="s">
        <v>951</v>
      </c>
      <c r="D2368" s="441">
        <v>207.55</v>
      </c>
    </row>
    <row r="2369" spans="1:4" ht="31.5" customHeight="1">
      <c r="A2369" s="120">
        <v>102038</v>
      </c>
      <c r="B2369" s="119" t="s">
        <v>3909</v>
      </c>
      <c r="C2369" s="120" t="s">
        <v>951</v>
      </c>
      <c r="D2369" s="441">
        <v>192.11</v>
      </c>
    </row>
    <row r="2370" spans="1:4" ht="31.5" customHeight="1">
      <c r="A2370" s="120">
        <v>102039</v>
      </c>
      <c r="B2370" s="119" t="s">
        <v>3910</v>
      </c>
      <c r="C2370" s="120" t="s">
        <v>951</v>
      </c>
      <c r="D2370" s="441">
        <v>593.59</v>
      </c>
    </row>
    <row r="2371" spans="1:4" ht="31.5" customHeight="1">
      <c r="A2371" s="120">
        <v>102040</v>
      </c>
      <c r="B2371" s="119" t="s">
        <v>3911</v>
      </c>
      <c r="C2371" s="120" t="s">
        <v>951</v>
      </c>
      <c r="D2371" s="441">
        <v>493.63</v>
      </c>
    </row>
    <row r="2372" spans="1:4" ht="31.5" customHeight="1">
      <c r="A2372" s="120">
        <v>102041</v>
      </c>
      <c r="B2372" s="119" t="s">
        <v>3912</v>
      </c>
      <c r="C2372" s="120" t="s">
        <v>951</v>
      </c>
      <c r="D2372" s="441">
        <v>312.45</v>
      </c>
    </row>
    <row r="2373" spans="1:4" ht="31.5" customHeight="1">
      <c r="A2373" s="120">
        <v>102042</v>
      </c>
      <c r="B2373" s="119" t="s">
        <v>3913</v>
      </c>
      <c r="C2373" s="120" t="s">
        <v>951</v>
      </c>
      <c r="D2373" s="441">
        <v>273.24</v>
      </c>
    </row>
    <row r="2374" spans="1:4" ht="31.5" customHeight="1">
      <c r="A2374" s="120">
        <v>102043</v>
      </c>
      <c r="B2374" s="119" t="s">
        <v>3914</v>
      </c>
      <c r="C2374" s="120" t="s">
        <v>951</v>
      </c>
      <c r="D2374" s="441">
        <v>233.42</v>
      </c>
    </row>
    <row r="2375" spans="1:4" ht="31.5" customHeight="1">
      <c r="A2375" s="120">
        <v>102044</v>
      </c>
      <c r="B2375" s="119" t="s">
        <v>3915</v>
      </c>
      <c r="C2375" s="120" t="s">
        <v>951</v>
      </c>
      <c r="D2375" s="441">
        <v>207.13</v>
      </c>
    </row>
    <row r="2376" spans="1:4" ht="31.5" customHeight="1">
      <c r="A2376" s="120">
        <v>102045</v>
      </c>
      <c r="B2376" s="119" t="s">
        <v>3916</v>
      </c>
      <c r="C2376" s="120" t="s">
        <v>951</v>
      </c>
      <c r="D2376" s="441">
        <v>191.37</v>
      </c>
    </row>
    <row r="2377" spans="1:4" ht="31.5" customHeight="1">
      <c r="A2377" s="120">
        <v>102046</v>
      </c>
      <c r="B2377" s="119" t="s">
        <v>3917</v>
      </c>
      <c r="C2377" s="120" t="s">
        <v>951</v>
      </c>
      <c r="D2377" s="441">
        <v>666.13</v>
      </c>
    </row>
    <row r="2378" spans="1:4" ht="31.5" customHeight="1">
      <c r="A2378" s="120">
        <v>102047</v>
      </c>
      <c r="B2378" s="119" t="s">
        <v>3918</v>
      </c>
      <c r="C2378" s="120" t="s">
        <v>951</v>
      </c>
      <c r="D2378" s="441">
        <v>568.12</v>
      </c>
    </row>
    <row r="2379" spans="1:4" ht="31.5" customHeight="1">
      <c r="A2379" s="120">
        <v>102048</v>
      </c>
      <c r="B2379" s="119" t="s">
        <v>3919</v>
      </c>
      <c r="C2379" s="120" t="s">
        <v>951</v>
      </c>
      <c r="D2379" s="441">
        <v>303.39</v>
      </c>
    </row>
    <row r="2380" spans="1:4" ht="31.5" customHeight="1">
      <c r="A2380" s="120">
        <v>102049</v>
      </c>
      <c r="B2380" s="119" t="s">
        <v>3920</v>
      </c>
      <c r="C2380" s="120" t="s">
        <v>951</v>
      </c>
      <c r="D2380" s="441">
        <v>265.45999999999998</v>
      </c>
    </row>
    <row r="2381" spans="1:4" ht="31.5" customHeight="1">
      <c r="A2381" s="120">
        <v>102050</v>
      </c>
      <c r="B2381" s="119" t="s">
        <v>3921</v>
      </c>
      <c r="C2381" s="120" t="s">
        <v>951</v>
      </c>
      <c r="D2381" s="441">
        <v>230.36</v>
      </c>
    </row>
    <row r="2382" spans="1:4" ht="31.5" customHeight="1">
      <c r="A2382" s="120">
        <v>102051</v>
      </c>
      <c r="B2382" s="119" t="s">
        <v>3922</v>
      </c>
      <c r="C2382" s="120" t="s">
        <v>951</v>
      </c>
      <c r="D2382" s="441">
        <v>202.67</v>
      </c>
    </row>
    <row r="2383" spans="1:4" ht="31.5" customHeight="1">
      <c r="A2383" s="120">
        <v>102052</v>
      </c>
      <c r="B2383" s="119" t="s">
        <v>3923</v>
      </c>
      <c r="C2383" s="120" t="s">
        <v>951</v>
      </c>
      <c r="D2383" s="441">
        <v>187.22</v>
      </c>
    </row>
    <row r="2384" spans="1:4" ht="31.5" customHeight="1">
      <c r="A2384" s="120">
        <v>102059</v>
      </c>
      <c r="B2384" s="119" t="s">
        <v>3924</v>
      </c>
      <c r="C2384" s="120" t="s">
        <v>951</v>
      </c>
      <c r="D2384" s="441">
        <v>551.62</v>
      </c>
    </row>
    <row r="2385" spans="1:4" ht="31.5" customHeight="1">
      <c r="A2385" s="120">
        <v>102060</v>
      </c>
      <c r="B2385" s="119" t="s">
        <v>3925</v>
      </c>
      <c r="C2385" s="120" t="s">
        <v>951</v>
      </c>
      <c r="D2385" s="441">
        <v>462.82</v>
      </c>
    </row>
    <row r="2386" spans="1:4" ht="31.5" customHeight="1">
      <c r="A2386" s="120">
        <v>102061</v>
      </c>
      <c r="B2386" s="119" t="s">
        <v>3926</v>
      </c>
      <c r="C2386" s="120" t="s">
        <v>951</v>
      </c>
      <c r="D2386" s="441">
        <v>284.95</v>
      </c>
    </row>
    <row r="2387" spans="1:4" ht="31.5" customHeight="1">
      <c r="A2387" s="120">
        <v>102062</v>
      </c>
      <c r="B2387" s="119" t="s">
        <v>3927</v>
      </c>
      <c r="C2387" s="120" t="s">
        <v>951</v>
      </c>
      <c r="D2387" s="441">
        <v>254.18</v>
      </c>
    </row>
    <row r="2388" spans="1:4" ht="31.5" customHeight="1">
      <c r="A2388" s="120">
        <v>102063</v>
      </c>
      <c r="B2388" s="119" t="s">
        <v>3928</v>
      </c>
      <c r="C2388" s="120" t="s">
        <v>951</v>
      </c>
      <c r="D2388" s="441">
        <v>215.95</v>
      </c>
    </row>
    <row r="2389" spans="1:4" ht="31.5" customHeight="1">
      <c r="A2389" s="120">
        <v>102064</v>
      </c>
      <c r="B2389" s="119" t="s">
        <v>3929</v>
      </c>
      <c r="C2389" s="120" t="s">
        <v>951</v>
      </c>
      <c r="D2389" s="441">
        <v>189.59</v>
      </c>
    </row>
    <row r="2390" spans="1:4" ht="31.5" customHeight="1">
      <c r="A2390" s="120">
        <v>102065</v>
      </c>
      <c r="B2390" s="119" t="s">
        <v>3930</v>
      </c>
      <c r="C2390" s="120" t="s">
        <v>951</v>
      </c>
      <c r="D2390" s="441">
        <v>174.92</v>
      </c>
    </row>
    <row r="2391" spans="1:4" ht="31.5" customHeight="1">
      <c r="A2391" s="120">
        <v>102066</v>
      </c>
      <c r="B2391" s="119" t="s">
        <v>3931</v>
      </c>
      <c r="C2391" s="120" t="s">
        <v>951</v>
      </c>
      <c r="D2391" s="441">
        <v>587.20000000000005</v>
      </c>
    </row>
    <row r="2392" spans="1:4" ht="31.5" customHeight="1">
      <c r="A2392" s="120">
        <v>102067</v>
      </c>
      <c r="B2392" s="119" t="s">
        <v>3932</v>
      </c>
      <c r="C2392" s="120" t="s">
        <v>951</v>
      </c>
      <c r="D2392" s="441">
        <v>503.2</v>
      </c>
    </row>
    <row r="2393" spans="1:4" ht="31.5" customHeight="1">
      <c r="A2393" s="120">
        <v>102068</v>
      </c>
      <c r="B2393" s="119" t="s">
        <v>3933</v>
      </c>
      <c r="C2393" s="120" t="s">
        <v>951</v>
      </c>
      <c r="D2393" s="441">
        <v>272.82</v>
      </c>
    </row>
    <row r="2394" spans="1:4" ht="31.5" customHeight="1">
      <c r="A2394" s="120">
        <v>102069</v>
      </c>
      <c r="B2394" s="119" t="s">
        <v>3934</v>
      </c>
      <c r="C2394" s="120" t="s">
        <v>951</v>
      </c>
      <c r="D2394" s="441">
        <v>243.58</v>
      </c>
    </row>
    <row r="2395" spans="1:4" ht="31.5" customHeight="1">
      <c r="A2395" s="120">
        <v>102070</v>
      </c>
      <c r="B2395" s="119" t="s">
        <v>3935</v>
      </c>
      <c r="C2395" s="120" t="s">
        <v>951</v>
      </c>
      <c r="D2395" s="441">
        <v>210.85</v>
      </c>
    </row>
    <row r="2396" spans="1:4" ht="31.5" customHeight="1">
      <c r="A2396" s="120">
        <v>102071</v>
      </c>
      <c r="B2396" s="119" t="s">
        <v>3936</v>
      </c>
      <c r="C2396" s="120" t="s">
        <v>951</v>
      </c>
      <c r="D2396" s="441">
        <v>185.33</v>
      </c>
    </row>
    <row r="2397" spans="1:4" ht="31.5" customHeight="1">
      <c r="A2397" s="120">
        <v>102072</v>
      </c>
      <c r="B2397" s="119" t="s">
        <v>3937</v>
      </c>
      <c r="C2397" s="120" t="s">
        <v>951</v>
      </c>
      <c r="D2397" s="441">
        <v>173.83</v>
      </c>
    </row>
    <row r="2398" spans="1:4" ht="31.5" customHeight="1">
      <c r="A2398" s="120">
        <v>102073</v>
      </c>
      <c r="B2398" s="119" t="s">
        <v>3938</v>
      </c>
      <c r="C2398" s="120" t="s">
        <v>950</v>
      </c>
      <c r="D2398" s="442">
        <v>3599.84</v>
      </c>
    </row>
    <row r="2399" spans="1:4" ht="31.5" customHeight="1">
      <c r="A2399" s="120">
        <v>102074</v>
      </c>
      <c r="B2399" s="119" t="s">
        <v>3939</v>
      </c>
      <c r="C2399" s="120" t="s">
        <v>950</v>
      </c>
      <c r="D2399" s="442">
        <v>4326.13</v>
      </c>
    </row>
    <row r="2400" spans="1:4" ht="31.5" customHeight="1">
      <c r="A2400" s="120">
        <v>102075</v>
      </c>
      <c r="B2400" s="119" t="s">
        <v>3940</v>
      </c>
      <c r="C2400" s="120" t="s">
        <v>950</v>
      </c>
      <c r="D2400" s="442">
        <v>4540.58</v>
      </c>
    </row>
    <row r="2401" spans="1:4" ht="31.5" customHeight="1">
      <c r="A2401" s="120">
        <v>102076</v>
      </c>
      <c r="B2401" s="119" t="s">
        <v>3941</v>
      </c>
      <c r="C2401" s="120" t="s">
        <v>950</v>
      </c>
      <c r="D2401" s="442">
        <v>4624.8900000000003</v>
      </c>
    </row>
    <row r="2402" spans="1:4" ht="31.5" customHeight="1">
      <c r="A2402" s="120">
        <v>102077</v>
      </c>
      <c r="B2402" s="119" t="s">
        <v>3942</v>
      </c>
      <c r="C2402" s="120" t="s">
        <v>950</v>
      </c>
      <c r="D2402" s="442">
        <v>5204.8500000000004</v>
      </c>
    </row>
    <row r="2403" spans="1:4" ht="31.5" customHeight="1">
      <c r="A2403" s="120">
        <v>102078</v>
      </c>
      <c r="B2403" s="119" t="s">
        <v>3943</v>
      </c>
      <c r="C2403" s="120" t="s">
        <v>950</v>
      </c>
      <c r="D2403" s="442">
        <v>5242.7700000000004</v>
      </c>
    </row>
    <row r="2404" spans="1:4" ht="31.5" customHeight="1">
      <c r="A2404" s="120">
        <v>102079</v>
      </c>
      <c r="B2404" s="119" t="s">
        <v>3944</v>
      </c>
      <c r="C2404" s="120" t="s">
        <v>950</v>
      </c>
      <c r="D2404" s="442">
        <v>5062.8900000000003</v>
      </c>
    </row>
    <row r="2405" spans="1:4" ht="31.5" customHeight="1">
      <c r="A2405" s="120">
        <v>102080</v>
      </c>
      <c r="B2405" s="119" t="s">
        <v>3945</v>
      </c>
      <c r="C2405" s="120" t="s">
        <v>950</v>
      </c>
      <c r="D2405" s="442">
        <v>4417.3900000000003</v>
      </c>
    </row>
    <row r="2406" spans="1:4" ht="31.5" customHeight="1">
      <c r="A2406" s="120">
        <v>102086</v>
      </c>
      <c r="B2406" s="119" t="s">
        <v>3946</v>
      </c>
      <c r="C2406" s="120" t="s">
        <v>951</v>
      </c>
      <c r="D2406" s="441">
        <v>190.73</v>
      </c>
    </row>
    <row r="2407" spans="1:4" ht="31.5" customHeight="1">
      <c r="A2407" s="120">
        <v>102087</v>
      </c>
      <c r="B2407" s="119" t="s">
        <v>3947</v>
      </c>
      <c r="C2407" s="120" t="s">
        <v>951</v>
      </c>
      <c r="D2407" s="441">
        <v>149.93</v>
      </c>
    </row>
    <row r="2408" spans="1:4" ht="31.5" customHeight="1">
      <c r="A2408" s="120">
        <v>102088</v>
      </c>
      <c r="B2408" s="119" t="s">
        <v>3948</v>
      </c>
      <c r="C2408" s="120" t="s">
        <v>951</v>
      </c>
      <c r="D2408" s="441">
        <v>278.52</v>
      </c>
    </row>
    <row r="2409" spans="1:4" ht="31.5" customHeight="1">
      <c r="A2409" s="120">
        <v>102089</v>
      </c>
      <c r="B2409" s="119" t="s">
        <v>3949</v>
      </c>
      <c r="C2409" s="120" t="s">
        <v>951</v>
      </c>
      <c r="D2409" s="441">
        <v>183.04</v>
      </c>
    </row>
    <row r="2410" spans="1:4" ht="31.5" customHeight="1">
      <c r="A2410" s="120">
        <v>102090</v>
      </c>
      <c r="B2410" s="119" t="s">
        <v>3950</v>
      </c>
      <c r="C2410" s="120" t="s">
        <v>951</v>
      </c>
      <c r="D2410" s="441">
        <v>136.75</v>
      </c>
    </row>
    <row r="2411" spans="1:4" ht="31.5" customHeight="1">
      <c r="A2411" s="120">
        <v>102091</v>
      </c>
      <c r="B2411" s="119" t="s">
        <v>3951</v>
      </c>
      <c r="C2411" s="120" t="s">
        <v>951</v>
      </c>
      <c r="D2411" s="441">
        <v>328.88</v>
      </c>
    </row>
    <row r="2412" spans="1:4" ht="31.5" customHeight="1">
      <c r="A2412" s="120">
        <v>103760</v>
      </c>
      <c r="B2412" s="119" t="s">
        <v>3952</v>
      </c>
      <c r="C2412" s="120" t="s">
        <v>951</v>
      </c>
      <c r="D2412" s="441">
        <v>131.35</v>
      </c>
    </row>
    <row r="2413" spans="1:4" ht="31.5" customHeight="1">
      <c r="A2413" s="120">
        <v>103761</v>
      </c>
      <c r="B2413" s="119" t="s">
        <v>3953</v>
      </c>
      <c r="C2413" s="120" t="s">
        <v>951</v>
      </c>
      <c r="D2413" s="441">
        <v>87.66</v>
      </c>
    </row>
    <row r="2414" spans="1:4" ht="31.5" customHeight="1">
      <c r="A2414" s="120">
        <v>103762</v>
      </c>
      <c r="B2414" s="119" t="s">
        <v>3954</v>
      </c>
      <c r="C2414" s="120" t="s">
        <v>951</v>
      </c>
      <c r="D2414" s="441">
        <v>75.150000000000006</v>
      </c>
    </row>
    <row r="2415" spans="1:4" ht="31.5" customHeight="1">
      <c r="A2415" s="120">
        <v>103763</v>
      </c>
      <c r="B2415" s="119" t="s">
        <v>3955</v>
      </c>
      <c r="C2415" s="120" t="s">
        <v>951</v>
      </c>
      <c r="D2415" s="441">
        <v>66.099999999999994</v>
      </c>
    </row>
    <row r="2416" spans="1:4" ht="15.75" customHeight="1">
      <c r="A2416" s="120">
        <v>89996</v>
      </c>
      <c r="B2416" s="119" t="s">
        <v>3956</v>
      </c>
      <c r="C2416" s="120" t="s">
        <v>327</v>
      </c>
      <c r="D2416" s="441">
        <v>11.45</v>
      </c>
    </row>
    <row r="2417" spans="1:4" ht="15.75" customHeight="1">
      <c r="A2417" s="120">
        <v>89997</v>
      </c>
      <c r="B2417" s="119" t="s">
        <v>3957</v>
      </c>
      <c r="C2417" s="120" t="s">
        <v>327</v>
      </c>
      <c r="D2417" s="441">
        <v>9.25</v>
      </c>
    </row>
    <row r="2418" spans="1:4" ht="15.75" customHeight="1">
      <c r="A2418" s="120">
        <v>89998</v>
      </c>
      <c r="B2418" s="119" t="s">
        <v>3958</v>
      </c>
      <c r="C2418" s="120" t="s">
        <v>327</v>
      </c>
      <c r="D2418" s="441">
        <v>10.83</v>
      </c>
    </row>
    <row r="2419" spans="1:4" ht="15.75" customHeight="1">
      <c r="A2419" s="120">
        <v>89999</v>
      </c>
      <c r="B2419" s="119" t="s">
        <v>3959</v>
      </c>
      <c r="C2419" s="120" t="s">
        <v>327</v>
      </c>
      <c r="D2419" s="441">
        <v>17.73</v>
      </c>
    </row>
    <row r="2420" spans="1:4" ht="15.75" customHeight="1">
      <c r="A2420" s="120">
        <v>90000</v>
      </c>
      <c r="B2420" s="119" t="s">
        <v>3960</v>
      </c>
      <c r="C2420" s="120" t="s">
        <v>327</v>
      </c>
      <c r="D2420" s="441">
        <v>14.07</v>
      </c>
    </row>
    <row r="2421" spans="1:4" ht="31.5" customHeight="1">
      <c r="A2421" s="120">
        <v>91593</v>
      </c>
      <c r="B2421" s="119" t="s">
        <v>3961</v>
      </c>
      <c r="C2421" s="120" t="s">
        <v>327</v>
      </c>
      <c r="D2421" s="441">
        <v>13.13</v>
      </c>
    </row>
    <row r="2422" spans="1:4" ht="31.5" customHeight="1">
      <c r="A2422" s="120">
        <v>91594</v>
      </c>
      <c r="B2422" s="119" t="s">
        <v>3962</v>
      </c>
      <c r="C2422" s="120" t="s">
        <v>327</v>
      </c>
      <c r="D2422" s="441">
        <v>13.64</v>
      </c>
    </row>
    <row r="2423" spans="1:4" ht="31.5" customHeight="1">
      <c r="A2423" s="120">
        <v>91595</v>
      </c>
      <c r="B2423" s="119" t="s">
        <v>3963</v>
      </c>
      <c r="C2423" s="120" t="s">
        <v>327</v>
      </c>
      <c r="D2423" s="441">
        <v>14.46</v>
      </c>
    </row>
    <row r="2424" spans="1:4" ht="31.5" customHeight="1">
      <c r="A2424" s="120">
        <v>91596</v>
      </c>
      <c r="B2424" s="119" t="s">
        <v>3964</v>
      </c>
      <c r="C2424" s="120" t="s">
        <v>327</v>
      </c>
      <c r="D2424" s="441">
        <v>13.51</v>
      </c>
    </row>
    <row r="2425" spans="1:4" ht="31.5" customHeight="1">
      <c r="A2425" s="120">
        <v>91597</v>
      </c>
      <c r="B2425" s="119" t="s">
        <v>3965</v>
      </c>
      <c r="C2425" s="120" t="s">
        <v>327</v>
      </c>
      <c r="D2425" s="441">
        <v>9.64</v>
      </c>
    </row>
    <row r="2426" spans="1:4" ht="31.5" customHeight="1">
      <c r="A2426" s="120">
        <v>91598</v>
      </c>
      <c r="B2426" s="119" t="s">
        <v>3966</v>
      </c>
      <c r="C2426" s="120" t="s">
        <v>327</v>
      </c>
      <c r="D2426" s="441">
        <v>13.27</v>
      </c>
    </row>
    <row r="2427" spans="1:4" ht="31.5" customHeight="1">
      <c r="A2427" s="120">
        <v>91599</v>
      </c>
      <c r="B2427" s="119" t="s">
        <v>3967</v>
      </c>
      <c r="C2427" s="120" t="s">
        <v>327</v>
      </c>
      <c r="D2427" s="441">
        <v>10.09</v>
      </c>
    </row>
    <row r="2428" spans="1:4" ht="15.75" customHeight="1">
      <c r="A2428" s="120">
        <v>91600</v>
      </c>
      <c r="B2428" s="119" t="s">
        <v>3968</v>
      </c>
      <c r="C2428" s="120" t="s">
        <v>327</v>
      </c>
      <c r="D2428" s="441">
        <v>16.57</v>
      </c>
    </row>
    <row r="2429" spans="1:4" ht="31.5" customHeight="1">
      <c r="A2429" s="120">
        <v>91601</v>
      </c>
      <c r="B2429" s="119" t="s">
        <v>3969</v>
      </c>
      <c r="C2429" s="120" t="s">
        <v>327</v>
      </c>
      <c r="D2429" s="441">
        <v>13.3</v>
      </c>
    </row>
    <row r="2430" spans="1:4" ht="31.5" customHeight="1">
      <c r="A2430" s="120">
        <v>91602</v>
      </c>
      <c r="B2430" s="119" t="s">
        <v>3970</v>
      </c>
      <c r="C2430" s="120" t="s">
        <v>327</v>
      </c>
      <c r="D2430" s="441">
        <v>12.11</v>
      </c>
    </row>
    <row r="2431" spans="1:4" ht="31.5" customHeight="1">
      <c r="A2431" s="120">
        <v>91603</v>
      </c>
      <c r="B2431" s="119" t="s">
        <v>3971</v>
      </c>
      <c r="C2431" s="120" t="s">
        <v>327</v>
      </c>
      <c r="D2431" s="441">
        <v>11.44</v>
      </c>
    </row>
    <row r="2432" spans="1:4" ht="31.5" customHeight="1">
      <c r="A2432" s="120">
        <v>92759</v>
      </c>
      <c r="B2432" s="119" t="s">
        <v>3972</v>
      </c>
      <c r="C2432" s="120" t="s">
        <v>327</v>
      </c>
      <c r="D2432" s="441">
        <v>15.45</v>
      </c>
    </row>
    <row r="2433" spans="1:4" ht="31.5" customHeight="1">
      <c r="A2433" s="120">
        <v>92760</v>
      </c>
      <c r="B2433" s="119" t="s">
        <v>3973</v>
      </c>
      <c r="C2433" s="120" t="s">
        <v>327</v>
      </c>
      <c r="D2433" s="441">
        <v>14.38</v>
      </c>
    </row>
    <row r="2434" spans="1:4" ht="31.5" customHeight="1">
      <c r="A2434" s="120">
        <v>92761</v>
      </c>
      <c r="B2434" s="119" t="s">
        <v>3974</v>
      </c>
      <c r="C2434" s="120" t="s">
        <v>327</v>
      </c>
      <c r="D2434" s="441">
        <v>13.37</v>
      </c>
    </row>
    <row r="2435" spans="1:4" ht="31.5" customHeight="1">
      <c r="A2435" s="120">
        <v>92762</v>
      </c>
      <c r="B2435" s="119" t="s">
        <v>3975</v>
      </c>
      <c r="C2435" s="120" t="s">
        <v>327</v>
      </c>
      <c r="D2435" s="441">
        <v>11.86</v>
      </c>
    </row>
    <row r="2436" spans="1:4" ht="31.5" customHeight="1">
      <c r="A2436" s="120">
        <v>92763</v>
      </c>
      <c r="B2436" s="119" t="s">
        <v>3976</v>
      </c>
      <c r="C2436" s="120" t="s">
        <v>327</v>
      </c>
      <c r="D2436" s="441">
        <v>9.9499999999999993</v>
      </c>
    </row>
    <row r="2437" spans="1:4" ht="31.5" customHeight="1">
      <c r="A2437" s="120">
        <v>92764</v>
      </c>
      <c r="B2437" s="119" t="s">
        <v>3977</v>
      </c>
      <c r="C2437" s="120" t="s">
        <v>327</v>
      </c>
      <c r="D2437" s="441">
        <v>9.59</v>
      </c>
    </row>
    <row r="2438" spans="1:4" ht="31.5" customHeight="1">
      <c r="A2438" s="120">
        <v>92765</v>
      </c>
      <c r="B2438" s="119" t="s">
        <v>3978</v>
      </c>
      <c r="C2438" s="120" t="s">
        <v>327</v>
      </c>
      <c r="D2438" s="441">
        <v>10.88</v>
      </c>
    </row>
    <row r="2439" spans="1:4" ht="31.5" customHeight="1">
      <c r="A2439" s="120">
        <v>92766</v>
      </c>
      <c r="B2439" s="119" t="s">
        <v>3979</v>
      </c>
      <c r="C2439" s="120" t="s">
        <v>327</v>
      </c>
      <c r="D2439" s="441">
        <v>10.74</v>
      </c>
    </row>
    <row r="2440" spans="1:4" ht="31.5" customHeight="1">
      <c r="A2440" s="120">
        <v>92767</v>
      </c>
      <c r="B2440" s="119" t="s">
        <v>3980</v>
      </c>
      <c r="C2440" s="120" t="s">
        <v>327</v>
      </c>
      <c r="D2440" s="441">
        <v>17.04</v>
      </c>
    </row>
    <row r="2441" spans="1:4" ht="31.5" customHeight="1">
      <c r="A2441" s="120">
        <v>92768</v>
      </c>
      <c r="B2441" s="119" t="s">
        <v>3981</v>
      </c>
      <c r="C2441" s="120" t="s">
        <v>327</v>
      </c>
      <c r="D2441" s="441">
        <v>14.81</v>
      </c>
    </row>
    <row r="2442" spans="1:4" ht="31.5" customHeight="1">
      <c r="A2442" s="120">
        <v>92769</v>
      </c>
      <c r="B2442" s="119" t="s">
        <v>3982</v>
      </c>
      <c r="C2442" s="120" t="s">
        <v>327</v>
      </c>
      <c r="D2442" s="441">
        <v>13.75</v>
      </c>
    </row>
    <row r="2443" spans="1:4" ht="31.5" customHeight="1">
      <c r="A2443" s="120">
        <v>92770</v>
      </c>
      <c r="B2443" s="119" t="s">
        <v>3983</v>
      </c>
      <c r="C2443" s="120" t="s">
        <v>327</v>
      </c>
      <c r="D2443" s="441">
        <v>12.79</v>
      </c>
    </row>
    <row r="2444" spans="1:4" ht="31.5" customHeight="1">
      <c r="A2444" s="120">
        <v>92771</v>
      </c>
      <c r="B2444" s="119" t="s">
        <v>3984</v>
      </c>
      <c r="C2444" s="120" t="s">
        <v>327</v>
      </c>
      <c r="D2444" s="441">
        <v>11.33</v>
      </c>
    </row>
    <row r="2445" spans="1:4" ht="31.5" customHeight="1">
      <c r="A2445" s="120">
        <v>92772</v>
      </c>
      <c r="B2445" s="119" t="s">
        <v>3985</v>
      </c>
      <c r="C2445" s="120" t="s">
        <v>327</v>
      </c>
      <c r="D2445" s="441">
        <v>9.48</v>
      </c>
    </row>
    <row r="2446" spans="1:4" ht="31.5" customHeight="1">
      <c r="A2446" s="120">
        <v>92773</v>
      </c>
      <c r="B2446" s="119" t="s">
        <v>3986</v>
      </c>
      <c r="C2446" s="120" t="s">
        <v>327</v>
      </c>
      <c r="D2446" s="441">
        <v>9.2899999999999991</v>
      </c>
    </row>
    <row r="2447" spans="1:4" ht="31.5" customHeight="1">
      <c r="A2447" s="120">
        <v>92774</v>
      </c>
      <c r="B2447" s="119" t="s">
        <v>3987</v>
      </c>
      <c r="C2447" s="120" t="s">
        <v>327</v>
      </c>
      <c r="D2447" s="441">
        <v>10.69</v>
      </c>
    </row>
    <row r="2448" spans="1:4" ht="15.75" customHeight="1">
      <c r="A2448" s="120">
        <v>92798</v>
      </c>
      <c r="B2448" s="119" t="s">
        <v>3988</v>
      </c>
      <c r="C2448" s="120" t="s">
        <v>327</v>
      </c>
      <c r="D2448" s="441">
        <v>9.65</v>
      </c>
    </row>
    <row r="2449" spans="1:4" ht="15.75" customHeight="1">
      <c r="A2449" s="120">
        <v>92799</v>
      </c>
      <c r="B2449" s="119" t="s">
        <v>3989</v>
      </c>
      <c r="C2449" s="120" t="s">
        <v>327</v>
      </c>
      <c r="D2449" s="441">
        <v>11.95</v>
      </c>
    </row>
    <row r="2450" spans="1:4" ht="15.75" customHeight="1">
      <c r="A2450" s="120">
        <v>92800</v>
      </c>
      <c r="B2450" s="119" t="s">
        <v>3990</v>
      </c>
      <c r="C2450" s="120" t="s">
        <v>327</v>
      </c>
      <c r="D2450" s="441">
        <v>10.66</v>
      </c>
    </row>
    <row r="2451" spans="1:4" ht="15.75" customHeight="1">
      <c r="A2451" s="120">
        <v>92801</v>
      </c>
      <c r="B2451" s="119" t="s">
        <v>3991</v>
      </c>
      <c r="C2451" s="120" t="s">
        <v>327</v>
      </c>
      <c r="D2451" s="441">
        <v>10.65</v>
      </c>
    </row>
    <row r="2452" spans="1:4" ht="15.75" customHeight="1">
      <c r="A2452" s="120">
        <v>92802</v>
      </c>
      <c r="B2452" s="119" t="s">
        <v>3992</v>
      </c>
      <c r="C2452" s="120" t="s">
        <v>327</v>
      </c>
      <c r="D2452" s="441">
        <v>10.52</v>
      </c>
    </row>
    <row r="2453" spans="1:4" ht="15.75" customHeight="1">
      <c r="A2453" s="120">
        <v>92803</v>
      </c>
      <c r="B2453" s="119" t="s">
        <v>3993</v>
      </c>
      <c r="C2453" s="120" t="s">
        <v>327</v>
      </c>
      <c r="D2453" s="441">
        <v>9.68</v>
      </c>
    </row>
    <row r="2454" spans="1:4" ht="15.75" customHeight="1">
      <c r="A2454" s="120">
        <v>92804</v>
      </c>
      <c r="B2454" s="119" t="s">
        <v>3994</v>
      </c>
      <c r="C2454" s="120" t="s">
        <v>327</v>
      </c>
      <c r="D2454" s="441">
        <v>8.2899999999999991</v>
      </c>
    </row>
    <row r="2455" spans="1:4" ht="15.75" customHeight="1">
      <c r="A2455" s="120">
        <v>92805</v>
      </c>
      <c r="B2455" s="119" t="s">
        <v>3995</v>
      </c>
      <c r="C2455" s="120" t="s">
        <v>327</v>
      </c>
      <c r="D2455" s="441">
        <v>8.1999999999999993</v>
      </c>
    </row>
    <row r="2456" spans="1:4" ht="15.75" customHeight="1">
      <c r="A2456" s="120">
        <v>92806</v>
      </c>
      <c r="B2456" s="119" t="s">
        <v>3996</v>
      </c>
      <c r="C2456" s="120" t="s">
        <v>327</v>
      </c>
      <c r="D2456" s="441">
        <v>9.66</v>
      </c>
    </row>
    <row r="2457" spans="1:4" ht="15.75" customHeight="1">
      <c r="A2457" s="120">
        <v>92875</v>
      </c>
      <c r="B2457" s="119" t="s">
        <v>3997</v>
      </c>
      <c r="C2457" s="120" t="s">
        <v>327</v>
      </c>
      <c r="D2457" s="441">
        <v>10.16</v>
      </c>
    </row>
    <row r="2458" spans="1:4" ht="15.75" customHeight="1">
      <c r="A2458" s="120">
        <v>92876</v>
      </c>
      <c r="B2458" s="119" t="s">
        <v>3998</v>
      </c>
      <c r="C2458" s="120" t="s">
        <v>327</v>
      </c>
      <c r="D2458" s="441">
        <v>9.8000000000000007</v>
      </c>
    </row>
    <row r="2459" spans="1:4" ht="15.75" customHeight="1">
      <c r="A2459" s="120">
        <v>92877</v>
      </c>
      <c r="B2459" s="119" t="s">
        <v>3999</v>
      </c>
      <c r="C2459" s="120" t="s">
        <v>327</v>
      </c>
      <c r="D2459" s="441">
        <v>10.51</v>
      </c>
    </row>
    <row r="2460" spans="1:4" ht="15.75" customHeight="1">
      <c r="A2460" s="120">
        <v>92878</v>
      </c>
      <c r="B2460" s="119" t="s">
        <v>4000</v>
      </c>
      <c r="C2460" s="120" t="s">
        <v>327</v>
      </c>
      <c r="D2460" s="441">
        <v>10.31</v>
      </c>
    </row>
    <row r="2461" spans="1:4" ht="15.75" customHeight="1">
      <c r="A2461" s="120">
        <v>92879</v>
      </c>
      <c r="B2461" s="119" t="s">
        <v>4001</v>
      </c>
      <c r="C2461" s="120" t="s">
        <v>327</v>
      </c>
      <c r="D2461" s="441">
        <v>10.18</v>
      </c>
    </row>
    <row r="2462" spans="1:4" ht="15.75" customHeight="1">
      <c r="A2462" s="120">
        <v>92880</v>
      </c>
      <c r="B2462" s="119" t="s">
        <v>4002</v>
      </c>
      <c r="C2462" s="120" t="s">
        <v>327</v>
      </c>
      <c r="D2462" s="441">
        <v>10.41</v>
      </c>
    </row>
    <row r="2463" spans="1:4" ht="15.75" customHeight="1">
      <c r="A2463" s="120">
        <v>92881</v>
      </c>
      <c r="B2463" s="119" t="s">
        <v>4003</v>
      </c>
      <c r="C2463" s="120" t="s">
        <v>327</v>
      </c>
      <c r="D2463" s="441">
        <v>10.38</v>
      </c>
    </row>
    <row r="2464" spans="1:4" ht="15.75" customHeight="1">
      <c r="A2464" s="120">
        <v>92882</v>
      </c>
      <c r="B2464" s="119" t="s">
        <v>4004</v>
      </c>
      <c r="C2464" s="120" t="s">
        <v>327</v>
      </c>
      <c r="D2464" s="441">
        <v>14.45</v>
      </c>
    </row>
    <row r="2465" spans="1:4" ht="15.75" customHeight="1">
      <c r="A2465" s="120">
        <v>92883</v>
      </c>
      <c r="B2465" s="119" t="s">
        <v>4005</v>
      </c>
      <c r="C2465" s="120" t="s">
        <v>327</v>
      </c>
      <c r="D2465" s="441">
        <v>13.17</v>
      </c>
    </row>
    <row r="2466" spans="1:4" ht="15.75" customHeight="1">
      <c r="A2466" s="120">
        <v>92884</v>
      </c>
      <c r="B2466" s="119" t="s">
        <v>4006</v>
      </c>
      <c r="C2466" s="120" t="s">
        <v>327</v>
      </c>
      <c r="D2466" s="441">
        <v>13.18</v>
      </c>
    </row>
    <row r="2467" spans="1:4" ht="15.75" customHeight="1">
      <c r="A2467" s="120">
        <v>92885</v>
      </c>
      <c r="B2467" s="119" t="s">
        <v>4007</v>
      </c>
      <c r="C2467" s="120" t="s">
        <v>327</v>
      </c>
      <c r="D2467" s="441">
        <v>12.43</v>
      </c>
    </row>
    <row r="2468" spans="1:4" ht="15.75" customHeight="1">
      <c r="A2468" s="120">
        <v>92886</v>
      </c>
      <c r="B2468" s="119" t="s">
        <v>4008</v>
      </c>
      <c r="C2468" s="120" t="s">
        <v>327</v>
      </c>
      <c r="D2468" s="441">
        <v>11.81</v>
      </c>
    </row>
    <row r="2469" spans="1:4" ht="15.75" customHeight="1">
      <c r="A2469" s="120">
        <v>92887</v>
      </c>
      <c r="B2469" s="119" t="s">
        <v>4009</v>
      </c>
      <c r="C2469" s="120" t="s">
        <v>327</v>
      </c>
      <c r="D2469" s="441">
        <v>11.7</v>
      </c>
    </row>
    <row r="2470" spans="1:4" ht="15.75" customHeight="1">
      <c r="A2470" s="120">
        <v>92888</v>
      </c>
      <c r="B2470" s="119" t="s">
        <v>4010</v>
      </c>
      <c r="C2470" s="120" t="s">
        <v>327</v>
      </c>
      <c r="D2470" s="441">
        <v>11.39</v>
      </c>
    </row>
    <row r="2471" spans="1:4" ht="31.5" customHeight="1">
      <c r="A2471" s="120">
        <v>92915</v>
      </c>
      <c r="B2471" s="119" t="s">
        <v>4011</v>
      </c>
      <c r="C2471" s="120" t="s">
        <v>327</v>
      </c>
      <c r="D2471" s="441">
        <v>18.600000000000001</v>
      </c>
    </row>
    <row r="2472" spans="1:4" ht="31.5" customHeight="1">
      <c r="A2472" s="120">
        <v>92916</v>
      </c>
      <c r="B2472" s="119" t="s">
        <v>4012</v>
      </c>
      <c r="C2472" s="120" t="s">
        <v>327</v>
      </c>
      <c r="D2472" s="441">
        <v>16.7</v>
      </c>
    </row>
    <row r="2473" spans="1:4" ht="31.5" customHeight="1">
      <c r="A2473" s="120">
        <v>92917</v>
      </c>
      <c r="B2473" s="119" t="s">
        <v>4013</v>
      </c>
      <c r="C2473" s="120" t="s">
        <v>327</v>
      </c>
      <c r="D2473" s="441">
        <v>15.01</v>
      </c>
    </row>
    <row r="2474" spans="1:4" ht="31.5" customHeight="1">
      <c r="A2474" s="120">
        <v>92919</v>
      </c>
      <c r="B2474" s="119" t="s">
        <v>4014</v>
      </c>
      <c r="C2474" s="120" t="s">
        <v>327</v>
      </c>
      <c r="D2474" s="441">
        <v>13.02</v>
      </c>
    </row>
    <row r="2475" spans="1:4" ht="31.5" customHeight="1">
      <c r="A2475" s="120">
        <v>92921</v>
      </c>
      <c r="B2475" s="119" t="s">
        <v>4015</v>
      </c>
      <c r="C2475" s="120" t="s">
        <v>327</v>
      </c>
      <c r="D2475" s="441">
        <v>10.7</v>
      </c>
    </row>
    <row r="2476" spans="1:4" ht="31.5" customHeight="1">
      <c r="A2476" s="120">
        <v>92922</v>
      </c>
      <c r="B2476" s="119" t="s">
        <v>4016</v>
      </c>
      <c r="C2476" s="120" t="s">
        <v>327</v>
      </c>
      <c r="D2476" s="441">
        <v>10.16</v>
      </c>
    </row>
    <row r="2477" spans="1:4" ht="31.5" customHeight="1">
      <c r="A2477" s="120">
        <v>92923</v>
      </c>
      <c r="B2477" s="119" t="s">
        <v>4017</v>
      </c>
      <c r="C2477" s="120" t="s">
        <v>327</v>
      </c>
      <c r="D2477" s="441">
        <v>11.32</v>
      </c>
    </row>
    <row r="2478" spans="1:4" ht="31.5" customHeight="1">
      <c r="A2478" s="120">
        <v>92924</v>
      </c>
      <c r="B2478" s="119" t="s">
        <v>4018</v>
      </c>
      <c r="C2478" s="120" t="s">
        <v>327</v>
      </c>
      <c r="D2478" s="441">
        <v>11.08</v>
      </c>
    </row>
    <row r="2479" spans="1:4" ht="15.75" customHeight="1">
      <c r="A2479" s="120">
        <v>95448</v>
      </c>
      <c r="B2479" s="119" t="s">
        <v>4019</v>
      </c>
      <c r="C2479" s="120" t="s">
        <v>327</v>
      </c>
      <c r="D2479" s="441">
        <v>10.57</v>
      </c>
    </row>
    <row r="2480" spans="1:4" ht="15.75" customHeight="1">
      <c r="A2480" s="120">
        <v>95576</v>
      </c>
      <c r="B2480" s="119" t="s">
        <v>4020</v>
      </c>
      <c r="C2480" s="120" t="s">
        <v>327</v>
      </c>
      <c r="D2480" s="441">
        <v>13.6</v>
      </c>
    </row>
    <row r="2481" spans="1:4" ht="15.75" customHeight="1">
      <c r="A2481" s="120">
        <v>95577</v>
      </c>
      <c r="B2481" s="119" t="s">
        <v>4021</v>
      </c>
      <c r="C2481" s="120" t="s">
        <v>327</v>
      </c>
      <c r="D2481" s="441">
        <v>11.44</v>
      </c>
    </row>
    <row r="2482" spans="1:4" ht="15.75" customHeight="1">
      <c r="A2482" s="120">
        <v>95578</v>
      </c>
      <c r="B2482" s="119" t="s">
        <v>4022</v>
      </c>
      <c r="C2482" s="120" t="s">
        <v>327</v>
      </c>
      <c r="D2482" s="441">
        <v>9.5</v>
      </c>
    </row>
    <row r="2483" spans="1:4" ht="15.75" customHeight="1">
      <c r="A2483" s="120">
        <v>95579</v>
      </c>
      <c r="B2483" s="119" t="s">
        <v>4023</v>
      </c>
      <c r="C2483" s="120" t="s">
        <v>327</v>
      </c>
      <c r="D2483" s="441">
        <v>9.15</v>
      </c>
    </row>
    <row r="2484" spans="1:4" ht="15.75" customHeight="1">
      <c r="A2484" s="120">
        <v>95580</v>
      </c>
      <c r="B2484" s="119" t="s">
        <v>4024</v>
      </c>
      <c r="C2484" s="120" t="s">
        <v>327</v>
      </c>
      <c r="D2484" s="441">
        <v>10.51</v>
      </c>
    </row>
    <row r="2485" spans="1:4" ht="15.75" customHeight="1">
      <c r="A2485" s="120">
        <v>95581</v>
      </c>
      <c r="B2485" s="119" t="s">
        <v>4025</v>
      </c>
      <c r="C2485" s="120" t="s">
        <v>327</v>
      </c>
      <c r="D2485" s="441">
        <v>10.45</v>
      </c>
    </row>
    <row r="2486" spans="1:4" ht="15.75" customHeight="1">
      <c r="A2486" s="120">
        <v>95582</v>
      </c>
      <c r="B2486" s="119" t="s">
        <v>4026</v>
      </c>
      <c r="C2486" s="120" t="s">
        <v>327</v>
      </c>
      <c r="D2486" s="441">
        <v>11.35</v>
      </c>
    </row>
    <row r="2487" spans="1:4" ht="15.75" customHeight="1">
      <c r="A2487" s="120">
        <v>95583</v>
      </c>
      <c r="B2487" s="119" t="s">
        <v>4027</v>
      </c>
      <c r="C2487" s="120" t="s">
        <v>327</v>
      </c>
      <c r="D2487" s="441">
        <v>17.59</v>
      </c>
    </row>
    <row r="2488" spans="1:4" ht="31.5" customHeight="1">
      <c r="A2488" s="120">
        <v>95584</v>
      </c>
      <c r="B2488" s="119" t="s">
        <v>4028</v>
      </c>
      <c r="C2488" s="120" t="s">
        <v>327</v>
      </c>
      <c r="D2488" s="441">
        <v>15.26</v>
      </c>
    </row>
    <row r="2489" spans="1:4" ht="31.5" customHeight="1">
      <c r="A2489" s="120">
        <v>95592</v>
      </c>
      <c r="B2489" s="119" t="s">
        <v>4029</v>
      </c>
      <c r="C2489" s="120" t="s">
        <v>327</v>
      </c>
      <c r="D2489" s="441">
        <v>17.59</v>
      </c>
    </row>
    <row r="2490" spans="1:4" ht="31.5" customHeight="1">
      <c r="A2490" s="120">
        <v>95593</v>
      </c>
      <c r="B2490" s="119" t="s">
        <v>4030</v>
      </c>
      <c r="C2490" s="120" t="s">
        <v>327</v>
      </c>
      <c r="D2490" s="441">
        <v>15.26</v>
      </c>
    </row>
    <row r="2491" spans="1:4" ht="31.5" customHeight="1">
      <c r="A2491" s="120">
        <v>95943</v>
      </c>
      <c r="B2491" s="119" t="s">
        <v>4031</v>
      </c>
      <c r="C2491" s="120" t="s">
        <v>327</v>
      </c>
      <c r="D2491" s="441">
        <v>24.8</v>
      </c>
    </row>
    <row r="2492" spans="1:4" ht="31.5" customHeight="1">
      <c r="A2492" s="120">
        <v>95944</v>
      </c>
      <c r="B2492" s="119" t="s">
        <v>4032</v>
      </c>
      <c r="C2492" s="120" t="s">
        <v>327</v>
      </c>
      <c r="D2492" s="441">
        <v>22.24</v>
      </c>
    </row>
    <row r="2493" spans="1:4" ht="31.5" customHeight="1">
      <c r="A2493" s="120">
        <v>95945</v>
      </c>
      <c r="B2493" s="119" t="s">
        <v>4033</v>
      </c>
      <c r="C2493" s="120" t="s">
        <v>327</v>
      </c>
      <c r="D2493" s="441">
        <v>17.649999999999999</v>
      </c>
    </row>
    <row r="2494" spans="1:4" ht="31.5" customHeight="1">
      <c r="A2494" s="120">
        <v>95946</v>
      </c>
      <c r="B2494" s="119" t="s">
        <v>4034</v>
      </c>
      <c r="C2494" s="120" t="s">
        <v>327</v>
      </c>
      <c r="D2494" s="441">
        <v>13.82</v>
      </c>
    </row>
    <row r="2495" spans="1:4" ht="31.5" customHeight="1">
      <c r="A2495" s="120">
        <v>95947</v>
      </c>
      <c r="B2495" s="119" t="s">
        <v>4035</v>
      </c>
      <c r="C2495" s="120" t="s">
        <v>327</v>
      </c>
      <c r="D2495" s="441">
        <v>10.52</v>
      </c>
    </row>
    <row r="2496" spans="1:4" ht="31.5" customHeight="1">
      <c r="A2496" s="120">
        <v>95948</v>
      </c>
      <c r="B2496" s="119" t="s">
        <v>4036</v>
      </c>
      <c r="C2496" s="120" t="s">
        <v>327</v>
      </c>
      <c r="D2496" s="441">
        <v>9.1199999999999992</v>
      </c>
    </row>
    <row r="2497" spans="1:4" ht="15.75" customHeight="1">
      <c r="A2497" s="120">
        <v>96544</v>
      </c>
      <c r="B2497" s="119" t="s">
        <v>4037</v>
      </c>
      <c r="C2497" s="120" t="s">
        <v>327</v>
      </c>
      <c r="D2497" s="441">
        <v>17.649999999999999</v>
      </c>
    </row>
    <row r="2498" spans="1:4" ht="15.75" customHeight="1">
      <c r="A2498" s="120">
        <v>96545</v>
      </c>
      <c r="B2498" s="119" t="s">
        <v>4038</v>
      </c>
      <c r="C2498" s="120" t="s">
        <v>327</v>
      </c>
      <c r="D2498" s="441">
        <v>15.99</v>
      </c>
    </row>
    <row r="2499" spans="1:4" ht="15.75" customHeight="1">
      <c r="A2499" s="120">
        <v>96546</v>
      </c>
      <c r="B2499" s="119" t="s">
        <v>4039</v>
      </c>
      <c r="C2499" s="120" t="s">
        <v>327</v>
      </c>
      <c r="D2499" s="441">
        <v>14.02</v>
      </c>
    </row>
    <row r="2500" spans="1:4" ht="15.75" customHeight="1">
      <c r="A2500" s="120">
        <v>96547</v>
      </c>
      <c r="B2500" s="119" t="s">
        <v>4040</v>
      </c>
      <c r="C2500" s="120" t="s">
        <v>327</v>
      </c>
      <c r="D2500" s="441">
        <v>11.74</v>
      </c>
    </row>
    <row r="2501" spans="1:4" ht="15.75" customHeight="1">
      <c r="A2501" s="120">
        <v>96548</v>
      </c>
      <c r="B2501" s="119" t="s">
        <v>4041</v>
      </c>
      <c r="C2501" s="120" t="s">
        <v>327</v>
      </c>
      <c r="D2501" s="441">
        <v>10.88</v>
      </c>
    </row>
    <row r="2502" spans="1:4" ht="15.75" customHeight="1">
      <c r="A2502" s="120">
        <v>96549</v>
      </c>
      <c r="B2502" s="119" t="s">
        <v>4042</v>
      </c>
      <c r="C2502" s="120" t="s">
        <v>327</v>
      </c>
      <c r="D2502" s="441">
        <v>11.8</v>
      </c>
    </row>
    <row r="2503" spans="1:4" ht="15.75" customHeight="1">
      <c r="A2503" s="120">
        <v>96550</v>
      </c>
      <c r="B2503" s="119" t="s">
        <v>4043</v>
      </c>
      <c r="C2503" s="120" t="s">
        <v>327</v>
      </c>
      <c r="D2503" s="441">
        <v>11.37</v>
      </c>
    </row>
    <row r="2504" spans="1:4" ht="31.5" customHeight="1">
      <c r="A2504" s="120">
        <v>100064</v>
      </c>
      <c r="B2504" s="119" t="s">
        <v>4044</v>
      </c>
      <c r="C2504" s="120" t="s">
        <v>327</v>
      </c>
      <c r="D2504" s="441">
        <v>13.42</v>
      </c>
    </row>
    <row r="2505" spans="1:4" ht="31.5" customHeight="1">
      <c r="A2505" s="120">
        <v>100066</v>
      </c>
      <c r="B2505" s="119" t="s">
        <v>4045</v>
      </c>
      <c r="C2505" s="120" t="s">
        <v>327</v>
      </c>
      <c r="D2505" s="441">
        <v>13.33</v>
      </c>
    </row>
    <row r="2506" spans="1:4" ht="31.5" customHeight="1">
      <c r="A2506" s="120">
        <v>100067</v>
      </c>
      <c r="B2506" s="119" t="s">
        <v>4046</v>
      </c>
      <c r="C2506" s="120" t="s">
        <v>327</v>
      </c>
      <c r="D2506" s="441">
        <v>13.06</v>
      </c>
    </row>
    <row r="2507" spans="1:4" ht="31.5" customHeight="1">
      <c r="A2507" s="120">
        <v>100068</v>
      </c>
      <c r="B2507" s="119" t="s">
        <v>4047</v>
      </c>
      <c r="C2507" s="120" t="s">
        <v>327</v>
      </c>
      <c r="D2507" s="441">
        <v>9.77</v>
      </c>
    </row>
    <row r="2508" spans="1:4" ht="15.75" customHeight="1">
      <c r="A2508" s="120">
        <v>102920</v>
      </c>
      <c r="B2508" s="119" t="s">
        <v>4048</v>
      </c>
      <c r="C2508" s="120" t="s">
        <v>327</v>
      </c>
      <c r="D2508" s="441">
        <v>8.85</v>
      </c>
    </row>
    <row r="2509" spans="1:4" ht="15.75" customHeight="1">
      <c r="A2509" s="120">
        <v>102921</v>
      </c>
      <c r="B2509" s="119" t="s">
        <v>4049</v>
      </c>
      <c r="C2509" s="120" t="s">
        <v>327</v>
      </c>
      <c r="D2509" s="441">
        <v>8.49</v>
      </c>
    </row>
    <row r="2510" spans="1:4" ht="15.75" customHeight="1">
      <c r="A2510" s="120">
        <v>102922</v>
      </c>
      <c r="B2510" s="119" t="s">
        <v>4050</v>
      </c>
      <c r="C2510" s="120" t="s">
        <v>327</v>
      </c>
      <c r="D2510" s="441">
        <v>9.52</v>
      </c>
    </row>
    <row r="2511" spans="1:4" ht="15.75" customHeight="1">
      <c r="A2511" s="120">
        <v>102923</v>
      </c>
      <c r="B2511" s="119" t="s">
        <v>4051</v>
      </c>
      <c r="C2511" s="120" t="s">
        <v>327</v>
      </c>
      <c r="D2511" s="441">
        <v>8.24</v>
      </c>
    </row>
    <row r="2512" spans="1:4" ht="15.75" customHeight="1">
      <c r="A2512" s="120">
        <v>103088</v>
      </c>
      <c r="B2512" s="119" t="s">
        <v>4052</v>
      </c>
      <c r="C2512" s="120" t="s">
        <v>327</v>
      </c>
      <c r="D2512" s="441">
        <v>10.91</v>
      </c>
    </row>
    <row r="2513" spans="1:4" ht="31.5" customHeight="1">
      <c r="A2513" s="120">
        <v>104104</v>
      </c>
      <c r="B2513" s="119" t="s">
        <v>4053</v>
      </c>
      <c r="C2513" s="120" t="s">
        <v>327</v>
      </c>
      <c r="D2513" s="441">
        <v>11.54</v>
      </c>
    </row>
    <row r="2514" spans="1:4" ht="31.5" customHeight="1">
      <c r="A2514" s="120">
        <v>104105</v>
      </c>
      <c r="B2514" s="119" t="s">
        <v>4054</v>
      </c>
      <c r="C2514" s="120" t="s">
        <v>327</v>
      </c>
      <c r="D2514" s="441">
        <v>11.54</v>
      </c>
    </row>
    <row r="2515" spans="1:4" ht="31.5" customHeight="1">
      <c r="A2515" s="120">
        <v>104106</v>
      </c>
      <c r="B2515" s="119" t="s">
        <v>4055</v>
      </c>
      <c r="C2515" s="120" t="s">
        <v>327</v>
      </c>
      <c r="D2515" s="441">
        <v>10.93</v>
      </c>
    </row>
    <row r="2516" spans="1:4" ht="31.5" customHeight="1">
      <c r="A2516" s="120">
        <v>104107</v>
      </c>
      <c r="B2516" s="119" t="s">
        <v>4056</v>
      </c>
      <c r="C2516" s="120" t="s">
        <v>327</v>
      </c>
      <c r="D2516" s="441">
        <v>11.72</v>
      </c>
    </row>
    <row r="2517" spans="1:4" ht="31.5" customHeight="1">
      <c r="A2517" s="120">
        <v>104108</v>
      </c>
      <c r="B2517" s="119" t="s">
        <v>4057</v>
      </c>
      <c r="C2517" s="120" t="s">
        <v>327</v>
      </c>
      <c r="D2517" s="441">
        <v>13.91</v>
      </c>
    </row>
    <row r="2518" spans="1:4" ht="31.5" customHeight="1">
      <c r="A2518" s="120">
        <v>104109</v>
      </c>
      <c r="B2518" s="119" t="s">
        <v>4058</v>
      </c>
      <c r="C2518" s="120" t="s">
        <v>327</v>
      </c>
      <c r="D2518" s="441">
        <v>17.239999999999998</v>
      </c>
    </row>
    <row r="2519" spans="1:4" ht="31.5" customHeight="1">
      <c r="A2519" s="120">
        <v>104110</v>
      </c>
      <c r="B2519" s="119" t="s">
        <v>4059</v>
      </c>
      <c r="C2519" s="120" t="s">
        <v>327</v>
      </c>
      <c r="D2519" s="441">
        <v>19.82</v>
      </c>
    </row>
    <row r="2520" spans="1:4" ht="31.5" customHeight="1">
      <c r="A2520" s="120">
        <v>104111</v>
      </c>
      <c r="B2520" s="119" t="s">
        <v>4060</v>
      </c>
      <c r="C2520" s="120" t="s">
        <v>327</v>
      </c>
      <c r="D2520" s="441">
        <v>22.82</v>
      </c>
    </row>
    <row r="2521" spans="1:4" ht="15.75" customHeight="1">
      <c r="A2521" s="120">
        <v>89993</v>
      </c>
      <c r="B2521" s="119" t="s">
        <v>4061</v>
      </c>
      <c r="C2521" s="120" t="s">
        <v>950</v>
      </c>
      <c r="D2521" s="442">
        <v>1000.33</v>
      </c>
    </row>
    <row r="2522" spans="1:4" ht="15.75" customHeight="1">
      <c r="A2522" s="120">
        <v>89994</v>
      </c>
      <c r="B2522" s="119" t="s">
        <v>4062</v>
      </c>
      <c r="C2522" s="120" t="s">
        <v>950</v>
      </c>
      <c r="D2522" s="441">
        <v>830.24</v>
      </c>
    </row>
    <row r="2523" spans="1:4" ht="15.75" customHeight="1">
      <c r="A2523" s="120">
        <v>89995</v>
      </c>
      <c r="B2523" s="119" t="s">
        <v>4063</v>
      </c>
      <c r="C2523" s="120" t="s">
        <v>950</v>
      </c>
      <c r="D2523" s="441">
        <v>956.83</v>
      </c>
    </row>
    <row r="2524" spans="1:4" ht="31.5" customHeight="1">
      <c r="A2524" s="120">
        <v>90278</v>
      </c>
      <c r="B2524" s="119" t="s">
        <v>4064</v>
      </c>
      <c r="C2524" s="120" t="s">
        <v>950</v>
      </c>
      <c r="D2524" s="441">
        <v>442.51</v>
      </c>
    </row>
    <row r="2525" spans="1:4" ht="31.5" customHeight="1">
      <c r="A2525" s="120">
        <v>90279</v>
      </c>
      <c r="B2525" s="119" t="s">
        <v>4065</v>
      </c>
      <c r="C2525" s="120" t="s">
        <v>950</v>
      </c>
      <c r="D2525" s="441">
        <v>491.53</v>
      </c>
    </row>
    <row r="2526" spans="1:4" ht="31.5" customHeight="1">
      <c r="A2526" s="120">
        <v>90280</v>
      </c>
      <c r="B2526" s="119" t="s">
        <v>4066</v>
      </c>
      <c r="C2526" s="120" t="s">
        <v>950</v>
      </c>
      <c r="D2526" s="441">
        <v>546.28</v>
      </c>
    </row>
    <row r="2527" spans="1:4" ht="31.5" customHeight="1">
      <c r="A2527" s="120">
        <v>90281</v>
      </c>
      <c r="B2527" s="119" t="s">
        <v>4067</v>
      </c>
      <c r="C2527" s="120" t="s">
        <v>950</v>
      </c>
      <c r="D2527" s="441">
        <v>635.54999999999995</v>
      </c>
    </row>
    <row r="2528" spans="1:4" ht="31.5" customHeight="1">
      <c r="A2528" s="120">
        <v>90282</v>
      </c>
      <c r="B2528" s="119" t="s">
        <v>4068</v>
      </c>
      <c r="C2528" s="120" t="s">
        <v>950</v>
      </c>
      <c r="D2528" s="441">
        <v>434.41</v>
      </c>
    </row>
    <row r="2529" spans="1:4" ht="31.5" customHeight="1">
      <c r="A2529" s="120">
        <v>90283</v>
      </c>
      <c r="B2529" s="119" t="s">
        <v>4069</v>
      </c>
      <c r="C2529" s="120" t="s">
        <v>950</v>
      </c>
      <c r="D2529" s="441">
        <v>483.86</v>
      </c>
    </row>
    <row r="2530" spans="1:4" ht="31.5" customHeight="1">
      <c r="A2530" s="120">
        <v>90284</v>
      </c>
      <c r="B2530" s="119" t="s">
        <v>4070</v>
      </c>
      <c r="C2530" s="120" t="s">
        <v>950</v>
      </c>
      <c r="D2530" s="441">
        <v>542.07000000000005</v>
      </c>
    </row>
    <row r="2531" spans="1:4" ht="31.5" customHeight="1">
      <c r="A2531" s="120">
        <v>90285</v>
      </c>
      <c r="B2531" s="119" t="s">
        <v>4071</v>
      </c>
      <c r="C2531" s="120" t="s">
        <v>950</v>
      </c>
      <c r="D2531" s="441">
        <v>637.99</v>
      </c>
    </row>
    <row r="2532" spans="1:4" ht="31.5" customHeight="1">
      <c r="A2532" s="120">
        <v>94962</v>
      </c>
      <c r="B2532" s="119" t="s">
        <v>4072</v>
      </c>
      <c r="C2532" s="120" t="s">
        <v>950</v>
      </c>
      <c r="D2532" s="441">
        <v>343.55</v>
      </c>
    </row>
    <row r="2533" spans="1:4" ht="31.5" customHeight="1">
      <c r="A2533" s="120">
        <v>94963</v>
      </c>
      <c r="B2533" s="119" t="s">
        <v>4073</v>
      </c>
      <c r="C2533" s="120" t="s">
        <v>950</v>
      </c>
      <c r="D2533" s="441">
        <v>381.26</v>
      </c>
    </row>
    <row r="2534" spans="1:4" ht="31.5" customHeight="1">
      <c r="A2534" s="120">
        <v>94964</v>
      </c>
      <c r="B2534" s="119" t="s">
        <v>4074</v>
      </c>
      <c r="C2534" s="120" t="s">
        <v>950</v>
      </c>
      <c r="D2534" s="441">
        <v>419.07</v>
      </c>
    </row>
    <row r="2535" spans="1:4" ht="31.5" customHeight="1">
      <c r="A2535" s="120">
        <v>94965</v>
      </c>
      <c r="B2535" s="119" t="s">
        <v>4075</v>
      </c>
      <c r="C2535" s="120" t="s">
        <v>950</v>
      </c>
      <c r="D2535" s="441">
        <v>433.63</v>
      </c>
    </row>
    <row r="2536" spans="1:4" ht="31.5" customHeight="1">
      <c r="A2536" s="120">
        <v>94966</v>
      </c>
      <c r="B2536" s="119" t="s">
        <v>4076</v>
      </c>
      <c r="C2536" s="120" t="s">
        <v>950</v>
      </c>
      <c r="D2536" s="441">
        <v>448.61</v>
      </c>
    </row>
    <row r="2537" spans="1:4" ht="31.5" customHeight="1">
      <c r="A2537" s="120">
        <v>94967</v>
      </c>
      <c r="B2537" s="119" t="s">
        <v>4077</v>
      </c>
      <c r="C2537" s="120" t="s">
        <v>950</v>
      </c>
      <c r="D2537" s="441">
        <v>514.62</v>
      </c>
    </row>
    <row r="2538" spans="1:4" ht="31.5" customHeight="1">
      <c r="A2538" s="120">
        <v>94968</v>
      </c>
      <c r="B2538" s="119" t="s">
        <v>4078</v>
      </c>
      <c r="C2538" s="120" t="s">
        <v>950</v>
      </c>
      <c r="D2538" s="441">
        <v>338.08</v>
      </c>
    </row>
    <row r="2539" spans="1:4" ht="31.5" customHeight="1">
      <c r="A2539" s="120">
        <v>94969</v>
      </c>
      <c r="B2539" s="119" t="s">
        <v>4079</v>
      </c>
      <c r="C2539" s="120" t="s">
        <v>950</v>
      </c>
      <c r="D2539" s="441">
        <v>372.53</v>
      </c>
    </row>
    <row r="2540" spans="1:4" ht="31.5" customHeight="1">
      <c r="A2540" s="120">
        <v>94970</v>
      </c>
      <c r="B2540" s="119" t="s">
        <v>4080</v>
      </c>
      <c r="C2540" s="120" t="s">
        <v>950</v>
      </c>
      <c r="D2540" s="441">
        <v>402.66</v>
      </c>
    </row>
    <row r="2541" spans="1:4" ht="31.5" customHeight="1">
      <c r="A2541" s="120">
        <v>94971</v>
      </c>
      <c r="B2541" s="119" t="s">
        <v>4081</v>
      </c>
      <c r="C2541" s="120" t="s">
        <v>950</v>
      </c>
      <c r="D2541" s="441">
        <v>424.46</v>
      </c>
    </row>
    <row r="2542" spans="1:4" ht="31.5" customHeight="1">
      <c r="A2542" s="120">
        <v>94972</v>
      </c>
      <c r="B2542" s="119" t="s">
        <v>4082</v>
      </c>
      <c r="C2542" s="120" t="s">
        <v>950</v>
      </c>
      <c r="D2542" s="441">
        <v>439.46</v>
      </c>
    </row>
    <row r="2543" spans="1:4" ht="31.5" customHeight="1">
      <c r="A2543" s="120">
        <v>94973</v>
      </c>
      <c r="B2543" s="119" t="s">
        <v>4083</v>
      </c>
      <c r="C2543" s="120" t="s">
        <v>950</v>
      </c>
      <c r="D2543" s="441">
        <v>503.08</v>
      </c>
    </row>
    <row r="2544" spans="1:4" ht="31.5" customHeight="1">
      <c r="A2544" s="120">
        <v>94974</v>
      </c>
      <c r="B2544" s="119" t="s">
        <v>4084</v>
      </c>
      <c r="C2544" s="120" t="s">
        <v>950</v>
      </c>
      <c r="D2544" s="441">
        <v>412.86</v>
      </c>
    </row>
    <row r="2545" spans="1:4" ht="31.5" customHeight="1">
      <c r="A2545" s="120">
        <v>94975</v>
      </c>
      <c r="B2545" s="119" t="s">
        <v>4085</v>
      </c>
      <c r="C2545" s="120" t="s">
        <v>950</v>
      </c>
      <c r="D2545" s="441">
        <v>446.25</v>
      </c>
    </row>
    <row r="2546" spans="1:4" ht="31.5" customHeight="1">
      <c r="A2546" s="120">
        <v>96555</v>
      </c>
      <c r="B2546" s="119" t="s">
        <v>4086</v>
      </c>
      <c r="C2546" s="120" t="s">
        <v>950</v>
      </c>
      <c r="D2546" s="441">
        <v>645.39</v>
      </c>
    </row>
    <row r="2547" spans="1:4" ht="31.5" customHeight="1">
      <c r="A2547" s="120">
        <v>96556</v>
      </c>
      <c r="B2547" s="119" t="s">
        <v>4087</v>
      </c>
      <c r="C2547" s="120" t="s">
        <v>950</v>
      </c>
      <c r="D2547" s="441">
        <v>748.95</v>
      </c>
    </row>
    <row r="2548" spans="1:4" ht="31.5" customHeight="1">
      <c r="A2548" s="120">
        <v>96557</v>
      </c>
      <c r="B2548" s="119" t="s">
        <v>4088</v>
      </c>
      <c r="C2548" s="120" t="s">
        <v>950</v>
      </c>
      <c r="D2548" s="441">
        <v>566.94000000000005</v>
      </c>
    </row>
    <row r="2549" spans="1:4" ht="31.5" customHeight="1">
      <c r="A2549" s="120">
        <v>96558</v>
      </c>
      <c r="B2549" s="119" t="s">
        <v>4089</v>
      </c>
      <c r="C2549" s="120" t="s">
        <v>950</v>
      </c>
      <c r="D2549" s="441">
        <v>576.15</v>
      </c>
    </row>
    <row r="2550" spans="1:4" ht="31.5" customHeight="1">
      <c r="A2550" s="120">
        <v>99235</v>
      </c>
      <c r="B2550" s="119" t="s">
        <v>4090</v>
      </c>
      <c r="C2550" s="120" t="s">
        <v>950</v>
      </c>
      <c r="D2550" s="441">
        <v>548.20000000000005</v>
      </c>
    </row>
    <row r="2551" spans="1:4" ht="47.25" customHeight="1">
      <c r="A2551" s="120">
        <v>99431</v>
      </c>
      <c r="B2551" s="119" t="s">
        <v>4091</v>
      </c>
      <c r="C2551" s="120" t="s">
        <v>950</v>
      </c>
      <c r="D2551" s="441">
        <v>571.28</v>
      </c>
    </row>
    <row r="2552" spans="1:4" ht="47.25" customHeight="1">
      <c r="A2552" s="120">
        <v>99432</v>
      </c>
      <c r="B2552" s="119" t="s">
        <v>4092</v>
      </c>
      <c r="C2552" s="120" t="s">
        <v>950</v>
      </c>
      <c r="D2552" s="441">
        <v>554.29</v>
      </c>
    </row>
    <row r="2553" spans="1:4" ht="47.25" customHeight="1">
      <c r="A2553" s="120">
        <v>99433</v>
      </c>
      <c r="B2553" s="119" t="s">
        <v>4093</v>
      </c>
      <c r="C2553" s="120" t="s">
        <v>950</v>
      </c>
      <c r="D2553" s="441">
        <v>605.73</v>
      </c>
    </row>
    <row r="2554" spans="1:4" ht="47.25" customHeight="1">
      <c r="A2554" s="120">
        <v>99434</v>
      </c>
      <c r="B2554" s="119" t="s">
        <v>4094</v>
      </c>
      <c r="C2554" s="120" t="s">
        <v>950</v>
      </c>
      <c r="D2554" s="441">
        <v>576.25</v>
      </c>
    </row>
    <row r="2555" spans="1:4" ht="47.25" customHeight="1">
      <c r="A2555" s="120">
        <v>99435</v>
      </c>
      <c r="B2555" s="119" t="s">
        <v>4095</v>
      </c>
      <c r="C2555" s="120" t="s">
        <v>950</v>
      </c>
      <c r="D2555" s="441">
        <v>557.70000000000005</v>
      </c>
    </row>
    <row r="2556" spans="1:4" ht="47.25" customHeight="1">
      <c r="A2556" s="120">
        <v>99436</v>
      </c>
      <c r="B2556" s="119" t="s">
        <v>4096</v>
      </c>
      <c r="C2556" s="120" t="s">
        <v>950</v>
      </c>
      <c r="D2556" s="441">
        <v>631.65</v>
      </c>
    </row>
    <row r="2557" spans="1:4" ht="31.5" customHeight="1">
      <c r="A2557" s="120">
        <v>99437</v>
      </c>
      <c r="B2557" s="119" t="s">
        <v>4097</v>
      </c>
      <c r="C2557" s="120" t="s">
        <v>950</v>
      </c>
      <c r="D2557" s="441">
        <v>582.57000000000005</v>
      </c>
    </row>
    <row r="2558" spans="1:4" ht="47.25" customHeight="1">
      <c r="A2558" s="120">
        <v>99438</v>
      </c>
      <c r="B2558" s="119" t="s">
        <v>4098</v>
      </c>
      <c r="C2558" s="120" t="s">
        <v>950</v>
      </c>
      <c r="D2558" s="441">
        <v>589.70000000000005</v>
      </c>
    </row>
    <row r="2559" spans="1:4" ht="47.25" customHeight="1">
      <c r="A2559" s="120">
        <v>99439</v>
      </c>
      <c r="B2559" s="119" t="s">
        <v>4099</v>
      </c>
      <c r="C2559" s="120" t="s">
        <v>950</v>
      </c>
      <c r="D2559" s="441">
        <v>563.01</v>
      </c>
    </row>
    <row r="2560" spans="1:4" ht="31.5" customHeight="1">
      <c r="A2560" s="120">
        <v>102473</v>
      </c>
      <c r="B2560" s="119" t="s">
        <v>4100</v>
      </c>
      <c r="C2560" s="120" t="s">
        <v>950</v>
      </c>
      <c r="D2560" s="441">
        <v>433.99</v>
      </c>
    </row>
    <row r="2561" spans="1:4" ht="31.5" customHeight="1">
      <c r="A2561" s="120">
        <v>102474</v>
      </c>
      <c r="B2561" s="119" t="s">
        <v>4101</v>
      </c>
      <c r="C2561" s="120" t="s">
        <v>950</v>
      </c>
      <c r="D2561" s="441">
        <v>470.25</v>
      </c>
    </row>
    <row r="2562" spans="1:4" ht="31.5" customHeight="1">
      <c r="A2562" s="120">
        <v>102475</v>
      </c>
      <c r="B2562" s="119" t="s">
        <v>4102</v>
      </c>
      <c r="C2562" s="120" t="s">
        <v>950</v>
      </c>
      <c r="D2562" s="441">
        <v>512.16</v>
      </c>
    </row>
    <row r="2563" spans="1:4" ht="31.5" customHeight="1">
      <c r="A2563" s="120">
        <v>102476</v>
      </c>
      <c r="B2563" s="119" t="s">
        <v>4103</v>
      </c>
      <c r="C2563" s="120" t="s">
        <v>950</v>
      </c>
      <c r="D2563" s="441">
        <v>525.89</v>
      </c>
    </row>
    <row r="2564" spans="1:4" ht="31.5" customHeight="1">
      <c r="A2564" s="120">
        <v>102477</v>
      </c>
      <c r="B2564" s="119" t="s">
        <v>4104</v>
      </c>
      <c r="C2564" s="120" t="s">
        <v>950</v>
      </c>
      <c r="D2564" s="441">
        <v>559.20000000000005</v>
      </c>
    </row>
    <row r="2565" spans="1:4" ht="31.5" customHeight="1">
      <c r="A2565" s="120">
        <v>102478</v>
      </c>
      <c r="B2565" s="119" t="s">
        <v>4105</v>
      </c>
      <c r="C2565" s="120" t="s">
        <v>950</v>
      </c>
      <c r="D2565" s="441">
        <v>605.47</v>
      </c>
    </row>
    <row r="2566" spans="1:4" ht="31.5" customHeight="1">
      <c r="A2566" s="120">
        <v>102479</v>
      </c>
      <c r="B2566" s="119" t="s">
        <v>4106</v>
      </c>
      <c r="C2566" s="120" t="s">
        <v>950</v>
      </c>
      <c r="D2566" s="441">
        <v>428.68</v>
      </c>
    </row>
    <row r="2567" spans="1:4" ht="31.5" customHeight="1">
      <c r="A2567" s="120">
        <v>102480</v>
      </c>
      <c r="B2567" s="119" t="s">
        <v>4107</v>
      </c>
      <c r="C2567" s="120" t="s">
        <v>950</v>
      </c>
      <c r="D2567" s="441">
        <v>461.8</v>
      </c>
    </row>
    <row r="2568" spans="1:4" ht="31.5" customHeight="1">
      <c r="A2568" s="120">
        <v>102481</v>
      </c>
      <c r="B2568" s="119" t="s">
        <v>4108</v>
      </c>
      <c r="C2568" s="120" t="s">
        <v>950</v>
      </c>
      <c r="D2568" s="441">
        <v>495.8</v>
      </c>
    </row>
    <row r="2569" spans="1:4" ht="31.5" customHeight="1">
      <c r="A2569" s="120">
        <v>102482</v>
      </c>
      <c r="B2569" s="119" t="s">
        <v>4109</v>
      </c>
      <c r="C2569" s="120" t="s">
        <v>950</v>
      </c>
      <c r="D2569" s="441">
        <v>520.77</v>
      </c>
    </row>
    <row r="2570" spans="1:4" ht="31.5" customHeight="1">
      <c r="A2570" s="120">
        <v>102483</v>
      </c>
      <c r="B2570" s="119" t="s">
        <v>4110</v>
      </c>
      <c r="C2570" s="120" t="s">
        <v>950</v>
      </c>
      <c r="D2570" s="441">
        <v>548.58000000000004</v>
      </c>
    </row>
    <row r="2571" spans="1:4" ht="31.5" customHeight="1">
      <c r="A2571" s="120">
        <v>102484</v>
      </c>
      <c r="B2571" s="119" t="s">
        <v>4111</v>
      </c>
      <c r="C2571" s="120" t="s">
        <v>950</v>
      </c>
      <c r="D2571" s="441">
        <v>602.69000000000005</v>
      </c>
    </row>
    <row r="2572" spans="1:4" ht="31.5" customHeight="1">
      <c r="A2572" s="120">
        <v>102485</v>
      </c>
      <c r="B2572" s="119" t="s">
        <v>4112</v>
      </c>
      <c r="C2572" s="120" t="s">
        <v>950</v>
      </c>
      <c r="D2572" s="441">
        <v>504.5</v>
      </c>
    </row>
    <row r="2573" spans="1:4" ht="31.5" customHeight="1">
      <c r="A2573" s="120">
        <v>102486</v>
      </c>
      <c r="B2573" s="119" t="s">
        <v>4113</v>
      </c>
      <c r="C2573" s="120" t="s">
        <v>950</v>
      </c>
      <c r="D2573" s="441">
        <v>535.35</v>
      </c>
    </row>
    <row r="2574" spans="1:4" ht="15.75" customHeight="1">
      <c r="A2574" s="120">
        <v>102487</v>
      </c>
      <c r="B2574" s="119" t="s">
        <v>4114</v>
      </c>
      <c r="C2574" s="120" t="s">
        <v>950</v>
      </c>
      <c r="D2574" s="441">
        <v>550.36</v>
      </c>
    </row>
    <row r="2575" spans="1:4" ht="47.25" customHeight="1">
      <c r="A2575" s="120">
        <v>103183</v>
      </c>
      <c r="B2575" s="119" t="s">
        <v>4115</v>
      </c>
      <c r="C2575" s="120" t="s">
        <v>950</v>
      </c>
      <c r="D2575" s="441">
        <v>612</v>
      </c>
    </row>
    <row r="2576" spans="1:4" ht="31.5" customHeight="1">
      <c r="A2576" s="120">
        <v>103184</v>
      </c>
      <c r="B2576" s="119" t="s">
        <v>4116</v>
      </c>
      <c r="C2576" s="120" t="s">
        <v>950</v>
      </c>
      <c r="D2576" s="441">
        <v>562.6</v>
      </c>
    </row>
    <row r="2577" spans="1:4" ht="31.5" customHeight="1">
      <c r="A2577" s="120">
        <v>103669</v>
      </c>
      <c r="B2577" s="119" t="s">
        <v>4117</v>
      </c>
      <c r="C2577" s="120" t="s">
        <v>950</v>
      </c>
      <c r="D2577" s="441">
        <v>880.75</v>
      </c>
    </row>
    <row r="2578" spans="1:4" ht="15.75" customHeight="1">
      <c r="A2578" s="120">
        <v>103670</v>
      </c>
      <c r="B2578" s="119" t="s">
        <v>4118</v>
      </c>
      <c r="C2578" s="120" t="s">
        <v>950</v>
      </c>
      <c r="D2578" s="441">
        <v>346.27</v>
      </c>
    </row>
    <row r="2579" spans="1:4" ht="31.5" customHeight="1">
      <c r="A2579" s="120">
        <v>103671</v>
      </c>
      <c r="B2579" s="119" t="s">
        <v>4119</v>
      </c>
      <c r="C2579" s="120" t="s">
        <v>950</v>
      </c>
      <c r="D2579" s="441">
        <v>590.62</v>
      </c>
    </row>
    <row r="2580" spans="1:4" ht="31.5" customHeight="1">
      <c r="A2580" s="120">
        <v>103672</v>
      </c>
      <c r="B2580" s="119" t="s">
        <v>4120</v>
      </c>
      <c r="C2580" s="120" t="s">
        <v>950</v>
      </c>
      <c r="D2580" s="441">
        <v>552.14</v>
      </c>
    </row>
    <row r="2581" spans="1:4" ht="15.75" customHeight="1">
      <c r="A2581" s="120">
        <v>103673</v>
      </c>
      <c r="B2581" s="119" t="s">
        <v>4121</v>
      </c>
      <c r="C2581" s="120" t="s">
        <v>950</v>
      </c>
      <c r="D2581" s="441">
        <v>48.43</v>
      </c>
    </row>
    <row r="2582" spans="1:4" ht="31.5" customHeight="1">
      <c r="A2582" s="120">
        <v>103674</v>
      </c>
      <c r="B2582" s="119" t="s">
        <v>4122</v>
      </c>
      <c r="C2582" s="120" t="s">
        <v>950</v>
      </c>
      <c r="D2582" s="441">
        <v>576.34</v>
      </c>
    </row>
    <row r="2583" spans="1:4" ht="31.5" customHeight="1">
      <c r="A2583" s="120">
        <v>103675</v>
      </c>
      <c r="B2583" s="119" t="s">
        <v>4123</v>
      </c>
      <c r="C2583" s="120" t="s">
        <v>950</v>
      </c>
      <c r="D2583" s="441">
        <v>553.16999999999996</v>
      </c>
    </row>
    <row r="2584" spans="1:4" ht="47.25" customHeight="1">
      <c r="A2584" s="120">
        <v>103676</v>
      </c>
      <c r="B2584" s="119" t="s">
        <v>4124</v>
      </c>
      <c r="C2584" s="120" t="s">
        <v>950</v>
      </c>
      <c r="D2584" s="441">
        <v>945.63</v>
      </c>
    </row>
    <row r="2585" spans="1:4" ht="47.25" customHeight="1">
      <c r="A2585" s="120">
        <v>103677</v>
      </c>
      <c r="B2585" s="119" t="s">
        <v>4125</v>
      </c>
      <c r="C2585" s="120" t="s">
        <v>950</v>
      </c>
      <c r="D2585" s="441">
        <v>747.6</v>
      </c>
    </row>
    <row r="2586" spans="1:4" ht="47.25" customHeight="1">
      <c r="A2586" s="120">
        <v>103678</v>
      </c>
      <c r="B2586" s="119" t="s">
        <v>4126</v>
      </c>
      <c r="C2586" s="120" t="s">
        <v>950</v>
      </c>
      <c r="D2586" s="441">
        <v>834.49</v>
      </c>
    </row>
    <row r="2587" spans="1:4" ht="47.25" customHeight="1">
      <c r="A2587" s="120">
        <v>103679</v>
      </c>
      <c r="B2587" s="119" t="s">
        <v>4127</v>
      </c>
      <c r="C2587" s="120" t="s">
        <v>950</v>
      </c>
      <c r="D2587" s="441">
        <v>698.23</v>
      </c>
    </row>
    <row r="2588" spans="1:4" ht="31.5" customHeight="1">
      <c r="A2588" s="120">
        <v>103680</v>
      </c>
      <c r="B2588" s="119" t="s">
        <v>4128</v>
      </c>
      <c r="C2588" s="120" t="s">
        <v>950</v>
      </c>
      <c r="D2588" s="441">
        <v>755.51</v>
      </c>
    </row>
    <row r="2589" spans="1:4" ht="47.25" customHeight="1">
      <c r="A2589" s="120">
        <v>103681</v>
      </c>
      <c r="B2589" s="119" t="s">
        <v>4129</v>
      </c>
      <c r="C2589" s="120" t="s">
        <v>950</v>
      </c>
      <c r="D2589" s="441">
        <v>621.49</v>
      </c>
    </row>
    <row r="2590" spans="1:4" ht="31.5" customHeight="1">
      <c r="A2590" s="120">
        <v>103682</v>
      </c>
      <c r="B2590" s="119" t="s">
        <v>4130</v>
      </c>
      <c r="C2590" s="120" t="s">
        <v>950</v>
      </c>
      <c r="D2590" s="441">
        <v>901.35</v>
      </c>
    </row>
    <row r="2591" spans="1:4" ht="31.5" customHeight="1">
      <c r="A2591" s="120">
        <v>103683</v>
      </c>
      <c r="B2591" s="119" t="s">
        <v>4131</v>
      </c>
      <c r="C2591" s="120" t="s">
        <v>950</v>
      </c>
      <c r="D2591" s="442">
        <v>1237.24</v>
      </c>
    </row>
    <row r="2592" spans="1:4" ht="31.5" customHeight="1">
      <c r="A2592" s="120">
        <v>103684</v>
      </c>
      <c r="B2592" s="119" t="s">
        <v>4132</v>
      </c>
      <c r="C2592" s="120" t="s">
        <v>950</v>
      </c>
      <c r="D2592" s="441">
        <v>573.22</v>
      </c>
    </row>
    <row r="2593" spans="1:4" ht="31.5" customHeight="1">
      <c r="A2593" s="120">
        <v>103685</v>
      </c>
      <c r="B2593" s="119" t="s">
        <v>4133</v>
      </c>
      <c r="C2593" s="120" t="s">
        <v>950</v>
      </c>
      <c r="D2593" s="441">
        <v>558.57000000000005</v>
      </c>
    </row>
    <row r="2594" spans="1:4" ht="31.5" customHeight="1">
      <c r="A2594" s="120">
        <v>103686</v>
      </c>
      <c r="B2594" s="119" t="s">
        <v>4134</v>
      </c>
      <c r="C2594" s="120" t="s">
        <v>950</v>
      </c>
      <c r="D2594" s="441">
        <v>629.83000000000004</v>
      </c>
    </row>
    <row r="2595" spans="1:4" ht="31.5" customHeight="1">
      <c r="A2595" s="120">
        <v>103687</v>
      </c>
      <c r="B2595" s="119" t="s">
        <v>4135</v>
      </c>
      <c r="C2595" s="120" t="s">
        <v>950</v>
      </c>
      <c r="D2595" s="442">
        <v>1024.54</v>
      </c>
    </row>
    <row r="2596" spans="1:4" ht="31.5" customHeight="1">
      <c r="A2596" s="120">
        <v>103688</v>
      </c>
      <c r="B2596" s="119" t="s">
        <v>4136</v>
      </c>
      <c r="C2596" s="120" t="s">
        <v>950</v>
      </c>
      <c r="D2596" s="441">
        <v>740.17</v>
      </c>
    </row>
    <row r="2597" spans="1:4" ht="31.5" customHeight="1">
      <c r="A2597" s="120">
        <v>101963</v>
      </c>
      <c r="B2597" s="119" t="s">
        <v>4137</v>
      </c>
      <c r="C2597" s="120" t="s">
        <v>951</v>
      </c>
      <c r="D2597" s="441">
        <v>187.51</v>
      </c>
    </row>
    <row r="2598" spans="1:4" ht="31.5" customHeight="1">
      <c r="A2598" s="120">
        <v>101964</v>
      </c>
      <c r="B2598" s="119" t="s">
        <v>4138</v>
      </c>
      <c r="C2598" s="120" t="s">
        <v>951</v>
      </c>
      <c r="D2598" s="441">
        <v>176.13</v>
      </c>
    </row>
    <row r="2599" spans="1:4" ht="31.5" customHeight="1">
      <c r="A2599" s="120">
        <v>101165</v>
      </c>
      <c r="B2599" s="119" t="s">
        <v>4139</v>
      </c>
      <c r="C2599" s="120" t="s">
        <v>950</v>
      </c>
      <c r="D2599" s="441">
        <v>923.06</v>
      </c>
    </row>
    <row r="2600" spans="1:4" ht="31.5" customHeight="1">
      <c r="A2600" s="120">
        <v>101166</v>
      </c>
      <c r="B2600" s="119" t="s">
        <v>4140</v>
      </c>
      <c r="C2600" s="120" t="s">
        <v>950</v>
      </c>
      <c r="D2600" s="441">
        <v>712.99</v>
      </c>
    </row>
    <row r="2601" spans="1:4" ht="31.5" customHeight="1">
      <c r="A2601" s="120">
        <v>98575</v>
      </c>
      <c r="B2601" s="119" t="s">
        <v>4141</v>
      </c>
      <c r="C2601" s="120" t="s">
        <v>328</v>
      </c>
      <c r="D2601" s="441">
        <v>115.17</v>
      </c>
    </row>
    <row r="2602" spans="1:4" ht="15.75" customHeight="1">
      <c r="A2602" s="120">
        <v>98576</v>
      </c>
      <c r="B2602" s="119" t="s">
        <v>4142</v>
      </c>
      <c r="C2602" s="120" t="s">
        <v>328</v>
      </c>
      <c r="D2602" s="441">
        <v>22.6</v>
      </c>
    </row>
    <row r="2603" spans="1:4" ht="15.75" customHeight="1">
      <c r="A2603" s="120">
        <v>98577</v>
      </c>
      <c r="B2603" s="119" t="s">
        <v>4143</v>
      </c>
      <c r="C2603" s="120" t="s">
        <v>328</v>
      </c>
      <c r="D2603" s="441">
        <v>54.37</v>
      </c>
    </row>
    <row r="2604" spans="1:4" ht="15.75" customHeight="1">
      <c r="A2604" s="120">
        <v>93182</v>
      </c>
      <c r="B2604" s="119" t="s">
        <v>4144</v>
      </c>
      <c r="C2604" s="120" t="s">
        <v>328</v>
      </c>
      <c r="D2604" s="441">
        <v>56.11</v>
      </c>
    </row>
    <row r="2605" spans="1:4" ht="15.75" customHeight="1">
      <c r="A2605" s="120">
        <v>93183</v>
      </c>
      <c r="B2605" s="119" t="s">
        <v>4145</v>
      </c>
      <c r="C2605" s="120" t="s">
        <v>328</v>
      </c>
      <c r="D2605" s="441">
        <v>70.900000000000006</v>
      </c>
    </row>
    <row r="2606" spans="1:4" ht="15.75" customHeight="1">
      <c r="A2606" s="120">
        <v>93184</v>
      </c>
      <c r="B2606" s="119" t="s">
        <v>4146</v>
      </c>
      <c r="C2606" s="120" t="s">
        <v>328</v>
      </c>
      <c r="D2606" s="441">
        <v>41.99</v>
      </c>
    </row>
    <row r="2607" spans="1:4" ht="15.75" customHeight="1">
      <c r="A2607" s="120">
        <v>93185</v>
      </c>
      <c r="B2607" s="119" t="s">
        <v>4147</v>
      </c>
      <c r="C2607" s="120" t="s">
        <v>328</v>
      </c>
      <c r="D2607" s="441">
        <v>69.73</v>
      </c>
    </row>
    <row r="2608" spans="1:4" ht="15.75" customHeight="1">
      <c r="A2608" s="120">
        <v>93186</v>
      </c>
      <c r="B2608" s="119" t="s">
        <v>4148</v>
      </c>
      <c r="C2608" s="120" t="s">
        <v>328</v>
      </c>
      <c r="D2608" s="441">
        <v>107.55</v>
      </c>
    </row>
    <row r="2609" spans="1:4" ht="15.75" customHeight="1">
      <c r="A2609" s="120">
        <v>93187</v>
      </c>
      <c r="B2609" s="119" t="s">
        <v>4149</v>
      </c>
      <c r="C2609" s="120" t="s">
        <v>328</v>
      </c>
      <c r="D2609" s="441">
        <v>122.09</v>
      </c>
    </row>
    <row r="2610" spans="1:4" ht="15.75" customHeight="1">
      <c r="A2610" s="120">
        <v>93188</v>
      </c>
      <c r="B2610" s="119" t="s">
        <v>4150</v>
      </c>
      <c r="C2610" s="120" t="s">
        <v>328</v>
      </c>
      <c r="D2610" s="441">
        <v>98.92</v>
      </c>
    </row>
    <row r="2611" spans="1:4" ht="15.75" customHeight="1">
      <c r="A2611" s="120">
        <v>93189</v>
      </c>
      <c r="B2611" s="119" t="s">
        <v>4151</v>
      </c>
      <c r="C2611" s="120" t="s">
        <v>328</v>
      </c>
      <c r="D2611" s="441">
        <v>122.71</v>
      </c>
    </row>
    <row r="2612" spans="1:4" ht="31.5" customHeight="1">
      <c r="A2612" s="120">
        <v>93190</v>
      </c>
      <c r="B2612" s="119" t="s">
        <v>4152</v>
      </c>
      <c r="C2612" s="120" t="s">
        <v>328</v>
      </c>
      <c r="D2612" s="441">
        <v>46.01</v>
      </c>
    </row>
    <row r="2613" spans="1:4" ht="31.5" customHeight="1">
      <c r="A2613" s="120">
        <v>93191</v>
      </c>
      <c r="B2613" s="119" t="s">
        <v>4153</v>
      </c>
      <c r="C2613" s="120" t="s">
        <v>328</v>
      </c>
      <c r="D2613" s="441">
        <v>47.67</v>
      </c>
    </row>
    <row r="2614" spans="1:4" ht="31.5" customHeight="1">
      <c r="A2614" s="120">
        <v>93192</v>
      </c>
      <c r="B2614" s="119" t="s">
        <v>4154</v>
      </c>
      <c r="C2614" s="120" t="s">
        <v>328</v>
      </c>
      <c r="D2614" s="441">
        <v>50.32</v>
      </c>
    </row>
    <row r="2615" spans="1:4" ht="31.5" customHeight="1">
      <c r="A2615" s="120">
        <v>93193</v>
      </c>
      <c r="B2615" s="119" t="s">
        <v>4155</v>
      </c>
      <c r="C2615" s="120" t="s">
        <v>328</v>
      </c>
      <c r="D2615" s="441">
        <v>48.46</v>
      </c>
    </row>
    <row r="2616" spans="1:4" ht="15.75" customHeight="1">
      <c r="A2616" s="120">
        <v>93194</v>
      </c>
      <c r="B2616" s="119" t="s">
        <v>4156</v>
      </c>
      <c r="C2616" s="120" t="s">
        <v>328</v>
      </c>
      <c r="D2616" s="441">
        <v>54.83</v>
      </c>
    </row>
    <row r="2617" spans="1:4" ht="15.75" customHeight="1">
      <c r="A2617" s="120">
        <v>93195</v>
      </c>
      <c r="B2617" s="119" t="s">
        <v>4157</v>
      </c>
      <c r="C2617" s="120" t="s">
        <v>328</v>
      </c>
      <c r="D2617" s="441">
        <v>66.95</v>
      </c>
    </row>
    <row r="2618" spans="1:4" ht="15.75" customHeight="1">
      <c r="A2618" s="120">
        <v>93196</v>
      </c>
      <c r="B2618" s="119" t="s">
        <v>4158</v>
      </c>
      <c r="C2618" s="120" t="s">
        <v>328</v>
      </c>
      <c r="D2618" s="441">
        <v>105.17</v>
      </c>
    </row>
    <row r="2619" spans="1:4" ht="15.75" customHeight="1">
      <c r="A2619" s="120">
        <v>93197</v>
      </c>
      <c r="B2619" s="119" t="s">
        <v>4159</v>
      </c>
      <c r="C2619" s="120" t="s">
        <v>328</v>
      </c>
      <c r="D2619" s="441">
        <v>117.5</v>
      </c>
    </row>
    <row r="2620" spans="1:4" ht="31.5" customHeight="1">
      <c r="A2620" s="120">
        <v>93198</v>
      </c>
      <c r="B2620" s="119" t="s">
        <v>4160</v>
      </c>
      <c r="C2620" s="120" t="s">
        <v>328</v>
      </c>
      <c r="D2620" s="441">
        <v>39.270000000000003</v>
      </c>
    </row>
    <row r="2621" spans="1:4" ht="31.5" customHeight="1">
      <c r="A2621" s="120">
        <v>93199</v>
      </c>
      <c r="B2621" s="119" t="s">
        <v>4161</v>
      </c>
      <c r="C2621" s="120" t="s">
        <v>328</v>
      </c>
      <c r="D2621" s="441">
        <v>38.549999999999997</v>
      </c>
    </row>
    <row r="2622" spans="1:4" ht="15.75" customHeight="1">
      <c r="A2622" s="120">
        <v>93200</v>
      </c>
      <c r="B2622" s="119" t="s">
        <v>4162</v>
      </c>
      <c r="C2622" s="120" t="s">
        <v>328</v>
      </c>
      <c r="D2622" s="441">
        <v>3.22</v>
      </c>
    </row>
    <row r="2623" spans="1:4" ht="15.75" customHeight="1">
      <c r="A2623" s="120">
        <v>93201</v>
      </c>
      <c r="B2623" s="119" t="s">
        <v>4163</v>
      </c>
      <c r="C2623" s="120" t="s">
        <v>328</v>
      </c>
      <c r="D2623" s="441">
        <v>7.24</v>
      </c>
    </row>
    <row r="2624" spans="1:4" ht="15.75" customHeight="1">
      <c r="A2624" s="120">
        <v>93202</v>
      </c>
      <c r="B2624" s="119" t="s">
        <v>4164</v>
      </c>
      <c r="C2624" s="120" t="s">
        <v>328</v>
      </c>
      <c r="D2624" s="441">
        <v>29.88</v>
      </c>
    </row>
    <row r="2625" spans="1:4" ht="15.75" customHeight="1">
      <c r="A2625" s="120">
        <v>93203</v>
      </c>
      <c r="B2625" s="119" t="s">
        <v>4165</v>
      </c>
      <c r="C2625" s="120" t="s">
        <v>328</v>
      </c>
      <c r="D2625" s="441">
        <v>15.59</v>
      </c>
    </row>
    <row r="2626" spans="1:4" ht="15.75" customHeight="1">
      <c r="A2626" s="120">
        <v>93204</v>
      </c>
      <c r="B2626" s="119" t="s">
        <v>4166</v>
      </c>
      <c r="C2626" s="120" t="s">
        <v>328</v>
      </c>
      <c r="D2626" s="441">
        <v>74.599999999999994</v>
      </c>
    </row>
    <row r="2627" spans="1:4" ht="15.75" customHeight="1">
      <c r="A2627" s="120">
        <v>93205</v>
      </c>
      <c r="B2627" s="119" t="s">
        <v>4167</v>
      </c>
      <c r="C2627" s="120" t="s">
        <v>328</v>
      </c>
      <c r="D2627" s="441">
        <v>37.79</v>
      </c>
    </row>
    <row r="2628" spans="1:4" ht="31.5" customHeight="1">
      <c r="A2628" s="120">
        <v>97733</v>
      </c>
      <c r="B2628" s="119" t="s">
        <v>4168</v>
      </c>
      <c r="C2628" s="120" t="s">
        <v>950</v>
      </c>
      <c r="D2628" s="442">
        <v>3650.88</v>
      </c>
    </row>
    <row r="2629" spans="1:4" ht="31.5" customHeight="1">
      <c r="A2629" s="120">
        <v>97734</v>
      </c>
      <c r="B2629" s="119" t="s">
        <v>4169</v>
      </c>
      <c r="C2629" s="120" t="s">
        <v>950</v>
      </c>
      <c r="D2629" s="442">
        <v>3189.48</v>
      </c>
    </row>
    <row r="2630" spans="1:4" ht="31.5" customHeight="1">
      <c r="A2630" s="120">
        <v>97735</v>
      </c>
      <c r="B2630" s="119" t="s">
        <v>4170</v>
      </c>
      <c r="C2630" s="120" t="s">
        <v>950</v>
      </c>
      <c r="D2630" s="442">
        <v>2587.61</v>
      </c>
    </row>
    <row r="2631" spans="1:4" ht="31.5" customHeight="1">
      <c r="A2631" s="120">
        <v>97736</v>
      </c>
      <c r="B2631" s="119" t="s">
        <v>4171</v>
      </c>
      <c r="C2631" s="120" t="s">
        <v>950</v>
      </c>
      <c r="D2631" s="442">
        <v>1548.62</v>
      </c>
    </row>
    <row r="2632" spans="1:4" ht="31.5" customHeight="1">
      <c r="A2632" s="120">
        <v>97737</v>
      </c>
      <c r="B2632" s="119" t="s">
        <v>4172</v>
      </c>
      <c r="C2632" s="120" t="s">
        <v>950</v>
      </c>
      <c r="D2632" s="442">
        <v>3410.35</v>
      </c>
    </row>
    <row r="2633" spans="1:4" ht="31.5" customHeight="1">
      <c r="A2633" s="120">
        <v>97738</v>
      </c>
      <c r="B2633" s="119" t="s">
        <v>4173</v>
      </c>
      <c r="C2633" s="120" t="s">
        <v>950</v>
      </c>
      <c r="D2633" s="442">
        <v>5277.62</v>
      </c>
    </row>
    <row r="2634" spans="1:4" ht="31.5" customHeight="1">
      <c r="A2634" s="120">
        <v>97739</v>
      </c>
      <c r="B2634" s="119" t="s">
        <v>4174</v>
      </c>
      <c r="C2634" s="120" t="s">
        <v>950</v>
      </c>
      <c r="D2634" s="442">
        <v>3021.66</v>
      </c>
    </row>
    <row r="2635" spans="1:4" ht="31.5" customHeight="1">
      <c r="A2635" s="120">
        <v>97740</v>
      </c>
      <c r="B2635" s="119" t="s">
        <v>4175</v>
      </c>
      <c r="C2635" s="120" t="s">
        <v>950</v>
      </c>
      <c r="D2635" s="442">
        <v>2132.56</v>
      </c>
    </row>
    <row r="2636" spans="1:4" ht="31.5" customHeight="1">
      <c r="A2636" s="120">
        <v>98615</v>
      </c>
      <c r="B2636" s="119" t="s">
        <v>4176</v>
      </c>
      <c r="C2636" s="120" t="s">
        <v>951</v>
      </c>
      <c r="D2636" s="441">
        <v>141.04</v>
      </c>
    </row>
    <row r="2637" spans="1:4" ht="31.5" customHeight="1">
      <c r="A2637" s="120">
        <v>98616</v>
      </c>
      <c r="B2637" s="119" t="s">
        <v>4177</v>
      </c>
      <c r="C2637" s="120" t="s">
        <v>951</v>
      </c>
      <c r="D2637" s="441">
        <v>107.42</v>
      </c>
    </row>
    <row r="2638" spans="1:4" ht="31.5" customHeight="1">
      <c r="A2638" s="120">
        <v>98617</v>
      </c>
      <c r="B2638" s="119" t="s">
        <v>4178</v>
      </c>
      <c r="C2638" s="120" t="s">
        <v>951</v>
      </c>
      <c r="D2638" s="441">
        <v>97.83</v>
      </c>
    </row>
    <row r="2639" spans="1:4" ht="31.5" customHeight="1">
      <c r="A2639" s="120">
        <v>98618</v>
      </c>
      <c r="B2639" s="119" t="s">
        <v>4179</v>
      </c>
      <c r="C2639" s="120" t="s">
        <v>951</v>
      </c>
      <c r="D2639" s="441">
        <v>135.08000000000001</v>
      </c>
    </row>
    <row r="2640" spans="1:4" ht="31.5" customHeight="1">
      <c r="A2640" s="120">
        <v>98619</v>
      </c>
      <c r="B2640" s="119" t="s">
        <v>4180</v>
      </c>
      <c r="C2640" s="120" t="s">
        <v>951</v>
      </c>
      <c r="D2640" s="441">
        <v>120.57</v>
      </c>
    </row>
    <row r="2641" spans="1:4" ht="31.5" customHeight="1">
      <c r="A2641" s="120">
        <v>98620</v>
      </c>
      <c r="B2641" s="119" t="s">
        <v>4181</v>
      </c>
      <c r="C2641" s="120" t="s">
        <v>951</v>
      </c>
      <c r="D2641" s="441">
        <v>113.28</v>
      </c>
    </row>
    <row r="2642" spans="1:4" ht="31.5" customHeight="1">
      <c r="A2642" s="120">
        <v>98621</v>
      </c>
      <c r="B2642" s="119" t="s">
        <v>4182</v>
      </c>
      <c r="C2642" s="120" t="s">
        <v>951</v>
      </c>
      <c r="D2642" s="441">
        <v>149.97999999999999</v>
      </c>
    </row>
    <row r="2643" spans="1:4" ht="31.5" customHeight="1">
      <c r="A2643" s="120">
        <v>98622</v>
      </c>
      <c r="B2643" s="119" t="s">
        <v>4183</v>
      </c>
      <c r="C2643" s="120" t="s">
        <v>951</v>
      </c>
      <c r="D2643" s="441">
        <v>138.35</v>
      </c>
    </row>
    <row r="2644" spans="1:4" ht="31.5" customHeight="1">
      <c r="A2644" s="120">
        <v>98623</v>
      </c>
      <c r="B2644" s="119" t="s">
        <v>4184</v>
      </c>
      <c r="C2644" s="120" t="s">
        <v>951</v>
      </c>
      <c r="D2644" s="441">
        <v>132.44</v>
      </c>
    </row>
    <row r="2645" spans="1:4" ht="31.5" customHeight="1">
      <c r="A2645" s="120">
        <v>98624</v>
      </c>
      <c r="B2645" s="119" t="s">
        <v>4185</v>
      </c>
      <c r="C2645" s="120" t="s">
        <v>951</v>
      </c>
      <c r="D2645" s="441">
        <v>166.95</v>
      </c>
    </row>
    <row r="2646" spans="1:4" ht="31.5" customHeight="1">
      <c r="A2646" s="120">
        <v>98625</v>
      </c>
      <c r="B2646" s="119" t="s">
        <v>4186</v>
      </c>
      <c r="C2646" s="120" t="s">
        <v>951</v>
      </c>
      <c r="D2646" s="441">
        <v>157.15</v>
      </c>
    </row>
    <row r="2647" spans="1:4" ht="31.5" customHeight="1">
      <c r="A2647" s="120">
        <v>98626</v>
      </c>
      <c r="B2647" s="119" t="s">
        <v>4187</v>
      </c>
      <c r="C2647" s="120" t="s">
        <v>951</v>
      </c>
      <c r="D2647" s="441">
        <v>152.11000000000001</v>
      </c>
    </row>
    <row r="2648" spans="1:4">
      <c r="A2648" s="120">
        <v>98655</v>
      </c>
      <c r="B2648" s="119" t="s">
        <v>4188</v>
      </c>
      <c r="C2648" s="120" t="s">
        <v>328</v>
      </c>
      <c r="D2648" s="441">
        <v>644.9</v>
      </c>
    </row>
    <row r="2649" spans="1:4">
      <c r="A2649" s="120">
        <v>98656</v>
      </c>
      <c r="B2649" s="119" t="s">
        <v>4189</v>
      </c>
      <c r="C2649" s="120" t="s">
        <v>328</v>
      </c>
      <c r="D2649" s="441">
        <v>654.65</v>
      </c>
    </row>
    <row r="2650" spans="1:4">
      <c r="A2650" s="120">
        <v>98657</v>
      </c>
      <c r="B2650" s="119" t="s">
        <v>4190</v>
      </c>
      <c r="C2650" s="120" t="s">
        <v>328</v>
      </c>
      <c r="D2650" s="441">
        <v>664.39</v>
      </c>
    </row>
    <row r="2651" spans="1:4">
      <c r="A2651" s="120">
        <v>98658</v>
      </c>
      <c r="B2651" s="119" t="s">
        <v>4191</v>
      </c>
      <c r="C2651" s="120" t="s">
        <v>328</v>
      </c>
      <c r="D2651" s="441">
        <v>674.14</v>
      </c>
    </row>
    <row r="2652" spans="1:4">
      <c r="A2652" s="120">
        <v>98659</v>
      </c>
      <c r="B2652" s="119" t="s">
        <v>4192</v>
      </c>
      <c r="C2652" s="120" t="s">
        <v>328</v>
      </c>
      <c r="D2652" s="441">
        <v>693.63</v>
      </c>
    </row>
    <row r="2653" spans="1:4" ht="15.75" customHeight="1">
      <c r="A2653" s="120">
        <v>98746</v>
      </c>
      <c r="B2653" s="119" t="s">
        <v>4193</v>
      </c>
      <c r="C2653" s="120" t="s">
        <v>328</v>
      </c>
      <c r="D2653" s="441">
        <v>74.41</v>
      </c>
    </row>
    <row r="2654" spans="1:4" ht="15.75" customHeight="1">
      <c r="A2654" s="120">
        <v>98749</v>
      </c>
      <c r="B2654" s="119" t="s">
        <v>4194</v>
      </c>
      <c r="C2654" s="120" t="s">
        <v>328</v>
      </c>
      <c r="D2654" s="441">
        <v>87.45</v>
      </c>
    </row>
    <row r="2655" spans="1:4" ht="15.75" customHeight="1">
      <c r="A2655" s="120">
        <v>98750</v>
      </c>
      <c r="B2655" s="119" t="s">
        <v>4195</v>
      </c>
      <c r="C2655" s="120" t="s">
        <v>328</v>
      </c>
      <c r="D2655" s="441">
        <v>103.08</v>
      </c>
    </row>
    <row r="2656" spans="1:4" ht="15.75" customHeight="1">
      <c r="A2656" s="120">
        <v>98751</v>
      </c>
      <c r="B2656" s="119" t="s">
        <v>4196</v>
      </c>
      <c r="C2656" s="120" t="s">
        <v>328</v>
      </c>
      <c r="D2656" s="441">
        <v>143.83000000000001</v>
      </c>
    </row>
    <row r="2657" spans="1:4" ht="15.75" customHeight="1">
      <c r="A2657" s="120">
        <v>98752</v>
      </c>
      <c r="B2657" s="119" t="s">
        <v>4197</v>
      </c>
      <c r="C2657" s="120" t="s">
        <v>328</v>
      </c>
      <c r="D2657" s="441">
        <v>192.68</v>
      </c>
    </row>
    <row r="2658" spans="1:4" ht="15.75" customHeight="1">
      <c r="A2658" s="120">
        <v>98753</v>
      </c>
      <c r="B2658" s="119" t="s">
        <v>4198</v>
      </c>
      <c r="C2658" s="120" t="s">
        <v>328</v>
      </c>
      <c r="D2658" s="441">
        <v>253.27</v>
      </c>
    </row>
    <row r="2659" spans="1:4" ht="47.25" customHeight="1">
      <c r="A2659" s="120">
        <v>100763</v>
      </c>
      <c r="B2659" s="119" t="s">
        <v>4199</v>
      </c>
      <c r="C2659" s="120" t="s">
        <v>327</v>
      </c>
      <c r="D2659" s="441">
        <v>18.260000000000002</v>
      </c>
    </row>
    <row r="2660" spans="1:4" ht="47.25" customHeight="1">
      <c r="A2660" s="120">
        <v>100764</v>
      </c>
      <c r="B2660" s="119" t="s">
        <v>4200</v>
      </c>
      <c r="C2660" s="120" t="s">
        <v>327</v>
      </c>
      <c r="D2660" s="441">
        <v>18.03</v>
      </c>
    </row>
    <row r="2661" spans="1:4" ht="47.25" customHeight="1">
      <c r="A2661" s="120">
        <v>100765</v>
      </c>
      <c r="B2661" s="119" t="s">
        <v>4201</v>
      </c>
      <c r="C2661" s="120" t="s">
        <v>327</v>
      </c>
      <c r="D2661" s="441">
        <v>17.62</v>
      </c>
    </row>
    <row r="2662" spans="1:4" ht="47.25" customHeight="1">
      <c r="A2662" s="120">
        <v>100766</v>
      </c>
      <c r="B2662" s="119" t="s">
        <v>4202</v>
      </c>
      <c r="C2662" s="120" t="s">
        <v>327</v>
      </c>
      <c r="D2662" s="441">
        <v>17.87</v>
      </c>
    </row>
    <row r="2663" spans="1:4" ht="47.25" customHeight="1">
      <c r="A2663" s="120">
        <v>100767</v>
      </c>
      <c r="B2663" s="119" t="s">
        <v>4203</v>
      </c>
      <c r="C2663" s="120" t="s">
        <v>327</v>
      </c>
      <c r="D2663" s="441">
        <v>19.32</v>
      </c>
    </row>
    <row r="2664" spans="1:4" ht="47.25" customHeight="1">
      <c r="A2664" s="120">
        <v>100768</v>
      </c>
      <c r="B2664" s="119" t="s">
        <v>4204</v>
      </c>
      <c r="C2664" s="120" t="s">
        <v>327</v>
      </c>
      <c r="D2664" s="441">
        <v>18.489999999999998</v>
      </c>
    </row>
    <row r="2665" spans="1:4" ht="47.25" customHeight="1">
      <c r="A2665" s="120">
        <v>100769</v>
      </c>
      <c r="B2665" s="119" t="s">
        <v>4205</v>
      </c>
      <c r="C2665" s="120" t="s">
        <v>327</v>
      </c>
      <c r="D2665" s="441">
        <v>25.35</v>
      </c>
    </row>
    <row r="2666" spans="1:4" ht="47.25" customHeight="1">
      <c r="A2666" s="120">
        <v>100770</v>
      </c>
      <c r="B2666" s="119" t="s">
        <v>4206</v>
      </c>
      <c r="C2666" s="120" t="s">
        <v>327</v>
      </c>
      <c r="D2666" s="441">
        <v>24.29</v>
      </c>
    </row>
    <row r="2667" spans="1:4" ht="47.25" customHeight="1">
      <c r="A2667" s="120">
        <v>100771</v>
      </c>
      <c r="B2667" s="119" t="s">
        <v>4207</v>
      </c>
      <c r="C2667" s="120" t="s">
        <v>327</v>
      </c>
      <c r="D2667" s="441">
        <v>20.39</v>
      </c>
    </row>
    <row r="2668" spans="1:4" ht="47.25" customHeight="1">
      <c r="A2668" s="120">
        <v>100772</v>
      </c>
      <c r="B2668" s="119" t="s">
        <v>4208</v>
      </c>
      <c r="C2668" s="120" t="s">
        <v>327</v>
      </c>
      <c r="D2668" s="441">
        <v>19.38</v>
      </c>
    </row>
    <row r="2669" spans="1:4" ht="47.25" customHeight="1">
      <c r="A2669" s="120">
        <v>100773</v>
      </c>
      <c r="B2669" s="119" t="s">
        <v>4209</v>
      </c>
      <c r="C2669" s="120" t="s">
        <v>327</v>
      </c>
      <c r="D2669" s="441">
        <v>21.55</v>
      </c>
    </row>
    <row r="2670" spans="1:4" ht="47.25" customHeight="1">
      <c r="A2670" s="120">
        <v>100774</v>
      </c>
      <c r="B2670" s="119" t="s">
        <v>4210</v>
      </c>
      <c r="C2670" s="120" t="s">
        <v>327</v>
      </c>
      <c r="D2670" s="441">
        <v>13.35</v>
      </c>
    </row>
    <row r="2671" spans="1:4" ht="47.25" customHeight="1">
      <c r="A2671" s="120">
        <v>100775</v>
      </c>
      <c r="B2671" s="119" t="s">
        <v>4211</v>
      </c>
      <c r="C2671" s="120" t="s">
        <v>327</v>
      </c>
      <c r="D2671" s="441">
        <v>15.55</v>
      </c>
    </row>
    <row r="2672" spans="1:4" ht="47.25" customHeight="1">
      <c r="A2672" s="120">
        <v>100776</v>
      </c>
      <c r="B2672" s="119" t="s">
        <v>4212</v>
      </c>
      <c r="C2672" s="120" t="s">
        <v>327</v>
      </c>
      <c r="D2672" s="441">
        <v>21.69</v>
      </c>
    </row>
    <row r="2673" spans="1:4" ht="47.25" customHeight="1">
      <c r="A2673" s="120">
        <v>100777</v>
      </c>
      <c r="B2673" s="119" t="s">
        <v>4213</v>
      </c>
      <c r="C2673" s="120" t="s">
        <v>327</v>
      </c>
      <c r="D2673" s="441">
        <v>16.04</v>
      </c>
    </row>
    <row r="2674" spans="1:4" ht="47.25" customHeight="1">
      <c r="A2674" s="120">
        <v>100778</v>
      </c>
      <c r="B2674" s="119" t="s">
        <v>4214</v>
      </c>
      <c r="C2674" s="120" t="s">
        <v>327</v>
      </c>
      <c r="D2674" s="441">
        <v>12.09</v>
      </c>
    </row>
    <row r="2675" spans="1:4" ht="31.5" customHeight="1">
      <c r="A2675" s="120">
        <v>103795</v>
      </c>
      <c r="B2675" s="119" t="s">
        <v>4215</v>
      </c>
      <c r="C2675" s="120" t="s">
        <v>951</v>
      </c>
      <c r="D2675" s="441">
        <v>85.99</v>
      </c>
    </row>
    <row r="2676" spans="1:4" ht="31.5" customHeight="1">
      <c r="A2676" s="120">
        <v>103796</v>
      </c>
      <c r="B2676" s="119" t="s">
        <v>4216</v>
      </c>
      <c r="C2676" s="120" t="s">
        <v>951</v>
      </c>
      <c r="D2676" s="441">
        <v>53.23</v>
      </c>
    </row>
    <row r="2677" spans="1:4" ht="15.75" customHeight="1">
      <c r="A2677" s="120">
        <v>103797</v>
      </c>
      <c r="B2677" s="119" t="s">
        <v>4217</v>
      </c>
      <c r="C2677" s="120" t="s">
        <v>327</v>
      </c>
      <c r="D2677" s="441">
        <v>17.86</v>
      </c>
    </row>
    <row r="2678" spans="1:4" ht="31.5" customHeight="1">
      <c r="A2678" s="120">
        <v>103798</v>
      </c>
      <c r="B2678" s="119" t="s">
        <v>4218</v>
      </c>
      <c r="C2678" s="120" t="s">
        <v>950</v>
      </c>
      <c r="D2678" s="441">
        <v>562.32000000000005</v>
      </c>
    </row>
    <row r="2679" spans="1:4" ht="47.25" customHeight="1">
      <c r="A2679" s="120">
        <v>103799</v>
      </c>
      <c r="B2679" s="119" t="s">
        <v>4219</v>
      </c>
      <c r="C2679" s="120" t="s">
        <v>950</v>
      </c>
      <c r="D2679" s="441">
        <v>379.79</v>
      </c>
    </row>
    <row r="2680" spans="1:4" ht="31.5" customHeight="1">
      <c r="A2680" s="120">
        <v>103800</v>
      </c>
      <c r="B2680" s="119" t="s">
        <v>4220</v>
      </c>
      <c r="C2680" s="120" t="s">
        <v>950</v>
      </c>
      <c r="D2680" s="441">
        <v>478.7</v>
      </c>
    </row>
    <row r="2681" spans="1:4" ht="31.5" customHeight="1">
      <c r="A2681" s="120">
        <v>103801</v>
      </c>
      <c r="B2681" s="119" t="s">
        <v>4221</v>
      </c>
      <c r="C2681" s="120" t="s">
        <v>950</v>
      </c>
      <c r="D2681" s="441">
        <v>597.54</v>
      </c>
    </row>
    <row r="2682" spans="1:4" ht="47.25" customHeight="1">
      <c r="A2682" s="120">
        <v>103925</v>
      </c>
      <c r="B2682" s="119" t="s">
        <v>4222</v>
      </c>
      <c r="C2682" s="120" t="s">
        <v>950</v>
      </c>
      <c r="D2682" s="442">
        <v>1651.76</v>
      </c>
    </row>
    <row r="2683" spans="1:4" ht="47.25" customHeight="1">
      <c r="A2683" s="120">
        <v>103926</v>
      </c>
      <c r="B2683" s="119" t="s">
        <v>4223</v>
      </c>
      <c r="C2683" s="120" t="s">
        <v>950</v>
      </c>
      <c r="D2683" s="442">
        <v>1312.96</v>
      </c>
    </row>
    <row r="2684" spans="1:4" ht="31.5" customHeight="1">
      <c r="A2684" s="120">
        <v>103928</v>
      </c>
      <c r="B2684" s="119" t="s">
        <v>4224</v>
      </c>
      <c r="C2684" s="120" t="s">
        <v>950</v>
      </c>
      <c r="D2684" s="441">
        <v>478.7</v>
      </c>
    </row>
    <row r="2685" spans="1:4" ht="31.5" customHeight="1">
      <c r="A2685" s="120">
        <v>103929</v>
      </c>
      <c r="B2685" s="119" t="s">
        <v>4225</v>
      </c>
      <c r="C2685" s="120" t="s">
        <v>950</v>
      </c>
      <c r="D2685" s="442">
        <v>1129.8900000000001</v>
      </c>
    </row>
    <row r="2686" spans="1:4" ht="47.25" customHeight="1">
      <c r="A2686" s="120">
        <v>103930</v>
      </c>
      <c r="B2686" s="119" t="s">
        <v>4226</v>
      </c>
      <c r="C2686" s="120" t="s">
        <v>950</v>
      </c>
      <c r="D2686" s="441">
        <v>699.72</v>
      </c>
    </row>
    <row r="2687" spans="1:4" ht="47.25" customHeight="1">
      <c r="A2687" s="120">
        <v>103931</v>
      </c>
      <c r="B2687" s="119" t="s">
        <v>4227</v>
      </c>
      <c r="C2687" s="120" t="s">
        <v>950</v>
      </c>
      <c r="D2687" s="441">
        <v>516.46</v>
      </c>
    </row>
    <row r="2688" spans="1:4" ht="47.25" customHeight="1">
      <c r="A2688" s="120">
        <v>103932</v>
      </c>
      <c r="B2688" s="119" t="s">
        <v>4228</v>
      </c>
      <c r="C2688" s="120" t="s">
        <v>950</v>
      </c>
      <c r="D2688" s="441">
        <v>489.61</v>
      </c>
    </row>
    <row r="2689" spans="1:4" ht="31.5" customHeight="1">
      <c r="A2689" s="120">
        <v>103933</v>
      </c>
      <c r="B2689" s="119" t="s">
        <v>4229</v>
      </c>
      <c r="C2689" s="120" t="s">
        <v>950</v>
      </c>
      <c r="D2689" s="442">
        <v>1444.56</v>
      </c>
    </row>
    <row r="2690" spans="1:4" ht="31.5" customHeight="1">
      <c r="A2690" s="120">
        <v>104466</v>
      </c>
      <c r="B2690" s="119" t="s">
        <v>4230</v>
      </c>
      <c r="C2690" s="120" t="s">
        <v>327</v>
      </c>
      <c r="D2690" s="441">
        <v>31.12</v>
      </c>
    </row>
    <row r="2691" spans="1:4" ht="31.5" customHeight="1">
      <c r="A2691" s="120">
        <v>104467</v>
      </c>
      <c r="B2691" s="119" t="s">
        <v>4231</v>
      </c>
      <c r="C2691" s="120" t="s">
        <v>327</v>
      </c>
      <c r="D2691" s="441">
        <v>42.69</v>
      </c>
    </row>
    <row r="2692" spans="1:4" ht="31.5" customHeight="1">
      <c r="A2692" s="120">
        <v>104468</v>
      </c>
      <c r="B2692" s="119" t="s">
        <v>4232</v>
      </c>
      <c r="C2692" s="120" t="s">
        <v>327</v>
      </c>
      <c r="D2692" s="441">
        <v>55.54</v>
      </c>
    </row>
    <row r="2693" spans="1:4" ht="31.5" customHeight="1">
      <c r="A2693" s="120">
        <v>104469</v>
      </c>
      <c r="B2693" s="119" t="s">
        <v>4233</v>
      </c>
      <c r="C2693" s="120" t="s">
        <v>327</v>
      </c>
      <c r="D2693" s="441">
        <v>58.51</v>
      </c>
    </row>
    <row r="2694" spans="1:4" ht="31.5" customHeight="1">
      <c r="A2694" s="120">
        <v>104470</v>
      </c>
      <c r="B2694" s="119" t="s">
        <v>4234</v>
      </c>
      <c r="C2694" s="120" t="s">
        <v>327</v>
      </c>
      <c r="D2694" s="441">
        <v>32.46</v>
      </c>
    </row>
    <row r="2695" spans="1:4" ht="31.5" customHeight="1">
      <c r="A2695" s="120">
        <v>104471</v>
      </c>
      <c r="B2695" s="119" t="s">
        <v>4235</v>
      </c>
      <c r="C2695" s="120" t="s">
        <v>327</v>
      </c>
      <c r="D2695" s="441">
        <v>29.07</v>
      </c>
    </row>
    <row r="2696" spans="1:4" ht="31.5" customHeight="1">
      <c r="A2696" s="120">
        <v>104472</v>
      </c>
      <c r="B2696" s="119" t="s">
        <v>4236</v>
      </c>
      <c r="C2696" s="120" t="s">
        <v>327</v>
      </c>
      <c r="D2696" s="441">
        <v>43.59</v>
      </c>
    </row>
    <row r="2697" spans="1:4" ht="31.5" customHeight="1">
      <c r="A2697" s="120">
        <v>104483</v>
      </c>
      <c r="B2697" s="119" t="s">
        <v>4237</v>
      </c>
      <c r="C2697" s="120" t="s">
        <v>950</v>
      </c>
      <c r="D2697" s="442">
        <v>2189.61</v>
      </c>
    </row>
    <row r="2698" spans="1:4" ht="31.5" customHeight="1">
      <c r="A2698" s="120">
        <v>104484</v>
      </c>
      <c r="B2698" s="119" t="s">
        <v>4238</v>
      </c>
      <c r="C2698" s="120" t="s">
        <v>950</v>
      </c>
      <c r="D2698" s="442">
        <v>3855.39</v>
      </c>
    </row>
    <row r="2699" spans="1:4" ht="31.5" customHeight="1">
      <c r="A2699" s="120">
        <v>104485</v>
      </c>
      <c r="B2699" s="119" t="s">
        <v>4239</v>
      </c>
      <c r="C2699" s="120" t="s">
        <v>950</v>
      </c>
      <c r="D2699" s="442">
        <v>2975.58</v>
      </c>
    </row>
    <row r="2700" spans="1:4" ht="31.5" customHeight="1">
      <c r="A2700" s="120">
        <v>104486</v>
      </c>
      <c r="B2700" s="119" t="s">
        <v>4240</v>
      </c>
      <c r="C2700" s="120" t="s">
        <v>950</v>
      </c>
      <c r="D2700" s="442">
        <v>3234.33</v>
      </c>
    </row>
    <row r="2701" spans="1:4" ht="31.5" customHeight="1">
      <c r="A2701" s="120">
        <v>104487</v>
      </c>
      <c r="B2701" s="119" t="s">
        <v>4241</v>
      </c>
      <c r="C2701" s="120" t="s">
        <v>950</v>
      </c>
      <c r="D2701" s="442">
        <v>2584.4</v>
      </c>
    </row>
    <row r="2702" spans="1:4" ht="31.5" customHeight="1">
      <c r="A2702" s="120">
        <v>104488</v>
      </c>
      <c r="B2702" s="119" t="s">
        <v>4242</v>
      </c>
      <c r="C2702" s="120" t="s">
        <v>950</v>
      </c>
      <c r="D2702" s="442">
        <v>2479.39</v>
      </c>
    </row>
    <row r="2703" spans="1:4" ht="31.5" customHeight="1">
      <c r="A2703" s="120">
        <v>104489</v>
      </c>
      <c r="B2703" s="119" t="s">
        <v>4243</v>
      </c>
      <c r="C2703" s="120" t="s">
        <v>950</v>
      </c>
      <c r="D2703" s="442">
        <v>3929.31</v>
      </c>
    </row>
    <row r="2704" spans="1:4" ht="31.5" customHeight="1">
      <c r="A2704" s="120">
        <v>104490</v>
      </c>
      <c r="B2704" s="119" t="s">
        <v>4244</v>
      </c>
      <c r="C2704" s="120" t="s">
        <v>950</v>
      </c>
      <c r="D2704" s="442">
        <v>2408.46</v>
      </c>
    </row>
    <row r="2705" spans="1:4" ht="31.5" customHeight="1">
      <c r="A2705" s="120">
        <v>98560</v>
      </c>
      <c r="B2705" s="119" t="s">
        <v>4245</v>
      </c>
      <c r="C2705" s="120" t="s">
        <v>951</v>
      </c>
      <c r="D2705" s="441">
        <v>53.62</v>
      </c>
    </row>
    <row r="2706" spans="1:4" ht="31.5" customHeight="1">
      <c r="A2706" s="120">
        <v>98561</v>
      </c>
      <c r="B2706" s="119" t="s">
        <v>4246</v>
      </c>
      <c r="C2706" s="120" t="s">
        <v>951</v>
      </c>
      <c r="D2706" s="441">
        <v>47.82</v>
      </c>
    </row>
    <row r="2707" spans="1:4" ht="31.5" customHeight="1">
      <c r="A2707" s="120">
        <v>98562</v>
      </c>
      <c r="B2707" s="119" t="s">
        <v>4247</v>
      </c>
      <c r="C2707" s="120" t="s">
        <v>951</v>
      </c>
      <c r="D2707" s="441">
        <v>46.37</v>
      </c>
    </row>
    <row r="2708" spans="1:4" ht="31.5" customHeight="1">
      <c r="A2708" s="120">
        <v>98555</v>
      </c>
      <c r="B2708" s="119" t="s">
        <v>4248</v>
      </c>
      <c r="C2708" s="120" t="s">
        <v>951</v>
      </c>
      <c r="D2708" s="441">
        <v>30.4</v>
      </c>
    </row>
    <row r="2709" spans="1:4" ht="31.5" customHeight="1">
      <c r="A2709" s="120">
        <v>98556</v>
      </c>
      <c r="B2709" s="119" t="s">
        <v>4249</v>
      </c>
      <c r="C2709" s="120" t="s">
        <v>951</v>
      </c>
      <c r="D2709" s="441">
        <v>56.74</v>
      </c>
    </row>
    <row r="2710" spans="1:4" ht="31.5" customHeight="1">
      <c r="A2710" s="120">
        <v>98558</v>
      </c>
      <c r="B2710" s="119" t="s">
        <v>4250</v>
      </c>
      <c r="C2710" s="120" t="s">
        <v>331</v>
      </c>
      <c r="D2710" s="441">
        <v>8.6199999999999992</v>
      </c>
    </row>
    <row r="2711" spans="1:4" ht="15.75" customHeight="1">
      <c r="A2711" s="120">
        <v>98559</v>
      </c>
      <c r="B2711" s="119" t="s">
        <v>4251</v>
      </c>
      <c r="C2711" s="120" t="s">
        <v>328</v>
      </c>
      <c r="D2711" s="441">
        <v>5.14</v>
      </c>
    </row>
    <row r="2712" spans="1:4" ht="31.5" customHeight="1">
      <c r="A2712" s="120">
        <v>98546</v>
      </c>
      <c r="B2712" s="119" t="s">
        <v>4252</v>
      </c>
      <c r="C2712" s="120" t="s">
        <v>951</v>
      </c>
      <c r="D2712" s="441">
        <v>111.81</v>
      </c>
    </row>
    <row r="2713" spans="1:4" ht="31.5" customHeight="1">
      <c r="A2713" s="120">
        <v>98547</v>
      </c>
      <c r="B2713" s="119" t="s">
        <v>4253</v>
      </c>
      <c r="C2713" s="120" t="s">
        <v>951</v>
      </c>
      <c r="D2713" s="441">
        <v>207.64</v>
      </c>
    </row>
    <row r="2714" spans="1:4" ht="15.75" customHeight="1">
      <c r="A2714" s="120">
        <v>98553</v>
      </c>
      <c r="B2714" s="119" t="s">
        <v>4254</v>
      </c>
      <c r="C2714" s="120" t="s">
        <v>951</v>
      </c>
      <c r="D2714" s="441">
        <v>134.30000000000001</v>
      </c>
    </row>
    <row r="2715" spans="1:4" ht="15.75" customHeight="1">
      <c r="A2715" s="120">
        <v>98554</v>
      </c>
      <c r="B2715" s="119" t="s">
        <v>4255</v>
      </c>
      <c r="C2715" s="120" t="s">
        <v>951</v>
      </c>
      <c r="D2715" s="441">
        <v>48.91</v>
      </c>
    </row>
    <row r="2716" spans="1:4" ht="15.75" customHeight="1">
      <c r="A2716" s="120">
        <v>98557</v>
      </c>
      <c r="B2716" s="119" t="s">
        <v>4256</v>
      </c>
      <c r="C2716" s="120" t="s">
        <v>951</v>
      </c>
      <c r="D2716" s="441">
        <v>46.21</v>
      </c>
    </row>
    <row r="2717" spans="1:4" ht="31.5" customHeight="1">
      <c r="A2717" s="120">
        <v>98563</v>
      </c>
      <c r="B2717" s="119" t="s">
        <v>4257</v>
      </c>
      <c r="C2717" s="120" t="s">
        <v>951</v>
      </c>
      <c r="D2717" s="441">
        <v>37.33</v>
      </c>
    </row>
    <row r="2718" spans="1:4" ht="31.5" customHeight="1">
      <c r="A2718" s="120">
        <v>98564</v>
      </c>
      <c r="B2718" s="119" t="s">
        <v>4258</v>
      </c>
      <c r="C2718" s="120" t="s">
        <v>951</v>
      </c>
      <c r="D2718" s="441">
        <v>52.33</v>
      </c>
    </row>
    <row r="2719" spans="1:4" ht="31.5" customHeight="1">
      <c r="A2719" s="120">
        <v>98565</v>
      </c>
      <c r="B2719" s="119" t="s">
        <v>4259</v>
      </c>
      <c r="C2719" s="120" t="s">
        <v>951</v>
      </c>
      <c r="D2719" s="441">
        <v>54.09</v>
      </c>
    </row>
    <row r="2720" spans="1:4" ht="31.5" customHeight="1">
      <c r="A2720" s="120">
        <v>98566</v>
      </c>
      <c r="B2720" s="119" t="s">
        <v>4260</v>
      </c>
      <c r="C2720" s="120" t="s">
        <v>951</v>
      </c>
      <c r="D2720" s="441">
        <v>69.069999999999993</v>
      </c>
    </row>
    <row r="2721" spans="1:4" ht="31.5" customHeight="1">
      <c r="A2721" s="120">
        <v>98567</v>
      </c>
      <c r="B2721" s="119" t="s">
        <v>4261</v>
      </c>
      <c r="C2721" s="120" t="s">
        <v>951</v>
      </c>
      <c r="D2721" s="441">
        <v>70.09</v>
      </c>
    </row>
    <row r="2722" spans="1:4" ht="31.5" customHeight="1">
      <c r="A2722" s="120">
        <v>98568</v>
      </c>
      <c r="B2722" s="119" t="s">
        <v>4262</v>
      </c>
      <c r="C2722" s="120" t="s">
        <v>951</v>
      </c>
      <c r="D2722" s="441">
        <v>85.04</v>
      </c>
    </row>
    <row r="2723" spans="1:4" ht="31.5" customHeight="1">
      <c r="A2723" s="120">
        <v>98569</v>
      </c>
      <c r="B2723" s="119" t="s">
        <v>4263</v>
      </c>
      <c r="C2723" s="120" t="s">
        <v>951</v>
      </c>
      <c r="D2723" s="441">
        <v>86.8</v>
      </c>
    </row>
    <row r="2724" spans="1:4" ht="31.5" customHeight="1">
      <c r="A2724" s="120">
        <v>98570</v>
      </c>
      <c r="B2724" s="119" t="s">
        <v>4264</v>
      </c>
      <c r="C2724" s="120" t="s">
        <v>951</v>
      </c>
      <c r="D2724" s="441">
        <v>101.81</v>
      </c>
    </row>
    <row r="2725" spans="1:4" ht="15.75" customHeight="1">
      <c r="A2725" s="120">
        <v>98571</v>
      </c>
      <c r="B2725" s="119" t="s">
        <v>4265</v>
      </c>
      <c r="C2725" s="120" t="s">
        <v>951</v>
      </c>
      <c r="D2725" s="441">
        <v>43.53</v>
      </c>
    </row>
    <row r="2726" spans="1:4" ht="15.75" customHeight="1">
      <c r="A2726" s="120">
        <v>98572</v>
      </c>
      <c r="B2726" s="119" t="s">
        <v>4266</v>
      </c>
      <c r="C2726" s="120" t="s">
        <v>951</v>
      </c>
      <c r="D2726" s="441">
        <v>53.78</v>
      </c>
    </row>
    <row r="2727" spans="1:4" ht="15.75" customHeight="1">
      <c r="A2727" s="120">
        <v>98573</v>
      </c>
      <c r="B2727" s="119" t="s">
        <v>4267</v>
      </c>
      <c r="C2727" s="120" t="s">
        <v>951</v>
      </c>
      <c r="D2727" s="441">
        <v>68.260000000000005</v>
      </c>
    </row>
    <row r="2728" spans="1:4" ht="31.5" customHeight="1">
      <c r="A2728" s="120">
        <v>91831</v>
      </c>
      <c r="B2728" s="119" t="s">
        <v>4268</v>
      </c>
      <c r="C2728" s="120" t="s">
        <v>328</v>
      </c>
      <c r="D2728" s="441">
        <v>10.69</v>
      </c>
    </row>
    <row r="2729" spans="1:4" ht="31.5" customHeight="1">
      <c r="A2729" s="120">
        <v>91833</v>
      </c>
      <c r="B2729" s="119" t="s">
        <v>4269</v>
      </c>
      <c r="C2729" s="120" t="s">
        <v>328</v>
      </c>
      <c r="D2729" s="441">
        <v>11.52</v>
      </c>
    </row>
    <row r="2730" spans="1:4" ht="31.5" customHeight="1">
      <c r="A2730" s="120">
        <v>91834</v>
      </c>
      <c r="B2730" s="119" t="s">
        <v>4270</v>
      </c>
      <c r="C2730" s="120" t="s">
        <v>328</v>
      </c>
      <c r="D2730" s="441">
        <v>11.9</v>
      </c>
    </row>
    <row r="2731" spans="1:4" ht="31.5" customHeight="1">
      <c r="A2731" s="120">
        <v>91835</v>
      </c>
      <c r="B2731" s="119" t="s">
        <v>4271</v>
      </c>
      <c r="C2731" s="120" t="s">
        <v>328</v>
      </c>
      <c r="D2731" s="441">
        <v>14.01</v>
      </c>
    </row>
    <row r="2732" spans="1:4" ht="31.5" customHeight="1">
      <c r="A2732" s="120">
        <v>91836</v>
      </c>
      <c r="B2732" s="119" t="s">
        <v>4272</v>
      </c>
      <c r="C2732" s="120" t="s">
        <v>328</v>
      </c>
      <c r="D2732" s="441">
        <v>15.96</v>
      </c>
    </row>
    <row r="2733" spans="1:4" ht="31.5" customHeight="1">
      <c r="A2733" s="120">
        <v>91837</v>
      </c>
      <c r="B2733" s="119" t="s">
        <v>4273</v>
      </c>
      <c r="C2733" s="120" t="s">
        <v>328</v>
      </c>
      <c r="D2733" s="441">
        <v>20.87</v>
      </c>
    </row>
    <row r="2734" spans="1:4" ht="31.5" customHeight="1">
      <c r="A2734" s="120">
        <v>91839</v>
      </c>
      <c r="B2734" s="119" t="s">
        <v>4274</v>
      </c>
      <c r="C2734" s="120" t="s">
        <v>328</v>
      </c>
      <c r="D2734" s="441">
        <v>12.12</v>
      </c>
    </row>
    <row r="2735" spans="1:4" ht="31.5" customHeight="1">
      <c r="A2735" s="120">
        <v>91840</v>
      </c>
      <c r="B2735" s="119" t="s">
        <v>4275</v>
      </c>
      <c r="C2735" s="120" t="s">
        <v>328</v>
      </c>
      <c r="D2735" s="441">
        <v>15.07</v>
      </c>
    </row>
    <row r="2736" spans="1:4" ht="31.5" customHeight="1">
      <c r="A2736" s="120">
        <v>91841</v>
      </c>
      <c r="B2736" s="119" t="s">
        <v>4276</v>
      </c>
      <c r="C2736" s="120" t="s">
        <v>328</v>
      </c>
      <c r="D2736" s="441">
        <v>14.37</v>
      </c>
    </row>
    <row r="2737" spans="1:4" ht="31.5" customHeight="1">
      <c r="A2737" s="120">
        <v>91842</v>
      </c>
      <c r="B2737" s="119" t="s">
        <v>4277</v>
      </c>
      <c r="C2737" s="120" t="s">
        <v>328</v>
      </c>
      <c r="D2737" s="441">
        <v>8.0500000000000007</v>
      </c>
    </row>
    <row r="2738" spans="1:4" ht="31.5" customHeight="1">
      <c r="A2738" s="120">
        <v>91843</v>
      </c>
      <c r="B2738" s="119" t="s">
        <v>4278</v>
      </c>
      <c r="C2738" s="120" t="s">
        <v>328</v>
      </c>
      <c r="D2738" s="441">
        <v>8.8800000000000008</v>
      </c>
    </row>
    <row r="2739" spans="1:4" ht="31.5" customHeight="1">
      <c r="A2739" s="120">
        <v>91844</v>
      </c>
      <c r="B2739" s="119" t="s">
        <v>4279</v>
      </c>
      <c r="C2739" s="120" t="s">
        <v>328</v>
      </c>
      <c r="D2739" s="441">
        <v>9.26</v>
      </c>
    </row>
    <row r="2740" spans="1:4" ht="31.5" customHeight="1">
      <c r="A2740" s="120">
        <v>91845</v>
      </c>
      <c r="B2740" s="119" t="s">
        <v>4280</v>
      </c>
      <c r="C2740" s="120" t="s">
        <v>328</v>
      </c>
      <c r="D2740" s="441">
        <v>11.37</v>
      </c>
    </row>
    <row r="2741" spans="1:4" ht="31.5" customHeight="1">
      <c r="A2741" s="120">
        <v>91846</v>
      </c>
      <c r="B2741" s="119" t="s">
        <v>4281</v>
      </c>
      <c r="C2741" s="120" t="s">
        <v>328</v>
      </c>
      <c r="D2741" s="441">
        <v>13.33</v>
      </c>
    </row>
    <row r="2742" spans="1:4" ht="31.5" customHeight="1">
      <c r="A2742" s="120">
        <v>91847</v>
      </c>
      <c r="B2742" s="119" t="s">
        <v>4282</v>
      </c>
      <c r="C2742" s="120" t="s">
        <v>328</v>
      </c>
      <c r="D2742" s="441">
        <v>18.239999999999998</v>
      </c>
    </row>
    <row r="2743" spans="1:4" ht="31.5" customHeight="1">
      <c r="A2743" s="120">
        <v>91849</v>
      </c>
      <c r="B2743" s="119" t="s">
        <v>4283</v>
      </c>
      <c r="C2743" s="120" t="s">
        <v>328</v>
      </c>
      <c r="D2743" s="441">
        <v>9.49</v>
      </c>
    </row>
    <row r="2744" spans="1:4" ht="31.5" customHeight="1">
      <c r="A2744" s="120">
        <v>91850</v>
      </c>
      <c r="B2744" s="119" t="s">
        <v>4284</v>
      </c>
      <c r="C2744" s="120" t="s">
        <v>328</v>
      </c>
      <c r="D2744" s="441">
        <v>12.51</v>
      </c>
    </row>
    <row r="2745" spans="1:4" ht="31.5" customHeight="1">
      <c r="A2745" s="120">
        <v>91851</v>
      </c>
      <c r="B2745" s="119" t="s">
        <v>4285</v>
      </c>
      <c r="C2745" s="120" t="s">
        <v>328</v>
      </c>
      <c r="D2745" s="441">
        <v>11.81</v>
      </c>
    </row>
    <row r="2746" spans="1:4" ht="31.5" customHeight="1">
      <c r="A2746" s="120">
        <v>91852</v>
      </c>
      <c r="B2746" s="119" t="s">
        <v>4286</v>
      </c>
      <c r="C2746" s="120" t="s">
        <v>328</v>
      </c>
      <c r="D2746" s="441">
        <v>11.16</v>
      </c>
    </row>
    <row r="2747" spans="1:4" ht="31.5" customHeight="1">
      <c r="A2747" s="120">
        <v>91853</v>
      </c>
      <c r="B2747" s="119" t="s">
        <v>4287</v>
      </c>
      <c r="C2747" s="120" t="s">
        <v>328</v>
      </c>
      <c r="D2747" s="441">
        <v>11.93</v>
      </c>
    </row>
    <row r="2748" spans="1:4" ht="31.5" customHeight="1">
      <c r="A2748" s="120">
        <v>91854</v>
      </c>
      <c r="B2748" s="119" t="s">
        <v>4288</v>
      </c>
      <c r="C2748" s="120" t="s">
        <v>328</v>
      </c>
      <c r="D2748" s="441">
        <v>12.34</v>
      </c>
    </row>
    <row r="2749" spans="1:4" ht="31.5" customHeight="1">
      <c r="A2749" s="120">
        <v>91855</v>
      </c>
      <c r="B2749" s="119" t="s">
        <v>4289</v>
      </c>
      <c r="C2749" s="120" t="s">
        <v>328</v>
      </c>
      <c r="D2749" s="441">
        <v>14.29</v>
      </c>
    </row>
    <row r="2750" spans="1:4" ht="31.5" customHeight="1">
      <c r="A2750" s="120">
        <v>91856</v>
      </c>
      <c r="B2750" s="119" t="s">
        <v>4290</v>
      </c>
      <c r="C2750" s="120" t="s">
        <v>328</v>
      </c>
      <c r="D2750" s="441">
        <v>16.18</v>
      </c>
    </row>
    <row r="2751" spans="1:4" ht="31.5" customHeight="1">
      <c r="A2751" s="120">
        <v>91857</v>
      </c>
      <c r="B2751" s="119" t="s">
        <v>4291</v>
      </c>
      <c r="C2751" s="120" t="s">
        <v>328</v>
      </c>
      <c r="D2751" s="441">
        <v>20.72</v>
      </c>
    </row>
    <row r="2752" spans="1:4" ht="31.5" customHeight="1">
      <c r="A2752" s="120">
        <v>91859</v>
      </c>
      <c r="B2752" s="119" t="s">
        <v>4292</v>
      </c>
      <c r="C2752" s="120" t="s">
        <v>328</v>
      </c>
      <c r="D2752" s="441">
        <v>12.63</v>
      </c>
    </row>
    <row r="2753" spans="1:4" ht="31.5" customHeight="1">
      <c r="A2753" s="120">
        <v>91860</v>
      </c>
      <c r="B2753" s="119" t="s">
        <v>4293</v>
      </c>
      <c r="C2753" s="120" t="s">
        <v>328</v>
      </c>
      <c r="D2753" s="441">
        <v>15.53</v>
      </c>
    </row>
    <row r="2754" spans="1:4" ht="31.5" customHeight="1">
      <c r="A2754" s="120">
        <v>91861</v>
      </c>
      <c r="B2754" s="119" t="s">
        <v>4294</v>
      </c>
      <c r="C2754" s="120" t="s">
        <v>328</v>
      </c>
      <c r="D2754" s="441">
        <v>14.88</v>
      </c>
    </row>
    <row r="2755" spans="1:4" ht="31.5" customHeight="1">
      <c r="A2755" s="120">
        <v>91862</v>
      </c>
      <c r="B2755" s="119" t="s">
        <v>4295</v>
      </c>
      <c r="C2755" s="120" t="s">
        <v>328</v>
      </c>
      <c r="D2755" s="441">
        <v>13.26</v>
      </c>
    </row>
    <row r="2756" spans="1:4" ht="31.5" customHeight="1">
      <c r="A2756" s="120">
        <v>91863</v>
      </c>
      <c r="B2756" s="119" t="s">
        <v>4296</v>
      </c>
      <c r="C2756" s="120" t="s">
        <v>328</v>
      </c>
      <c r="D2756" s="441">
        <v>15.67</v>
      </c>
    </row>
    <row r="2757" spans="1:4" ht="31.5" customHeight="1">
      <c r="A2757" s="120">
        <v>91864</v>
      </c>
      <c r="B2757" s="119" t="s">
        <v>4297</v>
      </c>
      <c r="C2757" s="120" t="s">
        <v>328</v>
      </c>
      <c r="D2757" s="441">
        <v>21.09</v>
      </c>
    </row>
    <row r="2758" spans="1:4" ht="31.5" customHeight="1">
      <c r="A2758" s="120">
        <v>91865</v>
      </c>
      <c r="B2758" s="119" t="s">
        <v>4298</v>
      </c>
      <c r="C2758" s="120" t="s">
        <v>328</v>
      </c>
      <c r="D2758" s="441">
        <v>26.43</v>
      </c>
    </row>
    <row r="2759" spans="1:4" ht="31.5" customHeight="1">
      <c r="A2759" s="120">
        <v>91866</v>
      </c>
      <c r="B2759" s="119" t="s">
        <v>4299</v>
      </c>
      <c r="C2759" s="120" t="s">
        <v>328</v>
      </c>
      <c r="D2759" s="441">
        <v>10.81</v>
      </c>
    </row>
    <row r="2760" spans="1:4" ht="31.5" customHeight="1">
      <c r="A2760" s="120">
        <v>91867</v>
      </c>
      <c r="B2760" s="119" t="s">
        <v>4300</v>
      </c>
      <c r="C2760" s="120" t="s">
        <v>328</v>
      </c>
      <c r="D2760" s="441">
        <v>13.22</v>
      </c>
    </row>
    <row r="2761" spans="1:4" ht="31.5" customHeight="1">
      <c r="A2761" s="120">
        <v>91868</v>
      </c>
      <c r="B2761" s="119" t="s">
        <v>4301</v>
      </c>
      <c r="C2761" s="120" t="s">
        <v>328</v>
      </c>
      <c r="D2761" s="441">
        <v>18.64</v>
      </c>
    </row>
    <row r="2762" spans="1:4" ht="31.5" customHeight="1">
      <c r="A2762" s="120">
        <v>91869</v>
      </c>
      <c r="B2762" s="119" t="s">
        <v>4302</v>
      </c>
      <c r="C2762" s="120" t="s">
        <v>328</v>
      </c>
      <c r="D2762" s="441">
        <v>23.99</v>
      </c>
    </row>
    <row r="2763" spans="1:4" ht="31.5" customHeight="1">
      <c r="A2763" s="120">
        <v>91870</v>
      </c>
      <c r="B2763" s="119" t="s">
        <v>4303</v>
      </c>
      <c r="C2763" s="120" t="s">
        <v>328</v>
      </c>
      <c r="D2763" s="441">
        <v>14.78</v>
      </c>
    </row>
    <row r="2764" spans="1:4" ht="31.5" customHeight="1">
      <c r="A2764" s="120">
        <v>91871</v>
      </c>
      <c r="B2764" s="119" t="s">
        <v>4304</v>
      </c>
      <c r="C2764" s="120" t="s">
        <v>328</v>
      </c>
      <c r="D2764" s="441">
        <v>17.260000000000002</v>
      </c>
    </row>
    <row r="2765" spans="1:4" ht="31.5" customHeight="1">
      <c r="A2765" s="120">
        <v>91872</v>
      </c>
      <c r="B2765" s="119" t="s">
        <v>4305</v>
      </c>
      <c r="C2765" s="120" t="s">
        <v>328</v>
      </c>
      <c r="D2765" s="441">
        <v>22.67</v>
      </c>
    </row>
    <row r="2766" spans="1:4" ht="31.5" customHeight="1">
      <c r="A2766" s="120">
        <v>91873</v>
      </c>
      <c r="B2766" s="119" t="s">
        <v>4306</v>
      </c>
      <c r="C2766" s="120" t="s">
        <v>328</v>
      </c>
      <c r="D2766" s="441">
        <v>27.96</v>
      </c>
    </row>
    <row r="2767" spans="1:4" ht="31.5" customHeight="1">
      <c r="A2767" s="120">
        <v>93008</v>
      </c>
      <c r="B2767" s="119" t="s">
        <v>4307</v>
      </c>
      <c r="C2767" s="120" t="s">
        <v>328</v>
      </c>
      <c r="D2767" s="441">
        <v>24.19</v>
      </c>
    </row>
    <row r="2768" spans="1:4" ht="31.5" customHeight="1">
      <c r="A2768" s="120">
        <v>93009</v>
      </c>
      <c r="B2768" s="119" t="s">
        <v>4308</v>
      </c>
      <c r="C2768" s="120" t="s">
        <v>328</v>
      </c>
      <c r="D2768" s="441">
        <v>36.299999999999997</v>
      </c>
    </row>
    <row r="2769" spans="1:4" ht="31.5" customHeight="1">
      <c r="A2769" s="120">
        <v>93010</v>
      </c>
      <c r="B2769" s="119" t="s">
        <v>4309</v>
      </c>
      <c r="C2769" s="120" t="s">
        <v>328</v>
      </c>
      <c r="D2769" s="441">
        <v>50.91</v>
      </c>
    </row>
    <row r="2770" spans="1:4" ht="31.5" customHeight="1">
      <c r="A2770" s="120">
        <v>93011</v>
      </c>
      <c r="B2770" s="119" t="s">
        <v>4310</v>
      </c>
      <c r="C2770" s="120" t="s">
        <v>328</v>
      </c>
      <c r="D2770" s="441">
        <v>62.51</v>
      </c>
    </row>
    <row r="2771" spans="1:4" ht="31.5" customHeight="1">
      <c r="A2771" s="120">
        <v>93012</v>
      </c>
      <c r="B2771" s="119" t="s">
        <v>4311</v>
      </c>
      <c r="C2771" s="120" t="s">
        <v>328</v>
      </c>
      <c r="D2771" s="441">
        <v>95.11</v>
      </c>
    </row>
    <row r="2772" spans="1:4" ht="15.75" customHeight="1">
      <c r="A2772" s="120">
        <v>95726</v>
      </c>
      <c r="B2772" s="119" t="s">
        <v>4312</v>
      </c>
      <c r="C2772" s="120" t="s">
        <v>328</v>
      </c>
      <c r="D2772" s="441">
        <v>10.94</v>
      </c>
    </row>
    <row r="2773" spans="1:4" ht="15.75" customHeight="1">
      <c r="A2773" s="120">
        <v>95727</v>
      </c>
      <c r="B2773" s="119" t="s">
        <v>4313</v>
      </c>
      <c r="C2773" s="120" t="s">
        <v>328</v>
      </c>
      <c r="D2773" s="441">
        <v>15.28</v>
      </c>
    </row>
    <row r="2774" spans="1:4" ht="15.75" customHeight="1">
      <c r="A2774" s="120">
        <v>95728</v>
      </c>
      <c r="B2774" s="119" t="s">
        <v>4314</v>
      </c>
      <c r="C2774" s="120" t="s">
        <v>328</v>
      </c>
      <c r="D2774" s="441">
        <v>22.47</v>
      </c>
    </row>
    <row r="2775" spans="1:4" ht="31.5" customHeight="1">
      <c r="A2775" s="120">
        <v>97667</v>
      </c>
      <c r="B2775" s="119" t="s">
        <v>4315</v>
      </c>
      <c r="C2775" s="120" t="s">
        <v>328</v>
      </c>
      <c r="D2775" s="441">
        <v>9.3000000000000007</v>
      </c>
    </row>
    <row r="2776" spans="1:4" ht="31.5" customHeight="1">
      <c r="A2776" s="120">
        <v>97668</v>
      </c>
      <c r="B2776" s="119" t="s">
        <v>4316</v>
      </c>
      <c r="C2776" s="120" t="s">
        <v>328</v>
      </c>
      <c r="D2776" s="441">
        <v>13.25</v>
      </c>
    </row>
    <row r="2777" spans="1:4" ht="31.5" customHeight="1">
      <c r="A2777" s="120">
        <v>97669</v>
      </c>
      <c r="B2777" s="119" t="s">
        <v>4317</v>
      </c>
      <c r="C2777" s="120" t="s">
        <v>328</v>
      </c>
      <c r="D2777" s="441">
        <v>19.670000000000002</v>
      </c>
    </row>
    <row r="2778" spans="1:4" ht="31.5" customHeight="1">
      <c r="A2778" s="120">
        <v>97670</v>
      </c>
      <c r="B2778" s="119" t="s">
        <v>4318</v>
      </c>
      <c r="C2778" s="120" t="s">
        <v>328</v>
      </c>
      <c r="D2778" s="441">
        <v>25.13</v>
      </c>
    </row>
    <row r="2779" spans="1:4" ht="31.5" customHeight="1">
      <c r="A2779" s="120">
        <v>91874</v>
      </c>
      <c r="B2779" s="119" t="s">
        <v>4319</v>
      </c>
      <c r="C2779" s="120" t="s">
        <v>331</v>
      </c>
      <c r="D2779" s="441">
        <v>6.07</v>
      </c>
    </row>
    <row r="2780" spans="1:4" ht="31.5" customHeight="1">
      <c r="A2780" s="120">
        <v>91875</v>
      </c>
      <c r="B2780" s="119" t="s">
        <v>4320</v>
      </c>
      <c r="C2780" s="120" t="s">
        <v>331</v>
      </c>
      <c r="D2780" s="441">
        <v>8.0399999999999991</v>
      </c>
    </row>
    <row r="2781" spans="1:4" ht="31.5" customHeight="1">
      <c r="A2781" s="120">
        <v>91876</v>
      </c>
      <c r="B2781" s="119" t="s">
        <v>4321</v>
      </c>
      <c r="C2781" s="120" t="s">
        <v>331</v>
      </c>
      <c r="D2781" s="441">
        <v>10.61</v>
      </c>
    </row>
    <row r="2782" spans="1:4" ht="31.5" customHeight="1">
      <c r="A2782" s="120">
        <v>91877</v>
      </c>
      <c r="B2782" s="119" t="s">
        <v>4322</v>
      </c>
      <c r="C2782" s="120" t="s">
        <v>331</v>
      </c>
      <c r="D2782" s="441">
        <v>14.08</v>
      </c>
    </row>
    <row r="2783" spans="1:4" ht="31.5" customHeight="1">
      <c r="A2783" s="120">
        <v>91878</v>
      </c>
      <c r="B2783" s="119" t="s">
        <v>4323</v>
      </c>
      <c r="C2783" s="120" t="s">
        <v>331</v>
      </c>
      <c r="D2783" s="441">
        <v>7.82</v>
      </c>
    </row>
    <row r="2784" spans="1:4" ht="31.5" customHeight="1">
      <c r="A2784" s="120">
        <v>91879</v>
      </c>
      <c r="B2784" s="119" t="s">
        <v>4324</v>
      </c>
      <c r="C2784" s="120" t="s">
        <v>331</v>
      </c>
      <c r="D2784" s="441">
        <v>9.7200000000000006</v>
      </c>
    </row>
    <row r="2785" spans="1:4" ht="31.5" customHeight="1">
      <c r="A2785" s="120">
        <v>91880</v>
      </c>
      <c r="B2785" s="119" t="s">
        <v>4325</v>
      </c>
      <c r="C2785" s="120" t="s">
        <v>331</v>
      </c>
      <c r="D2785" s="441">
        <v>12.34</v>
      </c>
    </row>
    <row r="2786" spans="1:4" ht="31.5" customHeight="1">
      <c r="A2786" s="120">
        <v>91881</v>
      </c>
      <c r="B2786" s="119" t="s">
        <v>4326</v>
      </c>
      <c r="C2786" s="120" t="s">
        <v>331</v>
      </c>
      <c r="D2786" s="441">
        <v>15.82</v>
      </c>
    </row>
    <row r="2787" spans="1:4" ht="31.5" customHeight="1">
      <c r="A2787" s="120">
        <v>91882</v>
      </c>
      <c r="B2787" s="119" t="s">
        <v>4327</v>
      </c>
      <c r="C2787" s="120" t="s">
        <v>331</v>
      </c>
      <c r="D2787" s="441">
        <v>9.67</v>
      </c>
    </row>
    <row r="2788" spans="1:4" ht="31.5" customHeight="1">
      <c r="A2788" s="120">
        <v>91884</v>
      </c>
      <c r="B2788" s="119" t="s">
        <v>4328</v>
      </c>
      <c r="C2788" s="120" t="s">
        <v>331</v>
      </c>
      <c r="D2788" s="441">
        <v>11.16</v>
      </c>
    </row>
    <row r="2789" spans="1:4" ht="31.5" customHeight="1">
      <c r="A2789" s="120">
        <v>91885</v>
      </c>
      <c r="B2789" s="119" t="s">
        <v>4329</v>
      </c>
      <c r="C2789" s="120" t="s">
        <v>331</v>
      </c>
      <c r="D2789" s="441">
        <v>13.18</v>
      </c>
    </row>
    <row r="2790" spans="1:4" ht="31.5" customHeight="1">
      <c r="A2790" s="120">
        <v>91886</v>
      </c>
      <c r="B2790" s="119" t="s">
        <v>4330</v>
      </c>
      <c r="C2790" s="120" t="s">
        <v>331</v>
      </c>
      <c r="D2790" s="441">
        <v>16</v>
      </c>
    </row>
    <row r="2791" spans="1:4" ht="31.5" customHeight="1">
      <c r="A2791" s="120">
        <v>91887</v>
      </c>
      <c r="B2791" s="119" t="s">
        <v>4331</v>
      </c>
      <c r="C2791" s="120" t="s">
        <v>331</v>
      </c>
      <c r="D2791" s="441">
        <v>11.2</v>
      </c>
    </row>
    <row r="2792" spans="1:4" ht="31.5" customHeight="1">
      <c r="A2792" s="120">
        <v>91889</v>
      </c>
      <c r="B2792" s="119" t="s">
        <v>4332</v>
      </c>
      <c r="C2792" s="120" t="s">
        <v>331</v>
      </c>
      <c r="D2792" s="441">
        <v>10.8</v>
      </c>
    </row>
    <row r="2793" spans="1:4" ht="31.5" customHeight="1">
      <c r="A2793" s="120">
        <v>91890</v>
      </c>
      <c r="B2793" s="119" t="s">
        <v>4333</v>
      </c>
      <c r="C2793" s="120" t="s">
        <v>331</v>
      </c>
      <c r="D2793" s="441">
        <v>13.35</v>
      </c>
    </row>
    <row r="2794" spans="1:4" ht="31.5" customHeight="1">
      <c r="A2794" s="120">
        <v>91892</v>
      </c>
      <c r="B2794" s="119" t="s">
        <v>4334</v>
      </c>
      <c r="C2794" s="120" t="s">
        <v>331</v>
      </c>
      <c r="D2794" s="441">
        <v>16.04</v>
      </c>
    </row>
    <row r="2795" spans="1:4" ht="31.5" customHeight="1">
      <c r="A2795" s="120">
        <v>91893</v>
      </c>
      <c r="B2795" s="119" t="s">
        <v>4335</v>
      </c>
      <c r="C2795" s="120" t="s">
        <v>331</v>
      </c>
      <c r="D2795" s="441">
        <v>18.22</v>
      </c>
    </row>
    <row r="2796" spans="1:4" ht="31.5" customHeight="1">
      <c r="A2796" s="120">
        <v>91895</v>
      </c>
      <c r="B2796" s="119" t="s">
        <v>4336</v>
      </c>
      <c r="C2796" s="120" t="s">
        <v>331</v>
      </c>
      <c r="D2796" s="441">
        <v>20.96</v>
      </c>
    </row>
    <row r="2797" spans="1:4" ht="31.5" customHeight="1">
      <c r="A2797" s="120">
        <v>91896</v>
      </c>
      <c r="B2797" s="119" t="s">
        <v>4337</v>
      </c>
      <c r="C2797" s="120" t="s">
        <v>331</v>
      </c>
      <c r="D2797" s="441">
        <v>22.26</v>
      </c>
    </row>
    <row r="2798" spans="1:4" ht="31.5" customHeight="1">
      <c r="A2798" s="120">
        <v>91898</v>
      </c>
      <c r="B2798" s="119" t="s">
        <v>4338</v>
      </c>
      <c r="C2798" s="120" t="s">
        <v>331</v>
      </c>
      <c r="D2798" s="441">
        <v>25.18</v>
      </c>
    </row>
    <row r="2799" spans="1:4" ht="31.5" customHeight="1">
      <c r="A2799" s="120">
        <v>91899</v>
      </c>
      <c r="B2799" s="119" t="s">
        <v>4339</v>
      </c>
      <c r="C2799" s="120" t="s">
        <v>331</v>
      </c>
      <c r="D2799" s="441">
        <v>13.72</v>
      </c>
    </row>
    <row r="2800" spans="1:4" ht="31.5" customHeight="1">
      <c r="A2800" s="120">
        <v>91901</v>
      </c>
      <c r="B2800" s="119" t="s">
        <v>4340</v>
      </c>
      <c r="C2800" s="120" t="s">
        <v>331</v>
      </c>
      <c r="D2800" s="441">
        <v>13.32</v>
      </c>
    </row>
    <row r="2801" spans="1:4" ht="31.5" customHeight="1">
      <c r="A2801" s="120">
        <v>91902</v>
      </c>
      <c r="B2801" s="119" t="s">
        <v>4341</v>
      </c>
      <c r="C2801" s="120" t="s">
        <v>331</v>
      </c>
      <c r="D2801" s="441">
        <v>15.87</v>
      </c>
    </row>
    <row r="2802" spans="1:4" ht="31.5" customHeight="1">
      <c r="A2802" s="120">
        <v>91904</v>
      </c>
      <c r="B2802" s="119" t="s">
        <v>4342</v>
      </c>
      <c r="C2802" s="120" t="s">
        <v>331</v>
      </c>
      <c r="D2802" s="441">
        <v>18.559999999999999</v>
      </c>
    </row>
    <row r="2803" spans="1:4" ht="31.5" customHeight="1">
      <c r="A2803" s="120">
        <v>91905</v>
      </c>
      <c r="B2803" s="119" t="s">
        <v>4343</v>
      </c>
      <c r="C2803" s="120" t="s">
        <v>331</v>
      </c>
      <c r="D2803" s="441">
        <v>20.75</v>
      </c>
    </row>
    <row r="2804" spans="1:4" ht="31.5" customHeight="1">
      <c r="A2804" s="120">
        <v>91907</v>
      </c>
      <c r="B2804" s="119" t="s">
        <v>4344</v>
      </c>
      <c r="C2804" s="120" t="s">
        <v>331</v>
      </c>
      <c r="D2804" s="441">
        <v>23.49</v>
      </c>
    </row>
    <row r="2805" spans="1:4" ht="31.5" customHeight="1">
      <c r="A2805" s="120">
        <v>91908</v>
      </c>
      <c r="B2805" s="119" t="s">
        <v>4345</v>
      </c>
      <c r="C2805" s="120" t="s">
        <v>331</v>
      </c>
      <c r="D2805" s="441">
        <v>24.84</v>
      </c>
    </row>
    <row r="2806" spans="1:4" ht="31.5" customHeight="1">
      <c r="A2806" s="120">
        <v>91910</v>
      </c>
      <c r="B2806" s="119" t="s">
        <v>4346</v>
      </c>
      <c r="C2806" s="120" t="s">
        <v>331</v>
      </c>
      <c r="D2806" s="441">
        <v>27.76</v>
      </c>
    </row>
    <row r="2807" spans="1:4" ht="31.5" customHeight="1">
      <c r="A2807" s="120">
        <v>91911</v>
      </c>
      <c r="B2807" s="119" t="s">
        <v>4347</v>
      </c>
      <c r="C2807" s="120" t="s">
        <v>331</v>
      </c>
      <c r="D2807" s="441">
        <v>16.600000000000001</v>
      </c>
    </row>
    <row r="2808" spans="1:4" ht="31.5" customHeight="1">
      <c r="A2808" s="120">
        <v>91913</v>
      </c>
      <c r="B2808" s="119" t="s">
        <v>4348</v>
      </c>
      <c r="C2808" s="120" t="s">
        <v>331</v>
      </c>
      <c r="D2808" s="441">
        <v>16.2</v>
      </c>
    </row>
    <row r="2809" spans="1:4" ht="31.5" customHeight="1">
      <c r="A2809" s="120">
        <v>91914</v>
      </c>
      <c r="B2809" s="119" t="s">
        <v>4349</v>
      </c>
      <c r="C2809" s="120" t="s">
        <v>331</v>
      </c>
      <c r="D2809" s="441">
        <v>18.09</v>
      </c>
    </row>
    <row r="2810" spans="1:4" ht="31.5" customHeight="1">
      <c r="A2810" s="120">
        <v>91916</v>
      </c>
      <c r="B2810" s="119" t="s">
        <v>4350</v>
      </c>
      <c r="C2810" s="120" t="s">
        <v>331</v>
      </c>
      <c r="D2810" s="441">
        <v>20.78</v>
      </c>
    </row>
    <row r="2811" spans="1:4" ht="31.5" customHeight="1">
      <c r="A2811" s="120">
        <v>91917</v>
      </c>
      <c r="B2811" s="119" t="s">
        <v>4351</v>
      </c>
      <c r="C2811" s="120" t="s">
        <v>331</v>
      </c>
      <c r="D2811" s="441">
        <v>22.06</v>
      </c>
    </row>
    <row r="2812" spans="1:4" ht="31.5" customHeight="1">
      <c r="A2812" s="120">
        <v>91919</v>
      </c>
      <c r="B2812" s="119" t="s">
        <v>4352</v>
      </c>
      <c r="C2812" s="120" t="s">
        <v>331</v>
      </c>
      <c r="D2812" s="441">
        <v>24.8</v>
      </c>
    </row>
    <row r="2813" spans="1:4" ht="31.5" customHeight="1">
      <c r="A2813" s="120">
        <v>91920</v>
      </c>
      <c r="B2813" s="119" t="s">
        <v>4353</v>
      </c>
      <c r="C2813" s="120" t="s">
        <v>331</v>
      </c>
      <c r="D2813" s="441">
        <v>25.15</v>
      </c>
    </row>
    <row r="2814" spans="1:4" ht="31.5" customHeight="1">
      <c r="A2814" s="120">
        <v>91922</v>
      </c>
      <c r="B2814" s="119" t="s">
        <v>4354</v>
      </c>
      <c r="C2814" s="120" t="s">
        <v>331</v>
      </c>
      <c r="D2814" s="441">
        <v>28.07</v>
      </c>
    </row>
    <row r="2815" spans="1:4" ht="31.5" customHeight="1">
      <c r="A2815" s="120">
        <v>93013</v>
      </c>
      <c r="B2815" s="119" t="s">
        <v>4355</v>
      </c>
      <c r="C2815" s="120" t="s">
        <v>331</v>
      </c>
      <c r="D2815" s="441">
        <v>18.309999999999999</v>
      </c>
    </row>
    <row r="2816" spans="1:4" ht="31.5" customHeight="1">
      <c r="A2816" s="120">
        <v>93014</v>
      </c>
      <c r="B2816" s="119" t="s">
        <v>4356</v>
      </c>
      <c r="C2816" s="120" t="s">
        <v>331</v>
      </c>
      <c r="D2816" s="441">
        <v>22.49</v>
      </c>
    </row>
    <row r="2817" spans="1:4" ht="31.5" customHeight="1">
      <c r="A2817" s="120">
        <v>93015</v>
      </c>
      <c r="B2817" s="119" t="s">
        <v>4357</v>
      </c>
      <c r="C2817" s="120" t="s">
        <v>331</v>
      </c>
      <c r="D2817" s="441">
        <v>34.130000000000003</v>
      </c>
    </row>
    <row r="2818" spans="1:4" ht="31.5" customHeight="1">
      <c r="A2818" s="120">
        <v>93016</v>
      </c>
      <c r="B2818" s="119" t="s">
        <v>4358</v>
      </c>
      <c r="C2818" s="120" t="s">
        <v>331</v>
      </c>
      <c r="D2818" s="441">
        <v>41.5</v>
      </c>
    </row>
    <row r="2819" spans="1:4" ht="31.5" customHeight="1">
      <c r="A2819" s="120">
        <v>93017</v>
      </c>
      <c r="B2819" s="119" t="s">
        <v>4359</v>
      </c>
      <c r="C2819" s="120" t="s">
        <v>331</v>
      </c>
      <c r="D2819" s="441">
        <v>62.43</v>
      </c>
    </row>
    <row r="2820" spans="1:4" ht="31.5" customHeight="1">
      <c r="A2820" s="120">
        <v>93018</v>
      </c>
      <c r="B2820" s="119" t="s">
        <v>4360</v>
      </c>
      <c r="C2820" s="120" t="s">
        <v>331</v>
      </c>
      <c r="D2820" s="441">
        <v>27.96</v>
      </c>
    </row>
    <row r="2821" spans="1:4" ht="31.5" customHeight="1">
      <c r="A2821" s="120">
        <v>93020</v>
      </c>
      <c r="B2821" s="119" t="s">
        <v>4361</v>
      </c>
      <c r="C2821" s="120" t="s">
        <v>331</v>
      </c>
      <c r="D2821" s="441">
        <v>35.840000000000003</v>
      </c>
    </row>
    <row r="2822" spans="1:4" ht="31.5" customHeight="1">
      <c r="A2822" s="120">
        <v>93022</v>
      </c>
      <c r="B2822" s="119" t="s">
        <v>4362</v>
      </c>
      <c r="C2822" s="120" t="s">
        <v>331</v>
      </c>
      <c r="D2822" s="441">
        <v>60</v>
      </c>
    </row>
    <row r="2823" spans="1:4" ht="31.5" customHeight="1">
      <c r="A2823" s="120">
        <v>93024</v>
      </c>
      <c r="B2823" s="119" t="s">
        <v>4363</v>
      </c>
      <c r="C2823" s="120" t="s">
        <v>331</v>
      </c>
      <c r="D2823" s="441">
        <v>63.08</v>
      </c>
    </row>
    <row r="2824" spans="1:4" ht="31.5" customHeight="1">
      <c r="A2824" s="120">
        <v>93026</v>
      </c>
      <c r="B2824" s="119" t="s">
        <v>4364</v>
      </c>
      <c r="C2824" s="120" t="s">
        <v>331</v>
      </c>
      <c r="D2824" s="441">
        <v>103.23</v>
      </c>
    </row>
    <row r="2825" spans="1:4" ht="31.5" customHeight="1">
      <c r="A2825" s="120">
        <v>97559</v>
      </c>
      <c r="B2825" s="119" t="s">
        <v>4365</v>
      </c>
      <c r="C2825" s="120" t="s">
        <v>331</v>
      </c>
      <c r="D2825" s="441">
        <v>13.05</v>
      </c>
    </row>
    <row r="2826" spans="1:4" ht="31.5" customHeight="1">
      <c r="A2826" s="120">
        <v>97562</v>
      </c>
      <c r="B2826" s="119" t="s">
        <v>4366</v>
      </c>
      <c r="C2826" s="120" t="s">
        <v>331</v>
      </c>
      <c r="D2826" s="441">
        <v>15.57</v>
      </c>
    </row>
    <row r="2827" spans="1:4" ht="31.5" customHeight="1">
      <c r="A2827" s="120">
        <v>97564</v>
      </c>
      <c r="B2827" s="119" t="s">
        <v>4367</v>
      </c>
      <c r="C2827" s="120" t="s">
        <v>331</v>
      </c>
      <c r="D2827" s="441">
        <v>17.79</v>
      </c>
    </row>
    <row r="2828" spans="1:4" ht="31.5" customHeight="1">
      <c r="A2828" s="120">
        <v>104395</v>
      </c>
      <c r="B2828" s="119" t="s">
        <v>4368</v>
      </c>
      <c r="C2828" s="120" t="s">
        <v>331</v>
      </c>
      <c r="D2828" s="441">
        <v>26.59</v>
      </c>
    </row>
    <row r="2829" spans="1:4" ht="31.5" customHeight="1">
      <c r="A2829" s="120">
        <v>91924</v>
      </c>
      <c r="B2829" s="119" t="s">
        <v>4369</v>
      </c>
      <c r="C2829" s="120" t="s">
        <v>328</v>
      </c>
      <c r="D2829" s="441">
        <v>3.11</v>
      </c>
    </row>
    <row r="2830" spans="1:4" ht="31.5" customHeight="1">
      <c r="A2830" s="120">
        <v>91925</v>
      </c>
      <c r="B2830" s="119" t="s">
        <v>4370</v>
      </c>
      <c r="C2830" s="120" t="s">
        <v>328</v>
      </c>
      <c r="D2830" s="441">
        <v>3.68</v>
      </c>
    </row>
    <row r="2831" spans="1:4" ht="31.5" customHeight="1">
      <c r="A2831" s="120">
        <v>91926</v>
      </c>
      <c r="B2831" s="119" t="s">
        <v>4371</v>
      </c>
      <c r="C2831" s="120" t="s">
        <v>328</v>
      </c>
      <c r="D2831" s="441">
        <v>4.42</v>
      </c>
    </row>
    <row r="2832" spans="1:4" ht="31.5" customHeight="1">
      <c r="A2832" s="120">
        <v>91927</v>
      </c>
      <c r="B2832" s="119" t="s">
        <v>4372</v>
      </c>
      <c r="C2832" s="120" t="s">
        <v>328</v>
      </c>
      <c r="D2832" s="441">
        <v>4.91</v>
      </c>
    </row>
    <row r="2833" spans="1:4" ht="31.5" customHeight="1">
      <c r="A2833" s="120">
        <v>91928</v>
      </c>
      <c r="B2833" s="119" t="s">
        <v>4373</v>
      </c>
      <c r="C2833" s="120" t="s">
        <v>328</v>
      </c>
      <c r="D2833" s="441">
        <v>6.72</v>
      </c>
    </row>
    <row r="2834" spans="1:4" ht="31.5" customHeight="1">
      <c r="A2834" s="120">
        <v>91929</v>
      </c>
      <c r="B2834" s="119" t="s">
        <v>4374</v>
      </c>
      <c r="C2834" s="120" t="s">
        <v>328</v>
      </c>
      <c r="D2834" s="441">
        <v>7.14</v>
      </c>
    </row>
    <row r="2835" spans="1:4" ht="31.5" customHeight="1">
      <c r="A2835" s="120">
        <v>91930</v>
      </c>
      <c r="B2835" s="119" t="s">
        <v>4375</v>
      </c>
      <c r="C2835" s="120" t="s">
        <v>328</v>
      </c>
      <c r="D2835" s="441">
        <v>9.31</v>
      </c>
    </row>
    <row r="2836" spans="1:4" ht="31.5" customHeight="1">
      <c r="A2836" s="120">
        <v>91931</v>
      </c>
      <c r="B2836" s="119" t="s">
        <v>4376</v>
      </c>
      <c r="C2836" s="120" t="s">
        <v>328</v>
      </c>
      <c r="D2836" s="441">
        <v>10</v>
      </c>
    </row>
    <row r="2837" spans="1:4" ht="31.5" customHeight="1">
      <c r="A2837" s="120">
        <v>91932</v>
      </c>
      <c r="B2837" s="119" t="s">
        <v>4377</v>
      </c>
      <c r="C2837" s="120" t="s">
        <v>328</v>
      </c>
      <c r="D2837" s="441">
        <v>16.420000000000002</v>
      </c>
    </row>
    <row r="2838" spans="1:4" ht="31.5" customHeight="1">
      <c r="A2838" s="120">
        <v>91933</v>
      </c>
      <c r="B2838" s="119" t="s">
        <v>4378</v>
      </c>
      <c r="C2838" s="120" t="s">
        <v>328</v>
      </c>
      <c r="D2838" s="441">
        <v>15.88</v>
      </c>
    </row>
    <row r="2839" spans="1:4" ht="31.5" customHeight="1">
      <c r="A2839" s="120">
        <v>91934</v>
      </c>
      <c r="B2839" s="119" t="s">
        <v>4379</v>
      </c>
      <c r="C2839" s="120" t="s">
        <v>328</v>
      </c>
      <c r="D2839" s="441">
        <v>23.75</v>
      </c>
    </row>
    <row r="2840" spans="1:4" ht="31.5" customHeight="1">
      <c r="A2840" s="120">
        <v>91935</v>
      </c>
      <c r="B2840" s="119" t="s">
        <v>4380</v>
      </c>
      <c r="C2840" s="120" t="s">
        <v>328</v>
      </c>
      <c r="D2840" s="441">
        <v>24.8</v>
      </c>
    </row>
    <row r="2841" spans="1:4" ht="31.5" customHeight="1">
      <c r="A2841" s="120">
        <v>92979</v>
      </c>
      <c r="B2841" s="119" t="s">
        <v>4381</v>
      </c>
      <c r="C2841" s="120" t="s">
        <v>328</v>
      </c>
      <c r="D2841" s="441">
        <v>10.73</v>
      </c>
    </row>
    <row r="2842" spans="1:4" ht="31.5" customHeight="1">
      <c r="A2842" s="120">
        <v>92980</v>
      </c>
      <c r="B2842" s="119" t="s">
        <v>4382</v>
      </c>
      <c r="C2842" s="120" t="s">
        <v>328</v>
      </c>
      <c r="D2842" s="441">
        <v>10.26</v>
      </c>
    </row>
    <row r="2843" spans="1:4" ht="31.5" customHeight="1">
      <c r="A2843" s="120">
        <v>92981</v>
      </c>
      <c r="B2843" s="119" t="s">
        <v>4383</v>
      </c>
      <c r="C2843" s="120" t="s">
        <v>328</v>
      </c>
      <c r="D2843" s="441">
        <v>15.33</v>
      </c>
    </row>
    <row r="2844" spans="1:4" ht="31.5" customHeight="1">
      <c r="A2844" s="120">
        <v>92982</v>
      </c>
      <c r="B2844" s="119" t="s">
        <v>4384</v>
      </c>
      <c r="C2844" s="120" t="s">
        <v>328</v>
      </c>
      <c r="D2844" s="441">
        <v>16.23</v>
      </c>
    </row>
    <row r="2845" spans="1:4" ht="31.5" customHeight="1">
      <c r="A2845" s="120">
        <v>92984</v>
      </c>
      <c r="B2845" s="119" t="s">
        <v>4385</v>
      </c>
      <c r="C2845" s="120" t="s">
        <v>328</v>
      </c>
      <c r="D2845" s="441">
        <v>27.31</v>
      </c>
    </row>
    <row r="2846" spans="1:4" ht="31.5" customHeight="1">
      <c r="A2846" s="120">
        <v>92986</v>
      </c>
      <c r="B2846" s="119" t="s">
        <v>4386</v>
      </c>
      <c r="C2846" s="120" t="s">
        <v>328</v>
      </c>
      <c r="D2846" s="441">
        <v>37.61</v>
      </c>
    </row>
    <row r="2847" spans="1:4" ht="31.5" customHeight="1">
      <c r="A2847" s="120">
        <v>92988</v>
      </c>
      <c r="B2847" s="119" t="s">
        <v>4387</v>
      </c>
      <c r="C2847" s="120" t="s">
        <v>328</v>
      </c>
      <c r="D2847" s="441">
        <v>54.4</v>
      </c>
    </row>
    <row r="2848" spans="1:4" ht="31.5" customHeight="1">
      <c r="A2848" s="120">
        <v>92990</v>
      </c>
      <c r="B2848" s="119" t="s">
        <v>4388</v>
      </c>
      <c r="C2848" s="120" t="s">
        <v>328</v>
      </c>
      <c r="D2848" s="441">
        <v>75.17</v>
      </c>
    </row>
    <row r="2849" spans="1:4" ht="31.5" customHeight="1">
      <c r="A2849" s="120">
        <v>92992</v>
      </c>
      <c r="B2849" s="119" t="s">
        <v>4389</v>
      </c>
      <c r="C2849" s="120" t="s">
        <v>328</v>
      </c>
      <c r="D2849" s="441">
        <v>97.11</v>
      </c>
    </row>
    <row r="2850" spans="1:4" ht="31.5" customHeight="1">
      <c r="A2850" s="120">
        <v>92994</v>
      </c>
      <c r="B2850" s="119" t="s">
        <v>4390</v>
      </c>
      <c r="C2850" s="120" t="s">
        <v>328</v>
      </c>
      <c r="D2850" s="441">
        <v>126.04</v>
      </c>
    </row>
    <row r="2851" spans="1:4" ht="31.5" customHeight="1">
      <c r="A2851" s="120">
        <v>92996</v>
      </c>
      <c r="B2851" s="119" t="s">
        <v>4391</v>
      </c>
      <c r="C2851" s="120" t="s">
        <v>328</v>
      </c>
      <c r="D2851" s="441">
        <v>152.46</v>
      </c>
    </row>
    <row r="2852" spans="1:4" ht="31.5" customHeight="1">
      <c r="A2852" s="120">
        <v>92998</v>
      </c>
      <c r="B2852" s="119" t="s">
        <v>4392</v>
      </c>
      <c r="C2852" s="120" t="s">
        <v>328</v>
      </c>
      <c r="D2852" s="441">
        <v>186.74</v>
      </c>
    </row>
    <row r="2853" spans="1:4" ht="31.5" customHeight="1">
      <c r="A2853" s="120">
        <v>93000</v>
      </c>
      <c r="B2853" s="119" t="s">
        <v>4393</v>
      </c>
      <c r="C2853" s="120" t="s">
        <v>328</v>
      </c>
      <c r="D2853" s="441">
        <v>247.07</v>
      </c>
    </row>
    <row r="2854" spans="1:4" ht="31.5" customHeight="1">
      <c r="A2854" s="120">
        <v>93002</v>
      </c>
      <c r="B2854" s="119" t="s">
        <v>4394</v>
      </c>
      <c r="C2854" s="120" t="s">
        <v>328</v>
      </c>
      <c r="D2854" s="441">
        <v>319.27</v>
      </c>
    </row>
    <row r="2855" spans="1:4" ht="31.5" customHeight="1">
      <c r="A2855" s="120">
        <v>101884</v>
      </c>
      <c r="B2855" s="119" t="s">
        <v>4395</v>
      </c>
      <c r="C2855" s="120" t="s">
        <v>328</v>
      </c>
      <c r="D2855" s="441">
        <v>10.42</v>
      </c>
    </row>
    <row r="2856" spans="1:4" ht="31.5" customHeight="1">
      <c r="A2856" s="120">
        <v>101885</v>
      </c>
      <c r="B2856" s="119" t="s">
        <v>4396</v>
      </c>
      <c r="C2856" s="120" t="s">
        <v>328</v>
      </c>
      <c r="D2856" s="441">
        <v>9.9499999999999993</v>
      </c>
    </row>
    <row r="2857" spans="1:4" ht="31.5" customHeight="1">
      <c r="A2857" s="120">
        <v>101886</v>
      </c>
      <c r="B2857" s="119" t="s">
        <v>4397</v>
      </c>
      <c r="C2857" s="120" t="s">
        <v>328</v>
      </c>
      <c r="D2857" s="441">
        <v>14.98</v>
      </c>
    </row>
    <row r="2858" spans="1:4" ht="31.5" customHeight="1">
      <c r="A2858" s="120">
        <v>101887</v>
      </c>
      <c r="B2858" s="119" t="s">
        <v>4398</v>
      </c>
      <c r="C2858" s="120" t="s">
        <v>328</v>
      </c>
      <c r="D2858" s="441">
        <v>15.88</v>
      </c>
    </row>
    <row r="2859" spans="1:4" ht="31.5" customHeight="1">
      <c r="A2859" s="120">
        <v>101888</v>
      </c>
      <c r="B2859" s="119" t="s">
        <v>4399</v>
      </c>
      <c r="C2859" s="120" t="s">
        <v>328</v>
      </c>
      <c r="D2859" s="441">
        <v>23.48</v>
      </c>
    </row>
    <row r="2860" spans="1:4" ht="31.5" customHeight="1">
      <c r="A2860" s="120">
        <v>101889</v>
      </c>
      <c r="B2860" s="119" t="s">
        <v>4400</v>
      </c>
      <c r="C2860" s="120" t="s">
        <v>328</v>
      </c>
      <c r="D2860" s="441">
        <v>24.66</v>
      </c>
    </row>
    <row r="2861" spans="1:4" ht="15.75" customHeight="1">
      <c r="A2861" s="120">
        <v>91936</v>
      </c>
      <c r="B2861" s="119" t="s">
        <v>4401</v>
      </c>
      <c r="C2861" s="120" t="s">
        <v>331</v>
      </c>
      <c r="D2861" s="441">
        <v>16.95</v>
      </c>
    </row>
    <row r="2862" spans="1:4" ht="15.75" customHeight="1">
      <c r="A2862" s="120">
        <v>91937</v>
      </c>
      <c r="B2862" s="119" t="s">
        <v>4402</v>
      </c>
      <c r="C2862" s="120" t="s">
        <v>331</v>
      </c>
      <c r="D2862" s="441">
        <v>14.37</v>
      </c>
    </row>
    <row r="2863" spans="1:4" ht="31.5" customHeight="1">
      <c r="A2863" s="120">
        <v>91939</v>
      </c>
      <c r="B2863" s="119" t="s">
        <v>4403</v>
      </c>
      <c r="C2863" s="120" t="s">
        <v>331</v>
      </c>
      <c r="D2863" s="441">
        <v>34.94</v>
      </c>
    </row>
    <row r="2864" spans="1:4" ht="31.5" customHeight="1">
      <c r="A2864" s="120">
        <v>91940</v>
      </c>
      <c r="B2864" s="119" t="s">
        <v>4404</v>
      </c>
      <c r="C2864" s="120" t="s">
        <v>331</v>
      </c>
      <c r="D2864" s="441">
        <v>18.61</v>
      </c>
    </row>
    <row r="2865" spans="1:4" ht="31.5" customHeight="1">
      <c r="A2865" s="120">
        <v>91941</v>
      </c>
      <c r="B2865" s="119" t="s">
        <v>4405</v>
      </c>
      <c r="C2865" s="120" t="s">
        <v>331</v>
      </c>
      <c r="D2865" s="441">
        <v>12.49</v>
      </c>
    </row>
    <row r="2866" spans="1:4" ht="31.5" customHeight="1">
      <c r="A2866" s="120">
        <v>91942</v>
      </c>
      <c r="B2866" s="119" t="s">
        <v>4406</v>
      </c>
      <c r="C2866" s="120" t="s">
        <v>331</v>
      </c>
      <c r="D2866" s="441">
        <v>42.95</v>
      </c>
    </row>
    <row r="2867" spans="1:4" ht="31.5" customHeight="1">
      <c r="A2867" s="120">
        <v>91943</v>
      </c>
      <c r="B2867" s="119" t="s">
        <v>4407</v>
      </c>
      <c r="C2867" s="120" t="s">
        <v>331</v>
      </c>
      <c r="D2867" s="441">
        <v>24.17</v>
      </c>
    </row>
    <row r="2868" spans="1:4" ht="31.5" customHeight="1">
      <c r="A2868" s="120">
        <v>91944</v>
      </c>
      <c r="B2868" s="119" t="s">
        <v>4408</v>
      </c>
      <c r="C2868" s="120" t="s">
        <v>331</v>
      </c>
      <c r="D2868" s="441">
        <v>17.149999999999999</v>
      </c>
    </row>
    <row r="2869" spans="1:4" ht="15.75" customHeight="1">
      <c r="A2869" s="120">
        <v>92865</v>
      </c>
      <c r="B2869" s="119" t="s">
        <v>4409</v>
      </c>
      <c r="C2869" s="120" t="s">
        <v>331</v>
      </c>
      <c r="D2869" s="441">
        <v>13.15</v>
      </c>
    </row>
    <row r="2870" spans="1:4" ht="15.75" customHeight="1">
      <c r="A2870" s="120">
        <v>92866</v>
      </c>
      <c r="B2870" s="119" t="s">
        <v>4410</v>
      </c>
      <c r="C2870" s="120" t="s">
        <v>331</v>
      </c>
      <c r="D2870" s="441">
        <v>10.67</v>
      </c>
    </row>
    <row r="2871" spans="1:4" ht="31.5" customHeight="1">
      <c r="A2871" s="120">
        <v>92867</v>
      </c>
      <c r="B2871" s="119" t="s">
        <v>4411</v>
      </c>
      <c r="C2871" s="120" t="s">
        <v>331</v>
      </c>
      <c r="D2871" s="441">
        <v>33.869999999999997</v>
      </c>
    </row>
    <row r="2872" spans="1:4" ht="31.5" customHeight="1">
      <c r="A2872" s="120">
        <v>92868</v>
      </c>
      <c r="B2872" s="119" t="s">
        <v>4412</v>
      </c>
      <c r="C2872" s="120" t="s">
        <v>331</v>
      </c>
      <c r="D2872" s="441">
        <v>17.54</v>
      </c>
    </row>
    <row r="2873" spans="1:4" ht="31.5" customHeight="1">
      <c r="A2873" s="120">
        <v>92869</v>
      </c>
      <c r="B2873" s="119" t="s">
        <v>4413</v>
      </c>
      <c r="C2873" s="120" t="s">
        <v>331</v>
      </c>
      <c r="D2873" s="441">
        <v>11.42</v>
      </c>
    </row>
    <row r="2874" spans="1:4" ht="31.5" customHeight="1">
      <c r="A2874" s="120">
        <v>92870</v>
      </c>
      <c r="B2874" s="119" t="s">
        <v>4414</v>
      </c>
      <c r="C2874" s="120" t="s">
        <v>331</v>
      </c>
      <c r="D2874" s="441">
        <v>41.08</v>
      </c>
    </row>
    <row r="2875" spans="1:4" ht="31.5" customHeight="1">
      <c r="A2875" s="120">
        <v>92871</v>
      </c>
      <c r="B2875" s="119" t="s">
        <v>4415</v>
      </c>
      <c r="C2875" s="120" t="s">
        <v>331</v>
      </c>
      <c r="D2875" s="441">
        <v>22.3</v>
      </c>
    </row>
    <row r="2876" spans="1:4" ht="31.5" customHeight="1">
      <c r="A2876" s="120">
        <v>92872</v>
      </c>
      <c r="B2876" s="119" t="s">
        <v>4416</v>
      </c>
      <c r="C2876" s="120" t="s">
        <v>331</v>
      </c>
      <c r="D2876" s="441">
        <v>15.28</v>
      </c>
    </row>
    <row r="2877" spans="1:4" ht="31.5" customHeight="1">
      <c r="A2877" s="120">
        <v>95777</v>
      </c>
      <c r="B2877" s="119" t="s">
        <v>4417</v>
      </c>
      <c r="C2877" s="120" t="s">
        <v>331</v>
      </c>
      <c r="D2877" s="441">
        <v>28.73</v>
      </c>
    </row>
    <row r="2878" spans="1:4" ht="31.5" customHeight="1">
      <c r="A2878" s="120">
        <v>95778</v>
      </c>
      <c r="B2878" s="119" t="s">
        <v>4418</v>
      </c>
      <c r="C2878" s="120" t="s">
        <v>331</v>
      </c>
      <c r="D2878" s="441">
        <v>32.130000000000003</v>
      </c>
    </row>
    <row r="2879" spans="1:4" ht="31.5" customHeight="1">
      <c r="A2879" s="120">
        <v>95779</v>
      </c>
      <c r="B2879" s="119" t="s">
        <v>4419</v>
      </c>
      <c r="C2879" s="120" t="s">
        <v>331</v>
      </c>
      <c r="D2879" s="441">
        <v>26.72</v>
      </c>
    </row>
    <row r="2880" spans="1:4" ht="31.5" customHeight="1">
      <c r="A2880" s="120">
        <v>95780</v>
      </c>
      <c r="B2880" s="119" t="s">
        <v>4420</v>
      </c>
      <c r="C2880" s="120" t="s">
        <v>331</v>
      </c>
      <c r="D2880" s="441">
        <v>34.22</v>
      </c>
    </row>
    <row r="2881" spans="1:4" ht="31.5" customHeight="1">
      <c r="A2881" s="120">
        <v>95781</v>
      </c>
      <c r="B2881" s="119" t="s">
        <v>4421</v>
      </c>
      <c r="C2881" s="120" t="s">
        <v>331</v>
      </c>
      <c r="D2881" s="441">
        <v>38.9</v>
      </c>
    </row>
    <row r="2882" spans="1:4" ht="31.5" customHeight="1">
      <c r="A2882" s="120">
        <v>95782</v>
      </c>
      <c r="B2882" s="119" t="s">
        <v>4422</v>
      </c>
      <c r="C2882" s="120" t="s">
        <v>331</v>
      </c>
      <c r="D2882" s="441">
        <v>36.520000000000003</v>
      </c>
    </row>
    <row r="2883" spans="1:4" ht="31.5" customHeight="1">
      <c r="A2883" s="120">
        <v>95785</v>
      </c>
      <c r="B2883" s="119" t="s">
        <v>4423</v>
      </c>
      <c r="C2883" s="120" t="s">
        <v>331</v>
      </c>
      <c r="D2883" s="441">
        <v>43.24</v>
      </c>
    </row>
    <row r="2884" spans="1:4" ht="31.5" customHeight="1">
      <c r="A2884" s="120">
        <v>95787</v>
      </c>
      <c r="B2884" s="119" t="s">
        <v>4424</v>
      </c>
      <c r="C2884" s="120" t="s">
        <v>331</v>
      </c>
      <c r="D2884" s="441">
        <v>32.24</v>
      </c>
    </row>
    <row r="2885" spans="1:4" ht="31.5" customHeight="1">
      <c r="A2885" s="120">
        <v>95789</v>
      </c>
      <c r="B2885" s="119" t="s">
        <v>4425</v>
      </c>
      <c r="C2885" s="120" t="s">
        <v>331</v>
      </c>
      <c r="D2885" s="441">
        <v>43.94</v>
      </c>
    </row>
    <row r="2886" spans="1:4" ht="31.5" customHeight="1">
      <c r="A2886" s="120">
        <v>95791</v>
      </c>
      <c r="B2886" s="119" t="s">
        <v>4426</v>
      </c>
      <c r="C2886" s="120" t="s">
        <v>331</v>
      </c>
      <c r="D2886" s="441">
        <v>61.1</v>
      </c>
    </row>
    <row r="2887" spans="1:4" ht="31.5" customHeight="1">
      <c r="A2887" s="120">
        <v>95795</v>
      </c>
      <c r="B2887" s="119" t="s">
        <v>4427</v>
      </c>
      <c r="C2887" s="120" t="s">
        <v>331</v>
      </c>
      <c r="D2887" s="441">
        <v>36.74</v>
      </c>
    </row>
    <row r="2888" spans="1:4" ht="31.5" customHeight="1">
      <c r="A2888" s="120">
        <v>95796</v>
      </c>
      <c r="B2888" s="119" t="s">
        <v>4428</v>
      </c>
      <c r="C2888" s="120" t="s">
        <v>331</v>
      </c>
      <c r="D2888" s="441">
        <v>51.6</v>
      </c>
    </row>
    <row r="2889" spans="1:4" ht="31.5" customHeight="1">
      <c r="A2889" s="120">
        <v>95797</v>
      </c>
      <c r="B2889" s="119" t="s">
        <v>4429</v>
      </c>
      <c r="C2889" s="120" t="s">
        <v>331</v>
      </c>
      <c r="D2889" s="441">
        <v>71.37</v>
      </c>
    </row>
    <row r="2890" spans="1:4" ht="31.5" customHeight="1">
      <c r="A2890" s="120">
        <v>95801</v>
      </c>
      <c r="B2890" s="119" t="s">
        <v>4430</v>
      </c>
      <c r="C2890" s="120" t="s">
        <v>331</v>
      </c>
      <c r="D2890" s="441">
        <v>43.96</v>
      </c>
    </row>
    <row r="2891" spans="1:4" ht="31.5" customHeight="1">
      <c r="A2891" s="120">
        <v>95802</v>
      </c>
      <c r="B2891" s="119" t="s">
        <v>4431</v>
      </c>
      <c r="C2891" s="120" t="s">
        <v>331</v>
      </c>
      <c r="D2891" s="441">
        <v>54.65</v>
      </c>
    </row>
    <row r="2892" spans="1:4" ht="31.5" customHeight="1">
      <c r="A2892" s="120">
        <v>95803</v>
      </c>
      <c r="B2892" s="119" t="s">
        <v>4432</v>
      </c>
      <c r="C2892" s="120" t="s">
        <v>331</v>
      </c>
      <c r="D2892" s="441">
        <v>79.510000000000005</v>
      </c>
    </row>
    <row r="2893" spans="1:4" ht="31.5" customHeight="1">
      <c r="A2893" s="120">
        <v>95804</v>
      </c>
      <c r="B2893" s="119" t="s">
        <v>4433</v>
      </c>
      <c r="C2893" s="120" t="s">
        <v>331</v>
      </c>
      <c r="D2893" s="441">
        <v>27.21</v>
      </c>
    </row>
    <row r="2894" spans="1:4" ht="31.5" customHeight="1">
      <c r="A2894" s="120">
        <v>95805</v>
      </c>
      <c r="B2894" s="119" t="s">
        <v>4434</v>
      </c>
      <c r="C2894" s="120" t="s">
        <v>331</v>
      </c>
      <c r="D2894" s="441">
        <v>28.7</v>
      </c>
    </row>
    <row r="2895" spans="1:4" ht="31.5" customHeight="1">
      <c r="A2895" s="120">
        <v>95806</v>
      </c>
      <c r="B2895" s="119" t="s">
        <v>4435</v>
      </c>
      <c r="C2895" s="120" t="s">
        <v>331</v>
      </c>
      <c r="D2895" s="441">
        <v>31.42</v>
      </c>
    </row>
    <row r="2896" spans="1:4" ht="31.5" customHeight="1">
      <c r="A2896" s="120">
        <v>95807</v>
      </c>
      <c r="B2896" s="119" t="s">
        <v>4436</v>
      </c>
      <c r="C2896" s="120" t="s">
        <v>331</v>
      </c>
      <c r="D2896" s="441">
        <v>31.89</v>
      </c>
    </row>
    <row r="2897" spans="1:4" ht="31.5" customHeight="1">
      <c r="A2897" s="120">
        <v>95808</v>
      </c>
      <c r="B2897" s="119" t="s">
        <v>4437</v>
      </c>
      <c r="C2897" s="120" t="s">
        <v>331</v>
      </c>
      <c r="D2897" s="441">
        <v>36.369999999999997</v>
      </c>
    </row>
    <row r="2898" spans="1:4" ht="31.5" customHeight="1">
      <c r="A2898" s="120">
        <v>95809</v>
      </c>
      <c r="B2898" s="119" t="s">
        <v>4438</v>
      </c>
      <c r="C2898" s="120" t="s">
        <v>331</v>
      </c>
      <c r="D2898" s="441">
        <v>45.11</v>
      </c>
    </row>
    <row r="2899" spans="1:4" ht="31.5" customHeight="1">
      <c r="A2899" s="120">
        <v>95810</v>
      </c>
      <c r="B2899" s="119" t="s">
        <v>4439</v>
      </c>
      <c r="C2899" s="120" t="s">
        <v>331</v>
      </c>
      <c r="D2899" s="441">
        <v>19.940000000000001</v>
      </c>
    </row>
    <row r="2900" spans="1:4" ht="31.5" customHeight="1">
      <c r="A2900" s="120">
        <v>95811</v>
      </c>
      <c r="B2900" s="119" t="s">
        <v>4440</v>
      </c>
      <c r="C2900" s="120" t="s">
        <v>331</v>
      </c>
      <c r="D2900" s="441">
        <v>24.43</v>
      </c>
    </row>
    <row r="2901" spans="1:4" ht="31.5" customHeight="1">
      <c r="A2901" s="120">
        <v>95812</v>
      </c>
      <c r="B2901" s="119" t="s">
        <v>4441</v>
      </c>
      <c r="C2901" s="120" t="s">
        <v>331</v>
      </c>
      <c r="D2901" s="441">
        <v>33.159999999999997</v>
      </c>
    </row>
    <row r="2902" spans="1:4" ht="31.5" customHeight="1">
      <c r="A2902" s="120">
        <v>95813</v>
      </c>
      <c r="B2902" s="119" t="s">
        <v>4442</v>
      </c>
      <c r="C2902" s="120" t="s">
        <v>331</v>
      </c>
      <c r="D2902" s="441">
        <v>23.14</v>
      </c>
    </row>
    <row r="2903" spans="1:4" ht="31.5" customHeight="1">
      <c r="A2903" s="120">
        <v>95814</v>
      </c>
      <c r="B2903" s="119" t="s">
        <v>4443</v>
      </c>
      <c r="C2903" s="120" t="s">
        <v>331</v>
      </c>
      <c r="D2903" s="441">
        <v>29.12</v>
      </c>
    </row>
    <row r="2904" spans="1:4" ht="31.5" customHeight="1">
      <c r="A2904" s="120">
        <v>95815</v>
      </c>
      <c r="B2904" s="119" t="s">
        <v>4444</v>
      </c>
      <c r="C2904" s="120" t="s">
        <v>331</v>
      </c>
      <c r="D2904" s="441">
        <v>42.77</v>
      </c>
    </row>
    <row r="2905" spans="1:4" ht="31.5" customHeight="1">
      <c r="A2905" s="120">
        <v>95816</v>
      </c>
      <c r="B2905" s="119" t="s">
        <v>4445</v>
      </c>
      <c r="C2905" s="120" t="s">
        <v>331</v>
      </c>
      <c r="D2905" s="441">
        <v>38.6</v>
      </c>
    </row>
    <row r="2906" spans="1:4" ht="31.5" customHeight="1">
      <c r="A2906" s="120">
        <v>95817</v>
      </c>
      <c r="B2906" s="119" t="s">
        <v>4446</v>
      </c>
      <c r="C2906" s="120" t="s">
        <v>331</v>
      </c>
      <c r="D2906" s="441">
        <v>45.47</v>
      </c>
    </row>
    <row r="2907" spans="1:4" ht="31.5" customHeight="1">
      <c r="A2907" s="120">
        <v>95818</v>
      </c>
      <c r="B2907" s="119" t="s">
        <v>4447</v>
      </c>
      <c r="C2907" s="120" t="s">
        <v>331</v>
      </c>
      <c r="D2907" s="441">
        <v>63.06</v>
      </c>
    </row>
    <row r="2908" spans="1:4" ht="31.5" customHeight="1">
      <c r="A2908" s="120">
        <v>97881</v>
      </c>
      <c r="B2908" s="119" t="s">
        <v>4448</v>
      </c>
      <c r="C2908" s="120" t="s">
        <v>331</v>
      </c>
      <c r="D2908" s="441">
        <v>108.09</v>
      </c>
    </row>
    <row r="2909" spans="1:4" ht="31.5" customHeight="1">
      <c r="A2909" s="120">
        <v>97882</v>
      </c>
      <c r="B2909" s="119" t="s">
        <v>4449</v>
      </c>
      <c r="C2909" s="120" t="s">
        <v>331</v>
      </c>
      <c r="D2909" s="441">
        <v>168.28</v>
      </c>
    </row>
    <row r="2910" spans="1:4" ht="31.5" customHeight="1">
      <c r="A2910" s="120">
        <v>97883</v>
      </c>
      <c r="B2910" s="119" t="s">
        <v>4450</v>
      </c>
      <c r="C2910" s="120" t="s">
        <v>331</v>
      </c>
      <c r="D2910" s="441">
        <v>324.05</v>
      </c>
    </row>
    <row r="2911" spans="1:4" ht="31.5" customHeight="1">
      <c r="A2911" s="120">
        <v>97884</v>
      </c>
      <c r="B2911" s="119" t="s">
        <v>4451</v>
      </c>
      <c r="C2911" s="120" t="s">
        <v>331</v>
      </c>
      <c r="D2911" s="441">
        <v>625.80999999999995</v>
      </c>
    </row>
    <row r="2912" spans="1:4" ht="31.5" customHeight="1">
      <c r="A2912" s="120">
        <v>97885</v>
      </c>
      <c r="B2912" s="119" t="s">
        <v>4452</v>
      </c>
      <c r="C2912" s="120" t="s">
        <v>331</v>
      </c>
      <c r="D2912" s="441">
        <v>954.37</v>
      </c>
    </row>
    <row r="2913" spans="1:4" ht="31.5" customHeight="1">
      <c r="A2913" s="120">
        <v>97886</v>
      </c>
      <c r="B2913" s="119" t="s">
        <v>4453</v>
      </c>
      <c r="C2913" s="120" t="s">
        <v>331</v>
      </c>
      <c r="D2913" s="441">
        <v>177.3</v>
      </c>
    </row>
    <row r="2914" spans="1:4" ht="31.5" customHeight="1">
      <c r="A2914" s="120">
        <v>97887</v>
      </c>
      <c r="B2914" s="119" t="s">
        <v>4454</v>
      </c>
      <c r="C2914" s="120" t="s">
        <v>331</v>
      </c>
      <c r="D2914" s="441">
        <v>279.77999999999997</v>
      </c>
    </row>
    <row r="2915" spans="1:4" ht="31.5" customHeight="1">
      <c r="A2915" s="120">
        <v>97888</v>
      </c>
      <c r="B2915" s="119" t="s">
        <v>4455</v>
      </c>
      <c r="C2915" s="120" t="s">
        <v>331</v>
      </c>
      <c r="D2915" s="441">
        <v>539.29</v>
      </c>
    </row>
    <row r="2916" spans="1:4" ht="31.5" customHeight="1">
      <c r="A2916" s="120">
        <v>97889</v>
      </c>
      <c r="B2916" s="119" t="s">
        <v>4456</v>
      </c>
      <c r="C2916" s="120" t="s">
        <v>331</v>
      </c>
      <c r="D2916" s="441">
        <v>730.16</v>
      </c>
    </row>
    <row r="2917" spans="1:4" ht="31.5" customHeight="1">
      <c r="A2917" s="120">
        <v>97890</v>
      </c>
      <c r="B2917" s="119" t="s">
        <v>4457</v>
      </c>
      <c r="C2917" s="120" t="s">
        <v>331</v>
      </c>
      <c r="D2917" s="441">
        <v>822.62</v>
      </c>
    </row>
    <row r="2918" spans="1:4" ht="31.5" customHeight="1">
      <c r="A2918" s="120">
        <v>97891</v>
      </c>
      <c r="B2918" s="119" t="s">
        <v>4458</v>
      </c>
      <c r="C2918" s="120" t="s">
        <v>331</v>
      </c>
      <c r="D2918" s="441">
        <v>208.61</v>
      </c>
    </row>
    <row r="2919" spans="1:4" ht="31.5" customHeight="1">
      <c r="A2919" s="120">
        <v>97892</v>
      </c>
      <c r="B2919" s="119" t="s">
        <v>4459</v>
      </c>
      <c r="C2919" s="120" t="s">
        <v>331</v>
      </c>
      <c r="D2919" s="441">
        <v>388.86</v>
      </c>
    </row>
    <row r="2920" spans="1:4" ht="31.5" customHeight="1">
      <c r="A2920" s="120">
        <v>97893</v>
      </c>
      <c r="B2920" s="119" t="s">
        <v>4460</v>
      </c>
      <c r="C2920" s="120" t="s">
        <v>331</v>
      </c>
      <c r="D2920" s="441">
        <v>538.29</v>
      </c>
    </row>
    <row r="2921" spans="1:4" ht="31.5" customHeight="1">
      <c r="A2921" s="120">
        <v>97894</v>
      </c>
      <c r="B2921" s="119" t="s">
        <v>4461</v>
      </c>
      <c r="C2921" s="120" t="s">
        <v>331</v>
      </c>
      <c r="D2921" s="441">
        <v>590.13</v>
      </c>
    </row>
    <row r="2922" spans="1:4" ht="31.5" customHeight="1">
      <c r="A2922" s="120">
        <v>104396</v>
      </c>
      <c r="B2922" s="119" t="s">
        <v>4462</v>
      </c>
      <c r="C2922" s="120" t="s">
        <v>331</v>
      </c>
      <c r="D2922" s="441">
        <v>27.03</v>
      </c>
    </row>
    <row r="2923" spans="1:4" ht="31.5" customHeight="1">
      <c r="A2923" s="120">
        <v>104397</v>
      </c>
      <c r="B2923" s="119" t="s">
        <v>4463</v>
      </c>
      <c r="C2923" s="120" t="s">
        <v>331</v>
      </c>
      <c r="D2923" s="441">
        <v>32.22</v>
      </c>
    </row>
    <row r="2924" spans="1:4" ht="31.5" customHeight="1">
      <c r="A2924" s="120">
        <v>104398</v>
      </c>
      <c r="B2924" s="119" t="s">
        <v>4464</v>
      </c>
      <c r="C2924" s="120" t="s">
        <v>331</v>
      </c>
      <c r="D2924" s="441">
        <v>31.87</v>
      </c>
    </row>
    <row r="2925" spans="1:4" ht="31.5" customHeight="1">
      <c r="A2925" s="120">
        <v>104399</v>
      </c>
      <c r="B2925" s="119" t="s">
        <v>4465</v>
      </c>
      <c r="C2925" s="120" t="s">
        <v>331</v>
      </c>
      <c r="D2925" s="441">
        <v>34.69</v>
      </c>
    </row>
    <row r="2926" spans="1:4" ht="31.5" customHeight="1">
      <c r="A2926" s="120">
        <v>104400</v>
      </c>
      <c r="B2926" s="119" t="s">
        <v>4466</v>
      </c>
      <c r="C2926" s="120" t="s">
        <v>331</v>
      </c>
      <c r="D2926" s="441">
        <v>44.39</v>
      </c>
    </row>
    <row r="2927" spans="1:4" ht="31.5" customHeight="1">
      <c r="A2927" s="120">
        <v>104401</v>
      </c>
      <c r="B2927" s="119" t="s">
        <v>4467</v>
      </c>
      <c r="C2927" s="120" t="s">
        <v>331</v>
      </c>
      <c r="D2927" s="441">
        <v>30.23</v>
      </c>
    </row>
    <row r="2928" spans="1:4" ht="31.5" customHeight="1">
      <c r="A2928" s="120">
        <v>104402</v>
      </c>
      <c r="B2928" s="119" t="s">
        <v>4468</v>
      </c>
      <c r="C2928" s="120" t="s">
        <v>331</v>
      </c>
      <c r="D2928" s="441">
        <v>31.56</v>
      </c>
    </row>
    <row r="2929" spans="1:4" ht="31.5" customHeight="1">
      <c r="A2929" s="120">
        <v>104403</v>
      </c>
      <c r="B2929" s="119" t="s">
        <v>4469</v>
      </c>
      <c r="C2929" s="120" t="s">
        <v>331</v>
      </c>
      <c r="D2929" s="441">
        <v>39.17</v>
      </c>
    </row>
    <row r="2930" spans="1:4" ht="31.5" customHeight="1">
      <c r="A2930" s="120">
        <v>104404</v>
      </c>
      <c r="B2930" s="119" t="s">
        <v>4470</v>
      </c>
      <c r="C2930" s="120" t="s">
        <v>331</v>
      </c>
      <c r="D2930" s="441">
        <v>40.54</v>
      </c>
    </row>
    <row r="2931" spans="1:4" ht="31.5" customHeight="1">
      <c r="A2931" s="120">
        <v>104405</v>
      </c>
      <c r="B2931" s="119" t="s">
        <v>4471</v>
      </c>
      <c r="C2931" s="120" t="s">
        <v>331</v>
      </c>
      <c r="D2931" s="441">
        <v>54.71</v>
      </c>
    </row>
    <row r="2932" spans="1:4" ht="15.75" customHeight="1">
      <c r="A2932" s="120">
        <v>93653</v>
      </c>
      <c r="B2932" s="119" t="s">
        <v>4472</v>
      </c>
      <c r="C2932" s="120" t="s">
        <v>331</v>
      </c>
      <c r="D2932" s="441">
        <v>12.16</v>
      </c>
    </row>
    <row r="2933" spans="1:4" ht="15.75" customHeight="1">
      <c r="A2933" s="120">
        <v>93654</v>
      </c>
      <c r="B2933" s="119" t="s">
        <v>4473</v>
      </c>
      <c r="C2933" s="120" t="s">
        <v>331</v>
      </c>
      <c r="D2933" s="441">
        <v>12.9</v>
      </c>
    </row>
    <row r="2934" spans="1:4" ht="15.75" customHeight="1">
      <c r="A2934" s="120">
        <v>93655</v>
      </c>
      <c r="B2934" s="119" t="s">
        <v>4474</v>
      </c>
      <c r="C2934" s="120" t="s">
        <v>331</v>
      </c>
      <c r="D2934" s="441">
        <v>14.29</v>
      </c>
    </row>
    <row r="2935" spans="1:4" ht="15.75" customHeight="1">
      <c r="A2935" s="120">
        <v>93656</v>
      </c>
      <c r="B2935" s="119" t="s">
        <v>4475</v>
      </c>
      <c r="C2935" s="120" t="s">
        <v>331</v>
      </c>
      <c r="D2935" s="441">
        <v>14.29</v>
      </c>
    </row>
    <row r="2936" spans="1:4" ht="15.75" customHeight="1">
      <c r="A2936" s="120">
        <v>93657</v>
      </c>
      <c r="B2936" s="119" t="s">
        <v>4476</v>
      </c>
      <c r="C2936" s="120" t="s">
        <v>331</v>
      </c>
      <c r="D2936" s="441">
        <v>15.99</v>
      </c>
    </row>
    <row r="2937" spans="1:4" ht="15.75" customHeight="1">
      <c r="A2937" s="120">
        <v>93658</v>
      </c>
      <c r="B2937" s="119" t="s">
        <v>4477</v>
      </c>
      <c r="C2937" s="120" t="s">
        <v>331</v>
      </c>
      <c r="D2937" s="441">
        <v>23.17</v>
      </c>
    </row>
    <row r="2938" spans="1:4" ht="15.75" customHeight="1">
      <c r="A2938" s="120">
        <v>93659</v>
      </c>
      <c r="B2938" s="119" t="s">
        <v>4478</v>
      </c>
      <c r="C2938" s="120" t="s">
        <v>331</v>
      </c>
      <c r="D2938" s="441">
        <v>26.68</v>
      </c>
    </row>
    <row r="2939" spans="1:4" ht="15.75" customHeight="1">
      <c r="A2939" s="120">
        <v>93660</v>
      </c>
      <c r="B2939" s="119" t="s">
        <v>4479</v>
      </c>
      <c r="C2939" s="120" t="s">
        <v>331</v>
      </c>
      <c r="D2939" s="441">
        <v>58.62</v>
      </c>
    </row>
    <row r="2940" spans="1:4" ht="15.75" customHeight="1">
      <c r="A2940" s="120">
        <v>93661</v>
      </c>
      <c r="B2940" s="119" t="s">
        <v>4480</v>
      </c>
      <c r="C2940" s="120" t="s">
        <v>331</v>
      </c>
      <c r="D2940" s="441">
        <v>60.11</v>
      </c>
    </row>
    <row r="2941" spans="1:4" ht="15.75" customHeight="1">
      <c r="A2941" s="120">
        <v>93662</v>
      </c>
      <c r="B2941" s="119" t="s">
        <v>4481</v>
      </c>
      <c r="C2941" s="120" t="s">
        <v>331</v>
      </c>
      <c r="D2941" s="441">
        <v>62.87</v>
      </c>
    </row>
    <row r="2942" spans="1:4" ht="15.75" customHeight="1">
      <c r="A2942" s="120">
        <v>93663</v>
      </c>
      <c r="B2942" s="119" t="s">
        <v>4482</v>
      </c>
      <c r="C2942" s="120" t="s">
        <v>331</v>
      </c>
      <c r="D2942" s="441">
        <v>62.87</v>
      </c>
    </row>
    <row r="2943" spans="1:4" ht="15.75" customHeight="1">
      <c r="A2943" s="120">
        <v>93664</v>
      </c>
      <c r="B2943" s="119" t="s">
        <v>4483</v>
      </c>
      <c r="C2943" s="120" t="s">
        <v>331</v>
      </c>
      <c r="D2943" s="441">
        <v>66.28</v>
      </c>
    </row>
    <row r="2944" spans="1:4" ht="15.75" customHeight="1">
      <c r="A2944" s="120">
        <v>93665</v>
      </c>
      <c r="B2944" s="119" t="s">
        <v>4484</v>
      </c>
      <c r="C2944" s="120" t="s">
        <v>331</v>
      </c>
      <c r="D2944" s="441">
        <v>70.98</v>
      </c>
    </row>
    <row r="2945" spans="1:4" ht="15.75" customHeight="1">
      <c r="A2945" s="120">
        <v>93666</v>
      </c>
      <c r="B2945" s="119" t="s">
        <v>4485</v>
      </c>
      <c r="C2945" s="120" t="s">
        <v>331</v>
      </c>
      <c r="D2945" s="441">
        <v>77.989999999999995</v>
      </c>
    </row>
    <row r="2946" spans="1:4" ht="15.75" customHeight="1">
      <c r="A2946" s="120">
        <v>93667</v>
      </c>
      <c r="B2946" s="119" t="s">
        <v>4486</v>
      </c>
      <c r="C2946" s="120" t="s">
        <v>331</v>
      </c>
      <c r="D2946" s="441">
        <v>73.459999999999994</v>
      </c>
    </row>
    <row r="2947" spans="1:4" ht="15.75" customHeight="1">
      <c r="A2947" s="120">
        <v>93668</v>
      </c>
      <c r="B2947" s="119" t="s">
        <v>4487</v>
      </c>
      <c r="C2947" s="120" t="s">
        <v>331</v>
      </c>
      <c r="D2947" s="441">
        <v>75.7</v>
      </c>
    </row>
    <row r="2948" spans="1:4" ht="15.75" customHeight="1">
      <c r="A2948" s="120">
        <v>93669</v>
      </c>
      <c r="B2948" s="119" t="s">
        <v>4488</v>
      </c>
      <c r="C2948" s="120" t="s">
        <v>331</v>
      </c>
      <c r="D2948" s="441">
        <v>79.84</v>
      </c>
    </row>
    <row r="2949" spans="1:4" ht="15.75" customHeight="1">
      <c r="A2949" s="120">
        <v>93670</v>
      </c>
      <c r="B2949" s="119" t="s">
        <v>4489</v>
      </c>
      <c r="C2949" s="120" t="s">
        <v>331</v>
      </c>
      <c r="D2949" s="441">
        <v>79.84</v>
      </c>
    </row>
    <row r="2950" spans="1:4" ht="15.75" customHeight="1">
      <c r="A2950" s="120">
        <v>93671</v>
      </c>
      <c r="B2950" s="119" t="s">
        <v>4490</v>
      </c>
      <c r="C2950" s="120" t="s">
        <v>331</v>
      </c>
      <c r="D2950" s="441">
        <v>84.94</v>
      </c>
    </row>
    <row r="2951" spans="1:4" ht="15.75" customHeight="1">
      <c r="A2951" s="120">
        <v>93672</v>
      </c>
      <c r="B2951" s="119" t="s">
        <v>4491</v>
      </c>
      <c r="C2951" s="120" t="s">
        <v>331</v>
      </c>
      <c r="D2951" s="441">
        <v>93.21</v>
      </c>
    </row>
    <row r="2952" spans="1:4" ht="15.75" customHeight="1">
      <c r="A2952" s="120">
        <v>93673</v>
      </c>
      <c r="B2952" s="119" t="s">
        <v>4492</v>
      </c>
      <c r="C2952" s="120" t="s">
        <v>331</v>
      </c>
      <c r="D2952" s="441">
        <v>103.75</v>
      </c>
    </row>
    <row r="2953" spans="1:4" ht="15.75" customHeight="1">
      <c r="A2953" s="120">
        <v>97359</v>
      </c>
      <c r="B2953" s="119" t="s">
        <v>4493</v>
      </c>
      <c r="C2953" s="120" t="s">
        <v>331</v>
      </c>
      <c r="D2953" s="442">
        <v>4248.38</v>
      </c>
    </row>
    <row r="2954" spans="1:4" ht="15.75" customHeight="1">
      <c r="A2954" s="120">
        <v>97360</v>
      </c>
      <c r="B2954" s="119" t="s">
        <v>4494</v>
      </c>
      <c r="C2954" s="120" t="s">
        <v>331</v>
      </c>
      <c r="D2954" s="442">
        <v>8185.52</v>
      </c>
    </row>
    <row r="2955" spans="1:4" ht="15.75" customHeight="1">
      <c r="A2955" s="120">
        <v>97361</v>
      </c>
      <c r="B2955" s="119" t="s">
        <v>4495</v>
      </c>
      <c r="C2955" s="120" t="s">
        <v>331</v>
      </c>
      <c r="D2955" s="442">
        <v>10914.04</v>
      </c>
    </row>
    <row r="2956" spans="1:4" ht="31.5" customHeight="1">
      <c r="A2956" s="120">
        <v>97362</v>
      </c>
      <c r="B2956" s="119" t="s">
        <v>4496</v>
      </c>
      <c r="C2956" s="120" t="s">
        <v>331</v>
      </c>
      <c r="D2956" s="442">
        <v>2474.29</v>
      </c>
    </row>
    <row r="2957" spans="1:4" ht="31.5" customHeight="1">
      <c r="A2957" s="120">
        <v>101875</v>
      </c>
      <c r="B2957" s="119" t="s">
        <v>4497</v>
      </c>
      <c r="C2957" s="120" t="s">
        <v>331</v>
      </c>
      <c r="D2957" s="441">
        <v>527.42999999999995</v>
      </c>
    </row>
    <row r="2958" spans="1:4" ht="31.5" customHeight="1">
      <c r="A2958" s="120">
        <v>101876</v>
      </c>
      <c r="B2958" s="119" t="s">
        <v>4498</v>
      </c>
      <c r="C2958" s="120" t="s">
        <v>331</v>
      </c>
      <c r="D2958" s="441">
        <v>95.28</v>
      </c>
    </row>
    <row r="2959" spans="1:4" ht="31.5" customHeight="1">
      <c r="A2959" s="120">
        <v>101877</v>
      </c>
      <c r="B2959" s="119" t="s">
        <v>4499</v>
      </c>
      <c r="C2959" s="120" t="s">
        <v>331</v>
      </c>
      <c r="D2959" s="441">
        <v>65.819999999999993</v>
      </c>
    </row>
    <row r="2960" spans="1:4" ht="31.5" customHeight="1">
      <c r="A2960" s="120">
        <v>101878</v>
      </c>
      <c r="B2960" s="119" t="s">
        <v>4500</v>
      </c>
      <c r="C2960" s="120" t="s">
        <v>331</v>
      </c>
      <c r="D2960" s="441">
        <v>728.23</v>
      </c>
    </row>
    <row r="2961" spans="1:4" ht="31.5" customHeight="1">
      <c r="A2961" s="120">
        <v>101879</v>
      </c>
      <c r="B2961" s="119" t="s">
        <v>4501</v>
      </c>
      <c r="C2961" s="120" t="s">
        <v>331</v>
      </c>
      <c r="D2961" s="441">
        <v>764.5</v>
      </c>
    </row>
    <row r="2962" spans="1:4" ht="31.5" customHeight="1">
      <c r="A2962" s="120">
        <v>101880</v>
      </c>
      <c r="B2962" s="119" t="s">
        <v>4502</v>
      </c>
      <c r="C2962" s="120" t="s">
        <v>331</v>
      </c>
      <c r="D2962" s="441">
        <v>879.71</v>
      </c>
    </row>
    <row r="2963" spans="1:4" ht="31.5" customHeight="1">
      <c r="A2963" s="120">
        <v>101881</v>
      </c>
      <c r="B2963" s="119" t="s">
        <v>4503</v>
      </c>
      <c r="C2963" s="120" t="s">
        <v>331</v>
      </c>
      <c r="D2963" s="442">
        <v>1267.3399999999999</v>
      </c>
    </row>
    <row r="2964" spans="1:4" ht="31.5" customHeight="1">
      <c r="A2964" s="120">
        <v>101882</v>
      </c>
      <c r="B2964" s="119" t="s">
        <v>4504</v>
      </c>
      <c r="C2964" s="120" t="s">
        <v>331</v>
      </c>
      <c r="D2964" s="442">
        <v>1801.44</v>
      </c>
    </row>
    <row r="2965" spans="1:4" ht="31.5" customHeight="1">
      <c r="A2965" s="120">
        <v>101883</v>
      </c>
      <c r="B2965" s="119" t="s">
        <v>4505</v>
      </c>
      <c r="C2965" s="120" t="s">
        <v>331</v>
      </c>
      <c r="D2965" s="441">
        <v>728.76</v>
      </c>
    </row>
    <row r="2966" spans="1:4" ht="31.5" customHeight="1">
      <c r="A2966" s="120">
        <v>101890</v>
      </c>
      <c r="B2966" s="119" t="s">
        <v>4506</v>
      </c>
      <c r="C2966" s="120" t="s">
        <v>331</v>
      </c>
      <c r="D2966" s="441">
        <v>17</v>
      </c>
    </row>
    <row r="2967" spans="1:4" ht="31.5" customHeight="1">
      <c r="A2967" s="120">
        <v>101891</v>
      </c>
      <c r="B2967" s="119" t="s">
        <v>4507</v>
      </c>
      <c r="C2967" s="120" t="s">
        <v>331</v>
      </c>
      <c r="D2967" s="441">
        <v>29.51</v>
      </c>
    </row>
    <row r="2968" spans="1:4" ht="15.75" customHeight="1">
      <c r="A2968" s="120">
        <v>101892</v>
      </c>
      <c r="B2968" s="119" t="s">
        <v>4508</v>
      </c>
      <c r="C2968" s="120" t="s">
        <v>331</v>
      </c>
      <c r="D2968" s="441">
        <v>74.239999999999995</v>
      </c>
    </row>
    <row r="2969" spans="1:4" ht="31.5" customHeight="1">
      <c r="A2969" s="120">
        <v>101893</v>
      </c>
      <c r="B2969" s="119" t="s">
        <v>4509</v>
      </c>
      <c r="C2969" s="120" t="s">
        <v>331</v>
      </c>
      <c r="D2969" s="441">
        <v>95.19</v>
      </c>
    </row>
    <row r="2970" spans="1:4" ht="31.5" customHeight="1">
      <c r="A2970" s="120">
        <v>101894</v>
      </c>
      <c r="B2970" s="119" t="s">
        <v>4510</v>
      </c>
      <c r="C2970" s="120" t="s">
        <v>331</v>
      </c>
      <c r="D2970" s="441">
        <v>166.69</v>
      </c>
    </row>
    <row r="2971" spans="1:4" ht="31.5" customHeight="1">
      <c r="A2971" s="120">
        <v>101895</v>
      </c>
      <c r="B2971" s="119" t="s">
        <v>4511</v>
      </c>
      <c r="C2971" s="120" t="s">
        <v>331</v>
      </c>
      <c r="D2971" s="441">
        <v>445.37</v>
      </c>
    </row>
    <row r="2972" spans="1:4" ht="31.5" customHeight="1">
      <c r="A2972" s="120">
        <v>101896</v>
      </c>
      <c r="B2972" s="119" t="s">
        <v>4512</v>
      </c>
      <c r="C2972" s="120" t="s">
        <v>331</v>
      </c>
      <c r="D2972" s="441">
        <v>661.28</v>
      </c>
    </row>
    <row r="2973" spans="1:4" ht="31.5" customHeight="1">
      <c r="A2973" s="120">
        <v>101897</v>
      </c>
      <c r="B2973" s="119" t="s">
        <v>4513</v>
      </c>
      <c r="C2973" s="120" t="s">
        <v>331</v>
      </c>
      <c r="D2973" s="442">
        <v>1048.0899999999999</v>
      </c>
    </row>
    <row r="2974" spans="1:4" ht="31.5" customHeight="1">
      <c r="A2974" s="120">
        <v>101898</v>
      </c>
      <c r="B2974" s="119" t="s">
        <v>4514</v>
      </c>
      <c r="C2974" s="120" t="s">
        <v>331</v>
      </c>
      <c r="D2974" s="442">
        <v>1398.72</v>
      </c>
    </row>
    <row r="2975" spans="1:4" ht="31.5" customHeight="1">
      <c r="A2975" s="120">
        <v>101899</v>
      </c>
      <c r="B2975" s="119" t="s">
        <v>4515</v>
      </c>
      <c r="C2975" s="120" t="s">
        <v>331</v>
      </c>
      <c r="D2975" s="442">
        <v>2232.7399999999998</v>
      </c>
    </row>
    <row r="2976" spans="1:4" ht="15.75" customHeight="1">
      <c r="A2976" s="120">
        <v>101900</v>
      </c>
      <c r="B2976" s="119" t="s">
        <v>4516</v>
      </c>
      <c r="C2976" s="120" t="s">
        <v>331</v>
      </c>
      <c r="D2976" s="442">
        <v>4648.41</v>
      </c>
    </row>
    <row r="2977" spans="1:4" ht="15.75" customHeight="1">
      <c r="A2977" s="120">
        <v>101901</v>
      </c>
      <c r="B2977" s="119" t="s">
        <v>4517</v>
      </c>
      <c r="C2977" s="120" t="s">
        <v>331</v>
      </c>
      <c r="D2977" s="441">
        <v>109.64</v>
      </c>
    </row>
    <row r="2978" spans="1:4" ht="15.75" customHeight="1">
      <c r="A2978" s="120">
        <v>101902</v>
      </c>
      <c r="B2978" s="119" t="s">
        <v>4518</v>
      </c>
      <c r="C2978" s="120" t="s">
        <v>331</v>
      </c>
      <c r="D2978" s="441">
        <v>136.05000000000001</v>
      </c>
    </row>
    <row r="2979" spans="1:4" ht="15.75" customHeight="1">
      <c r="A2979" s="120">
        <v>101903</v>
      </c>
      <c r="B2979" s="119" t="s">
        <v>4519</v>
      </c>
      <c r="C2979" s="120" t="s">
        <v>331</v>
      </c>
      <c r="D2979" s="441">
        <v>283.02</v>
      </c>
    </row>
    <row r="2980" spans="1:4" ht="15.75" customHeight="1">
      <c r="A2980" s="120">
        <v>101904</v>
      </c>
      <c r="B2980" s="119" t="s">
        <v>4520</v>
      </c>
      <c r="C2980" s="120" t="s">
        <v>331</v>
      </c>
      <c r="D2980" s="442">
        <v>1021.61</v>
      </c>
    </row>
    <row r="2981" spans="1:4" ht="15.75" customHeight="1">
      <c r="A2981" s="120">
        <v>101938</v>
      </c>
      <c r="B2981" s="119" t="s">
        <v>4521</v>
      </c>
      <c r="C2981" s="120" t="s">
        <v>331</v>
      </c>
      <c r="D2981" s="441">
        <v>127.45</v>
      </c>
    </row>
    <row r="2982" spans="1:4" ht="31.5" customHeight="1">
      <c r="A2982" s="120">
        <v>101946</v>
      </c>
      <c r="B2982" s="119" t="s">
        <v>4522</v>
      </c>
      <c r="C2982" s="120" t="s">
        <v>331</v>
      </c>
      <c r="D2982" s="441">
        <v>191.01</v>
      </c>
    </row>
    <row r="2983" spans="1:4" ht="31.5" customHeight="1">
      <c r="A2983" s="120">
        <v>91945</v>
      </c>
      <c r="B2983" s="119" t="s">
        <v>4523</v>
      </c>
      <c r="C2983" s="120" t="s">
        <v>331</v>
      </c>
      <c r="D2983" s="441">
        <v>11.14</v>
      </c>
    </row>
    <row r="2984" spans="1:4" ht="31.5" customHeight="1">
      <c r="A2984" s="120">
        <v>91946</v>
      </c>
      <c r="B2984" s="119" t="s">
        <v>4524</v>
      </c>
      <c r="C2984" s="120" t="s">
        <v>331</v>
      </c>
      <c r="D2984" s="441">
        <v>9.23</v>
      </c>
    </row>
    <row r="2985" spans="1:4" ht="31.5" customHeight="1">
      <c r="A2985" s="120">
        <v>91947</v>
      </c>
      <c r="B2985" s="119" t="s">
        <v>4525</v>
      </c>
      <c r="C2985" s="120" t="s">
        <v>331</v>
      </c>
      <c r="D2985" s="441">
        <v>8.0399999999999991</v>
      </c>
    </row>
    <row r="2986" spans="1:4" ht="31.5" customHeight="1">
      <c r="A2986" s="120">
        <v>91949</v>
      </c>
      <c r="B2986" s="119" t="s">
        <v>4526</v>
      </c>
      <c r="C2986" s="120" t="s">
        <v>331</v>
      </c>
      <c r="D2986" s="441">
        <v>16.88</v>
      </c>
    </row>
    <row r="2987" spans="1:4" ht="31.5" customHeight="1">
      <c r="A2987" s="120">
        <v>91950</v>
      </c>
      <c r="B2987" s="119" t="s">
        <v>4527</v>
      </c>
      <c r="C2987" s="120" t="s">
        <v>331</v>
      </c>
      <c r="D2987" s="441">
        <v>14.58</v>
      </c>
    </row>
    <row r="2988" spans="1:4" ht="31.5" customHeight="1">
      <c r="A2988" s="120">
        <v>91951</v>
      </c>
      <c r="B2988" s="119" t="s">
        <v>4528</v>
      </c>
      <c r="C2988" s="120" t="s">
        <v>331</v>
      </c>
      <c r="D2988" s="441">
        <v>13.19</v>
      </c>
    </row>
    <row r="2989" spans="1:4" ht="31.5" customHeight="1">
      <c r="A2989" s="120">
        <v>91952</v>
      </c>
      <c r="B2989" s="119" t="s">
        <v>4529</v>
      </c>
      <c r="C2989" s="120" t="s">
        <v>331</v>
      </c>
      <c r="D2989" s="441">
        <v>21.5</v>
      </c>
    </row>
    <row r="2990" spans="1:4" ht="31.5" customHeight="1">
      <c r="A2990" s="120">
        <v>91953</v>
      </c>
      <c r="B2990" s="119" t="s">
        <v>4530</v>
      </c>
      <c r="C2990" s="120" t="s">
        <v>331</v>
      </c>
      <c r="D2990" s="441">
        <v>30.73</v>
      </c>
    </row>
    <row r="2991" spans="1:4" ht="31.5" customHeight="1">
      <c r="A2991" s="120">
        <v>91954</v>
      </c>
      <c r="B2991" s="119" t="s">
        <v>4531</v>
      </c>
      <c r="C2991" s="120" t="s">
        <v>331</v>
      </c>
      <c r="D2991" s="441">
        <v>28.9</v>
      </c>
    </row>
    <row r="2992" spans="1:4" ht="31.5" customHeight="1">
      <c r="A2992" s="120">
        <v>91955</v>
      </c>
      <c r="B2992" s="119" t="s">
        <v>4532</v>
      </c>
      <c r="C2992" s="120" t="s">
        <v>331</v>
      </c>
      <c r="D2992" s="441">
        <v>38.130000000000003</v>
      </c>
    </row>
    <row r="2993" spans="1:4" ht="31.5" customHeight="1">
      <c r="A2993" s="120">
        <v>91956</v>
      </c>
      <c r="B2993" s="119" t="s">
        <v>4533</v>
      </c>
      <c r="C2993" s="120" t="s">
        <v>331</v>
      </c>
      <c r="D2993" s="441">
        <v>46.76</v>
      </c>
    </row>
    <row r="2994" spans="1:4" ht="31.5" customHeight="1">
      <c r="A2994" s="120">
        <v>91957</v>
      </c>
      <c r="B2994" s="119" t="s">
        <v>4534</v>
      </c>
      <c r="C2994" s="120" t="s">
        <v>331</v>
      </c>
      <c r="D2994" s="441">
        <v>55.99</v>
      </c>
    </row>
    <row r="2995" spans="1:4" ht="31.5" customHeight="1">
      <c r="A2995" s="120">
        <v>91958</v>
      </c>
      <c r="B2995" s="119" t="s">
        <v>4535</v>
      </c>
      <c r="C2995" s="120" t="s">
        <v>331</v>
      </c>
      <c r="D2995" s="441">
        <v>39.42</v>
      </c>
    </row>
    <row r="2996" spans="1:4" ht="31.5" customHeight="1">
      <c r="A2996" s="120">
        <v>91959</v>
      </c>
      <c r="B2996" s="119" t="s">
        <v>4536</v>
      </c>
      <c r="C2996" s="120" t="s">
        <v>331</v>
      </c>
      <c r="D2996" s="441">
        <v>48.65</v>
      </c>
    </row>
    <row r="2997" spans="1:4" ht="31.5" customHeight="1">
      <c r="A2997" s="120">
        <v>91960</v>
      </c>
      <c r="B2997" s="119" t="s">
        <v>4537</v>
      </c>
      <c r="C2997" s="120" t="s">
        <v>331</v>
      </c>
      <c r="D2997" s="441">
        <v>54.15</v>
      </c>
    </row>
    <row r="2998" spans="1:4" ht="31.5" customHeight="1">
      <c r="A2998" s="120">
        <v>91961</v>
      </c>
      <c r="B2998" s="119" t="s">
        <v>4538</v>
      </c>
      <c r="C2998" s="120" t="s">
        <v>331</v>
      </c>
      <c r="D2998" s="441">
        <v>63.38</v>
      </c>
    </row>
    <row r="2999" spans="1:4" ht="31.5" customHeight="1">
      <c r="A2999" s="120">
        <v>91962</v>
      </c>
      <c r="B2999" s="119" t="s">
        <v>4539</v>
      </c>
      <c r="C2999" s="120" t="s">
        <v>331</v>
      </c>
      <c r="D2999" s="441">
        <v>72.069999999999993</v>
      </c>
    </row>
    <row r="3000" spans="1:4" ht="31.5" customHeight="1">
      <c r="A3000" s="120">
        <v>91963</v>
      </c>
      <c r="B3000" s="119" t="s">
        <v>4540</v>
      </c>
      <c r="C3000" s="120" t="s">
        <v>331</v>
      </c>
      <c r="D3000" s="441">
        <v>81.3</v>
      </c>
    </row>
    <row r="3001" spans="1:4" ht="31.5" customHeight="1">
      <c r="A3001" s="120">
        <v>91964</v>
      </c>
      <c r="B3001" s="119" t="s">
        <v>4541</v>
      </c>
      <c r="C3001" s="120" t="s">
        <v>331</v>
      </c>
      <c r="D3001" s="441">
        <v>64.66</v>
      </c>
    </row>
    <row r="3002" spans="1:4" ht="31.5" customHeight="1">
      <c r="A3002" s="120">
        <v>91965</v>
      </c>
      <c r="B3002" s="119" t="s">
        <v>4542</v>
      </c>
      <c r="C3002" s="120" t="s">
        <v>331</v>
      </c>
      <c r="D3002" s="441">
        <v>73.89</v>
      </c>
    </row>
    <row r="3003" spans="1:4" ht="31.5" customHeight="1">
      <c r="A3003" s="120">
        <v>91966</v>
      </c>
      <c r="B3003" s="119" t="s">
        <v>4543</v>
      </c>
      <c r="C3003" s="120" t="s">
        <v>331</v>
      </c>
      <c r="D3003" s="441">
        <v>57.32</v>
      </c>
    </row>
    <row r="3004" spans="1:4" ht="31.5" customHeight="1">
      <c r="A3004" s="120">
        <v>91967</v>
      </c>
      <c r="B3004" s="119" t="s">
        <v>4544</v>
      </c>
      <c r="C3004" s="120" t="s">
        <v>331</v>
      </c>
      <c r="D3004" s="441">
        <v>66.55</v>
      </c>
    </row>
    <row r="3005" spans="1:4" ht="31.5" customHeight="1">
      <c r="A3005" s="120">
        <v>91968</v>
      </c>
      <c r="B3005" s="119" t="s">
        <v>4545</v>
      </c>
      <c r="C3005" s="120" t="s">
        <v>331</v>
      </c>
      <c r="D3005" s="441">
        <v>79.41</v>
      </c>
    </row>
    <row r="3006" spans="1:4" ht="31.5" customHeight="1">
      <c r="A3006" s="120">
        <v>91969</v>
      </c>
      <c r="B3006" s="119" t="s">
        <v>4546</v>
      </c>
      <c r="C3006" s="120" t="s">
        <v>331</v>
      </c>
      <c r="D3006" s="441">
        <v>88.64</v>
      </c>
    </row>
    <row r="3007" spans="1:4" ht="31.5" customHeight="1">
      <c r="A3007" s="120">
        <v>91970</v>
      </c>
      <c r="B3007" s="119" t="s">
        <v>4547</v>
      </c>
      <c r="C3007" s="120" t="s">
        <v>331</v>
      </c>
      <c r="D3007" s="441">
        <v>83</v>
      </c>
    </row>
    <row r="3008" spans="1:4" ht="31.5" customHeight="1">
      <c r="A3008" s="120">
        <v>91971</v>
      </c>
      <c r="B3008" s="119" t="s">
        <v>4548</v>
      </c>
      <c r="C3008" s="120" t="s">
        <v>331</v>
      </c>
      <c r="D3008" s="441">
        <v>97.58</v>
      </c>
    </row>
    <row r="3009" spans="1:4" ht="31.5" customHeight="1">
      <c r="A3009" s="120">
        <v>91972</v>
      </c>
      <c r="B3009" s="119" t="s">
        <v>4549</v>
      </c>
      <c r="C3009" s="120" t="s">
        <v>331</v>
      </c>
      <c r="D3009" s="441">
        <v>90.4</v>
      </c>
    </row>
    <row r="3010" spans="1:4" ht="31.5" customHeight="1">
      <c r="A3010" s="120">
        <v>91973</v>
      </c>
      <c r="B3010" s="119" t="s">
        <v>4550</v>
      </c>
      <c r="C3010" s="120" t="s">
        <v>331</v>
      </c>
      <c r="D3010" s="441">
        <v>104.98</v>
      </c>
    </row>
    <row r="3011" spans="1:4" ht="31.5" customHeight="1">
      <c r="A3011" s="120">
        <v>91974</v>
      </c>
      <c r="B3011" s="119" t="s">
        <v>4551</v>
      </c>
      <c r="C3011" s="120" t="s">
        <v>331</v>
      </c>
      <c r="D3011" s="441">
        <v>75.599999999999994</v>
      </c>
    </row>
    <row r="3012" spans="1:4" ht="31.5" customHeight="1">
      <c r="A3012" s="120">
        <v>91975</v>
      </c>
      <c r="B3012" s="119" t="s">
        <v>4552</v>
      </c>
      <c r="C3012" s="120" t="s">
        <v>331</v>
      </c>
      <c r="D3012" s="441">
        <v>90.18</v>
      </c>
    </row>
    <row r="3013" spans="1:4" ht="31.5" customHeight="1">
      <c r="A3013" s="120">
        <v>91976</v>
      </c>
      <c r="B3013" s="119" t="s">
        <v>4553</v>
      </c>
      <c r="C3013" s="120" t="s">
        <v>331</v>
      </c>
      <c r="D3013" s="441">
        <v>111.54</v>
      </c>
    </row>
    <row r="3014" spans="1:4" ht="31.5" customHeight="1">
      <c r="A3014" s="120">
        <v>91977</v>
      </c>
      <c r="B3014" s="119" t="s">
        <v>4554</v>
      </c>
      <c r="C3014" s="120" t="s">
        <v>331</v>
      </c>
      <c r="D3014" s="441">
        <v>126.12</v>
      </c>
    </row>
    <row r="3015" spans="1:4" ht="31.5" customHeight="1">
      <c r="A3015" s="120">
        <v>91978</v>
      </c>
      <c r="B3015" s="119" t="s">
        <v>4555</v>
      </c>
      <c r="C3015" s="120" t="s">
        <v>331</v>
      </c>
      <c r="D3015" s="441">
        <v>45.56</v>
      </c>
    </row>
    <row r="3016" spans="1:4" ht="31.5" customHeight="1">
      <c r="A3016" s="120">
        <v>91979</v>
      </c>
      <c r="B3016" s="119" t="s">
        <v>4556</v>
      </c>
      <c r="C3016" s="120" t="s">
        <v>331</v>
      </c>
      <c r="D3016" s="441">
        <v>54.79</v>
      </c>
    </row>
    <row r="3017" spans="1:4" ht="31.5" customHeight="1">
      <c r="A3017" s="120">
        <v>91980</v>
      </c>
      <c r="B3017" s="119" t="s">
        <v>4557</v>
      </c>
      <c r="C3017" s="120" t="s">
        <v>331</v>
      </c>
      <c r="D3017" s="441">
        <v>44.15</v>
      </c>
    </row>
    <row r="3018" spans="1:4" ht="31.5" customHeight="1">
      <c r="A3018" s="120">
        <v>91981</v>
      </c>
      <c r="B3018" s="119" t="s">
        <v>4558</v>
      </c>
      <c r="C3018" s="120" t="s">
        <v>331</v>
      </c>
      <c r="D3018" s="441">
        <v>53.38</v>
      </c>
    </row>
    <row r="3019" spans="1:4" ht="31.5" customHeight="1">
      <c r="A3019" s="120">
        <v>91982</v>
      </c>
      <c r="B3019" s="119" t="s">
        <v>4559</v>
      </c>
      <c r="C3019" s="120" t="s">
        <v>331</v>
      </c>
      <c r="D3019" s="441">
        <v>102.63</v>
      </c>
    </row>
    <row r="3020" spans="1:4" ht="31.5" customHeight="1">
      <c r="A3020" s="120">
        <v>91983</v>
      </c>
      <c r="B3020" s="119" t="s">
        <v>4560</v>
      </c>
      <c r="C3020" s="120" t="s">
        <v>331</v>
      </c>
      <c r="D3020" s="441">
        <v>111.86</v>
      </c>
    </row>
    <row r="3021" spans="1:4" ht="31.5" customHeight="1">
      <c r="A3021" s="120">
        <v>91984</v>
      </c>
      <c r="B3021" s="119" t="s">
        <v>4561</v>
      </c>
      <c r="C3021" s="120" t="s">
        <v>331</v>
      </c>
      <c r="D3021" s="441">
        <v>20.2</v>
      </c>
    </row>
    <row r="3022" spans="1:4" ht="31.5" customHeight="1">
      <c r="A3022" s="120">
        <v>91985</v>
      </c>
      <c r="B3022" s="119" t="s">
        <v>4562</v>
      </c>
      <c r="C3022" s="120" t="s">
        <v>331</v>
      </c>
      <c r="D3022" s="441">
        <v>29.43</v>
      </c>
    </row>
    <row r="3023" spans="1:4" ht="31.5" customHeight="1">
      <c r="A3023" s="120">
        <v>91986</v>
      </c>
      <c r="B3023" s="119" t="s">
        <v>4563</v>
      </c>
      <c r="C3023" s="120" t="s">
        <v>331</v>
      </c>
      <c r="D3023" s="441">
        <v>42.51</v>
      </c>
    </row>
    <row r="3024" spans="1:4" ht="31.5" customHeight="1">
      <c r="A3024" s="120">
        <v>91987</v>
      </c>
      <c r="B3024" s="119" t="s">
        <v>4564</v>
      </c>
      <c r="C3024" s="120" t="s">
        <v>331</v>
      </c>
      <c r="D3024" s="441">
        <v>51.74</v>
      </c>
    </row>
    <row r="3025" spans="1:4" ht="31.5" customHeight="1">
      <c r="A3025" s="120">
        <v>91988</v>
      </c>
      <c r="B3025" s="119" t="s">
        <v>4565</v>
      </c>
      <c r="C3025" s="120" t="s">
        <v>331</v>
      </c>
      <c r="D3025" s="441">
        <v>24.92</v>
      </c>
    </row>
    <row r="3026" spans="1:4" ht="31.5" customHeight="1">
      <c r="A3026" s="120">
        <v>91989</v>
      </c>
      <c r="B3026" s="119" t="s">
        <v>4566</v>
      </c>
      <c r="C3026" s="120" t="s">
        <v>331</v>
      </c>
      <c r="D3026" s="441">
        <v>34.15</v>
      </c>
    </row>
    <row r="3027" spans="1:4" ht="31.5" customHeight="1">
      <c r="A3027" s="120">
        <v>91990</v>
      </c>
      <c r="B3027" s="119" t="s">
        <v>4567</v>
      </c>
      <c r="C3027" s="120" t="s">
        <v>331</v>
      </c>
      <c r="D3027" s="441">
        <v>38.869999999999997</v>
      </c>
    </row>
    <row r="3028" spans="1:4" ht="31.5" customHeight="1">
      <c r="A3028" s="120">
        <v>91991</v>
      </c>
      <c r="B3028" s="119" t="s">
        <v>4568</v>
      </c>
      <c r="C3028" s="120" t="s">
        <v>331</v>
      </c>
      <c r="D3028" s="441">
        <v>41.42</v>
      </c>
    </row>
    <row r="3029" spans="1:4" ht="31.5" customHeight="1">
      <c r="A3029" s="120">
        <v>91992</v>
      </c>
      <c r="B3029" s="119" t="s">
        <v>4569</v>
      </c>
      <c r="C3029" s="120" t="s">
        <v>331</v>
      </c>
      <c r="D3029" s="441">
        <v>48.1</v>
      </c>
    </row>
    <row r="3030" spans="1:4" ht="31.5" customHeight="1">
      <c r="A3030" s="120">
        <v>91993</v>
      </c>
      <c r="B3030" s="119" t="s">
        <v>4570</v>
      </c>
      <c r="C3030" s="120" t="s">
        <v>331</v>
      </c>
      <c r="D3030" s="441">
        <v>50.65</v>
      </c>
    </row>
    <row r="3031" spans="1:4" ht="31.5" customHeight="1">
      <c r="A3031" s="120">
        <v>91994</v>
      </c>
      <c r="B3031" s="119" t="s">
        <v>4571</v>
      </c>
      <c r="C3031" s="120" t="s">
        <v>331</v>
      </c>
      <c r="D3031" s="441">
        <v>27.58</v>
      </c>
    </row>
    <row r="3032" spans="1:4" ht="31.5" customHeight="1">
      <c r="A3032" s="120">
        <v>91995</v>
      </c>
      <c r="B3032" s="119" t="s">
        <v>4572</v>
      </c>
      <c r="C3032" s="120" t="s">
        <v>331</v>
      </c>
      <c r="D3032" s="441">
        <v>30.13</v>
      </c>
    </row>
    <row r="3033" spans="1:4" ht="31.5" customHeight="1">
      <c r="A3033" s="120">
        <v>91996</v>
      </c>
      <c r="B3033" s="119" t="s">
        <v>4573</v>
      </c>
      <c r="C3033" s="120" t="s">
        <v>331</v>
      </c>
      <c r="D3033" s="441">
        <v>36.81</v>
      </c>
    </row>
    <row r="3034" spans="1:4" ht="31.5" customHeight="1">
      <c r="A3034" s="120">
        <v>91997</v>
      </c>
      <c r="B3034" s="119" t="s">
        <v>4574</v>
      </c>
      <c r="C3034" s="120" t="s">
        <v>331</v>
      </c>
      <c r="D3034" s="441">
        <v>39.36</v>
      </c>
    </row>
    <row r="3035" spans="1:4" ht="31.5" customHeight="1">
      <c r="A3035" s="120">
        <v>91998</v>
      </c>
      <c r="B3035" s="119" t="s">
        <v>4575</v>
      </c>
      <c r="C3035" s="120" t="s">
        <v>331</v>
      </c>
      <c r="D3035" s="441">
        <v>23.2</v>
      </c>
    </row>
    <row r="3036" spans="1:4" ht="31.5" customHeight="1">
      <c r="A3036" s="120">
        <v>91999</v>
      </c>
      <c r="B3036" s="119" t="s">
        <v>4576</v>
      </c>
      <c r="C3036" s="120" t="s">
        <v>331</v>
      </c>
      <c r="D3036" s="441">
        <v>25.75</v>
      </c>
    </row>
    <row r="3037" spans="1:4" ht="31.5" customHeight="1">
      <c r="A3037" s="120">
        <v>92000</v>
      </c>
      <c r="B3037" s="119" t="s">
        <v>4577</v>
      </c>
      <c r="C3037" s="120" t="s">
        <v>331</v>
      </c>
      <c r="D3037" s="441">
        <v>32.43</v>
      </c>
    </row>
    <row r="3038" spans="1:4" ht="31.5" customHeight="1">
      <c r="A3038" s="120">
        <v>92001</v>
      </c>
      <c r="B3038" s="119" t="s">
        <v>4578</v>
      </c>
      <c r="C3038" s="120" t="s">
        <v>331</v>
      </c>
      <c r="D3038" s="441">
        <v>34.979999999999997</v>
      </c>
    </row>
    <row r="3039" spans="1:4" ht="31.5" customHeight="1">
      <c r="A3039" s="120">
        <v>92002</v>
      </c>
      <c r="B3039" s="119" t="s">
        <v>4579</v>
      </c>
      <c r="C3039" s="120" t="s">
        <v>331</v>
      </c>
      <c r="D3039" s="441">
        <v>51.51</v>
      </c>
    </row>
    <row r="3040" spans="1:4" ht="31.5" customHeight="1">
      <c r="A3040" s="120">
        <v>92003</v>
      </c>
      <c r="B3040" s="119" t="s">
        <v>4580</v>
      </c>
      <c r="C3040" s="120" t="s">
        <v>331</v>
      </c>
      <c r="D3040" s="441">
        <v>56.61</v>
      </c>
    </row>
    <row r="3041" spans="1:4" ht="31.5" customHeight="1">
      <c r="A3041" s="120">
        <v>92004</v>
      </c>
      <c r="B3041" s="119" t="s">
        <v>4581</v>
      </c>
      <c r="C3041" s="120" t="s">
        <v>331</v>
      </c>
      <c r="D3041" s="441">
        <v>60.74</v>
      </c>
    </row>
    <row r="3042" spans="1:4" ht="31.5" customHeight="1">
      <c r="A3042" s="120">
        <v>92005</v>
      </c>
      <c r="B3042" s="119" t="s">
        <v>4582</v>
      </c>
      <c r="C3042" s="120" t="s">
        <v>331</v>
      </c>
      <c r="D3042" s="441">
        <v>65.84</v>
      </c>
    </row>
    <row r="3043" spans="1:4" ht="31.5" customHeight="1">
      <c r="A3043" s="120">
        <v>92006</v>
      </c>
      <c r="B3043" s="119" t="s">
        <v>4583</v>
      </c>
      <c r="C3043" s="120" t="s">
        <v>331</v>
      </c>
      <c r="D3043" s="441">
        <v>42.75</v>
      </c>
    </row>
    <row r="3044" spans="1:4" ht="31.5" customHeight="1">
      <c r="A3044" s="120">
        <v>92007</v>
      </c>
      <c r="B3044" s="119" t="s">
        <v>4584</v>
      </c>
      <c r="C3044" s="120" t="s">
        <v>331</v>
      </c>
      <c r="D3044" s="441">
        <v>47.85</v>
      </c>
    </row>
    <row r="3045" spans="1:4" ht="31.5" customHeight="1">
      <c r="A3045" s="120">
        <v>92008</v>
      </c>
      <c r="B3045" s="119" t="s">
        <v>4585</v>
      </c>
      <c r="C3045" s="120" t="s">
        <v>331</v>
      </c>
      <c r="D3045" s="441">
        <v>51.98</v>
      </c>
    </row>
    <row r="3046" spans="1:4" ht="31.5" customHeight="1">
      <c r="A3046" s="120">
        <v>92009</v>
      </c>
      <c r="B3046" s="119" t="s">
        <v>4586</v>
      </c>
      <c r="C3046" s="120" t="s">
        <v>331</v>
      </c>
      <c r="D3046" s="441">
        <v>57.08</v>
      </c>
    </row>
    <row r="3047" spans="1:4" ht="31.5" customHeight="1">
      <c r="A3047" s="120">
        <v>92010</v>
      </c>
      <c r="B3047" s="119" t="s">
        <v>4587</v>
      </c>
      <c r="C3047" s="120" t="s">
        <v>331</v>
      </c>
      <c r="D3047" s="441">
        <v>75.45</v>
      </c>
    </row>
    <row r="3048" spans="1:4" ht="31.5" customHeight="1">
      <c r="A3048" s="120">
        <v>92011</v>
      </c>
      <c r="B3048" s="119" t="s">
        <v>4588</v>
      </c>
      <c r="C3048" s="120" t="s">
        <v>331</v>
      </c>
      <c r="D3048" s="441">
        <v>83.1</v>
      </c>
    </row>
    <row r="3049" spans="1:4" ht="31.5" customHeight="1">
      <c r="A3049" s="120">
        <v>92012</v>
      </c>
      <c r="B3049" s="119" t="s">
        <v>4589</v>
      </c>
      <c r="C3049" s="120" t="s">
        <v>331</v>
      </c>
      <c r="D3049" s="441">
        <v>84.68</v>
      </c>
    </row>
    <row r="3050" spans="1:4" ht="31.5" customHeight="1">
      <c r="A3050" s="120">
        <v>92013</v>
      </c>
      <c r="B3050" s="119" t="s">
        <v>4590</v>
      </c>
      <c r="C3050" s="120" t="s">
        <v>331</v>
      </c>
      <c r="D3050" s="441">
        <v>92.33</v>
      </c>
    </row>
    <row r="3051" spans="1:4" ht="31.5" customHeight="1">
      <c r="A3051" s="120">
        <v>92014</v>
      </c>
      <c r="B3051" s="119" t="s">
        <v>4591</v>
      </c>
      <c r="C3051" s="120" t="s">
        <v>331</v>
      </c>
      <c r="D3051" s="441">
        <v>62.3</v>
      </c>
    </row>
    <row r="3052" spans="1:4" ht="31.5" customHeight="1">
      <c r="A3052" s="120">
        <v>92015</v>
      </c>
      <c r="B3052" s="119" t="s">
        <v>4592</v>
      </c>
      <c r="C3052" s="120" t="s">
        <v>331</v>
      </c>
      <c r="D3052" s="441">
        <v>69.95</v>
      </c>
    </row>
    <row r="3053" spans="1:4" ht="31.5" customHeight="1">
      <c r="A3053" s="120">
        <v>92016</v>
      </c>
      <c r="B3053" s="119" t="s">
        <v>4593</v>
      </c>
      <c r="C3053" s="120" t="s">
        <v>331</v>
      </c>
      <c r="D3053" s="441">
        <v>71.53</v>
      </c>
    </row>
    <row r="3054" spans="1:4" ht="31.5" customHeight="1">
      <c r="A3054" s="120">
        <v>92017</v>
      </c>
      <c r="B3054" s="119" t="s">
        <v>4594</v>
      </c>
      <c r="C3054" s="120" t="s">
        <v>331</v>
      </c>
      <c r="D3054" s="441">
        <v>79.180000000000007</v>
      </c>
    </row>
    <row r="3055" spans="1:4" ht="31.5" customHeight="1">
      <c r="A3055" s="120">
        <v>92018</v>
      </c>
      <c r="B3055" s="119" t="s">
        <v>4595</v>
      </c>
      <c r="C3055" s="120" t="s">
        <v>331</v>
      </c>
      <c r="D3055" s="441">
        <v>82.46</v>
      </c>
    </row>
    <row r="3056" spans="1:4" ht="31.5" customHeight="1">
      <c r="A3056" s="120">
        <v>92019</v>
      </c>
      <c r="B3056" s="119" t="s">
        <v>4596</v>
      </c>
      <c r="C3056" s="120" t="s">
        <v>331</v>
      </c>
      <c r="D3056" s="441">
        <v>97.04</v>
      </c>
    </row>
    <row r="3057" spans="1:4" ht="31.5" customHeight="1">
      <c r="A3057" s="120">
        <v>92020</v>
      </c>
      <c r="B3057" s="119" t="s">
        <v>4597</v>
      </c>
      <c r="C3057" s="120" t="s">
        <v>331</v>
      </c>
      <c r="D3057" s="441">
        <v>121.86</v>
      </c>
    </row>
    <row r="3058" spans="1:4" ht="31.5" customHeight="1">
      <c r="A3058" s="120">
        <v>92021</v>
      </c>
      <c r="B3058" s="119" t="s">
        <v>4598</v>
      </c>
      <c r="C3058" s="120" t="s">
        <v>331</v>
      </c>
      <c r="D3058" s="441">
        <v>136.44</v>
      </c>
    </row>
    <row r="3059" spans="1:4" ht="31.5" customHeight="1">
      <c r="A3059" s="120">
        <v>92022</v>
      </c>
      <c r="B3059" s="119" t="s">
        <v>4599</v>
      </c>
      <c r="C3059" s="120" t="s">
        <v>331</v>
      </c>
      <c r="D3059" s="441">
        <v>45.44</v>
      </c>
    </row>
    <row r="3060" spans="1:4" ht="31.5" customHeight="1">
      <c r="A3060" s="120">
        <v>92023</v>
      </c>
      <c r="B3060" s="119" t="s">
        <v>4600</v>
      </c>
      <c r="C3060" s="120" t="s">
        <v>331</v>
      </c>
      <c r="D3060" s="441">
        <v>54.67</v>
      </c>
    </row>
    <row r="3061" spans="1:4" ht="31.5" customHeight="1">
      <c r="A3061" s="120">
        <v>92024</v>
      </c>
      <c r="B3061" s="119" t="s">
        <v>4601</v>
      </c>
      <c r="C3061" s="120" t="s">
        <v>331</v>
      </c>
      <c r="D3061" s="441">
        <v>69.430000000000007</v>
      </c>
    </row>
    <row r="3062" spans="1:4" ht="31.5" customHeight="1">
      <c r="A3062" s="120">
        <v>92025</v>
      </c>
      <c r="B3062" s="119" t="s">
        <v>4602</v>
      </c>
      <c r="C3062" s="120" t="s">
        <v>331</v>
      </c>
      <c r="D3062" s="441">
        <v>78.66</v>
      </c>
    </row>
    <row r="3063" spans="1:4" ht="31.5" customHeight="1">
      <c r="A3063" s="120">
        <v>92026</v>
      </c>
      <c r="B3063" s="119" t="s">
        <v>4603</v>
      </c>
      <c r="C3063" s="120" t="s">
        <v>331</v>
      </c>
      <c r="D3063" s="441">
        <v>63.34</v>
      </c>
    </row>
    <row r="3064" spans="1:4" ht="31.5" customHeight="1">
      <c r="A3064" s="120">
        <v>92027</v>
      </c>
      <c r="B3064" s="119" t="s">
        <v>4604</v>
      </c>
      <c r="C3064" s="120" t="s">
        <v>331</v>
      </c>
      <c r="D3064" s="441">
        <v>72.569999999999993</v>
      </c>
    </row>
    <row r="3065" spans="1:4" ht="31.5" customHeight="1">
      <c r="A3065" s="120">
        <v>92028</v>
      </c>
      <c r="B3065" s="119" t="s">
        <v>4605</v>
      </c>
      <c r="C3065" s="120" t="s">
        <v>331</v>
      </c>
      <c r="D3065" s="441">
        <v>52.83</v>
      </c>
    </row>
    <row r="3066" spans="1:4" ht="31.5" customHeight="1">
      <c r="A3066" s="120">
        <v>92029</v>
      </c>
      <c r="B3066" s="119" t="s">
        <v>4606</v>
      </c>
      <c r="C3066" s="120" t="s">
        <v>331</v>
      </c>
      <c r="D3066" s="441">
        <v>62.06</v>
      </c>
    </row>
    <row r="3067" spans="1:4" ht="31.5" customHeight="1">
      <c r="A3067" s="120">
        <v>92030</v>
      </c>
      <c r="B3067" s="119" t="s">
        <v>4607</v>
      </c>
      <c r="C3067" s="120" t="s">
        <v>331</v>
      </c>
      <c r="D3067" s="441">
        <v>76.77</v>
      </c>
    </row>
    <row r="3068" spans="1:4" ht="31.5" customHeight="1">
      <c r="A3068" s="120">
        <v>92031</v>
      </c>
      <c r="B3068" s="119" t="s">
        <v>4608</v>
      </c>
      <c r="C3068" s="120" t="s">
        <v>331</v>
      </c>
      <c r="D3068" s="441">
        <v>86</v>
      </c>
    </row>
    <row r="3069" spans="1:4" ht="31.5" customHeight="1">
      <c r="A3069" s="120">
        <v>92032</v>
      </c>
      <c r="B3069" s="119" t="s">
        <v>4609</v>
      </c>
      <c r="C3069" s="120" t="s">
        <v>331</v>
      </c>
      <c r="D3069" s="441">
        <v>78.09</v>
      </c>
    </row>
    <row r="3070" spans="1:4" ht="31.5" customHeight="1">
      <c r="A3070" s="120">
        <v>92033</v>
      </c>
      <c r="B3070" s="119" t="s">
        <v>4610</v>
      </c>
      <c r="C3070" s="120" t="s">
        <v>331</v>
      </c>
      <c r="D3070" s="441">
        <v>87.32</v>
      </c>
    </row>
    <row r="3071" spans="1:4" ht="31.5" customHeight="1">
      <c r="A3071" s="120">
        <v>92034</v>
      </c>
      <c r="B3071" s="119" t="s">
        <v>4611</v>
      </c>
      <c r="C3071" s="120" t="s">
        <v>331</v>
      </c>
      <c r="D3071" s="441">
        <v>70.75</v>
      </c>
    </row>
    <row r="3072" spans="1:4" ht="31.5" customHeight="1">
      <c r="A3072" s="120">
        <v>92035</v>
      </c>
      <c r="B3072" s="119" t="s">
        <v>4612</v>
      </c>
      <c r="C3072" s="120" t="s">
        <v>331</v>
      </c>
      <c r="D3072" s="441">
        <v>79.98</v>
      </c>
    </row>
    <row r="3073" spans="1:4" ht="31.5" customHeight="1">
      <c r="A3073" s="120">
        <v>97583</v>
      </c>
      <c r="B3073" s="119" t="s">
        <v>4613</v>
      </c>
      <c r="C3073" s="120" t="s">
        <v>331</v>
      </c>
      <c r="D3073" s="441">
        <v>99.02</v>
      </c>
    </row>
    <row r="3074" spans="1:4" ht="31.5" customHeight="1">
      <c r="A3074" s="120">
        <v>97584</v>
      </c>
      <c r="B3074" s="119" t="s">
        <v>4614</v>
      </c>
      <c r="C3074" s="120" t="s">
        <v>331</v>
      </c>
      <c r="D3074" s="441">
        <v>138.43</v>
      </c>
    </row>
    <row r="3075" spans="1:4" ht="31.5" customHeight="1">
      <c r="A3075" s="120">
        <v>97585</v>
      </c>
      <c r="B3075" s="119" t="s">
        <v>4615</v>
      </c>
      <c r="C3075" s="120" t="s">
        <v>331</v>
      </c>
      <c r="D3075" s="441">
        <v>133.19999999999999</v>
      </c>
    </row>
    <row r="3076" spans="1:4" ht="31.5" customHeight="1">
      <c r="A3076" s="120">
        <v>97586</v>
      </c>
      <c r="B3076" s="119" t="s">
        <v>4616</v>
      </c>
      <c r="C3076" s="120" t="s">
        <v>331</v>
      </c>
      <c r="D3076" s="441">
        <v>180.8</v>
      </c>
    </row>
    <row r="3077" spans="1:4" ht="31.5" customHeight="1">
      <c r="A3077" s="120">
        <v>97587</v>
      </c>
      <c r="B3077" s="119" t="s">
        <v>4617</v>
      </c>
      <c r="C3077" s="120" t="s">
        <v>331</v>
      </c>
      <c r="D3077" s="441">
        <v>329.67</v>
      </c>
    </row>
    <row r="3078" spans="1:4" ht="31.5" customHeight="1">
      <c r="A3078" s="120">
        <v>97589</v>
      </c>
      <c r="B3078" s="119" t="s">
        <v>4618</v>
      </c>
      <c r="C3078" s="120" t="s">
        <v>331</v>
      </c>
      <c r="D3078" s="441">
        <v>47.54</v>
      </c>
    </row>
    <row r="3079" spans="1:4" ht="31.5" customHeight="1">
      <c r="A3079" s="120">
        <v>97590</v>
      </c>
      <c r="B3079" s="119" t="s">
        <v>4619</v>
      </c>
      <c r="C3079" s="120" t="s">
        <v>331</v>
      </c>
      <c r="D3079" s="441">
        <v>113.3</v>
      </c>
    </row>
    <row r="3080" spans="1:4" ht="31.5" customHeight="1">
      <c r="A3080" s="120">
        <v>97591</v>
      </c>
      <c r="B3080" s="119" t="s">
        <v>4620</v>
      </c>
      <c r="C3080" s="120" t="s">
        <v>331</v>
      </c>
      <c r="D3080" s="441">
        <v>147.91999999999999</v>
      </c>
    </row>
    <row r="3081" spans="1:4" ht="31.5" customHeight="1">
      <c r="A3081" s="120">
        <v>97593</v>
      </c>
      <c r="B3081" s="119" t="s">
        <v>4621</v>
      </c>
      <c r="C3081" s="120" t="s">
        <v>331</v>
      </c>
      <c r="D3081" s="441">
        <v>163.66999999999999</v>
      </c>
    </row>
    <row r="3082" spans="1:4" ht="31.5" customHeight="1">
      <c r="A3082" s="120">
        <v>97594</v>
      </c>
      <c r="B3082" s="119" t="s">
        <v>4622</v>
      </c>
      <c r="C3082" s="120" t="s">
        <v>331</v>
      </c>
      <c r="D3082" s="441">
        <v>148.53</v>
      </c>
    </row>
    <row r="3083" spans="1:4" ht="15.75" customHeight="1">
      <c r="A3083" s="120">
        <v>97595</v>
      </c>
      <c r="B3083" s="119" t="s">
        <v>4623</v>
      </c>
      <c r="C3083" s="120" t="s">
        <v>331</v>
      </c>
      <c r="D3083" s="441">
        <v>118.06</v>
      </c>
    </row>
    <row r="3084" spans="1:4" ht="15.75" customHeight="1">
      <c r="A3084" s="120">
        <v>97596</v>
      </c>
      <c r="B3084" s="119" t="s">
        <v>4624</v>
      </c>
      <c r="C3084" s="120" t="s">
        <v>331</v>
      </c>
      <c r="D3084" s="441">
        <v>82.53</v>
      </c>
    </row>
    <row r="3085" spans="1:4" ht="15.75" customHeight="1">
      <c r="A3085" s="120">
        <v>97597</v>
      </c>
      <c r="B3085" s="119" t="s">
        <v>4625</v>
      </c>
      <c r="C3085" s="120" t="s">
        <v>331</v>
      </c>
      <c r="D3085" s="441">
        <v>81.42</v>
      </c>
    </row>
    <row r="3086" spans="1:4" ht="15.75" customHeight="1">
      <c r="A3086" s="120">
        <v>97598</v>
      </c>
      <c r="B3086" s="119" t="s">
        <v>4626</v>
      </c>
      <c r="C3086" s="120" t="s">
        <v>331</v>
      </c>
      <c r="D3086" s="441">
        <v>76.88</v>
      </c>
    </row>
    <row r="3087" spans="1:4" ht="31.5" customHeight="1">
      <c r="A3087" s="120">
        <v>97599</v>
      </c>
      <c r="B3087" s="119" t="s">
        <v>4627</v>
      </c>
      <c r="C3087" s="120" t="s">
        <v>331</v>
      </c>
      <c r="D3087" s="441">
        <v>28.78</v>
      </c>
    </row>
    <row r="3088" spans="1:4" ht="15.75" customHeight="1">
      <c r="A3088" s="120">
        <v>97609</v>
      </c>
      <c r="B3088" s="119" t="s">
        <v>4628</v>
      </c>
      <c r="C3088" s="120" t="s">
        <v>331</v>
      </c>
      <c r="D3088" s="441">
        <v>18.36</v>
      </c>
    </row>
    <row r="3089" spans="1:4" ht="15.75" customHeight="1">
      <c r="A3089" s="120">
        <v>97610</v>
      </c>
      <c r="B3089" s="119" t="s">
        <v>4629</v>
      </c>
      <c r="C3089" s="120" t="s">
        <v>331</v>
      </c>
      <c r="D3089" s="441">
        <v>19.45</v>
      </c>
    </row>
    <row r="3090" spans="1:4" ht="15.75" customHeight="1">
      <c r="A3090" s="120">
        <v>97611</v>
      </c>
      <c r="B3090" s="119" t="s">
        <v>4630</v>
      </c>
      <c r="C3090" s="120" t="s">
        <v>331</v>
      </c>
      <c r="D3090" s="441">
        <v>27.22</v>
      </c>
    </row>
    <row r="3091" spans="1:4" ht="15.75" customHeight="1">
      <c r="A3091" s="120">
        <v>97612</v>
      </c>
      <c r="B3091" s="119" t="s">
        <v>4631</v>
      </c>
      <c r="C3091" s="120" t="s">
        <v>331</v>
      </c>
      <c r="D3091" s="441">
        <v>29.48</v>
      </c>
    </row>
    <row r="3092" spans="1:4" ht="15.75" customHeight="1">
      <c r="A3092" s="120">
        <v>97613</v>
      </c>
      <c r="B3092" s="119" t="s">
        <v>4632</v>
      </c>
      <c r="C3092" s="120" t="s">
        <v>331</v>
      </c>
      <c r="D3092" s="441">
        <v>37.01</v>
      </c>
    </row>
    <row r="3093" spans="1:4" ht="15.75" customHeight="1">
      <c r="A3093" s="120">
        <v>97614</v>
      </c>
      <c r="B3093" s="119" t="s">
        <v>4633</v>
      </c>
      <c r="C3093" s="120" t="s">
        <v>331</v>
      </c>
      <c r="D3093" s="441">
        <v>64.17</v>
      </c>
    </row>
    <row r="3094" spans="1:4" ht="15.75" customHeight="1">
      <c r="A3094" s="120">
        <v>97615</v>
      </c>
      <c r="B3094" s="119" t="s">
        <v>4634</v>
      </c>
      <c r="C3094" s="120" t="s">
        <v>331</v>
      </c>
      <c r="D3094" s="441">
        <v>62.31</v>
      </c>
    </row>
    <row r="3095" spans="1:4" ht="15.75" customHeight="1">
      <c r="A3095" s="120">
        <v>97616</v>
      </c>
      <c r="B3095" s="119" t="s">
        <v>4635</v>
      </c>
      <c r="C3095" s="120" t="s">
        <v>331</v>
      </c>
      <c r="D3095" s="441">
        <v>71.38</v>
      </c>
    </row>
    <row r="3096" spans="1:4" ht="15.75" customHeight="1">
      <c r="A3096" s="120">
        <v>97617</v>
      </c>
      <c r="B3096" s="119" t="s">
        <v>4636</v>
      </c>
      <c r="C3096" s="120" t="s">
        <v>331</v>
      </c>
      <c r="D3096" s="441">
        <v>71.03</v>
      </c>
    </row>
    <row r="3097" spans="1:4" ht="15.75" customHeight="1">
      <c r="A3097" s="120">
        <v>97618</v>
      </c>
      <c r="B3097" s="119" t="s">
        <v>4637</v>
      </c>
      <c r="C3097" s="120" t="s">
        <v>331</v>
      </c>
      <c r="D3097" s="441">
        <v>65.489999999999995</v>
      </c>
    </row>
    <row r="3098" spans="1:4" ht="15.75" customHeight="1">
      <c r="A3098" s="120">
        <v>100902</v>
      </c>
      <c r="B3098" s="119" t="s">
        <v>4638</v>
      </c>
      <c r="C3098" s="120" t="s">
        <v>331</v>
      </c>
      <c r="D3098" s="441">
        <v>29.72</v>
      </c>
    </row>
    <row r="3099" spans="1:4" ht="15.75" customHeight="1">
      <c r="A3099" s="120">
        <v>100903</v>
      </c>
      <c r="B3099" s="119" t="s">
        <v>4639</v>
      </c>
      <c r="C3099" s="120" t="s">
        <v>331</v>
      </c>
      <c r="D3099" s="441">
        <v>34.54</v>
      </c>
    </row>
    <row r="3100" spans="1:4" ht="31.5" customHeight="1">
      <c r="A3100" s="120">
        <v>100904</v>
      </c>
      <c r="B3100" s="119" t="s">
        <v>4640</v>
      </c>
      <c r="C3100" s="120" t="s">
        <v>331</v>
      </c>
      <c r="D3100" s="441">
        <v>99.02</v>
      </c>
    </row>
    <row r="3101" spans="1:4" ht="31.5" customHeight="1">
      <c r="A3101" s="120">
        <v>100905</v>
      </c>
      <c r="B3101" s="119" t="s">
        <v>4641</v>
      </c>
      <c r="C3101" s="120" t="s">
        <v>331</v>
      </c>
      <c r="D3101" s="441">
        <v>266.39999999999998</v>
      </c>
    </row>
    <row r="3102" spans="1:4" ht="31.5" customHeight="1">
      <c r="A3102" s="120">
        <v>100906</v>
      </c>
      <c r="B3102" s="119" t="s">
        <v>4642</v>
      </c>
      <c r="C3102" s="120" t="s">
        <v>331</v>
      </c>
      <c r="D3102" s="441">
        <v>361.6</v>
      </c>
    </row>
    <row r="3103" spans="1:4" ht="15.75" customHeight="1">
      <c r="A3103" s="120">
        <v>100919</v>
      </c>
      <c r="B3103" s="119" t="s">
        <v>4643</v>
      </c>
      <c r="C3103" s="120" t="s">
        <v>331</v>
      </c>
      <c r="D3103" s="441">
        <v>73.05</v>
      </c>
    </row>
    <row r="3104" spans="1:4" ht="15.75" customHeight="1">
      <c r="A3104" s="120">
        <v>100920</v>
      </c>
      <c r="B3104" s="119" t="s">
        <v>4644</v>
      </c>
      <c r="C3104" s="120" t="s">
        <v>331</v>
      </c>
      <c r="D3104" s="441">
        <v>123.15</v>
      </c>
    </row>
    <row r="3105" spans="1:4" ht="15.75" customHeight="1">
      <c r="A3105" s="120">
        <v>100921</v>
      </c>
      <c r="B3105" s="119" t="s">
        <v>4645</v>
      </c>
      <c r="C3105" s="120" t="s">
        <v>331</v>
      </c>
      <c r="D3105" s="441">
        <v>76.739999999999995</v>
      </c>
    </row>
    <row r="3106" spans="1:4" ht="15.75" customHeight="1">
      <c r="A3106" s="120">
        <v>100922</v>
      </c>
      <c r="B3106" s="119" t="s">
        <v>4646</v>
      </c>
      <c r="C3106" s="120" t="s">
        <v>331</v>
      </c>
      <c r="D3106" s="441">
        <v>55.07</v>
      </c>
    </row>
    <row r="3107" spans="1:4" ht="15.75" customHeight="1">
      <c r="A3107" s="120">
        <v>100923</v>
      </c>
      <c r="B3107" s="119" t="s">
        <v>4647</v>
      </c>
      <c r="C3107" s="120" t="s">
        <v>331</v>
      </c>
      <c r="D3107" s="441">
        <v>63.57</v>
      </c>
    </row>
    <row r="3108" spans="1:4" ht="31.5" customHeight="1">
      <c r="A3108" s="120">
        <v>103782</v>
      </c>
      <c r="B3108" s="119" t="s">
        <v>4648</v>
      </c>
      <c r="C3108" s="120" t="s">
        <v>331</v>
      </c>
      <c r="D3108" s="441">
        <v>41.27</v>
      </c>
    </row>
    <row r="3109" spans="1:4" ht="31.5" customHeight="1">
      <c r="A3109" s="120">
        <v>101489</v>
      </c>
      <c r="B3109" s="119" t="s">
        <v>4649</v>
      </c>
      <c r="C3109" s="120" t="s">
        <v>331</v>
      </c>
      <c r="D3109" s="442">
        <v>1507.06</v>
      </c>
    </row>
    <row r="3110" spans="1:4" ht="31.5" customHeight="1">
      <c r="A3110" s="120">
        <v>101490</v>
      </c>
      <c r="B3110" s="119" t="s">
        <v>4650</v>
      </c>
      <c r="C3110" s="120" t="s">
        <v>331</v>
      </c>
      <c r="D3110" s="442">
        <v>1605.18</v>
      </c>
    </row>
    <row r="3111" spans="1:4" ht="31.5" customHeight="1">
      <c r="A3111" s="120">
        <v>101491</v>
      </c>
      <c r="B3111" s="119" t="s">
        <v>4651</v>
      </c>
      <c r="C3111" s="120" t="s">
        <v>331</v>
      </c>
      <c r="D3111" s="442">
        <v>1632.79</v>
      </c>
    </row>
    <row r="3112" spans="1:4" ht="31.5" customHeight="1">
      <c r="A3112" s="120">
        <v>101492</v>
      </c>
      <c r="B3112" s="119" t="s">
        <v>4652</v>
      </c>
      <c r="C3112" s="120" t="s">
        <v>331</v>
      </c>
      <c r="D3112" s="442">
        <v>1787.27</v>
      </c>
    </row>
    <row r="3113" spans="1:4" ht="31.5" customHeight="1">
      <c r="A3113" s="120">
        <v>101493</v>
      </c>
      <c r="B3113" s="119" t="s">
        <v>4653</v>
      </c>
      <c r="C3113" s="120" t="s">
        <v>331</v>
      </c>
      <c r="D3113" s="442">
        <v>1487.05</v>
      </c>
    </row>
    <row r="3114" spans="1:4" ht="31.5" customHeight="1">
      <c r="A3114" s="120">
        <v>101494</v>
      </c>
      <c r="B3114" s="119" t="s">
        <v>4654</v>
      </c>
      <c r="C3114" s="120" t="s">
        <v>331</v>
      </c>
      <c r="D3114" s="442">
        <v>1585.17</v>
      </c>
    </row>
    <row r="3115" spans="1:4" ht="31.5" customHeight="1">
      <c r="A3115" s="120">
        <v>101495</v>
      </c>
      <c r="B3115" s="119" t="s">
        <v>4655</v>
      </c>
      <c r="C3115" s="120" t="s">
        <v>331</v>
      </c>
      <c r="D3115" s="442">
        <v>1612.78</v>
      </c>
    </row>
    <row r="3116" spans="1:4" ht="31.5" customHeight="1">
      <c r="A3116" s="120">
        <v>101496</v>
      </c>
      <c r="B3116" s="119" t="s">
        <v>4656</v>
      </c>
      <c r="C3116" s="120" t="s">
        <v>331</v>
      </c>
      <c r="D3116" s="442">
        <v>1767.26</v>
      </c>
    </row>
    <row r="3117" spans="1:4" ht="31.5" customHeight="1">
      <c r="A3117" s="120">
        <v>101497</v>
      </c>
      <c r="B3117" s="119" t="s">
        <v>4657</v>
      </c>
      <c r="C3117" s="120" t="s">
        <v>331</v>
      </c>
      <c r="D3117" s="442">
        <v>1782.8</v>
      </c>
    </row>
    <row r="3118" spans="1:4" ht="31.5" customHeight="1">
      <c r="A3118" s="120">
        <v>101498</v>
      </c>
      <c r="B3118" s="119" t="s">
        <v>4658</v>
      </c>
      <c r="C3118" s="120" t="s">
        <v>331</v>
      </c>
      <c r="D3118" s="442">
        <v>1931.32</v>
      </c>
    </row>
    <row r="3119" spans="1:4" ht="31.5" customHeight="1">
      <c r="A3119" s="120">
        <v>101499</v>
      </c>
      <c r="B3119" s="119" t="s">
        <v>4659</v>
      </c>
      <c r="C3119" s="120" t="s">
        <v>331</v>
      </c>
      <c r="D3119" s="442">
        <v>1973.11</v>
      </c>
    </row>
    <row r="3120" spans="1:4" ht="31.5" customHeight="1">
      <c r="A3120" s="120">
        <v>101500</v>
      </c>
      <c r="B3120" s="119" t="s">
        <v>4660</v>
      </c>
      <c r="C3120" s="120" t="s">
        <v>331</v>
      </c>
      <c r="D3120" s="442">
        <v>2185.7800000000002</v>
      </c>
    </row>
    <row r="3121" spans="1:4" ht="31.5" customHeight="1">
      <c r="A3121" s="120">
        <v>101501</v>
      </c>
      <c r="B3121" s="119" t="s">
        <v>4661</v>
      </c>
      <c r="C3121" s="120" t="s">
        <v>331</v>
      </c>
      <c r="D3121" s="442">
        <v>1770.67</v>
      </c>
    </row>
    <row r="3122" spans="1:4" ht="31.5" customHeight="1">
      <c r="A3122" s="120">
        <v>101502</v>
      </c>
      <c r="B3122" s="119" t="s">
        <v>4662</v>
      </c>
      <c r="C3122" s="120" t="s">
        <v>331</v>
      </c>
      <c r="D3122" s="442">
        <v>1919.19</v>
      </c>
    </row>
    <row r="3123" spans="1:4" ht="31.5" customHeight="1">
      <c r="A3123" s="120">
        <v>101503</v>
      </c>
      <c r="B3123" s="119" t="s">
        <v>4663</v>
      </c>
      <c r="C3123" s="120" t="s">
        <v>331</v>
      </c>
      <c r="D3123" s="442">
        <v>1960.98</v>
      </c>
    </row>
    <row r="3124" spans="1:4" ht="31.5" customHeight="1">
      <c r="A3124" s="120">
        <v>101504</v>
      </c>
      <c r="B3124" s="119" t="s">
        <v>4664</v>
      </c>
      <c r="C3124" s="120" t="s">
        <v>331</v>
      </c>
      <c r="D3124" s="442">
        <v>2173.65</v>
      </c>
    </row>
    <row r="3125" spans="1:4" ht="31.5" customHeight="1">
      <c r="A3125" s="120">
        <v>101505</v>
      </c>
      <c r="B3125" s="119" t="s">
        <v>4665</v>
      </c>
      <c r="C3125" s="120" t="s">
        <v>331</v>
      </c>
      <c r="D3125" s="442">
        <v>1896.69</v>
      </c>
    </row>
    <row r="3126" spans="1:4" ht="31.5" customHeight="1">
      <c r="A3126" s="120">
        <v>101506</v>
      </c>
      <c r="B3126" s="119" t="s">
        <v>4666</v>
      </c>
      <c r="C3126" s="120" t="s">
        <v>331</v>
      </c>
      <c r="D3126" s="442">
        <v>2094.7199999999998</v>
      </c>
    </row>
    <row r="3127" spans="1:4" ht="31.5" customHeight="1">
      <c r="A3127" s="120">
        <v>101507</v>
      </c>
      <c r="B3127" s="119" t="s">
        <v>4667</v>
      </c>
      <c r="C3127" s="120" t="s">
        <v>331</v>
      </c>
      <c r="D3127" s="442">
        <v>2150.44</v>
      </c>
    </row>
    <row r="3128" spans="1:4" ht="31.5" customHeight="1">
      <c r="A3128" s="120">
        <v>101508</v>
      </c>
      <c r="B3128" s="119" t="s">
        <v>4668</v>
      </c>
      <c r="C3128" s="120" t="s">
        <v>331</v>
      </c>
      <c r="D3128" s="442">
        <v>2420.2800000000002</v>
      </c>
    </row>
    <row r="3129" spans="1:4" ht="31.5" customHeight="1">
      <c r="A3129" s="120">
        <v>101509</v>
      </c>
      <c r="B3129" s="119" t="s">
        <v>4669</v>
      </c>
      <c r="C3129" s="120" t="s">
        <v>331</v>
      </c>
      <c r="D3129" s="442">
        <v>2020.87</v>
      </c>
    </row>
    <row r="3130" spans="1:4" ht="31.5" customHeight="1">
      <c r="A3130" s="120">
        <v>101510</v>
      </c>
      <c r="B3130" s="119" t="s">
        <v>4670</v>
      </c>
      <c r="C3130" s="120" t="s">
        <v>331</v>
      </c>
      <c r="D3130" s="442">
        <v>2218.9</v>
      </c>
    </row>
    <row r="3131" spans="1:4" ht="31.5" customHeight="1">
      <c r="A3131" s="120">
        <v>101511</v>
      </c>
      <c r="B3131" s="119" t="s">
        <v>4671</v>
      </c>
      <c r="C3131" s="120" t="s">
        <v>331</v>
      </c>
      <c r="D3131" s="442">
        <v>2274.62</v>
      </c>
    </row>
    <row r="3132" spans="1:4" ht="31.5" customHeight="1">
      <c r="A3132" s="120">
        <v>101512</v>
      </c>
      <c r="B3132" s="119" t="s">
        <v>4672</v>
      </c>
      <c r="C3132" s="120" t="s">
        <v>331</v>
      </c>
      <c r="D3132" s="442">
        <v>2544.46</v>
      </c>
    </row>
    <row r="3133" spans="1:4" ht="31.5" customHeight="1">
      <c r="A3133" s="120">
        <v>101513</v>
      </c>
      <c r="B3133" s="119" t="s">
        <v>4673</v>
      </c>
      <c r="C3133" s="120" t="s">
        <v>331</v>
      </c>
      <c r="D3133" s="441">
        <v>840</v>
      </c>
    </row>
    <row r="3134" spans="1:4" ht="31.5" customHeight="1">
      <c r="A3134" s="120">
        <v>101514</v>
      </c>
      <c r="B3134" s="119" t="s">
        <v>4674</v>
      </c>
      <c r="C3134" s="120" t="s">
        <v>331</v>
      </c>
      <c r="D3134" s="441">
        <v>957.75</v>
      </c>
    </row>
    <row r="3135" spans="1:4" ht="31.5" customHeight="1">
      <c r="A3135" s="120">
        <v>101515</v>
      </c>
      <c r="B3135" s="119" t="s">
        <v>4675</v>
      </c>
      <c r="C3135" s="120" t="s">
        <v>331</v>
      </c>
      <c r="D3135" s="441">
        <v>990.88</v>
      </c>
    </row>
    <row r="3136" spans="1:4" ht="31.5" customHeight="1">
      <c r="A3136" s="120">
        <v>101516</v>
      </c>
      <c r="B3136" s="119" t="s">
        <v>4676</v>
      </c>
      <c r="C3136" s="120" t="s">
        <v>331</v>
      </c>
      <c r="D3136" s="442">
        <v>1126.8399999999999</v>
      </c>
    </row>
    <row r="3137" spans="1:4" ht="31.5" customHeight="1">
      <c r="A3137" s="120">
        <v>101517</v>
      </c>
      <c r="B3137" s="119" t="s">
        <v>4677</v>
      </c>
      <c r="C3137" s="120" t="s">
        <v>331</v>
      </c>
      <c r="D3137" s="441">
        <v>819.99</v>
      </c>
    </row>
    <row r="3138" spans="1:4" ht="31.5" customHeight="1">
      <c r="A3138" s="120">
        <v>101518</v>
      </c>
      <c r="B3138" s="119" t="s">
        <v>4678</v>
      </c>
      <c r="C3138" s="120" t="s">
        <v>331</v>
      </c>
      <c r="D3138" s="441">
        <v>937.74</v>
      </c>
    </row>
    <row r="3139" spans="1:4" ht="31.5" customHeight="1">
      <c r="A3139" s="120">
        <v>101519</v>
      </c>
      <c r="B3139" s="119" t="s">
        <v>4679</v>
      </c>
      <c r="C3139" s="120" t="s">
        <v>331</v>
      </c>
      <c r="D3139" s="441">
        <v>970.87</v>
      </c>
    </row>
    <row r="3140" spans="1:4" ht="31.5" customHeight="1">
      <c r="A3140" s="120">
        <v>101520</v>
      </c>
      <c r="B3140" s="119" t="s">
        <v>4680</v>
      </c>
      <c r="C3140" s="120" t="s">
        <v>331</v>
      </c>
      <c r="D3140" s="442">
        <v>1106.83</v>
      </c>
    </row>
    <row r="3141" spans="1:4" ht="31.5" customHeight="1">
      <c r="A3141" s="120">
        <v>101521</v>
      </c>
      <c r="B3141" s="119" t="s">
        <v>4681</v>
      </c>
      <c r="C3141" s="120" t="s">
        <v>331</v>
      </c>
      <c r="D3141" s="442">
        <v>1130.83</v>
      </c>
    </row>
    <row r="3142" spans="1:4" ht="31.5" customHeight="1">
      <c r="A3142" s="120">
        <v>101522</v>
      </c>
      <c r="B3142" s="119" t="s">
        <v>4682</v>
      </c>
      <c r="C3142" s="120" t="s">
        <v>331</v>
      </c>
      <c r="D3142" s="442">
        <v>1307.45</v>
      </c>
    </row>
    <row r="3143" spans="1:4" ht="31.5" customHeight="1">
      <c r="A3143" s="120">
        <v>101523</v>
      </c>
      <c r="B3143" s="119" t="s">
        <v>4683</v>
      </c>
      <c r="C3143" s="120" t="s">
        <v>331</v>
      </c>
      <c r="D3143" s="442">
        <v>1357.14</v>
      </c>
    </row>
    <row r="3144" spans="1:4" ht="31.5" customHeight="1">
      <c r="A3144" s="120">
        <v>101524</v>
      </c>
      <c r="B3144" s="119" t="s">
        <v>4684</v>
      </c>
      <c r="C3144" s="120" t="s">
        <v>331</v>
      </c>
      <c r="D3144" s="442">
        <v>1561.08</v>
      </c>
    </row>
    <row r="3145" spans="1:4" ht="31.5" customHeight="1">
      <c r="A3145" s="120">
        <v>101525</v>
      </c>
      <c r="B3145" s="119" t="s">
        <v>4685</v>
      </c>
      <c r="C3145" s="120" t="s">
        <v>331</v>
      </c>
      <c r="D3145" s="442">
        <v>1118.71</v>
      </c>
    </row>
    <row r="3146" spans="1:4" ht="31.5" customHeight="1">
      <c r="A3146" s="120">
        <v>101526</v>
      </c>
      <c r="B3146" s="119" t="s">
        <v>4686</v>
      </c>
      <c r="C3146" s="120" t="s">
        <v>331</v>
      </c>
      <c r="D3146" s="442">
        <v>1295.33</v>
      </c>
    </row>
    <row r="3147" spans="1:4" ht="31.5" customHeight="1">
      <c r="A3147" s="120">
        <v>101527</v>
      </c>
      <c r="B3147" s="119" t="s">
        <v>4687</v>
      </c>
      <c r="C3147" s="120" t="s">
        <v>331</v>
      </c>
      <c r="D3147" s="442">
        <v>1345.02</v>
      </c>
    </row>
    <row r="3148" spans="1:4" ht="31.5" customHeight="1">
      <c r="A3148" s="120">
        <v>101528</v>
      </c>
      <c r="B3148" s="119" t="s">
        <v>4688</v>
      </c>
      <c r="C3148" s="120" t="s">
        <v>331</v>
      </c>
      <c r="D3148" s="442">
        <v>1548.96</v>
      </c>
    </row>
    <row r="3149" spans="1:4" ht="31.5" customHeight="1">
      <c r="A3149" s="120">
        <v>101529</v>
      </c>
      <c r="B3149" s="119" t="s">
        <v>4689</v>
      </c>
      <c r="C3149" s="120" t="s">
        <v>331</v>
      </c>
      <c r="D3149" s="442">
        <v>1261.4000000000001</v>
      </c>
    </row>
    <row r="3150" spans="1:4" ht="31.5" customHeight="1">
      <c r="A3150" s="120">
        <v>101530</v>
      </c>
      <c r="B3150" s="119" t="s">
        <v>4690</v>
      </c>
      <c r="C3150" s="120" t="s">
        <v>331</v>
      </c>
      <c r="D3150" s="442">
        <v>1496.89</v>
      </c>
    </row>
    <row r="3151" spans="1:4" ht="31.5" customHeight="1">
      <c r="A3151" s="120">
        <v>101531</v>
      </c>
      <c r="B3151" s="119" t="s">
        <v>4691</v>
      </c>
      <c r="C3151" s="120" t="s">
        <v>331</v>
      </c>
      <c r="D3151" s="442">
        <v>1563.15</v>
      </c>
    </row>
    <row r="3152" spans="1:4" ht="31.5" customHeight="1">
      <c r="A3152" s="120">
        <v>101532</v>
      </c>
      <c r="B3152" s="119" t="s">
        <v>4692</v>
      </c>
      <c r="C3152" s="120" t="s">
        <v>331</v>
      </c>
      <c r="D3152" s="442">
        <v>1835.07</v>
      </c>
    </row>
    <row r="3153" spans="1:4" ht="31.5" customHeight="1">
      <c r="A3153" s="120">
        <v>101533</v>
      </c>
      <c r="B3153" s="119" t="s">
        <v>4693</v>
      </c>
      <c r="C3153" s="120" t="s">
        <v>331</v>
      </c>
      <c r="D3153" s="442">
        <v>1385.59</v>
      </c>
    </row>
    <row r="3154" spans="1:4" ht="31.5" customHeight="1">
      <c r="A3154" s="120">
        <v>101534</v>
      </c>
      <c r="B3154" s="119" t="s">
        <v>4694</v>
      </c>
      <c r="C3154" s="120" t="s">
        <v>331</v>
      </c>
      <c r="D3154" s="442">
        <v>1621.08</v>
      </c>
    </row>
    <row r="3155" spans="1:4" ht="31.5" customHeight="1">
      <c r="A3155" s="120">
        <v>101535</v>
      </c>
      <c r="B3155" s="119" t="s">
        <v>4695</v>
      </c>
      <c r="C3155" s="120" t="s">
        <v>331</v>
      </c>
      <c r="D3155" s="442">
        <v>1687.34</v>
      </c>
    </row>
    <row r="3156" spans="1:4" ht="31.5" customHeight="1">
      <c r="A3156" s="120">
        <v>101536</v>
      </c>
      <c r="B3156" s="119" t="s">
        <v>4696</v>
      </c>
      <c r="C3156" s="120" t="s">
        <v>331</v>
      </c>
      <c r="D3156" s="442">
        <v>1959.26</v>
      </c>
    </row>
    <row r="3157" spans="1:4" ht="31.5" customHeight="1">
      <c r="A3157" s="120">
        <v>101537</v>
      </c>
      <c r="B3157" s="119" t="s">
        <v>4697</v>
      </c>
      <c r="C3157" s="120" t="s">
        <v>331</v>
      </c>
      <c r="D3157" s="441">
        <v>139.63999999999999</v>
      </c>
    </row>
    <row r="3158" spans="1:4" ht="15.75" customHeight="1">
      <c r="A3158" s="120">
        <v>101538</v>
      </c>
      <c r="B3158" s="119" t="s">
        <v>4698</v>
      </c>
      <c r="C3158" s="120" t="s">
        <v>331</v>
      </c>
      <c r="D3158" s="441">
        <v>33.369999999999997</v>
      </c>
    </row>
    <row r="3159" spans="1:4" ht="15.75" customHeight="1">
      <c r="A3159" s="120">
        <v>101539</v>
      </c>
      <c r="B3159" s="119" t="s">
        <v>4699</v>
      </c>
      <c r="C3159" s="120" t="s">
        <v>331</v>
      </c>
      <c r="D3159" s="441">
        <v>58.76</v>
      </c>
    </row>
    <row r="3160" spans="1:4" ht="15.75" customHeight="1">
      <c r="A3160" s="120">
        <v>101540</v>
      </c>
      <c r="B3160" s="119" t="s">
        <v>4700</v>
      </c>
      <c r="C3160" s="120" t="s">
        <v>331</v>
      </c>
      <c r="D3160" s="441">
        <v>95.26</v>
      </c>
    </row>
    <row r="3161" spans="1:4" ht="15.75" customHeight="1">
      <c r="A3161" s="120">
        <v>101541</v>
      </c>
      <c r="B3161" s="119" t="s">
        <v>4701</v>
      </c>
      <c r="C3161" s="120" t="s">
        <v>331</v>
      </c>
      <c r="D3161" s="441">
        <v>125.15</v>
      </c>
    </row>
    <row r="3162" spans="1:4" ht="15.75" customHeight="1">
      <c r="A3162" s="120">
        <v>101542</v>
      </c>
      <c r="B3162" s="119" t="s">
        <v>4702</v>
      </c>
      <c r="C3162" s="120" t="s">
        <v>331</v>
      </c>
      <c r="D3162" s="441">
        <v>26.46</v>
      </c>
    </row>
    <row r="3163" spans="1:4" ht="15.75" customHeight="1">
      <c r="A3163" s="120">
        <v>101543</v>
      </c>
      <c r="B3163" s="119" t="s">
        <v>4703</v>
      </c>
      <c r="C3163" s="120" t="s">
        <v>331</v>
      </c>
      <c r="D3163" s="441">
        <v>49.08</v>
      </c>
    </row>
    <row r="3164" spans="1:4" ht="15.75" customHeight="1">
      <c r="A3164" s="120">
        <v>101544</v>
      </c>
      <c r="B3164" s="119" t="s">
        <v>4704</v>
      </c>
      <c r="C3164" s="120" t="s">
        <v>331</v>
      </c>
      <c r="D3164" s="441">
        <v>76.709999999999994</v>
      </c>
    </row>
    <row r="3165" spans="1:4" ht="15.75" customHeight="1">
      <c r="A3165" s="120">
        <v>101545</v>
      </c>
      <c r="B3165" s="119" t="s">
        <v>4705</v>
      </c>
      <c r="C3165" s="120" t="s">
        <v>331</v>
      </c>
      <c r="D3165" s="441">
        <v>108.1</v>
      </c>
    </row>
    <row r="3166" spans="1:4" ht="15.75" customHeight="1">
      <c r="A3166" s="120">
        <v>101546</v>
      </c>
      <c r="B3166" s="119" t="s">
        <v>4706</v>
      </c>
      <c r="C3166" s="120" t="s">
        <v>331</v>
      </c>
      <c r="D3166" s="441">
        <v>28.34</v>
      </c>
    </row>
    <row r="3167" spans="1:4" ht="15.75" customHeight="1">
      <c r="A3167" s="120">
        <v>101547</v>
      </c>
      <c r="B3167" s="119" t="s">
        <v>4707</v>
      </c>
      <c r="C3167" s="120" t="s">
        <v>331</v>
      </c>
      <c r="D3167" s="441">
        <v>87.57</v>
      </c>
    </row>
    <row r="3168" spans="1:4" ht="15.75" customHeight="1">
      <c r="A3168" s="120">
        <v>101548</v>
      </c>
      <c r="B3168" s="119" t="s">
        <v>4708</v>
      </c>
      <c r="C3168" s="120" t="s">
        <v>331</v>
      </c>
      <c r="D3168" s="441">
        <v>7.45</v>
      </c>
    </row>
    <row r="3169" spans="1:4" ht="31.5" customHeight="1">
      <c r="A3169" s="120">
        <v>101549</v>
      </c>
      <c r="B3169" s="119" t="s">
        <v>4709</v>
      </c>
      <c r="C3169" s="120" t="s">
        <v>331</v>
      </c>
      <c r="D3169" s="441">
        <v>22.14</v>
      </c>
    </row>
    <row r="3170" spans="1:4" ht="31.5" customHeight="1">
      <c r="A3170" s="120">
        <v>101553</v>
      </c>
      <c r="B3170" s="119" t="s">
        <v>4710</v>
      </c>
      <c r="C3170" s="120" t="s">
        <v>331</v>
      </c>
      <c r="D3170" s="441">
        <v>11.35</v>
      </c>
    </row>
    <row r="3171" spans="1:4" ht="31.5" customHeight="1">
      <c r="A3171" s="120">
        <v>101554</v>
      </c>
      <c r="B3171" s="119" t="s">
        <v>4711</v>
      </c>
      <c r="C3171" s="120" t="s">
        <v>331</v>
      </c>
      <c r="D3171" s="441">
        <v>9.09</v>
      </c>
    </row>
    <row r="3172" spans="1:4" ht="31.5" customHeight="1">
      <c r="A3172" s="120">
        <v>101555</v>
      </c>
      <c r="B3172" s="119" t="s">
        <v>4712</v>
      </c>
      <c r="C3172" s="120" t="s">
        <v>331</v>
      </c>
      <c r="D3172" s="441">
        <v>7.02</v>
      </c>
    </row>
    <row r="3173" spans="1:4" ht="31.5" customHeight="1">
      <c r="A3173" s="120">
        <v>101556</v>
      </c>
      <c r="B3173" s="119" t="s">
        <v>4713</v>
      </c>
      <c r="C3173" s="120" t="s">
        <v>331</v>
      </c>
      <c r="D3173" s="441">
        <v>6.69</v>
      </c>
    </row>
    <row r="3174" spans="1:4" ht="31.5" customHeight="1">
      <c r="A3174" s="120">
        <v>101560</v>
      </c>
      <c r="B3174" s="119" t="s">
        <v>4714</v>
      </c>
      <c r="C3174" s="120" t="s">
        <v>328</v>
      </c>
      <c r="D3174" s="441">
        <v>9.89</v>
      </c>
    </row>
    <row r="3175" spans="1:4" ht="31.5" customHeight="1">
      <c r="A3175" s="120">
        <v>101561</v>
      </c>
      <c r="B3175" s="119" t="s">
        <v>4715</v>
      </c>
      <c r="C3175" s="120" t="s">
        <v>328</v>
      </c>
      <c r="D3175" s="441">
        <v>15.7</v>
      </c>
    </row>
    <row r="3176" spans="1:4" ht="31.5" customHeight="1">
      <c r="A3176" s="120">
        <v>101562</v>
      </c>
      <c r="B3176" s="119" t="s">
        <v>4716</v>
      </c>
      <c r="C3176" s="120" t="s">
        <v>328</v>
      </c>
      <c r="D3176" s="441">
        <v>24.3</v>
      </c>
    </row>
    <row r="3177" spans="1:4" ht="31.5" customHeight="1">
      <c r="A3177" s="120">
        <v>101563</v>
      </c>
      <c r="B3177" s="119" t="s">
        <v>4717</v>
      </c>
      <c r="C3177" s="120" t="s">
        <v>328</v>
      </c>
      <c r="D3177" s="441">
        <v>34.299999999999997</v>
      </c>
    </row>
    <row r="3178" spans="1:4" ht="31.5" customHeight="1">
      <c r="A3178" s="120">
        <v>101564</v>
      </c>
      <c r="B3178" s="119" t="s">
        <v>4718</v>
      </c>
      <c r="C3178" s="120" t="s">
        <v>328</v>
      </c>
      <c r="D3178" s="441">
        <v>50.7</v>
      </c>
    </row>
    <row r="3179" spans="1:4" ht="31.5" customHeight="1">
      <c r="A3179" s="120">
        <v>101565</v>
      </c>
      <c r="B3179" s="119" t="s">
        <v>4719</v>
      </c>
      <c r="C3179" s="120" t="s">
        <v>328</v>
      </c>
      <c r="D3179" s="441">
        <v>70.89</v>
      </c>
    </row>
    <row r="3180" spans="1:4" ht="31.5" customHeight="1">
      <c r="A3180" s="120">
        <v>101567</v>
      </c>
      <c r="B3180" s="119" t="s">
        <v>4720</v>
      </c>
      <c r="C3180" s="120" t="s">
        <v>328</v>
      </c>
      <c r="D3180" s="441">
        <v>92.02</v>
      </c>
    </row>
    <row r="3181" spans="1:4" ht="31.5" customHeight="1">
      <c r="A3181" s="120">
        <v>101568</v>
      </c>
      <c r="B3181" s="119" t="s">
        <v>4721</v>
      </c>
      <c r="C3181" s="120" t="s">
        <v>328</v>
      </c>
      <c r="D3181" s="441">
        <v>120.3</v>
      </c>
    </row>
    <row r="3182" spans="1:4" ht="15.75" customHeight="1">
      <c r="A3182" s="120">
        <v>101626</v>
      </c>
      <c r="B3182" s="119" t="s">
        <v>4722</v>
      </c>
      <c r="C3182" s="120" t="s">
        <v>331</v>
      </c>
      <c r="D3182" s="441">
        <v>195.03</v>
      </c>
    </row>
    <row r="3183" spans="1:4" ht="15.75" customHeight="1">
      <c r="A3183" s="120">
        <v>101627</v>
      </c>
      <c r="B3183" s="119" t="s">
        <v>4723</v>
      </c>
      <c r="C3183" s="120" t="s">
        <v>331</v>
      </c>
      <c r="D3183" s="441">
        <v>302.79000000000002</v>
      </c>
    </row>
    <row r="3184" spans="1:4" ht="15.75" customHeight="1">
      <c r="A3184" s="120">
        <v>101628</v>
      </c>
      <c r="B3184" s="119" t="s">
        <v>4724</v>
      </c>
      <c r="C3184" s="120" t="s">
        <v>331</v>
      </c>
      <c r="D3184" s="441">
        <v>145.18</v>
      </c>
    </row>
    <row r="3185" spans="1:4" ht="15.75" customHeight="1">
      <c r="A3185" s="120">
        <v>101629</v>
      </c>
      <c r="B3185" s="119" t="s">
        <v>4725</v>
      </c>
      <c r="C3185" s="120" t="s">
        <v>331</v>
      </c>
      <c r="D3185" s="441">
        <v>170.85</v>
      </c>
    </row>
    <row r="3186" spans="1:4" ht="15.75" customHeight="1">
      <c r="A3186" s="120">
        <v>101630</v>
      </c>
      <c r="B3186" s="119" t="s">
        <v>4726</v>
      </c>
      <c r="C3186" s="120" t="s">
        <v>331</v>
      </c>
      <c r="D3186" s="441">
        <v>80.7</v>
      </c>
    </row>
    <row r="3187" spans="1:4" ht="31.5" customHeight="1">
      <c r="A3187" s="120">
        <v>101631</v>
      </c>
      <c r="B3187" s="119" t="s">
        <v>4727</v>
      </c>
      <c r="C3187" s="120" t="s">
        <v>331</v>
      </c>
      <c r="D3187" s="441">
        <v>39.08</v>
      </c>
    </row>
    <row r="3188" spans="1:4" ht="31.5" customHeight="1">
      <c r="A3188" s="120">
        <v>101632</v>
      </c>
      <c r="B3188" s="119" t="s">
        <v>4728</v>
      </c>
      <c r="C3188" s="120" t="s">
        <v>331</v>
      </c>
      <c r="D3188" s="441">
        <v>43.27</v>
      </c>
    </row>
    <row r="3189" spans="1:4" ht="31.5" customHeight="1">
      <c r="A3189" s="120">
        <v>101633</v>
      </c>
      <c r="B3189" s="119" t="s">
        <v>4729</v>
      </c>
      <c r="C3189" s="120" t="s">
        <v>331</v>
      </c>
      <c r="D3189" s="441">
        <v>108.32</v>
      </c>
    </row>
    <row r="3190" spans="1:4" ht="31.5" customHeight="1">
      <c r="A3190" s="120">
        <v>101636</v>
      </c>
      <c r="B3190" s="119" t="s">
        <v>4730</v>
      </c>
      <c r="C3190" s="120" t="s">
        <v>331</v>
      </c>
      <c r="D3190" s="441">
        <v>163.68</v>
      </c>
    </row>
    <row r="3191" spans="1:4" ht="31.5" customHeight="1">
      <c r="A3191" s="120">
        <v>101637</v>
      </c>
      <c r="B3191" s="119" t="s">
        <v>4731</v>
      </c>
      <c r="C3191" s="120" t="s">
        <v>331</v>
      </c>
      <c r="D3191" s="441">
        <v>158.52000000000001</v>
      </c>
    </row>
    <row r="3192" spans="1:4" ht="15.75" customHeight="1">
      <c r="A3192" s="120">
        <v>101640</v>
      </c>
      <c r="B3192" s="119" t="s">
        <v>4732</v>
      </c>
      <c r="C3192" s="120" t="s">
        <v>331</v>
      </c>
      <c r="D3192" s="441">
        <v>105.4</v>
      </c>
    </row>
    <row r="3193" spans="1:4" ht="15.75" customHeight="1">
      <c r="A3193" s="120">
        <v>101641</v>
      </c>
      <c r="B3193" s="119" t="s">
        <v>4733</v>
      </c>
      <c r="C3193" s="120" t="s">
        <v>331</v>
      </c>
      <c r="D3193" s="441">
        <v>54.66</v>
      </c>
    </row>
    <row r="3194" spans="1:4" ht="15.75" customHeight="1">
      <c r="A3194" s="120">
        <v>101642</v>
      </c>
      <c r="B3194" s="119" t="s">
        <v>4734</v>
      </c>
      <c r="C3194" s="120" t="s">
        <v>331</v>
      </c>
      <c r="D3194" s="441">
        <v>27.5</v>
      </c>
    </row>
    <row r="3195" spans="1:4" ht="15.75" customHeight="1">
      <c r="A3195" s="120">
        <v>101643</v>
      </c>
      <c r="B3195" s="119" t="s">
        <v>4735</v>
      </c>
      <c r="C3195" s="120" t="s">
        <v>331</v>
      </c>
      <c r="D3195" s="441">
        <v>47.73</v>
      </c>
    </row>
    <row r="3196" spans="1:4" ht="15.75" customHeight="1">
      <c r="A3196" s="120">
        <v>101644</v>
      </c>
      <c r="B3196" s="119" t="s">
        <v>4736</v>
      </c>
      <c r="C3196" s="120" t="s">
        <v>331</v>
      </c>
      <c r="D3196" s="441">
        <v>64.540000000000006</v>
      </c>
    </row>
    <row r="3197" spans="1:4" ht="15.75" customHeight="1">
      <c r="A3197" s="120">
        <v>101645</v>
      </c>
      <c r="B3197" s="119" t="s">
        <v>4737</v>
      </c>
      <c r="C3197" s="120" t="s">
        <v>331</v>
      </c>
      <c r="D3197" s="441">
        <v>30.63</v>
      </c>
    </row>
    <row r="3198" spans="1:4" ht="15.75" customHeight="1">
      <c r="A3198" s="120">
        <v>101646</v>
      </c>
      <c r="B3198" s="119" t="s">
        <v>4738</v>
      </c>
      <c r="C3198" s="120" t="s">
        <v>331</v>
      </c>
      <c r="D3198" s="441">
        <v>40.630000000000003</v>
      </c>
    </row>
    <row r="3199" spans="1:4" ht="15.75" customHeight="1">
      <c r="A3199" s="120">
        <v>101647</v>
      </c>
      <c r="B3199" s="119" t="s">
        <v>4739</v>
      </c>
      <c r="C3199" s="120" t="s">
        <v>331</v>
      </c>
      <c r="D3199" s="441">
        <v>74.489999999999995</v>
      </c>
    </row>
    <row r="3200" spans="1:4" ht="15.75" customHeight="1">
      <c r="A3200" s="120">
        <v>101648</v>
      </c>
      <c r="B3200" s="119" t="s">
        <v>4740</v>
      </c>
      <c r="C3200" s="120" t="s">
        <v>331</v>
      </c>
      <c r="D3200" s="441">
        <v>57.65</v>
      </c>
    </row>
    <row r="3201" spans="1:4" ht="15.75" customHeight="1">
      <c r="A3201" s="120">
        <v>101649</v>
      </c>
      <c r="B3201" s="119" t="s">
        <v>4741</v>
      </c>
      <c r="C3201" s="120" t="s">
        <v>331</v>
      </c>
      <c r="D3201" s="441">
        <v>66.41</v>
      </c>
    </row>
    <row r="3202" spans="1:4" ht="15.75" customHeight="1">
      <c r="A3202" s="120">
        <v>101650</v>
      </c>
      <c r="B3202" s="119" t="s">
        <v>4742</v>
      </c>
      <c r="C3202" s="120" t="s">
        <v>331</v>
      </c>
      <c r="D3202" s="441">
        <v>77.16</v>
      </c>
    </row>
    <row r="3203" spans="1:4" ht="15.75" customHeight="1">
      <c r="A3203" s="120">
        <v>101651</v>
      </c>
      <c r="B3203" s="119" t="s">
        <v>4743</v>
      </c>
      <c r="C3203" s="120" t="s">
        <v>331</v>
      </c>
      <c r="D3203" s="441">
        <v>67.55</v>
      </c>
    </row>
    <row r="3204" spans="1:4" ht="31.5" customHeight="1">
      <c r="A3204" s="120">
        <v>101652</v>
      </c>
      <c r="B3204" s="119" t="s">
        <v>4744</v>
      </c>
      <c r="C3204" s="120" t="s">
        <v>331</v>
      </c>
      <c r="D3204" s="441">
        <v>576.32000000000005</v>
      </c>
    </row>
    <row r="3205" spans="1:4" ht="47.25" customHeight="1">
      <c r="A3205" s="120">
        <v>101653</v>
      </c>
      <c r="B3205" s="119" t="s">
        <v>4745</v>
      </c>
      <c r="C3205" s="120" t="s">
        <v>331</v>
      </c>
      <c r="D3205" s="441">
        <v>311.74</v>
      </c>
    </row>
    <row r="3206" spans="1:4" ht="15.75" customHeight="1">
      <c r="A3206" s="120">
        <v>101654</v>
      </c>
      <c r="B3206" s="119" t="s">
        <v>4746</v>
      </c>
      <c r="C3206" s="120" t="s">
        <v>331</v>
      </c>
      <c r="D3206" s="441">
        <v>292.29000000000002</v>
      </c>
    </row>
    <row r="3207" spans="1:4" ht="15.75" customHeight="1">
      <c r="A3207" s="120">
        <v>101655</v>
      </c>
      <c r="B3207" s="119" t="s">
        <v>4747</v>
      </c>
      <c r="C3207" s="120" t="s">
        <v>331</v>
      </c>
      <c r="D3207" s="441">
        <v>473.09</v>
      </c>
    </row>
    <row r="3208" spans="1:4" ht="15.75" customHeight="1">
      <c r="A3208" s="120">
        <v>101656</v>
      </c>
      <c r="B3208" s="119" t="s">
        <v>4748</v>
      </c>
      <c r="C3208" s="120" t="s">
        <v>331</v>
      </c>
      <c r="D3208" s="441">
        <v>515.30999999999995</v>
      </c>
    </row>
    <row r="3209" spans="1:4" ht="15.75" customHeight="1">
      <c r="A3209" s="120">
        <v>101657</v>
      </c>
      <c r="B3209" s="119" t="s">
        <v>4749</v>
      </c>
      <c r="C3209" s="120" t="s">
        <v>331</v>
      </c>
      <c r="D3209" s="441">
        <v>605.23</v>
      </c>
    </row>
    <row r="3210" spans="1:4" ht="15.75" customHeight="1">
      <c r="A3210" s="120">
        <v>101658</v>
      </c>
      <c r="B3210" s="119" t="s">
        <v>4750</v>
      </c>
      <c r="C3210" s="120" t="s">
        <v>331</v>
      </c>
      <c r="D3210" s="441">
        <v>790.12</v>
      </c>
    </row>
    <row r="3211" spans="1:4" ht="15.75" customHeight="1">
      <c r="A3211" s="120">
        <v>101659</v>
      </c>
      <c r="B3211" s="119" t="s">
        <v>4751</v>
      </c>
      <c r="C3211" s="120" t="s">
        <v>331</v>
      </c>
      <c r="D3211" s="441">
        <v>905.12</v>
      </c>
    </row>
    <row r="3212" spans="1:4" ht="15.75" customHeight="1">
      <c r="A3212" s="120">
        <v>101660</v>
      </c>
      <c r="B3212" s="119" t="s">
        <v>4752</v>
      </c>
      <c r="C3212" s="120" t="s">
        <v>331</v>
      </c>
      <c r="D3212" s="442">
        <v>1447.98</v>
      </c>
    </row>
    <row r="3213" spans="1:4" ht="31.5" customHeight="1">
      <c r="A3213" s="120">
        <v>101661</v>
      </c>
      <c r="B3213" s="119" t="s">
        <v>4753</v>
      </c>
      <c r="C3213" s="120" t="s">
        <v>331</v>
      </c>
      <c r="D3213" s="441">
        <v>126.97</v>
      </c>
    </row>
    <row r="3214" spans="1:4" ht="31.5" customHeight="1">
      <c r="A3214" s="120">
        <v>101662</v>
      </c>
      <c r="B3214" s="119" t="s">
        <v>4754</v>
      </c>
      <c r="C3214" s="120" t="s">
        <v>331</v>
      </c>
      <c r="D3214" s="441">
        <v>794.92</v>
      </c>
    </row>
    <row r="3215" spans="1:4" ht="15.75" customHeight="1">
      <c r="A3215" s="120">
        <v>101663</v>
      </c>
      <c r="B3215" s="119" t="s">
        <v>4755</v>
      </c>
      <c r="C3215" s="120" t="s">
        <v>331</v>
      </c>
      <c r="D3215" s="441">
        <v>29.2</v>
      </c>
    </row>
    <row r="3216" spans="1:4" ht="15.75" customHeight="1">
      <c r="A3216" s="120">
        <v>101664</v>
      </c>
      <c r="B3216" s="119" t="s">
        <v>4756</v>
      </c>
      <c r="C3216" s="120" t="s">
        <v>331</v>
      </c>
      <c r="D3216" s="441">
        <v>30.24</v>
      </c>
    </row>
    <row r="3217" spans="1:4" ht="15.75" customHeight="1">
      <c r="A3217" s="120">
        <v>101665</v>
      </c>
      <c r="B3217" s="119" t="s">
        <v>4757</v>
      </c>
      <c r="C3217" s="120" t="s">
        <v>331</v>
      </c>
      <c r="D3217" s="441">
        <v>34.729999999999997</v>
      </c>
    </row>
    <row r="3218" spans="1:4" ht="31.5" customHeight="1">
      <c r="A3218" s="120">
        <v>101666</v>
      </c>
      <c r="B3218" s="119" t="s">
        <v>4758</v>
      </c>
      <c r="C3218" s="120" t="s">
        <v>331</v>
      </c>
      <c r="D3218" s="441">
        <v>450.92</v>
      </c>
    </row>
    <row r="3219" spans="1:4" ht="31.5" customHeight="1">
      <c r="A3219" s="120">
        <v>102085</v>
      </c>
      <c r="B3219" s="119" t="s">
        <v>4759</v>
      </c>
      <c r="C3219" s="120" t="s">
        <v>331</v>
      </c>
      <c r="D3219" s="441">
        <v>228.92</v>
      </c>
    </row>
    <row r="3220" spans="1:4" ht="31.5" customHeight="1">
      <c r="A3220" s="120">
        <v>100578</v>
      </c>
      <c r="B3220" s="119" t="s">
        <v>4760</v>
      </c>
      <c r="C3220" s="120" t="s">
        <v>331</v>
      </c>
      <c r="D3220" s="441">
        <v>509.26</v>
      </c>
    </row>
    <row r="3221" spans="1:4" ht="31.5" customHeight="1">
      <c r="A3221" s="120">
        <v>100579</v>
      </c>
      <c r="B3221" s="119" t="s">
        <v>4761</v>
      </c>
      <c r="C3221" s="120" t="s">
        <v>331</v>
      </c>
      <c r="D3221" s="441">
        <v>558</v>
      </c>
    </row>
    <row r="3222" spans="1:4" ht="31.5" customHeight="1">
      <c r="A3222" s="120">
        <v>100580</v>
      </c>
      <c r="B3222" s="119" t="s">
        <v>4762</v>
      </c>
      <c r="C3222" s="120" t="s">
        <v>331</v>
      </c>
      <c r="D3222" s="441">
        <v>615.13</v>
      </c>
    </row>
    <row r="3223" spans="1:4" ht="31.5" customHeight="1">
      <c r="A3223" s="120">
        <v>100581</v>
      </c>
      <c r="B3223" s="119" t="s">
        <v>4763</v>
      </c>
      <c r="C3223" s="120" t="s">
        <v>331</v>
      </c>
      <c r="D3223" s="441">
        <v>582.14</v>
      </c>
    </row>
    <row r="3224" spans="1:4" ht="31.5" customHeight="1">
      <c r="A3224" s="120">
        <v>100582</v>
      </c>
      <c r="B3224" s="119" t="s">
        <v>4764</v>
      </c>
      <c r="C3224" s="120" t="s">
        <v>331</v>
      </c>
      <c r="D3224" s="441">
        <v>685.15</v>
      </c>
    </row>
    <row r="3225" spans="1:4" ht="31.5" customHeight="1">
      <c r="A3225" s="120">
        <v>100583</v>
      </c>
      <c r="B3225" s="119" t="s">
        <v>4765</v>
      </c>
      <c r="C3225" s="120" t="s">
        <v>331</v>
      </c>
      <c r="D3225" s="441">
        <v>608.13</v>
      </c>
    </row>
    <row r="3226" spans="1:4" ht="31.5" customHeight="1">
      <c r="A3226" s="120">
        <v>100584</v>
      </c>
      <c r="B3226" s="119" t="s">
        <v>4766</v>
      </c>
      <c r="C3226" s="120" t="s">
        <v>331</v>
      </c>
      <c r="D3226" s="441">
        <v>670.05</v>
      </c>
    </row>
    <row r="3227" spans="1:4" ht="31.5" customHeight="1">
      <c r="A3227" s="120">
        <v>100585</v>
      </c>
      <c r="B3227" s="119" t="s">
        <v>4767</v>
      </c>
      <c r="C3227" s="120" t="s">
        <v>331</v>
      </c>
      <c r="D3227" s="441">
        <v>658.54</v>
      </c>
    </row>
    <row r="3228" spans="1:4" ht="31.5" customHeight="1">
      <c r="A3228" s="120">
        <v>100586</v>
      </c>
      <c r="B3228" s="119" t="s">
        <v>4768</v>
      </c>
      <c r="C3228" s="120" t="s">
        <v>331</v>
      </c>
      <c r="D3228" s="441">
        <v>757.16</v>
      </c>
    </row>
    <row r="3229" spans="1:4" ht="31.5" customHeight="1">
      <c r="A3229" s="120">
        <v>100587</v>
      </c>
      <c r="B3229" s="119" t="s">
        <v>4769</v>
      </c>
      <c r="C3229" s="120" t="s">
        <v>331</v>
      </c>
      <c r="D3229" s="441">
        <v>710.91</v>
      </c>
    </row>
    <row r="3230" spans="1:4" ht="31.5" customHeight="1">
      <c r="A3230" s="120">
        <v>100588</v>
      </c>
      <c r="B3230" s="119" t="s">
        <v>4770</v>
      </c>
      <c r="C3230" s="120" t="s">
        <v>331</v>
      </c>
      <c r="D3230" s="441">
        <v>787.57</v>
      </c>
    </row>
    <row r="3231" spans="1:4" ht="31.5" customHeight="1">
      <c r="A3231" s="120">
        <v>100589</v>
      </c>
      <c r="B3231" s="119" t="s">
        <v>4771</v>
      </c>
      <c r="C3231" s="120" t="s">
        <v>331</v>
      </c>
      <c r="D3231" s="441">
        <v>790.38</v>
      </c>
    </row>
    <row r="3232" spans="1:4" ht="31.5" customHeight="1">
      <c r="A3232" s="120">
        <v>100590</v>
      </c>
      <c r="B3232" s="119" t="s">
        <v>4772</v>
      </c>
      <c r="C3232" s="120" t="s">
        <v>331</v>
      </c>
      <c r="D3232" s="441">
        <v>866.24</v>
      </c>
    </row>
    <row r="3233" spans="1:4" ht="31.5" customHeight="1">
      <c r="A3233" s="120">
        <v>100591</v>
      </c>
      <c r="B3233" s="119" t="s">
        <v>4773</v>
      </c>
      <c r="C3233" s="120" t="s">
        <v>331</v>
      </c>
      <c r="D3233" s="441">
        <v>783.32</v>
      </c>
    </row>
    <row r="3234" spans="1:4" ht="31.5" customHeight="1">
      <c r="A3234" s="120">
        <v>100592</v>
      </c>
      <c r="B3234" s="119" t="s">
        <v>4774</v>
      </c>
      <c r="C3234" s="120" t="s">
        <v>331</v>
      </c>
      <c r="D3234" s="441">
        <v>846.16</v>
      </c>
    </row>
    <row r="3235" spans="1:4" ht="31.5" customHeight="1">
      <c r="A3235" s="120">
        <v>100593</v>
      </c>
      <c r="B3235" s="119" t="s">
        <v>4775</v>
      </c>
      <c r="C3235" s="120" t="s">
        <v>331</v>
      </c>
      <c r="D3235" s="441">
        <v>839.13</v>
      </c>
    </row>
    <row r="3236" spans="1:4" ht="31.5" customHeight="1">
      <c r="A3236" s="120">
        <v>100594</v>
      </c>
      <c r="B3236" s="119" t="s">
        <v>4776</v>
      </c>
      <c r="C3236" s="120" t="s">
        <v>331</v>
      </c>
      <c r="D3236" s="441">
        <v>945.58</v>
      </c>
    </row>
    <row r="3237" spans="1:4" ht="31.5" customHeight="1">
      <c r="A3237" s="120">
        <v>100595</v>
      </c>
      <c r="B3237" s="119" t="s">
        <v>4777</v>
      </c>
      <c r="C3237" s="120" t="s">
        <v>331</v>
      </c>
      <c r="D3237" s="442">
        <v>1006.57</v>
      </c>
    </row>
    <row r="3238" spans="1:4" ht="31.5" customHeight="1">
      <c r="A3238" s="120">
        <v>100596</v>
      </c>
      <c r="B3238" s="119" t="s">
        <v>4778</v>
      </c>
      <c r="C3238" s="120" t="s">
        <v>331</v>
      </c>
      <c r="D3238" s="442">
        <v>1150.1199999999999</v>
      </c>
    </row>
    <row r="3239" spans="1:4" ht="31.5" customHeight="1">
      <c r="A3239" s="120">
        <v>100597</v>
      </c>
      <c r="B3239" s="119" t="s">
        <v>4779</v>
      </c>
      <c r="C3239" s="120" t="s">
        <v>331</v>
      </c>
      <c r="D3239" s="442">
        <v>1167.05</v>
      </c>
    </row>
    <row r="3240" spans="1:4" ht="31.5" customHeight="1">
      <c r="A3240" s="120">
        <v>100598</v>
      </c>
      <c r="B3240" s="119" t="s">
        <v>4780</v>
      </c>
      <c r="C3240" s="120" t="s">
        <v>331</v>
      </c>
      <c r="D3240" s="442">
        <v>1285.3900000000001</v>
      </c>
    </row>
    <row r="3241" spans="1:4" ht="47.25" customHeight="1">
      <c r="A3241" s="120">
        <v>100599</v>
      </c>
      <c r="B3241" s="119" t="s">
        <v>4781</v>
      </c>
      <c r="C3241" s="120" t="s">
        <v>331</v>
      </c>
      <c r="D3241" s="441">
        <v>516.86</v>
      </c>
    </row>
    <row r="3242" spans="1:4" ht="47.25" customHeight="1">
      <c r="A3242" s="120">
        <v>100600</v>
      </c>
      <c r="B3242" s="119" t="s">
        <v>4782</v>
      </c>
      <c r="C3242" s="120" t="s">
        <v>331</v>
      </c>
      <c r="D3242" s="441">
        <v>613.13</v>
      </c>
    </row>
    <row r="3243" spans="1:4" ht="47.25" customHeight="1">
      <c r="A3243" s="120">
        <v>100601</v>
      </c>
      <c r="B3243" s="119" t="s">
        <v>4783</v>
      </c>
      <c r="C3243" s="120" t="s">
        <v>331</v>
      </c>
      <c r="D3243" s="441">
        <v>772.56</v>
      </c>
    </row>
    <row r="3244" spans="1:4" ht="47.25" customHeight="1">
      <c r="A3244" s="120">
        <v>100602</v>
      </c>
      <c r="B3244" s="119" t="s">
        <v>4784</v>
      </c>
      <c r="C3244" s="120" t="s">
        <v>331</v>
      </c>
      <c r="D3244" s="441">
        <v>971.46</v>
      </c>
    </row>
    <row r="3245" spans="1:4" ht="47.25" customHeight="1">
      <c r="A3245" s="120">
        <v>100603</v>
      </c>
      <c r="B3245" s="119" t="s">
        <v>4785</v>
      </c>
      <c r="C3245" s="120" t="s">
        <v>331</v>
      </c>
      <c r="D3245" s="442">
        <v>1484.28</v>
      </c>
    </row>
    <row r="3246" spans="1:4" ht="47.25" customHeight="1">
      <c r="A3246" s="120">
        <v>100604</v>
      </c>
      <c r="B3246" s="119" t="s">
        <v>4786</v>
      </c>
      <c r="C3246" s="120" t="s">
        <v>331</v>
      </c>
      <c r="D3246" s="441">
        <v>652.23</v>
      </c>
    </row>
    <row r="3247" spans="1:4" ht="47.25" customHeight="1">
      <c r="A3247" s="120">
        <v>100605</v>
      </c>
      <c r="B3247" s="119" t="s">
        <v>4787</v>
      </c>
      <c r="C3247" s="120" t="s">
        <v>331</v>
      </c>
      <c r="D3247" s="442">
        <v>1021.11</v>
      </c>
    </row>
    <row r="3248" spans="1:4" ht="47.25" customHeight="1">
      <c r="A3248" s="120">
        <v>100606</v>
      </c>
      <c r="B3248" s="119" t="s">
        <v>4788</v>
      </c>
      <c r="C3248" s="120" t="s">
        <v>331</v>
      </c>
      <c r="D3248" s="442">
        <v>1547.64</v>
      </c>
    </row>
    <row r="3249" spans="1:4" ht="47.25" customHeight="1">
      <c r="A3249" s="120">
        <v>100607</v>
      </c>
      <c r="B3249" s="119" t="s">
        <v>4789</v>
      </c>
      <c r="C3249" s="120" t="s">
        <v>331</v>
      </c>
      <c r="D3249" s="441">
        <v>670.9</v>
      </c>
    </row>
    <row r="3250" spans="1:4" ht="47.25" customHeight="1">
      <c r="A3250" s="120">
        <v>100608</v>
      </c>
      <c r="B3250" s="119" t="s">
        <v>4790</v>
      </c>
      <c r="C3250" s="120" t="s">
        <v>331</v>
      </c>
      <c r="D3250" s="442">
        <v>1045.5899999999999</v>
      </c>
    </row>
    <row r="3251" spans="1:4" ht="47.25" customHeight="1">
      <c r="A3251" s="120">
        <v>100609</v>
      </c>
      <c r="B3251" s="119" t="s">
        <v>4791</v>
      </c>
      <c r="C3251" s="120" t="s">
        <v>331</v>
      </c>
      <c r="D3251" s="442">
        <v>1581.56</v>
      </c>
    </row>
    <row r="3252" spans="1:4" ht="47.25" customHeight="1">
      <c r="A3252" s="120">
        <v>100610</v>
      </c>
      <c r="B3252" s="119" t="s">
        <v>4792</v>
      </c>
      <c r="C3252" s="120" t="s">
        <v>331</v>
      </c>
      <c r="D3252" s="441">
        <v>689.49</v>
      </c>
    </row>
    <row r="3253" spans="1:4" ht="47.25" customHeight="1">
      <c r="A3253" s="120">
        <v>100611</v>
      </c>
      <c r="B3253" s="119" t="s">
        <v>4793</v>
      </c>
      <c r="C3253" s="120" t="s">
        <v>331</v>
      </c>
      <c r="D3253" s="441">
        <v>858.26</v>
      </c>
    </row>
    <row r="3254" spans="1:4" ht="47.25" customHeight="1">
      <c r="A3254" s="120">
        <v>100612</v>
      </c>
      <c r="B3254" s="119" t="s">
        <v>4794</v>
      </c>
      <c r="C3254" s="120" t="s">
        <v>331</v>
      </c>
      <c r="D3254" s="442">
        <v>1069.6600000000001</v>
      </c>
    </row>
    <row r="3255" spans="1:4" ht="47.25" customHeight="1">
      <c r="A3255" s="120">
        <v>100613</v>
      </c>
      <c r="B3255" s="119" t="s">
        <v>4795</v>
      </c>
      <c r="C3255" s="120" t="s">
        <v>331</v>
      </c>
      <c r="D3255" s="442">
        <v>1614.79</v>
      </c>
    </row>
    <row r="3256" spans="1:4" ht="47.25" customHeight="1">
      <c r="A3256" s="120">
        <v>100614</v>
      </c>
      <c r="B3256" s="119" t="s">
        <v>4796</v>
      </c>
      <c r="C3256" s="120" t="s">
        <v>331</v>
      </c>
      <c r="D3256" s="441">
        <v>900.34</v>
      </c>
    </row>
    <row r="3257" spans="1:4" ht="47.25" customHeight="1">
      <c r="A3257" s="120">
        <v>100615</v>
      </c>
      <c r="B3257" s="119" t="s">
        <v>4797</v>
      </c>
      <c r="C3257" s="120" t="s">
        <v>331</v>
      </c>
      <c r="D3257" s="442">
        <v>1117.47</v>
      </c>
    </row>
    <row r="3258" spans="1:4" ht="47.25" customHeight="1">
      <c r="A3258" s="120">
        <v>100616</v>
      </c>
      <c r="B3258" s="119" t="s">
        <v>4798</v>
      </c>
      <c r="C3258" s="120" t="s">
        <v>331</v>
      </c>
      <c r="D3258" s="442">
        <v>1684.75</v>
      </c>
    </row>
    <row r="3259" spans="1:4" ht="47.25" customHeight="1">
      <c r="A3259" s="120">
        <v>100617</v>
      </c>
      <c r="B3259" s="119" t="s">
        <v>4799</v>
      </c>
      <c r="C3259" s="120" t="s">
        <v>331</v>
      </c>
      <c r="D3259" s="442">
        <v>1165.17</v>
      </c>
    </row>
    <row r="3260" spans="1:4" ht="47.25" customHeight="1">
      <c r="A3260" s="120">
        <v>100618</v>
      </c>
      <c r="B3260" s="119" t="s">
        <v>4800</v>
      </c>
      <c r="C3260" s="120" t="s">
        <v>331</v>
      </c>
      <c r="D3260" s="442">
        <v>1758.03</v>
      </c>
    </row>
    <row r="3261" spans="1:4" ht="31.5" customHeight="1">
      <c r="A3261" s="120">
        <v>100619</v>
      </c>
      <c r="B3261" s="119" t="s">
        <v>4801</v>
      </c>
      <c r="C3261" s="120" t="s">
        <v>331</v>
      </c>
      <c r="D3261" s="441">
        <v>601.52</v>
      </c>
    </row>
    <row r="3262" spans="1:4" ht="31.5" customHeight="1">
      <c r="A3262" s="120">
        <v>100620</v>
      </c>
      <c r="B3262" s="119" t="s">
        <v>4802</v>
      </c>
      <c r="C3262" s="120" t="s">
        <v>331</v>
      </c>
      <c r="D3262" s="442">
        <v>3497.06</v>
      </c>
    </row>
    <row r="3263" spans="1:4" ht="31.5" customHeight="1">
      <c r="A3263" s="120">
        <v>100621</v>
      </c>
      <c r="B3263" s="119" t="s">
        <v>4803</v>
      </c>
      <c r="C3263" s="120" t="s">
        <v>331</v>
      </c>
      <c r="D3263" s="442">
        <v>3985.57</v>
      </c>
    </row>
    <row r="3264" spans="1:4" ht="31.5" customHeight="1">
      <c r="A3264" s="120">
        <v>100622</v>
      </c>
      <c r="B3264" s="119" t="s">
        <v>4804</v>
      </c>
      <c r="C3264" s="120" t="s">
        <v>331</v>
      </c>
      <c r="D3264" s="442">
        <v>2579.4299999999998</v>
      </c>
    </row>
    <row r="3265" spans="1:4" ht="31.5" customHeight="1">
      <c r="A3265" s="120">
        <v>100623</v>
      </c>
      <c r="B3265" s="119" t="s">
        <v>4805</v>
      </c>
      <c r="C3265" s="120" t="s">
        <v>331</v>
      </c>
      <c r="D3265" s="442">
        <v>2785.78</v>
      </c>
    </row>
    <row r="3266" spans="1:4" ht="31.5" customHeight="1">
      <c r="A3266" s="120">
        <v>97600</v>
      </c>
      <c r="B3266" s="119" t="s">
        <v>4806</v>
      </c>
      <c r="C3266" s="120" t="s">
        <v>331</v>
      </c>
      <c r="D3266" s="441">
        <v>360.17</v>
      </c>
    </row>
    <row r="3267" spans="1:4" ht="31.5" customHeight="1">
      <c r="A3267" s="120">
        <v>97601</v>
      </c>
      <c r="B3267" s="119" t="s">
        <v>4807</v>
      </c>
      <c r="C3267" s="120" t="s">
        <v>331</v>
      </c>
      <c r="D3267" s="441">
        <v>380.4</v>
      </c>
    </row>
    <row r="3268" spans="1:4" ht="31.5" customHeight="1">
      <c r="A3268" s="120">
        <v>97605</v>
      </c>
      <c r="B3268" s="119" t="s">
        <v>4808</v>
      </c>
      <c r="C3268" s="120" t="s">
        <v>331</v>
      </c>
      <c r="D3268" s="441">
        <v>105.71</v>
      </c>
    </row>
    <row r="3269" spans="1:4" ht="31.5" customHeight="1">
      <c r="A3269" s="120">
        <v>97606</v>
      </c>
      <c r="B3269" s="119" t="s">
        <v>4809</v>
      </c>
      <c r="C3269" s="120" t="s">
        <v>331</v>
      </c>
      <c r="D3269" s="441">
        <v>114.57</v>
      </c>
    </row>
    <row r="3270" spans="1:4" ht="31.5" customHeight="1">
      <c r="A3270" s="120">
        <v>97607</v>
      </c>
      <c r="B3270" s="119" t="s">
        <v>4810</v>
      </c>
      <c r="C3270" s="120" t="s">
        <v>331</v>
      </c>
      <c r="D3270" s="441">
        <v>127.64</v>
      </c>
    </row>
    <row r="3271" spans="1:4" ht="31.5" customHeight="1">
      <c r="A3271" s="120">
        <v>97608</v>
      </c>
      <c r="B3271" s="119" t="s">
        <v>4811</v>
      </c>
      <c r="C3271" s="120" t="s">
        <v>331</v>
      </c>
      <c r="D3271" s="441">
        <v>136.5</v>
      </c>
    </row>
    <row r="3272" spans="1:4" ht="31.5" customHeight="1">
      <c r="A3272" s="120">
        <v>102102</v>
      </c>
      <c r="B3272" s="119" t="s">
        <v>4812</v>
      </c>
      <c r="C3272" s="120" t="s">
        <v>331</v>
      </c>
      <c r="D3272" s="442">
        <v>9956</v>
      </c>
    </row>
    <row r="3273" spans="1:4" ht="31.5" customHeight="1">
      <c r="A3273" s="120">
        <v>102103</v>
      </c>
      <c r="B3273" s="119" t="s">
        <v>4813</v>
      </c>
      <c r="C3273" s="120" t="s">
        <v>331</v>
      </c>
      <c r="D3273" s="442">
        <v>11068.77</v>
      </c>
    </row>
    <row r="3274" spans="1:4" ht="31.5" customHeight="1">
      <c r="A3274" s="120">
        <v>102104</v>
      </c>
      <c r="B3274" s="119" t="s">
        <v>4814</v>
      </c>
      <c r="C3274" s="120" t="s">
        <v>331</v>
      </c>
      <c r="D3274" s="442">
        <v>14168.89</v>
      </c>
    </row>
    <row r="3275" spans="1:4" ht="31.5" customHeight="1">
      <c r="A3275" s="120">
        <v>102105</v>
      </c>
      <c r="B3275" s="119" t="s">
        <v>4815</v>
      </c>
      <c r="C3275" s="120" t="s">
        <v>331</v>
      </c>
      <c r="D3275" s="442">
        <v>17389.88</v>
      </c>
    </row>
    <row r="3276" spans="1:4" ht="31.5" customHeight="1">
      <c r="A3276" s="120">
        <v>102106</v>
      </c>
      <c r="B3276" s="119" t="s">
        <v>4816</v>
      </c>
      <c r="C3276" s="120" t="s">
        <v>331</v>
      </c>
      <c r="D3276" s="442">
        <v>21783.06</v>
      </c>
    </row>
    <row r="3277" spans="1:4" ht="31.5" customHeight="1">
      <c r="A3277" s="120">
        <v>102107</v>
      </c>
      <c r="B3277" s="119" t="s">
        <v>4817</v>
      </c>
      <c r="C3277" s="120" t="s">
        <v>331</v>
      </c>
      <c r="D3277" s="442">
        <v>30352.89</v>
      </c>
    </row>
    <row r="3278" spans="1:4" ht="31.5" customHeight="1">
      <c r="A3278" s="120">
        <v>102108</v>
      </c>
      <c r="B3278" s="119" t="s">
        <v>4818</v>
      </c>
      <c r="C3278" s="120" t="s">
        <v>331</v>
      </c>
      <c r="D3278" s="442">
        <v>35328.54</v>
      </c>
    </row>
    <row r="3279" spans="1:4" ht="15.75" customHeight="1">
      <c r="A3279" s="120">
        <v>102109</v>
      </c>
      <c r="B3279" s="119" t="s">
        <v>4819</v>
      </c>
      <c r="C3279" s="120" t="s">
        <v>331</v>
      </c>
      <c r="D3279" s="441">
        <v>45.94</v>
      </c>
    </row>
    <row r="3280" spans="1:4" ht="15.75" customHeight="1">
      <c r="A3280" s="120">
        <v>102110</v>
      </c>
      <c r="B3280" s="119" t="s">
        <v>4820</v>
      </c>
      <c r="C3280" s="120" t="s">
        <v>331</v>
      </c>
      <c r="D3280" s="441">
        <v>110.92</v>
      </c>
    </row>
    <row r="3281" spans="1:4" ht="31.5" customHeight="1">
      <c r="A3281" s="120">
        <v>103654</v>
      </c>
      <c r="B3281" s="119" t="s">
        <v>4821</v>
      </c>
      <c r="C3281" s="120" t="s">
        <v>331</v>
      </c>
      <c r="D3281" s="442">
        <v>57122.38</v>
      </c>
    </row>
    <row r="3282" spans="1:4" ht="31.5" customHeight="1">
      <c r="A3282" s="120">
        <v>103655</v>
      </c>
      <c r="B3282" s="119" t="s">
        <v>4822</v>
      </c>
      <c r="C3282" s="120" t="s">
        <v>331</v>
      </c>
      <c r="D3282" s="442">
        <v>78223.039999999994</v>
      </c>
    </row>
    <row r="3283" spans="1:4" ht="31.5" customHeight="1">
      <c r="A3283" s="120">
        <v>103656</v>
      </c>
      <c r="B3283" s="119" t="s">
        <v>4823</v>
      </c>
      <c r="C3283" s="120" t="s">
        <v>331</v>
      </c>
      <c r="D3283" s="442">
        <v>109326.24</v>
      </c>
    </row>
    <row r="3284" spans="1:4" ht="47.25" customHeight="1">
      <c r="A3284" s="120">
        <v>104473</v>
      </c>
      <c r="B3284" s="119" t="s">
        <v>4824</v>
      </c>
      <c r="C3284" s="120" t="s">
        <v>331</v>
      </c>
      <c r="D3284" s="441">
        <v>181.2</v>
      </c>
    </row>
    <row r="3285" spans="1:4" ht="47.25" customHeight="1">
      <c r="A3285" s="120">
        <v>104474</v>
      </c>
      <c r="B3285" s="119" t="s">
        <v>4825</v>
      </c>
      <c r="C3285" s="120" t="s">
        <v>331</v>
      </c>
      <c r="D3285" s="441">
        <v>392.06</v>
      </c>
    </row>
    <row r="3286" spans="1:4" ht="47.25" customHeight="1">
      <c r="A3286" s="120">
        <v>104475</v>
      </c>
      <c r="B3286" s="119" t="s">
        <v>4826</v>
      </c>
      <c r="C3286" s="120" t="s">
        <v>331</v>
      </c>
      <c r="D3286" s="441">
        <v>154.75</v>
      </c>
    </row>
    <row r="3287" spans="1:4" ht="47.25" customHeight="1">
      <c r="A3287" s="120">
        <v>104476</v>
      </c>
      <c r="B3287" s="119" t="s">
        <v>4827</v>
      </c>
      <c r="C3287" s="120" t="s">
        <v>331</v>
      </c>
      <c r="D3287" s="441">
        <v>199.46</v>
      </c>
    </row>
    <row r="3288" spans="1:4" ht="47.25" customHeight="1">
      <c r="A3288" s="120">
        <v>104477</v>
      </c>
      <c r="B3288" s="119" t="s">
        <v>4828</v>
      </c>
      <c r="C3288" s="120" t="s">
        <v>331</v>
      </c>
      <c r="D3288" s="441">
        <v>151.66999999999999</v>
      </c>
    </row>
    <row r="3289" spans="1:4" ht="47.25" customHeight="1">
      <c r="A3289" s="120">
        <v>104478</v>
      </c>
      <c r="B3289" s="119" t="s">
        <v>4829</v>
      </c>
      <c r="C3289" s="120" t="s">
        <v>331</v>
      </c>
      <c r="D3289" s="441">
        <v>339.8</v>
      </c>
    </row>
    <row r="3290" spans="1:4" ht="47.25" customHeight="1">
      <c r="A3290" s="120">
        <v>104479</v>
      </c>
      <c r="B3290" s="119" t="s">
        <v>4830</v>
      </c>
      <c r="C3290" s="120" t="s">
        <v>331</v>
      </c>
      <c r="D3290" s="441">
        <v>133.72999999999999</v>
      </c>
    </row>
    <row r="3291" spans="1:4" ht="47.25" customHeight="1">
      <c r="A3291" s="120">
        <v>104480</v>
      </c>
      <c r="B3291" s="119" t="s">
        <v>4831</v>
      </c>
      <c r="C3291" s="120" t="s">
        <v>331</v>
      </c>
      <c r="D3291" s="441">
        <v>153.47999999999999</v>
      </c>
    </row>
    <row r="3292" spans="1:4" ht="47.25" customHeight="1">
      <c r="A3292" s="120">
        <v>104481</v>
      </c>
      <c r="B3292" s="119" t="s">
        <v>4832</v>
      </c>
      <c r="C3292" s="120" t="s">
        <v>331</v>
      </c>
      <c r="D3292" s="441">
        <v>363.49</v>
      </c>
    </row>
    <row r="3293" spans="1:4" ht="31.5" customHeight="1">
      <c r="A3293" s="120">
        <v>96971</v>
      </c>
      <c r="B3293" s="119" t="s">
        <v>4833</v>
      </c>
      <c r="C3293" s="120" t="s">
        <v>328</v>
      </c>
      <c r="D3293" s="441">
        <v>37.03</v>
      </c>
    </row>
    <row r="3294" spans="1:4" ht="31.5" customHeight="1">
      <c r="A3294" s="120">
        <v>96972</v>
      </c>
      <c r="B3294" s="119" t="s">
        <v>4834</v>
      </c>
      <c r="C3294" s="120" t="s">
        <v>328</v>
      </c>
      <c r="D3294" s="441">
        <v>50.05</v>
      </c>
    </row>
    <row r="3295" spans="1:4" ht="31.5" customHeight="1">
      <c r="A3295" s="120">
        <v>96973</v>
      </c>
      <c r="B3295" s="119" t="s">
        <v>4835</v>
      </c>
      <c r="C3295" s="120" t="s">
        <v>328</v>
      </c>
      <c r="D3295" s="441">
        <v>66.23</v>
      </c>
    </row>
    <row r="3296" spans="1:4" ht="31.5" customHeight="1">
      <c r="A3296" s="120">
        <v>96974</v>
      </c>
      <c r="B3296" s="119" t="s">
        <v>4836</v>
      </c>
      <c r="C3296" s="120" t="s">
        <v>328</v>
      </c>
      <c r="D3296" s="441">
        <v>86.55</v>
      </c>
    </row>
    <row r="3297" spans="1:4" ht="31.5" customHeight="1">
      <c r="A3297" s="120">
        <v>96975</v>
      </c>
      <c r="B3297" s="119" t="s">
        <v>4837</v>
      </c>
      <c r="C3297" s="120" t="s">
        <v>328</v>
      </c>
      <c r="D3297" s="441">
        <v>107.85</v>
      </c>
    </row>
    <row r="3298" spans="1:4" ht="31.5" customHeight="1">
      <c r="A3298" s="120">
        <v>96976</v>
      </c>
      <c r="B3298" s="119" t="s">
        <v>4838</v>
      </c>
      <c r="C3298" s="120" t="s">
        <v>328</v>
      </c>
      <c r="D3298" s="441">
        <v>142.65</v>
      </c>
    </row>
    <row r="3299" spans="1:4" ht="15.75" customHeight="1">
      <c r="A3299" s="120">
        <v>96977</v>
      </c>
      <c r="B3299" s="119" t="s">
        <v>4839</v>
      </c>
      <c r="C3299" s="120" t="s">
        <v>328</v>
      </c>
      <c r="D3299" s="441">
        <v>58.29</v>
      </c>
    </row>
    <row r="3300" spans="1:4" ht="15.75" customHeight="1">
      <c r="A3300" s="120">
        <v>96978</v>
      </c>
      <c r="B3300" s="119" t="s">
        <v>4840</v>
      </c>
      <c r="C3300" s="120" t="s">
        <v>328</v>
      </c>
      <c r="D3300" s="441">
        <v>76.77</v>
      </c>
    </row>
    <row r="3301" spans="1:4" ht="15.75" customHeight="1">
      <c r="A3301" s="120">
        <v>96979</v>
      </c>
      <c r="B3301" s="119" t="s">
        <v>4841</v>
      </c>
      <c r="C3301" s="120" t="s">
        <v>328</v>
      </c>
      <c r="D3301" s="441">
        <v>109.74</v>
      </c>
    </row>
    <row r="3302" spans="1:4" ht="15.75" customHeight="1">
      <c r="A3302" s="120">
        <v>96984</v>
      </c>
      <c r="B3302" s="119" t="s">
        <v>4842</v>
      </c>
      <c r="C3302" s="120" t="s">
        <v>331</v>
      </c>
      <c r="D3302" s="441">
        <v>77.59</v>
      </c>
    </row>
    <row r="3303" spans="1:4" ht="15.75" customHeight="1">
      <c r="A3303" s="120">
        <v>96985</v>
      </c>
      <c r="B3303" s="119" t="s">
        <v>4843</v>
      </c>
      <c r="C3303" s="120" t="s">
        <v>331</v>
      </c>
      <c r="D3303" s="441">
        <v>91.92</v>
      </c>
    </row>
    <row r="3304" spans="1:4" ht="15.75" customHeight="1">
      <c r="A3304" s="120">
        <v>96986</v>
      </c>
      <c r="B3304" s="119" t="s">
        <v>4844</v>
      </c>
      <c r="C3304" s="120" t="s">
        <v>331</v>
      </c>
      <c r="D3304" s="441">
        <v>137.30000000000001</v>
      </c>
    </row>
    <row r="3305" spans="1:4" ht="15.75" customHeight="1">
      <c r="A3305" s="120">
        <v>96987</v>
      </c>
      <c r="B3305" s="119" t="s">
        <v>4845</v>
      </c>
      <c r="C3305" s="120" t="s">
        <v>331</v>
      </c>
      <c r="D3305" s="441">
        <v>118</v>
      </c>
    </row>
    <row r="3306" spans="1:4" ht="15.75" customHeight="1">
      <c r="A3306" s="120">
        <v>96988</v>
      </c>
      <c r="B3306" s="119" t="s">
        <v>4846</v>
      </c>
      <c r="C3306" s="120" t="s">
        <v>331</v>
      </c>
      <c r="D3306" s="441">
        <v>157.33000000000001</v>
      </c>
    </row>
    <row r="3307" spans="1:4" ht="15.75" customHeight="1">
      <c r="A3307" s="120">
        <v>96989</v>
      </c>
      <c r="B3307" s="119" t="s">
        <v>4847</v>
      </c>
      <c r="C3307" s="120" t="s">
        <v>331</v>
      </c>
      <c r="D3307" s="441">
        <v>131.58000000000001</v>
      </c>
    </row>
    <row r="3308" spans="1:4" ht="15.75" customHeight="1">
      <c r="A3308" s="120">
        <v>98463</v>
      </c>
      <c r="B3308" s="119" t="s">
        <v>4848</v>
      </c>
      <c r="C3308" s="120" t="s">
        <v>331</v>
      </c>
      <c r="D3308" s="441">
        <v>26.69</v>
      </c>
    </row>
    <row r="3309" spans="1:4" ht="31.5" customHeight="1">
      <c r="A3309" s="120">
        <v>103490</v>
      </c>
      <c r="B3309" s="119" t="s">
        <v>4849</v>
      </c>
      <c r="C3309" s="120" t="s">
        <v>950</v>
      </c>
      <c r="D3309" s="442">
        <v>3372.82</v>
      </c>
    </row>
    <row r="3310" spans="1:4" ht="31.5" customHeight="1">
      <c r="A3310" s="120">
        <v>103491</v>
      </c>
      <c r="B3310" s="119" t="s">
        <v>4850</v>
      </c>
      <c r="C3310" s="120" t="s">
        <v>950</v>
      </c>
      <c r="D3310" s="441">
        <v>830.01</v>
      </c>
    </row>
    <row r="3311" spans="1:4" ht="47.25" customHeight="1">
      <c r="A3311" s="120">
        <v>96765</v>
      </c>
      <c r="B3311" s="119" t="s">
        <v>4851</v>
      </c>
      <c r="C3311" s="120" t="s">
        <v>331</v>
      </c>
      <c r="D3311" s="442">
        <v>1725.06</v>
      </c>
    </row>
    <row r="3312" spans="1:4" ht="31.5" customHeight="1">
      <c r="A3312" s="120">
        <v>101905</v>
      </c>
      <c r="B3312" s="119" t="s">
        <v>4852</v>
      </c>
      <c r="C3312" s="120" t="s">
        <v>331</v>
      </c>
      <c r="D3312" s="441">
        <v>200.86</v>
      </c>
    </row>
    <row r="3313" spans="1:4" ht="31.5" customHeight="1">
      <c r="A3313" s="120">
        <v>101906</v>
      </c>
      <c r="B3313" s="119" t="s">
        <v>4853</v>
      </c>
      <c r="C3313" s="120" t="s">
        <v>331</v>
      </c>
      <c r="D3313" s="441">
        <v>575.91</v>
      </c>
    </row>
    <row r="3314" spans="1:4" ht="31.5" customHeight="1">
      <c r="A3314" s="120">
        <v>101907</v>
      </c>
      <c r="B3314" s="119" t="s">
        <v>4854</v>
      </c>
      <c r="C3314" s="120" t="s">
        <v>331</v>
      </c>
      <c r="D3314" s="441">
        <v>621.61</v>
      </c>
    </row>
    <row r="3315" spans="1:4" ht="31.5" customHeight="1">
      <c r="A3315" s="120">
        <v>101908</v>
      </c>
      <c r="B3315" s="119" t="s">
        <v>4855</v>
      </c>
      <c r="C3315" s="120" t="s">
        <v>331</v>
      </c>
      <c r="D3315" s="441">
        <v>195.14</v>
      </c>
    </row>
    <row r="3316" spans="1:4" ht="31.5" customHeight="1">
      <c r="A3316" s="120">
        <v>101909</v>
      </c>
      <c r="B3316" s="119" t="s">
        <v>4856</v>
      </c>
      <c r="C3316" s="120" t="s">
        <v>331</v>
      </c>
      <c r="D3316" s="441">
        <v>225.61</v>
      </c>
    </row>
    <row r="3317" spans="1:4" ht="31.5" customHeight="1">
      <c r="A3317" s="120">
        <v>101910</v>
      </c>
      <c r="B3317" s="119" t="s">
        <v>4857</v>
      </c>
      <c r="C3317" s="120" t="s">
        <v>331</v>
      </c>
      <c r="D3317" s="441">
        <v>263.68</v>
      </c>
    </row>
    <row r="3318" spans="1:4" ht="31.5" customHeight="1">
      <c r="A3318" s="120">
        <v>101911</v>
      </c>
      <c r="B3318" s="119" t="s">
        <v>4858</v>
      </c>
      <c r="C3318" s="120" t="s">
        <v>331</v>
      </c>
      <c r="D3318" s="441">
        <v>301.76</v>
      </c>
    </row>
    <row r="3319" spans="1:4" ht="47.25" customHeight="1">
      <c r="A3319" s="120">
        <v>101912</v>
      </c>
      <c r="B3319" s="119" t="s">
        <v>4859</v>
      </c>
      <c r="C3319" s="120" t="s">
        <v>331</v>
      </c>
      <c r="D3319" s="442">
        <v>2065.9</v>
      </c>
    </row>
    <row r="3320" spans="1:4" ht="15.75" customHeight="1">
      <c r="A3320" s="120">
        <v>101913</v>
      </c>
      <c r="B3320" s="119" t="s">
        <v>4860</v>
      </c>
      <c r="C3320" s="120" t="s">
        <v>331</v>
      </c>
      <c r="D3320" s="441">
        <v>465.27</v>
      </c>
    </row>
    <row r="3321" spans="1:4" ht="15.75" customHeight="1">
      <c r="A3321" s="120">
        <v>101914</v>
      </c>
      <c r="B3321" s="119" t="s">
        <v>4861</v>
      </c>
      <c r="C3321" s="120" t="s">
        <v>331</v>
      </c>
      <c r="D3321" s="441">
        <v>590.64</v>
      </c>
    </row>
    <row r="3322" spans="1:4" ht="31.5" customHeight="1">
      <c r="A3322" s="120">
        <v>101915</v>
      </c>
      <c r="B3322" s="119" t="s">
        <v>4862</v>
      </c>
      <c r="C3322" s="120" t="s">
        <v>331</v>
      </c>
      <c r="D3322" s="441">
        <v>327.18</v>
      </c>
    </row>
    <row r="3323" spans="1:4" ht="31.5" customHeight="1">
      <c r="A3323" s="120">
        <v>101916</v>
      </c>
      <c r="B3323" s="119" t="s">
        <v>4863</v>
      </c>
      <c r="C3323" s="120" t="s">
        <v>331</v>
      </c>
      <c r="D3323" s="442">
        <v>3624.24</v>
      </c>
    </row>
    <row r="3324" spans="1:4" ht="15.75" customHeight="1">
      <c r="A3324" s="120">
        <v>101917</v>
      </c>
      <c r="B3324" s="119" t="s">
        <v>4864</v>
      </c>
      <c r="C3324" s="120" t="s">
        <v>331</v>
      </c>
      <c r="D3324" s="441">
        <v>163.31</v>
      </c>
    </row>
    <row r="3325" spans="1:4" ht="31.5" customHeight="1">
      <c r="A3325" s="120">
        <v>98261</v>
      </c>
      <c r="B3325" s="119" t="s">
        <v>4865</v>
      </c>
      <c r="C3325" s="120" t="s">
        <v>328</v>
      </c>
      <c r="D3325" s="441">
        <v>4.59</v>
      </c>
    </row>
    <row r="3326" spans="1:4" ht="31.5" customHeight="1">
      <c r="A3326" s="120">
        <v>98262</v>
      </c>
      <c r="B3326" s="119" t="s">
        <v>4866</v>
      </c>
      <c r="C3326" s="120" t="s">
        <v>328</v>
      </c>
      <c r="D3326" s="441">
        <v>5.63</v>
      </c>
    </row>
    <row r="3327" spans="1:4" ht="31.5" customHeight="1">
      <c r="A3327" s="120">
        <v>98263</v>
      </c>
      <c r="B3327" s="119" t="s">
        <v>4867</v>
      </c>
      <c r="C3327" s="120" t="s">
        <v>328</v>
      </c>
      <c r="D3327" s="441">
        <v>5.89</v>
      </c>
    </row>
    <row r="3328" spans="1:4" ht="31.5" customHeight="1">
      <c r="A3328" s="120">
        <v>98264</v>
      </c>
      <c r="B3328" s="119" t="s">
        <v>4868</v>
      </c>
      <c r="C3328" s="120" t="s">
        <v>328</v>
      </c>
      <c r="D3328" s="441">
        <v>6.99</v>
      </c>
    </row>
    <row r="3329" spans="1:4" ht="31.5" customHeight="1">
      <c r="A3329" s="120">
        <v>98265</v>
      </c>
      <c r="B3329" s="119" t="s">
        <v>4869</v>
      </c>
      <c r="C3329" s="120" t="s">
        <v>328</v>
      </c>
      <c r="D3329" s="441">
        <v>7.72</v>
      </c>
    </row>
    <row r="3330" spans="1:4" ht="31.5" customHeight="1">
      <c r="A3330" s="120">
        <v>98266</v>
      </c>
      <c r="B3330" s="119" t="s">
        <v>4870</v>
      </c>
      <c r="C3330" s="120" t="s">
        <v>328</v>
      </c>
      <c r="D3330" s="441">
        <v>8.73</v>
      </c>
    </row>
    <row r="3331" spans="1:4" ht="31.5" customHeight="1">
      <c r="A3331" s="120">
        <v>98267</v>
      </c>
      <c r="B3331" s="119" t="s">
        <v>4871</v>
      </c>
      <c r="C3331" s="120" t="s">
        <v>328</v>
      </c>
      <c r="D3331" s="441">
        <v>13.69</v>
      </c>
    </row>
    <row r="3332" spans="1:4" ht="31.5" customHeight="1">
      <c r="A3332" s="120">
        <v>98268</v>
      </c>
      <c r="B3332" s="119" t="s">
        <v>4872</v>
      </c>
      <c r="C3332" s="120" t="s">
        <v>328</v>
      </c>
      <c r="D3332" s="441">
        <v>21.8</v>
      </c>
    </row>
    <row r="3333" spans="1:4" ht="31.5" customHeight="1">
      <c r="A3333" s="120">
        <v>98269</v>
      </c>
      <c r="B3333" s="119" t="s">
        <v>4873</v>
      </c>
      <c r="C3333" s="120" t="s">
        <v>328</v>
      </c>
      <c r="D3333" s="441">
        <v>29.62</v>
      </c>
    </row>
    <row r="3334" spans="1:4" ht="31.5" customHeight="1">
      <c r="A3334" s="120">
        <v>98270</v>
      </c>
      <c r="B3334" s="119" t="s">
        <v>4874</v>
      </c>
      <c r="C3334" s="120" t="s">
        <v>328</v>
      </c>
      <c r="D3334" s="441">
        <v>44.42</v>
      </c>
    </row>
    <row r="3335" spans="1:4" ht="31.5" customHeight="1">
      <c r="A3335" s="120">
        <v>98271</v>
      </c>
      <c r="B3335" s="119" t="s">
        <v>4875</v>
      </c>
      <c r="C3335" s="120" t="s">
        <v>328</v>
      </c>
      <c r="D3335" s="441">
        <v>62.23</v>
      </c>
    </row>
    <row r="3336" spans="1:4" ht="31.5" customHeight="1">
      <c r="A3336" s="120">
        <v>98272</v>
      </c>
      <c r="B3336" s="119" t="s">
        <v>4876</v>
      </c>
      <c r="C3336" s="120" t="s">
        <v>328</v>
      </c>
      <c r="D3336" s="441">
        <v>142.05000000000001</v>
      </c>
    </row>
    <row r="3337" spans="1:4" ht="31.5" customHeight="1">
      <c r="A3337" s="120">
        <v>98273</v>
      </c>
      <c r="B3337" s="119" t="s">
        <v>4877</v>
      </c>
      <c r="C3337" s="120" t="s">
        <v>328</v>
      </c>
      <c r="D3337" s="441">
        <v>3.37</v>
      </c>
    </row>
    <row r="3338" spans="1:4" ht="31.5" customHeight="1">
      <c r="A3338" s="120">
        <v>98274</v>
      </c>
      <c r="B3338" s="119" t="s">
        <v>4878</v>
      </c>
      <c r="C3338" s="120" t="s">
        <v>328</v>
      </c>
      <c r="D3338" s="441">
        <v>4.0999999999999996</v>
      </c>
    </row>
    <row r="3339" spans="1:4" ht="31.5" customHeight="1">
      <c r="A3339" s="120">
        <v>98275</v>
      </c>
      <c r="B3339" s="119" t="s">
        <v>4879</v>
      </c>
      <c r="C3339" s="120" t="s">
        <v>328</v>
      </c>
      <c r="D3339" s="441">
        <v>5.1100000000000003</v>
      </c>
    </row>
    <row r="3340" spans="1:4" ht="15.75" customHeight="1">
      <c r="A3340" s="120">
        <v>98276</v>
      </c>
      <c r="B3340" s="119" t="s">
        <v>4880</v>
      </c>
      <c r="C3340" s="120" t="s">
        <v>328</v>
      </c>
      <c r="D3340" s="441">
        <v>10.08</v>
      </c>
    </row>
    <row r="3341" spans="1:4" ht="15.75" customHeight="1">
      <c r="A3341" s="120">
        <v>98277</v>
      </c>
      <c r="B3341" s="119" t="s">
        <v>4881</v>
      </c>
      <c r="C3341" s="120" t="s">
        <v>328</v>
      </c>
      <c r="D3341" s="441">
        <v>18.18</v>
      </c>
    </row>
    <row r="3342" spans="1:4" ht="15.75" customHeight="1">
      <c r="A3342" s="120">
        <v>98278</v>
      </c>
      <c r="B3342" s="119" t="s">
        <v>4882</v>
      </c>
      <c r="C3342" s="120" t="s">
        <v>328</v>
      </c>
      <c r="D3342" s="441">
        <v>26.01</v>
      </c>
    </row>
    <row r="3343" spans="1:4" ht="15.75" customHeight="1">
      <c r="A3343" s="120">
        <v>98279</v>
      </c>
      <c r="B3343" s="119" t="s">
        <v>4883</v>
      </c>
      <c r="C3343" s="120" t="s">
        <v>328</v>
      </c>
      <c r="D3343" s="441">
        <v>40.799999999999997</v>
      </c>
    </row>
    <row r="3344" spans="1:4" ht="31.5" customHeight="1">
      <c r="A3344" s="120">
        <v>98280</v>
      </c>
      <c r="B3344" s="119" t="s">
        <v>4884</v>
      </c>
      <c r="C3344" s="120" t="s">
        <v>328</v>
      </c>
      <c r="D3344" s="441">
        <v>9.25</v>
      </c>
    </row>
    <row r="3345" spans="1:4" ht="31.5" customHeight="1">
      <c r="A3345" s="120">
        <v>98281</v>
      </c>
      <c r="B3345" s="119" t="s">
        <v>4885</v>
      </c>
      <c r="C3345" s="120" t="s">
        <v>328</v>
      </c>
      <c r="D3345" s="441">
        <v>10.28</v>
      </c>
    </row>
    <row r="3346" spans="1:4" ht="31.5" customHeight="1">
      <c r="A3346" s="120">
        <v>98282</v>
      </c>
      <c r="B3346" s="119" t="s">
        <v>4886</v>
      </c>
      <c r="C3346" s="120" t="s">
        <v>328</v>
      </c>
      <c r="D3346" s="441">
        <v>10.53</v>
      </c>
    </row>
    <row r="3347" spans="1:4" ht="31.5" customHeight="1">
      <c r="A3347" s="120">
        <v>98283</v>
      </c>
      <c r="B3347" s="119" t="s">
        <v>4887</v>
      </c>
      <c r="C3347" s="120" t="s">
        <v>328</v>
      </c>
      <c r="D3347" s="441">
        <v>11.64</v>
      </c>
    </row>
    <row r="3348" spans="1:4" ht="31.5" customHeight="1">
      <c r="A3348" s="120">
        <v>98284</v>
      </c>
      <c r="B3348" s="119" t="s">
        <v>4888</v>
      </c>
      <c r="C3348" s="120" t="s">
        <v>328</v>
      </c>
      <c r="D3348" s="441">
        <v>12.36</v>
      </c>
    </row>
    <row r="3349" spans="1:4" ht="31.5" customHeight="1">
      <c r="A3349" s="120">
        <v>98285</v>
      </c>
      <c r="B3349" s="119" t="s">
        <v>4889</v>
      </c>
      <c r="C3349" s="120" t="s">
        <v>328</v>
      </c>
      <c r="D3349" s="441">
        <v>13.38</v>
      </c>
    </row>
    <row r="3350" spans="1:4" ht="31.5" customHeight="1">
      <c r="A3350" s="120">
        <v>98286</v>
      </c>
      <c r="B3350" s="119" t="s">
        <v>4890</v>
      </c>
      <c r="C3350" s="120" t="s">
        <v>328</v>
      </c>
      <c r="D3350" s="441">
        <v>18.350000000000001</v>
      </c>
    </row>
    <row r="3351" spans="1:4" ht="31.5" customHeight="1">
      <c r="A3351" s="120">
        <v>98287</v>
      </c>
      <c r="B3351" s="119" t="s">
        <v>4891</v>
      </c>
      <c r="C3351" s="120" t="s">
        <v>328</v>
      </c>
      <c r="D3351" s="441">
        <v>1.81</v>
      </c>
    </row>
    <row r="3352" spans="1:4" ht="31.5" customHeight="1">
      <c r="A3352" s="120">
        <v>98288</v>
      </c>
      <c r="B3352" s="119" t="s">
        <v>4892</v>
      </c>
      <c r="C3352" s="120" t="s">
        <v>328</v>
      </c>
      <c r="D3352" s="441">
        <v>2.83</v>
      </c>
    </row>
    <row r="3353" spans="1:4" ht="31.5" customHeight="1">
      <c r="A3353" s="120">
        <v>98289</v>
      </c>
      <c r="B3353" s="119" t="s">
        <v>4893</v>
      </c>
      <c r="C3353" s="120" t="s">
        <v>328</v>
      </c>
      <c r="D3353" s="441">
        <v>3.1</v>
      </c>
    </row>
    <row r="3354" spans="1:4" ht="31.5" customHeight="1">
      <c r="A3354" s="120">
        <v>98290</v>
      </c>
      <c r="B3354" s="119" t="s">
        <v>4894</v>
      </c>
      <c r="C3354" s="120" t="s">
        <v>328</v>
      </c>
      <c r="D3354" s="441">
        <v>4.1900000000000004</v>
      </c>
    </row>
    <row r="3355" spans="1:4" ht="31.5" customHeight="1">
      <c r="A3355" s="120">
        <v>98291</v>
      </c>
      <c r="B3355" s="119" t="s">
        <v>4895</v>
      </c>
      <c r="C3355" s="120" t="s">
        <v>328</v>
      </c>
      <c r="D3355" s="441">
        <v>4.93</v>
      </c>
    </row>
    <row r="3356" spans="1:4" ht="31.5" customHeight="1">
      <c r="A3356" s="120">
        <v>98292</v>
      </c>
      <c r="B3356" s="119" t="s">
        <v>4896</v>
      </c>
      <c r="C3356" s="120" t="s">
        <v>328</v>
      </c>
      <c r="D3356" s="441">
        <v>5.94</v>
      </c>
    </row>
    <row r="3357" spans="1:4" ht="31.5" customHeight="1">
      <c r="A3357" s="120">
        <v>98293</v>
      </c>
      <c r="B3357" s="119" t="s">
        <v>4897</v>
      </c>
      <c r="C3357" s="120" t="s">
        <v>328</v>
      </c>
      <c r="D3357" s="441">
        <v>10.9</v>
      </c>
    </row>
    <row r="3358" spans="1:4" ht="31.5" customHeight="1">
      <c r="A3358" s="120">
        <v>98400</v>
      </c>
      <c r="B3358" s="119" t="s">
        <v>4898</v>
      </c>
      <c r="C3358" s="120" t="s">
        <v>328</v>
      </c>
      <c r="D3358" s="441">
        <v>16.71</v>
      </c>
    </row>
    <row r="3359" spans="1:4" ht="31.5" customHeight="1">
      <c r="A3359" s="120">
        <v>98401</v>
      </c>
      <c r="B3359" s="119" t="s">
        <v>4899</v>
      </c>
      <c r="C3359" s="120" t="s">
        <v>328</v>
      </c>
      <c r="D3359" s="441">
        <v>25.99</v>
      </c>
    </row>
    <row r="3360" spans="1:4" ht="31.5" customHeight="1">
      <c r="A3360" s="120">
        <v>98402</v>
      </c>
      <c r="B3360" s="119" t="s">
        <v>4900</v>
      </c>
      <c r="C3360" s="120" t="s">
        <v>328</v>
      </c>
      <c r="D3360" s="441">
        <v>30.27</v>
      </c>
    </row>
    <row r="3361" spans="1:4" ht="15.75" customHeight="1">
      <c r="A3361" s="120">
        <v>100556</v>
      </c>
      <c r="B3361" s="119" t="s">
        <v>4901</v>
      </c>
      <c r="C3361" s="120" t="s">
        <v>331</v>
      </c>
      <c r="D3361" s="441">
        <v>51.63</v>
      </c>
    </row>
    <row r="3362" spans="1:4" ht="15.75" customHeight="1">
      <c r="A3362" s="120">
        <v>100557</v>
      </c>
      <c r="B3362" s="119" t="s">
        <v>4902</v>
      </c>
      <c r="C3362" s="120" t="s">
        <v>331</v>
      </c>
      <c r="D3362" s="441">
        <v>638.92999999999995</v>
      </c>
    </row>
    <row r="3363" spans="1:4" ht="31.5" customHeight="1">
      <c r="A3363" s="120">
        <v>100560</v>
      </c>
      <c r="B3363" s="119" t="s">
        <v>4903</v>
      </c>
      <c r="C3363" s="120" t="s">
        <v>331</v>
      </c>
      <c r="D3363" s="441">
        <v>139.51</v>
      </c>
    </row>
    <row r="3364" spans="1:4" ht="31.5" customHeight="1">
      <c r="A3364" s="120">
        <v>100561</v>
      </c>
      <c r="B3364" s="119" t="s">
        <v>4904</v>
      </c>
      <c r="C3364" s="120" t="s">
        <v>331</v>
      </c>
      <c r="D3364" s="441">
        <v>252.88</v>
      </c>
    </row>
    <row r="3365" spans="1:4" ht="31.5" customHeight="1">
      <c r="A3365" s="120">
        <v>100562</v>
      </c>
      <c r="B3365" s="119" t="s">
        <v>4905</v>
      </c>
      <c r="C3365" s="120" t="s">
        <v>331</v>
      </c>
      <c r="D3365" s="441">
        <v>389.51</v>
      </c>
    </row>
    <row r="3366" spans="1:4" ht="31.5" customHeight="1">
      <c r="A3366" s="120">
        <v>100563</v>
      </c>
      <c r="B3366" s="119" t="s">
        <v>4906</v>
      </c>
      <c r="C3366" s="120" t="s">
        <v>331</v>
      </c>
      <c r="D3366" s="441">
        <v>559.6</v>
      </c>
    </row>
    <row r="3367" spans="1:4" ht="31.5" customHeight="1">
      <c r="A3367" s="120">
        <v>101795</v>
      </c>
      <c r="B3367" s="119" t="s">
        <v>4907</v>
      </c>
      <c r="C3367" s="120" t="s">
        <v>331</v>
      </c>
      <c r="D3367" s="441">
        <v>579.42999999999995</v>
      </c>
    </row>
    <row r="3368" spans="1:4" ht="31.5" customHeight="1">
      <c r="A3368" s="120">
        <v>101798</v>
      </c>
      <c r="B3368" s="119" t="s">
        <v>4908</v>
      </c>
      <c r="C3368" s="120" t="s">
        <v>331</v>
      </c>
      <c r="D3368" s="441">
        <v>400.28</v>
      </c>
    </row>
    <row r="3369" spans="1:4" ht="31.5" customHeight="1">
      <c r="A3369" s="120">
        <v>101799</v>
      </c>
      <c r="B3369" s="119" t="s">
        <v>4909</v>
      </c>
      <c r="C3369" s="120" t="s">
        <v>331</v>
      </c>
      <c r="D3369" s="441">
        <v>966.83</v>
      </c>
    </row>
    <row r="3370" spans="1:4" ht="15.75" customHeight="1">
      <c r="A3370" s="120">
        <v>98397</v>
      </c>
      <c r="B3370" s="119" t="s">
        <v>4910</v>
      </c>
      <c r="C3370" s="120" t="s">
        <v>951</v>
      </c>
      <c r="D3370" s="441">
        <v>13.82</v>
      </c>
    </row>
    <row r="3371" spans="1:4" ht="31.5" customHeight="1">
      <c r="A3371" s="120">
        <v>103244</v>
      </c>
      <c r="B3371" s="119" t="s">
        <v>4911</v>
      </c>
      <c r="C3371" s="120" t="s">
        <v>331</v>
      </c>
      <c r="D3371" s="442">
        <v>2173.89</v>
      </c>
    </row>
    <row r="3372" spans="1:4" ht="31.5" customHeight="1">
      <c r="A3372" s="120">
        <v>103245</v>
      </c>
      <c r="B3372" s="119" t="s">
        <v>4912</v>
      </c>
      <c r="C3372" s="120" t="s">
        <v>331</v>
      </c>
      <c r="D3372" s="442">
        <v>1724.02</v>
      </c>
    </row>
    <row r="3373" spans="1:4" ht="31.5" customHeight="1">
      <c r="A3373" s="120">
        <v>103246</v>
      </c>
      <c r="B3373" s="119" t="s">
        <v>4913</v>
      </c>
      <c r="C3373" s="120" t="s">
        <v>331</v>
      </c>
      <c r="D3373" s="442">
        <v>1876.16</v>
      </c>
    </row>
    <row r="3374" spans="1:4" ht="31.5" customHeight="1">
      <c r="A3374" s="120">
        <v>103247</v>
      </c>
      <c r="B3374" s="119" t="s">
        <v>4914</v>
      </c>
      <c r="C3374" s="120" t="s">
        <v>331</v>
      </c>
      <c r="D3374" s="442">
        <v>2407.88</v>
      </c>
    </row>
    <row r="3375" spans="1:4" ht="31.5" customHeight="1">
      <c r="A3375" s="120">
        <v>103248</v>
      </c>
      <c r="B3375" s="119" t="s">
        <v>4915</v>
      </c>
      <c r="C3375" s="120" t="s">
        <v>331</v>
      </c>
      <c r="D3375" s="442">
        <v>1975.78</v>
      </c>
    </row>
    <row r="3376" spans="1:4" ht="31.5" customHeight="1">
      <c r="A3376" s="120">
        <v>103249</v>
      </c>
      <c r="B3376" s="119" t="s">
        <v>4916</v>
      </c>
      <c r="C3376" s="120" t="s">
        <v>331</v>
      </c>
      <c r="D3376" s="442">
        <v>2119.35</v>
      </c>
    </row>
    <row r="3377" spans="1:4" ht="31.5" customHeight="1">
      <c r="A3377" s="120">
        <v>103250</v>
      </c>
      <c r="B3377" s="119" t="s">
        <v>4917</v>
      </c>
      <c r="C3377" s="120" t="s">
        <v>331</v>
      </c>
      <c r="D3377" s="442">
        <v>3480.04</v>
      </c>
    </row>
    <row r="3378" spans="1:4" ht="31.5" customHeight="1">
      <c r="A3378" s="120">
        <v>103251</v>
      </c>
      <c r="B3378" s="119" t="s">
        <v>4918</v>
      </c>
      <c r="C3378" s="120" t="s">
        <v>331</v>
      </c>
      <c r="D3378" s="442">
        <v>2758.36</v>
      </c>
    </row>
    <row r="3379" spans="1:4" ht="31.5" customHeight="1">
      <c r="A3379" s="120">
        <v>103252</v>
      </c>
      <c r="B3379" s="119" t="s">
        <v>4919</v>
      </c>
      <c r="C3379" s="120" t="s">
        <v>331</v>
      </c>
      <c r="D3379" s="442">
        <v>3049.39</v>
      </c>
    </row>
    <row r="3380" spans="1:4" ht="31.5" customHeight="1">
      <c r="A3380" s="120">
        <v>103253</v>
      </c>
      <c r="B3380" s="119" t="s">
        <v>4920</v>
      </c>
      <c r="C3380" s="120" t="s">
        <v>331</v>
      </c>
      <c r="D3380" s="442">
        <v>4728.3</v>
      </c>
    </row>
    <row r="3381" spans="1:4" ht="31.5" customHeight="1">
      <c r="A3381" s="120">
        <v>103254</v>
      </c>
      <c r="B3381" s="119" t="s">
        <v>4921</v>
      </c>
      <c r="C3381" s="120" t="s">
        <v>331</v>
      </c>
      <c r="D3381" s="442">
        <v>3548.44</v>
      </c>
    </row>
    <row r="3382" spans="1:4" ht="31.5" customHeight="1">
      <c r="A3382" s="120">
        <v>103255</v>
      </c>
      <c r="B3382" s="119" t="s">
        <v>4922</v>
      </c>
      <c r="C3382" s="120" t="s">
        <v>331</v>
      </c>
      <c r="D3382" s="442">
        <v>3964.72</v>
      </c>
    </row>
    <row r="3383" spans="1:4" ht="31.5" customHeight="1">
      <c r="A3383" s="120">
        <v>103256</v>
      </c>
      <c r="B3383" s="119" t="s">
        <v>4923</v>
      </c>
      <c r="C3383" s="120" t="s">
        <v>331</v>
      </c>
      <c r="D3383" s="442">
        <v>8755.4</v>
      </c>
    </row>
    <row r="3384" spans="1:4" ht="31.5" customHeight="1">
      <c r="A3384" s="120">
        <v>103257</v>
      </c>
      <c r="B3384" s="119" t="s">
        <v>4924</v>
      </c>
      <c r="C3384" s="120" t="s">
        <v>331</v>
      </c>
      <c r="D3384" s="442">
        <v>5030.95</v>
      </c>
    </row>
    <row r="3385" spans="1:4" ht="31.5" customHeight="1">
      <c r="A3385" s="120">
        <v>103258</v>
      </c>
      <c r="B3385" s="119" t="s">
        <v>4925</v>
      </c>
      <c r="C3385" s="120" t="s">
        <v>331</v>
      </c>
      <c r="D3385" s="442">
        <v>9781.99</v>
      </c>
    </row>
    <row r="3386" spans="1:4" ht="31.5" customHeight="1">
      <c r="A3386" s="120">
        <v>103259</v>
      </c>
      <c r="B3386" s="119" t="s">
        <v>4926</v>
      </c>
      <c r="C3386" s="120" t="s">
        <v>331</v>
      </c>
      <c r="D3386" s="442">
        <v>5302.28</v>
      </c>
    </row>
    <row r="3387" spans="1:4" ht="31.5" customHeight="1">
      <c r="A3387" s="120">
        <v>103260</v>
      </c>
      <c r="B3387" s="119" t="s">
        <v>4927</v>
      </c>
      <c r="C3387" s="120" t="s">
        <v>331</v>
      </c>
      <c r="D3387" s="442">
        <v>5444.84</v>
      </c>
    </row>
    <row r="3388" spans="1:4" ht="31.5" customHeight="1">
      <c r="A3388" s="120">
        <v>103261</v>
      </c>
      <c r="B3388" s="119" t="s">
        <v>4928</v>
      </c>
      <c r="C3388" s="120" t="s">
        <v>331</v>
      </c>
      <c r="D3388" s="442">
        <v>11032.05</v>
      </c>
    </row>
    <row r="3389" spans="1:4" ht="31.5" customHeight="1">
      <c r="A3389" s="120">
        <v>103262</v>
      </c>
      <c r="B3389" s="119" t="s">
        <v>4929</v>
      </c>
      <c r="C3389" s="120" t="s">
        <v>331</v>
      </c>
      <c r="D3389" s="442">
        <v>6950.43</v>
      </c>
    </row>
    <row r="3390" spans="1:4" ht="31.5" customHeight="1">
      <c r="A3390" s="120">
        <v>103263</v>
      </c>
      <c r="B3390" s="119" t="s">
        <v>4930</v>
      </c>
      <c r="C3390" s="120" t="s">
        <v>331</v>
      </c>
      <c r="D3390" s="442">
        <v>15348.42</v>
      </c>
    </row>
    <row r="3391" spans="1:4" ht="31.5" customHeight="1">
      <c r="A3391" s="120">
        <v>103264</v>
      </c>
      <c r="B3391" s="119" t="s">
        <v>4931</v>
      </c>
      <c r="C3391" s="120" t="s">
        <v>331</v>
      </c>
      <c r="D3391" s="442">
        <v>8665.6299999999992</v>
      </c>
    </row>
    <row r="3392" spans="1:4" ht="31.5" customHeight="1">
      <c r="A3392" s="120">
        <v>103265</v>
      </c>
      <c r="B3392" s="119" t="s">
        <v>4932</v>
      </c>
      <c r="C3392" s="120" t="s">
        <v>331</v>
      </c>
      <c r="D3392" s="442">
        <v>18476.509999999998</v>
      </c>
    </row>
    <row r="3393" spans="1:4" ht="31.5" customHeight="1">
      <c r="A3393" s="120">
        <v>103266</v>
      </c>
      <c r="B3393" s="119" t="s">
        <v>4933</v>
      </c>
      <c r="C3393" s="120" t="s">
        <v>331</v>
      </c>
      <c r="D3393" s="442">
        <v>9662.4699999999993</v>
      </c>
    </row>
    <row r="3394" spans="1:4" ht="31.5" customHeight="1">
      <c r="A3394" s="120">
        <v>103267</v>
      </c>
      <c r="B3394" s="119" t="s">
        <v>4934</v>
      </c>
      <c r="C3394" s="120" t="s">
        <v>331</v>
      </c>
      <c r="D3394" s="442">
        <v>5495.46</v>
      </c>
    </row>
    <row r="3395" spans="1:4" ht="31.5" customHeight="1">
      <c r="A3395" s="120">
        <v>103268</v>
      </c>
      <c r="B3395" s="119" t="s">
        <v>4935</v>
      </c>
      <c r="C3395" s="120" t="s">
        <v>331</v>
      </c>
      <c r="D3395" s="442">
        <v>6510.83</v>
      </c>
    </row>
    <row r="3396" spans="1:4" ht="31.5" customHeight="1">
      <c r="A3396" s="120">
        <v>103269</v>
      </c>
      <c r="B3396" s="119" t="s">
        <v>4936</v>
      </c>
      <c r="C3396" s="120" t="s">
        <v>331</v>
      </c>
      <c r="D3396" s="442">
        <v>6741.45</v>
      </c>
    </row>
    <row r="3397" spans="1:4" ht="31.5" customHeight="1">
      <c r="A3397" s="120">
        <v>103270</v>
      </c>
      <c r="B3397" s="119" t="s">
        <v>4937</v>
      </c>
      <c r="C3397" s="120" t="s">
        <v>331</v>
      </c>
      <c r="D3397" s="442">
        <v>6995.1</v>
      </c>
    </row>
    <row r="3398" spans="1:4" ht="31.5" customHeight="1">
      <c r="A3398" s="120">
        <v>103271</v>
      </c>
      <c r="B3398" s="119" t="s">
        <v>4938</v>
      </c>
      <c r="C3398" s="120" t="s">
        <v>331</v>
      </c>
      <c r="D3398" s="442">
        <v>9890.84</v>
      </c>
    </row>
    <row r="3399" spans="1:4" ht="31.5" customHeight="1">
      <c r="A3399" s="120">
        <v>103272</v>
      </c>
      <c r="B3399" s="119" t="s">
        <v>4939</v>
      </c>
      <c r="C3399" s="120" t="s">
        <v>331</v>
      </c>
      <c r="D3399" s="442">
        <v>10213.41</v>
      </c>
    </row>
    <row r="3400" spans="1:4" ht="31.5" customHeight="1">
      <c r="A3400" s="120">
        <v>103273</v>
      </c>
      <c r="B3400" s="119" t="s">
        <v>4940</v>
      </c>
      <c r="C3400" s="120" t="s">
        <v>331</v>
      </c>
      <c r="D3400" s="442">
        <v>10562.49</v>
      </c>
    </row>
    <row r="3401" spans="1:4" ht="31.5" customHeight="1">
      <c r="A3401" s="120">
        <v>103274</v>
      </c>
      <c r="B3401" s="119" t="s">
        <v>4941</v>
      </c>
      <c r="C3401" s="120" t="s">
        <v>331</v>
      </c>
      <c r="D3401" s="442">
        <v>12079.56</v>
      </c>
    </row>
    <row r="3402" spans="1:4" ht="31.5" customHeight="1">
      <c r="A3402" s="120">
        <v>103275</v>
      </c>
      <c r="B3402" s="119" t="s">
        <v>4942</v>
      </c>
      <c r="C3402" s="120" t="s">
        <v>331</v>
      </c>
      <c r="D3402" s="442">
        <v>12017.63</v>
      </c>
    </row>
    <row r="3403" spans="1:4" ht="31.5" customHeight="1">
      <c r="A3403" s="120">
        <v>103276</v>
      </c>
      <c r="B3403" s="119" t="s">
        <v>4943</v>
      </c>
      <c r="C3403" s="120" t="s">
        <v>331</v>
      </c>
      <c r="D3403" s="442">
        <v>12604.38</v>
      </c>
    </row>
    <row r="3404" spans="1:4" ht="15.75" customHeight="1">
      <c r="A3404" s="120">
        <v>103277</v>
      </c>
      <c r="B3404" s="119" t="s">
        <v>4944</v>
      </c>
      <c r="C3404" s="120" t="s">
        <v>331</v>
      </c>
      <c r="D3404" s="442">
        <v>23223.61</v>
      </c>
    </row>
    <row r="3405" spans="1:4" ht="15.75" customHeight="1">
      <c r="A3405" s="120">
        <v>103278</v>
      </c>
      <c r="B3405" s="119" t="s">
        <v>4945</v>
      </c>
      <c r="C3405" s="120" t="s">
        <v>331</v>
      </c>
      <c r="D3405" s="442">
        <v>29672.81</v>
      </c>
    </row>
    <row r="3406" spans="1:4" ht="15.75" customHeight="1">
      <c r="A3406" s="120">
        <v>103288</v>
      </c>
      <c r="B3406" s="119" t="s">
        <v>4946</v>
      </c>
      <c r="C3406" s="120" t="s">
        <v>331</v>
      </c>
      <c r="D3406" s="441">
        <v>20.67</v>
      </c>
    </row>
    <row r="3407" spans="1:4" ht="31.5" customHeight="1">
      <c r="A3407" s="120">
        <v>103289</v>
      </c>
      <c r="B3407" s="119" t="s">
        <v>4947</v>
      </c>
      <c r="C3407" s="120" t="s">
        <v>328</v>
      </c>
      <c r="D3407" s="441">
        <v>35.6</v>
      </c>
    </row>
    <row r="3408" spans="1:4" ht="31.5" customHeight="1">
      <c r="A3408" s="120">
        <v>103290</v>
      </c>
      <c r="B3408" s="119" t="s">
        <v>4948</v>
      </c>
      <c r="C3408" s="120" t="s">
        <v>328</v>
      </c>
      <c r="D3408" s="441">
        <v>59.03</v>
      </c>
    </row>
    <row r="3409" spans="1:4" ht="31.5" customHeight="1">
      <c r="A3409" s="120">
        <v>103291</v>
      </c>
      <c r="B3409" s="119" t="s">
        <v>4949</v>
      </c>
      <c r="C3409" s="120" t="s">
        <v>328</v>
      </c>
      <c r="D3409" s="441">
        <v>71.98</v>
      </c>
    </row>
    <row r="3410" spans="1:4" ht="31.5" customHeight="1">
      <c r="A3410" s="120">
        <v>103292</v>
      </c>
      <c r="B3410" s="119" t="s">
        <v>4950</v>
      </c>
      <c r="C3410" s="120" t="s">
        <v>328</v>
      </c>
      <c r="D3410" s="441">
        <v>86.51</v>
      </c>
    </row>
    <row r="3411" spans="1:4" ht="47.25" customHeight="1">
      <c r="A3411" s="120">
        <v>101936</v>
      </c>
      <c r="B3411" s="119" t="s">
        <v>4951</v>
      </c>
      <c r="C3411" s="120" t="s">
        <v>331</v>
      </c>
      <c r="D3411" s="442">
        <v>8955.86</v>
      </c>
    </row>
    <row r="3412" spans="1:4" ht="47.25" customHeight="1">
      <c r="A3412" s="120">
        <v>101937</v>
      </c>
      <c r="B3412" s="119" t="s">
        <v>4952</v>
      </c>
      <c r="C3412" s="120" t="s">
        <v>331</v>
      </c>
      <c r="D3412" s="442">
        <v>16399.75</v>
      </c>
    </row>
    <row r="3413" spans="1:4" ht="31.5" customHeight="1">
      <c r="A3413" s="120">
        <v>98294</v>
      </c>
      <c r="B3413" s="119" t="s">
        <v>4953</v>
      </c>
      <c r="C3413" s="120" t="s">
        <v>328</v>
      </c>
      <c r="D3413" s="441">
        <v>8.24</v>
      </c>
    </row>
    <row r="3414" spans="1:4" ht="31.5" customHeight="1">
      <c r="A3414" s="120">
        <v>98295</v>
      </c>
      <c r="B3414" s="119" t="s">
        <v>4954</v>
      </c>
      <c r="C3414" s="120" t="s">
        <v>328</v>
      </c>
      <c r="D3414" s="441">
        <v>7.4</v>
      </c>
    </row>
    <row r="3415" spans="1:4" ht="31.5" customHeight="1">
      <c r="A3415" s="120">
        <v>98296</v>
      </c>
      <c r="B3415" s="119" t="s">
        <v>4955</v>
      </c>
      <c r="C3415" s="120" t="s">
        <v>328</v>
      </c>
      <c r="D3415" s="441">
        <v>12.01</v>
      </c>
    </row>
    <row r="3416" spans="1:4" ht="31.5" customHeight="1">
      <c r="A3416" s="120">
        <v>98297</v>
      </c>
      <c r="B3416" s="119" t="s">
        <v>4956</v>
      </c>
      <c r="C3416" s="120" t="s">
        <v>328</v>
      </c>
      <c r="D3416" s="441">
        <v>10.67</v>
      </c>
    </row>
    <row r="3417" spans="1:4" ht="31.5" customHeight="1">
      <c r="A3417" s="120">
        <v>98298</v>
      </c>
      <c r="B3417" s="119" t="s">
        <v>4957</v>
      </c>
      <c r="C3417" s="120" t="s">
        <v>328</v>
      </c>
      <c r="D3417" s="441">
        <v>29.42</v>
      </c>
    </row>
    <row r="3418" spans="1:4" ht="31.5" customHeight="1">
      <c r="A3418" s="120">
        <v>98299</v>
      </c>
      <c r="B3418" s="119" t="s">
        <v>4958</v>
      </c>
      <c r="C3418" s="120" t="s">
        <v>328</v>
      </c>
      <c r="D3418" s="441">
        <v>27.76</v>
      </c>
    </row>
    <row r="3419" spans="1:4" ht="15.75" customHeight="1">
      <c r="A3419" s="120">
        <v>98300</v>
      </c>
      <c r="B3419" s="119" t="s">
        <v>4959</v>
      </c>
      <c r="C3419" s="120" t="s">
        <v>328</v>
      </c>
      <c r="D3419" s="441">
        <v>6.96</v>
      </c>
    </row>
    <row r="3420" spans="1:4" ht="15.75" customHeight="1">
      <c r="A3420" s="120">
        <v>98301</v>
      </c>
      <c r="B3420" s="119" t="s">
        <v>4960</v>
      </c>
      <c r="C3420" s="120" t="s">
        <v>331</v>
      </c>
      <c r="D3420" s="441">
        <v>792.1</v>
      </c>
    </row>
    <row r="3421" spans="1:4" ht="15.75" customHeight="1">
      <c r="A3421" s="120">
        <v>98302</v>
      </c>
      <c r="B3421" s="119" t="s">
        <v>4961</v>
      </c>
      <c r="C3421" s="120" t="s">
        <v>331</v>
      </c>
      <c r="D3421" s="442">
        <v>1496.89</v>
      </c>
    </row>
    <row r="3422" spans="1:4" ht="15.75" customHeight="1">
      <c r="A3422" s="120">
        <v>98304</v>
      </c>
      <c r="B3422" s="119" t="s">
        <v>4962</v>
      </c>
      <c r="C3422" s="120" t="s">
        <v>331</v>
      </c>
      <c r="D3422" s="442">
        <v>4703.87</v>
      </c>
    </row>
    <row r="3423" spans="1:4" ht="15.75" customHeight="1">
      <c r="A3423" s="120">
        <v>98305</v>
      </c>
      <c r="B3423" s="119" t="s">
        <v>4963</v>
      </c>
      <c r="C3423" s="120" t="s">
        <v>331</v>
      </c>
      <c r="D3423" s="442">
        <v>3479.44</v>
      </c>
    </row>
    <row r="3424" spans="1:4" ht="15.75" customHeight="1">
      <c r="A3424" s="120">
        <v>98306</v>
      </c>
      <c r="B3424" s="119" t="s">
        <v>4964</v>
      </c>
      <c r="C3424" s="120" t="s">
        <v>331</v>
      </c>
      <c r="D3424" s="441">
        <v>78.09</v>
      </c>
    </row>
    <row r="3425" spans="1:4" ht="15.75" customHeight="1">
      <c r="A3425" s="120">
        <v>98307</v>
      </c>
      <c r="B3425" s="119" t="s">
        <v>4965</v>
      </c>
      <c r="C3425" s="120" t="s">
        <v>331</v>
      </c>
      <c r="D3425" s="441">
        <v>54.02</v>
      </c>
    </row>
    <row r="3426" spans="1:4" ht="15.75" customHeight="1">
      <c r="A3426" s="120">
        <v>98308</v>
      </c>
      <c r="B3426" s="119" t="s">
        <v>4966</v>
      </c>
      <c r="C3426" s="120" t="s">
        <v>331</v>
      </c>
      <c r="D3426" s="441">
        <v>35.97</v>
      </c>
    </row>
    <row r="3427" spans="1:4" ht="15.75" customHeight="1">
      <c r="A3427" s="120">
        <v>98593</v>
      </c>
      <c r="B3427" s="119" t="s">
        <v>4967</v>
      </c>
      <c r="C3427" s="120" t="s">
        <v>331</v>
      </c>
      <c r="D3427" s="442">
        <v>3266.78</v>
      </c>
    </row>
    <row r="3428" spans="1:4" ht="15.75" customHeight="1">
      <c r="A3428" s="120">
        <v>100553</v>
      </c>
      <c r="B3428" s="119" t="s">
        <v>4968</v>
      </c>
      <c r="C3428" s="120" t="s">
        <v>328</v>
      </c>
      <c r="D3428" s="441">
        <v>31.33</v>
      </c>
    </row>
    <row r="3429" spans="1:4" ht="15.75" customHeight="1">
      <c r="A3429" s="120">
        <v>100554</v>
      </c>
      <c r="B3429" s="119" t="s">
        <v>4969</v>
      </c>
      <c r="C3429" s="120" t="s">
        <v>328</v>
      </c>
      <c r="D3429" s="441">
        <v>6.64</v>
      </c>
    </row>
    <row r="3430" spans="1:4" ht="15.75" customHeight="1">
      <c r="A3430" s="120">
        <v>100555</v>
      </c>
      <c r="B3430" s="119" t="s">
        <v>4970</v>
      </c>
      <c r="C3430" s="120" t="s">
        <v>331</v>
      </c>
      <c r="D3430" s="442">
        <v>1741.26</v>
      </c>
    </row>
    <row r="3431" spans="1:4" ht="31.5" customHeight="1">
      <c r="A3431" s="120">
        <v>89355</v>
      </c>
      <c r="B3431" s="119" t="s">
        <v>4971</v>
      </c>
      <c r="C3431" s="120" t="s">
        <v>328</v>
      </c>
      <c r="D3431" s="441">
        <v>23.58</v>
      </c>
    </row>
    <row r="3432" spans="1:4" ht="31.5" customHeight="1">
      <c r="A3432" s="120">
        <v>89356</v>
      </c>
      <c r="B3432" s="119" t="s">
        <v>4972</v>
      </c>
      <c r="C3432" s="120" t="s">
        <v>328</v>
      </c>
      <c r="D3432" s="441">
        <v>27.19</v>
      </c>
    </row>
    <row r="3433" spans="1:4" ht="31.5" customHeight="1">
      <c r="A3433" s="120">
        <v>89357</v>
      </c>
      <c r="B3433" s="119" t="s">
        <v>4973</v>
      </c>
      <c r="C3433" s="120" t="s">
        <v>328</v>
      </c>
      <c r="D3433" s="441">
        <v>37.32</v>
      </c>
    </row>
    <row r="3434" spans="1:4" ht="31.5" customHeight="1">
      <c r="A3434" s="120">
        <v>89401</v>
      </c>
      <c r="B3434" s="119" t="s">
        <v>4974</v>
      </c>
      <c r="C3434" s="120" t="s">
        <v>328</v>
      </c>
      <c r="D3434" s="441">
        <v>12.44</v>
      </c>
    </row>
    <row r="3435" spans="1:4" ht="31.5" customHeight="1">
      <c r="A3435" s="120">
        <v>89402</v>
      </c>
      <c r="B3435" s="119" t="s">
        <v>4975</v>
      </c>
      <c r="C3435" s="120" t="s">
        <v>328</v>
      </c>
      <c r="D3435" s="441">
        <v>14.29</v>
      </c>
    </row>
    <row r="3436" spans="1:4" ht="31.5" customHeight="1">
      <c r="A3436" s="120">
        <v>89403</v>
      </c>
      <c r="B3436" s="119" t="s">
        <v>4976</v>
      </c>
      <c r="C3436" s="120" t="s">
        <v>328</v>
      </c>
      <c r="D3436" s="441">
        <v>21.93</v>
      </c>
    </row>
    <row r="3437" spans="1:4" ht="31.5" customHeight="1">
      <c r="A3437" s="120">
        <v>89446</v>
      </c>
      <c r="B3437" s="119" t="s">
        <v>4977</v>
      </c>
      <c r="C3437" s="120" t="s">
        <v>328</v>
      </c>
      <c r="D3437" s="441">
        <v>6.17</v>
      </c>
    </row>
    <row r="3438" spans="1:4" ht="31.5" customHeight="1">
      <c r="A3438" s="120">
        <v>89447</v>
      </c>
      <c r="B3438" s="119" t="s">
        <v>4978</v>
      </c>
      <c r="C3438" s="120" t="s">
        <v>328</v>
      </c>
      <c r="D3438" s="441">
        <v>12.29</v>
      </c>
    </row>
    <row r="3439" spans="1:4" ht="31.5" customHeight="1">
      <c r="A3439" s="120">
        <v>89448</v>
      </c>
      <c r="B3439" s="119" t="s">
        <v>4979</v>
      </c>
      <c r="C3439" s="120" t="s">
        <v>328</v>
      </c>
      <c r="D3439" s="441">
        <v>18.8</v>
      </c>
    </row>
    <row r="3440" spans="1:4" ht="31.5" customHeight="1">
      <c r="A3440" s="120">
        <v>89449</v>
      </c>
      <c r="B3440" s="119" t="s">
        <v>4980</v>
      </c>
      <c r="C3440" s="120" t="s">
        <v>328</v>
      </c>
      <c r="D3440" s="441">
        <v>20.8</v>
      </c>
    </row>
    <row r="3441" spans="1:4" ht="31.5" customHeight="1">
      <c r="A3441" s="120">
        <v>89450</v>
      </c>
      <c r="B3441" s="119" t="s">
        <v>4981</v>
      </c>
      <c r="C3441" s="120" t="s">
        <v>328</v>
      </c>
      <c r="D3441" s="441">
        <v>33.31</v>
      </c>
    </row>
    <row r="3442" spans="1:4" ht="31.5" customHeight="1">
      <c r="A3442" s="120">
        <v>89451</v>
      </c>
      <c r="B3442" s="119" t="s">
        <v>4982</v>
      </c>
      <c r="C3442" s="120" t="s">
        <v>328</v>
      </c>
      <c r="D3442" s="441">
        <v>54.22</v>
      </c>
    </row>
    <row r="3443" spans="1:4" ht="31.5" customHeight="1">
      <c r="A3443" s="120">
        <v>89452</v>
      </c>
      <c r="B3443" s="119" t="s">
        <v>4983</v>
      </c>
      <c r="C3443" s="120" t="s">
        <v>328</v>
      </c>
      <c r="D3443" s="441">
        <v>74.64</v>
      </c>
    </row>
    <row r="3444" spans="1:4" ht="31.5" customHeight="1">
      <c r="A3444" s="120">
        <v>89508</v>
      </c>
      <c r="B3444" s="119" t="s">
        <v>4984</v>
      </c>
      <c r="C3444" s="120" t="s">
        <v>328</v>
      </c>
      <c r="D3444" s="441">
        <v>18.18</v>
      </c>
    </row>
    <row r="3445" spans="1:4" ht="31.5" customHeight="1">
      <c r="A3445" s="120">
        <v>89509</v>
      </c>
      <c r="B3445" s="119" t="s">
        <v>4985</v>
      </c>
      <c r="C3445" s="120" t="s">
        <v>328</v>
      </c>
      <c r="D3445" s="441">
        <v>24.52</v>
      </c>
    </row>
    <row r="3446" spans="1:4" ht="31.5" customHeight="1">
      <c r="A3446" s="120">
        <v>89511</v>
      </c>
      <c r="B3446" s="119" t="s">
        <v>4986</v>
      </c>
      <c r="C3446" s="120" t="s">
        <v>328</v>
      </c>
      <c r="D3446" s="441">
        <v>41.56</v>
      </c>
    </row>
    <row r="3447" spans="1:4" ht="31.5" customHeight="1">
      <c r="A3447" s="120">
        <v>89512</v>
      </c>
      <c r="B3447" s="119" t="s">
        <v>4987</v>
      </c>
      <c r="C3447" s="120" t="s">
        <v>328</v>
      </c>
      <c r="D3447" s="441">
        <v>52.94</v>
      </c>
    </row>
    <row r="3448" spans="1:4" ht="31.5" customHeight="1">
      <c r="A3448" s="120">
        <v>89576</v>
      </c>
      <c r="B3448" s="119" t="s">
        <v>4988</v>
      </c>
      <c r="C3448" s="120" t="s">
        <v>328</v>
      </c>
      <c r="D3448" s="441">
        <v>27.38</v>
      </c>
    </row>
    <row r="3449" spans="1:4" ht="31.5" customHeight="1">
      <c r="A3449" s="120">
        <v>89578</v>
      </c>
      <c r="B3449" s="119" t="s">
        <v>4989</v>
      </c>
      <c r="C3449" s="120" t="s">
        <v>328</v>
      </c>
      <c r="D3449" s="441">
        <v>34.1</v>
      </c>
    </row>
    <row r="3450" spans="1:4" ht="31.5" customHeight="1">
      <c r="A3450" s="120">
        <v>89580</v>
      </c>
      <c r="B3450" s="119" t="s">
        <v>4990</v>
      </c>
      <c r="C3450" s="120" t="s">
        <v>328</v>
      </c>
      <c r="D3450" s="441">
        <v>70.33</v>
      </c>
    </row>
    <row r="3451" spans="1:4" ht="31.5" customHeight="1">
      <c r="A3451" s="120">
        <v>89633</v>
      </c>
      <c r="B3451" s="119" t="s">
        <v>4991</v>
      </c>
      <c r="C3451" s="120" t="s">
        <v>328</v>
      </c>
      <c r="D3451" s="441">
        <v>28.44</v>
      </c>
    </row>
    <row r="3452" spans="1:4" ht="31.5" customHeight="1">
      <c r="A3452" s="120">
        <v>89634</v>
      </c>
      <c r="B3452" s="119" t="s">
        <v>4992</v>
      </c>
      <c r="C3452" s="120" t="s">
        <v>328</v>
      </c>
      <c r="D3452" s="441">
        <v>40.130000000000003</v>
      </c>
    </row>
    <row r="3453" spans="1:4" ht="31.5" customHeight="1">
      <c r="A3453" s="120">
        <v>89635</v>
      </c>
      <c r="B3453" s="119" t="s">
        <v>4993</v>
      </c>
      <c r="C3453" s="120" t="s">
        <v>328</v>
      </c>
      <c r="D3453" s="441">
        <v>58.19</v>
      </c>
    </row>
    <row r="3454" spans="1:4" ht="31.5" customHeight="1">
      <c r="A3454" s="120">
        <v>89636</v>
      </c>
      <c r="B3454" s="119" t="s">
        <v>4994</v>
      </c>
      <c r="C3454" s="120" t="s">
        <v>328</v>
      </c>
      <c r="D3454" s="441">
        <v>72.959999999999994</v>
      </c>
    </row>
    <row r="3455" spans="1:4" ht="31.5" customHeight="1">
      <c r="A3455" s="120">
        <v>89711</v>
      </c>
      <c r="B3455" s="119" t="s">
        <v>4995</v>
      </c>
      <c r="C3455" s="120" t="s">
        <v>328</v>
      </c>
      <c r="D3455" s="441">
        <v>23.96</v>
      </c>
    </row>
    <row r="3456" spans="1:4" ht="31.5" customHeight="1">
      <c r="A3456" s="120">
        <v>89712</v>
      </c>
      <c r="B3456" s="119" t="s">
        <v>4996</v>
      </c>
      <c r="C3456" s="120" t="s">
        <v>328</v>
      </c>
      <c r="D3456" s="441">
        <v>29.98</v>
      </c>
    </row>
    <row r="3457" spans="1:4" ht="31.5" customHeight="1">
      <c r="A3457" s="120">
        <v>89713</v>
      </c>
      <c r="B3457" s="119" t="s">
        <v>4997</v>
      </c>
      <c r="C3457" s="120" t="s">
        <v>328</v>
      </c>
      <c r="D3457" s="441">
        <v>37.26</v>
      </c>
    </row>
    <row r="3458" spans="1:4" ht="31.5" customHeight="1">
      <c r="A3458" s="120">
        <v>89714</v>
      </c>
      <c r="B3458" s="119" t="s">
        <v>4998</v>
      </c>
      <c r="C3458" s="120" t="s">
        <v>328</v>
      </c>
      <c r="D3458" s="441">
        <v>41.75</v>
      </c>
    </row>
    <row r="3459" spans="1:4" ht="31.5" customHeight="1">
      <c r="A3459" s="120">
        <v>89716</v>
      </c>
      <c r="B3459" s="119" t="s">
        <v>4999</v>
      </c>
      <c r="C3459" s="120" t="s">
        <v>328</v>
      </c>
      <c r="D3459" s="441">
        <v>28.39</v>
      </c>
    </row>
    <row r="3460" spans="1:4" ht="31.5" customHeight="1">
      <c r="A3460" s="120">
        <v>89717</v>
      </c>
      <c r="B3460" s="119" t="s">
        <v>5000</v>
      </c>
      <c r="C3460" s="120" t="s">
        <v>328</v>
      </c>
      <c r="D3460" s="441">
        <v>44.34</v>
      </c>
    </row>
    <row r="3461" spans="1:4" ht="31.5" customHeight="1">
      <c r="A3461" s="120">
        <v>89770</v>
      </c>
      <c r="B3461" s="119" t="s">
        <v>5001</v>
      </c>
      <c r="C3461" s="120" t="s">
        <v>328</v>
      </c>
      <c r="D3461" s="441">
        <v>46.4</v>
      </c>
    </row>
    <row r="3462" spans="1:4" ht="31.5" customHeight="1">
      <c r="A3462" s="120">
        <v>89771</v>
      </c>
      <c r="B3462" s="119" t="s">
        <v>5002</v>
      </c>
      <c r="C3462" s="120" t="s">
        <v>328</v>
      </c>
      <c r="D3462" s="441">
        <v>61.9</v>
      </c>
    </row>
    <row r="3463" spans="1:4" ht="31.5" customHeight="1">
      <c r="A3463" s="120">
        <v>89773</v>
      </c>
      <c r="B3463" s="119" t="s">
        <v>5003</v>
      </c>
      <c r="C3463" s="120" t="s">
        <v>328</v>
      </c>
      <c r="D3463" s="441">
        <v>145.30000000000001</v>
      </c>
    </row>
    <row r="3464" spans="1:4" ht="31.5" customHeight="1">
      <c r="A3464" s="120">
        <v>89775</v>
      </c>
      <c r="B3464" s="119" t="s">
        <v>5004</v>
      </c>
      <c r="C3464" s="120" t="s">
        <v>328</v>
      </c>
      <c r="D3464" s="441">
        <v>227.04</v>
      </c>
    </row>
    <row r="3465" spans="1:4" ht="31.5" customHeight="1">
      <c r="A3465" s="120">
        <v>89798</v>
      </c>
      <c r="B3465" s="119" t="s">
        <v>5005</v>
      </c>
      <c r="C3465" s="120" t="s">
        <v>328</v>
      </c>
      <c r="D3465" s="441">
        <v>13.99</v>
      </c>
    </row>
    <row r="3466" spans="1:4" ht="31.5" customHeight="1">
      <c r="A3466" s="120">
        <v>89799</v>
      </c>
      <c r="B3466" s="119" t="s">
        <v>5006</v>
      </c>
      <c r="C3466" s="120" t="s">
        <v>328</v>
      </c>
      <c r="D3466" s="441">
        <v>24</v>
      </c>
    </row>
    <row r="3467" spans="1:4" ht="31.5" customHeight="1">
      <c r="A3467" s="120">
        <v>89800</v>
      </c>
      <c r="B3467" s="119" t="s">
        <v>5007</v>
      </c>
      <c r="C3467" s="120" t="s">
        <v>328</v>
      </c>
      <c r="D3467" s="441">
        <v>31.26</v>
      </c>
    </row>
    <row r="3468" spans="1:4" ht="31.5" customHeight="1">
      <c r="A3468" s="120">
        <v>89848</v>
      </c>
      <c r="B3468" s="119" t="s">
        <v>5008</v>
      </c>
      <c r="C3468" s="120" t="s">
        <v>328</v>
      </c>
      <c r="D3468" s="441">
        <v>29.9</v>
      </c>
    </row>
    <row r="3469" spans="1:4" ht="31.5" customHeight="1">
      <c r="A3469" s="120">
        <v>89849</v>
      </c>
      <c r="B3469" s="119" t="s">
        <v>5009</v>
      </c>
      <c r="C3469" s="120" t="s">
        <v>328</v>
      </c>
      <c r="D3469" s="441">
        <v>59.95</v>
      </c>
    </row>
    <row r="3470" spans="1:4" ht="31.5" customHeight="1">
      <c r="A3470" s="120">
        <v>89865</v>
      </c>
      <c r="B3470" s="119" t="s">
        <v>5010</v>
      </c>
      <c r="C3470" s="120" t="s">
        <v>328</v>
      </c>
      <c r="D3470" s="441">
        <v>19.850000000000001</v>
      </c>
    </row>
    <row r="3471" spans="1:4" ht="47.25" customHeight="1">
      <c r="A3471" s="120">
        <v>91784</v>
      </c>
      <c r="B3471" s="119" t="s">
        <v>5011</v>
      </c>
      <c r="C3471" s="120" t="s">
        <v>328</v>
      </c>
      <c r="D3471" s="441">
        <v>54.17</v>
      </c>
    </row>
    <row r="3472" spans="1:4" ht="47.25" customHeight="1">
      <c r="A3472" s="120">
        <v>91785</v>
      </c>
      <c r="B3472" s="119" t="s">
        <v>5012</v>
      </c>
      <c r="C3472" s="120" t="s">
        <v>328</v>
      </c>
      <c r="D3472" s="441">
        <v>52.94</v>
      </c>
    </row>
    <row r="3473" spans="1:4" ht="47.25" customHeight="1">
      <c r="A3473" s="120">
        <v>91786</v>
      </c>
      <c r="B3473" s="119" t="s">
        <v>5013</v>
      </c>
      <c r="C3473" s="120" t="s">
        <v>328</v>
      </c>
      <c r="D3473" s="441">
        <v>36.32</v>
      </c>
    </row>
    <row r="3474" spans="1:4" ht="31.5" customHeight="1">
      <c r="A3474" s="120">
        <v>91787</v>
      </c>
      <c r="B3474" s="119" t="s">
        <v>5014</v>
      </c>
      <c r="C3474" s="120" t="s">
        <v>328</v>
      </c>
      <c r="D3474" s="441">
        <v>38.950000000000003</v>
      </c>
    </row>
    <row r="3475" spans="1:4" ht="31.5" customHeight="1">
      <c r="A3475" s="120">
        <v>91788</v>
      </c>
      <c r="B3475" s="119" t="s">
        <v>5015</v>
      </c>
      <c r="C3475" s="120" t="s">
        <v>328</v>
      </c>
      <c r="D3475" s="441">
        <v>47.84</v>
      </c>
    </row>
    <row r="3476" spans="1:4" ht="47.25" customHeight="1">
      <c r="A3476" s="120">
        <v>91789</v>
      </c>
      <c r="B3476" s="119" t="s">
        <v>5016</v>
      </c>
      <c r="C3476" s="120" t="s">
        <v>328</v>
      </c>
      <c r="D3476" s="441">
        <v>51.98</v>
      </c>
    </row>
    <row r="3477" spans="1:4" ht="47.25" customHeight="1">
      <c r="A3477" s="120">
        <v>91790</v>
      </c>
      <c r="B3477" s="119" t="s">
        <v>5017</v>
      </c>
      <c r="C3477" s="120" t="s">
        <v>328</v>
      </c>
      <c r="D3477" s="441">
        <v>61.49</v>
      </c>
    </row>
    <row r="3478" spans="1:4" ht="47.25" customHeight="1">
      <c r="A3478" s="120">
        <v>91791</v>
      </c>
      <c r="B3478" s="119" t="s">
        <v>5018</v>
      </c>
      <c r="C3478" s="120" t="s">
        <v>328</v>
      </c>
      <c r="D3478" s="441">
        <v>76.86</v>
      </c>
    </row>
    <row r="3479" spans="1:4" ht="47.25" customHeight="1">
      <c r="A3479" s="120">
        <v>91792</v>
      </c>
      <c r="B3479" s="119" t="s">
        <v>5019</v>
      </c>
      <c r="C3479" s="120" t="s">
        <v>328</v>
      </c>
      <c r="D3479" s="441">
        <v>72.56</v>
      </c>
    </row>
    <row r="3480" spans="1:4" ht="47.25" customHeight="1">
      <c r="A3480" s="120">
        <v>91793</v>
      </c>
      <c r="B3480" s="119" t="s">
        <v>5020</v>
      </c>
      <c r="C3480" s="120" t="s">
        <v>328</v>
      </c>
      <c r="D3480" s="441">
        <v>105</v>
      </c>
    </row>
    <row r="3481" spans="1:4" ht="47.25" customHeight="1">
      <c r="A3481" s="120">
        <v>91794</v>
      </c>
      <c r="B3481" s="119" t="s">
        <v>5021</v>
      </c>
      <c r="C3481" s="120" t="s">
        <v>328</v>
      </c>
      <c r="D3481" s="441">
        <v>48.02</v>
      </c>
    </row>
    <row r="3482" spans="1:4" ht="47.25" customHeight="1">
      <c r="A3482" s="120">
        <v>91795</v>
      </c>
      <c r="B3482" s="119" t="s">
        <v>5022</v>
      </c>
      <c r="C3482" s="120" t="s">
        <v>328</v>
      </c>
      <c r="D3482" s="441">
        <v>76.319999999999993</v>
      </c>
    </row>
    <row r="3483" spans="1:4" ht="47.25" customHeight="1">
      <c r="A3483" s="120">
        <v>91796</v>
      </c>
      <c r="B3483" s="119" t="s">
        <v>5023</v>
      </c>
      <c r="C3483" s="120" t="s">
        <v>328</v>
      </c>
      <c r="D3483" s="441">
        <v>76.849999999999994</v>
      </c>
    </row>
    <row r="3484" spans="1:4" ht="31.5" customHeight="1">
      <c r="A3484" s="120">
        <v>92275</v>
      </c>
      <c r="B3484" s="119" t="s">
        <v>5024</v>
      </c>
      <c r="C3484" s="120" t="s">
        <v>328</v>
      </c>
      <c r="D3484" s="441">
        <v>54.87</v>
      </c>
    </row>
    <row r="3485" spans="1:4" ht="31.5" customHeight="1">
      <c r="A3485" s="120">
        <v>92276</v>
      </c>
      <c r="B3485" s="119" t="s">
        <v>5025</v>
      </c>
      <c r="C3485" s="120" t="s">
        <v>328</v>
      </c>
      <c r="D3485" s="441">
        <v>69.7</v>
      </c>
    </row>
    <row r="3486" spans="1:4" ht="31.5" customHeight="1">
      <c r="A3486" s="120">
        <v>92277</v>
      </c>
      <c r="B3486" s="119" t="s">
        <v>5026</v>
      </c>
      <c r="C3486" s="120" t="s">
        <v>328</v>
      </c>
      <c r="D3486" s="441">
        <v>100.59</v>
      </c>
    </row>
    <row r="3487" spans="1:4" ht="31.5" customHeight="1">
      <c r="A3487" s="120">
        <v>92278</v>
      </c>
      <c r="B3487" s="119" t="s">
        <v>5027</v>
      </c>
      <c r="C3487" s="120" t="s">
        <v>328</v>
      </c>
      <c r="D3487" s="441">
        <v>135.25</v>
      </c>
    </row>
    <row r="3488" spans="1:4" ht="31.5" customHeight="1">
      <c r="A3488" s="120">
        <v>92279</v>
      </c>
      <c r="B3488" s="119" t="s">
        <v>5028</v>
      </c>
      <c r="C3488" s="120" t="s">
        <v>328</v>
      </c>
      <c r="D3488" s="441">
        <v>195.37</v>
      </c>
    </row>
    <row r="3489" spans="1:4" ht="31.5" customHeight="1">
      <c r="A3489" s="120">
        <v>92280</v>
      </c>
      <c r="B3489" s="119" t="s">
        <v>5029</v>
      </c>
      <c r="C3489" s="120" t="s">
        <v>328</v>
      </c>
      <c r="D3489" s="441">
        <v>274.08999999999997</v>
      </c>
    </row>
    <row r="3490" spans="1:4" ht="31.5" customHeight="1">
      <c r="A3490" s="120">
        <v>92281</v>
      </c>
      <c r="B3490" s="119" t="s">
        <v>5030</v>
      </c>
      <c r="C3490" s="120" t="s">
        <v>328</v>
      </c>
      <c r="D3490" s="441">
        <v>170.96</v>
      </c>
    </row>
    <row r="3491" spans="1:4" ht="31.5" customHeight="1">
      <c r="A3491" s="120">
        <v>92282</v>
      </c>
      <c r="B3491" s="119" t="s">
        <v>5031</v>
      </c>
      <c r="C3491" s="120" t="s">
        <v>328</v>
      </c>
      <c r="D3491" s="441">
        <v>190.55</v>
      </c>
    </row>
    <row r="3492" spans="1:4" ht="31.5" customHeight="1">
      <c r="A3492" s="120">
        <v>92283</v>
      </c>
      <c r="B3492" s="119" t="s">
        <v>5032</v>
      </c>
      <c r="C3492" s="120" t="s">
        <v>328</v>
      </c>
      <c r="D3492" s="441">
        <v>253.39</v>
      </c>
    </row>
    <row r="3493" spans="1:4" ht="31.5" customHeight="1">
      <c r="A3493" s="120">
        <v>92284</v>
      </c>
      <c r="B3493" s="119" t="s">
        <v>5033</v>
      </c>
      <c r="C3493" s="120" t="s">
        <v>328</v>
      </c>
      <c r="D3493" s="441">
        <v>309.47000000000003</v>
      </c>
    </row>
    <row r="3494" spans="1:4" ht="31.5" customHeight="1">
      <c r="A3494" s="120">
        <v>92285</v>
      </c>
      <c r="B3494" s="119" t="s">
        <v>5034</v>
      </c>
      <c r="C3494" s="120" t="s">
        <v>328</v>
      </c>
      <c r="D3494" s="441">
        <v>403.62</v>
      </c>
    </row>
    <row r="3495" spans="1:4" ht="31.5" customHeight="1">
      <c r="A3495" s="120">
        <v>92286</v>
      </c>
      <c r="B3495" s="119" t="s">
        <v>5035</v>
      </c>
      <c r="C3495" s="120" t="s">
        <v>328</v>
      </c>
      <c r="D3495" s="441">
        <v>485.27</v>
      </c>
    </row>
    <row r="3496" spans="1:4" ht="31.5" customHeight="1">
      <c r="A3496" s="120">
        <v>92305</v>
      </c>
      <c r="B3496" s="119" t="s">
        <v>5036</v>
      </c>
      <c r="C3496" s="120" t="s">
        <v>328</v>
      </c>
      <c r="D3496" s="441">
        <v>38.270000000000003</v>
      </c>
    </row>
    <row r="3497" spans="1:4" ht="31.5" customHeight="1">
      <c r="A3497" s="120">
        <v>92306</v>
      </c>
      <c r="B3497" s="119" t="s">
        <v>5037</v>
      </c>
      <c r="C3497" s="120" t="s">
        <v>328</v>
      </c>
      <c r="D3497" s="441">
        <v>61.39</v>
      </c>
    </row>
    <row r="3498" spans="1:4" ht="31.5" customHeight="1">
      <c r="A3498" s="120">
        <v>92307</v>
      </c>
      <c r="B3498" s="119" t="s">
        <v>5038</v>
      </c>
      <c r="C3498" s="120" t="s">
        <v>328</v>
      </c>
      <c r="D3498" s="441">
        <v>76.52</v>
      </c>
    </row>
    <row r="3499" spans="1:4" ht="31.5" customHeight="1">
      <c r="A3499" s="120">
        <v>92308</v>
      </c>
      <c r="B3499" s="119" t="s">
        <v>5039</v>
      </c>
      <c r="C3499" s="120" t="s">
        <v>328</v>
      </c>
      <c r="D3499" s="441">
        <v>65.98</v>
      </c>
    </row>
    <row r="3500" spans="1:4" ht="31.5" customHeight="1">
      <c r="A3500" s="120">
        <v>92309</v>
      </c>
      <c r="B3500" s="119" t="s">
        <v>5040</v>
      </c>
      <c r="C3500" s="120" t="s">
        <v>328</v>
      </c>
      <c r="D3500" s="441">
        <v>180.72</v>
      </c>
    </row>
    <row r="3501" spans="1:4" ht="31.5" customHeight="1">
      <c r="A3501" s="120">
        <v>92310</v>
      </c>
      <c r="B3501" s="119" t="s">
        <v>5041</v>
      </c>
      <c r="C3501" s="120" t="s">
        <v>328</v>
      </c>
      <c r="D3501" s="441">
        <v>200.61</v>
      </c>
    </row>
    <row r="3502" spans="1:4" ht="31.5" customHeight="1">
      <c r="A3502" s="120">
        <v>92320</v>
      </c>
      <c r="B3502" s="119" t="s">
        <v>5042</v>
      </c>
      <c r="C3502" s="120" t="s">
        <v>328</v>
      </c>
      <c r="D3502" s="441">
        <v>51.66</v>
      </c>
    </row>
    <row r="3503" spans="1:4" ht="31.5" customHeight="1">
      <c r="A3503" s="120">
        <v>92321</v>
      </c>
      <c r="B3503" s="119" t="s">
        <v>5043</v>
      </c>
      <c r="C3503" s="120" t="s">
        <v>328</v>
      </c>
      <c r="D3503" s="441">
        <v>84.46</v>
      </c>
    </row>
    <row r="3504" spans="1:4" ht="31.5" customHeight="1">
      <c r="A3504" s="120">
        <v>92322</v>
      </c>
      <c r="B3504" s="119" t="s">
        <v>5044</v>
      </c>
      <c r="C3504" s="120" t="s">
        <v>328</v>
      </c>
      <c r="D3504" s="441">
        <v>107.88</v>
      </c>
    </row>
    <row r="3505" spans="1:4" ht="31.5" customHeight="1">
      <c r="A3505" s="120">
        <v>92323</v>
      </c>
      <c r="B3505" s="119" t="s">
        <v>5045</v>
      </c>
      <c r="C3505" s="120" t="s">
        <v>328</v>
      </c>
      <c r="D3505" s="441">
        <v>76.16</v>
      </c>
    </row>
    <row r="3506" spans="1:4" ht="31.5" customHeight="1">
      <c r="A3506" s="120">
        <v>92324</v>
      </c>
      <c r="B3506" s="119" t="s">
        <v>5046</v>
      </c>
      <c r="C3506" s="120" t="s">
        <v>328</v>
      </c>
      <c r="D3506" s="441">
        <v>200.58</v>
      </c>
    </row>
    <row r="3507" spans="1:4" ht="31.5" customHeight="1">
      <c r="A3507" s="120">
        <v>92325</v>
      </c>
      <c r="B3507" s="119" t="s">
        <v>5047</v>
      </c>
      <c r="C3507" s="120" t="s">
        <v>328</v>
      </c>
      <c r="D3507" s="441">
        <v>228.77</v>
      </c>
    </row>
    <row r="3508" spans="1:4" ht="31.5" customHeight="1">
      <c r="A3508" s="120">
        <v>92335</v>
      </c>
      <c r="B3508" s="119" t="s">
        <v>5048</v>
      </c>
      <c r="C3508" s="120" t="s">
        <v>328</v>
      </c>
      <c r="D3508" s="441">
        <v>99.9</v>
      </c>
    </row>
    <row r="3509" spans="1:4" ht="31.5" customHeight="1">
      <c r="A3509" s="120">
        <v>92336</v>
      </c>
      <c r="B3509" s="119" t="s">
        <v>5049</v>
      </c>
      <c r="C3509" s="120" t="s">
        <v>328</v>
      </c>
      <c r="D3509" s="441">
        <v>122.61</v>
      </c>
    </row>
    <row r="3510" spans="1:4" ht="31.5" customHeight="1">
      <c r="A3510" s="120">
        <v>92337</v>
      </c>
      <c r="B3510" s="119" t="s">
        <v>5050</v>
      </c>
      <c r="C3510" s="120" t="s">
        <v>328</v>
      </c>
      <c r="D3510" s="441">
        <v>161.21</v>
      </c>
    </row>
    <row r="3511" spans="1:4" ht="31.5" customHeight="1">
      <c r="A3511" s="120">
        <v>92338</v>
      </c>
      <c r="B3511" s="119" t="s">
        <v>5051</v>
      </c>
      <c r="C3511" s="120" t="s">
        <v>328</v>
      </c>
      <c r="D3511" s="441">
        <v>154.11000000000001</v>
      </c>
    </row>
    <row r="3512" spans="1:4" ht="31.5" customHeight="1">
      <c r="A3512" s="120">
        <v>92339</v>
      </c>
      <c r="B3512" s="119" t="s">
        <v>5052</v>
      </c>
      <c r="C3512" s="120" t="s">
        <v>328</v>
      </c>
      <c r="D3512" s="441">
        <v>231.98</v>
      </c>
    </row>
    <row r="3513" spans="1:4" ht="31.5" customHeight="1">
      <c r="A3513" s="120">
        <v>92341</v>
      </c>
      <c r="B3513" s="119" t="s">
        <v>5053</v>
      </c>
      <c r="C3513" s="120" t="s">
        <v>328</v>
      </c>
      <c r="D3513" s="441">
        <v>112.18</v>
      </c>
    </row>
    <row r="3514" spans="1:4" ht="31.5" customHeight="1">
      <c r="A3514" s="120">
        <v>92342</v>
      </c>
      <c r="B3514" s="119" t="s">
        <v>5054</v>
      </c>
      <c r="C3514" s="120" t="s">
        <v>328</v>
      </c>
      <c r="D3514" s="441">
        <v>134.99</v>
      </c>
    </row>
    <row r="3515" spans="1:4" ht="31.5" customHeight="1">
      <c r="A3515" s="120">
        <v>92343</v>
      </c>
      <c r="B3515" s="119" t="s">
        <v>5055</v>
      </c>
      <c r="C3515" s="120" t="s">
        <v>328</v>
      </c>
      <c r="D3515" s="441">
        <v>173.7</v>
      </c>
    </row>
    <row r="3516" spans="1:4" ht="31.5" customHeight="1">
      <c r="A3516" s="120">
        <v>92359</v>
      </c>
      <c r="B3516" s="119" t="s">
        <v>5056</v>
      </c>
      <c r="C3516" s="120" t="s">
        <v>328</v>
      </c>
      <c r="D3516" s="441">
        <v>71.25</v>
      </c>
    </row>
    <row r="3517" spans="1:4" ht="31.5" customHeight="1">
      <c r="A3517" s="120">
        <v>92360</v>
      </c>
      <c r="B3517" s="119" t="s">
        <v>5057</v>
      </c>
      <c r="C3517" s="120" t="s">
        <v>328</v>
      </c>
      <c r="D3517" s="441">
        <v>95.2</v>
      </c>
    </row>
    <row r="3518" spans="1:4" ht="31.5" customHeight="1">
      <c r="A3518" s="120">
        <v>92361</v>
      </c>
      <c r="B3518" s="119" t="s">
        <v>5058</v>
      </c>
      <c r="C3518" s="120" t="s">
        <v>328</v>
      </c>
      <c r="D3518" s="441">
        <v>128.63999999999999</v>
      </c>
    </row>
    <row r="3519" spans="1:4" ht="31.5" customHeight="1">
      <c r="A3519" s="120">
        <v>92362</v>
      </c>
      <c r="B3519" s="119" t="s">
        <v>5059</v>
      </c>
      <c r="C3519" s="120" t="s">
        <v>328</v>
      </c>
      <c r="D3519" s="441">
        <v>205.5</v>
      </c>
    </row>
    <row r="3520" spans="1:4" ht="31.5" customHeight="1">
      <c r="A3520" s="120">
        <v>92364</v>
      </c>
      <c r="B3520" s="119" t="s">
        <v>5060</v>
      </c>
      <c r="C3520" s="120" t="s">
        <v>328</v>
      </c>
      <c r="D3520" s="441">
        <v>60.75</v>
      </c>
    </row>
    <row r="3521" spans="1:4" ht="31.5" customHeight="1">
      <c r="A3521" s="120">
        <v>92365</v>
      </c>
      <c r="B3521" s="119" t="s">
        <v>5061</v>
      </c>
      <c r="C3521" s="120" t="s">
        <v>328</v>
      </c>
      <c r="D3521" s="441">
        <v>69.84</v>
      </c>
    </row>
    <row r="3522" spans="1:4" ht="31.5" customHeight="1">
      <c r="A3522" s="120">
        <v>92366</v>
      </c>
      <c r="B3522" s="119" t="s">
        <v>5062</v>
      </c>
      <c r="C3522" s="120" t="s">
        <v>328</v>
      </c>
      <c r="D3522" s="441">
        <v>96.98</v>
      </c>
    </row>
    <row r="3523" spans="1:4" ht="31.5" customHeight="1">
      <c r="A3523" s="120">
        <v>92367</v>
      </c>
      <c r="B3523" s="119" t="s">
        <v>5063</v>
      </c>
      <c r="C3523" s="120" t="s">
        <v>328</v>
      </c>
      <c r="D3523" s="441">
        <v>119.09</v>
      </c>
    </row>
    <row r="3524" spans="1:4" ht="31.5" customHeight="1">
      <c r="A3524" s="120">
        <v>92368</v>
      </c>
      <c r="B3524" s="119" t="s">
        <v>5064</v>
      </c>
      <c r="C3524" s="120" t="s">
        <v>328</v>
      </c>
      <c r="D3524" s="441">
        <v>157.16999999999999</v>
      </c>
    </row>
    <row r="3525" spans="1:4" ht="31.5" customHeight="1">
      <c r="A3525" s="120">
        <v>92645</v>
      </c>
      <c r="B3525" s="119" t="s">
        <v>5065</v>
      </c>
      <c r="C3525" s="120" t="s">
        <v>328</v>
      </c>
      <c r="D3525" s="441">
        <v>75.83</v>
      </c>
    </row>
    <row r="3526" spans="1:4" ht="31.5" customHeight="1">
      <c r="A3526" s="120">
        <v>92646</v>
      </c>
      <c r="B3526" s="119" t="s">
        <v>5066</v>
      </c>
      <c r="C3526" s="120" t="s">
        <v>328</v>
      </c>
      <c r="D3526" s="441">
        <v>99.78</v>
      </c>
    </row>
    <row r="3527" spans="1:4" ht="31.5" customHeight="1">
      <c r="A3527" s="120">
        <v>92648</v>
      </c>
      <c r="B3527" s="119" t="s">
        <v>5067</v>
      </c>
      <c r="C3527" s="120" t="s">
        <v>328</v>
      </c>
      <c r="D3527" s="441">
        <v>109.27</v>
      </c>
    </row>
    <row r="3528" spans="1:4" ht="31.5" customHeight="1">
      <c r="A3528" s="120">
        <v>92649</v>
      </c>
      <c r="B3528" s="119" t="s">
        <v>5068</v>
      </c>
      <c r="C3528" s="120" t="s">
        <v>328</v>
      </c>
      <c r="D3528" s="441">
        <v>133.22</v>
      </c>
    </row>
    <row r="3529" spans="1:4" ht="31.5" customHeight="1">
      <c r="A3529" s="120">
        <v>92650</v>
      </c>
      <c r="B3529" s="119" t="s">
        <v>5069</v>
      </c>
      <c r="C3529" s="120" t="s">
        <v>328</v>
      </c>
      <c r="D3529" s="441">
        <v>210.08</v>
      </c>
    </row>
    <row r="3530" spans="1:4" ht="31.5" customHeight="1">
      <c r="A3530" s="120">
        <v>92652</v>
      </c>
      <c r="B3530" s="119" t="s">
        <v>5070</v>
      </c>
      <c r="C3530" s="120" t="s">
        <v>328</v>
      </c>
      <c r="D3530" s="441">
        <v>66.37</v>
      </c>
    </row>
    <row r="3531" spans="1:4" ht="31.5" customHeight="1">
      <c r="A3531" s="120">
        <v>92653</v>
      </c>
      <c r="B3531" s="119" t="s">
        <v>5071</v>
      </c>
      <c r="C3531" s="120" t="s">
        <v>328</v>
      </c>
      <c r="D3531" s="441">
        <v>75.510000000000005</v>
      </c>
    </row>
    <row r="3532" spans="1:4" ht="31.5" customHeight="1">
      <c r="A3532" s="120">
        <v>92654</v>
      </c>
      <c r="B3532" s="119" t="s">
        <v>5072</v>
      </c>
      <c r="C3532" s="120" t="s">
        <v>328</v>
      </c>
      <c r="D3532" s="441">
        <v>102.65</v>
      </c>
    </row>
    <row r="3533" spans="1:4" ht="31.5" customHeight="1">
      <c r="A3533" s="120">
        <v>92655</v>
      </c>
      <c r="B3533" s="119" t="s">
        <v>5073</v>
      </c>
      <c r="C3533" s="120" t="s">
        <v>328</v>
      </c>
      <c r="D3533" s="441">
        <v>124.87</v>
      </c>
    </row>
    <row r="3534" spans="1:4" ht="31.5" customHeight="1">
      <c r="A3534" s="120">
        <v>92656</v>
      </c>
      <c r="B3534" s="119" t="s">
        <v>5074</v>
      </c>
      <c r="C3534" s="120" t="s">
        <v>328</v>
      </c>
      <c r="D3534" s="441">
        <v>162.94999999999999</v>
      </c>
    </row>
    <row r="3535" spans="1:4" ht="31.5" customHeight="1">
      <c r="A3535" s="120">
        <v>92687</v>
      </c>
      <c r="B3535" s="119" t="s">
        <v>5075</v>
      </c>
      <c r="C3535" s="120" t="s">
        <v>328</v>
      </c>
      <c r="D3535" s="441">
        <v>31.31</v>
      </c>
    </row>
    <row r="3536" spans="1:4" ht="31.5" customHeight="1">
      <c r="A3536" s="120">
        <v>92688</v>
      </c>
      <c r="B3536" s="119" t="s">
        <v>5076</v>
      </c>
      <c r="C3536" s="120" t="s">
        <v>328</v>
      </c>
      <c r="D3536" s="441">
        <v>44.13</v>
      </c>
    </row>
    <row r="3537" spans="1:4" ht="31.5" customHeight="1">
      <c r="A3537" s="120">
        <v>92689</v>
      </c>
      <c r="B3537" s="119" t="s">
        <v>5077</v>
      </c>
      <c r="C3537" s="120" t="s">
        <v>328</v>
      </c>
      <c r="D3537" s="441">
        <v>53.86</v>
      </c>
    </row>
    <row r="3538" spans="1:4" ht="31.5" customHeight="1">
      <c r="A3538" s="120">
        <v>92690</v>
      </c>
      <c r="B3538" s="119" t="s">
        <v>5078</v>
      </c>
      <c r="C3538" s="120" t="s">
        <v>328</v>
      </c>
      <c r="D3538" s="441">
        <v>77.2</v>
      </c>
    </row>
    <row r="3539" spans="1:4" ht="31.5" customHeight="1">
      <c r="A3539" s="120">
        <v>92691</v>
      </c>
      <c r="B3539" s="119" t="s">
        <v>5079</v>
      </c>
      <c r="C3539" s="120" t="s">
        <v>328</v>
      </c>
      <c r="D3539" s="441">
        <v>101.67</v>
      </c>
    </row>
    <row r="3540" spans="1:4" ht="47.25" customHeight="1">
      <c r="A3540" s="120">
        <v>94462</v>
      </c>
      <c r="B3540" s="119" t="s">
        <v>5080</v>
      </c>
      <c r="C3540" s="120" t="s">
        <v>328</v>
      </c>
      <c r="D3540" s="441">
        <v>111.48</v>
      </c>
    </row>
    <row r="3541" spans="1:4" ht="47.25" customHeight="1">
      <c r="A3541" s="120">
        <v>94463</v>
      </c>
      <c r="B3541" s="119" t="s">
        <v>5081</v>
      </c>
      <c r="C3541" s="120" t="s">
        <v>328</v>
      </c>
      <c r="D3541" s="441">
        <v>130.27000000000001</v>
      </c>
    </row>
    <row r="3542" spans="1:4" ht="47.25" customHeight="1">
      <c r="A3542" s="120">
        <v>94464</v>
      </c>
      <c r="B3542" s="119" t="s">
        <v>5082</v>
      </c>
      <c r="C3542" s="120" t="s">
        <v>328</v>
      </c>
      <c r="D3542" s="441">
        <v>183.12</v>
      </c>
    </row>
    <row r="3543" spans="1:4" ht="31.5" customHeight="1">
      <c r="A3543" s="120">
        <v>94602</v>
      </c>
      <c r="B3543" s="119" t="s">
        <v>5083</v>
      </c>
      <c r="C3543" s="120" t="s">
        <v>328</v>
      </c>
      <c r="D3543" s="441">
        <v>215.31</v>
      </c>
    </row>
    <row r="3544" spans="1:4" ht="31.5" customHeight="1">
      <c r="A3544" s="120">
        <v>94603</v>
      </c>
      <c r="B3544" s="119" t="s">
        <v>5084</v>
      </c>
      <c r="C3544" s="120" t="s">
        <v>328</v>
      </c>
      <c r="D3544" s="441">
        <v>287.22000000000003</v>
      </c>
    </row>
    <row r="3545" spans="1:4" ht="31.5" customHeight="1">
      <c r="A3545" s="120">
        <v>94604</v>
      </c>
      <c r="B3545" s="119" t="s">
        <v>5085</v>
      </c>
      <c r="C3545" s="120" t="s">
        <v>328</v>
      </c>
      <c r="D3545" s="441">
        <v>390.74</v>
      </c>
    </row>
    <row r="3546" spans="1:4" ht="31.5" customHeight="1">
      <c r="A3546" s="120">
        <v>94605</v>
      </c>
      <c r="B3546" s="119" t="s">
        <v>5086</v>
      </c>
      <c r="C3546" s="120" t="s">
        <v>328</v>
      </c>
      <c r="D3546" s="441">
        <v>555.79</v>
      </c>
    </row>
    <row r="3547" spans="1:4" ht="31.5" customHeight="1">
      <c r="A3547" s="120">
        <v>94648</v>
      </c>
      <c r="B3547" s="119" t="s">
        <v>5087</v>
      </c>
      <c r="C3547" s="120" t="s">
        <v>328</v>
      </c>
      <c r="D3547" s="441">
        <v>12.7</v>
      </c>
    </row>
    <row r="3548" spans="1:4" ht="31.5" customHeight="1">
      <c r="A3548" s="120">
        <v>94649</v>
      </c>
      <c r="B3548" s="119" t="s">
        <v>5088</v>
      </c>
      <c r="C3548" s="120" t="s">
        <v>328</v>
      </c>
      <c r="D3548" s="441">
        <v>18.53</v>
      </c>
    </row>
    <row r="3549" spans="1:4" ht="31.5" customHeight="1">
      <c r="A3549" s="120">
        <v>94650</v>
      </c>
      <c r="B3549" s="119" t="s">
        <v>5089</v>
      </c>
      <c r="C3549" s="120" t="s">
        <v>328</v>
      </c>
      <c r="D3549" s="441">
        <v>27.74</v>
      </c>
    </row>
    <row r="3550" spans="1:4" ht="31.5" customHeight="1">
      <c r="A3550" s="120">
        <v>94651</v>
      </c>
      <c r="B3550" s="119" t="s">
        <v>5090</v>
      </c>
      <c r="C3550" s="120" t="s">
        <v>328</v>
      </c>
      <c r="D3550" s="441">
        <v>29.36</v>
      </c>
    </row>
    <row r="3551" spans="1:4" ht="31.5" customHeight="1">
      <c r="A3551" s="120">
        <v>94652</v>
      </c>
      <c r="B3551" s="119" t="s">
        <v>5091</v>
      </c>
      <c r="C3551" s="120" t="s">
        <v>328</v>
      </c>
      <c r="D3551" s="441">
        <v>47.03</v>
      </c>
    </row>
    <row r="3552" spans="1:4" ht="31.5" customHeight="1">
      <c r="A3552" s="120">
        <v>94653</v>
      </c>
      <c r="B3552" s="119" t="s">
        <v>5092</v>
      </c>
      <c r="C3552" s="120" t="s">
        <v>328</v>
      </c>
      <c r="D3552" s="441">
        <v>66.25</v>
      </c>
    </row>
    <row r="3553" spans="1:4" ht="31.5" customHeight="1">
      <c r="A3553" s="120">
        <v>94654</v>
      </c>
      <c r="B3553" s="119" t="s">
        <v>5093</v>
      </c>
      <c r="C3553" s="120" t="s">
        <v>328</v>
      </c>
      <c r="D3553" s="441">
        <v>95.28</v>
      </c>
    </row>
    <row r="3554" spans="1:4" ht="31.5" customHeight="1">
      <c r="A3554" s="120">
        <v>94655</v>
      </c>
      <c r="B3554" s="119" t="s">
        <v>5094</v>
      </c>
      <c r="C3554" s="120" t="s">
        <v>328</v>
      </c>
      <c r="D3554" s="441">
        <v>131.51</v>
      </c>
    </row>
    <row r="3555" spans="1:4" ht="31.5" customHeight="1">
      <c r="A3555" s="120">
        <v>94716</v>
      </c>
      <c r="B3555" s="119" t="s">
        <v>5095</v>
      </c>
      <c r="C3555" s="120" t="s">
        <v>328</v>
      </c>
      <c r="D3555" s="441">
        <v>26.73</v>
      </c>
    </row>
    <row r="3556" spans="1:4" ht="31.5" customHeight="1">
      <c r="A3556" s="120">
        <v>94717</v>
      </c>
      <c r="B3556" s="119" t="s">
        <v>5096</v>
      </c>
      <c r="C3556" s="120" t="s">
        <v>328</v>
      </c>
      <c r="D3556" s="441">
        <v>40.86</v>
      </c>
    </row>
    <row r="3557" spans="1:4" ht="31.5" customHeight="1">
      <c r="A3557" s="120">
        <v>94718</v>
      </c>
      <c r="B3557" s="119" t="s">
        <v>5097</v>
      </c>
      <c r="C3557" s="120" t="s">
        <v>328</v>
      </c>
      <c r="D3557" s="441">
        <v>52.89</v>
      </c>
    </row>
    <row r="3558" spans="1:4" ht="31.5" customHeight="1">
      <c r="A3558" s="120">
        <v>94719</v>
      </c>
      <c r="B3558" s="119" t="s">
        <v>5098</v>
      </c>
      <c r="C3558" s="120" t="s">
        <v>328</v>
      </c>
      <c r="D3558" s="441">
        <v>67.599999999999994</v>
      </c>
    </row>
    <row r="3559" spans="1:4" ht="31.5" customHeight="1">
      <c r="A3559" s="120">
        <v>94720</v>
      </c>
      <c r="B3559" s="119" t="s">
        <v>5099</v>
      </c>
      <c r="C3559" s="120" t="s">
        <v>328</v>
      </c>
      <c r="D3559" s="441">
        <v>98.88</v>
      </c>
    </row>
    <row r="3560" spans="1:4" ht="31.5" customHeight="1">
      <c r="A3560" s="120">
        <v>94721</v>
      </c>
      <c r="B3560" s="119" t="s">
        <v>5100</v>
      </c>
      <c r="C3560" s="120" t="s">
        <v>328</v>
      </c>
      <c r="D3560" s="441">
        <v>149.78</v>
      </c>
    </row>
    <row r="3561" spans="1:4" ht="31.5" customHeight="1">
      <c r="A3561" s="120">
        <v>94722</v>
      </c>
      <c r="B3561" s="119" t="s">
        <v>5101</v>
      </c>
      <c r="C3561" s="120" t="s">
        <v>328</v>
      </c>
      <c r="D3561" s="441">
        <v>259.42</v>
      </c>
    </row>
    <row r="3562" spans="1:4" ht="31.5" customHeight="1">
      <c r="A3562" s="120">
        <v>94723</v>
      </c>
      <c r="B3562" s="119" t="s">
        <v>5102</v>
      </c>
      <c r="C3562" s="120" t="s">
        <v>328</v>
      </c>
      <c r="D3562" s="441">
        <v>463.71</v>
      </c>
    </row>
    <row r="3563" spans="1:4" ht="31.5" customHeight="1">
      <c r="A3563" s="120">
        <v>95697</v>
      </c>
      <c r="B3563" s="119" t="s">
        <v>5103</v>
      </c>
      <c r="C3563" s="120" t="s">
        <v>328</v>
      </c>
      <c r="D3563" s="441">
        <v>104.69</v>
      </c>
    </row>
    <row r="3564" spans="1:4" ht="31.5" customHeight="1">
      <c r="A3564" s="120">
        <v>96635</v>
      </c>
      <c r="B3564" s="119" t="s">
        <v>5104</v>
      </c>
      <c r="C3564" s="120" t="s">
        <v>328</v>
      </c>
      <c r="D3564" s="441">
        <v>45.99</v>
      </c>
    </row>
    <row r="3565" spans="1:4" ht="31.5" customHeight="1">
      <c r="A3565" s="120">
        <v>96636</v>
      </c>
      <c r="B3565" s="119" t="s">
        <v>5105</v>
      </c>
      <c r="C3565" s="120" t="s">
        <v>328</v>
      </c>
      <c r="D3565" s="441">
        <v>48.69</v>
      </c>
    </row>
    <row r="3566" spans="1:4" ht="31.5" customHeight="1">
      <c r="A3566" s="120">
        <v>96644</v>
      </c>
      <c r="B3566" s="119" t="s">
        <v>5106</v>
      </c>
      <c r="C3566" s="120" t="s">
        <v>328</v>
      </c>
      <c r="D3566" s="441">
        <v>24.61</v>
      </c>
    </row>
    <row r="3567" spans="1:4" ht="31.5" customHeight="1">
      <c r="A3567" s="120">
        <v>96645</v>
      </c>
      <c r="B3567" s="119" t="s">
        <v>5107</v>
      </c>
      <c r="C3567" s="120" t="s">
        <v>328</v>
      </c>
      <c r="D3567" s="441">
        <v>21.9</v>
      </c>
    </row>
    <row r="3568" spans="1:4" ht="31.5" customHeight="1">
      <c r="A3568" s="120">
        <v>96646</v>
      </c>
      <c r="B3568" s="119" t="s">
        <v>5108</v>
      </c>
      <c r="C3568" s="120" t="s">
        <v>328</v>
      </c>
      <c r="D3568" s="441">
        <v>26.64</v>
      </c>
    </row>
    <row r="3569" spans="1:4" ht="31.5" customHeight="1">
      <c r="A3569" s="120">
        <v>96647</v>
      </c>
      <c r="B3569" s="119" t="s">
        <v>5109</v>
      </c>
      <c r="C3569" s="120" t="s">
        <v>328</v>
      </c>
      <c r="D3569" s="441">
        <v>26.69</v>
      </c>
    </row>
    <row r="3570" spans="1:4" ht="31.5" customHeight="1">
      <c r="A3570" s="120">
        <v>96648</v>
      </c>
      <c r="B3570" s="119" t="s">
        <v>5110</v>
      </c>
      <c r="C3570" s="120" t="s">
        <v>328</v>
      </c>
      <c r="D3570" s="441">
        <v>32.78</v>
      </c>
    </row>
    <row r="3571" spans="1:4" ht="31.5" customHeight="1">
      <c r="A3571" s="120">
        <v>96649</v>
      </c>
      <c r="B3571" s="119" t="s">
        <v>5111</v>
      </c>
      <c r="C3571" s="120" t="s">
        <v>328</v>
      </c>
      <c r="D3571" s="441">
        <v>43.16</v>
      </c>
    </row>
    <row r="3572" spans="1:4" ht="15.75" customHeight="1">
      <c r="A3572" s="120">
        <v>96668</v>
      </c>
      <c r="B3572" s="119" t="s">
        <v>5112</v>
      </c>
      <c r="C3572" s="120" t="s">
        <v>328</v>
      </c>
      <c r="D3572" s="441">
        <v>18.93</v>
      </c>
    </row>
    <row r="3573" spans="1:4" ht="15.75" customHeight="1">
      <c r="A3573" s="120">
        <v>96669</v>
      </c>
      <c r="B3573" s="119" t="s">
        <v>5113</v>
      </c>
      <c r="C3573" s="120" t="s">
        <v>328</v>
      </c>
      <c r="D3573" s="441">
        <v>18.86</v>
      </c>
    </row>
    <row r="3574" spans="1:4" ht="15.75" customHeight="1">
      <c r="A3574" s="120">
        <v>96670</v>
      </c>
      <c r="B3574" s="119" t="s">
        <v>5114</v>
      </c>
      <c r="C3574" s="120" t="s">
        <v>328</v>
      </c>
      <c r="D3574" s="441">
        <v>24.45</v>
      </c>
    </row>
    <row r="3575" spans="1:4" ht="15.75" customHeight="1">
      <c r="A3575" s="120">
        <v>96671</v>
      </c>
      <c r="B3575" s="119" t="s">
        <v>5115</v>
      </c>
      <c r="C3575" s="120" t="s">
        <v>328</v>
      </c>
      <c r="D3575" s="441">
        <v>36.83</v>
      </c>
    </row>
    <row r="3576" spans="1:4" ht="15.75" customHeight="1">
      <c r="A3576" s="120">
        <v>96672</v>
      </c>
      <c r="B3576" s="119" t="s">
        <v>5116</v>
      </c>
      <c r="C3576" s="120" t="s">
        <v>328</v>
      </c>
      <c r="D3576" s="441">
        <v>55.85</v>
      </c>
    </row>
    <row r="3577" spans="1:4" ht="15.75" customHeight="1">
      <c r="A3577" s="120">
        <v>96673</v>
      </c>
      <c r="B3577" s="119" t="s">
        <v>5117</v>
      </c>
      <c r="C3577" s="120" t="s">
        <v>328</v>
      </c>
      <c r="D3577" s="441">
        <v>70.33</v>
      </c>
    </row>
    <row r="3578" spans="1:4" ht="15.75" customHeight="1">
      <c r="A3578" s="120">
        <v>96674</v>
      </c>
      <c r="B3578" s="119" t="s">
        <v>5118</v>
      </c>
      <c r="C3578" s="120" t="s">
        <v>328</v>
      </c>
      <c r="D3578" s="441">
        <v>113.18</v>
      </c>
    </row>
    <row r="3579" spans="1:4" ht="31.5" customHeight="1">
      <c r="A3579" s="120">
        <v>96675</v>
      </c>
      <c r="B3579" s="119" t="s">
        <v>5119</v>
      </c>
      <c r="C3579" s="120" t="s">
        <v>328</v>
      </c>
      <c r="D3579" s="441">
        <v>164.2</v>
      </c>
    </row>
    <row r="3580" spans="1:4" ht="15.75" customHeight="1">
      <c r="A3580" s="120">
        <v>96676</v>
      </c>
      <c r="B3580" s="119" t="s">
        <v>5120</v>
      </c>
      <c r="C3580" s="120" t="s">
        <v>328</v>
      </c>
      <c r="D3580" s="441">
        <v>24.08</v>
      </c>
    </row>
    <row r="3581" spans="1:4" ht="15.75" customHeight="1">
      <c r="A3581" s="120">
        <v>96677</v>
      </c>
      <c r="B3581" s="119" t="s">
        <v>5121</v>
      </c>
      <c r="C3581" s="120" t="s">
        <v>328</v>
      </c>
      <c r="D3581" s="441">
        <v>31.32</v>
      </c>
    </row>
    <row r="3582" spans="1:4" ht="15.75" customHeight="1">
      <c r="A3582" s="120">
        <v>96678</v>
      </c>
      <c r="B3582" s="119" t="s">
        <v>5122</v>
      </c>
      <c r="C3582" s="120" t="s">
        <v>328</v>
      </c>
      <c r="D3582" s="441">
        <v>42.99</v>
      </c>
    </row>
    <row r="3583" spans="1:4" ht="15.75" customHeight="1">
      <c r="A3583" s="120">
        <v>96679</v>
      </c>
      <c r="B3583" s="119" t="s">
        <v>5123</v>
      </c>
      <c r="C3583" s="120" t="s">
        <v>328</v>
      </c>
      <c r="D3583" s="441">
        <v>63.83</v>
      </c>
    </row>
    <row r="3584" spans="1:4" ht="15.75" customHeight="1">
      <c r="A3584" s="120">
        <v>96680</v>
      </c>
      <c r="B3584" s="119" t="s">
        <v>5124</v>
      </c>
      <c r="C3584" s="120" t="s">
        <v>328</v>
      </c>
      <c r="D3584" s="441">
        <v>105.1</v>
      </c>
    </row>
    <row r="3585" spans="1:4" ht="15.75" customHeight="1">
      <c r="A3585" s="120">
        <v>96681</v>
      </c>
      <c r="B3585" s="119" t="s">
        <v>5125</v>
      </c>
      <c r="C3585" s="120" t="s">
        <v>328</v>
      </c>
      <c r="D3585" s="441">
        <v>141.13999999999999</v>
      </c>
    </row>
    <row r="3586" spans="1:4" ht="15.75" customHeight="1">
      <c r="A3586" s="120">
        <v>96682</v>
      </c>
      <c r="B3586" s="119" t="s">
        <v>5126</v>
      </c>
      <c r="C3586" s="120" t="s">
        <v>328</v>
      </c>
      <c r="D3586" s="441">
        <v>232.11</v>
      </c>
    </row>
    <row r="3587" spans="1:4" ht="31.5" customHeight="1">
      <c r="A3587" s="120">
        <v>96683</v>
      </c>
      <c r="B3587" s="119" t="s">
        <v>5127</v>
      </c>
      <c r="C3587" s="120" t="s">
        <v>328</v>
      </c>
      <c r="D3587" s="441">
        <v>318.27</v>
      </c>
    </row>
    <row r="3588" spans="1:4" ht="31.5" customHeight="1">
      <c r="A3588" s="120">
        <v>96718</v>
      </c>
      <c r="B3588" s="119" t="s">
        <v>5128</v>
      </c>
      <c r="C3588" s="120" t="s">
        <v>328</v>
      </c>
      <c r="D3588" s="441">
        <v>10.83</v>
      </c>
    </row>
    <row r="3589" spans="1:4" ht="31.5" customHeight="1">
      <c r="A3589" s="120">
        <v>96719</v>
      </c>
      <c r="B3589" s="119" t="s">
        <v>5129</v>
      </c>
      <c r="C3589" s="120" t="s">
        <v>328</v>
      </c>
      <c r="D3589" s="441">
        <v>21.7</v>
      </c>
    </row>
    <row r="3590" spans="1:4" ht="31.5" customHeight="1">
      <c r="A3590" s="120">
        <v>96720</v>
      </c>
      <c r="B3590" s="119" t="s">
        <v>5130</v>
      </c>
      <c r="C3590" s="120" t="s">
        <v>328</v>
      </c>
      <c r="D3590" s="441">
        <v>20.329999999999998</v>
      </c>
    </row>
    <row r="3591" spans="1:4" ht="31.5" customHeight="1">
      <c r="A3591" s="120">
        <v>96721</v>
      </c>
      <c r="B3591" s="119" t="s">
        <v>5131</v>
      </c>
      <c r="C3591" s="120" t="s">
        <v>328</v>
      </c>
      <c r="D3591" s="441">
        <v>24.33</v>
      </c>
    </row>
    <row r="3592" spans="1:4" ht="31.5" customHeight="1">
      <c r="A3592" s="120">
        <v>96722</v>
      </c>
      <c r="B3592" s="119" t="s">
        <v>5132</v>
      </c>
      <c r="C3592" s="120" t="s">
        <v>328</v>
      </c>
      <c r="D3592" s="441">
        <v>38.86</v>
      </c>
    </row>
    <row r="3593" spans="1:4" ht="31.5" customHeight="1">
      <c r="A3593" s="120">
        <v>96723</v>
      </c>
      <c r="B3593" s="119" t="s">
        <v>5133</v>
      </c>
      <c r="C3593" s="120" t="s">
        <v>328</v>
      </c>
      <c r="D3593" s="441">
        <v>54.7</v>
      </c>
    </row>
    <row r="3594" spans="1:4" ht="31.5" customHeight="1">
      <c r="A3594" s="120">
        <v>96724</v>
      </c>
      <c r="B3594" s="119" t="s">
        <v>5134</v>
      </c>
      <c r="C3594" s="120" t="s">
        <v>328</v>
      </c>
      <c r="D3594" s="441">
        <v>73.87</v>
      </c>
    </row>
    <row r="3595" spans="1:4" ht="31.5" customHeight="1">
      <c r="A3595" s="120">
        <v>96725</v>
      </c>
      <c r="B3595" s="119" t="s">
        <v>5135</v>
      </c>
      <c r="C3595" s="120" t="s">
        <v>328</v>
      </c>
      <c r="D3595" s="441">
        <v>111.03</v>
      </c>
    </row>
    <row r="3596" spans="1:4" ht="31.5" customHeight="1">
      <c r="A3596" s="120">
        <v>96726</v>
      </c>
      <c r="B3596" s="119" t="s">
        <v>5136</v>
      </c>
      <c r="C3596" s="120" t="s">
        <v>328</v>
      </c>
      <c r="D3596" s="441">
        <v>158.16999999999999</v>
      </c>
    </row>
    <row r="3597" spans="1:4" ht="31.5" customHeight="1">
      <c r="A3597" s="120">
        <v>96727</v>
      </c>
      <c r="B3597" s="119" t="s">
        <v>5137</v>
      </c>
      <c r="C3597" s="120" t="s">
        <v>328</v>
      </c>
      <c r="D3597" s="441">
        <v>19.72</v>
      </c>
    </row>
    <row r="3598" spans="1:4" ht="31.5" customHeight="1">
      <c r="A3598" s="120">
        <v>96728</v>
      </c>
      <c r="B3598" s="119" t="s">
        <v>5138</v>
      </c>
      <c r="C3598" s="120" t="s">
        <v>328</v>
      </c>
      <c r="D3598" s="441">
        <v>24.11</v>
      </c>
    </row>
    <row r="3599" spans="1:4" ht="31.5" customHeight="1">
      <c r="A3599" s="120">
        <v>96729</v>
      </c>
      <c r="B3599" s="119" t="s">
        <v>5139</v>
      </c>
      <c r="C3599" s="120" t="s">
        <v>328</v>
      </c>
      <c r="D3599" s="441">
        <v>31.58</v>
      </c>
    </row>
    <row r="3600" spans="1:4" ht="31.5" customHeight="1">
      <c r="A3600" s="120">
        <v>96730</v>
      </c>
      <c r="B3600" s="119" t="s">
        <v>5140</v>
      </c>
      <c r="C3600" s="120" t="s">
        <v>328</v>
      </c>
      <c r="D3600" s="441">
        <v>40.880000000000003</v>
      </c>
    </row>
    <row r="3601" spans="1:4" ht="31.5" customHeight="1">
      <c r="A3601" s="120">
        <v>96731</v>
      </c>
      <c r="B3601" s="119" t="s">
        <v>5141</v>
      </c>
      <c r="C3601" s="120" t="s">
        <v>328</v>
      </c>
      <c r="D3601" s="441">
        <v>63.61</v>
      </c>
    </row>
    <row r="3602" spans="1:4" ht="31.5" customHeight="1">
      <c r="A3602" s="120">
        <v>96732</v>
      </c>
      <c r="B3602" s="119" t="s">
        <v>5142</v>
      </c>
      <c r="C3602" s="120" t="s">
        <v>328</v>
      </c>
      <c r="D3602" s="441">
        <v>99.69</v>
      </c>
    </row>
    <row r="3603" spans="1:4" ht="31.5" customHeight="1">
      <c r="A3603" s="120">
        <v>96733</v>
      </c>
      <c r="B3603" s="119" t="s">
        <v>5143</v>
      </c>
      <c r="C3603" s="120" t="s">
        <v>328</v>
      </c>
      <c r="D3603" s="441">
        <v>138.91</v>
      </c>
    </row>
    <row r="3604" spans="1:4" ht="31.5" customHeight="1">
      <c r="A3604" s="120">
        <v>96734</v>
      </c>
      <c r="B3604" s="119" t="s">
        <v>5144</v>
      </c>
      <c r="C3604" s="120" t="s">
        <v>328</v>
      </c>
      <c r="D3604" s="441">
        <v>219.67</v>
      </c>
    </row>
    <row r="3605" spans="1:4" ht="31.5" customHeight="1">
      <c r="A3605" s="120">
        <v>96735</v>
      </c>
      <c r="B3605" s="119" t="s">
        <v>5145</v>
      </c>
      <c r="C3605" s="120" t="s">
        <v>328</v>
      </c>
      <c r="D3605" s="441">
        <v>290.97000000000003</v>
      </c>
    </row>
    <row r="3606" spans="1:4" ht="31.5" customHeight="1">
      <c r="A3606" s="120">
        <v>96798</v>
      </c>
      <c r="B3606" s="119" t="s">
        <v>5146</v>
      </c>
      <c r="C3606" s="120" t="s">
        <v>328</v>
      </c>
      <c r="D3606" s="441">
        <v>9.3800000000000008</v>
      </c>
    </row>
    <row r="3607" spans="1:4" ht="31.5" customHeight="1">
      <c r="A3607" s="120">
        <v>96799</v>
      </c>
      <c r="B3607" s="119" t="s">
        <v>5147</v>
      </c>
      <c r="C3607" s="120" t="s">
        <v>328</v>
      </c>
      <c r="D3607" s="441">
        <v>12.01</v>
      </c>
    </row>
    <row r="3608" spans="1:4" ht="31.5" customHeight="1">
      <c r="A3608" s="120">
        <v>96800</v>
      </c>
      <c r="B3608" s="119" t="s">
        <v>5148</v>
      </c>
      <c r="C3608" s="120" t="s">
        <v>328</v>
      </c>
      <c r="D3608" s="441">
        <v>16.399999999999999</v>
      </c>
    </row>
    <row r="3609" spans="1:4" ht="31.5" customHeight="1">
      <c r="A3609" s="120">
        <v>96801</v>
      </c>
      <c r="B3609" s="119" t="s">
        <v>5149</v>
      </c>
      <c r="C3609" s="120" t="s">
        <v>328</v>
      </c>
      <c r="D3609" s="441">
        <v>24.95</v>
      </c>
    </row>
    <row r="3610" spans="1:4" ht="31.5" customHeight="1">
      <c r="A3610" s="120">
        <v>97327</v>
      </c>
      <c r="B3610" s="119" t="s">
        <v>5150</v>
      </c>
      <c r="C3610" s="120" t="s">
        <v>328</v>
      </c>
      <c r="D3610" s="441">
        <v>30.58</v>
      </c>
    </row>
    <row r="3611" spans="1:4" ht="31.5" customHeight="1">
      <c r="A3611" s="120">
        <v>97328</v>
      </c>
      <c r="B3611" s="119" t="s">
        <v>5151</v>
      </c>
      <c r="C3611" s="120" t="s">
        <v>328</v>
      </c>
      <c r="D3611" s="441">
        <v>53.95</v>
      </c>
    </row>
    <row r="3612" spans="1:4" ht="31.5" customHeight="1">
      <c r="A3612" s="120">
        <v>97329</v>
      </c>
      <c r="B3612" s="119" t="s">
        <v>5152</v>
      </c>
      <c r="C3612" s="120" t="s">
        <v>328</v>
      </c>
      <c r="D3612" s="441">
        <v>66.78</v>
      </c>
    </row>
    <row r="3613" spans="1:4" ht="31.5" customHeight="1">
      <c r="A3613" s="120">
        <v>97330</v>
      </c>
      <c r="B3613" s="119" t="s">
        <v>5153</v>
      </c>
      <c r="C3613" s="120" t="s">
        <v>328</v>
      </c>
      <c r="D3613" s="441">
        <v>81.25</v>
      </c>
    </row>
    <row r="3614" spans="1:4" ht="31.5" customHeight="1">
      <c r="A3614" s="120">
        <v>97331</v>
      </c>
      <c r="B3614" s="119" t="s">
        <v>5154</v>
      </c>
      <c r="C3614" s="120" t="s">
        <v>328</v>
      </c>
      <c r="D3614" s="441">
        <v>30.98</v>
      </c>
    </row>
    <row r="3615" spans="1:4" ht="31.5" customHeight="1">
      <c r="A3615" s="120">
        <v>97332</v>
      </c>
      <c r="B3615" s="119" t="s">
        <v>5155</v>
      </c>
      <c r="C3615" s="120" t="s">
        <v>328</v>
      </c>
      <c r="D3615" s="441">
        <v>54.41</v>
      </c>
    </row>
    <row r="3616" spans="1:4" ht="31.5" customHeight="1">
      <c r="A3616" s="120">
        <v>97333</v>
      </c>
      <c r="B3616" s="119" t="s">
        <v>5156</v>
      </c>
      <c r="C3616" s="120" t="s">
        <v>328</v>
      </c>
      <c r="D3616" s="441">
        <v>67.36</v>
      </c>
    </row>
    <row r="3617" spans="1:4" ht="31.5" customHeight="1">
      <c r="A3617" s="120">
        <v>97334</v>
      </c>
      <c r="B3617" s="119" t="s">
        <v>5157</v>
      </c>
      <c r="C3617" s="120" t="s">
        <v>328</v>
      </c>
      <c r="D3617" s="441">
        <v>81.89</v>
      </c>
    </row>
    <row r="3618" spans="1:4" ht="31.5" customHeight="1">
      <c r="A3618" s="120">
        <v>97335</v>
      </c>
      <c r="B3618" s="119" t="s">
        <v>5158</v>
      </c>
      <c r="C3618" s="120" t="s">
        <v>328</v>
      </c>
      <c r="D3618" s="441">
        <v>78.75</v>
      </c>
    </row>
    <row r="3619" spans="1:4" ht="31.5" customHeight="1">
      <c r="A3619" s="120">
        <v>97336</v>
      </c>
      <c r="B3619" s="119" t="s">
        <v>5159</v>
      </c>
      <c r="C3619" s="120" t="s">
        <v>328</v>
      </c>
      <c r="D3619" s="441">
        <v>100.24</v>
      </c>
    </row>
    <row r="3620" spans="1:4" ht="31.5" customHeight="1">
      <c r="A3620" s="120">
        <v>97337</v>
      </c>
      <c r="B3620" s="119" t="s">
        <v>5160</v>
      </c>
      <c r="C3620" s="120" t="s">
        <v>328</v>
      </c>
      <c r="D3620" s="441">
        <v>150.58000000000001</v>
      </c>
    </row>
    <row r="3621" spans="1:4" ht="31.5" customHeight="1">
      <c r="A3621" s="120">
        <v>97338</v>
      </c>
      <c r="B3621" s="119" t="s">
        <v>5161</v>
      </c>
      <c r="C3621" s="120" t="s">
        <v>328</v>
      </c>
      <c r="D3621" s="441">
        <v>181.19</v>
      </c>
    </row>
    <row r="3622" spans="1:4" ht="31.5" customHeight="1">
      <c r="A3622" s="120">
        <v>97339</v>
      </c>
      <c r="B3622" s="119" t="s">
        <v>5162</v>
      </c>
      <c r="C3622" s="120" t="s">
        <v>328</v>
      </c>
      <c r="D3622" s="441">
        <v>195.37</v>
      </c>
    </row>
    <row r="3623" spans="1:4" ht="31.5" customHeight="1">
      <c r="A3623" s="120">
        <v>97340</v>
      </c>
      <c r="B3623" s="119" t="s">
        <v>5163</v>
      </c>
      <c r="C3623" s="120" t="s">
        <v>328</v>
      </c>
      <c r="D3623" s="441">
        <v>196.85</v>
      </c>
    </row>
    <row r="3624" spans="1:4" ht="31.5" customHeight="1">
      <c r="A3624" s="120">
        <v>97347</v>
      </c>
      <c r="B3624" s="119" t="s">
        <v>5164</v>
      </c>
      <c r="C3624" s="120" t="s">
        <v>328</v>
      </c>
      <c r="D3624" s="441">
        <v>94.82</v>
      </c>
    </row>
    <row r="3625" spans="1:4" ht="31.5" customHeight="1">
      <c r="A3625" s="120">
        <v>97348</v>
      </c>
      <c r="B3625" s="119" t="s">
        <v>5165</v>
      </c>
      <c r="C3625" s="120" t="s">
        <v>328</v>
      </c>
      <c r="D3625" s="441">
        <v>130.85</v>
      </c>
    </row>
    <row r="3626" spans="1:4" ht="31.5" customHeight="1">
      <c r="A3626" s="120">
        <v>97349</v>
      </c>
      <c r="B3626" s="119" t="s">
        <v>5166</v>
      </c>
      <c r="C3626" s="120" t="s">
        <v>328</v>
      </c>
      <c r="D3626" s="441">
        <v>188.39</v>
      </c>
    </row>
    <row r="3627" spans="1:4" ht="31.5" customHeight="1">
      <c r="A3627" s="120">
        <v>97350</v>
      </c>
      <c r="B3627" s="119" t="s">
        <v>5167</v>
      </c>
      <c r="C3627" s="120" t="s">
        <v>328</v>
      </c>
      <c r="D3627" s="441">
        <v>228.68</v>
      </c>
    </row>
    <row r="3628" spans="1:4" ht="31.5" customHeight="1">
      <c r="A3628" s="120">
        <v>97351</v>
      </c>
      <c r="B3628" s="119" t="s">
        <v>5168</v>
      </c>
      <c r="C3628" s="120" t="s">
        <v>328</v>
      </c>
      <c r="D3628" s="441">
        <v>316.04000000000002</v>
      </c>
    </row>
    <row r="3629" spans="1:4" ht="31.5" customHeight="1">
      <c r="A3629" s="120">
        <v>97352</v>
      </c>
      <c r="B3629" s="119" t="s">
        <v>5169</v>
      </c>
      <c r="C3629" s="120" t="s">
        <v>328</v>
      </c>
      <c r="D3629" s="441">
        <v>409.42</v>
      </c>
    </row>
    <row r="3630" spans="1:4" ht="31.5" customHeight="1">
      <c r="A3630" s="120">
        <v>97353</v>
      </c>
      <c r="B3630" s="119" t="s">
        <v>5170</v>
      </c>
      <c r="C3630" s="120" t="s">
        <v>328</v>
      </c>
      <c r="D3630" s="441">
        <v>63.73</v>
      </c>
    </row>
    <row r="3631" spans="1:4" ht="31.5" customHeight="1">
      <c r="A3631" s="120">
        <v>97354</v>
      </c>
      <c r="B3631" s="119" t="s">
        <v>5171</v>
      </c>
      <c r="C3631" s="120" t="s">
        <v>328</v>
      </c>
      <c r="D3631" s="441">
        <v>100.42</v>
      </c>
    </row>
    <row r="3632" spans="1:4" ht="31.5" customHeight="1">
      <c r="A3632" s="120">
        <v>97355</v>
      </c>
      <c r="B3632" s="119" t="s">
        <v>5172</v>
      </c>
      <c r="C3632" s="120" t="s">
        <v>328</v>
      </c>
      <c r="D3632" s="441">
        <v>136.86000000000001</v>
      </c>
    </row>
    <row r="3633" spans="1:4" ht="31.5" customHeight="1">
      <c r="A3633" s="120">
        <v>97356</v>
      </c>
      <c r="B3633" s="119" t="s">
        <v>5173</v>
      </c>
      <c r="C3633" s="120" t="s">
        <v>328</v>
      </c>
      <c r="D3633" s="441">
        <v>76.040000000000006</v>
      </c>
    </row>
    <row r="3634" spans="1:4" ht="31.5" customHeight="1">
      <c r="A3634" s="120">
        <v>97357</v>
      </c>
      <c r="B3634" s="119" t="s">
        <v>5174</v>
      </c>
      <c r="C3634" s="120" t="s">
        <v>328</v>
      </c>
      <c r="D3634" s="441">
        <v>121.58</v>
      </c>
    </row>
    <row r="3635" spans="1:4" ht="31.5" customHeight="1">
      <c r="A3635" s="120">
        <v>97358</v>
      </c>
      <c r="B3635" s="119" t="s">
        <v>5175</v>
      </c>
      <c r="C3635" s="120" t="s">
        <v>328</v>
      </c>
      <c r="D3635" s="441">
        <v>165.7</v>
      </c>
    </row>
    <row r="3636" spans="1:4" ht="31.5" customHeight="1">
      <c r="A3636" s="120">
        <v>97498</v>
      </c>
      <c r="B3636" s="119" t="s">
        <v>5176</v>
      </c>
      <c r="C3636" s="120" t="s">
        <v>328</v>
      </c>
      <c r="D3636" s="441">
        <v>49.44</v>
      </c>
    </row>
    <row r="3637" spans="1:4" ht="31.5" customHeight="1">
      <c r="A3637" s="120">
        <v>97535</v>
      </c>
      <c r="B3637" s="119" t="s">
        <v>5177</v>
      </c>
      <c r="C3637" s="120" t="s">
        <v>328</v>
      </c>
      <c r="D3637" s="441">
        <v>55.05</v>
      </c>
    </row>
    <row r="3638" spans="1:4" ht="31.5" customHeight="1">
      <c r="A3638" s="120">
        <v>97536</v>
      </c>
      <c r="B3638" s="119" t="s">
        <v>5178</v>
      </c>
      <c r="C3638" s="120" t="s">
        <v>328</v>
      </c>
      <c r="D3638" s="441">
        <v>67.94</v>
      </c>
    </row>
    <row r="3639" spans="1:4" ht="31.5" customHeight="1">
      <c r="A3639" s="120">
        <v>100788</v>
      </c>
      <c r="B3639" s="119" t="s">
        <v>5179</v>
      </c>
      <c r="C3639" s="120" t="s">
        <v>331</v>
      </c>
      <c r="D3639" s="441">
        <v>759.3</v>
      </c>
    </row>
    <row r="3640" spans="1:4" ht="31.5" customHeight="1">
      <c r="A3640" s="120">
        <v>100791</v>
      </c>
      <c r="B3640" s="119" t="s">
        <v>5180</v>
      </c>
      <c r="C3640" s="120" t="s">
        <v>328</v>
      </c>
      <c r="D3640" s="441">
        <v>20.28</v>
      </c>
    </row>
    <row r="3641" spans="1:4" ht="31.5" customHeight="1">
      <c r="A3641" s="120">
        <v>100792</v>
      </c>
      <c r="B3641" s="119" t="s">
        <v>5181</v>
      </c>
      <c r="C3641" s="120" t="s">
        <v>328</v>
      </c>
      <c r="D3641" s="441">
        <v>29.16</v>
      </c>
    </row>
    <row r="3642" spans="1:4" ht="31.5" customHeight="1">
      <c r="A3642" s="120">
        <v>100793</v>
      </c>
      <c r="B3642" s="119" t="s">
        <v>5182</v>
      </c>
      <c r="C3642" s="120" t="s">
        <v>328</v>
      </c>
      <c r="D3642" s="441">
        <v>38.369999999999997</v>
      </c>
    </row>
    <row r="3643" spans="1:4" ht="31.5" customHeight="1">
      <c r="A3643" s="120">
        <v>100794</v>
      </c>
      <c r="B3643" s="119" t="s">
        <v>5183</v>
      </c>
      <c r="C3643" s="120" t="s">
        <v>328</v>
      </c>
      <c r="D3643" s="441">
        <v>51.39</v>
      </c>
    </row>
    <row r="3644" spans="1:4" ht="31.5" customHeight="1">
      <c r="A3644" s="120">
        <v>100799</v>
      </c>
      <c r="B3644" s="119" t="s">
        <v>5184</v>
      </c>
      <c r="C3644" s="120" t="s">
        <v>328</v>
      </c>
      <c r="D3644" s="441">
        <v>20.85</v>
      </c>
    </row>
    <row r="3645" spans="1:4" ht="31.5" customHeight="1">
      <c r="A3645" s="120">
        <v>100800</v>
      </c>
      <c r="B3645" s="119" t="s">
        <v>5185</v>
      </c>
      <c r="C3645" s="120" t="s">
        <v>328</v>
      </c>
      <c r="D3645" s="441">
        <v>29.74</v>
      </c>
    </row>
    <row r="3646" spans="1:4" ht="31.5" customHeight="1">
      <c r="A3646" s="120">
        <v>100801</v>
      </c>
      <c r="B3646" s="119" t="s">
        <v>5186</v>
      </c>
      <c r="C3646" s="120" t="s">
        <v>328</v>
      </c>
      <c r="D3646" s="441">
        <v>38.950000000000003</v>
      </c>
    </row>
    <row r="3647" spans="1:4" ht="31.5" customHeight="1">
      <c r="A3647" s="120">
        <v>100802</v>
      </c>
      <c r="B3647" s="119" t="s">
        <v>5187</v>
      </c>
      <c r="C3647" s="120" t="s">
        <v>328</v>
      </c>
      <c r="D3647" s="441">
        <v>51.97</v>
      </c>
    </row>
    <row r="3648" spans="1:4" ht="31.5" customHeight="1">
      <c r="A3648" s="120">
        <v>100803</v>
      </c>
      <c r="B3648" s="119" t="s">
        <v>5188</v>
      </c>
      <c r="C3648" s="120" t="s">
        <v>328</v>
      </c>
      <c r="D3648" s="441">
        <v>19.11</v>
      </c>
    </row>
    <row r="3649" spans="1:4" ht="31.5" customHeight="1">
      <c r="A3649" s="120">
        <v>100804</v>
      </c>
      <c r="B3649" s="119" t="s">
        <v>5189</v>
      </c>
      <c r="C3649" s="120" t="s">
        <v>328</v>
      </c>
      <c r="D3649" s="441">
        <v>27.77</v>
      </c>
    </row>
    <row r="3650" spans="1:4" ht="31.5" customHeight="1">
      <c r="A3650" s="120">
        <v>100805</v>
      </c>
      <c r="B3650" s="119" t="s">
        <v>5190</v>
      </c>
      <c r="C3650" s="120" t="s">
        <v>328</v>
      </c>
      <c r="D3650" s="441">
        <v>36.71</v>
      </c>
    </row>
    <row r="3651" spans="1:4" ht="31.5" customHeight="1">
      <c r="A3651" s="120">
        <v>100806</v>
      </c>
      <c r="B3651" s="119" t="s">
        <v>5191</v>
      </c>
      <c r="C3651" s="120" t="s">
        <v>328</v>
      </c>
      <c r="D3651" s="441">
        <v>49.35</v>
      </c>
    </row>
    <row r="3652" spans="1:4" ht="31.5" customHeight="1">
      <c r="A3652" s="120">
        <v>100807</v>
      </c>
      <c r="B3652" s="119" t="s">
        <v>5192</v>
      </c>
      <c r="C3652" s="120" t="s">
        <v>328</v>
      </c>
      <c r="D3652" s="441">
        <v>27.53</v>
      </c>
    </row>
    <row r="3653" spans="1:4" ht="31.5" customHeight="1">
      <c r="A3653" s="120">
        <v>100808</v>
      </c>
      <c r="B3653" s="119" t="s">
        <v>5193</v>
      </c>
      <c r="C3653" s="120" t="s">
        <v>328</v>
      </c>
      <c r="D3653" s="441">
        <v>37.659999999999997</v>
      </c>
    </row>
    <row r="3654" spans="1:4" ht="31.5" customHeight="1">
      <c r="A3654" s="120">
        <v>100809</v>
      </c>
      <c r="B3654" s="119" t="s">
        <v>5194</v>
      </c>
      <c r="C3654" s="120" t="s">
        <v>328</v>
      </c>
      <c r="D3654" s="441">
        <v>48.43</v>
      </c>
    </row>
    <row r="3655" spans="1:4" ht="31.5" customHeight="1">
      <c r="A3655" s="120">
        <v>100810</v>
      </c>
      <c r="B3655" s="119" t="s">
        <v>5195</v>
      </c>
      <c r="C3655" s="120" t="s">
        <v>328</v>
      </c>
      <c r="D3655" s="441">
        <v>63.63</v>
      </c>
    </row>
    <row r="3656" spans="1:4" ht="31.5" customHeight="1">
      <c r="A3656" s="120">
        <v>101918</v>
      </c>
      <c r="B3656" s="119" t="s">
        <v>5196</v>
      </c>
      <c r="C3656" s="120" t="s">
        <v>328</v>
      </c>
      <c r="D3656" s="441">
        <v>230.42</v>
      </c>
    </row>
    <row r="3657" spans="1:4" ht="31.5" customHeight="1">
      <c r="A3657" s="120">
        <v>101919</v>
      </c>
      <c r="B3657" s="119" t="s">
        <v>5197</v>
      </c>
      <c r="C3657" s="120" t="s">
        <v>331</v>
      </c>
      <c r="D3657" s="441">
        <v>433.9</v>
      </c>
    </row>
    <row r="3658" spans="1:4" ht="31.5" customHeight="1">
      <c r="A3658" s="120">
        <v>101920</v>
      </c>
      <c r="B3658" s="119" t="s">
        <v>5198</v>
      </c>
      <c r="C3658" s="120" t="s">
        <v>331</v>
      </c>
      <c r="D3658" s="441">
        <v>209.48</v>
      </c>
    </row>
    <row r="3659" spans="1:4" ht="31.5" customHeight="1">
      <c r="A3659" s="120">
        <v>101921</v>
      </c>
      <c r="B3659" s="119" t="s">
        <v>5199</v>
      </c>
      <c r="C3659" s="120" t="s">
        <v>331</v>
      </c>
      <c r="D3659" s="441">
        <v>238.38</v>
      </c>
    </row>
    <row r="3660" spans="1:4" ht="31.5" customHeight="1">
      <c r="A3660" s="120">
        <v>101922</v>
      </c>
      <c r="B3660" s="119" t="s">
        <v>5200</v>
      </c>
      <c r="C3660" s="120" t="s">
        <v>331</v>
      </c>
      <c r="D3660" s="441">
        <v>238.38</v>
      </c>
    </row>
    <row r="3661" spans="1:4" ht="31.5" customHeight="1">
      <c r="A3661" s="120">
        <v>101923</v>
      </c>
      <c r="B3661" s="119" t="s">
        <v>5201</v>
      </c>
      <c r="C3661" s="120" t="s">
        <v>331</v>
      </c>
      <c r="D3661" s="441">
        <v>238.38</v>
      </c>
    </row>
    <row r="3662" spans="1:4" ht="31.5" customHeight="1">
      <c r="A3662" s="120">
        <v>101924</v>
      </c>
      <c r="B3662" s="119" t="s">
        <v>5202</v>
      </c>
      <c r="C3662" s="120" t="s">
        <v>331</v>
      </c>
      <c r="D3662" s="441">
        <v>197.39</v>
      </c>
    </row>
    <row r="3663" spans="1:4" ht="31.5" customHeight="1">
      <c r="A3663" s="120">
        <v>101925</v>
      </c>
      <c r="B3663" s="119" t="s">
        <v>5203</v>
      </c>
      <c r="C3663" s="120" t="s">
        <v>331</v>
      </c>
      <c r="D3663" s="441">
        <v>329.27</v>
      </c>
    </row>
    <row r="3664" spans="1:4" ht="31.5" customHeight="1">
      <c r="A3664" s="120">
        <v>101926</v>
      </c>
      <c r="B3664" s="119" t="s">
        <v>5204</v>
      </c>
      <c r="C3664" s="120" t="s">
        <v>331</v>
      </c>
      <c r="D3664" s="441">
        <v>424.83</v>
      </c>
    </row>
    <row r="3665" spans="1:4" ht="31.5" customHeight="1">
      <c r="A3665" s="120">
        <v>101927</v>
      </c>
      <c r="B3665" s="119" t="s">
        <v>5205</v>
      </c>
      <c r="C3665" s="120" t="s">
        <v>328</v>
      </c>
      <c r="D3665" s="441">
        <v>212.93</v>
      </c>
    </row>
    <row r="3666" spans="1:4" ht="31.5" customHeight="1">
      <c r="A3666" s="120">
        <v>101928</v>
      </c>
      <c r="B3666" s="119" t="s">
        <v>5206</v>
      </c>
      <c r="C3666" s="120" t="s">
        <v>331</v>
      </c>
      <c r="D3666" s="441">
        <v>440.59</v>
      </c>
    </row>
    <row r="3667" spans="1:4" ht="31.5" customHeight="1">
      <c r="A3667" s="120">
        <v>101929</v>
      </c>
      <c r="B3667" s="119" t="s">
        <v>5207</v>
      </c>
      <c r="C3667" s="120" t="s">
        <v>331</v>
      </c>
      <c r="D3667" s="441">
        <v>216.17</v>
      </c>
    </row>
    <row r="3668" spans="1:4" ht="31.5" customHeight="1">
      <c r="A3668" s="120">
        <v>101930</v>
      </c>
      <c r="B3668" s="119" t="s">
        <v>5208</v>
      </c>
      <c r="C3668" s="120" t="s">
        <v>331</v>
      </c>
      <c r="D3668" s="441">
        <v>245.07</v>
      </c>
    </row>
    <row r="3669" spans="1:4" ht="31.5" customHeight="1">
      <c r="A3669" s="120">
        <v>101931</v>
      </c>
      <c r="B3669" s="119" t="s">
        <v>5209</v>
      </c>
      <c r="C3669" s="120" t="s">
        <v>331</v>
      </c>
      <c r="D3669" s="441">
        <v>245.07</v>
      </c>
    </row>
    <row r="3670" spans="1:4" ht="31.5" customHeight="1">
      <c r="A3670" s="120">
        <v>101932</v>
      </c>
      <c r="B3670" s="119" t="s">
        <v>5210</v>
      </c>
      <c r="C3670" s="120" t="s">
        <v>331</v>
      </c>
      <c r="D3670" s="441">
        <v>245.07</v>
      </c>
    </row>
    <row r="3671" spans="1:4" ht="31.5" customHeight="1">
      <c r="A3671" s="120">
        <v>101933</v>
      </c>
      <c r="B3671" s="119" t="s">
        <v>5211</v>
      </c>
      <c r="C3671" s="120" t="s">
        <v>331</v>
      </c>
      <c r="D3671" s="441">
        <v>204.08</v>
      </c>
    </row>
    <row r="3672" spans="1:4" ht="31.5" customHeight="1">
      <c r="A3672" s="120">
        <v>101934</v>
      </c>
      <c r="B3672" s="119" t="s">
        <v>5212</v>
      </c>
      <c r="C3672" s="120" t="s">
        <v>331</v>
      </c>
      <c r="D3672" s="441">
        <v>339.31</v>
      </c>
    </row>
    <row r="3673" spans="1:4" ht="31.5" customHeight="1">
      <c r="A3673" s="120">
        <v>101935</v>
      </c>
      <c r="B3673" s="119" t="s">
        <v>5213</v>
      </c>
      <c r="C3673" s="120" t="s">
        <v>331</v>
      </c>
      <c r="D3673" s="441">
        <v>438.22</v>
      </c>
    </row>
    <row r="3674" spans="1:4" ht="31.5" customHeight="1">
      <c r="A3674" s="120">
        <v>103802</v>
      </c>
      <c r="B3674" s="119" t="s">
        <v>5214</v>
      </c>
      <c r="C3674" s="120" t="s">
        <v>328</v>
      </c>
      <c r="D3674" s="441">
        <v>40.83</v>
      </c>
    </row>
    <row r="3675" spans="1:4" ht="31.5" customHeight="1">
      <c r="A3675" s="120">
        <v>103803</v>
      </c>
      <c r="B3675" s="119" t="s">
        <v>5215</v>
      </c>
      <c r="C3675" s="120" t="s">
        <v>328</v>
      </c>
      <c r="D3675" s="441">
        <v>70.19</v>
      </c>
    </row>
    <row r="3676" spans="1:4" ht="31.5" customHeight="1">
      <c r="A3676" s="120">
        <v>103804</v>
      </c>
      <c r="B3676" s="119" t="s">
        <v>5216</v>
      </c>
      <c r="C3676" s="120" t="s">
        <v>328</v>
      </c>
      <c r="D3676" s="441">
        <v>84.28</v>
      </c>
    </row>
    <row r="3677" spans="1:4" ht="31.5" customHeight="1">
      <c r="A3677" s="120">
        <v>103835</v>
      </c>
      <c r="B3677" s="119" t="s">
        <v>5217</v>
      </c>
      <c r="C3677" s="120" t="s">
        <v>328</v>
      </c>
      <c r="D3677" s="441">
        <v>63.9</v>
      </c>
    </row>
    <row r="3678" spans="1:4" ht="31.5" customHeight="1">
      <c r="A3678" s="120">
        <v>103836</v>
      </c>
      <c r="B3678" s="119" t="s">
        <v>5218</v>
      </c>
      <c r="C3678" s="120" t="s">
        <v>328</v>
      </c>
      <c r="D3678" s="441">
        <v>98.62</v>
      </c>
    </row>
    <row r="3679" spans="1:4" ht="31.5" customHeight="1">
      <c r="A3679" s="120">
        <v>103837</v>
      </c>
      <c r="B3679" s="119" t="s">
        <v>5219</v>
      </c>
      <c r="C3679" s="120" t="s">
        <v>328</v>
      </c>
      <c r="D3679" s="441">
        <v>124.17</v>
      </c>
    </row>
    <row r="3680" spans="1:4" ht="31.5" customHeight="1">
      <c r="A3680" s="120">
        <v>103868</v>
      </c>
      <c r="B3680" s="119" t="s">
        <v>5220</v>
      </c>
      <c r="C3680" s="120" t="s">
        <v>328</v>
      </c>
      <c r="D3680" s="441">
        <v>52.38</v>
      </c>
    </row>
    <row r="3681" spans="1:4" ht="31.5" customHeight="1">
      <c r="A3681" s="120">
        <v>103869</v>
      </c>
      <c r="B3681" s="119" t="s">
        <v>5221</v>
      </c>
      <c r="C3681" s="120" t="s">
        <v>328</v>
      </c>
      <c r="D3681" s="441">
        <v>78.28</v>
      </c>
    </row>
    <row r="3682" spans="1:4" ht="31.5" customHeight="1">
      <c r="A3682" s="120">
        <v>103870</v>
      </c>
      <c r="B3682" s="119" t="s">
        <v>5222</v>
      </c>
      <c r="C3682" s="120" t="s">
        <v>328</v>
      </c>
      <c r="D3682" s="441">
        <v>95.78</v>
      </c>
    </row>
    <row r="3683" spans="1:4" ht="31.5" customHeight="1">
      <c r="A3683" s="120">
        <v>103871</v>
      </c>
      <c r="B3683" s="119" t="s">
        <v>5223</v>
      </c>
      <c r="C3683" s="120" t="s">
        <v>328</v>
      </c>
      <c r="D3683" s="441">
        <v>76.760000000000005</v>
      </c>
    </row>
    <row r="3684" spans="1:4" ht="31.5" customHeight="1">
      <c r="A3684" s="120">
        <v>103872</v>
      </c>
      <c r="B3684" s="119" t="s">
        <v>5224</v>
      </c>
      <c r="C3684" s="120" t="s">
        <v>328</v>
      </c>
      <c r="D3684" s="441">
        <v>194.27</v>
      </c>
    </row>
    <row r="3685" spans="1:4" ht="31.5" customHeight="1">
      <c r="A3685" s="120">
        <v>103873</v>
      </c>
      <c r="B3685" s="119" t="s">
        <v>5225</v>
      </c>
      <c r="C3685" s="120" t="s">
        <v>328</v>
      </c>
      <c r="D3685" s="441">
        <v>216.53</v>
      </c>
    </row>
    <row r="3686" spans="1:4" ht="31.5" customHeight="1">
      <c r="A3686" s="120">
        <v>103978</v>
      </c>
      <c r="B3686" s="119" t="s">
        <v>5226</v>
      </c>
      <c r="C3686" s="120" t="s">
        <v>328</v>
      </c>
      <c r="D3686" s="441">
        <v>30.16</v>
      </c>
    </row>
    <row r="3687" spans="1:4" ht="31.5" customHeight="1">
      <c r="A3687" s="120">
        <v>103979</v>
      </c>
      <c r="B3687" s="119" t="s">
        <v>5227</v>
      </c>
      <c r="C3687" s="120" t="s">
        <v>328</v>
      </c>
      <c r="D3687" s="441">
        <v>34.36</v>
      </c>
    </row>
    <row r="3688" spans="1:4" ht="31.5" customHeight="1">
      <c r="A3688" s="120">
        <v>104021</v>
      </c>
      <c r="B3688" s="119" t="s">
        <v>5228</v>
      </c>
      <c r="C3688" s="120" t="s">
        <v>328</v>
      </c>
      <c r="D3688" s="441">
        <v>73.66</v>
      </c>
    </row>
    <row r="3689" spans="1:4" ht="31.5" customHeight="1">
      <c r="A3689" s="120">
        <v>104166</v>
      </c>
      <c r="B3689" s="119" t="s">
        <v>5229</v>
      </c>
      <c r="C3689" s="120" t="s">
        <v>328</v>
      </c>
      <c r="D3689" s="441">
        <v>77.28</v>
      </c>
    </row>
    <row r="3690" spans="1:4" ht="31.5" customHeight="1">
      <c r="A3690" s="120">
        <v>104194</v>
      </c>
      <c r="B3690" s="119" t="s">
        <v>5230</v>
      </c>
      <c r="C3690" s="120" t="s">
        <v>328</v>
      </c>
      <c r="D3690" s="441">
        <v>23.96</v>
      </c>
    </row>
    <row r="3691" spans="1:4" ht="31.5" customHeight="1">
      <c r="A3691" s="120">
        <v>104195</v>
      </c>
      <c r="B3691" s="119" t="s">
        <v>5231</v>
      </c>
      <c r="C3691" s="120" t="s">
        <v>328</v>
      </c>
      <c r="D3691" s="441">
        <v>25.42</v>
      </c>
    </row>
    <row r="3692" spans="1:4" ht="31.5" customHeight="1">
      <c r="A3692" s="120">
        <v>104315</v>
      </c>
      <c r="B3692" s="119" t="s">
        <v>5232</v>
      </c>
      <c r="C3692" s="120" t="s">
        <v>328</v>
      </c>
      <c r="D3692" s="441">
        <v>18.53</v>
      </c>
    </row>
    <row r="3693" spans="1:4" ht="31.5" customHeight="1">
      <c r="A3693" s="120">
        <v>104316</v>
      </c>
      <c r="B3693" s="119" t="s">
        <v>5233</v>
      </c>
      <c r="C3693" s="120" t="s">
        <v>328</v>
      </c>
      <c r="D3693" s="441">
        <v>26.78</v>
      </c>
    </row>
    <row r="3694" spans="1:4" ht="31.5" customHeight="1">
      <c r="A3694" s="120">
        <v>89358</v>
      </c>
      <c r="B3694" s="119" t="s">
        <v>5234</v>
      </c>
      <c r="C3694" s="120" t="s">
        <v>331</v>
      </c>
      <c r="D3694" s="441">
        <v>9.16</v>
      </c>
    </row>
    <row r="3695" spans="1:4" ht="31.5" customHeight="1">
      <c r="A3695" s="120">
        <v>89359</v>
      </c>
      <c r="B3695" s="119" t="s">
        <v>5235</v>
      </c>
      <c r="C3695" s="120" t="s">
        <v>331</v>
      </c>
      <c r="D3695" s="441">
        <v>9.7899999999999991</v>
      </c>
    </row>
    <row r="3696" spans="1:4" ht="31.5" customHeight="1">
      <c r="A3696" s="120">
        <v>89360</v>
      </c>
      <c r="B3696" s="119" t="s">
        <v>5236</v>
      </c>
      <c r="C3696" s="120" t="s">
        <v>331</v>
      </c>
      <c r="D3696" s="441">
        <v>10.93</v>
      </c>
    </row>
    <row r="3697" spans="1:4" ht="31.5" customHeight="1">
      <c r="A3697" s="120">
        <v>89361</v>
      </c>
      <c r="B3697" s="119" t="s">
        <v>5237</v>
      </c>
      <c r="C3697" s="120" t="s">
        <v>331</v>
      </c>
      <c r="D3697" s="441">
        <v>11.01</v>
      </c>
    </row>
    <row r="3698" spans="1:4" ht="31.5" customHeight="1">
      <c r="A3698" s="120">
        <v>89362</v>
      </c>
      <c r="B3698" s="119" t="s">
        <v>5238</v>
      </c>
      <c r="C3698" s="120" t="s">
        <v>331</v>
      </c>
      <c r="D3698" s="441">
        <v>10.9</v>
      </c>
    </row>
    <row r="3699" spans="1:4" ht="31.5" customHeight="1">
      <c r="A3699" s="120">
        <v>89363</v>
      </c>
      <c r="B3699" s="119" t="s">
        <v>5239</v>
      </c>
      <c r="C3699" s="120" t="s">
        <v>331</v>
      </c>
      <c r="D3699" s="441">
        <v>11.8</v>
      </c>
    </row>
    <row r="3700" spans="1:4" ht="31.5" customHeight="1">
      <c r="A3700" s="120">
        <v>89364</v>
      </c>
      <c r="B3700" s="119" t="s">
        <v>5240</v>
      </c>
      <c r="C3700" s="120" t="s">
        <v>331</v>
      </c>
      <c r="D3700" s="441">
        <v>13.52</v>
      </c>
    </row>
    <row r="3701" spans="1:4" ht="31.5" customHeight="1">
      <c r="A3701" s="120">
        <v>89365</v>
      </c>
      <c r="B3701" s="119" t="s">
        <v>5241</v>
      </c>
      <c r="C3701" s="120" t="s">
        <v>331</v>
      </c>
      <c r="D3701" s="441">
        <v>12.9</v>
      </c>
    </row>
    <row r="3702" spans="1:4" ht="31.5" customHeight="1">
      <c r="A3702" s="120">
        <v>89366</v>
      </c>
      <c r="B3702" s="119" t="s">
        <v>5242</v>
      </c>
      <c r="C3702" s="120" t="s">
        <v>331</v>
      </c>
      <c r="D3702" s="441">
        <v>18.64</v>
      </c>
    </row>
    <row r="3703" spans="1:4" ht="31.5" customHeight="1">
      <c r="A3703" s="120">
        <v>89367</v>
      </c>
      <c r="B3703" s="119" t="s">
        <v>5243</v>
      </c>
      <c r="C3703" s="120" t="s">
        <v>331</v>
      </c>
      <c r="D3703" s="441">
        <v>15</v>
      </c>
    </row>
    <row r="3704" spans="1:4" ht="31.5" customHeight="1">
      <c r="A3704" s="120">
        <v>89368</v>
      </c>
      <c r="B3704" s="119" t="s">
        <v>5244</v>
      </c>
      <c r="C3704" s="120" t="s">
        <v>331</v>
      </c>
      <c r="D3704" s="441">
        <v>17</v>
      </c>
    </row>
    <row r="3705" spans="1:4" ht="31.5" customHeight="1">
      <c r="A3705" s="120">
        <v>89369</v>
      </c>
      <c r="B3705" s="119" t="s">
        <v>5245</v>
      </c>
      <c r="C3705" s="120" t="s">
        <v>331</v>
      </c>
      <c r="D3705" s="441">
        <v>19.690000000000001</v>
      </c>
    </row>
    <row r="3706" spans="1:4" ht="31.5" customHeight="1">
      <c r="A3706" s="120">
        <v>89370</v>
      </c>
      <c r="B3706" s="119" t="s">
        <v>5246</v>
      </c>
      <c r="C3706" s="120" t="s">
        <v>331</v>
      </c>
      <c r="D3706" s="441">
        <v>17.38</v>
      </c>
    </row>
    <row r="3707" spans="1:4" ht="31.5" customHeight="1">
      <c r="A3707" s="120">
        <v>89371</v>
      </c>
      <c r="B3707" s="119" t="s">
        <v>5247</v>
      </c>
      <c r="C3707" s="120" t="s">
        <v>331</v>
      </c>
      <c r="D3707" s="441">
        <v>6.84</v>
      </c>
    </row>
    <row r="3708" spans="1:4" ht="31.5" customHeight="1">
      <c r="A3708" s="120">
        <v>89372</v>
      </c>
      <c r="B3708" s="119" t="s">
        <v>5248</v>
      </c>
      <c r="C3708" s="120" t="s">
        <v>331</v>
      </c>
      <c r="D3708" s="441">
        <v>18.28</v>
      </c>
    </row>
    <row r="3709" spans="1:4" ht="31.5" customHeight="1">
      <c r="A3709" s="120">
        <v>89373</v>
      </c>
      <c r="B3709" s="119" t="s">
        <v>5249</v>
      </c>
      <c r="C3709" s="120" t="s">
        <v>331</v>
      </c>
      <c r="D3709" s="441">
        <v>8.17</v>
      </c>
    </row>
    <row r="3710" spans="1:4" ht="31.5" customHeight="1">
      <c r="A3710" s="120">
        <v>89374</v>
      </c>
      <c r="B3710" s="119" t="s">
        <v>5250</v>
      </c>
      <c r="C3710" s="120" t="s">
        <v>331</v>
      </c>
      <c r="D3710" s="441">
        <v>11.56</v>
      </c>
    </row>
    <row r="3711" spans="1:4" ht="31.5" customHeight="1">
      <c r="A3711" s="120">
        <v>89375</v>
      </c>
      <c r="B3711" s="119" t="s">
        <v>5251</v>
      </c>
      <c r="C3711" s="120" t="s">
        <v>331</v>
      </c>
      <c r="D3711" s="441">
        <v>13.66</v>
      </c>
    </row>
    <row r="3712" spans="1:4" ht="31.5" customHeight="1">
      <c r="A3712" s="120">
        <v>89376</v>
      </c>
      <c r="B3712" s="119" t="s">
        <v>5252</v>
      </c>
      <c r="C3712" s="120" t="s">
        <v>331</v>
      </c>
      <c r="D3712" s="441">
        <v>6.49</v>
      </c>
    </row>
    <row r="3713" spans="1:4" ht="31.5" customHeight="1">
      <c r="A3713" s="120">
        <v>89377</v>
      </c>
      <c r="B3713" s="119" t="s">
        <v>5253</v>
      </c>
      <c r="C3713" s="120" t="s">
        <v>331</v>
      </c>
      <c r="D3713" s="441">
        <v>11.67</v>
      </c>
    </row>
    <row r="3714" spans="1:4" ht="31.5" customHeight="1">
      <c r="A3714" s="120">
        <v>89378</v>
      </c>
      <c r="B3714" s="119" t="s">
        <v>5254</v>
      </c>
      <c r="C3714" s="120" t="s">
        <v>331</v>
      </c>
      <c r="D3714" s="441">
        <v>8.07</v>
      </c>
    </row>
    <row r="3715" spans="1:4" ht="31.5" customHeight="1">
      <c r="A3715" s="120">
        <v>89379</v>
      </c>
      <c r="B3715" s="119" t="s">
        <v>5255</v>
      </c>
      <c r="C3715" s="120" t="s">
        <v>331</v>
      </c>
      <c r="D3715" s="441">
        <v>21.47</v>
      </c>
    </row>
    <row r="3716" spans="1:4" ht="31.5" customHeight="1">
      <c r="A3716" s="120">
        <v>89380</v>
      </c>
      <c r="B3716" s="119" t="s">
        <v>5256</v>
      </c>
      <c r="C3716" s="120" t="s">
        <v>331</v>
      </c>
      <c r="D3716" s="441">
        <v>11.5</v>
      </c>
    </row>
    <row r="3717" spans="1:4" ht="31.5" customHeight="1">
      <c r="A3717" s="120">
        <v>89381</v>
      </c>
      <c r="B3717" s="119" t="s">
        <v>5257</v>
      </c>
      <c r="C3717" s="120" t="s">
        <v>331</v>
      </c>
      <c r="D3717" s="441">
        <v>14.18</v>
      </c>
    </row>
    <row r="3718" spans="1:4" ht="31.5" customHeight="1">
      <c r="A3718" s="120">
        <v>89382</v>
      </c>
      <c r="B3718" s="119" t="s">
        <v>5258</v>
      </c>
      <c r="C3718" s="120" t="s">
        <v>331</v>
      </c>
      <c r="D3718" s="441">
        <v>16.41</v>
      </c>
    </row>
    <row r="3719" spans="1:4" ht="31.5" customHeight="1">
      <c r="A3719" s="120">
        <v>89383</v>
      </c>
      <c r="B3719" s="119" t="s">
        <v>5259</v>
      </c>
      <c r="C3719" s="120" t="s">
        <v>331</v>
      </c>
      <c r="D3719" s="441">
        <v>7.58</v>
      </c>
    </row>
    <row r="3720" spans="1:4" ht="31.5" customHeight="1">
      <c r="A3720" s="120">
        <v>89384</v>
      </c>
      <c r="B3720" s="119" t="s">
        <v>5260</v>
      </c>
      <c r="C3720" s="120" t="s">
        <v>331</v>
      </c>
      <c r="D3720" s="441">
        <v>14.89</v>
      </c>
    </row>
    <row r="3721" spans="1:4" ht="31.5" customHeight="1">
      <c r="A3721" s="120">
        <v>89385</v>
      </c>
      <c r="B3721" s="119" t="s">
        <v>5261</v>
      </c>
      <c r="C3721" s="120" t="s">
        <v>331</v>
      </c>
      <c r="D3721" s="441">
        <v>8.3000000000000007</v>
      </c>
    </row>
    <row r="3722" spans="1:4" ht="31.5" customHeight="1">
      <c r="A3722" s="120">
        <v>89386</v>
      </c>
      <c r="B3722" s="119" t="s">
        <v>5262</v>
      </c>
      <c r="C3722" s="120" t="s">
        <v>331</v>
      </c>
      <c r="D3722" s="441">
        <v>11.01</v>
      </c>
    </row>
    <row r="3723" spans="1:4" ht="31.5" customHeight="1">
      <c r="A3723" s="120">
        <v>89387</v>
      </c>
      <c r="B3723" s="119" t="s">
        <v>5263</v>
      </c>
      <c r="C3723" s="120" t="s">
        <v>331</v>
      </c>
      <c r="D3723" s="441">
        <v>34.17</v>
      </c>
    </row>
    <row r="3724" spans="1:4" ht="31.5" customHeight="1">
      <c r="A3724" s="120">
        <v>89389</v>
      </c>
      <c r="B3724" s="119" t="s">
        <v>5264</v>
      </c>
      <c r="C3724" s="120" t="s">
        <v>331</v>
      </c>
      <c r="D3724" s="441">
        <v>13.13</v>
      </c>
    </row>
    <row r="3725" spans="1:4" ht="31.5" customHeight="1">
      <c r="A3725" s="120">
        <v>89390</v>
      </c>
      <c r="B3725" s="119" t="s">
        <v>5265</v>
      </c>
      <c r="C3725" s="120" t="s">
        <v>331</v>
      </c>
      <c r="D3725" s="441">
        <v>24.34</v>
      </c>
    </row>
    <row r="3726" spans="1:4" ht="31.5" customHeight="1">
      <c r="A3726" s="120">
        <v>89391</v>
      </c>
      <c r="B3726" s="119" t="s">
        <v>5266</v>
      </c>
      <c r="C3726" s="120" t="s">
        <v>331</v>
      </c>
      <c r="D3726" s="441">
        <v>9.9700000000000006</v>
      </c>
    </row>
    <row r="3727" spans="1:4" ht="31.5" customHeight="1">
      <c r="A3727" s="120">
        <v>89392</v>
      </c>
      <c r="B3727" s="119" t="s">
        <v>5267</v>
      </c>
      <c r="C3727" s="120" t="s">
        <v>331</v>
      </c>
      <c r="D3727" s="441">
        <v>27.88</v>
      </c>
    </row>
    <row r="3728" spans="1:4" ht="31.5" customHeight="1">
      <c r="A3728" s="120">
        <v>89393</v>
      </c>
      <c r="B3728" s="119" t="s">
        <v>5268</v>
      </c>
      <c r="C3728" s="120" t="s">
        <v>331</v>
      </c>
      <c r="D3728" s="441">
        <v>12.69</v>
      </c>
    </row>
    <row r="3729" spans="1:4" ht="31.5" customHeight="1">
      <c r="A3729" s="120">
        <v>89394</v>
      </c>
      <c r="B3729" s="119" t="s">
        <v>5269</v>
      </c>
      <c r="C3729" s="120" t="s">
        <v>331</v>
      </c>
      <c r="D3729" s="441">
        <v>21.31</v>
      </c>
    </row>
    <row r="3730" spans="1:4" ht="31.5" customHeight="1">
      <c r="A3730" s="120">
        <v>89395</v>
      </c>
      <c r="B3730" s="119" t="s">
        <v>5270</v>
      </c>
      <c r="C3730" s="120" t="s">
        <v>331</v>
      </c>
      <c r="D3730" s="441">
        <v>15.01</v>
      </c>
    </row>
    <row r="3731" spans="1:4" ht="31.5" customHeight="1">
      <c r="A3731" s="120">
        <v>89396</v>
      </c>
      <c r="B3731" s="119" t="s">
        <v>5271</v>
      </c>
      <c r="C3731" s="120" t="s">
        <v>331</v>
      </c>
      <c r="D3731" s="441">
        <v>23.37</v>
      </c>
    </row>
    <row r="3732" spans="1:4" ht="31.5" customHeight="1">
      <c r="A3732" s="120">
        <v>89397</v>
      </c>
      <c r="B3732" s="119" t="s">
        <v>5272</v>
      </c>
      <c r="C3732" s="120" t="s">
        <v>331</v>
      </c>
      <c r="D3732" s="441">
        <v>16.989999999999998</v>
      </c>
    </row>
    <row r="3733" spans="1:4" ht="31.5" customHeight="1">
      <c r="A3733" s="120">
        <v>89398</v>
      </c>
      <c r="B3733" s="119" t="s">
        <v>5273</v>
      </c>
      <c r="C3733" s="120" t="s">
        <v>331</v>
      </c>
      <c r="D3733" s="441">
        <v>20.93</v>
      </c>
    </row>
    <row r="3734" spans="1:4" ht="31.5" customHeight="1">
      <c r="A3734" s="120">
        <v>89399</v>
      </c>
      <c r="B3734" s="119" t="s">
        <v>5274</v>
      </c>
      <c r="C3734" s="120" t="s">
        <v>331</v>
      </c>
      <c r="D3734" s="441">
        <v>28.35</v>
      </c>
    </row>
    <row r="3735" spans="1:4" ht="31.5" customHeight="1">
      <c r="A3735" s="120">
        <v>89400</v>
      </c>
      <c r="B3735" s="119" t="s">
        <v>5275</v>
      </c>
      <c r="C3735" s="120" t="s">
        <v>331</v>
      </c>
      <c r="D3735" s="441">
        <v>22.85</v>
      </c>
    </row>
    <row r="3736" spans="1:4" ht="31.5" customHeight="1">
      <c r="A3736" s="120">
        <v>89404</v>
      </c>
      <c r="B3736" s="119" t="s">
        <v>5276</v>
      </c>
      <c r="C3736" s="120" t="s">
        <v>331</v>
      </c>
      <c r="D3736" s="441">
        <v>8.36</v>
      </c>
    </row>
    <row r="3737" spans="1:4" ht="31.5" customHeight="1">
      <c r="A3737" s="120">
        <v>89405</v>
      </c>
      <c r="B3737" s="119" t="s">
        <v>5277</v>
      </c>
      <c r="C3737" s="120" t="s">
        <v>331</v>
      </c>
      <c r="D3737" s="441">
        <v>8.99</v>
      </c>
    </row>
    <row r="3738" spans="1:4" ht="31.5" customHeight="1">
      <c r="A3738" s="120">
        <v>89406</v>
      </c>
      <c r="B3738" s="119" t="s">
        <v>5278</v>
      </c>
      <c r="C3738" s="120" t="s">
        <v>331</v>
      </c>
      <c r="D3738" s="441">
        <v>10.130000000000001</v>
      </c>
    </row>
    <row r="3739" spans="1:4" ht="31.5" customHeight="1">
      <c r="A3739" s="120">
        <v>89407</v>
      </c>
      <c r="B3739" s="119" t="s">
        <v>5279</v>
      </c>
      <c r="C3739" s="120" t="s">
        <v>331</v>
      </c>
      <c r="D3739" s="441">
        <v>10.210000000000001</v>
      </c>
    </row>
    <row r="3740" spans="1:4" ht="31.5" customHeight="1">
      <c r="A3740" s="120">
        <v>89408</v>
      </c>
      <c r="B3740" s="119" t="s">
        <v>5280</v>
      </c>
      <c r="C3740" s="120" t="s">
        <v>331</v>
      </c>
      <c r="D3740" s="441">
        <v>9.9700000000000006</v>
      </c>
    </row>
    <row r="3741" spans="1:4" ht="31.5" customHeight="1">
      <c r="A3741" s="120">
        <v>89409</v>
      </c>
      <c r="B3741" s="119" t="s">
        <v>5281</v>
      </c>
      <c r="C3741" s="120" t="s">
        <v>331</v>
      </c>
      <c r="D3741" s="441">
        <v>10.87</v>
      </c>
    </row>
    <row r="3742" spans="1:4" ht="31.5" customHeight="1">
      <c r="A3742" s="120">
        <v>89410</v>
      </c>
      <c r="B3742" s="119" t="s">
        <v>5282</v>
      </c>
      <c r="C3742" s="120" t="s">
        <v>331</v>
      </c>
      <c r="D3742" s="441">
        <v>12.59</v>
      </c>
    </row>
    <row r="3743" spans="1:4" ht="31.5" customHeight="1">
      <c r="A3743" s="120">
        <v>89411</v>
      </c>
      <c r="B3743" s="119" t="s">
        <v>5283</v>
      </c>
      <c r="C3743" s="120" t="s">
        <v>331</v>
      </c>
      <c r="D3743" s="441">
        <v>11.97</v>
      </c>
    </row>
    <row r="3744" spans="1:4" ht="31.5" customHeight="1">
      <c r="A3744" s="120">
        <v>89412</v>
      </c>
      <c r="B3744" s="119" t="s">
        <v>5284</v>
      </c>
      <c r="C3744" s="120" t="s">
        <v>331</v>
      </c>
      <c r="D3744" s="441">
        <v>11.21</v>
      </c>
    </row>
    <row r="3745" spans="1:4" ht="31.5" customHeight="1">
      <c r="A3745" s="120">
        <v>89413</v>
      </c>
      <c r="B3745" s="119" t="s">
        <v>5285</v>
      </c>
      <c r="C3745" s="120" t="s">
        <v>331</v>
      </c>
      <c r="D3745" s="441">
        <v>13.88</v>
      </c>
    </row>
    <row r="3746" spans="1:4" ht="31.5" customHeight="1">
      <c r="A3746" s="120">
        <v>89414</v>
      </c>
      <c r="B3746" s="119" t="s">
        <v>5286</v>
      </c>
      <c r="C3746" s="120" t="s">
        <v>331</v>
      </c>
      <c r="D3746" s="441">
        <v>15.88</v>
      </c>
    </row>
    <row r="3747" spans="1:4" ht="31.5" customHeight="1">
      <c r="A3747" s="120">
        <v>89415</v>
      </c>
      <c r="B3747" s="119" t="s">
        <v>5287</v>
      </c>
      <c r="C3747" s="120" t="s">
        <v>331</v>
      </c>
      <c r="D3747" s="441">
        <v>18.57</v>
      </c>
    </row>
    <row r="3748" spans="1:4" ht="31.5" customHeight="1">
      <c r="A3748" s="120">
        <v>89416</v>
      </c>
      <c r="B3748" s="119" t="s">
        <v>5288</v>
      </c>
      <c r="C3748" s="120" t="s">
        <v>331</v>
      </c>
      <c r="D3748" s="441">
        <v>16.260000000000002</v>
      </c>
    </row>
    <row r="3749" spans="1:4" ht="31.5" customHeight="1">
      <c r="A3749" s="120">
        <v>89417</v>
      </c>
      <c r="B3749" s="119" t="s">
        <v>5289</v>
      </c>
      <c r="C3749" s="120" t="s">
        <v>331</v>
      </c>
      <c r="D3749" s="441">
        <v>6.31</v>
      </c>
    </row>
    <row r="3750" spans="1:4" ht="31.5" customHeight="1">
      <c r="A3750" s="120">
        <v>89418</v>
      </c>
      <c r="B3750" s="119" t="s">
        <v>5290</v>
      </c>
      <c r="C3750" s="120" t="s">
        <v>331</v>
      </c>
      <c r="D3750" s="441">
        <v>17.75</v>
      </c>
    </row>
    <row r="3751" spans="1:4" ht="31.5" customHeight="1">
      <c r="A3751" s="120">
        <v>89419</v>
      </c>
      <c r="B3751" s="119" t="s">
        <v>5291</v>
      </c>
      <c r="C3751" s="120" t="s">
        <v>331</v>
      </c>
      <c r="D3751" s="441">
        <v>7.58</v>
      </c>
    </row>
    <row r="3752" spans="1:4" ht="31.5" customHeight="1">
      <c r="A3752" s="120">
        <v>89421</v>
      </c>
      <c r="B3752" s="119" t="s">
        <v>5292</v>
      </c>
      <c r="C3752" s="120" t="s">
        <v>331</v>
      </c>
      <c r="D3752" s="441">
        <v>13.13</v>
      </c>
    </row>
    <row r="3753" spans="1:4" ht="31.5" customHeight="1">
      <c r="A3753" s="120">
        <v>89423</v>
      </c>
      <c r="B3753" s="119" t="s">
        <v>5293</v>
      </c>
      <c r="C3753" s="120" t="s">
        <v>331</v>
      </c>
      <c r="D3753" s="441">
        <v>11.14</v>
      </c>
    </row>
    <row r="3754" spans="1:4" ht="31.5" customHeight="1">
      <c r="A3754" s="120">
        <v>89424</v>
      </c>
      <c r="B3754" s="119" t="s">
        <v>5294</v>
      </c>
      <c r="C3754" s="120" t="s">
        <v>331</v>
      </c>
      <c r="D3754" s="441">
        <v>7.45</v>
      </c>
    </row>
    <row r="3755" spans="1:4" ht="31.5" customHeight="1">
      <c r="A3755" s="120">
        <v>89425</v>
      </c>
      <c r="B3755" s="119" t="s">
        <v>5295</v>
      </c>
      <c r="C3755" s="120" t="s">
        <v>331</v>
      </c>
      <c r="D3755" s="441">
        <v>20.85</v>
      </c>
    </row>
    <row r="3756" spans="1:4" ht="31.5" customHeight="1">
      <c r="A3756" s="120">
        <v>89426</v>
      </c>
      <c r="B3756" s="119" t="s">
        <v>5296</v>
      </c>
      <c r="C3756" s="120" t="s">
        <v>331</v>
      </c>
      <c r="D3756" s="441">
        <v>10.81</v>
      </c>
    </row>
    <row r="3757" spans="1:4" ht="31.5" customHeight="1">
      <c r="A3757" s="120">
        <v>89427</v>
      </c>
      <c r="B3757" s="119" t="s">
        <v>5297</v>
      </c>
      <c r="C3757" s="120" t="s">
        <v>331</v>
      </c>
      <c r="D3757" s="441">
        <v>13.59</v>
      </c>
    </row>
    <row r="3758" spans="1:4" ht="31.5" customHeight="1">
      <c r="A3758" s="120">
        <v>89428</v>
      </c>
      <c r="B3758" s="119" t="s">
        <v>5298</v>
      </c>
      <c r="C3758" s="120" t="s">
        <v>331</v>
      </c>
      <c r="D3758" s="441">
        <v>15.79</v>
      </c>
    </row>
    <row r="3759" spans="1:4" ht="31.5" customHeight="1">
      <c r="A3759" s="120">
        <v>89429</v>
      </c>
      <c r="B3759" s="119" t="s">
        <v>5299</v>
      </c>
      <c r="C3759" s="120" t="s">
        <v>331</v>
      </c>
      <c r="D3759" s="441">
        <v>6.99</v>
      </c>
    </row>
    <row r="3760" spans="1:4" ht="31.5" customHeight="1">
      <c r="A3760" s="120">
        <v>89430</v>
      </c>
      <c r="B3760" s="119" t="s">
        <v>5300</v>
      </c>
      <c r="C3760" s="120" t="s">
        <v>331</v>
      </c>
      <c r="D3760" s="441">
        <v>14.27</v>
      </c>
    </row>
    <row r="3761" spans="1:4" ht="31.5" customHeight="1">
      <c r="A3761" s="120">
        <v>89431</v>
      </c>
      <c r="B3761" s="119" t="s">
        <v>5301</v>
      </c>
      <c r="C3761" s="120" t="s">
        <v>331</v>
      </c>
      <c r="D3761" s="441">
        <v>10.26</v>
      </c>
    </row>
    <row r="3762" spans="1:4" ht="31.5" customHeight="1">
      <c r="A3762" s="120">
        <v>89432</v>
      </c>
      <c r="B3762" s="119" t="s">
        <v>5302</v>
      </c>
      <c r="C3762" s="120" t="s">
        <v>331</v>
      </c>
      <c r="D3762" s="441">
        <v>33.42</v>
      </c>
    </row>
    <row r="3763" spans="1:4" ht="31.5" customHeight="1">
      <c r="A3763" s="120">
        <v>89433</v>
      </c>
      <c r="B3763" s="119" t="s">
        <v>5303</v>
      </c>
      <c r="C3763" s="120" t="s">
        <v>331</v>
      </c>
      <c r="D3763" s="441">
        <v>14.9</v>
      </c>
    </row>
    <row r="3764" spans="1:4" ht="31.5" customHeight="1">
      <c r="A3764" s="120">
        <v>89434</v>
      </c>
      <c r="B3764" s="119" t="s">
        <v>5304</v>
      </c>
      <c r="C3764" s="120" t="s">
        <v>331</v>
      </c>
      <c r="D3764" s="441">
        <v>12.44</v>
      </c>
    </row>
    <row r="3765" spans="1:4" ht="31.5" customHeight="1">
      <c r="A3765" s="120">
        <v>89435</v>
      </c>
      <c r="B3765" s="119" t="s">
        <v>5305</v>
      </c>
      <c r="C3765" s="120" t="s">
        <v>331</v>
      </c>
      <c r="D3765" s="441">
        <v>23.59</v>
      </c>
    </row>
    <row r="3766" spans="1:4" ht="31.5" customHeight="1">
      <c r="A3766" s="120">
        <v>89436</v>
      </c>
      <c r="B3766" s="119" t="s">
        <v>5306</v>
      </c>
      <c r="C3766" s="120" t="s">
        <v>331</v>
      </c>
      <c r="D3766" s="441">
        <v>9.2799999999999994</v>
      </c>
    </row>
    <row r="3767" spans="1:4" ht="31.5" customHeight="1">
      <c r="A3767" s="120">
        <v>89437</v>
      </c>
      <c r="B3767" s="119" t="s">
        <v>5307</v>
      </c>
      <c r="C3767" s="120" t="s">
        <v>331</v>
      </c>
      <c r="D3767" s="441">
        <v>27.13</v>
      </c>
    </row>
    <row r="3768" spans="1:4" ht="31.5" customHeight="1">
      <c r="A3768" s="120">
        <v>89438</v>
      </c>
      <c r="B3768" s="119" t="s">
        <v>5308</v>
      </c>
      <c r="C3768" s="120" t="s">
        <v>331</v>
      </c>
      <c r="D3768" s="441">
        <v>11.61</v>
      </c>
    </row>
    <row r="3769" spans="1:4" ht="31.5" customHeight="1">
      <c r="A3769" s="120">
        <v>89439</v>
      </c>
      <c r="B3769" s="119" t="s">
        <v>5309</v>
      </c>
      <c r="C3769" s="120" t="s">
        <v>331</v>
      </c>
      <c r="D3769" s="441">
        <v>13.33</v>
      </c>
    </row>
    <row r="3770" spans="1:4" ht="31.5" customHeight="1">
      <c r="A3770" s="120">
        <v>89440</v>
      </c>
      <c r="B3770" s="119" t="s">
        <v>5310</v>
      </c>
      <c r="C3770" s="120" t="s">
        <v>331</v>
      </c>
      <c r="D3770" s="441">
        <v>13.77</v>
      </c>
    </row>
    <row r="3771" spans="1:4" ht="31.5" customHeight="1">
      <c r="A3771" s="120">
        <v>89442</v>
      </c>
      <c r="B3771" s="119" t="s">
        <v>5311</v>
      </c>
      <c r="C3771" s="120" t="s">
        <v>331</v>
      </c>
      <c r="D3771" s="441">
        <v>15.84</v>
      </c>
    </row>
    <row r="3772" spans="1:4" ht="31.5" customHeight="1">
      <c r="A3772" s="120">
        <v>89443</v>
      </c>
      <c r="B3772" s="119" t="s">
        <v>5312</v>
      </c>
      <c r="C3772" s="120" t="s">
        <v>331</v>
      </c>
      <c r="D3772" s="441">
        <v>19.43</v>
      </c>
    </row>
    <row r="3773" spans="1:4" ht="31.5" customHeight="1">
      <c r="A3773" s="120">
        <v>89444</v>
      </c>
      <c r="B3773" s="119" t="s">
        <v>5313</v>
      </c>
      <c r="C3773" s="120" t="s">
        <v>331</v>
      </c>
      <c r="D3773" s="441">
        <v>27.62</v>
      </c>
    </row>
    <row r="3774" spans="1:4" ht="31.5" customHeight="1">
      <c r="A3774" s="120">
        <v>89445</v>
      </c>
      <c r="B3774" s="119" t="s">
        <v>5314</v>
      </c>
      <c r="C3774" s="120" t="s">
        <v>331</v>
      </c>
      <c r="D3774" s="441">
        <v>21.48</v>
      </c>
    </row>
    <row r="3775" spans="1:4" ht="31.5" customHeight="1">
      <c r="A3775" s="120">
        <v>89481</v>
      </c>
      <c r="B3775" s="119" t="s">
        <v>5315</v>
      </c>
      <c r="C3775" s="120" t="s">
        <v>331</v>
      </c>
      <c r="D3775" s="441">
        <v>6.15</v>
      </c>
    </row>
    <row r="3776" spans="1:4" ht="31.5" customHeight="1">
      <c r="A3776" s="120">
        <v>89485</v>
      </c>
      <c r="B3776" s="119" t="s">
        <v>5316</v>
      </c>
      <c r="C3776" s="120" t="s">
        <v>331</v>
      </c>
      <c r="D3776" s="441">
        <v>7.05</v>
      </c>
    </row>
    <row r="3777" spans="1:4" ht="31.5" customHeight="1">
      <c r="A3777" s="120">
        <v>89489</v>
      </c>
      <c r="B3777" s="119" t="s">
        <v>5317</v>
      </c>
      <c r="C3777" s="120" t="s">
        <v>331</v>
      </c>
      <c r="D3777" s="441">
        <v>8.77</v>
      </c>
    </row>
    <row r="3778" spans="1:4" ht="31.5" customHeight="1">
      <c r="A3778" s="120">
        <v>89490</v>
      </c>
      <c r="B3778" s="119" t="s">
        <v>5318</v>
      </c>
      <c r="C3778" s="120" t="s">
        <v>331</v>
      </c>
      <c r="D3778" s="441">
        <v>8.15</v>
      </c>
    </row>
    <row r="3779" spans="1:4" ht="31.5" customHeight="1">
      <c r="A3779" s="120">
        <v>89492</v>
      </c>
      <c r="B3779" s="119" t="s">
        <v>5319</v>
      </c>
      <c r="C3779" s="120" t="s">
        <v>331</v>
      </c>
      <c r="D3779" s="441">
        <v>9.43</v>
      </c>
    </row>
    <row r="3780" spans="1:4" ht="31.5" customHeight="1">
      <c r="A3780" s="120">
        <v>89493</v>
      </c>
      <c r="B3780" s="119" t="s">
        <v>5320</v>
      </c>
      <c r="C3780" s="120" t="s">
        <v>331</v>
      </c>
      <c r="D3780" s="441">
        <v>11.43</v>
      </c>
    </row>
    <row r="3781" spans="1:4" ht="31.5" customHeight="1">
      <c r="A3781" s="120">
        <v>89494</v>
      </c>
      <c r="B3781" s="119" t="s">
        <v>5321</v>
      </c>
      <c r="C3781" s="120" t="s">
        <v>331</v>
      </c>
      <c r="D3781" s="441">
        <v>14.12</v>
      </c>
    </row>
    <row r="3782" spans="1:4" ht="31.5" customHeight="1">
      <c r="A3782" s="120">
        <v>89496</v>
      </c>
      <c r="B3782" s="119" t="s">
        <v>5322</v>
      </c>
      <c r="C3782" s="120" t="s">
        <v>331</v>
      </c>
      <c r="D3782" s="441">
        <v>11.81</v>
      </c>
    </row>
    <row r="3783" spans="1:4" ht="31.5" customHeight="1">
      <c r="A3783" s="120">
        <v>89497</v>
      </c>
      <c r="B3783" s="119" t="s">
        <v>5323</v>
      </c>
      <c r="C3783" s="120" t="s">
        <v>331</v>
      </c>
      <c r="D3783" s="441">
        <v>15</v>
      </c>
    </row>
    <row r="3784" spans="1:4" ht="31.5" customHeight="1">
      <c r="A3784" s="120">
        <v>89498</v>
      </c>
      <c r="B3784" s="119" t="s">
        <v>5324</v>
      </c>
      <c r="C3784" s="120" t="s">
        <v>331</v>
      </c>
      <c r="D3784" s="441">
        <v>15.07</v>
      </c>
    </row>
    <row r="3785" spans="1:4" ht="31.5" customHeight="1">
      <c r="A3785" s="120">
        <v>89499</v>
      </c>
      <c r="B3785" s="119" t="s">
        <v>5325</v>
      </c>
      <c r="C3785" s="120" t="s">
        <v>331</v>
      </c>
      <c r="D3785" s="441">
        <v>22.12</v>
      </c>
    </row>
    <row r="3786" spans="1:4" ht="31.5" customHeight="1">
      <c r="A3786" s="120">
        <v>89500</v>
      </c>
      <c r="B3786" s="119" t="s">
        <v>5326</v>
      </c>
      <c r="C3786" s="120" t="s">
        <v>331</v>
      </c>
      <c r="D3786" s="441">
        <v>14.44</v>
      </c>
    </row>
    <row r="3787" spans="1:4" ht="31.5" customHeight="1">
      <c r="A3787" s="120">
        <v>89501</v>
      </c>
      <c r="B3787" s="119" t="s">
        <v>5327</v>
      </c>
      <c r="C3787" s="120" t="s">
        <v>331</v>
      </c>
      <c r="D3787" s="441">
        <v>16.29</v>
      </c>
    </row>
    <row r="3788" spans="1:4" ht="31.5" customHeight="1">
      <c r="A3788" s="120">
        <v>89502</v>
      </c>
      <c r="B3788" s="119" t="s">
        <v>5328</v>
      </c>
      <c r="C3788" s="120" t="s">
        <v>331</v>
      </c>
      <c r="D3788" s="441">
        <v>19.190000000000001</v>
      </c>
    </row>
    <row r="3789" spans="1:4" ht="31.5" customHeight="1">
      <c r="A3789" s="120">
        <v>89503</v>
      </c>
      <c r="B3789" s="119" t="s">
        <v>5329</v>
      </c>
      <c r="C3789" s="120" t="s">
        <v>331</v>
      </c>
      <c r="D3789" s="441">
        <v>25.65</v>
      </c>
    </row>
    <row r="3790" spans="1:4" ht="31.5" customHeight="1">
      <c r="A3790" s="120">
        <v>89504</v>
      </c>
      <c r="B3790" s="119" t="s">
        <v>5330</v>
      </c>
      <c r="C3790" s="120" t="s">
        <v>331</v>
      </c>
      <c r="D3790" s="441">
        <v>21.27</v>
      </c>
    </row>
    <row r="3791" spans="1:4" ht="31.5" customHeight="1">
      <c r="A3791" s="120">
        <v>89505</v>
      </c>
      <c r="B3791" s="119" t="s">
        <v>5331</v>
      </c>
      <c r="C3791" s="120" t="s">
        <v>331</v>
      </c>
      <c r="D3791" s="441">
        <v>46.53</v>
      </c>
    </row>
    <row r="3792" spans="1:4" ht="31.5" customHeight="1">
      <c r="A3792" s="120">
        <v>89506</v>
      </c>
      <c r="B3792" s="119" t="s">
        <v>5332</v>
      </c>
      <c r="C3792" s="120" t="s">
        <v>331</v>
      </c>
      <c r="D3792" s="441">
        <v>44.5</v>
      </c>
    </row>
    <row r="3793" spans="1:4" ht="31.5" customHeight="1">
      <c r="A3793" s="120">
        <v>89507</v>
      </c>
      <c r="B3793" s="119" t="s">
        <v>5333</v>
      </c>
      <c r="C3793" s="120" t="s">
        <v>331</v>
      </c>
      <c r="D3793" s="441">
        <v>52.52</v>
      </c>
    </row>
    <row r="3794" spans="1:4" ht="31.5" customHeight="1">
      <c r="A3794" s="120">
        <v>89510</v>
      </c>
      <c r="B3794" s="119" t="s">
        <v>5334</v>
      </c>
      <c r="C3794" s="120" t="s">
        <v>331</v>
      </c>
      <c r="D3794" s="441">
        <v>30.28</v>
      </c>
    </row>
    <row r="3795" spans="1:4" ht="31.5" customHeight="1">
      <c r="A3795" s="120">
        <v>89513</v>
      </c>
      <c r="B3795" s="119" t="s">
        <v>5335</v>
      </c>
      <c r="C3795" s="120" t="s">
        <v>331</v>
      </c>
      <c r="D3795" s="441">
        <v>116.21</v>
      </c>
    </row>
    <row r="3796" spans="1:4" ht="31.5" customHeight="1">
      <c r="A3796" s="120">
        <v>89514</v>
      </c>
      <c r="B3796" s="119" t="s">
        <v>5336</v>
      </c>
      <c r="C3796" s="120" t="s">
        <v>331</v>
      </c>
      <c r="D3796" s="441">
        <v>8.81</v>
      </c>
    </row>
    <row r="3797" spans="1:4" ht="31.5" customHeight="1">
      <c r="A3797" s="120">
        <v>89515</v>
      </c>
      <c r="B3797" s="119" t="s">
        <v>5337</v>
      </c>
      <c r="C3797" s="120" t="s">
        <v>331</v>
      </c>
      <c r="D3797" s="441">
        <v>92.77</v>
      </c>
    </row>
    <row r="3798" spans="1:4" ht="31.5" customHeight="1">
      <c r="A3798" s="120">
        <v>89516</v>
      </c>
      <c r="B3798" s="119" t="s">
        <v>5338</v>
      </c>
      <c r="C3798" s="120" t="s">
        <v>331</v>
      </c>
      <c r="D3798" s="441">
        <v>8.9</v>
      </c>
    </row>
    <row r="3799" spans="1:4" ht="31.5" customHeight="1">
      <c r="A3799" s="120">
        <v>89517</v>
      </c>
      <c r="B3799" s="119" t="s">
        <v>5339</v>
      </c>
      <c r="C3799" s="120" t="s">
        <v>331</v>
      </c>
      <c r="D3799" s="441">
        <v>77.81</v>
      </c>
    </row>
    <row r="3800" spans="1:4" ht="31.5" customHeight="1">
      <c r="A3800" s="120">
        <v>89518</v>
      </c>
      <c r="B3800" s="119" t="s">
        <v>5340</v>
      </c>
      <c r="C3800" s="120" t="s">
        <v>331</v>
      </c>
      <c r="D3800" s="441">
        <v>14.93</v>
      </c>
    </row>
    <row r="3801" spans="1:4" ht="31.5" customHeight="1">
      <c r="A3801" s="120">
        <v>89519</v>
      </c>
      <c r="B3801" s="119" t="s">
        <v>5341</v>
      </c>
      <c r="C3801" s="120" t="s">
        <v>331</v>
      </c>
      <c r="D3801" s="441">
        <v>52.92</v>
      </c>
    </row>
    <row r="3802" spans="1:4" ht="31.5" customHeight="1">
      <c r="A3802" s="120">
        <v>89520</v>
      </c>
      <c r="B3802" s="119" t="s">
        <v>5342</v>
      </c>
      <c r="C3802" s="120" t="s">
        <v>331</v>
      </c>
      <c r="D3802" s="441">
        <v>15.67</v>
      </c>
    </row>
    <row r="3803" spans="1:4" ht="31.5" customHeight="1">
      <c r="A3803" s="120">
        <v>89521</v>
      </c>
      <c r="B3803" s="119" t="s">
        <v>5343</v>
      </c>
      <c r="C3803" s="120" t="s">
        <v>331</v>
      </c>
      <c r="D3803" s="441">
        <v>138.49</v>
      </c>
    </row>
    <row r="3804" spans="1:4" ht="31.5" customHeight="1">
      <c r="A3804" s="120">
        <v>89522</v>
      </c>
      <c r="B3804" s="119" t="s">
        <v>5344</v>
      </c>
      <c r="C3804" s="120" t="s">
        <v>331</v>
      </c>
      <c r="D3804" s="441">
        <v>29.53</v>
      </c>
    </row>
    <row r="3805" spans="1:4" ht="31.5" customHeight="1">
      <c r="A3805" s="120">
        <v>89523</v>
      </c>
      <c r="B3805" s="119" t="s">
        <v>5345</v>
      </c>
      <c r="C3805" s="120" t="s">
        <v>331</v>
      </c>
      <c r="D3805" s="441">
        <v>113.39</v>
      </c>
    </row>
    <row r="3806" spans="1:4" ht="31.5" customHeight="1">
      <c r="A3806" s="120">
        <v>89524</v>
      </c>
      <c r="B3806" s="119" t="s">
        <v>5346</v>
      </c>
      <c r="C3806" s="120" t="s">
        <v>331</v>
      </c>
      <c r="D3806" s="441">
        <v>30</v>
      </c>
    </row>
    <row r="3807" spans="1:4" ht="31.5" customHeight="1">
      <c r="A3807" s="120">
        <v>89525</v>
      </c>
      <c r="B3807" s="119" t="s">
        <v>5347</v>
      </c>
      <c r="C3807" s="120" t="s">
        <v>331</v>
      </c>
      <c r="D3807" s="441">
        <v>97.78</v>
      </c>
    </row>
    <row r="3808" spans="1:4" ht="31.5" customHeight="1">
      <c r="A3808" s="120">
        <v>89526</v>
      </c>
      <c r="B3808" s="119" t="s">
        <v>5348</v>
      </c>
      <c r="C3808" s="120" t="s">
        <v>331</v>
      </c>
      <c r="D3808" s="441">
        <v>38.58</v>
      </c>
    </row>
    <row r="3809" spans="1:4" ht="31.5" customHeight="1">
      <c r="A3809" s="120">
        <v>89527</v>
      </c>
      <c r="B3809" s="119" t="s">
        <v>5349</v>
      </c>
      <c r="C3809" s="120" t="s">
        <v>331</v>
      </c>
      <c r="D3809" s="441">
        <v>63.73</v>
      </c>
    </row>
    <row r="3810" spans="1:4" ht="31.5" customHeight="1">
      <c r="A3810" s="120">
        <v>89528</v>
      </c>
      <c r="B3810" s="119" t="s">
        <v>5350</v>
      </c>
      <c r="C3810" s="120" t="s">
        <v>331</v>
      </c>
      <c r="D3810" s="441">
        <v>4.8899999999999997</v>
      </c>
    </row>
    <row r="3811" spans="1:4" ht="31.5" customHeight="1">
      <c r="A3811" s="120">
        <v>89529</v>
      </c>
      <c r="B3811" s="119" t="s">
        <v>5351</v>
      </c>
      <c r="C3811" s="120" t="s">
        <v>331</v>
      </c>
      <c r="D3811" s="441">
        <v>36.799999999999997</v>
      </c>
    </row>
    <row r="3812" spans="1:4" ht="31.5" customHeight="1">
      <c r="A3812" s="120">
        <v>89530</v>
      </c>
      <c r="B3812" s="119" t="s">
        <v>5352</v>
      </c>
      <c r="C3812" s="120" t="s">
        <v>331</v>
      </c>
      <c r="D3812" s="441">
        <v>18.29</v>
      </c>
    </row>
    <row r="3813" spans="1:4" ht="31.5" customHeight="1">
      <c r="A3813" s="120">
        <v>89531</v>
      </c>
      <c r="B3813" s="119" t="s">
        <v>5353</v>
      </c>
      <c r="C3813" s="120" t="s">
        <v>331</v>
      </c>
      <c r="D3813" s="441">
        <v>37.840000000000003</v>
      </c>
    </row>
    <row r="3814" spans="1:4" ht="31.5" customHeight="1">
      <c r="A3814" s="120">
        <v>89532</v>
      </c>
      <c r="B3814" s="119" t="s">
        <v>5354</v>
      </c>
      <c r="C3814" s="120" t="s">
        <v>331</v>
      </c>
      <c r="D3814" s="441">
        <v>8.06</v>
      </c>
    </row>
    <row r="3815" spans="1:4" ht="31.5" customHeight="1">
      <c r="A3815" s="120">
        <v>89535</v>
      </c>
      <c r="B3815" s="119" t="s">
        <v>5355</v>
      </c>
      <c r="C3815" s="120" t="s">
        <v>331</v>
      </c>
      <c r="D3815" s="441">
        <v>42.33</v>
      </c>
    </row>
    <row r="3816" spans="1:4" ht="31.5" customHeight="1">
      <c r="A3816" s="120">
        <v>89536</v>
      </c>
      <c r="B3816" s="119" t="s">
        <v>5356</v>
      </c>
      <c r="C3816" s="120" t="s">
        <v>331</v>
      </c>
      <c r="D3816" s="441">
        <v>13.23</v>
      </c>
    </row>
    <row r="3817" spans="1:4" ht="31.5" customHeight="1">
      <c r="A3817" s="120">
        <v>89540</v>
      </c>
      <c r="B3817" s="119" t="s">
        <v>5357</v>
      </c>
      <c r="C3817" s="120" t="s">
        <v>331</v>
      </c>
      <c r="D3817" s="441">
        <v>11.71</v>
      </c>
    </row>
    <row r="3818" spans="1:4" ht="31.5" customHeight="1">
      <c r="A3818" s="120">
        <v>89541</v>
      </c>
      <c r="B3818" s="119" t="s">
        <v>5358</v>
      </c>
      <c r="C3818" s="120" t="s">
        <v>331</v>
      </c>
      <c r="D3818" s="441">
        <v>7.3</v>
      </c>
    </row>
    <row r="3819" spans="1:4" ht="31.5" customHeight="1">
      <c r="A3819" s="120">
        <v>89542</v>
      </c>
      <c r="B3819" s="119" t="s">
        <v>5359</v>
      </c>
      <c r="C3819" s="120" t="s">
        <v>331</v>
      </c>
      <c r="D3819" s="441">
        <v>30.46</v>
      </c>
    </row>
    <row r="3820" spans="1:4" ht="31.5" customHeight="1">
      <c r="A3820" s="120">
        <v>89544</v>
      </c>
      <c r="B3820" s="119" t="s">
        <v>5360</v>
      </c>
      <c r="C3820" s="120" t="s">
        <v>331</v>
      </c>
      <c r="D3820" s="441">
        <v>8.9</v>
      </c>
    </row>
    <row r="3821" spans="1:4" ht="31.5" customHeight="1">
      <c r="A3821" s="120">
        <v>89545</v>
      </c>
      <c r="B3821" s="119" t="s">
        <v>5361</v>
      </c>
      <c r="C3821" s="120" t="s">
        <v>331</v>
      </c>
      <c r="D3821" s="441">
        <v>16.829999999999998</v>
      </c>
    </row>
    <row r="3822" spans="1:4" ht="31.5" customHeight="1">
      <c r="A3822" s="120">
        <v>89546</v>
      </c>
      <c r="B3822" s="119" t="s">
        <v>5362</v>
      </c>
      <c r="C3822" s="120" t="s">
        <v>331</v>
      </c>
      <c r="D3822" s="441">
        <v>11.15</v>
      </c>
    </row>
    <row r="3823" spans="1:4" ht="31.5" customHeight="1">
      <c r="A3823" s="120">
        <v>89547</v>
      </c>
      <c r="B3823" s="119" t="s">
        <v>5363</v>
      </c>
      <c r="C3823" s="120" t="s">
        <v>331</v>
      </c>
      <c r="D3823" s="441">
        <v>22.65</v>
      </c>
    </row>
    <row r="3824" spans="1:4" ht="31.5" customHeight="1">
      <c r="A3824" s="120">
        <v>89548</v>
      </c>
      <c r="B3824" s="119" t="s">
        <v>5364</v>
      </c>
      <c r="C3824" s="120" t="s">
        <v>331</v>
      </c>
      <c r="D3824" s="441">
        <v>22.55</v>
      </c>
    </row>
    <row r="3825" spans="1:4" ht="31.5" customHeight="1">
      <c r="A3825" s="120">
        <v>89549</v>
      </c>
      <c r="B3825" s="119" t="s">
        <v>5365</v>
      </c>
      <c r="C3825" s="120" t="s">
        <v>331</v>
      </c>
      <c r="D3825" s="441">
        <v>18.62</v>
      </c>
    </row>
    <row r="3826" spans="1:4" ht="31.5" customHeight="1">
      <c r="A3826" s="120">
        <v>89550</v>
      </c>
      <c r="B3826" s="119" t="s">
        <v>5366</v>
      </c>
      <c r="C3826" s="120" t="s">
        <v>331</v>
      </c>
      <c r="D3826" s="441">
        <v>40.54</v>
      </c>
    </row>
    <row r="3827" spans="1:4" ht="31.5" customHeight="1">
      <c r="A3827" s="120">
        <v>89551</v>
      </c>
      <c r="B3827" s="119" t="s">
        <v>5367</v>
      </c>
      <c r="C3827" s="120" t="s">
        <v>331</v>
      </c>
      <c r="D3827" s="441">
        <v>9.69</v>
      </c>
    </row>
    <row r="3828" spans="1:4" ht="31.5" customHeight="1">
      <c r="A3828" s="120">
        <v>89552</v>
      </c>
      <c r="B3828" s="119" t="s">
        <v>5368</v>
      </c>
      <c r="C3828" s="120" t="s">
        <v>331</v>
      </c>
      <c r="D3828" s="441">
        <v>20.63</v>
      </c>
    </row>
    <row r="3829" spans="1:4" ht="31.5" customHeight="1">
      <c r="A3829" s="120">
        <v>89553</v>
      </c>
      <c r="B3829" s="119" t="s">
        <v>5369</v>
      </c>
      <c r="C3829" s="120" t="s">
        <v>331</v>
      </c>
      <c r="D3829" s="441">
        <v>6.53</v>
      </c>
    </row>
    <row r="3830" spans="1:4" ht="31.5" customHeight="1">
      <c r="A3830" s="120">
        <v>89554</v>
      </c>
      <c r="B3830" s="119" t="s">
        <v>5370</v>
      </c>
      <c r="C3830" s="120" t="s">
        <v>331</v>
      </c>
      <c r="D3830" s="441">
        <v>28.89</v>
      </c>
    </row>
    <row r="3831" spans="1:4" ht="31.5" customHeight="1">
      <c r="A3831" s="120">
        <v>89555</v>
      </c>
      <c r="B3831" s="119" t="s">
        <v>5371</v>
      </c>
      <c r="C3831" s="120" t="s">
        <v>331</v>
      </c>
      <c r="D3831" s="441">
        <v>24.17</v>
      </c>
    </row>
    <row r="3832" spans="1:4" ht="31.5" customHeight="1">
      <c r="A3832" s="120">
        <v>89556</v>
      </c>
      <c r="B3832" s="119" t="s">
        <v>5372</v>
      </c>
      <c r="C3832" s="120" t="s">
        <v>331</v>
      </c>
      <c r="D3832" s="441">
        <v>39.51</v>
      </c>
    </row>
    <row r="3833" spans="1:4" ht="31.5" customHeight="1">
      <c r="A3833" s="120">
        <v>89557</v>
      </c>
      <c r="B3833" s="119" t="s">
        <v>5373</v>
      </c>
      <c r="C3833" s="120" t="s">
        <v>331</v>
      </c>
      <c r="D3833" s="441">
        <v>31.32</v>
      </c>
    </row>
    <row r="3834" spans="1:4" ht="31.5" customHeight="1">
      <c r="A3834" s="120">
        <v>89558</v>
      </c>
      <c r="B3834" s="119" t="s">
        <v>5374</v>
      </c>
      <c r="C3834" s="120" t="s">
        <v>331</v>
      </c>
      <c r="D3834" s="441">
        <v>11.05</v>
      </c>
    </row>
    <row r="3835" spans="1:4" ht="31.5" customHeight="1">
      <c r="A3835" s="120">
        <v>89559</v>
      </c>
      <c r="B3835" s="119" t="s">
        <v>5375</v>
      </c>
      <c r="C3835" s="120" t="s">
        <v>331</v>
      </c>
      <c r="D3835" s="441">
        <v>66.099999999999994</v>
      </c>
    </row>
    <row r="3836" spans="1:4" ht="31.5" customHeight="1">
      <c r="A3836" s="120">
        <v>89560</v>
      </c>
      <c r="B3836" s="119" t="s">
        <v>5376</v>
      </c>
      <c r="C3836" s="120" t="s">
        <v>331</v>
      </c>
      <c r="D3836" s="441">
        <v>39.04</v>
      </c>
    </row>
    <row r="3837" spans="1:4" ht="31.5" customHeight="1">
      <c r="A3837" s="120">
        <v>89561</v>
      </c>
      <c r="B3837" s="119" t="s">
        <v>5377</v>
      </c>
      <c r="C3837" s="120" t="s">
        <v>331</v>
      </c>
      <c r="D3837" s="441">
        <v>15.49</v>
      </c>
    </row>
    <row r="3838" spans="1:4" ht="31.5" customHeight="1">
      <c r="A3838" s="120">
        <v>89562</v>
      </c>
      <c r="B3838" s="119" t="s">
        <v>5378</v>
      </c>
      <c r="C3838" s="120" t="s">
        <v>331</v>
      </c>
      <c r="D3838" s="441">
        <v>11.69</v>
      </c>
    </row>
    <row r="3839" spans="1:4" ht="31.5" customHeight="1">
      <c r="A3839" s="120">
        <v>89563</v>
      </c>
      <c r="B3839" s="119" t="s">
        <v>5379</v>
      </c>
      <c r="C3839" s="120" t="s">
        <v>331</v>
      </c>
      <c r="D3839" s="441">
        <v>34.090000000000003</v>
      </c>
    </row>
    <row r="3840" spans="1:4" ht="31.5" customHeight="1">
      <c r="A3840" s="120">
        <v>89564</v>
      </c>
      <c r="B3840" s="119" t="s">
        <v>5380</v>
      </c>
      <c r="C3840" s="120" t="s">
        <v>331</v>
      </c>
      <c r="D3840" s="441">
        <v>17.54</v>
      </c>
    </row>
    <row r="3841" spans="1:4" ht="31.5" customHeight="1">
      <c r="A3841" s="120">
        <v>89565</v>
      </c>
      <c r="B3841" s="119" t="s">
        <v>5381</v>
      </c>
      <c r="C3841" s="120" t="s">
        <v>331</v>
      </c>
      <c r="D3841" s="441">
        <v>55.33</v>
      </c>
    </row>
    <row r="3842" spans="1:4" ht="31.5" customHeight="1">
      <c r="A3842" s="120">
        <v>89566</v>
      </c>
      <c r="B3842" s="119" t="s">
        <v>5382</v>
      </c>
      <c r="C3842" s="120" t="s">
        <v>331</v>
      </c>
      <c r="D3842" s="441">
        <v>46.9</v>
      </c>
    </row>
    <row r="3843" spans="1:4" ht="31.5" customHeight="1">
      <c r="A3843" s="120">
        <v>89567</v>
      </c>
      <c r="B3843" s="119" t="s">
        <v>5383</v>
      </c>
      <c r="C3843" s="120" t="s">
        <v>331</v>
      </c>
      <c r="D3843" s="441">
        <v>79.52</v>
      </c>
    </row>
    <row r="3844" spans="1:4" ht="31.5" customHeight="1">
      <c r="A3844" s="120">
        <v>89568</v>
      </c>
      <c r="B3844" s="119" t="s">
        <v>5384</v>
      </c>
      <c r="C3844" s="120" t="s">
        <v>331</v>
      </c>
      <c r="D3844" s="441">
        <v>36.200000000000003</v>
      </c>
    </row>
    <row r="3845" spans="1:4" ht="31.5" customHeight="1">
      <c r="A3845" s="120">
        <v>89569</v>
      </c>
      <c r="B3845" s="119" t="s">
        <v>5385</v>
      </c>
      <c r="C3845" s="120" t="s">
        <v>331</v>
      </c>
      <c r="D3845" s="441">
        <v>92.77</v>
      </c>
    </row>
    <row r="3846" spans="1:4" ht="31.5" customHeight="1">
      <c r="A3846" s="120">
        <v>89570</v>
      </c>
      <c r="B3846" s="119" t="s">
        <v>5386</v>
      </c>
      <c r="C3846" s="120" t="s">
        <v>331</v>
      </c>
      <c r="D3846" s="441">
        <v>12.92</v>
      </c>
    </row>
    <row r="3847" spans="1:4" ht="31.5" customHeight="1">
      <c r="A3847" s="120">
        <v>89571</v>
      </c>
      <c r="B3847" s="119" t="s">
        <v>5387</v>
      </c>
      <c r="C3847" s="120" t="s">
        <v>331</v>
      </c>
      <c r="D3847" s="441">
        <v>68.900000000000006</v>
      </c>
    </row>
    <row r="3848" spans="1:4" ht="31.5" customHeight="1">
      <c r="A3848" s="120">
        <v>89572</v>
      </c>
      <c r="B3848" s="119" t="s">
        <v>5388</v>
      </c>
      <c r="C3848" s="120" t="s">
        <v>331</v>
      </c>
      <c r="D3848" s="441">
        <v>9.84</v>
      </c>
    </row>
    <row r="3849" spans="1:4" ht="31.5" customHeight="1">
      <c r="A3849" s="120">
        <v>89573</v>
      </c>
      <c r="B3849" s="119" t="s">
        <v>5389</v>
      </c>
      <c r="C3849" s="120" t="s">
        <v>331</v>
      </c>
      <c r="D3849" s="441">
        <v>75.569999999999993</v>
      </c>
    </row>
    <row r="3850" spans="1:4" ht="31.5" customHeight="1">
      <c r="A3850" s="120">
        <v>89574</v>
      </c>
      <c r="B3850" s="119" t="s">
        <v>5390</v>
      </c>
      <c r="C3850" s="120" t="s">
        <v>331</v>
      </c>
      <c r="D3850" s="441">
        <v>153.63</v>
      </c>
    </row>
    <row r="3851" spans="1:4" ht="31.5" customHeight="1">
      <c r="A3851" s="120">
        <v>89575</v>
      </c>
      <c r="B3851" s="119" t="s">
        <v>5391</v>
      </c>
      <c r="C3851" s="120" t="s">
        <v>331</v>
      </c>
      <c r="D3851" s="441">
        <v>13.1</v>
      </c>
    </row>
    <row r="3852" spans="1:4" ht="31.5" customHeight="1">
      <c r="A3852" s="120">
        <v>89577</v>
      </c>
      <c r="B3852" s="119" t="s">
        <v>5392</v>
      </c>
      <c r="C3852" s="120" t="s">
        <v>331</v>
      </c>
      <c r="D3852" s="441">
        <v>41.24</v>
      </c>
    </row>
    <row r="3853" spans="1:4" ht="31.5" customHeight="1">
      <c r="A3853" s="120">
        <v>89579</v>
      </c>
      <c r="B3853" s="119" t="s">
        <v>5393</v>
      </c>
      <c r="C3853" s="120" t="s">
        <v>331</v>
      </c>
      <c r="D3853" s="441">
        <v>13.21</v>
      </c>
    </row>
    <row r="3854" spans="1:4" ht="31.5" customHeight="1">
      <c r="A3854" s="120">
        <v>89581</v>
      </c>
      <c r="B3854" s="119" t="s">
        <v>5394</v>
      </c>
      <c r="C3854" s="120" t="s">
        <v>331</v>
      </c>
      <c r="D3854" s="441">
        <v>34.130000000000003</v>
      </c>
    </row>
    <row r="3855" spans="1:4" ht="31.5" customHeight="1">
      <c r="A3855" s="120">
        <v>89582</v>
      </c>
      <c r="B3855" s="119" t="s">
        <v>5395</v>
      </c>
      <c r="C3855" s="120" t="s">
        <v>331</v>
      </c>
      <c r="D3855" s="441">
        <v>34.6</v>
      </c>
    </row>
    <row r="3856" spans="1:4" ht="31.5" customHeight="1">
      <c r="A3856" s="120">
        <v>89583</v>
      </c>
      <c r="B3856" s="119" t="s">
        <v>5396</v>
      </c>
      <c r="C3856" s="120" t="s">
        <v>331</v>
      </c>
      <c r="D3856" s="441">
        <v>43.18</v>
      </c>
    </row>
    <row r="3857" spans="1:4" ht="31.5" customHeight="1">
      <c r="A3857" s="120">
        <v>89584</v>
      </c>
      <c r="B3857" s="119" t="s">
        <v>5397</v>
      </c>
      <c r="C3857" s="120" t="s">
        <v>331</v>
      </c>
      <c r="D3857" s="441">
        <v>45.12</v>
      </c>
    </row>
    <row r="3858" spans="1:4" ht="31.5" customHeight="1">
      <c r="A3858" s="120">
        <v>89585</v>
      </c>
      <c r="B3858" s="119" t="s">
        <v>5398</v>
      </c>
      <c r="C3858" s="120" t="s">
        <v>331</v>
      </c>
      <c r="D3858" s="441">
        <v>46.16</v>
      </c>
    </row>
    <row r="3859" spans="1:4" ht="31.5" customHeight="1">
      <c r="A3859" s="120">
        <v>89587</v>
      </c>
      <c r="B3859" s="119" t="s">
        <v>5399</v>
      </c>
      <c r="C3859" s="120" t="s">
        <v>331</v>
      </c>
      <c r="D3859" s="441">
        <v>50.65</v>
      </c>
    </row>
    <row r="3860" spans="1:4" ht="31.5" customHeight="1">
      <c r="A3860" s="120">
        <v>89590</v>
      </c>
      <c r="B3860" s="119" t="s">
        <v>5400</v>
      </c>
      <c r="C3860" s="120" t="s">
        <v>331</v>
      </c>
      <c r="D3860" s="441">
        <v>132.01</v>
      </c>
    </row>
    <row r="3861" spans="1:4" ht="31.5" customHeight="1">
      <c r="A3861" s="120">
        <v>89591</v>
      </c>
      <c r="B3861" s="119" t="s">
        <v>5401</v>
      </c>
      <c r="C3861" s="120" t="s">
        <v>331</v>
      </c>
      <c r="D3861" s="441">
        <v>128.81</v>
      </c>
    </row>
    <row r="3862" spans="1:4" ht="31.5" customHeight="1">
      <c r="A3862" s="120">
        <v>89592</v>
      </c>
      <c r="B3862" s="119" t="s">
        <v>5402</v>
      </c>
      <c r="C3862" s="120" t="s">
        <v>331</v>
      </c>
      <c r="D3862" s="441">
        <v>156.94</v>
      </c>
    </row>
    <row r="3863" spans="1:4" ht="31.5" customHeight="1">
      <c r="A3863" s="120">
        <v>89593</v>
      </c>
      <c r="B3863" s="119" t="s">
        <v>5403</v>
      </c>
      <c r="C3863" s="120" t="s">
        <v>331</v>
      </c>
      <c r="D3863" s="441">
        <v>27.89</v>
      </c>
    </row>
    <row r="3864" spans="1:4" ht="31.5" customHeight="1">
      <c r="A3864" s="120">
        <v>89594</v>
      </c>
      <c r="B3864" s="119" t="s">
        <v>5404</v>
      </c>
      <c r="C3864" s="120" t="s">
        <v>331</v>
      </c>
      <c r="D3864" s="441">
        <v>40.17</v>
      </c>
    </row>
    <row r="3865" spans="1:4" ht="31.5" customHeight="1">
      <c r="A3865" s="120">
        <v>89595</v>
      </c>
      <c r="B3865" s="119" t="s">
        <v>5405</v>
      </c>
      <c r="C3865" s="120" t="s">
        <v>331</v>
      </c>
      <c r="D3865" s="441">
        <v>16.3</v>
      </c>
    </row>
    <row r="3866" spans="1:4" ht="31.5" customHeight="1">
      <c r="A3866" s="120">
        <v>89596</v>
      </c>
      <c r="B3866" s="119" t="s">
        <v>5406</v>
      </c>
      <c r="C3866" s="120" t="s">
        <v>331</v>
      </c>
      <c r="D3866" s="441">
        <v>11.83</v>
      </c>
    </row>
    <row r="3867" spans="1:4" ht="31.5" customHeight="1">
      <c r="A3867" s="120">
        <v>89597</v>
      </c>
      <c r="B3867" s="119" t="s">
        <v>5407</v>
      </c>
      <c r="C3867" s="120" t="s">
        <v>331</v>
      </c>
      <c r="D3867" s="441">
        <v>25.48</v>
      </c>
    </row>
    <row r="3868" spans="1:4" ht="31.5" customHeight="1">
      <c r="A3868" s="120">
        <v>89598</v>
      </c>
      <c r="B3868" s="119" t="s">
        <v>5408</v>
      </c>
      <c r="C3868" s="120" t="s">
        <v>331</v>
      </c>
      <c r="D3868" s="441">
        <v>55.6</v>
      </c>
    </row>
    <row r="3869" spans="1:4" ht="31.5" customHeight="1">
      <c r="A3869" s="120">
        <v>89599</v>
      </c>
      <c r="B3869" s="119" t="s">
        <v>5409</v>
      </c>
      <c r="C3869" s="120" t="s">
        <v>331</v>
      </c>
      <c r="D3869" s="441">
        <v>25.73</v>
      </c>
    </row>
    <row r="3870" spans="1:4" ht="31.5" customHeight="1">
      <c r="A3870" s="120">
        <v>89600</v>
      </c>
      <c r="B3870" s="119" t="s">
        <v>5410</v>
      </c>
      <c r="C3870" s="120" t="s">
        <v>331</v>
      </c>
      <c r="D3870" s="441">
        <v>25.62</v>
      </c>
    </row>
    <row r="3871" spans="1:4" ht="31.5" customHeight="1">
      <c r="A3871" s="120">
        <v>89605</v>
      </c>
      <c r="B3871" s="119" t="s">
        <v>5411</v>
      </c>
      <c r="C3871" s="120" t="s">
        <v>331</v>
      </c>
      <c r="D3871" s="441">
        <v>23.21</v>
      </c>
    </row>
    <row r="3872" spans="1:4" ht="31.5" customHeight="1">
      <c r="A3872" s="120">
        <v>89609</v>
      </c>
      <c r="B3872" s="119" t="s">
        <v>5412</v>
      </c>
      <c r="C3872" s="120" t="s">
        <v>331</v>
      </c>
      <c r="D3872" s="441">
        <v>93.57</v>
      </c>
    </row>
    <row r="3873" spans="1:4" ht="31.5" customHeight="1">
      <c r="A3873" s="120">
        <v>89610</v>
      </c>
      <c r="B3873" s="119" t="s">
        <v>5413</v>
      </c>
      <c r="C3873" s="120" t="s">
        <v>331</v>
      </c>
      <c r="D3873" s="441">
        <v>21.98</v>
      </c>
    </row>
    <row r="3874" spans="1:4" ht="31.5" customHeight="1">
      <c r="A3874" s="120">
        <v>89611</v>
      </c>
      <c r="B3874" s="119" t="s">
        <v>5414</v>
      </c>
      <c r="C3874" s="120" t="s">
        <v>331</v>
      </c>
      <c r="D3874" s="441">
        <v>36.04</v>
      </c>
    </row>
    <row r="3875" spans="1:4" ht="31.5" customHeight="1">
      <c r="A3875" s="120">
        <v>89612</v>
      </c>
      <c r="B3875" s="119" t="s">
        <v>5415</v>
      </c>
      <c r="C3875" s="120" t="s">
        <v>331</v>
      </c>
      <c r="D3875" s="441">
        <v>183.61</v>
      </c>
    </row>
    <row r="3876" spans="1:4" ht="31.5" customHeight="1">
      <c r="A3876" s="120">
        <v>89613</v>
      </c>
      <c r="B3876" s="119" t="s">
        <v>5416</v>
      </c>
      <c r="C3876" s="120" t="s">
        <v>331</v>
      </c>
      <c r="D3876" s="441">
        <v>34.24</v>
      </c>
    </row>
    <row r="3877" spans="1:4" ht="31.5" customHeight="1">
      <c r="A3877" s="120">
        <v>89614</v>
      </c>
      <c r="B3877" s="119" t="s">
        <v>5417</v>
      </c>
      <c r="C3877" s="120" t="s">
        <v>331</v>
      </c>
      <c r="D3877" s="441">
        <v>66.77</v>
      </c>
    </row>
    <row r="3878" spans="1:4" ht="31.5" customHeight="1">
      <c r="A3878" s="120">
        <v>89615</v>
      </c>
      <c r="B3878" s="119" t="s">
        <v>5418</v>
      </c>
      <c r="C3878" s="120" t="s">
        <v>331</v>
      </c>
      <c r="D3878" s="441">
        <v>216.83</v>
      </c>
    </row>
    <row r="3879" spans="1:4" ht="31.5" customHeight="1">
      <c r="A3879" s="120">
        <v>89616</v>
      </c>
      <c r="B3879" s="119" t="s">
        <v>5419</v>
      </c>
      <c r="C3879" s="120" t="s">
        <v>331</v>
      </c>
      <c r="D3879" s="441">
        <v>45.71</v>
      </c>
    </row>
    <row r="3880" spans="1:4" ht="15.75" customHeight="1">
      <c r="A3880" s="120">
        <v>89617</v>
      </c>
      <c r="B3880" s="119" t="s">
        <v>5420</v>
      </c>
      <c r="C3880" s="120" t="s">
        <v>331</v>
      </c>
      <c r="D3880" s="441">
        <v>8.67</v>
      </c>
    </row>
    <row r="3881" spans="1:4" ht="15.75" customHeight="1">
      <c r="A3881" s="120">
        <v>89620</v>
      </c>
      <c r="B3881" s="119" t="s">
        <v>5421</v>
      </c>
      <c r="C3881" s="120" t="s">
        <v>331</v>
      </c>
      <c r="D3881" s="441">
        <v>13.53</v>
      </c>
    </row>
    <row r="3882" spans="1:4" ht="31.5" customHeight="1">
      <c r="A3882" s="120">
        <v>89622</v>
      </c>
      <c r="B3882" s="119" t="s">
        <v>5422</v>
      </c>
      <c r="C3882" s="120" t="s">
        <v>331</v>
      </c>
      <c r="D3882" s="441">
        <v>15.98</v>
      </c>
    </row>
    <row r="3883" spans="1:4" ht="15.75" customHeight="1">
      <c r="A3883" s="120">
        <v>89623</v>
      </c>
      <c r="B3883" s="119" t="s">
        <v>5423</v>
      </c>
      <c r="C3883" s="120" t="s">
        <v>331</v>
      </c>
      <c r="D3883" s="441">
        <v>21.97</v>
      </c>
    </row>
    <row r="3884" spans="1:4" ht="31.5" customHeight="1">
      <c r="A3884" s="120">
        <v>89624</v>
      </c>
      <c r="B3884" s="119" t="s">
        <v>5424</v>
      </c>
      <c r="C3884" s="120" t="s">
        <v>331</v>
      </c>
      <c r="D3884" s="441">
        <v>20.28</v>
      </c>
    </row>
    <row r="3885" spans="1:4" ht="15.75" customHeight="1">
      <c r="A3885" s="120">
        <v>89625</v>
      </c>
      <c r="B3885" s="119" t="s">
        <v>5425</v>
      </c>
      <c r="C3885" s="120" t="s">
        <v>331</v>
      </c>
      <c r="D3885" s="441">
        <v>25.71</v>
      </c>
    </row>
    <row r="3886" spans="1:4" ht="31.5" customHeight="1">
      <c r="A3886" s="120">
        <v>89626</v>
      </c>
      <c r="B3886" s="119" t="s">
        <v>5426</v>
      </c>
      <c r="C3886" s="120" t="s">
        <v>331</v>
      </c>
      <c r="D3886" s="441">
        <v>33.909999999999997</v>
      </c>
    </row>
    <row r="3887" spans="1:4" ht="31.5" customHeight="1">
      <c r="A3887" s="120">
        <v>89627</v>
      </c>
      <c r="B3887" s="119" t="s">
        <v>5427</v>
      </c>
      <c r="C3887" s="120" t="s">
        <v>331</v>
      </c>
      <c r="D3887" s="441">
        <v>22.71</v>
      </c>
    </row>
    <row r="3888" spans="1:4" ht="15.75" customHeight="1">
      <c r="A3888" s="120">
        <v>89628</v>
      </c>
      <c r="B3888" s="119" t="s">
        <v>5428</v>
      </c>
      <c r="C3888" s="120" t="s">
        <v>331</v>
      </c>
      <c r="D3888" s="441">
        <v>53.83</v>
      </c>
    </row>
    <row r="3889" spans="1:4" ht="15.75" customHeight="1">
      <c r="A3889" s="120">
        <v>89629</v>
      </c>
      <c r="B3889" s="119" t="s">
        <v>5429</v>
      </c>
      <c r="C3889" s="120" t="s">
        <v>331</v>
      </c>
      <c r="D3889" s="441">
        <v>90.37</v>
      </c>
    </row>
    <row r="3890" spans="1:4" ht="31.5" customHeight="1">
      <c r="A3890" s="120">
        <v>89630</v>
      </c>
      <c r="B3890" s="119" t="s">
        <v>5430</v>
      </c>
      <c r="C3890" s="120" t="s">
        <v>331</v>
      </c>
      <c r="D3890" s="441">
        <v>68.59</v>
      </c>
    </row>
    <row r="3891" spans="1:4" ht="15.75" customHeight="1">
      <c r="A3891" s="120">
        <v>89631</v>
      </c>
      <c r="B3891" s="119" t="s">
        <v>5431</v>
      </c>
      <c r="C3891" s="120" t="s">
        <v>331</v>
      </c>
      <c r="D3891" s="441">
        <v>118.53</v>
      </c>
    </row>
    <row r="3892" spans="1:4" ht="31.5" customHeight="1">
      <c r="A3892" s="120">
        <v>89632</v>
      </c>
      <c r="B3892" s="119" t="s">
        <v>5432</v>
      </c>
      <c r="C3892" s="120" t="s">
        <v>331</v>
      </c>
      <c r="D3892" s="441">
        <v>137.24</v>
      </c>
    </row>
    <row r="3893" spans="1:4" ht="31.5" customHeight="1">
      <c r="A3893" s="120">
        <v>89637</v>
      </c>
      <c r="B3893" s="119" t="s">
        <v>5433</v>
      </c>
      <c r="C3893" s="120" t="s">
        <v>331</v>
      </c>
      <c r="D3893" s="441">
        <v>11.96</v>
      </c>
    </row>
    <row r="3894" spans="1:4" ht="31.5" customHeight="1">
      <c r="A3894" s="120">
        <v>89638</v>
      </c>
      <c r="B3894" s="119" t="s">
        <v>5434</v>
      </c>
      <c r="C3894" s="120" t="s">
        <v>331</v>
      </c>
      <c r="D3894" s="441">
        <v>12.88</v>
      </c>
    </row>
    <row r="3895" spans="1:4" ht="31.5" customHeight="1">
      <c r="A3895" s="120">
        <v>89639</v>
      </c>
      <c r="B3895" s="119" t="s">
        <v>5435</v>
      </c>
      <c r="C3895" s="120" t="s">
        <v>331</v>
      </c>
      <c r="D3895" s="441">
        <v>13.52</v>
      </c>
    </row>
    <row r="3896" spans="1:4" ht="31.5" customHeight="1">
      <c r="A3896" s="120">
        <v>89640</v>
      </c>
      <c r="B3896" s="119" t="s">
        <v>5436</v>
      </c>
      <c r="C3896" s="120" t="s">
        <v>331</v>
      </c>
      <c r="D3896" s="441">
        <v>20.49</v>
      </c>
    </row>
    <row r="3897" spans="1:4" ht="31.5" customHeight="1">
      <c r="A3897" s="120">
        <v>89641</v>
      </c>
      <c r="B3897" s="119" t="s">
        <v>5437</v>
      </c>
      <c r="C3897" s="120" t="s">
        <v>331</v>
      </c>
      <c r="D3897" s="441">
        <v>15.49</v>
      </c>
    </row>
    <row r="3898" spans="1:4" ht="31.5" customHeight="1">
      <c r="A3898" s="120">
        <v>89642</v>
      </c>
      <c r="B3898" s="119" t="s">
        <v>5438</v>
      </c>
      <c r="C3898" s="120" t="s">
        <v>331</v>
      </c>
      <c r="D3898" s="441">
        <v>17.100000000000001</v>
      </c>
    </row>
    <row r="3899" spans="1:4" ht="31.5" customHeight="1">
      <c r="A3899" s="120">
        <v>89643</v>
      </c>
      <c r="B3899" s="119" t="s">
        <v>5439</v>
      </c>
      <c r="C3899" s="120" t="s">
        <v>331</v>
      </c>
      <c r="D3899" s="441">
        <v>18.39</v>
      </c>
    </row>
    <row r="3900" spans="1:4" ht="31.5" customHeight="1">
      <c r="A3900" s="120">
        <v>89644</v>
      </c>
      <c r="B3900" s="119" t="s">
        <v>5440</v>
      </c>
      <c r="C3900" s="120" t="s">
        <v>331</v>
      </c>
      <c r="D3900" s="441">
        <v>24.93</v>
      </c>
    </row>
    <row r="3901" spans="1:4" ht="31.5" customHeight="1">
      <c r="A3901" s="120">
        <v>89645</v>
      </c>
      <c r="B3901" s="119" t="s">
        <v>5441</v>
      </c>
      <c r="C3901" s="120" t="s">
        <v>331</v>
      </c>
      <c r="D3901" s="441">
        <v>34.380000000000003</v>
      </c>
    </row>
    <row r="3902" spans="1:4" ht="31.5" customHeight="1">
      <c r="A3902" s="120">
        <v>89646</v>
      </c>
      <c r="B3902" s="119" t="s">
        <v>5442</v>
      </c>
      <c r="C3902" s="120" t="s">
        <v>331</v>
      </c>
      <c r="D3902" s="441">
        <v>22.88</v>
      </c>
    </row>
    <row r="3903" spans="1:4" ht="31.5" customHeight="1">
      <c r="A3903" s="120">
        <v>89647</v>
      </c>
      <c r="B3903" s="119" t="s">
        <v>5443</v>
      </c>
      <c r="C3903" s="120" t="s">
        <v>331</v>
      </c>
      <c r="D3903" s="441">
        <v>22.22</v>
      </c>
    </row>
    <row r="3904" spans="1:4" ht="31.5" customHeight="1">
      <c r="A3904" s="120">
        <v>89648</v>
      </c>
      <c r="B3904" s="119" t="s">
        <v>5444</v>
      </c>
      <c r="C3904" s="120" t="s">
        <v>331</v>
      </c>
      <c r="D3904" s="441">
        <v>27.24</v>
      </c>
    </row>
    <row r="3905" spans="1:4" ht="31.5" customHeight="1">
      <c r="A3905" s="120">
        <v>89649</v>
      </c>
      <c r="B3905" s="119" t="s">
        <v>5445</v>
      </c>
      <c r="C3905" s="120" t="s">
        <v>331</v>
      </c>
      <c r="D3905" s="441">
        <v>33.1</v>
      </c>
    </row>
    <row r="3906" spans="1:4" ht="31.5" customHeight="1">
      <c r="A3906" s="120">
        <v>89650</v>
      </c>
      <c r="B3906" s="119" t="s">
        <v>5446</v>
      </c>
      <c r="C3906" s="120" t="s">
        <v>331</v>
      </c>
      <c r="D3906" s="441">
        <v>31.45</v>
      </c>
    </row>
    <row r="3907" spans="1:4" ht="31.5" customHeight="1">
      <c r="A3907" s="120">
        <v>89651</v>
      </c>
      <c r="B3907" s="119" t="s">
        <v>5447</v>
      </c>
      <c r="C3907" s="120" t="s">
        <v>331</v>
      </c>
      <c r="D3907" s="441">
        <v>8.16</v>
      </c>
    </row>
    <row r="3908" spans="1:4" ht="31.5" customHeight="1">
      <c r="A3908" s="120">
        <v>89652</v>
      </c>
      <c r="B3908" s="119" t="s">
        <v>5448</v>
      </c>
      <c r="C3908" s="120" t="s">
        <v>331</v>
      </c>
      <c r="D3908" s="441">
        <v>13.28</v>
      </c>
    </row>
    <row r="3909" spans="1:4" ht="31.5" customHeight="1">
      <c r="A3909" s="120">
        <v>89653</v>
      </c>
      <c r="B3909" s="119" t="s">
        <v>5449</v>
      </c>
      <c r="C3909" s="120" t="s">
        <v>331</v>
      </c>
      <c r="D3909" s="441">
        <v>18.46</v>
      </c>
    </row>
    <row r="3910" spans="1:4" ht="31.5" customHeight="1">
      <c r="A3910" s="120">
        <v>89654</v>
      </c>
      <c r="B3910" s="119" t="s">
        <v>5450</v>
      </c>
      <c r="C3910" s="120" t="s">
        <v>331</v>
      </c>
      <c r="D3910" s="441">
        <v>21.23</v>
      </c>
    </row>
    <row r="3911" spans="1:4" ht="31.5" customHeight="1">
      <c r="A3911" s="120">
        <v>89655</v>
      </c>
      <c r="B3911" s="119" t="s">
        <v>5451</v>
      </c>
      <c r="C3911" s="120" t="s">
        <v>331</v>
      </c>
      <c r="D3911" s="441">
        <v>25.12</v>
      </c>
    </row>
    <row r="3912" spans="1:4" ht="31.5" customHeight="1">
      <c r="A3912" s="120">
        <v>89656</v>
      </c>
      <c r="B3912" s="119" t="s">
        <v>5452</v>
      </c>
      <c r="C3912" s="120" t="s">
        <v>331</v>
      </c>
      <c r="D3912" s="441">
        <v>23.47</v>
      </c>
    </row>
    <row r="3913" spans="1:4" ht="31.5" customHeight="1">
      <c r="A3913" s="120">
        <v>89657</v>
      </c>
      <c r="B3913" s="119" t="s">
        <v>5453</v>
      </c>
      <c r="C3913" s="120" t="s">
        <v>331</v>
      </c>
      <c r="D3913" s="441">
        <v>14.91</v>
      </c>
    </row>
    <row r="3914" spans="1:4" ht="31.5" customHeight="1">
      <c r="A3914" s="120">
        <v>89658</v>
      </c>
      <c r="B3914" s="119" t="s">
        <v>5454</v>
      </c>
      <c r="C3914" s="120" t="s">
        <v>331</v>
      </c>
      <c r="D3914" s="441">
        <v>10.86</v>
      </c>
    </row>
    <row r="3915" spans="1:4" ht="31.5" customHeight="1">
      <c r="A3915" s="120">
        <v>89659</v>
      </c>
      <c r="B3915" s="119" t="s">
        <v>5455</v>
      </c>
      <c r="C3915" s="120" t="s">
        <v>331</v>
      </c>
      <c r="D3915" s="441">
        <v>18.579999999999998</v>
      </c>
    </row>
    <row r="3916" spans="1:4" ht="31.5" customHeight="1">
      <c r="A3916" s="120">
        <v>89660</v>
      </c>
      <c r="B3916" s="119" t="s">
        <v>5456</v>
      </c>
      <c r="C3916" s="120" t="s">
        <v>331</v>
      </c>
      <c r="D3916" s="441">
        <v>11.06</v>
      </c>
    </row>
    <row r="3917" spans="1:4" ht="31.5" customHeight="1">
      <c r="A3917" s="120">
        <v>89661</v>
      </c>
      <c r="B3917" s="119" t="s">
        <v>5457</v>
      </c>
      <c r="C3917" s="120" t="s">
        <v>331</v>
      </c>
      <c r="D3917" s="441">
        <v>24.92</v>
      </c>
    </row>
    <row r="3918" spans="1:4" ht="31.5" customHeight="1">
      <c r="A3918" s="120">
        <v>89662</v>
      </c>
      <c r="B3918" s="119" t="s">
        <v>5458</v>
      </c>
      <c r="C3918" s="120" t="s">
        <v>331</v>
      </c>
      <c r="D3918" s="441">
        <v>32.39</v>
      </c>
    </row>
    <row r="3919" spans="1:4" ht="31.5" customHeight="1">
      <c r="A3919" s="120">
        <v>89663</v>
      </c>
      <c r="B3919" s="119" t="s">
        <v>5459</v>
      </c>
      <c r="C3919" s="120" t="s">
        <v>331</v>
      </c>
      <c r="D3919" s="441">
        <v>31.43</v>
      </c>
    </row>
    <row r="3920" spans="1:4" ht="31.5" customHeight="1">
      <c r="A3920" s="120">
        <v>89664</v>
      </c>
      <c r="B3920" s="119" t="s">
        <v>5460</v>
      </c>
      <c r="C3920" s="120" t="s">
        <v>331</v>
      </c>
      <c r="D3920" s="441">
        <v>18.510000000000002</v>
      </c>
    </row>
    <row r="3921" spans="1:4" ht="31.5" customHeight="1">
      <c r="A3921" s="120">
        <v>89666</v>
      </c>
      <c r="B3921" s="119" t="s">
        <v>5461</v>
      </c>
      <c r="C3921" s="120" t="s">
        <v>331</v>
      </c>
      <c r="D3921" s="441">
        <v>8.5500000000000007</v>
      </c>
    </row>
    <row r="3922" spans="1:4" ht="31.5" customHeight="1">
      <c r="A3922" s="120">
        <v>89667</v>
      </c>
      <c r="B3922" s="119" t="s">
        <v>5462</v>
      </c>
      <c r="C3922" s="120" t="s">
        <v>331</v>
      </c>
      <c r="D3922" s="441">
        <v>43.61</v>
      </c>
    </row>
    <row r="3923" spans="1:4" ht="31.5" customHeight="1">
      <c r="A3923" s="120">
        <v>89668</v>
      </c>
      <c r="B3923" s="119" t="s">
        <v>5463</v>
      </c>
      <c r="C3923" s="120" t="s">
        <v>331</v>
      </c>
      <c r="D3923" s="441">
        <v>30.68</v>
      </c>
    </row>
    <row r="3924" spans="1:4" ht="31.5" customHeight="1">
      <c r="A3924" s="120">
        <v>89669</v>
      </c>
      <c r="B3924" s="119" t="s">
        <v>5464</v>
      </c>
      <c r="C3924" s="120" t="s">
        <v>331</v>
      </c>
      <c r="D3924" s="441">
        <v>34.479999999999997</v>
      </c>
    </row>
    <row r="3925" spans="1:4" ht="31.5" customHeight="1">
      <c r="A3925" s="120">
        <v>89670</v>
      </c>
      <c r="B3925" s="119" t="s">
        <v>5465</v>
      </c>
      <c r="C3925" s="120" t="s">
        <v>331</v>
      </c>
      <c r="D3925" s="441">
        <v>15.83</v>
      </c>
    </row>
    <row r="3926" spans="1:4" ht="31.5" customHeight="1">
      <c r="A3926" s="120">
        <v>89671</v>
      </c>
      <c r="B3926" s="119" t="s">
        <v>5466</v>
      </c>
      <c r="C3926" s="120" t="s">
        <v>331</v>
      </c>
      <c r="D3926" s="441">
        <v>45.07</v>
      </c>
    </row>
    <row r="3927" spans="1:4" ht="31.5" customHeight="1">
      <c r="A3927" s="120">
        <v>89672</v>
      </c>
      <c r="B3927" s="119" t="s">
        <v>5467</v>
      </c>
      <c r="C3927" s="120" t="s">
        <v>331</v>
      </c>
      <c r="D3927" s="441">
        <v>25.43</v>
      </c>
    </row>
    <row r="3928" spans="1:4" ht="31.5" customHeight="1">
      <c r="A3928" s="120">
        <v>89673</v>
      </c>
      <c r="B3928" s="119" t="s">
        <v>5468</v>
      </c>
      <c r="C3928" s="120" t="s">
        <v>331</v>
      </c>
      <c r="D3928" s="441">
        <v>35.630000000000003</v>
      </c>
    </row>
    <row r="3929" spans="1:4" ht="31.5" customHeight="1">
      <c r="A3929" s="120">
        <v>89674</v>
      </c>
      <c r="B3929" s="119" t="s">
        <v>5469</v>
      </c>
      <c r="C3929" s="120" t="s">
        <v>331</v>
      </c>
      <c r="D3929" s="441">
        <v>32.369999999999997</v>
      </c>
    </row>
    <row r="3930" spans="1:4" ht="31.5" customHeight="1">
      <c r="A3930" s="120">
        <v>89675</v>
      </c>
      <c r="B3930" s="119" t="s">
        <v>5470</v>
      </c>
      <c r="C3930" s="120" t="s">
        <v>331</v>
      </c>
      <c r="D3930" s="441">
        <v>71.66</v>
      </c>
    </row>
    <row r="3931" spans="1:4" ht="31.5" customHeight="1">
      <c r="A3931" s="120">
        <v>89676</v>
      </c>
      <c r="B3931" s="119" t="s">
        <v>5471</v>
      </c>
      <c r="C3931" s="120" t="s">
        <v>331</v>
      </c>
      <c r="D3931" s="441">
        <v>38.56</v>
      </c>
    </row>
    <row r="3932" spans="1:4" ht="31.5" customHeight="1">
      <c r="A3932" s="120">
        <v>89677</v>
      </c>
      <c r="B3932" s="119" t="s">
        <v>5472</v>
      </c>
      <c r="C3932" s="120" t="s">
        <v>331</v>
      </c>
      <c r="D3932" s="441">
        <v>77.88</v>
      </c>
    </row>
    <row r="3933" spans="1:4" ht="31.5" customHeight="1">
      <c r="A3933" s="120">
        <v>89678</v>
      </c>
      <c r="B3933" s="119" t="s">
        <v>5473</v>
      </c>
      <c r="C3933" s="120" t="s">
        <v>331</v>
      </c>
      <c r="D3933" s="441">
        <v>13.56</v>
      </c>
    </row>
    <row r="3934" spans="1:4" ht="31.5" customHeight="1">
      <c r="A3934" s="120">
        <v>89679</v>
      </c>
      <c r="B3934" s="119" t="s">
        <v>5474</v>
      </c>
      <c r="C3934" s="120" t="s">
        <v>331</v>
      </c>
      <c r="D3934" s="441">
        <v>120.66</v>
      </c>
    </row>
    <row r="3935" spans="1:4" ht="31.5" customHeight="1">
      <c r="A3935" s="120">
        <v>89680</v>
      </c>
      <c r="B3935" s="119" t="s">
        <v>5475</v>
      </c>
      <c r="C3935" s="120" t="s">
        <v>331</v>
      </c>
      <c r="D3935" s="441">
        <v>24.58</v>
      </c>
    </row>
    <row r="3936" spans="1:4" ht="31.5" customHeight="1">
      <c r="A3936" s="120">
        <v>89681</v>
      </c>
      <c r="B3936" s="119" t="s">
        <v>5476</v>
      </c>
      <c r="C3936" s="120" t="s">
        <v>331</v>
      </c>
      <c r="D3936" s="441">
        <v>88.56</v>
      </c>
    </row>
    <row r="3937" spans="1:4" ht="31.5" customHeight="1">
      <c r="A3937" s="120">
        <v>89682</v>
      </c>
      <c r="B3937" s="119" t="s">
        <v>5477</v>
      </c>
      <c r="C3937" s="120" t="s">
        <v>331</v>
      </c>
      <c r="D3937" s="441">
        <v>33.65</v>
      </c>
    </row>
    <row r="3938" spans="1:4" ht="31.5" customHeight="1">
      <c r="A3938" s="120">
        <v>89683</v>
      </c>
      <c r="B3938" s="119" t="s">
        <v>5478</v>
      </c>
      <c r="C3938" s="120" t="s">
        <v>331</v>
      </c>
      <c r="D3938" s="441">
        <v>278.43</v>
      </c>
    </row>
    <row r="3939" spans="1:4" ht="31.5" customHeight="1">
      <c r="A3939" s="120">
        <v>89684</v>
      </c>
      <c r="B3939" s="119" t="s">
        <v>5479</v>
      </c>
      <c r="C3939" s="120" t="s">
        <v>331</v>
      </c>
      <c r="D3939" s="441">
        <v>46.62</v>
      </c>
    </row>
    <row r="3940" spans="1:4" ht="31.5" customHeight="1">
      <c r="A3940" s="120">
        <v>89685</v>
      </c>
      <c r="B3940" s="119" t="s">
        <v>5480</v>
      </c>
      <c r="C3940" s="120" t="s">
        <v>331</v>
      </c>
      <c r="D3940" s="441">
        <v>61.47</v>
      </c>
    </row>
    <row r="3941" spans="1:4" ht="31.5" customHeight="1">
      <c r="A3941" s="120">
        <v>89686</v>
      </c>
      <c r="B3941" s="119" t="s">
        <v>5481</v>
      </c>
      <c r="C3941" s="120" t="s">
        <v>331</v>
      </c>
      <c r="D3941" s="441">
        <v>58.55</v>
      </c>
    </row>
    <row r="3942" spans="1:4" ht="31.5" customHeight="1">
      <c r="A3942" s="120">
        <v>89687</v>
      </c>
      <c r="B3942" s="119" t="s">
        <v>5482</v>
      </c>
      <c r="C3942" s="120" t="s">
        <v>331</v>
      </c>
      <c r="D3942" s="441">
        <v>53.04</v>
      </c>
    </row>
    <row r="3943" spans="1:4" ht="31.5" customHeight="1">
      <c r="A3943" s="120">
        <v>89689</v>
      </c>
      <c r="B3943" s="119" t="s">
        <v>5483</v>
      </c>
      <c r="C3943" s="120" t="s">
        <v>331</v>
      </c>
      <c r="D3943" s="441">
        <v>39.590000000000003</v>
      </c>
    </row>
    <row r="3944" spans="1:4" ht="31.5" customHeight="1">
      <c r="A3944" s="120">
        <v>89690</v>
      </c>
      <c r="B3944" s="119" t="s">
        <v>5484</v>
      </c>
      <c r="C3944" s="120" t="s">
        <v>331</v>
      </c>
      <c r="D3944" s="441">
        <v>90.63</v>
      </c>
    </row>
    <row r="3945" spans="1:4" ht="31.5" customHeight="1">
      <c r="A3945" s="120">
        <v>89691</v>
      </c>
      <c r="B3945" s="119" t="s">
        <v>5485</v>
      </c>
      <c r="C3945" s="120" t="s">
        <v>331</v>
      </c>
      <c r="D3945" s="441">
        <v>15.52</v>
      </c>
    </row>
    <row r="3946" spans="1:4" ht="31.5" customHeight="1">
      <c r="A3946" s="120">
        <v>89692</v>
      </c>
      <c r="B3946" s="119" t="s">
        <v>5486</v>
      </c>
      <c r="C3946" s="120" t="s">
        <v>331</v>
      </c>
      <c r="D3946" s="441">
        <v>102.22</v>
      </c>
    </row>
    <row r="3947" spans="1:4" ht="31.5" customHeight="1">
      <c r="A3947" s="120">
        <v>89693</v>
      </c>
      <c r="B3947" s="119" t="s">
        <v>5487</v>
      </c>
      <c r="C3947" s="120" t="s">
        <v>331</v>
      </c>
      <c r="D3947" s="441">
        <v>80.010000000000005</v>
      </c>
    </row>
    <row r="3948" spans="1:4" ht="31.5" customHeight="1">
      <c r="A3948" s="120">
        <v>89694</v>
      </c>
      <c r="B3948" s="119" t="s">
        <v>5488</v>
      </c>
      <c r="C3948" s="120" t="s">
        <v>331</v>
      </c>
      <c r="D3948" s="441">
        <v>22.09</v>
      </c>
    </row>
    <row r="3949" spans="1:4" ht="31.5" customHeight="1">
      <c r="A3949" s="120">
        <v>89695</v>
      </c>
      <c r="B3949" s="119" t="s">
        <v>5489</v>
      </c>
      <c r="C3949" s="120" t="s">
        <v>331</v>
      </c>
      <c r="D3949" s="441">
        <v>19.059999999999999</v>
      </c>
    </row>
    <row r="3950" spans="1:4" ht="31.5" customHeight="1">
      <c r="A3950" s="120">
        <v>89696</v>
      </c>
      <c r="B3950" s="119" t="s">
        <v>5490</v>
      </c>
      <c r="C3950" s="120" t="s">
        <v>331</v>
      </c>
      <c r="D3950" s="441">
        <v>85.02</v>
      </c>
    </row>
    <row r="3951" spans="1:4" ht="31.5" customHeight="1">
      <c r="A3951" s="120">
        <v>89697</v>
      </c>
      <c r="B3951" s="119" t="s">
        <v>5491</v>
      </c>
      <c r="C3951" s="120" t="s">
        <v>331</v>
      </c>
      <c r="D3951" s="441">
        <v>20.29</v>
      </c>
    </row>
    <row r="3952" spans="1:4" ht="31.5" customHeight="1">
      <c r="A3952" s="120">
        <v>89698</v>
      </c>
      <c r="B3952" s="119" t="s">
        <v>5492</v>
      </c>
      <c r="C3952" s="120" t="s">
        <v>331</v>
      </c>
      <c r="D3952" s="441">
        <v>262.02999999999997</v>
      </c>
    </row>
    <row r="3953" spans="1:4" ht="31.5" customHeight="1">
      <c r="A3953" s="120">
        <v>89699</v>
      </c>
      <c r="B3953" s="119" t="s">
        <v>5493</v>
      </c>
      <c r="C3953" s="120" t="s">
        <v>331</v>
      </c>
      <c r="D3953" s="441">
        <v>198.57</v>
      </c>
    </row>
    <row r="3954" spans="1:4" ht="31.5" customHeight="1">
      <c r="A3954" s="120">
        <v>89700</v>
      </c>
      <c r="B3954" s="119" t="s">
        <v>5494</v>
      </c>
      <c r="C3954" s="120" t="s">
        <v>331</v>
      </c>
      <c r="D3954" s="441">
        <v>25.29</v>
      </c>
    </row>
    <row r="3955" spans="1:4" ht="31.5" customHeight="1">
      <c r="A3955" s="120">
        <v>89701</v>
      </c>
      <c r="B3955" s="119" t="s">
        <v>5495</v>
      </c>
      <c r="C3955" s="120" t="s">
        <v>331</v>
      </c>
      <c r="D3955" s="441">
        <v>193.83</v>
      </c>
    </row>
    <row r="3956" spans="1:4" ht="31.5" customHeight="1">
      <c r="A3956" s="120">
        <v>89702</v>
      </c>
      <c r="B3956" s="119" t="s">
        <v>5496</v>
      </c>
      <c r="C3956" s="120" t="s">
        <v>331</v>
      </c>
      <c r="D3956" s="441">
        <v>24.59</v>
      </c>
    </row>
    <row r="3957" spans="1:4" ht="31.5" customHeight="1">
      <c r="A3957" s="120">
        <v>89703</v>
      </c>
      <c r="B3957" s="119" t="s">
        <v>5497</v>
      </c>
      <c r="C3957" s="120" t="s">
        <v>331</v>
      </c>
      <c r="D3957" s="441">
        <v>50.44</v>
      </c>
    </row>
    <row r="3958" spans="1:4" ht="31.5" customHeight="1">
      <c r="A3958" s="120">
        <v>89704</v>
      </c>
      <c r="B3958" s="119" t="s">
        <v>5498</v>
      </c>
      <c r="C3958" s="120" t="s">
        <v>331</v>
      </c>
      <c r="D3958" s="441">
        <v>150.49</v>
      </c>
    </row>
    <row r="3959" spans="1:4" ht="31.5" customHeight="1">
      <c r="A3959" s="120">
        <v>89705</v>
      </c>
      <c r="B3959" s="119" t="s">
        <v>5499</v>
      </c>
      <c r="C3959" s="120" t="s">
        <v>331</v>
      </c>
      <c r="D3959" s="441">
        <v>28.7</v>
      </c>
    </row>
    <row r="3960" spans="1:4" ht="31.5" customHeight="1">
      <c r="A3960" s="120">
        <v>89706</v>
      </c>
      <c r="B3960" s="119" t="s">
        <v>5500</v>
      </c>
      <c r="C3960" s="120" t="s">
        <v>331</v>
      </c>
      <c r="D3960" s="441">
        <v>60.25</v>
      </c>
    </row>
    <row r="3961" spans="1:4" ht="31.5" customHeight="1">
      <c r="A3961" s="120">
        <v>89718</v>
      </c>
      <c r="B3961" s="119" t="s">
        <v>5501</v>
      </c>
      <c r="C3961" s="120" t="s">
        <v>328</v>
      </c>
      <c r="D3961" s="441">
        <v>56.65</v>
      </c>
    </row>
    <row r="3962" spans="1:4" ht="31.5" customHeight="1">
      <c r="A3962" s="120">
        <v>89719</v>
      </c>
      <c r="B3962" s="119" t="s">
        <v>5502</v>
      </c>
      <c r="C3962" s="120" t="s">
        <v>331</v>
      </c>
      <c r="D3962" s="441">
        <v>14.64</v>
      </c>
    </row>
    <row r="3963" spans="1:4" ht="31.5" customHeight="1">
      <c r="A3963" s="120">
        <v>89720</v>
      </c>
      <c r="B3963" s="119" t="s">
        <v>5503</v>
      </c>
      <c r="C3963" s="120" t="s">
        <v>331</v>
      </c>
      <c r="D3963" s="441">
        <v>16.25</v>
      </c>
    </row>
    <row r="3964" spans="1:4" ht="31.5" customHeight="1">
      <c r="A3964" s="120">
        <v>89721</v>
      </c>
      <c r="B3964" s="119" t="s">
        <v>5504</v>
      </c>
      <c r="C3964" s="120" t="s">
        <v>331</v>
      </c>
      <c r="D3964" s="441">
        <v>17.54</v>
      </c>
    </row>
    <row r="3965" spans="1:4" ht="31.5" customHeight="1">
      <c r="A3965" s="120">
        <v>89723</v>
      </c>
      <c r="B3965" s="119" t="s">
        <v>5505</v>
      </c>
      <c r="C3965" s="120" t="s">
        <v>331</v>
      </c>
      <c r="D3965" s="441">
        <v>21.88</v>
      </c>
    </row>
    <row r="3966" spans="1:4" ht="31.5" customHeight="1">
      <c r="A3966" s="120">
        <v>89724</v>
      </c>
      <c r="B3966" s="119" t="s">
        <v>5506</v>
      </c>
      <c r="C3966" s="120" t="s">
        <v>331</v>
      </c>
      <c r="D3966" s="441">
        <v>11.5</v>
      </c>
    </row>
    <row r="3967" spans="1:4" ht="31.5" customHeight="1">
      <c r="A3967" s="120">
        <v>89725</v>
      </c>
      <c r="B3967" s="119" t="s">
        <v>5507</v>
      </c>
      <c r="C3967" s="120" t="s">
        <v>331</v>
      </c>
      <c r="D3967" s="441">
        <v>21.22</v>
      </c>
    </row>
    <row r="3968" spans="1:4" ht="31.5" customHeight="1">
      <c r="A3968" s="120">
        <v>89726</v>
      </c>
      <c r="B3968" s="119" t="s">
        <v>5508</v>
      </c>
      <c r="C3968" s="120" t="s">
        <v>331</v>
      </c>
      <c r="D3968" s="441">
        <v>11.74</v>
      </c>
    </row>
    <row r="3969" spans="1:4" ht="31.5" customHeight="1">
      <c r="A3969" s="120">
        <v>89727</v>
      </c>
      <c r="B3969" s="119" t="s">
        <v>5509</v>
      </c>
      <c r="C3969" s="120" t="s">
        <v>331</v>
      </c>
      <c r="D3969" s="441">
        <v>26.24</v>
      </c>
    </row>
    <row r="3970" spans="1:4" ht="31.5" customHeight="1">
      <c r="A3970" s="120">
        <v>89728</v>
      </c>
      <c r="B3970" s="119" t="s">
        <v>5510</v>
      </c>
      <c r="C3970" s="120" t="s">
        <v>331</v>
      </c>
      <c r="D3970" s="441">
        <v>14.48</v>
      </c>
    </row>
    <row r="3971" spans="1:4" ht="31.5" customHeight="1">
      <c r="A3971" s="120">
        <v>89729</v>
      </c>
      <c r="B3971" s="119" t="s">
        <v>5511</v>
      </c>
      <c r="C3971" s="120" t="s">
        <v>331</v>
      </c>
      <c r="D3971" s="441">
        <v>31.92</v>
      </c>
    </row>
    <row r="3972" spans="1:4" ht="31.5" customHeight="1">
      <c r="A3972" s="120">
        <v>89730</v>
      </c>
      <c r="B3972" s="119" t="s">
        <v>5512</v>
      </c>
      <c r="C3972" s="120" t="s">
        <v>331</v>
      </c>
      <c r="D3972" s="441">
        <v>16.41</v>
      </c>
    </row>
    <row r="3973" spans="1:4" ht="31.5" customHeight="1">
      <c r="A3973" s="120">
        <v>89731</v>
      </c>
      <c r="B3973" s="119" t="s">
        <v>5513</v>
      </c>
      <c r="C3973" s="120" t="s">
        <v>331</v>
      </c>
      <c r="D3973" s="441">
        <v>15.51</v>
      </c>
    </row>
    <row r="3974" spans="1:4" ht="31.5" customHeight="1">
      <c r="A3974" s="120">
        <v>89732</v>
      </c>
      <c r="B3974" s="119" t="s">
        <v>5514</v>
      </c>
      <c r="C3974" s="120" t="s">
        <v>331</v>
      </c>
      <c r="D3974" s="441">
        <v>16.260000000000002</v>
      </c>
    </row>
    <row r="3975" spans="1:4" ht="31.5" customHeight="1">
      <c r="A3975" s="120">
        <v>89733</v>
      </c>
      <c r="B3975" s="119" t="s">
        <v>5515</v>
      </c>
      <c r="C3975" s="120" t="s">
        <v>331</v>
      </c>
      <c r="D3975" s="441">
        <v>24.13</v>
      </c>
    </row>
    <row r="3976" spans="1:4" ht="31.5" customHeight="1">
      <c r="A3976" s="120">
        <v>89734</v>
      </c>
      <c r="B3976" s="119" t="s">
        <v>5516</v>
      </c>
      <c r="C3976" s="120" t="s">
        <v>331</v>
      </c>
      <c r="D3976" s="441">
        <v>30.27</v>
      </c>
    </row>
    <row r="3977" spans="1:4" ht="31.5" customHeight="1">
      <c r="A3977" s="120">
        <v>89735</v>
      </c>
      <c r="B3977" s="119" t="s">
        <v>5517</v>
      </c>
      <c r="C3977" s="120" t="s">
        <v>331</v>
      </c>
      <c r="D3977" s="441">
        <v>26.35</v>
      </c>
    </row>
    <row r="3978" spans="1:4" ht="31.5" customHeight="1">
      <c r="A3978" s="120">
        <v>89736</v>
      </c>
      <c r="B3978" s="119" t="s">
        <v>5518</v>
      </c>
      <c r="C3978" s="120" t="s">
        <v>331</v>
      </c>
      <c r="D3978" s="441">
        <v>10.3</v>
      </c>
    </row>
    <row r="3979" spans="1:4" ht="31.5" customHeight="1">
      <c r="A3979" s="120">
        <v>89737</v>
      </c>
      <c r="B3979" s="119" t="s">
        <v>5519</v>
      </c>
      <c r="C3979" s="120" t="s">
        <v>331</v>
      </c>
      <c r="D3979" s="441">
        <v>23.2</v>
      </c>
    </row>
    <row r="3980" spans="1:4" ht="31.5" customHeight="1">
      <c r="A3980" s="120">
        <v>89738</v>
      </c>
      <c r="B3980" s="119" t="s">
        <v>5520</v>
      </c>
      <c r="C3980" s="120" t="s">
        <v>331</v>
      </c>
      <c r="D3980" s="441">
        <v>18.02</v>
      </c>
    </row>
    <row r="3981" spans="1:4" ht="31.5" customHeight="1">
      <c r="A3981" s="120">
        <v>89739</v>
      </c>
      <c r="B3981" s="119" t="s">
        <v>5521</v>
      </c>
      <c r="C3981" s="120" t="s">
        <v>331</v>
      </c>
      <c r="D3981" s="441">
        <v>24.19</v>
      </c>
    </row>
    <row r="3982" spans="1:4" ht="31.5" customHeight="1">
      <c r="A3982" s="120">
        <v>89740</v>
      </c>
      <c r="B3982" s="119" t="s">
        <v>5522</v>
      </c>
      <c r="C3982" s="120" t="s">
        <v>331</v>
      </c>
      <c r="D3982" s="441">
        <v>10.48</v>
      </c>
    </row>
    <row r="3983" spans="1:4" ht="31.5" customHeight="1">
      <c r="A3983" s="120">
        <v>89741</v>
      </c>
      <c r="B3983" s="119" t="s">
        <v>5523</v>
      </c>
      <c r="C3983" s="120" t="s">
        <v>331</v>
      </c>
      <c r="D3983" s="441">
        <v>24.36</v>
      </c>
    </row>
    <row r="3984" spans="1:4" ht="31.5" customHeight="1">
      <c r="A3984" s="120">
        <v>89742</v>
      </c>
      <c r="B3984" s="119" t="s">
        <v>5524</v>
      </c>
      <c r="C3984" s="120" t="s">
        <v>331</v>
      </c>
      <c r="D3984" s="441">
        <v>40.58</v>
      </c>
    </row>
    <row r="3985" spans="1:4" ht="31.5" customHeight="1">
      <c r="A3985" s="120">
        <v>89743</v>
      </c>
      <c r="B3985" s="119" t="s">
        <v>5525</v>
      </c>
      <c r="C3985" s="120" t="s">
        <v>331</v>
      </c>
      <c r="D3985" s="441">
        <v>61.55</v>
      </c>
    </row>
    <row r="3986" spans="1:4" ht="31.5" customHeight="1">
      <c r="A3986" s="120">
        <v>89744</v>
      </c>
      <c r="B3986" s="119" t="s">
        <v>5526</v>
      </c>
      <c r="C3986" s="120" t="s">
        <v>331</v>
      </c>
      <c r="D3986" s="441">
        <v>28.27</v>
      </c>
    </row>
    <row r="3987" spans="1:4" ht="31.5" customHeight="1">
      <c r="A3987" s="120">
        <v>89746</v>
      </c>
      <c r="B3987" s="119" t="s">
        <v>5527</v>
      </c>
      <c r="C3987" s="120" t="s">
        <v>331</v>
      </c>
      <c r="D3987" s="441">
        <v>29.12</v>
      </c>
    </row>
    <row r="3988" spans="1:4" ht="31.5" customHeight="1">
      <c r="A3988" s="120">
        <v>89747</v>
      </c>
      <c r="B3988" s="119" t="s">
        <v>5528</v>
      </c>
      <c r="C3988" s="120" t="s">
        <v>331</v>
      </c>
      <c r="D3988" s="441">
        <v>30.87</v>
      </c>
    </row>
    <row r="3989" spans="1:4" ht="31.5" customHeight="1">
      <c r="A3989" s="120">
        <v>89748</v>
      </c>
      <c r="B3989" s="119" t="s">
        <v>5529</v>
      </c>
      <c r="C3989" s="120" t="s">
        <v>331</v>
      </c>
      <c r="D3989" s="441">
        <v>43.59</v>
      </c>
    </row>
    <row r="3990" spans="1:4" ht="31.5" customHeight="1">
      <c r="A3990" s="120">
        <v>89749</v>
      </c>
      <c r="B3990" s="119" t="s">
        <v>5530</v>
      </c>
      <c r="C3990" s="120" t="s">
        <v>331</v>
      </c>
      <c r="D3990" s="441">
        <v>17.95</v>
      </c>
    </row>
    <row r="3991" spans="1:4" ht="31.5" customHeight="1">
      <c r="A3991" s="120">
        <v>89750</v>
      </c>
      <c r="B3991" s="119" t="s">
        <v>5531</v>
      </c>
      <c r="C3991" s="120" t="s">
        <v>331</v>
      </c>
      <c r="D3991" s="441">
        <v>79.28</v>
      </c>
    </row>
    <row r="3992" spans="1:4" ht="31.5" customHeight="1">
      <c r="A3992" s="120">
        <v>89752</v>
      </c>
      <c r="B3992" s="119" t="s">
        <v>5532</v>
      </c>
      <c r="C3992" s="120" t="s">
        <v>331</v>
      </c>
      <c r="D3992" s="441">
        <v>8.5299999999999994</v>
      </c>
    </row>
    <row r="3993" spans="1:4" ht="31.5" customHeight="1">
      <c r="A3993" s="120">
        <v>89753</v>
      </c>
      <c r="B3993" s="119" t="s">
        <v>5533</v>
      </c>
      <c r="C3993" s="120" t="s">
        <v>331</v>
      </c>
      <c r="D3993" s="441">
        <v>10.220000000000001</v>
      </c>
    </row>
    <row r="3994" spans="1:4" ht="31.5" customHeight="1">
      <c r="A3994" s="120">
        <v>89754</v>
      </c>
      <c r="B3994" s="119" t="s">
        <v>5534</v>
      </c>
      <c r="C3994" s="120" t="s">
        <v>331</v>
      </c>
      <c r="D3994" s="441">
        <v>21.22</v>
      </c>
    </row>
    <row r="3995" spans="1:4" ht="31.5" customHeight="1">
      <c r="A3995" s="120">
        <v>89755</v>
      </c>
      <c r="B3995" s="119" t="s">
        <v>5535</v>
      </c>
      <c r="C3995" s="120" t="s">
        <v>331</v>
      </c>
      <c r="D3995" s="441">
        <v>15.16</v>
      </c>
    </row>
    <row r="3996" spans="1:4" ht="31.5" customHeight="1">
      <c r="A3996" s="120">
        <v>89756</v>
      </c>
      <c r="B3996" s="119" t="s">
        <v>5536</v>
      </c>
      <c r="C3996" s="120" t="s">
        <v>331</v>
      </c>
      <c r="D3996" s="441">
        <v>24.76</v>
      </c>
    </row>
    <row r="3997" spans="1:4" ht="31.5" customHeight="1">
      <c r="A3997" s="120">
        <v>89757</v>
      </c>
      <c r="B3997" s="119" t="s">
        <v>5537</v>
      </c>
      <c r="C3997" s="120" t="s">
        <v>331</v>
      </c>
      <c r="D3997" s="441">
        <v>31.7</v>
      </c>
    </row>
    <row r="3998" spans="1:4" ht="31.5" customHeight="1">
      <c r="A3998" s="120">
        <v>89758</v>
      </c>
      <c r="B3998" s="119" t="s">
        <v>5538</v>
      </c>
      <c r="C3998" s="120" t="s">
        <v>331</v>
      </c>
      <c r="D3998" s="441">
        <v>38.43</v>
      </c>
    </row>
    <row r="3999" spans="1:4" ht="31.5" customHeight="1">
      <c r="A3999" s="120">
        <v>89759</v>
      </c>
      <c r="B3999" s="119" t="s">
        <v>5539</v>
      </c>
      <c r="C3999" s="120" t="s">
        <v>331</v>
      </c>
      <c r="D3999" s="441">
        <v>12.94</v>
      </c>
    </row>
    <row r="4000" spans="1:4" ht="31.5" customHeight="1">
      <c r="A4000" s="120">
        <v>89760</v>
      </c>
      <c r="B4000" s="119" t="s">
        <v>5540</v>
      </c>
      <c r="C4000" s="120" t="s">
        <v>331</v>
      </c>
      <c r="D4000" s="441">
        <v>23.8</v>
      </c>
    </row>
    <row r="4001" spans="1:4" ht="31.5" customHeight="1">
      <c r="A4001" s="120">
        <v>89761</v>
      </c>
      <c r="B4001" s="119" t="s">
        <v>5541</v>
      </c>
      <c r="C4001" s="120" t="s">
        <v>331</v>
      </c>
      <c r="D4001" s="441">
        <v>32.869999999999997</v>
      </c>
    </row>
    <row r="4002" spans="1:4" ht="31.5" customHeight="1">
      <c r="A4002" s="120">
        <v>89762</v>
      </c>
      <c r="B4002" s="119" t="s">
        <v>5542</v>
      </c>
      <c r="C4002" s="120" t="s">
        <v>331</v>
      </c>
      <c r="D4002" s="441">
        <v>45.84</v>
      </c>
    </row>
    <row r="4003" spans="1:4" ht="31.5" customHeight="1">
      <c r="A4003" s="120">
        <v>89763</v>
      </c>
      <c r="B4003" s="119" t="s">
        <v>5543</v>
      </c>
      <c r="C4003" s="120" t="s">
        <v>331</v>
      </c>
      <c r="D4003" s="441">
        <v>57.78</v>
      </c>
    </row>
    <row r="4004" spans="1:4" ht="31.5" customHeight="1">
      <c r="A4004" s="120">
        <v>89764</v>
      </c>
      <c r="B4004" s="119" t="s">
        <v>5544</v>
      </c>
      <c r="C4004" s="120" t="s">
        <v>331</v>
      </c>
      <c r="D4004" s="441">
        <v>38.86</v>
      </c>
    </row>
    <row r="4005" spans="1:4" ht="31.5" customHeight="1">
      <c r="A4005" s="120">
        <v>89765</v>
      </c>
      <c r="B4005" s="119" t="s">
        <v>5545</v>
      </c>
      <c r="C4005" s="120" t="s">
        <v>331</v>
      </c>
      <c r="D4005" s="441">
        <v>19.149999999999999</v>
      </c>
    </row>
    <row r="4006" spans="1:4" ht="31.5" customHeight="1">
      <c r="A4006" s="120">
        <v>89767</v>
      </c>
      <c r="B4006" s="119" t="s">
        <v>5546</v>
      </c>
      <c r="C4006" s="120" t="s">
        <v>331</v>
      </c>
      <c r="D4006" s="441">
        <v>23.45</v>
      </c>
    </row>
    <row r="4007" spans="1:4" ht="31.5" customHeight="1">
      <c r="A4007" s="120">
        <v>89768</v>
      </c>
      <c r="B4007" s="119" t="s">
        <v>5547</v>
      </c>
      <c r="C4007" s="120" t="s">
        <v>331</v>
      </c>
      <c r="D4007" s="441">
        <v>27.36</v>
      </c>
    </row>
    <row r="4008" spans="1:4" ht="31.5" customHeight="1">
      <c r="A4008" s="120">
        <v>89769</v>
      </c>
      <c r="B4008" s="119" t="s">
        <v>5548</v>
      </c>
      <c r="C4008" s="120" t="s">
        <v>331</v>
      </c>
      <c r="D4008" s="441">
        <v>58.68</v>
      </c>
    </row>
    <row r="4009" spans="1:4" ht="31.5" customHeight="1">
      <c r="A4009" s="120">
        <v>89772</v>
      </c>
      <c r="B4009" s="119" t="s">
        <v>5549</v>
      </c>
      <c r="C4009" s="120" t="s">
        <v>328</v>
      </c>
      <c r="D4009" s="441">
        <v>90.24</v>
      </c>
    </row>
    <row r="4010" spans="1:4" ht="31.5" customHeight="1">
      <c r="A4010" s="120">
        <v>89774</v>
      </c>
      <c r="B4010" s="119" t="s">
        <v>5550</v>
      </c>
      <c r="C4010" s="120" t="s">
        <v>331</v>
      </c>
      <c r="D4010" s="441">
        <v>16.760000000000002</v>
      </c>
    </row>
    <row r="4011" spans="1:4" ht="31.5" customHeight="1">
      <c r="A4011" s="120">
        <v>89776</v>
      </c>
      <c r="B4011" s="119" t="s">
        <v>5551</v>
      </c>
      <c r="C4011" s="120" t="s">
        <v>331</v>
      </c>
      <c r="D4011" s="441">
        <v>25.67</v>
      </c>
    </row>
    <row r="4012" spans="1:4" ht="31.5" customHeight="1">
      <c r="A4012" s="120">
        <v>89777</v>
      </c>
      <c r="B4012" s="119" t="s">
        <v>5552</v>
      </c>
      <c r="C4012" s="120" t="s">
        <v>331</v>
      </c>
      <c r="D4012" s="441">
        <v>27.28</v>
      </c>
    </row>
    <row r="4013" spans="1:4" ht="31.5" customHeight="1">
      <c r="A4013" s="120">
        <v>89778</v>
      </c>
      <c r="B4013" s="119" t="s">
        <v>5553</v>
      </c>
      <c r="C4013" s="120" t="s">
        <v>331</v>
      </c>
      <c r="D4013" s="441">
        <v>19.36</v>
      </c>
    </row>
    <row r="4014" spans="1:4" ht="31.5" customHeight="1">
      <c r="A4014" s="120">
        <v>89779</v>
      </c>
      <c r="B4014" s="119" t="s">
        <v>5554</v>
      </c>
      <c r="C4014" s="120" t="s">
        <v>331</v>
      </c>
      <c r="D4014" s="441">
        <v>34.909999999999997</v>
      </c>
    </row>
    <row r="4015" spans="1:4" ht="31.5" customHeight="1">
      <c r="A4015" s="120">
        <v>89780</v>
      </c>
      <c r="B4015" s="119" t="s">
        <v>5555</v>
      </c>
      <c r="C4015" s="120" t="s">
        <v>331</v>
      </c>
      <c r="D4015" s="441">
        <v>25.63</v>
      </c>
    </row>
    <row r="4016" spans="1:4" ht="31.5" customHeight="1">
      <c r="A4016" s="120">
        <v>89781</v>
      </c>
      <c r="B4016" s="119" t="s">
        <v>5556</v>
      </c>
      <c r="C4016" s="120" t="s">
        <v>331</v>
      </c>
      <c r="D4016" s="441">
        <v>38.31</v>
      </c>
    </row>
    <row r="4017" spans="1:4" ht="31.5" customHeight="1">
      <c r="A4017" s="120">
        <v>89782</v>
      </c>
      <c r="B4017" s="119" t="s">
        <v>5557</v>
      </c>
      <c r="C4017" s="120" t="s">
        <v>331</v>
      </c>
      <c r="D4017" s="441">
        <v>16.57</v>
      </c>
    </row>
    <row r="4018" spans="1:4" ht="31.5" customHeight="1">
      <c r="A4018" s="120">
        <v>89783</v>
      </c>
      <c r="B4018" s="119" t="s">
        <v>5558</v>
      </c>
      <c r="C4018" s="120" t="s">
        <v>331</v>
      </c>
      <c r="D4018" s="441">
        <v>16.68</v>
      </c>
    </row>
    <row r="4019" spans="1:4" ht="31.5" customHeight="1">
      <c r="A4019" s="120">
        <v>89784</v>
      </c>
      <c r="B4019" s="119" t="s">
        <v>5559</v>
      </c>
      <c r="C4019" s="120" t="s">
        <v>331</v>
      </c>
      <c r="D4019" s="441">
        <v>24.93</v>
      </c>
    </row>
    <row r="4020" spans="1:4" ht="31.5" customHeight="1">
      <c r="A4020" s="120">
        <v>89785</v>
      </c>
      <c r="B4020" s="119" t="s">
        <v>5560</v>
      </c>
      <c r="C4020" s="120" t="s">
        <v>331</v>
      </c>
      <c r="D4020" s="441">
        <v>27.32</v>
      </c>
    </row>
    <row r="4021" spans="1:4" ht="31.5" customHeight="1">
      <c r="A4021" s="120">
        <v>89786</v>
      </c>
      <c r="B4021" s="119" t="s">
        <v>5561</v>
      </c>
      <c r="C4021" s="120" t="s">
        <v>331</v>
      </c>
      <c r="D4021" s="441">
        <v>39.53</v>
      </c>
    </row>
    <row r="4022" spans="1:4" ht="31.5" customHeight="1">
      <c r="A4022" s="120">
        <v>89787</v>
      </c>
      <c r="B4022" s="119" t="s">
        <v>5562</v>
      </c>
      <c r="C4022" s="120" t="s">
        <v>331</v>
      </c>
      <c r="D4022" s="441">
        <v>37.9</v>
      </c>
    </row>
    <row r="4023" spans="1:4" ht="31.5" customHeight="1">
      <c r="A4023" s="120">
        <v>89788</v>
      </c>
      <c r="B4023" s="119" t="s">
        <v>5563</v>
      </c>
      <c r="C4023" s="120" t="s">
        <v>331</v>
      </c>
      <c r="D4023" s="441">
        <v>81.59</v>
      </c>
    </row>
    <row r="4024" spans="1:4" ht="31.5" customHeight="1">
      <c r="A4024" s="120">
        <v>89789</v>
      </c>
      <c r="B4024" s="119" t="s">
        <v>5564</v>
      </c>
      <c r="C4024" s="120" t="s">
        <v>331</v>
      </c>
      <c r="D4024" s="441">
        <v>69.569999999999993</v>
      </c>
    </row>
    <row r="4025" spans="1:4" ht="31.5" customHeight="1">
      <c r="A4025" s="120">
        <v>89790</v>
      </c>
      <c r="B4025" s="119" t="s">
        <v>5565</v>
      </c>
      <c r="C4025" s="120" t="s">
        <v>331</v>
      </c>
      <c r="D4025" s="441">
        <v>161.5</v>
      </c>
    </row>
    <row r="4026" spans="1:4" ht="31.5" customHeight="1">
      <c r="A4026" s="120">
        <v>89791</v>
      </c>
      <c r="B4026" s="119" t="s">
        <v>5566</v>
      </c>
      <c r="C4026" s="120" t="s">
        <v>331</v>
      </c>
      <c r="D4026" s="441">
        <v>156.06</v>
      </c>
    </row>
    <row r="4027" spans="1:4" ht="31.5" customHeight="1">
      <c r="A4027" s="120">
        <v>89792</v>
      </c>
      <c r="B4027" s="119" t="s">
        <v>5567</v>
      </c>
      <c r="C4027" s="120" t="s">
        <v>331</v>
      </c>
      <c r="D4027" s="441">
        <v>191.46</v>
      </c>
    </row>
    <row r="4028" spans="1:4" ht="31.5" customHeight="1">
      <c r="A4028" s="120">
        <v>89793</v>
      </c>
      <c r="B4028" s="119" t="s">
        <v>5568</v>
      </c>
      <c r="C4028" s="120" t="s">
        <v>331</v>
      </c>
      <c r="D4028" s="441">
        <v>225.28</v>
      </c>
    </row>
    <row r="4029" spans="1:4" ht="31.5" customHeight="1">
      <c r="A4029" s="120">
        <v>89794</v>
      </c>
      <c r="B4029" s="119" t="s">
        <v>5569</v>
      </c>
      <c r="C4029" s="120" t="s">
        <v>331</v>
      </c>
      <c r="D4029" s="441">
        <v>20.73</v>
      </c>
    </row>
    <row r="4030" spans="1:4" ht="31.5" customHeight="1">
      <c r="A4030" s="120">
        <v>89795</v>
      </c>
      <c r="B4030" s="119" t="s">
        <v>5570</v>
      </c>
      <c r="C4030" s="120" t="s">
        <v>331</v>
      </c>
      <c r="D4030" s="441">
        <v>41.64</v>
      </c>
    </row>
    <row r="4031" spans="1:4" ht="31.5" customHeight="1">
      <c r="A4031" s="120">
        <v>89796</v>
      </c>
      <c r="B4031" s="119" t="s">
        <v>5571</v>
      </c>
      <c r="C4031" s="120" t="s">
        <v>331</v>
      </c>
      <c r="D4031" s="441">
        <v>44.15</v>
      </c>
    </row>
    <row r="4032" spans="1:4" ht="31.5" customHeight="1">
      <c r="A4032" s="120">
        <v>89797</v>
      </c>
      <c r="B4032" s="119" t="s">
        <v>5572</v>
      </c>
      <c r="C4032" s="120" t="s">
        <v>331</v>
      </c>
      <c r="D4032" s="441">
        <v>52.34</v>
      </c>
    </row>
    <row r="4033" spans="1:4" ht="31.5" customHeight="1">
      <c r="A4033" s="120">
        <v>89801</v>
      </c>
      <c r="B4033" s="119" t="s">
        <v>5573</v>
      </c>
      <c r="C4033" s="120" t="s">
        <v>331</v>
      </c>
      <c r="D4033" s="441">
        <v>9.5299999999999994</v>
      </c>
    </row>
    <row r="4034" spans="1:4" ht="31.5" customHeight="1">
      <c r="A4034" s="120">
        <v>89802</v>
      </c>
      <c r="B4034" s="119" t="s">
        <v>5574</v>
      </c>
      <c r="C4034" s="120" t="s">
        <v>331</v>
      </c>
      <c r="D4034" s="441">
        <v>10.28</v>
      </c>
    </row>
    <row r="4035" spans="1:4" ht="31.5" customHeight="1">
      <c r="A4035" s="120">
        <v>89803</v>
      </c>
      <c r="B4035" s="119" t="s">
        <v>5575</v>
      </c>
      <c r="C4035" s="120" t="s">
        <v>331</v>
      </c>
      <c r="D4035" s="441">
        <v>18.149999999999999</v>
      </c>
    </row>
    <row r="4036" spans="1:4" ht="31.5" customHeight="1">
      <c r="A4036" s="120">
        <v>89804</v>
      </c>
      <c r="B4036" s="119" t="s">
        <v>5576</v>
      </c>
      <c r="C4036" s="120" t="s">
        <v>331</v>
      </c>
      <c r="D4036" s="441">
        <v>20.37</v>
      </c>
    </row>
    <row r="4037" spans="1:4" ht="31.5" customHeight="1">
      <c r="A4037" s="120">
        <v>89805</v>
      </c>
      <c r="B4037" s="119" t="s">
        <v>5577</v>
      </c>
      <c r="C4037" s="120" t="s">
        <v>331</v>
      </c>
      <c r="D4037" s="441">
        <v>20.91</v>
      </c>
    </row>
    <row r="4038" spans="1:4" ht="31.5" customHeight="1">
      <c r="A4038" s="120">
        <v>89806</v>
      </c>
      <c r="B4038" s="119" t="s">
        <v>5578</v>
      </c>
      <c r="C4038" s="120" t="s">
        <v>331</v>
      </c>
      <c r="D4038" s="441">
        <v>21.9</v>
      </c>
    </row>
    <row r="4039" spans="1:4" ht="31.5" customHeight="1">
      <c r="A4039" s="120">
        <v>89807</v>
      </c>
      <c r="B4039" s="119" t="s">
        <v>5579</v>
      </c>
      <c r="C4039" s="120" t="s">
        <v>331</v>
      </c>
      <c r="D4039" s="441">
        <v>38.29</v>
      </c>
    </row>
    <row r="4040" spans="1:4" ht="31.5" customHeight="1">
      <c r="A4040" s="120">
        <v>89808</v>
      </c>
      <c r="B4040" s="119" t="s">
        <v>5580</v>
      </c>
      <c r="C4040" s="120" t="s">
        <v>331</v>
      </c>
      <c r="D4040" s="441">
        <v>59.26</v>
      </c>
    </row>
    <row r="4041" spans="1:4" ht="31.5" customHeight="1">
      <c r="A4041" s="120">
        <v>89809</v>
      </c>
      <c r="B4041" s="119" t="s">
        <v>5581</v>
      </c>
      <c r="C4041" s="120" t="s">
        <v>331</v>
      </c>
      <c r="D4041" s="441">
        <v>29.69</v>
      </c>
    </row>
    <row r="4042" spans="1:4" ht="31.5" customHeight="1">
      <c r="A4042" s="120">
        <v>89810</v>
      </c>
      <c r="B4042" s="119" t="s">
        <v>5582</v>
      </c>
      <c r="C4042" s="120" t="s">
        <v>331</v>
      </c>
      <c r="D4042" s="441">
        <v>30.54</v>
      </c>
    </row>
    <row r="4043" spans="1:4" ht="31.5" customHeight="1">
      <c r="A4043" s="120">
        <v>89811</v>
      </c>
      <c r="B4043" s="119" t="s">
        <v>5583</v>
      </c>
      <c r="C4043" s="120" t="s">
        <v>331</v>
      </c>
      <c r="D4043" s="441">
        <v>45.01</v>
      </c>
    </row>
    <row r="4044" spans="1:4" ht="31.5" customHeight="1">
      <c r="A4044" s="120">
        <v>89812</v>
      </c>
      <c r="B4044" s="119" t="s">
        <v>5584</v>
      </c>
      <c r="C4044" s="120" t="s">
        <v>331</v>
      </c>
      <c r="D4044" s="441">
        <v>80.7</v>
      </c>
    </row>
    <row r="4045" spans="1:4" ht="31.5" customHeight="1">
      <c r="A4045" s="120">
        <v>89813</v>
      </c>
      <c r="B4045" s="119" t="s">
        <v>5585</v>
      </c>
      <c r="C4045" s="120" t="s">
        <v>331</v>
      </c>
      <c r="D4045" s="441">
        <v>6.16</v>
      </c>
    </row>
    <row r="4046" spans="1:4" ht="31.5" customHeight="1">
      <c r="A4046" s="120">
        <v>89814</v>
      </c>
      <c r="B4046" s="119" t="s">
        <v>5586</v>
      </c>
      <c r="C4046" s="120" t="s">
        <v>331</v>
      </c>
      <c r="D4046" s="441">
        <v>17.22</v>
      </c>
    </row>
    <row r="4047" spans="1:4" ht="31.5" customHeight="1">
      <c r="A4047" s="120">
        <v>89815</v>
      </c>
      <c r="B4047" s="119" t="s">
        <v>5587</v>
      </c>
      <c r="C4047" s="120" t="s">
        <v>331</v>
      </c>
      <c r="D4047" s="441">
        <v>29.8</v>
      </c>
    </row>
    <row r="4048" spans="1:4" ht="31.5" customHeight="1">
      <c r="A4048" s="120">
        <v>89816</v>
      </c>
      <c r="B4048" s="119" t="s">
        <v>5588</v>
      </c>
      <c r="C4048" s="120" t="s">
        <v>331</v>
      </c>
      <c r="D4048" s="441">
        <v>42.77</v>
      </c>
    </row>
    <row r="4049" spans="1:4" ht="31.5" customHeight="1">
      <c r="A4049" s="120">
        <v>89817</v>
      </c>
      <c r="B4049" s="119" t="s">
        <v>5589</v>
      </c>
      <c r="C4049" s="120" t="s">
        <v>331</v>
      </c>
      <c r="D4049" s="441">
        <v>15.2</v>
      </c>
    </row>
    <row r="4050" spans="1:4" ht="31.5" customHeight="1">
      <c r="A4050" s="120">
        <v>89818</v>
      </c>
      <c r="B4050" s="119" t="s">
        <v>5590</v>
      </c>
      <c r="C4050" s="120" t="s">
        <v>331</v>
      </c>
      <c r="D4050" s="441">
        <v>54.79</v>
      </c>
    </row>
    <row r="4051" spans="1:4" ht="31.5" customHeight="1">
      <c r="A4051" s="120">
        <v>89819</v>
      </c>
      <c r="B4051" s="119" t="s">
        <v>5591</v>
      </c>
      <c r="C4051" s="120" t="s">
        <v>331</v>
      </c>
      <c r="D4051" s="441">
        <v>24.14</v>
      </c>
    </row>
    <row r="4052" spans="1:4" ht="31.5" customHeight="1">
      <c r="A4052" s="120">
        <v>89821</v>
      </c>
      <c r="B4052" s="119" t="s">
        <v>5592</v>
      </c>
      <c r="C4052" s="120" t="s">
        <v>331</v>
      </c>
      <c r="D4052" s="441">
        <v>20.309999999999999</v>
      </c>
    </row>
    <row r="4053" spans="1:4" ht="31.5" customHeight="1">
      <c r="A4053" s="120">
        <v>89822</v>
      </c>
      <c r="B4053" s="119" t="s">
        <v>5593</v>
      </c>
      <c r="C4053" s="120" t="s">
        <v>331</v>
      </c>
      <c r="D4053" s="441">
        <v>26.97</v>
      </c>
    </row>
    <row r="4054" spans="1:4" ht="31.5" customHeight="1">
      <c r="A4054" s="120">
        <v>89823</v>
      </c>
      <c r="B4054" s="119" t="s">
        <v>5594</v>
      </c>
      <c r="C4054" s="120" t="s">
        <v>331</v>
      </c>
      <c r="D4054" s="441">
        <v>35.86</v>
      </c>
    </row>
    <row r="4055" spans="1:4" ht="31.5" customHeight="1">
      <c r="A4055" s="120">
        <v>89824</v>
      </c>
      <c r="B4055" s="119" t="s">
        <v>5595</v>
      </c>
      <c r="C4055" s="120" t="s">
        <v>331</v>
      </c>
      <c r="D4055" s="441">
        <v>40.29</v>
      </c>
    </row>
    <row r="4056" spans="1:4" ht="31.5" customHeight="1">
      <c r="A4056" s="120">
        <v>89825</v>
      </c>
      <c r="B4056" s="119" t="s">
        <v>5596</v>
      </c>
      <c r="C4056" s="120" t="s">
        <v>331</v>
      </c>
      <c r="D4056" s="441">
        <v>16.940000000000001</v>
      </c>
    </row>
    <row r="4057" spans="1:4" ht="31.5" customHeight="1">
      <c r="A4057" s="120">
        <v>89826</v>
      </c>
      <c r="B4057" s="119" t="s">
        <v>5597</v>
      </c>
      <c r="C4057" s="120" t="s">
        <v>331</v>
      </c>
      <c r="D4057" s="441">
        <v>128.58000000000001</v>
      </c>
    </row>
    <row r="4058" spans="1:4" ht="31.5" customHeight="1">
      <c r="A4058" s="120">
        <v>89827</v>
      </c>
      <c r="B4058" s="119" t="s">
        <v>5598</v>
      </c>
      <c r="C4058" s="120" t="s">
        <v>331</v>
      </c>
      <c r="D4058" s="441">
        <v>19.329999999999998</v>
      </c>
    </row>
    <row r="4059" spans="1:4" ht="31.5" customHeight="1">
      <c r="A4059" s="120">
        <v>89828</v>
      </c>
      <c r="B4059" s="119" t="s">
        <v>5599</v>
      </c>
      <c r="C4059" s="120" t="s">
        <v>331</v>
      </c>
      <c r="D4059" s="441">
        <v>62.01</v>
      </c>
    </row>
    <row r="4060" spans="1:4" ht="31.5" customHeight="1">
      <c r="A4060" s="120">
        <v>89829</v>
      </c>
      <c r="B4060" s="119" t="s">
        <v>5600</v>
      </c>
      <c r="C4060" s="120" t="s">
        <v>331</v>
      </c>
      <c r="D4060" s="441">
        <v>36.47</v>
      </c>
    </row>
    <row r="4061" spans="1:4" ht="31.5" customHeight="1">
      <c r="A4061" s="120">
        <v>89830</v>
      </c>
      <c r="B4061" s="119" t="s">
        <v>5601</v>
      </c>
      <c r="C4061" s="120" t="s">
        <v>331</v>
      </c>
      <c r="D4061" s="441">
        <v>38.58</v>
      </c>
    </row>
    <row r="4062" spans="1:4" ht="31.5" customHeight="1">
      <c r="A4062" s="120">
        <v>89831</v>
      </c>
      <c r="B4062" s="119" t="s">
        <v>5602</v>
      </c>
      <c r="C4062" s="120" t="s">
        <v>331</v>
      </c>
      <c r="D4062" s="441">
        <v>66.12</v>
      </c>
    </row>
    <row r="4063" spans="1:4" ht="31.5" customHeight="1">
      <c r="A4063" s="120">
        <v>89832</v>
      </c>
      <c r="B4063" s="119" t="s">
        <v>5603</v>
      </c>
      <c r="C4063" s="120" t="s">
        <v>331</v>
      </c>
      <c r="D4063" s="441">
        <v>43.15</v>
      </c>
    </row>
    <row r="4064" spans="1:4" ht="31.5" customHeight="1">
      <c r="A4064" s="120">
        <v>89833</v>
      </c>
      <c r="B4064" s="119" t="s">
        <v>5604</v>
      </c>
      <c r="C4064" s="120" t="s">
        <v>331</v>
      </c>
      <c r="D4064" s="441">
        <v>46.05</v>
      </c>
    </row>
    <row r="4065" spans="1:4" ht="31.5" customHeight="1">
      <c r="A4065" s="120">
        <v>89834</v>
      </c>
      <c r="B4065" s="119" t="s">
        <v>5605</v>
      </c>
      <c r="C4065" s="120" t="s">
        <v>331</v>
      </c>
      <c r="D4065" s="441">
        <v>54.24</v>
      </c>
    </row>
    <row r="4066" spans="1:4" ht="31.5" customHeight="1">
      <c r="A4066" s="120">
        <v>89835</v>
      </c>
      <c r="B4066" s="119" t="s">
        <v>5606</v>
      </c>
      <c r="C4066" s="120" t="s">
        <v>331</v>
      </c>
      <c r="D4066" s="441">
        <v>45.85</v>
      </c>
    </row>
    <row r="4067" spans="1:4" ht="31.5" customHeight="1">
      <c r="A4067" s="120">
        <v>89836</v>
      </c>
      <c r="B4067" s="119" t="s">
        <v>5607</v>
      </c>
      <c r="C4067" s="120" t="s">
        <v>331</v>
      </c>
      <c r="D4067" s="441">
        <v>201.87</v>
      </c>
    </row>
    <row r="4068" spans="1:4" ht="31.5" customHeight="1">
      <c r="A4068" s="120">
        <v>89837</v>
      </c>
      <c r="B4068" s="119" t="s">
        <v>5608</v>
      </c>
      <c r="C4068" s="120" t="s">
        <v>331</v>
      </c>
      <c r="D4068" s="441">
        <v>135.9</v>
      </c>
    </row>
    <row r="4069" spans="1:4" ht="31.5" customHeight="1">
      <c r="A4069" s="120">
        <v>89838</v>
      </c>
      <c r="B4069" s="119" t="s">
        <v>5609</v>
      </c>
      <c r="C4069" s="120" t="s">
        <v>331</v>
      </c>
      <c r="D4069" s="441">
        <v>155.85</v>
      </c>
    </row>
    <row r="4070" spans="1:4" ht="31.5" customHeight="1">
      <c r="A4070" s="120">
        <v>89839</v>
      </c>
      <c r="B4070" s="119" t="s">
        <v>5610</v>
      </c>
      <c r="C4070" s="120" t="s">
        <v>331</v>
      </c>
      <c r="D4070" s="441">
        <v>176.46</v>
      </c>
    </row>
    <row r="4071" spans="1:4" ht="31.5" customHeight="1">
      <c r="A4071" s="120">
        <v>89840</v>
      </c>
      <c r="B4071" s="119" t="s">
        <v>5611</v>
      </c>
      <c r="C4071" s="120" t="s">
        <v>331</v>
      </c>
      <c r="D4071" s="441">
        <v>184.22</v>
      </c>
    </row>
    <row r="4072" spans="1:4" ht="31.5" customHeight="1">
      <c r="A4072" s="120">
        <v>89841</v>
      </c>
      <c r="B4072" s="119" t="s">
        <v>5612</v>
      </c>
      <c r="C4072" s="120" t="s">
        <v>331</v>
      </c>
      <c r="D4072" s="441">
        <v>267.83999999999997</v>
      </c>
    </row>
    <row r="4073" spans="1:4" ht="15.75" customHeight="1">
      <c r="A4073" s="120">
        <v>89842</v>
      </c>
      <c r="B4073" s="119" t="s">
        <v>5613</v>
      </c>
      <c r="C4073" s="120" t="s">
        <v>331</v>
      </c>
      <c r="D4073" s="441">
        <v>52.53</v>
      </c>
    </row>
    <row r="4074" spans="1:4" ht="15.75" customHeight="1">
      <c r="A4074" s="120">
        <v>89844</v>
      </c>
      <c r="B4074" s="119" t="s">
        <v>5614</v>
      </c>
      <c r="C4074" s="120" t="s">
        <v>331</v>
      </c>
      <c r="D4074" s="441">
        <v>66.010000000000005</v>
      </c>
    </row>
    <row r="4075" spans="1:4" ht="15.75" customHeight="1">
      <c r="A4075" s="120">
        <v>89845</v>
      </c>
      <c r="B4075" s="119" t="s">
        <v>5615</v>
      </c>
      <c r="C4075" s="120" t="s">
        <v>331</v>
      </c>
      <c r="D4075" s="441">
        <v>102.8</v>
      </c>
    </row>
    <row r="4076" spans="1:4" ht="15.75" customHeight="1">
      <c r="A4076" s="120">
        <v>89846</v>
      </c>
      <c r="B4076" s="119" t="s">
        <v>5616</v>
      </c>
      <c r="C4076" s="120" t="s">
        <v>331</v>
      </c>
      <c r="D4076" s="441">
        <v>217.48</v>
      </c>
    </row>
    <row r="4077" spans="1:4" ht="15.75" customHeight="1">
      <c r="A4077" s="120">
        <v>89847</v>
      </c>
      <c r="B4077" s="119" t="s">
        <v>5617</v>
      </c>
      <c r="C4077" s="120" t="s">
        <v>331</v>
      </c>
      <c r="D4077" s="441">
        <v>260.43</v>
      </c>
    </row>
    <row r="4078" spans="1:4" ht="31.5" customHeight="1">
      <c r="A4078" s="120">
        <v>89850</v>
      </c>
      <c r="B4078" s="119" t="s">
        <v>5618</v>
      </c>
      <c r="C4078" s="120" t="s">
        <v>331</v>
      </c>
      <c r="D4078" s="441">
        <v>33.17</v>
      </c>
    </row>
    <row r="4079" spans="1:4" ht="31.5" customHeight="1">
      <c r="A4079" s="120">
        <v>89851</v>
      </c>
      <c r="B4079" s="119" t="s">
        <v>5619</v>
      </c>
      <c r="C4079" s="120" t="s">
        <v>331</v>
      </c>
      <c r="D4079" s="441">
        <v>34.020000000000003</v>
      </c>
    </row>
    <row r="4080" spans="1:4" ht="31.5" customHeight="1">
      <c r="A4080" s="120">
        <v>89852</v>
      </c>
      <c r="B4080" s="119" t="s">
        <v>5620</v>
      </c>
      <c r="C4080" s="120" t="s">
        <v>331</v>
      </c>
      <c r="D4080" s="441">
        <v>48.49</v>
      </c>
    </row>
    <row r="4081" spans="1:4" ht="31.5" customHeight="1">
      <c r="A4081" s="120">
        <v>89853</v>
      </c>
      <c r="B4081" s="119" t="s">
        <v>5621</v>
      </c>
      <c r="C4081" s="120" t="s">
        <v>331</v>
      </c>
      <c r="D4081" s="441">
        <v>84.18</v>
      </c>
    </row>
    <row r="4082" spans="1:4" ht="31.5" customHeight="1">
      <c r="A4082" s="120">
        <v>89854</v>
      </c>
      <c r="B4082" s="119" t="s">
        <v>5622</v>
      </c>
      <c r="C4082" s="120" t="s">
        <v>331</v>
      </c>
      <c r="D4082" s="441">
        <v>105.58</v>
      </c>
    </row>
    <row r="4083" spans="1:4" ht="31.5" customHeight="1">
      <c r="A4083" s="120">
        <v>89855</v>
      </c>
      <c r="B4083" s="119" t="s">
        <v>5623</v>
      </c>
      <c r="C4083" s="120" t="s">
        <v>331</v>
      </c>
      <c r="D4083" s="441">
        <v>110.89</v>
      </c>
    </row>
    <row r="4084" spans="1:4" ht="31.5" customHeight="1">
      <c r="A4084" s="120">
        <v>89856</v>
      </c>
      <c r="B4084" s="119" t="s">
        <v>5624</v>
      </c>
      <c r="C4084" s="120" t="s">
        <v>331</v>
      </c>
      <c r="D4084" s="441">
        <v>22.62</v>
      </c>
    </row>
    <row r="4085" spans="1:4" ht="31.5" customHeight="1">
      <c r="A4085" s="120">
        <v>89857</v>
      </c>
      <c r="B4085" s="119" t="s">
        <v>5625</v>
      </c>
      <c r="C4085" s="120" t="s">
        <v>331</v>
      </c>
      <c r="D4085" s="441">
        <v>38.17</v>
      </c>
    </row>
    <row r="4086" spans="1:4" ht="31.5" customHeight="1">
      <c r="A4086" s="120">
        <v>89860</v>
      </c>
      <c r="B4086" s="119" t="s">
        <v>5626</v>
      </c>
      <c r="C4086" s="120" t="s">
        <v>331</v>
      </c>
      <c r="D4086" s="441">
        <v>50.68</v>
      </c>
    </row>
    <row r="4087" spans="1:4" ht="31.5" customHeight="1">
      <c r="A4087" s="120">
        <v>89861</v>
      </c>
      <c r="B4087" s="119" t="s">
        <v>5627</v>
      </c>
      <c r="C4087" s="120" t="s">
        <v>331</v>
      </c>
      <c r="D4087" s="441">
        <v>58.87</v>
      </c>
    </row>
    <row r="4088" spans="1:4" ht="31.5" customHeight="1">
      <c r="A4088" s="120">
        <v>89866</v>
      </c>
      <c r="B4088" s="119" t="s">
        <v>5628</v>
      </c>
      <c r="C4088" s="120" t="s">
        <v>331</v>
      </c>
      <c r="D4088" s="441">
        <v>8.4499999999999993</v>
      </c>
    </row>
    <row r="4089" spans="1:4" ht="31.5" customHeight="1">
      <c r="A4089" s="120">
        <v>89867</v>
      </c>
      <c r="B4089" s="119" t="s">
        <v>5629</v>
      </c>
      <c r="C4089" s="120" t="s">
        <v>331</v>
      </c>
      <c r="D4089" s="441">
        <v>9.35</v>
      </c>
    </row>
    <row r="4090" spans="1:4" ht="31.5" customHeight="1">
      <c r="A4090" s="120">
        <v>89868</v>
      </c>
      <c r="B4090" s="119" t="s">
        <v>5630</v>
      </c>
      <c r="C4090" s="120" t="s">
        <v>331</v>
      </c>
      <c r="D4090" s="441">
        <v>6.42</v>
      </c>
    </row>
    <row r="4091" spans="1:4" ht="31.5" customHeight="1">
      <c r="A4091" s="120">
        <v>89869</v>
      </c>
      <c r="B4091" s="119" t="s">
        <v>5631</v>
      </c>
      <c r="C4091" s="120" t="s">
        <v>331</v>
      </c>
      <c r="D4091" s="441">
        <v>11.73</v>
      </c>
    </row>
    <row r="4092" spans="1:4" ht="31.5" customHeight="1">
      <c r="A4092" s="120">
        <v>89979</v>
      </c>
      <c r="B4092" s="119" t="s">
        <v>5632</v>
      </c>
      <c r="C4092" s="120" t="s">
        <v>331</v>
      </c>
      <c r="D4092" s="441">
        <v>28.1</v>
      </c>
    </row>
    <row r="4093" spans="1:4" ht="31.5" customHeight="1">
      <c r="A4093" s="120">
        <v>89981</v>
      </c>
      <c r="B4093" s="119" t="s">
        <v>5633</v>
      </c>
      <c r="C4093" s="120" t="s">
        <v>331</v>
      </c>
      <c r="D4093" s="441">
        <v>24.66</v>
      </c>
    </row>
    <row r="4094" spans="1:4" ht="31.5" customHeight="1">
      <c r="A4094" s="120">
        <v>90373</v>
      </c>
      <c r="B4094" s="119" t="s">
        <v>5634</v>
      </c>
      <c r="C4094" s="120" t="s">
        <v>331</v>
      </c>
      <c r="D4094" s="441">
        <v>14.9</v>
      </c>
    </row>
    <row r="4095" spans="1:4" ht="31.5" customHeight="1">
      <c r="A4095" s="120">
        <v>90374</v>
      </c>
      <c r="B4095" s="119" t="s">
        <v>5635</v>
      </c>
      <c r="C4095" s="120" t="s">
        <v>331</v>
      </c>
      <c r="D4095" s="441">
        <v>25.34</v>
      </c>
    </row>
    <row r="4096" spans="1:4" ht="31.5" customHeight="1">
      <c r="A4096" s="120">
        <v>92287</v>
      </c>
      <c r="B4096" s="119" t="s">
        <v>5636</v>
      </c>
      <c r="C4096" s="120" t="s">
        <v>331</v>
      </c>
      <c r="D4096" s="441">
        <v>17.89</v>
      </c>
    </row>
    <row r="4097" spans="1:4" ht="31.5" customHeight="1">
      <c r="A4097" s="120">
        <v>92288</v>
      </c>
      <c r="B4097" s="119" t="s">
        <v>5637</v>
      </c>
      <c r="C4097" s="120" t="s">
        <v>331</v>
      </c>
      <c r="D4097" s="441">
        <v>27.98</v>
      </c>
    </row>
    <row r="4098" spans="1:4" ht="31.5" customHeight="1">
      <c r="A4098" s="120">
        <v>92289</v>
      </c>
      <c r="B4098" s="119" t="s">
        <v>5638</v>
      </c>
      <c r="C4098" s="120" t="s">
        <v>331</v>
      </c>
      <c r="D4098" s="441">
        <v>49.03</v>
      </c>
    </row>
    <row r="4099" spans="1:4" ht="31.5" customHeight="1">
      <c r="A4099" s="120">
        <v>92290</v>
      </c>
      <c r="B4099" s="119" t="s">
        <v>5639</v>
      </c>
      <c r="C4099" s="120" t="s">
        <v>331</v>
      </c>
      <c r="D4099" s="441">
        <v>73.88</v>
      </c>
    </row>
    <row r="4100" spans="1:4" ht="31.5" customHeight="1">
      <c r="A4100" s="120">
        <v>92291</v>
      </c>
      <c r="B4100" s="119" t="s">
        <v>5640</v>
      </c>
      <c r="C4100" s="120" t="s">
        <v>331</v>
      </c>
      <c r="D4100" s="441">
        <v>114.07</v>
      </c>
    </row>
    <row r="4101" spans="1:4" ht="31.5" customHeight="1">
      <c r="A4101" s="120">
        <v>92292</v>
      </c>
      <c r="B4101" s="119" t="s">
        <v>5641</v>
      </c>
      <c r="C4101" s="120" t="s">
        <v>331</v>
      </c>
      <c r="D4101" s="441">
        <v>349.43</v>
      </c>
    </row>
    <row r="4102" spans="1:4" ht="31.5" customHeight="1">
      <c r="A4102" s="120">
        <v>92293</v>
      </c>
      <c r="B4102" s="119" t="s">
        <v>5642</v>
      </c>
      <c r="C4102" s="120" t="s">
        <v>331</v>
      </c>
      <c r="D4102" s="441">
        <v>10.24</v>
      </c>
    </row>
    <row r="4103" spans="1:4" ht="31.5" customHeight="1">
      <c r="A4103" s="120">
        <v>92294</v>
      </c>
      <c r="B4103" s="119" t="s">
        <v>5643</v>
      </c>
      <c r="C4103" s="120" t="s">
        <v>331</v>
      </c>
      <c r="D4103" s="441">
        <v>17.11</v>
      </c>
    </row>
    <row r="4104" spans="1:4" ht="31.5" customHeight="1">
      <c r="A4104" s="120">
        <v>92295</v>
      </c>
      <c r="B4104" s="119" t="s">
        <v>5644</v>
      </c>
      <c r="C4104" s="120" t="s">
        <v>331</v>
      </c>
      <c r="D4104" s="441">
        <v>31.82</v>
      </c>
    </row>
    <row r="4105" spans="1:4" ht="31.5" customHeight="1">
      <c r="A4105" s="120">
        <v>92296</v>
      </c>
      <c r="B4105" s="119" t="s">
        <v>5645</v>
      </c>
      <c r="C4105" s="120" t="s">
        <v>331</v>
      </c>
      <c r="D4105" s="441">
        <v>42.06</v>
      </c>
    </row>
    <row r="4106" spans="1:4" ht="31.5" customHeight="1">
      <c r="A4106" s="120">
        <v>92297</v>
      </c>
      <c r="B4106" s="119" t="s">
        <v>5646</v>
      </c>
      <c r="C4106" s="120" t="s">
        <v>331</v>
      </c>
      <c r="D4106" s="441">
        <v>64.989999999999995</v>
      </c>
    </row>
    <row r="4107" spans="1:4" ht="31.5" customHeight="1">
      <c r="A4107" s="120">
        <v>92298</v>
      </c>
      <c r="B4107" s="119" t="s">
        <v>5647</v>
      </c>
      <c r="C4107" s="120" t="s">
        <v>331</v>
      </c>
      <c r="D4107" s="441">
        <v>180.4</v>
      </c>
    </row>
    <row r="4108" spans="1:4" ht="31.5" customHeight="1">
      <c r="A4108" s="120">
        <v>92299</v>
      </c>
      <c r="B4108" s="119" t="s">
        <v>5648</v>
      </c>
      <c r="C4108" s="120" t="s">
        <v>331</v>
      </c>
      <c r="D4108" s="441">
        <v>23.56</v>
      </c>
    </row>
    <row r="4109" spans="1:4" ht="31.5" customHeight="1">
      <c r="A4109" s="120">
        <v>92300</v>
      </c>
      <c r="B4109" s="119" t="s">
        <v>5649</v>
      </c>
      <c r="C4109" s="120" t="s">
        <v>331</v>
      </c>
      <c r="D4109" s="441">
        <v>35.630000000000003</v>
      </c>
    </row>
    <row r="4110" spans="1:4" ht="31.5" customHeight="1">
      <c r="A4110" s="120">
        <v>92301</v>
      </c>
      <c r="B4110" s="119" t="s">
        <v>5650</v>
      </c>
      <c r="C4110" s="120" t="s">
        <v>331</v>
      </c>
      <c r="D4110" s="441">
        <v>69.52</v>
      </c>
    </row>
    <row r="4111" spans="1:4" ht="31.5" customHeight="1">
      <c r="A4111" s="120">
        <v>92302</v>
      </c>
      <c r="B4111" s="119" t="s">
        <v>5651</v>
      </c>
      <c r="C4111" s="120" t="s">
        <v>331</v>
      </c>
      <c r="D4111" s="441">
        <v>91.66</v>
      </c>
    </row>
    <row r="4112" spans="1:4" ht="31.5" customHeight="1">
      <c r="A4112" s="120">
        <v>92303</v>
      </c>
      <c r="B4112" s="119" t="s">
        <v>5652</v>
      </c>
      <c r="C4112" s="120" t="s">
        <v>331</v>
      </c>
      <c r="D4112" s="441">
        <v>167.07</v>
      </c>
    </row>
    <row r="4113" spans="1:4" ht="31.5" customHeight="1">
      <c r="A4113" s="120">
        <v>92304</v>
      </c>
      <c r="B4113" s="119" t="s">
        <v>5653</v>
      </c>
      <c r="C4113" s="120" t="s">
        <v>331</v>
      </c>
      <c r="D4113" s="441">
        <v>429.91</v>
      </c>
    </row>
    <row r="4114" spans="1:4" ht="31.5" customHeight="1">
      <c r="A4114" s="120">
        <v>92311</v>
      </c>
      <c r="B4114" s="119" t="s">
        <v>5654</v>
      </c>
      <c r="C4114" s="120" t="s">
        <v>331</v>
      </c>
      <c r="D4114" s="441">
        <v>13.97</v>
      </c>
    </row>
    <row r="4115" spans="1:4" ht="31.5" customHeight="1">
      <c r="A4115" s="120">
        <v>92312</v>
      </c>
      <c r="B4115" s="119" t="s">
        <v>5655</v>
      </c>
      <c r="C4115" s="120" t="s">
        <v>331</v>
      </c>
      <c r="D4115" s="441">
        <v>22.76</v>
      </c>
    </row>
    <row r="4116" spans="1:4" ht="31.5" customHeight="1">
      <c r="A4116" s="120">
        <v>92313</v>
      </c>
      <c r="B4116" s="119" t="s">
        <v>5656</v>
      </c>
      <c r="C4116" s="120" t="s">
        <v>331</v>
      </c>
      <c r="D4116" s="441">
        <v>32.47</v>
      </c>
    </row>
    <row r="4117" spans="1:4" ht="31.5" customHeight="1">
      <c r="A4117" s="120">
        <v>92314</v>
      </c>
      <c r="B4117" s="119" t="s">
        <v>5657</v>
      </c>
      <c r="C4117" s="120" t="s">
        <v>331</v>
      </c>
      <c r="D4117" s="441">
        <v>9.43</v>
      </c>
    </row>
    <row r="4118" spans="1:4" ht="31.5" customHeight="1">
      <c r="A4118" s="120">
        <v>92315</v>
      </c>
      <c r="B4118" s="119" t="s">
        <v>5658</v>
      </c>
      <c r="C4118" s="120" t="s">
        <v>331</v>
      </c>
      <c r="D4118" s="441">
        <v>13.49</v>
      </c>
    </row>
    <row r="4119" spans="1:4" ht="31.5" customHeight="1">
      <c r="A4119" s="120">
        <v>92316</v>
      </c>
      <c r="B4119" s="119" t="s">
        <v>5659</v>
      </c>
      <c r="C4119" s="120" t="s">
        <v>331</v>
      </c>
      <c r="D4119" s="441">
        <v>20.12</v>
      </c>
    </row>
    <row r="4120" spans="1:4" ht="31.5" customHeight="1">
      <c r="A4120" s="120">
        <v>92317</v>
      </c>
      <c r="B4120" s="119" t="s">
        <v>5660</v>
      </c>
      <c r="C4120" s="120" t="s">
        <v>331</v>
      </c>
      <c r="D4120" s="441">
        <v>19.670000000000002</v>
      </c>
    </row>
    <row r="4121" spans="1:4" ht="31.5" customHeight="1">
      <c r="A4121" s="120">
        <v>92318</v>
      </c>
      <c r="B4121" s="119" t="s">
        <v>5661</v>
      </c>
      <c r="C4121" s="120" t="s">
        <v>331</v>
      </c>
      <c r="D4121" s="441">
        <v>30.04</v>
      </c>
    </row>
    <row r="4122" spans="1:4" ht="31.5" customHeight="1">
      <c r="A4122" s="120">
        <v>92319</v>
      </c>
      <c r="B4122" s="119" t="s">
        <v>5662</v>
      </c>
      <c r="C4122" s="120" t="s">
        <v>331</v>
      </c>
      <c r="D4122" s="441">
        <v>41.64</v>
      </c>
    </row>
    <row r="4123" spans="1:4" ht="31.5" customHeight="1">
      <c r="A4123" s="120">
        <v>92326</v>
      </c>
      <c r="B4123" s="119" t="s">
        <v>5663</v>
      </c>
      <c r="C4123" s="120" t="s">
        <v>331</v>
      </c>
      <c r="D4123" s="441">
        <v>14.83</v>
      </c>
    </row>
    <row r="4124" spans="1:4" ht="31.5" customHeight="1">
      <c r="A4124" s="120">
        <v>92327</v>
      </c>
      <c r="B4124" s="119" t="s">
        <v>5664</v>
      </c>
      <c r="C4124" s="120" t="s">
        <v>331</v>
      </c>
      <c r="D4124" s="441">
        <v>26.35</v>
      </c>
    </row>
    <row r="4125" spans="1:4" ht="31.5" customHeight="1">
      <c r="A4125" s="120">
        <v>92328</v>
      </c>
      <c r="B4125" s="119" t="s">
        <v>5665</v>
      </c>
      <c r="C4125" s="120" t="s">
        <v>331</v>
      </c>
      <c r="D4125" s="441">
        <v>38.89</v>
      </c>
    </row>
    <row r="4126" spans="1:4" ht="31.5" customHeight="1">
      <c r="A4126" s="120">
        <v>92329</v>
      </c>
      <c r="B4126" s="119" t="s">
        <v>5666</v>
      </c>
      <c r="C4126" s="120" t="s">
        <v>331</v>
      </c>
      <c r="D4126" s="441">
        <v>9.64</v>
      </c>
    </row>
    <row r="4127" spans="1:4" ht="31.5" customHeight="1">
      <c r="A4127" s="120">
        <v>92330</v>
      </c>
      <c r="B4127" s="119" t="s">
        <v>5667</v>
      </c>
      <c r="C4127" s="120" t="s">
        <v>331</v>
      </c>
      <c r="D4127" s="441">
        <v>15.9</v>
      </c>
    </row>
    <row r="4128" spans="1:4" ht="31.5" customHeight="1">
      <c r="A4128" s="120">
        <v>92331</v>
      </c>
      <c r="B4128" s="119" t="s">
        <v>5668</v>
      </c>
      <c r="C4128" s="120" t="s">
        <v>331</v>
      </c>
      <c r="D4128" s="441">
        <v>24.42</v>
      </c>
    </row>
    <row r="4129" spans="1:4" ht="31.5" customHeight="1">
      <c r="A4129" s="120">
        <v>92332</v>
      </c>
      <c r="B4129" s="119" t="s">
        <v>5669</v>
      </c>
      <c r="C4129" s="120" t="s">
        <v>331</v>
      </c>
      <c r="D4129" s="441">
        <v>20.079999999999998</v>
      </c>
    </row>
    <row r="4130" spans="1:4" ht="31.5" customHeight="1">
      <c r="A4130" s="120">
        <v>92333</v>
      </c>
      <c r="B4130" s="119" t="s">
        <v>5670</v>
      </c>
      <c r="C4130" s="120" t="s">
        <v>331</v>
      </c>
      <c r="D4130" s="441">
        <v>34.840000000000003</v>
      </c>
    </row>
    <row r="4131" spans="1:4" ht="31.5" customHeight="1">
      <c r="A4131" s="120">
        <v>92334</v>
      </c>
      <c r="B4131" s="119" t="s">
        <v>5671</v>
      </c>
      <c r="C4131" s="120" t="s">
        <v>331</v>
      </c>
      <c r="D4131" s="441">
        <v>50.19</v>
      </c>
    </row>
    <row r="4132" spans="1:4" ht="31.5" customHeight="1">
      <c r="A4132" s="120">
        <v>92344</v>
      </c>
      <c r="B4132" s="119" t="s">
        <v>5672</v>
      </c>
      <c r="C4132" s="120" t="s">
        <v>331</v>
      </c>
      <c r="D4132" s="441">
        <v>74.77</v>
      </c>
    </row>
    <row r="4133" spans="1:4" ht="31.5" customHeight="1">
      <c r="A4133" s="120">
        <v>92345</v>
      </c>
      <c r="B4133" s="119" t="s">
        <v>5673</v>
      </c>
      <c r="C4133" s="120" t="s">
        <v>331</v>
      </c>
      <c r="D4133" s="441">
        <v>74.739999999999995</v>
      </c>
    </row>
    <row r="4134" spans="1:4" ht="31.5" customHeight="1">
      <c r="A4134" s="120">
        <v>92346</v>
      </c>
      <c r="B4134" s="119" t="s">
        <v>5674</v>
      </c>
      <c r="C4134" s="120" t="s">
        <v>331</v>
      </c>
      <c r="D4134" s="441">
        <v>97.76</v>
      </c>
    </row>
    <row r="4135" spans="1:4" ht="31.5" customHeight="1">
      <c r="A4135" s="120">
        <v>92347</v>
      </c>
      <c r="B4135" s="119" t="s">
        <v>5675</v>
      </c>
      <c r="C4135" s="120" t="s">
        <v>331</v>
      </c>
      <c r="D4135" s="441">
        <v>108.54</v>
      </c>
    </row>
    <row r="4136" spans="1:4" ht="31.5" customHeight="1">
      <c r="A4136" s="120">
        <v>92348</v>
      </c>
      <c r="B4136" s="119" t="s">
        <v>5676</v>
      </c>
      <c r="C4136" s="120" t="s">
        <v>331</v>
      </c>
      <c r="D4136" s="441">
        <v>136.47</v>
      </c>
    </row>
    <row r="4137" spans="1:4" ht="31.5" customHeight="1">
      <c r="A4137" s="120">
        <v>92349</v>
      </c>
      <c r="B4137" s="119" t="s">
        <v>5677</v>
      </c>
      <c r="C4137" s="120" t="s">
        <v>331</v>
      </c>
      <c r="D4137" s="441">
        <v>146.06</v>
      </c>
    </row>
    <row r="4138" spans="1:4" ht="31.5" customHeight="1">
      <c r="A4138" s="120">
        <v>92350</v>
      </c>
      <c r="B4138" s="119" t="s">
        <v>5678</v>
      </c>
      <c r="C4138" s="120" t="s">
        <v>331</v>
      </c>
      <c r="D4138" s="441">
        <v>111.25</v>
      </c>
    </row>
    <row r="4139" spans="1:4" ht="31.5" customHeight="1">
      <c r="A4139" s="120">
        <v>92351</v>
      </c>
      <c r="B4139" s="119" t="s">
        <v>5679</v>
      </c>
      <c r="C4139" s="120" t="s">
        <v>331</v>
      </c>
      <c r="D4139" s="441">
        <v>108.85</v>
      </c>
    </row>
    <row r="4140" spans="1:4" ht="31.5" customHeight="1">
      <c r="A4140" s="120">
        <v>92352</v>
      </c>
      <c r="B4140" s="119" t="s">
        <v>5680</v>
      </c>
      <c r="C4140" s="120" t="s">
        <v>331</v>
      </c>
      <c r="D4140" s="441">
        <v>167.34</v>
      </c>
    </row>
    <row r="4141" spans="1:4" ht="31.5" customHeight="1">
      <c r="A4141" s="120">
        <v>92353</v>
      </c>
      <c r="B4141" s="119" t="s">
        <v>5681</v>
      </c>
      <c r="C4141" s="120" t="s">
        <v>331</v>
      </c>
      <c r="D4141" s="441">
        <v>156.80000000000001</v>
      </c>
    </row>
    <row r="4142" spans="1:4" ht="31.5" customHeight="1">
      <c r="A4142" s="120">
        <v>92354</v>
      </c>
      <c r="B4142" s="119" t="s">
        <v>5682</v>
      </c>
      <c r="C4142" s="120" t="s">
        <v>331</v>
      </c>
      <c r="D4142" s="441">
        <v>221.23</v>
      </c>
    </row>
    <row r="4143" spans="1:4" ht="31.5" customHeight="1">
      <c r="A4143" s="120">
        <v>92355</v>
      </c>
      <c r="B4143" s="119" t="s">
        <v>5683</v>
      </c>
      <c r="C4143" s="120" t="s">
        <v>331</v>
      </c>
      <c r="D4143" s="441">
        <v>200.91</v>
      </c>
    </row>
    <row r="4144" spans="1:4" ht="31.5" customHeight="1">
      <c r="A4144" s="120">
        <v>92356</v>
      </c>
      <c r="B4144" s="119" t="s">
        <v>5684</v>
      </c>
      <c r="C4144" s="120" t="s">
        <v>331</v>
      </c>
      <c r="D4144" s="441">
        <v>145.07</v>
      </c>
    </row>
    <row r="4145" spans="1:4" ht="31.5" customHeight="1">
      <c r="A4145" s="120">
        <v>92357</v>
      </c>
      <c r="B4145" s="119" t="s">
        <v>5685</v>
      </c>
      <c r="C4145" s="120" t="s">
        <v>331</v>
      </c>
      <c r="D4145" s="441">
        <v>214.36</v>
      </c>
    </row>
    <row r="4146" spans="1:4" ht="31.5" customHeight="1">
      <c r="A4146" s="120">
        <v>92358</v>
      </c>
      <c r="B4146" s="119" t="s">
        <v>5686</v>
      </c>
      <c r="C4146" s="120" t="s">
        <v>331</v>
      </c>
      <c r="D4146" s="441">
        <v>265.93</v>
      </c>
    </row>
    <row r="4147" spans="1:4" ht="31.5" customHeight="1">
      <c r="A4147" s="120">
        <v>92369</v>
      </c>
      <c r="B4147" s="119" t="s">
        <v>5687</v>
      </c>
      <c r="C4147" s="120" t="s">
        <v>331</v>
      </c>
      <c r="D4147" s="441">
        <v>40.76</v>
      </c>
    </row>
    <row r="4148" spans="1:4" ht="31.5" customHeight="1">
      <c r="A4148" s="120">
        <v>92370</v>
      </c>
      <c r="B4148" s="119" t="s">
        <v>5688</v>
      </c>
      <c r="C4148" s="120" t="s">
        <v>331</v>
      </c>
      <c r="D4148" s="441">
        <v>42.7</v>
      </c>
    </row>
    <row r="4149" spans="1:4" ht="31.5" customHeight="1">
      <c r="A4149" s="120">
        <v>92371</v>
      </c>
      <c r="B4149" s="119" t="s">
        <v>5689</v>
      </c>
      <c r="C4149" s="120" t="s">
        <v>331</v>
      </c>
      <c r="D4149" s="441">
        <v>49.09</v>
      </c>
    </row>
    <row r="4150" spans="1:4" ht="31.5" customHeight="1">
      <c r="A4150" s="120">
        <v>92372</v>
      </c>
      <c r="B4150" s="119" t="s">
        <v>5690</v>
      </c>
      <c r="C4150" s="120" t="s">
        <v>331</v>
      </c>
      <c r="D4150" s="441">
        <v>50.89</v>
      </c>
    </row>
    <row r="4151" spans="1:4" ht="31.5" customHeight="1">
      <c r="A4151" s="120">
        <v>92373</v>
      </c>
      <c r="B4151" s="119" t="s">
        <v>5691</v>
      </c>
      <c r="C4151" s="120" t="s">
        <v>331</v>
      </c>
      <c r="D4151" s="441">
        <v>57.85</v>
      </c>
    </row>
    <row r="4152" spans="1:4" ht="31.5" customHeight="1">
      <c r="A4152" s="120">
        <v>92374</v>
      </c>
      <c r="B4152" s="119" t="s">
        <v>5692</v>
      </c>
      <c r="C4152" s="120" t="s">
        <v>331</v>
      </c>
      <c r="D4152" s="441">
        <v>58.2</v>
      </c>
    </row>
    <row r="4153" spans="1:4" ht="31.5" customHeight="1">
      <c r="A4153" s="120">
        <v>92375</v>
      </c>
      <c r="B4153" s="119" t="s">
        <v>5693</v>
      </c>
      <c r="C4153" s="120" t="s">
        <v>331</v>
      </c>
      <c r="D4153" s="441">
        <v>74.72</v>
      </c>
    </row>
    <row r="4154" spans="1:4" ht="31.5" customHeight="1">
      <c r="A4154" s="120">
        <v>92376</v>
      </c>
      <c r="B4154" s="119" t="s">
        <v>5694</v>
      </c>
      <c r="C4154" s="120" t="s">
        <v>331</v>
      </c>
      <c r="D4154" s="441">
        <v>74.69</v>
      </c>
    </row>
    <row r="4155" spans="1:4" ht="31.5" customHeight="1">
      <c r="A4155" s="120">
        <v>92377</v>
      </c>
      <c r="B4155" s="119" t="s">
        <v>5695</v>
      </c>
      <c r="C4155" s="120" t="s">
        <v>331</v>
      </c>
      <c r="D4155" s="441">
        <v>99.73</v>
      </c>
    </row>
    <row r="4156" spans="1:4" ht="31.5" customHeight="1">
      <c r="A4156" s="120">
        <v>92378</v>
      </c>
      <c r="B4156" s="119" t="s">
        <v>5696</v>
      </c>
      <c r="C4156" s="120" t="s">
        <v>331</v>
      </c>
      <c r="D4156" s="441">
        <v>110.51</v>
      </c>
    </row>
    <row r="4157" spans="1:4" ht="31.5" customHeight="1">
      <c r="A4157" s="120">
        <v>92379</v>
      </c>
      <c r="B4157" s="119" t="s">
        <v>5697</v>
      </c>
      <c r="C4157" s="120" t="s">
        <v>331</v>
      </c>
      <c r="D4157" s="441">
        <v>140.52000000000001</v>
      </c>
    </row>
    <row r="4158" spans="1:4" ht="31.5" customHeight="1">
      <c r="A4158" s="120">
        <v>92380</v>
      </c>
      <c r="B4158" s="119" t="s">
        <v>5698</v>
      </c>
      <c r="C4158" s="120" t="s">
        <v>331</v>
      </c>
      <c r="D4158" s="441">
        <v>150.11000000000001</v>
      </c>
    </row>
    <row r="4159" spans="1:4" ht="31.5" customHeight="1">
      <c r="A4159" s="120">
        <v>92381</v>
      </c>
      <c r="B4159" s="119" t="s">
        <v>5699</v>
      </c>
      <c r="C4159" s="120" t="s">
        <v>331</v>
      </c>
      <c r="D4159" s="441">
        <v>61.71</v>
      </c>
    </row>
    <row r="4160" spans="1:4" ht="31.5" customHeight="1">
      <c r="A4160" s="120">
        <v>92382</v>
      </c>
      <c r="B4160" s="119" t="s">
        <v>5700</v>
      </c>
      <c r="C4160" s="120" t="s">
        <v>331</v>
      </c>
      <c r="D4160" s="441">
        <v>59.14</v>
      </c>
    </row>
    <row r="4161" spans="1:4" ht="31.5" customHeight="1">
      <c r="A4161" s="120">
        <v>92383</v>
      </c>
      <c r="B4161" s="119" t="s">
        <v>5701</v>
      </c>
      <c r="C4161" s="120" t="s">
        <v>331</v>
      </c>
      <c r="D4161" s="441">
        <v>77.34</v>
      </c>
    </row>
    <row r="4162" spans="1:4" ht="31.5" customHeight="1">
      <c r="A4162" s="120">
        <v>92384</v>
      </c>
      <c r="B4162" s="119" t="s">
        <v>5702</v>
      </c>
      <c r="C4162" s="120" t="s">
        <v>331</v>
      </c>
      <c r="D4162" s="441">
        <v>72.22</v>
      </c>
    </row>
    <row r="4163" spans="1:4" ht="31.5" customHeight="1">
      <c r="A4163" s="120">
        <v>92385</v>
      </c>
      <c r="B4163" s="119" t="s">
        <v>5703</v>
      </c>
      <c r="C4163" s="120" t="s">
        <v>331</v>
      </c>
      <c r="D4163" s="441">
        <v>88.52</v>
      </c>
    </row>
    <row r="4164" spans="1:4" ht="31.5" customHeight="1">
      <c r="A4164" s="120">
        <v>92386</v>
      </c>
      <c r="B4164" s="119" t="s">
        <v>5704</v>
      </c>
      <c r="C4164" s="120" t="s">
        <v>331</v>
      </c>
      <c r="D4164" s="441">
        <v>84.99</v>
      </c>
    </row>
    <row r="4165" spans="1:4" ht="31.5" customHeight="1">
      <c r="A4165" s="120">
        <v>92387</v>
      </c>
      <c r="B4165" s="119" t="s">
        <v>5705</v>
      </c>
      <c r="C4165" s="120" t="s">
        <v>331</v>
      </c>
      <c r="D4165" s="441">
        <v>111.12</v>
      </c>
    </row>
    <row r="4166" spans="1:4" ht="31.5" customHeight="1">
      <c r="A4166" s="120">
        <v>92388</v>
      </c>
      <c r="B4166" s="119" t="s">
        <v>5706</v>
      </c>
      <c r="C4166" s="120" t="s">
        <v>331</v>
      </c>
      <c r="D4166" s="441">
        <v>108.72</v>
      </c>
    </row>
    <row r="4167" spans="1:4" ht="31.5" customHeight="1">
      <c r="A4167" s="120">
        <v>92389</v>
      </c>
      <c r="B4167" s="119" t="s">
        <v>5707</v>
      </c>
      <c r="C4167" s="120" t="s">
        <v>331</v>
      </c>
      <c r="D4167" s="441">
        <v>170.34</v>
      </c>
    </row>
    <row r="4168" spans="1:4" ht="31.5" customHeight="1">
      <c r="A4168" s="120">
        <v>92390</v>
      </c>
      <c r="B4168" s="119" t="s">
        <v>5708</v>
      </c>
      <c r="C4168" s="120" t="s">
        <v>331</v>
      </c>
      <c r="D4168" s="441">
        <v>159.80000000000001</v>
      </c>
    </row>
    <row r="4169" spans="1:4" ht="31.5" customHeight="1">
      <c r="A4169" s="120">
        <v>92635</v>
      </c>
      <c r="B4169" s="119" t="s">
        <v>5709</v>
      </c>
      <c r="C4169" s="120" t="s">
        <v>331</v>
      </c>
      <c r="D4169" s="441">
        <v>227.3</v>
      </c>
    </row>
    <row r="4170" spans="1:4" ht="31.5" customHeight="1">
      <c r="A4170" s="120">
        <v>92636</v>
      </c>
      <c r="B4170" s="119" t="s">
        <v>5710</v>
      </c>
      <c r="C4170" s="120" t="s">
        <v>331</v>
      </c>
      <c r="D4170" s="441">
        <v>206.98</v>
      </c>
    </row>
    <row r="4171" spans="1:4" ht="31.5" customHeight="1">
      <c r="A4171" s="120">
        <v>92637</v>
      </c>
      <c r="B4171" s="119" t="s">
        <v>5711</v>
      </c>
      <c r="C4171" s="120" t="s">
        <v>331</v>
      </c>
      <c r="D4171" s="441">
        <v>79.81</v>
      </c>
    </row>
    <row r="4172" spans="1:4" ht="31.5" customHeight="1">
      <c r="A4172" s="120">
        <v>92638</v>
      </c>
      <c r="B4172" s="119" t="s">
        <v>5712</v>
      </c>
      <c r="C4172" s="120" t="s">
        <v>331</v>
      </c>
      <c r="D4172" s="441">
        <v>96.93</v>
      </c>
    </row>
    <row r="4173" spans="1:4" ht="31.5" customHeight="1">
      <c r="A4173" s="120">
        <v>92639</v>
      </c>
      <c r="B4173" s="119" t="s">
        <v>5713</v>
      </c>
      <c r="C4173" s="120" t="s">
        <v>331</v>
      </c>
      <c r="D4173" s="441">
        <v>111.96</v>
      </c>
    </row>
    <row r="4174" spans="1:4" ht="31.5" customHeight="1">
      <c r="A4174" s="120">
        <v>92640</v>
      </c>
      <c r="B4174" s="119" t="s">
        <v>5714</v>
      </c>
      <c r="C4174" s="120" t="s">
        <v>331</v>
      </c>
      <c r="D4174" s="441">
        <v>144.9</v>
      </c>
    </row>
    <row r="4175" spans="1:4" ht="31.5" customHeight="1">
      <c r="A4175" s="120">
        <v>92642</v>
      </c>
      <c r="B4175" s="119" t="s">
        <v>5715</v>
      </c>
      <c r="C4175" s="120" t="s">
        <v>331</v>
      </c>
      <c r="D4175" s="441">
        <v>218.29</v>
      </c>
    </row>
    <row r="4176" spans="1:4" ht="31.5" customHeight="1">
      <c r="A4176" s="120">
        <v>92644</v>
      </c>
      <c r="B4176" s="119" t="s">
        <v>5716</v>
      </c>
      <c r="C4176" s="120" t="s">
        <v>331</v>
      </c>
      <c r="D4176" s="441">
        <v>274.02</v>
      </c>
    </row>
    <row r="4177" spans="1:4" ht="31.5" customHeight="1">
      <c r="A4177" s="120">
        <v>92657</v>
      </c>
      <c r="B4177" s="119" t="s">
        <v>5717</v>
      </c>
      <c r="C4177" s="120" t="s">
        <v>331</v>
      </c>
      <c r="D4177" s="441">
        <v>29.83</v>
      </c>
    </row>
    <row r="4178" spans="1:4" ht="31.5" customHeight="1">
      <c r="A4178" s="120">
        <v>92658</v>
      </c>
      <c r="B4178" s="119" t="s">
        <v>5718</v>
      </c>
      <c r="C4178" s="120" t="s">
        <v>331</v>
      </c>
      <c r="D4178" s="441">
        <v>31.77</v>
      </c>
    </row>
    <row r="4179" spans="1:4" ht="31.5" customHeight="1">
      <c r="A4179" s="120">
        <v>92659</v>
      </c>
      <c r="B4179" s="119" t="s">
        <v>5719</v>
      </c>
      <c r="C4179" s="120" t="s">
        <v>331</v>
      </c>
      <c r="D4179" s="441">
        <v>36.659999999999997</v>
      </c>
    </row>
    <row r="4180" spans="1:4" ht="31.5" customHeight="1">
      <c r="A4180" s="120">
        <v>92660</v>
      </c>
      <c r="B4180" s="119" t="s">
        <v>5720</v>
      </c>
      <c r="C4180" s="120" t="s">
        <v>331</v>
      </c>
      <c r="D4180" s="441">
        <v>38.46</v>
      </c>
    </row>
    <row r="4181" spans="1:4" ht="31.5" customHeight="1">
      <c r="A4181" s="120">
        <v>92661</v>
      </c>
      <c r="B4181" s="119" t="s">
        <v>5721</v>
      </c>
      <c r="C4181" s="120" t="s">
        <v>331</v>
      </c>
      <c r="D4181" s="441">
        <v>43.69</v>
      </c>
    </row>
    <row r="4182" spans="1:4" ht="31.5" customHeight="1">
      <c r="A4182" s="120">
        <v>92662</v>
      </c>
      <c r="B4182" s="119" t="s">
        <v>5722</v>
      </c>
      <c r="C4182" s="120" t="s">
        <v>331</v>
      </c>
      <c r="D4182" s="441">
        <v>44.04</v>
      </c>
    </row>
    <row r="4183" spans="1:4" ht="31.5" customHeight="1">
      <c r="A4183" s="120">
        <v>92663</v>
      </c>
      <c r="B4183" s="119" t="s">
        <v>5723</v>
      </c>
      <c r="C4183" s="120" t="s">
        <v>331</v>
      </c>
      <c r="D4183" s="441">
        <v>58.41</v>
      </c>
    </row>
    <row r="4184" spans="1:4" ht="31.5" customHeight="1">
      <c r="A4184" s="120">
        <v>92664</v>
      </c>
      <c r="B4184" s="119" t="s">
        <v>5724</v>
      </c>
      <c r="C4184" s="120" t="s">
        <v>331</v>
      </c>
      <c r="D4184" s="441">
        <v>58.38</v>
      </c>
    </row>
    <row r="4185" spans="1:4" ht="31.5" customHeight="1">
      <c r="A4185" s="120">
        <v>92665</v>
      </c>
      <c r="B4185" s="119" t="s">
        <v>5725</v>
      </c>
      <c r="C4185" s="120" t="s">
        <v>331</v>
      </c>
      <c r="D4185" s="441">
        <v>80.2</v>
      </c>
    </row>
    <row r="4186" spans="1:4" ht="31.5" customHeight="1">
      <c r="A4186" s="120">
        <v>92666</v>
      </c>
      <c r="B4186" s="119" t="s">
        <v>5726</v>
      </c>
      <c r="C4186" s="120" t="s">
        <v>331</v>
      </c>
      <c r="D4186" s="441">
        <v>90.98</v>
      </c>
    </row>
    <row r="4187" spans="1:4" ht="31.5" customHeight="1">
      <c r="A4187" s="120">
        <v>92667</v>
      </c>
      <c r="B4187" s="119" t="s">
        <v>5727</v>
      </c>
      <c r="C4187" s="120" t="s">
        <v>331</v>
      </c>
      <c r="D4187" s="441">
        <v>117.8</v>
      </c>
    </row>
    <row r="4188" spans="1:4" ht="31.5" customHeight="1">
      <c r="A4188" s="120">
        <v>92668</v>
      </c>
      <c r="B4188" s="119" t="s">
        <v>5728</v>
      </c>
      <c r="C4188" s="120" t="s">
        <v>331</v>
      </c>
      <c r="D4188" s="441">
        <v>127.39</v>
      </c>
    </row>
    <row r="4189" spans="1:4" ht="31.5" customHeight="1">
      <c r="A4189" s="120">
        <v>92669</v>
      </c>
      <c r="B4189" s="119" t="s">
        <v>5729</v>
      </c>
      <c r="C4189" s="120" t="s">
        <v>331</v>
      </c>
      <c r="D4189" s="441">
        <v>45.3</v>
      </c>
    </row>
    <row r="4190" spans="1:4" ht="31.5" customHeight="1">
      <c r="A4190" s="120">
        <v>92670</v>
      </c>
      <c r="B4190" s="119" t="s">
        <v>5730</v>
      </c>
      <c r="C4190" s="120" t="s">
        <v>331</v>
      </c>
      <c r="D4190" s="441">
        <v>42.73</v>
      </c>
    </row>
    <row r="4191" spans="1:4" ht="31.5" customHeight="1">
      <c r="A4191" s="120">
        <v>92671</v>
      </c>
      <c r="B4191" s="119" t="s">
        <v>5731</v>
      </c>
      <c r="C4191" s="120" t="s">
        <v>331</v>
      </c>
      <c r="D4191" s="441">
        <v>58.72</v>
      </c>
    </row>
    <row r="4192" spans="1:4" ht="31.5" customHeight="1">
      <c r="A4192" s="120">
        <v>92672</v>
      </c>
      <c r="B4192" s="119" t="s">
        <v>5732</v>
      </c>
      <c r="C4192" s="120" t="s">
        <v>331</v>
      </c>
      <c r="D4192" s="441">
        <v>53.6</v>
      </c>
    </row>
    <row r="4193" spans="1:4" ht="31.5" customHeight="1">
      <c r="A4193" s="120">
        <v>92673</v>
      </c>
      <c r="B4193" s="119" t="s">
        <v>5733</v>
      </c>
      <c r="C4193" s="120" t="s">
        <v>331</v>
      </c>
      <c r="D4193" s="441">
        <v>67.31</v>
      </c>
    </row>
    <row r="4194" spans="1:4" ht="31.5" customHeight="1">
      <c r="A4194" s="120">
        <v>92674</v>
      </c>
      <c r="B4194" s="119" t="s">
        <v>5734</v>
      </c>
      <c r="C4194" s="120" t="s">
        <v>331</v>
      </c>
      <c r="D4194" s="441">
        <v>63.78</v>
      </c>
    </row>
    <row r="4195" spans="1:4" ht="31.5" customHeight="1">
      <c r="A4195" s="120">
        <v>92675</v>
      </c>
      <c r="B4195" s="119" t="s">
        <v>5735</v>
      </c>
      <c r="C4195" s="120" t="s">
        <v>331</v>
      </c>
      <c r="D4195" s="441">
        <v>86.74</v>
      </c>
    </row>
    <row r="4196" spans="1:4" ht="31.5" customHeight="1">
      <c r="A4196" s="120">
        <v>92676</v>
      </c>
      <c r="B4196" s="119" t="s">
        <v>5736</v>
      </c>
      <c r="C4196" s="120" t="s">
        <v>331</v>
      </c>
      <c r="D4196" s="441">
        <v>84.34</v>
      </c>
    </row>
    <row r="4197" spans="1:4" ht="31.5" customHeight="1">
      <c r="A4197" s="120">
        <v>92677</v>
      </c>
      <c r="B4197" s="119" t="s">
        <v>5737</v>
      </c>
      <c r="C4197" s="120" t="s">
        <v>331</v>
      </c>
      <c r="D4197" s="441">
        <v>141.1</v>
      </c>
    </row>
    <row r="4198" spans="1:4" ht="31.5" customHeight="1">
      <c r="A4198" s="120">
        <v>92678</v>
      </c>
      <c r="B4198" s="119" t="s">
        <v>5738</v>
      </c>
      <c r="C4198" s="120" t="s">
        <v>331</v>
      </c>
      <c r="D4198" s="441">
        <v>130.56</v>
      </c>
    </row>
    <row r="4199" spans="1:4" ht="31.5" customHeight="1">
      <c r="A4199" s="120">
        <v>92679</v>
      </c>
      <c r="B4199" s="119" t="s">
        <v>5739</v>
      </c>
      <c r="C4199" s="120" t="s">
        <v>331</v>
      </c>
      <c r="D4199" s="441">
        <v>193.25</v>
      </c>
    </row>
    <row r="4200" spans="1:4" ht="31.5" customHeight="1">
      <c r="A4200" s="120">
        <v>92680</v>
      </c>
      <c r="B4200" s="119" t="s">
        <v>5740</v>
      </c>
      <c r="C4200" s="120" t="s">
        <v>331</v>
      </c>
      <c r="D4200" s="441">
        <v>172.93</v>
      </c>
    </row>
    <row r="4201" spans="1:4" ht="31.5" customHeight="1">
      <c r="A4201" s="120">
        <v>92681</v>
      </c>
      <c r="B4201" s="119" t="s">
        <v>5741</v>
      </c>
      <c r="C4201" s="120" t="s">
        <v>331</v>
      </c>
      <c r="D4201" s="441">
        <v>57.91</v>
      </c>
    </row>
    <row r="4202" spans="1:4" ht="31.5" customHeight="1">
      <c r="A4202" s="120">
        <v>92682</v>
      </c>
      <c r="B4202" s="119" t="s">
        <v>5742</v>
      </c>
      <c r="C4202" s="120" t="s">
        <v>331</v>
      </c>
      <c r="D4202" s="441">
        <v>72.02</v>
      </c>
    </row>
    <row r="4203" spans="1:4" ht="31.5" customHeight="1">
      <c r="A4203" s="120">
        <v>92683</v>
      </c>
      <c r="B4203" s="119" t="s">
        <v>5743</v>
      </c>
      <c r="C4203" s="120" t="s">
        <v>331</v>
      </c>
      <c r="D4203" s="441">
        <v>83.69</v>
      </c>
    </row>
    <row r="4204" spans="1:4" ht="31.5" customHeight="1">
      <c r="A4204" s="120">
        <v>92684</v>
      </c>
      <c r="B4204" s="119" t="s">
        <v>5744</v>
      </c>
      <c r="C4204" s="120" t="s">
        <v>331</v>
      </c>
      <c r="D4204" s="441">
        <v>112.36</v>
      </c>
    </row>
    <row r="4205" spans="1:4" ht="31.5" customHeight="1">
      <c r="A4205" s="120">
        <v>92685</v>
      </c>
      <c r="B4205" s="119" t="s">
        <v>5745</v>
      </c>
      <c r="C4205" s="120" t="s">
        <v>331</v>
      </c>
      <c r="D4205" s="441">
        <v>179.32</v>
      </c>
    </row>
    <row r="4206" spans="1:4" ht="31.5" customHeight="1">
      <c r="A4206" s="120">
        <v>92686</v>
      </c>
      <c r="B4206" s="119" t="s">
        <v>5746</v>
      </c>
      <c r="C4206" s="120" t="s">
        <v>331</v>
      </c>
      <c r="D4206" s="441">
        <v>228.58</v>
      </c>
    </row>
    <row r="4207" spans="1:4" ht="31.5" customHeight="1">
      <c r="A4207" s="120">
        <v>92692</v>
      </c>
      <c r="B4207" s="119" t="s">
        <v>5747</v>
      </c>
      <c r="C4207" s="120" t="s">
        <v>331</v>
      </c>
      <c r="D4207" s="441">
        <v>16.11</v>
      </c>
    </row>
    <row r="4208" spans="1:4" ht="31.5" customHeight="1">
      <c r="A4208" s="120">
        <v>92693</v>
      </c>
      <c r="B4208" s="119" t="s">
        <v>5748</v>
      </c>
      <c r="C4208" s="120" t="s">
        <v>331</v>
      </c>
      <c r="D4208" s="441">
        <v>16.54</v>
      </c>
    </row>
    <row r="4209" spans="1:4" ht="31.5" customHeight="1">
      <c r="A4209" s="120">
        <v>92694</v>
      </c>
      <c r="B4209" s="119" t="s">
        <v>5749</v>
      </c>
      <c r="C4209" s="120" t="s">
        <v>331</v>
      </c>
      <c r="D4209" s="441">
        <v>25.67</v>
      </c>
    </row>
    <row r="4210" spans="1:4" ht="31.5" customHeight="1">
      <c r="A4210" s="120">
        <v>92695</v>
      </c>
      <c r="B4210" s="119" t="s">
        <v>5750</v>
      </c>
      <c r="C4210" s="120" t="s">
        <v>331</v>
      </c>
      <c r="D4210" s="441">
        <v>26.1</v>
      </c>
    </row>
    <row r="4211" spans="1:4" ht="31.5" customHeight="1">
      <c r="A4211" s="120">
        <v>92696</v>
      </c>
      <c r="B4211" s="119" t="s">
        <v>5751</v>
      </c>
      <c r="C4211" s="120" t="s">
        <v>331</v>
      </c>
      <c r="D4211" s="441">
        <v>40.299999999999997</v>
      </c>
    </row>
    <row r="4212" spans="1:4" ht="31.5" customHeight="1">
      <c r="A4212" s="120">
        <v>92697</v>
      </c>
      <c r="B4212" s="119" t="s">
        <v>5752</v>
      </c>
      <c r="C4212" s="120" t="s">
        <v>331</v>
      </c>
      <c r="D4212" s="441">
        <v>42.24</v>
      </c>
    </row>
    <row r="4213" spans="1:4" ht="31.5" customHeight="1">
      <c r="A4213" s="120">
        <v>92698</v>
      </c>
      <c r="B4213" s="119" t="s">
        <v>5753</v>
      </c>
      <c r="C4213" s="120" t="s">
        <v>331</v>
      </c>
      <c r="D4213" s="441">
        <v>23.84</v>
      </c>
    </row>
    <row r="4214" spans="1:4" ht="31.5" customHeight="1">
      <c r="A4214" s="120">
        <v>92699</v>
      </c>
      <c r="B4214" s="119" t="s">
        <v>5754</v>
      </c>
      <c r="C4214" s="120" t="s">
        <v>331</v>
      </c>
      <c r="D4214" s="441">
        <v>22.44</v>
      </c>
    </row>
    <row r="4215" spans="1:4" ht="31.5" customHeight="1">
      <c r="A4215" s="120">
        <v>92700</v>
      </c>
      <c r="B4215" s="119" t="s">
        <v>5755</v>
      </c>
      <c r="C4215" s="120" t="s">
        <v>331</v>
      </c>
      <c r="D4215" s="441">
        <v>38.97</v>
      </c>
    </row>
    <row r="4216" spans="1:4" ht="31.5" customHeight="1">
      <c r="A4216" s="120">
        <v>92701</v>
      </c>
      <c r="B4216" s="119" t="s">
        <v>5756</v>
      </c>
      <c r="C4216" s="120" t="s">
        <v>331</v>
      </c>
      <c r="D4216" s="441">
        <v>36.89</v>
      </c>
    </row>
    <row r="4217" spans="1:4" ht="31.5" customHeight="1">
      <c r="A4217" s="120">
        <v>92702</v>
      </c>
      <c r="B4217" s="119" t="s">
        <v>5757</v>
      </c>
      <c r="C4217" s="120" t="s">
        <v>331</v>
      </c>
      <c r="D4217" s="441">
        <v>61.08</v>
      </c>
    </row>
    <row r="4218" spans="1:4" ht="31.5" customHeight="1">
      <c r="A4218" s="120">
        <v>92703</v>
      </c>
      <c r="B4218" s="119" t="s">
        <v>5758</v>
      </c>
      <c r="C4218" s="120" t="s">
        <v>331</v>
      </c>
      <c r="D4218" s="441">
        <v>58.51</v>
      </c>
    </row>
    <row r="4219" spans="1:4" ht="31.5" customHeight="1">
      <c r="A4219" s="120">
        <v>92704</v>
      </c>
      <c r="B4219" s="119" t="s">
        <v>5759</v>
      </c>
      <c r="C4219" s="120" t="s">
        <v>331</v>
      </c>
      <c r="D4219" s="441">
        <v>30.2</v>
      </c>
    </row>
    <row r="4220" spans="1:4" ht="31.5" customHeight="1">
      <c r="A4220" s="120">
        <v>92705</v>
      </c>
      <c r="B4220" s="119" t="s">
        <v>5760</v>
      </c>
      <c r="C4220" s="120" t="s">
        <v>331</v>
      </c>
      <c r="D4220" s="441">
        <v>48.77</v>
      </c>
    </row>
    <row r="4221" spans="1:4" ht="31.5" customHeight="1">
      <c r="A4221" s="120">
        <v>92706</v>
      </c>
      <c r="B4221" s="119" t="s">
        <v>5761</v>
      </c>
      <c r="C4221" s="120" t="s">
        <v>331</v>
      </c>
      <c r="D4221" s="441">
        <v>78.94</v>
      </c>
    </row>
    <row r="4222" spans="1:4" ht="31.5" customHeight="1">
      <c r="A4222" s="120">
        <v>92889</v>
      </c>
      <c r="B4222" s="119" t="s">
        <v>5762</v>
      </c>
      <c r="C4222" s="120" t="s">
        <v>331</v>
      </c>
      <c r="D4222" s="441">
        <v>144.69999999999999</v>
      </c>
    </row>
    <row r="4223" spans="1:4" ht="31.5" customHeight="1">
      <c r="A4223" s="120">
        <v>92890</v>
      </c>
      <c r="B4223" s="119" t="s">
        <v>5763</v>
      </c>
      <c r="C4223" s="120" t="s">
        <v>331</v>
      </c>
      <c r="D4223" s="441">
        <v>218.03</v>
      </c>
    </row>
    <row r="4224" spans="1:4" ht="31.5" customHeight="1">
      <c r="A4224" s="120">
        <v>92891</v>
      </c>
      <c r="B4224" s="119" t="s">
        <v>5764</v>
      </c>
      <c r="C4224" s="120" t="s">
        <v>331</v>
      </c>
      <c r="D4224" s="441">
        <v>318.42</v>
      </c>
    </row>
    <row r="4225" spans="1:4" ht="31.5" customHeight="1">
      <c r="A4225" s="120">
        <v>92892</v>
      </c>
      <c r="B4225" s="119" t="s">
        <v>5765</v>
      </c>
      <c r="C4225" s="120" t="s">
        <v>331</v>
      </c>
      <c r="D4225" s="441">
        <v>63.52</v>
      </c>
    </row>
    <row r="4226" spans="1:4" ht="31.5" customHeight="1">
      <c r="A4226" s="120">
        <v>92893</v>
      </c>
      <c r="B4226" s="119" t="s">
        <v>5766</v>
      </c>
      <c r="C4226" s="120" t="s">
        <v>331</v>
      </c>
      <c r="D4226" s="441">
        <v>89.59</v>
      </c>
    </row>
    <row r="4227" spans="1:4" ht="31.5" customHeight="1">
      <c r="A4227" s="120">
        <v>92894</v>
      </c>
      <c r="B4227" s="119" t="s">
        <v>5767</v>
      </c>
      <c r="C4227" s="120" t="s">
        <v>331</v>
      </c>
      <c r="D4227" s="441">
        <v>106.77</v>
      </c>
    </row>
    <row r="4228" spans="1:4" ht="31.5" customHeight="1">
      <c r="A4228" s="120">
        <v>92895</v>
      </c>
      <c r="B4228" s="119" t="s">
        <v>5768</v>
      </c>
      <c r="C4228" s="120" t="s">
        <v>331</v>
      </c>
      <c r="D4228" s="441">
        <v>144.65</v>
      </c>
    </row>
    <row r="4229" spans="1:4" ht="31.5" customHeight="1">
      <c r="A4229" s="120">
        <v>92896</v>
      </c>
      <c r="B4229" s="119" t="s">
        <v>5769</v>
      </c>
      <c r="C4229" s="120" t="s">
        <v>331</v>
      </c>
      <c r="D4229" s="441">
        <v>220</v>
      </c>
    </row>
    <row r="4230" spans="1:4" ht="31.5" customHeight="1">
      <c r="A4230" s="120">
        <v>92897</v>
      </c>
      <c r="B4230" s="119" t="s">
        <v>5770</v>
      </c>
      <c r="C4230" s="120" t="s">
        <v>331</v>
      </c>
      <c r="D4230" s="441">
        <v>322.47000000000003</v>
      </c>
    </row>
    <row r="4231" spans="1:4" ht="31.5" customHeight="1">
      <c r="A4231" s="120">
        <v>92898</v>
      </c>
      <c r="B4231" s="119" t="s">
        <v>5771</v>
      </c>
      <c r="C4231" s="120" t="s">
        <v>331</v>
      </c>
      <c r="D4231" s="441">
        <v>52.59</v>
      </c>
    </row>
    <row r="4232" spans="1:4" ht="31.5" customHeight="1">
      <c r="A4232" s="120">
        <v>92899</v>
      </c>
      <c r="B4232" s="119" t="s">
        <v>5772</v>
      </c>
      <c r="C4232" s="120" t="s">
        <v>331</v>
      </c>
      <c r="D4232" s="441">
        <v>77.16</v>
      </c>
    </row>
    <row r="4233" spans="1:4" ht="31.5" customHeight="1">
      <c r="A4233" s="120">
        <v>92900</v>
      </c>
      <c r="B4233" s="119" t="s">
        <v>5773</v>
      </c>
      <c r="C4233" s="120" t="s">
        <v>331</v>
      </c>
      <c r="D4233" s="441">
        <v>92.61</v>
      </c>
    </row>
    <row r="4234" spans="1:4" ht="31.5" customHeight="1">
      <c r="A4234" s="120">
        <v>92901</v>
      </c>
      <c r="B4234" s="119" t="s">
        <v>5774</v>
      </c>
      <c r="C4234" s="120" t="s">
        <v>331</v>
      </c>
      <c r="D4234" s="441">
        <v>128.34</v>
      </c>
    </row>
    <row r="4235" spans="1:4" ht="31.5" customHeight="1">
      <c r="A4235" s="120">
        <v>92902</v>
      </c>
      <c r="B4235" s="119" t="s">
        <v>5775</v>
      </c>
      <c r="C4235" s="120" t="s">
        <v>331</v>
      </c>
      <c r="D4235" s="441">
        <v>200.47</v>
      </c>
    </row>
    <row r="4236" spans="1:4" ht="31.5" customHeight="1">
      <c r="A4236" s="120">
        <v>92903</v>
      </c>
      <c r="B4236" s="119" t="s">
        <v>5776</v>
      </c>
      <c r="C4236" s="120" t="s">
        <v>331</v>
      </c>
      <c r="D4236" s="441">
        <v>299.75</v>
      </c>
    </row>
    <row r="4237" spans="1:4" ht="31.5" customHeight="1">
      <c r="A4237" s="120">
        <v>92904</v>
      </c>
      <c r="B4237" s="119" t="s">
        <v>5777</v>
      </c>
      <c r="C4237" s="120" t="s">
        <v>331</v>
      </c>
      <c r="D4237" s="441">
        <v>35.65</v>
      </c>
    </row>
    <row r="4238" spans="1:4" ht="31.5" customHeight="1">
      <c r="A4238" s="120">
        <v>92905</v>
      </c>
      <c r="B4238" s="119" t="s">
        <v>5778</v>
      </c>
      <c r="C4238" s="120" t="s">
        <v>331</v>
      </c>
      <c r="D4238" s="441">
        <v>51.17</v>
      </c>
    </row>
    <row r="4239" spans="1:4" ht="31.5" customHeight="1">
      <c r="A4239" s="120">
        <v>92906</v>
      </c>
      <c r="B4239" s="119" t="s">
        <v>5779</v>
      </c>
      <c r="C4239" s="120" t="s">
        <v>331</v>
      </c>
      <c r="D4239" s="441">
        <v>63.06</v>
      </c>
    </row>
    <row r="4240" spans="1:4" ht="31.5" customHeight="1">
      <c r="A4240" s="120">
        <v>92907</v>
      </c>
      <c r="B4240" s="119" t="s">
        <v>5780</v>
      </c>
      <c r="C4240" s="120" t="s">
        <v>331</v>
      </c>
      <c r="D4240" s="441">
        <v>78.81</v>
      </c>
    </row>
    <row r="4241" spans="1:4" ht="31.5" customHeight="1">
      <c r="A4241" s="120">
        <v>92908</v>
      </c>
      <c r="B4241" s="119" t="s">
        <v>5781</v>
      </c>
      <c r="C4241" s="120" t="s">
        <v>331</v>
      </c>
      <c r="D4241" s="441">
        <v>78.81</v>
      </c>
    </row>
    <row r="4242" spans="1:4" ht="31.5" customHeight="1">
      <c r="A4242" s="120">
        <v>92909</v>
      </c>
      <c r="B4242" s="119" t="s">
        <v>5782</v>
      </c>
      <c r="C4242" s="120" t="s">
        <v>331</v>
      </c>
      <c r="D4242" s="441">
        <v>78.81</v>
      </c>
    </row>
    <row r="4243" spans="1:4" ht="31.5" customHeight="1">
      <c r="A4243" s="120">
        <v>92910</v>
      </c>
      <c r="B4243" s="119" t="s">
        <v>5783</v>
      </c>
      <c r="C4243" s="120" t="s">
        <v>331</v>
      </c>
      <c r="D4243" s="441">
        <v>113.09</v>
      </c>
    </row>
    <row r="4244" spans="1:4" ht="31.5" customHeight="1">
      <c r="A4244" s="120">
        <v>92911</v>
      </c>
      <c r="B4244" s="119" t="s">
        <v>5784</v>
      </c>
      <c r="C4244" s="120" t="s">
        <v>331</v>
      </c>
      <c r="D4244" s="441">
        <v>113.09</v>
      </c>
    </row>
    <row r="4245" spans="1:4" ht="31.5" customHeight="1">
      <c r="A4245" s="120">
        <v>92912</v>
      </c>
      <c r="B4245" s="119" t="s">
        <v>5785</v>
      </c>
      <c r="C4245" s="120" t="s">
        <v>331</v>
      </c>
      <c r="D4245" s="441">
        <v>150.63999999999999</v>
      </c>
    </row>
    <row r="4246" spans="1:4" ht="31.5" customHeight="1">
      <c r="A4246" s="120">
        <v>92913</v>
      </c>
      <c r="B4246" s="119" t="s">
        <v>5786</v>
      </c>
      <c r="C4246" s="120" t="s">
        <v>331</v>
      </c>
      <c r="D4246" s="441">
        <v>154</v>
      </c>
    </row>
    <row r="4247" spans="1:4" ht="31.5" customHeight="1">
      <c r="A4247" s="120">
        <v>92914</v>
      </c>
      <c r="B4247" s="119" t="s">
        <v>5787</v>
      </c>
      <c r="C4247" s="120" t="s">
        <v>331</v>
      </c>
      <c r="D4247" s="441">
        <v>154</v>
      </c>
    </row>
    <row r="4248" spans="1:4" ht="31.5" customHeight="1">
      <c r="A4248" s="120">
        <v>92918</v>
      </c>
      <c r="B4248" s="119" t="s">
        <v>5788</v>
      </c>
      <c r="C4248" s="120" t="s">
        <v>331</v>
      </c>
      <c r="D4248" s="441">
        <v>42.54</v>
      </c>
    </row>
    <row r="4249" spans="1:4" ht="31.5" customHeight="1">
      <c r="A4249" s="120">
        <v>92920</v>
      </c>
      <c r="B4249" s="119" t="s">
        <v>5789</v>
      </c>
      <c r="C4249" s="120" t="s">
        <v>331</v>
      </c>
      <c r="D4249" s="441">
        <v>42.81</v>
      </c>
    </row>
    <row r="4250" spans="1:4" ht="31.5" customHeight="1">
      <c r="A4250" s="120">
        <v>92925</v>
      </c>
      <c r="B4250" s="119" t="s">
        <v>5790</v>
      </c>
      <c r="C4250" s="120" t="s">
        <v>331</v>
      </c>
      <c r="D4250" s="441">
        <v>52.33</v>
      </c>
    </row>
    <row r="4251" spans="1:4" ht="31.5" customHeight="1">
      <c r="A4251" s="120">
        <v>92926</v>
      </c>
      <c r="B4251" s="119" t="s">
        <v>5791</v>
      </c>
      <c r="C4251" s="120" t="s">
        <v>331</v>
      </c>
      <c r="D4251" s="441">
        <v>52.32</v>
      </c>
    </row>
    <row r="4252" spans="1:4" ht="31.5" customHeight="1">
      <c r="A4252" s="120">
        <v>92927</v>
      </c>
      <c r="B4252" s="119" t="s">
        <v>5792</v>
      </c>
      <c r="C4252" s="120" t="s">
        <v>331</v>
      </c>
      <c r="D4252" s="441">
        <v>52.32</v>
      </c>
    </row>
    <row r="4253" spans="1:4" ht="31.5" customHeight="1">
      <c r="A4253" s="120">
        <v>92928</v>
      </c>
      <c r="B4253" s="119" t="s">
        <v>5793</v>
      </c>
      <c r="C4253" s="120" t="s">
        <v>331</v>
      </c>
      <c r="D4253" s="441">
        <v>59.69</v>
      </c>
    </row>
    <row r="4254" spans="1:4" ht="31.5" customHeight="1">
      <c r="A4254" s="120">
        <v>92929</v>
      </c>
      <c r="B4254" s="119" t="s">
        <v>5794</v>
      </c>
      <c r="C4254" s="120" t="s">
        <v>331</v>
      </c>
      <c r="D4254" s="441">
        <v>59.69</v>
      </c>
    </row>
    <row r="4255" spans="1:4" ht="31.5" customHeight="1">
      <c r="A4255" s="120">
        <v>92930</v>
      </c>
      <c r="B4255" s="119" t="s">
        <v>5795</v>
      </c>
      <c r="C4255" s="120" t="s">
        <v>331</v>
      </c>
      <c r="D4255" s="441">
        <v>59.69</v>
      </c>
    </row>
    <row r="4256" spans="1:4" ht="31.5" customHeight="1">
      <c r="A4256" s="120">
        <v>92931</v>
      </c>
      <c r="B4256" s="119" t="s">
        <v>5796</v>
      </c>
      <c r="C4256" s="120" t="s">
        <v>331</v>
      </c>
      <c r="D4256" s="441">
        <v>78.760000000000005</v>
      </c>
    </row>
    <row r="4257" spans="1:4" ht="31.5" customHeight="1">
      <c r="A4257" s="120">
        <v>92932</v>
      </c>
      <c r="B4257" s="119" t="s">
        <v>5797</v>
      </c>
      <c r="C4257" s="120" t="s">
        <v>331</v>
      </c>
      <c r="D4257" s="441">
        <v>78.760000000000005</v>
      </c>
    </row>
    <row r="4258" spans="1:4" ht="31.5" customHeight="1">
      <c r="A4258" s="120">
        <v>92933</v>
      </c>
      <c r="B4258" s="119" t="s">
        <v>5798</v>
      </c>
      <c r="C4258" s="120" t="s">
        <v>331</v>
      </c>
      <c r="D4258" s="441">
        <v>78.760000000000005</v>
      </c>
    </row>
    <row r="4259" spans="1:4" ht="31.5" customHeight="1">
      <c r="A4259" s="120">
        <v>92934</v>
      </c>
      <c r="B4259" s="119" t="s">
        <v>5799</v>
      </c>
      <c r="C4259" s="120" t="s">
        <v>331</v>
      </c>
      <c r="D4259" s="441">
        <v>115.06</v>
      </c>
    </row>
    <row r="4260" spans="1:4" ht="31.5" customHeight="1">
      <c r="A4260" s="120">
        <v>92935</v>
      </c>
      <c r="B4260" s="119" t="s">
        <v>5800</v>
      </c>
      <c r="C4260" s="120" t="s">
        <v>331</v>
      </c>
      <c r="D4260" s="441">
        <v>115.06</v>
      </c>
    </row>
    <row r="4261" spans="1:4" ht="31.5" customHeight="1">
      <c r="A4261" s="120">
        <v>92936</v>
      </c>
      <c r="B4261" s="119" t="s">
        <v>5801</v>
      </c>
      <c r="C4261" s="120" t="s">
        <v>331</v>
      </c>
      <c r="D4261" s="441">
        <v>158.05000000000001</v>
      </c>
    </row>
    <row r="4262" spans="1:4" ht="31.5" customHeight="1">
      <c r="A4262" s="120">
        <v>92937</v>
      </c>
      <c r="B4262" s="119" t="s">
        <v>5802</v>
      </c>
      <c r="C4262" s="120" t="s">
        <v>331</v>
      </c>
      <c r="D4262" s="441">
        <v>158.05000000000001</v>
      </c>
    </row>
    <row r="4263" spans="1:4" ht="31.5" customHeight="1">
      <c r="A4263" s="120">
        <v>92938</v>
      </c>
      <c r="B4263" s="119" t="s">
        <v>5803</v>
      </c>
      <c r="C4263" s="120" t="s">
        <v>331</v>
      </c>
      <c r="D4263" s="441">
        <v>31.61</v>
      </c>
    </row>
    <row r="4264" spans="1:4" ht="31.5" customHeight="1">
      <c r="A4264" s="120">
        <v>92939</v>
      </c>
      <c r="B4264" s="119" t="s">
        <v>5804</v>
      </c>
      <c r="C4264" s="120" t="s">
        <v>331</v>
      </c>
      <c r="D4264" s="441">
        <v>31.88</v>
      </c>
    </row>
    <row r="4265" spans="1:4" ht="31.5" customHeight="1">
      <c r="A4265" s="120">
        <v>92940</v>
      </c>
      <c r="B4265" s="119" t="s">
        <v>5805</v>
      </c>
      <c r="C4265" s="120" t="s">
        <v>331</v>
      </c>
      <c r="D4265" s="441">
        <v>39.9</v>
      </c>
    </row>
    <row r="4266" spans="1:4" ht="31.5" customHeight="1">
      <c r="A4266" s="120">
        <v>92941</v>
      </c>
      <c r="B4266" s="119" t="s">
        <v>5806</v>
      </c>
      <c r="C4266" s="120" t="s">
        <v>331</v>
      </c>
      <c r="D4266" s="441">
        <v>39.89</v>
      </c>
    </row>
    <row r="4267" spans="1:4" ht="31.5" customHeight="1">
      <c r="A4267" s="120">
        <v>92942</v>
      </c>
      <c r="B4267" s="119" t="s">
        <v>5807</v>
      </c>
      <c r="C4267" s="120" t="s">
        <v>331</v>
      </c>
      <c r="D4267" s="441">
        <v>39.89</v>
      </c>
    </row>
    <row r="4268" spans="1:4" ht="31.5" customHeight="1">
      <c r="A4268" s="120">
        <v>92943</v>
      </c>
      <c r="B4268" s="119" t="s">
        <v>5808</v>
      </c>
      <c r="C4268" s="120" t="s">
        <v>331</v>
      </c>
      <c r="D4268" s="441">
        <v>45.53</v>
      </c>
    </row>
    <row r="4269" spans="1:4" ht="31.5" customHeight="1">
      <c r="A4269" s="120">
        <v>92944</v>
      </c>
      <c r="B4269" s="119" t="s">
        <v>5809</v>
      </c>
      <c r="C4269" s="120" t="s">
        <v>331</v>
      </c>
      <c r="D4269" s="441">
        <v>45.53</v>
      </c>
    </row>
    <row r="4270" spans="1:4" ht="31.5" customHeight="1">
      <c r="A4270" s="120">
        <v>92945</v>
      </c>
      <c r="B4270" s="119" t="s">
        <v>5810</v>
      </c>
      <c r="C4270" s="120" t="s">
        <v>331</v>
      </c>
      <c r="D4270" s="441">
        <v>45.53</v>
      </c>
    </row>
    <row r="4271" spans="1:4" ht="31.5" customHeight="1">
      <c r="A4271" s="120">
        <v>92946</v>
      </c>
      <c r="B4271" s="119" t="s">
        <v>5811</v>
      </c>
      <c r="C4271" s="120" t="s">
        <v>331</v>
      </c>
      <c r="D4271" s="441">
        <v>62.45</v>
      </c>
    </row>
    <row r="4272" spans="1:4" ht="31.5" customHeight="1">
      <c r="A4272" s="120">
        <v>92947</v>
      </c>
      <c r="B4272" s="119" t="s">
        <v>5812</v>
      </c>
      <c r="C4272" s="120" t="s">
        <v>331</v>
      </c>
      <c r="D4272" s="441">
        <v>62.45</v>
      </c>
    </row>
    <row r="4273" spans="1:4" ht="31.5" customHeight="1">
      <c r="A4273" s="120">
        <v>92948</v>
      </c>
      <c r="B4273" s="119" t="s">
        <v>5813</v>
      </c>
      <c r="C4273" s="120" t="s">
        <v>331</v>
      </c>
      <c r="D4273" s="441">
        <v>62.45</v>
      </c>
    </row>
    <row r="4274" spans="1:4" ht="31.5" customHeight="1">
      <c r="A4274" s="120">
        <v>92949</v>
      </c>
      <c r="B4274" s="119" t="s">
        <v>5814</v>
      </c>
      <c r="C4274" s="120" t="s">
        <v>331</v>
      </c>
      <c r="D4274" s="441">
        <v>95.53</v>
      </c>
    </row>
    <row r="4275" spans="1:4" ht="31.5" customHeight="1">
      <c r="A4275" s="120">
        <v>92950</v>
      </c>
      <c r="B4275" s="119" t="s">
        <v>5815</v>
      </c>
      <c r="C4275" s="120" t="s">
        <v>331</v>
      </c>
      <c r="D4275" s="441">
        <v>95.53</v>
      </c>
    </row>
    <row r="4276" spans="1:4" ht="31.5" customHeight="1">
      <c r="A4276" s="120">
        <v>92951</v>
      </c>
      <c r="B4276" s="119" t="s">
        <v>5816</v>
      </c>
      <c r="C4276" s="120" t="s">
        <v>331</v>
      </c>
      <c r="D4276" s="441">
        <v>135.33000000000001</v>
      </c>
    </row>
    <row r="4277" spans="1:4" ht="31.5" customHeight="1">
      <c r="A4277" s="120">
        <v>92952</v>
      </c>
      <c r="B4277" s="119" t="s">
        <v>5817</v>
      </c>
      <c r="C4277" s="120" t="s">
        <v>331</v>
      </c>
      <c r="D4277" s="441">
        <v>135.33000000000001</v>
      </c>
    </row>
    <row r="4278" spans="1:4" ht="31.5" customHeight="1">
      <c r="A4278" s="120">
        <v>92953</v>
      </c>
      <c r="B4278" s="119" t="s">
        <v>5818</v>
      </c>
      <c r="C4278" s="120" t="s">
        <v>331</v>
      </c>
      <c r="D4278" s="441">
        <v>27.5</v>
      </c>
    </row>
    <row r="4279" spans="1:4" ht="31.5" customHeight="1">
      <c r="A4279" s="120">
        <v>93050</v>
      </c>
      <c r="B4279" s="119" t="s">
        <v>5819</v>
      </c>
      <c r="C4279" s="120" t="s">
        <v>331</v>
      </c>
      <c r="D4279" s="441">
        <v>11.52</v>
      </c>
    </row>
    <row r="4280" spans="1:4" ht="31.5" customHeight="1">
      <c r="A4280" s="120">
        <v>93052</v>
      </c>
      <c r="B4280" s="119" t="s">
        <v>5820</v>
      </c>
      <c r="C4280" s="120" t="s">
        <v>331</v>
      </c>
      <c r="D4280" s="441">
        <v>504.85</v>
      </c>
    </row>
    <row r="4281" spans="1:4" ht="31.5" customHeight="1">
      <c r="A4281" s="120">
        <v>93054</v>
      </c>
      <c r="B4281" s="119" t="s">
        <v>5821</v>
      </c>
      <c r="C4281" s="120" t="s">
        <v>331</v>
      </c>
      <c r="D4281" s="441">
        <v>22.62</v>
      </c>
    </row>
    <row r="4282" spans="1:4" ht="31.5" customHeight="1">
      <c r="A4282" s="120">
        <v>93055</v>
      </c>
      <c r="B4282" s="119" t="s">
        <v>5822</v>
      </c>
      <c r="C4282" s="120" t="s">
        <v>331</v>
      </c>
      <c r="D4282" s="441">
        <v>44.19</v>
      </c>
    </row>
    <row r="4283" spans="1:4" ht="31.5" customHeight="1">
      <c r="A4283" s="120">
        <v>93056</v>
      </c>
      <c r="B4283" s="119" t="s">
        <v>5823</v>
      </c>
      <c r="C4283" s="120" t="s">
        <v>331</v>
      </c>
      <c r="D4283" s="441">
        <v>17.11</v>
      </c>
    </row>
    <row r="4284" spans="1:4" ht="31.5" customHeight="1">
      <c r="A4284" s="120">
        <v>93057</v>
      </c>
      <c r="B4284" s="119" t="s">
        <v>5824</v>
      </c>
      <c r="C4284" s="120" t="s">
        <v>331</v>
      </c>
      <c r="D4284" s="441">
        <v>14.26</v>
      </c>
    </row>
    <row r="4285" spans="1:4" ht="31.5" customHeight="1">
      <c r="A4285" s="120">
        <v>93058</v>
      </c>
      <c r="B4285" s="119" t="s">
        <v>5825</v>
      </c>
      <c r="C4285" s="120" t="s">
        <v>331</v>
      </c>
      <c r="D4285" s="441">
        <v>555.52</v>
      </c>
    </row>
    <row r="4286" spans="1:4" ht="31.5" customHeight="1">
      <c r="A4286" s="120">
        <v>93059</v>
      </c>
      <c r="B4286" s="119" t="s">
        <v>5826</v>
      </c>
      <c r="C4286" s="120" t="s">
        <v>331</v>
      </c>
      <c r="D4286" s="441">
        <v>29.16</v>
      </c>
    </row>
    <row r="4287" spans="1:4" ht="31.5" customHeight="1">
      <c r="A4287" s="120">
        <v>93060</v>
      </c>
      <c r="B4287" s="119" t="s">
        <v>5827</v>
      </c>
      <c r="C4287" s="120" t="s">
        <v>331</v>
      </c>
      <c r="D4287" s="441">
        <v>77.180000000000007</v>
      </c>
    </row>
    <row r="4288" spans="1:4" ht="31.5" customHeight="1">
      <c r="A4288" s="120">
        <v>93061</v>
      </c>
      <c r="B4288" s="119" t="s">
        <v>5828</v>
      </c>
      <c r="C4288" s="120" t="s">
        <v>331</v>
      </c>
      <c r="D4288" s="441">
        <v>31.95</v>
      </c>
    </row>
    <row r="4289" spans="1:4" ht="31.5" customHeight="1">
      <c r="A4289" s="120">
        <v>93062</v>
      </c>
      <c r="B4289" s="119" t="s">
        <v>5829</v>
      </c>
      <c r="C4289" s="120" t="s">
        <v>331</v>
      </c>
      <c r="D4289" s="441">
        <v>27</v>
      </c>
    </row>
    <row r="4290" spans="1:4" ht="31.5" customHeight="1">
      <c r="A4290" s="120">
        <v>93063</v>
      </c>
      <c r="B4290" s="119" t="s">
        <v>5830</v>
      </c>
      <c r="C4290" s="120" t="s">
        <v>331</v>
      </c>
      <c r="D4290" s="441">
        <v>636.66999999999996</v>
      </c>
    </row>
    <row r="4291" spans="1:4" ht="31.5" customHeight="1">
      <c r="A4291" s="120">
        <v>93064</v>
      </c>
      <c r="B4291" s="119" t="s">
        <v>5831</v>
      </c>
      <c r="C4291" s="120" t="s">
        <v>331</v>
      </c>
      <c r="D4291" s="441">
        <v>48.72</v>
      </c>
    </row>
    <row r="4292" spans="1:4" ht="31.5" customHeight="1">
      <c r="A4292" s="120">
        <v>93065</v>
      </c>
      <c r="B4292" s="119" t="s">
        <v>5832</v>
      </c>
      <c r="C4292" s="120" t="s">
        <v>331</v>
      </c>
      <c r="D4292" s="441">
        <v>43.77</v>
      </c>
    </row>
    <row r="4293" spans="1:4" ht="31.5" customHeight="1">
      <c r="A4293" s="120">
        <v>93066</v>
      </c>
      <c r="B4293" s="119" t="s">
        <v>5833</v>
      </c>
      <c r="C4293" s="120" t="s">
        <v>331</v>
      </c>
      <c r="D4293" s="441">
        <v>798.94</v>
      </c>
    </row>
    <row r="4294" spans="1:4" ht="31.5" customHeight="1">
      <c r="A4294" s="120">
        <v>93067</v>
      </c>
      <c r="B4294" s="119" t="s">
        <v>5834</v>
      </c>
      <c r="C4294" s="120" t="s">
        <v>331</v>
      </c>
      <c r="D4294" s="441">
        <v>72.239999999999995</v>
      </c>
    </row>
    <row r="4295" spans="1:4" ht="31.5" customHeight="1">
      <c r="A4295" s="120">
        <v>93068</v>
      </c>
      <c r="B4295" s="119" t="s">
        <v>5835</v>
      </c>
      <c r="C4295" s="120" t="s">
        <v>331</v>
      </c>
      <c r="D4295" s="441">
        <v>61.48</v>
      </c>
    </row>
    <row r="4296" spans="1:4" ht="31.5" customHeight="1">
      <c r="A4296" s="120">
        <v>93069</v>
      </c>
      <c r="B4296" s="119" t="s">
        <v>5836</v>
      </c>
      <c r="C4296" s="120" t="s">
        <v>331</v>
      </c>
      <c r="D4296" s="442">
        <v>1107.3499999999999</v>
      </c>
    </row>
    <row r="4297" spans="1:4" ht="31.5" customHeight="1">
      <c r="A4297" s="120">
        <v>93070</v>
      </c>
      <c r="B4297" s="119" t="s">
        <v>5837</v>
      </c>
      <c r="C4297" s="120" t="s">
        <v>331</v>
      </c>
      <c r="D4297" s="441">
        <v>180.4</v>
      </c>
    </row>
    <row r="4298" spans="1:4" ht="31.5" customHeight="1">
      <c r="A4298" s="120">
        <v>93071</v>
      </c>
      <c r="B4298" s="119" t="s">
        <v>5838</v>
      </c>
      <c r="C4298" s="120" t="s">
        <v>331</v>
      </c>
      <c r="D4298" s="441">
        <v>165.82</v>
      </c>
    </row>
    <row r="4299" spans="1:4" ht="31.5" customHeight="1">
      <c r="A4299" s="120">
        <v>93072</v>
      </c>
      <c r="B4299" s="119" t="s">
        <v>5839</v>
      </c>
      <c r="C4299" s="120" t="s">
        <v>331</v>
      </c>
      <c r="D4299" s="442">
        <v>1461.28</v>
      </c>
    </row>
    <row r="4300" spans="1:4" ht="31.5" customHeight="1">
      <c r="A4300" s="120">
        <v>93074</v>
      </c>
      <c r="B4300" s="119" t="s">
        <v>5840</v>
      </c>
      <c r="C4300" s="120" t="s">
        <v>331</v>
      </c>
      <c r="D4300" s="441">
        <v>14.5</v>
      </c>
    </row>
    <row r="4301" spans="1:4" ht="31.5" customHeight="1">
      <c r="A4301" s="120">
        <v>93075</v>
      </c>
      <c r="B4301" s="119" t="s">
        <v>5841</v>
      </c>
      <c r="C4301" s="120" t="s">
        <v>331</v>
      </c>
      <c r="D4301" s="441">
        <v>20.23</v>
      </c>
    </row>
    <row r="4302" spans="1:4" ht="31.5" customHeight="1">
      <c r="A4302" s="120">
        <v>93076</v>
      </c>
      <c r="B4302" s="119" t="s">
        <v>5842</v>
      </c>
      <c r="C4302" s="120" t="s">
        <v>331</v>
      </c>
      <c r="D4302" s="441">
        <v>22.48</v>
      </c>
    </row>
    <row r="4303" spans="1:4" ht="31.5" customHeight="1">
      <c r="A4303" s="120">
        <v>93077</v>
      </c>
      <c r="B4303" s="119" t="s">
        <v>5843</v>
      </c>
      <c r="C4303" s="120" t="s">
        <v>331</v>
      </c>
      <c r="D4303" s="441">
        <v>28.28</v>
      </c>
    </row>
    <row r="4304" spans="1:4" ht="31.5" customHeight="1">
      <c r="A4304" s="120">
        <v>93078</v>
      </c>
      <c r="B4304" s="119" t="s">
        <v>5844</v>
      </c>
      <c r="C4304" s="120" t="s">
        <v>331</v>
      </c>
      <c r="D4304" s="441">
        <v>31.88</v>
      </c>
    </row>
    <row r="4305" spans="1:4" ht="31.5" customHeight="1">
      <c r="A4305" s="120">
        <v>93079</v>
      </c>
      <c r="B4305" s="119" t="s">
        <v>5845</v>
      </c>
      <c r="C4305" s="120" t="s">
        <v>331</v>
      </c>
      <c r="D4305" s="441">
        <v>30.75</v>
      </c>
    </row>
    <row r="4306" spans="1:4" ht="31.5" customHeight="1">
      <c r="A4306" s="120">
        <v>93080</v>
      </c>
      <c r="B4306" s="119" t="s">
        <v>5846</v>
      </c>
      <c r="C4306" s="120" t="s">
        <v>331</v>
      </c>
      <c r="D4306" s="441">
        <v>9.4600000000000009</v>
      </c>
    </row>
    <row r="4307" spans="1:4" ht="31.5" customHeight="1">
      <c r="A4307" s="120">
        <v>93081</v>
      </c>
      <c r="B4307" s="119" t="s">
        <v>5847</v>
      </c>
      <c r="C4307" s="120" t="s">
        <v>331</v>
      </c>
      <c r="D4307" s="441">
        <v>18.899999999999999</v>
      </c>
    </row>
    <row r="4308" spans="1:4" ht="31.5" customHeight="1">
      <c r="A4308" s="120">
        <v>93082</v>
      </c>
      <c r="B4308" s="119" t="s">
        <v>5848</v>
      </c>
      <c r="C4308" s="120" t="s">
        <v>331</v>
      </c>
      <c r="D4308" s="441">
        <v>24.32</v>
      </c>
    </row>
    <row r="4309" spans="1:4" ht="31.5" customHeight="1">
      <c r="A4309" s="120">
        <v>93083</v>
      </c>
      <c r="B4309" s="119" t="s">
        <v>5849</v>
      </c>
      <c r="C4309" s="120" t="s">
        <v>331</v>
      </c>
      <c r="D4309" s="441">
        <v>437.66</v>
      </c>
    </row>
    <row r="4310" spans="1:4" ht="31.5" customHeight="1">
      <c r="A4310" s="120">
        <v>93084</v>
      </c>
      <c r="B4310" s="119" t="s">
        <v>5850</v>
      </c>
      <c r="C4310" s="120" t="s">
        <v>331</v>
      </c>
      <c r="D4310" s="441">
        <v>14.77</v>
      </c>
    </row>
    <row r="4311" spans="1:4" ht="31.5" customHeight="1">
      <c r="A4311" s="120">
        <v>93085</v>
      </c>
      <c r="B4311" s="119" t="s">
        <v>5851</v>
      </c>
      <c r="C4311" s="120" t="s">
        <v>331</v>
      </c>
      <c r="D4311" s="441">
        <v>16.239999999999998</v>
      </c>
    </row>
    <row r="4312" spans="1:4" ht="31.5" customHeight="1">
      <c r="A4312" s="120">
        <v>93086</v>
      </c>
      <c r="B4312" s="119" t="s">
        <v>5852</v>
      </c>
      <c r="C4312" s="120" t="s">
        <v>331</v>
      </c>
      <c r="D4312" s="441">
        <v>508.1</v>
      </c>
    </row>
    <row r="4313" spans="1:4" ht="31.5" customHeight="1">
      <c r="A4313" s="120">
        <v>93087</v>
      </c>
      <c r="B4313" s="119" t="s">
        <v>5853</v>
      </c>
      <c r="C4313" s="120" t="s">
        <v>331</v>
      </c>
      <c r="D4313" s="441">
        <v>19.829999999999998</v>
      </c>
    </row>
    <row r="4314" spans="1:4" ht="31.5" customHeight="1">
      <c r="A4314" s="120">
        <v>93088</v>
      </c>
      <c r="B4314" s="119" t="s">
        <v>5854</v>
      </c>
      <c r="C4314" s="120" t="s">
        <v>331</v>
      </c>
      <c r="D4314" s="441">
        <v>24.54</v>
      </c>
    </row>
    <row r="4315" spans="1:4" ht="31.5" customHeight="1">
      <c r="A4315" s="120">
        <v>93089</v>
      </c>
      <c r="B4315" s="119" t="s">
        <v>5855</v>
      </c>
      <c r="C4315" s="120" t="s">
        <v>331</v>
      </c>
      <c r="D4315" s="441">
        <v>47.44</v>
      </c>
    </row>
    <row r="4316" spans="1:4" ht="31.5" customHeight="1">
      <c r="A4316" s="120">
        <v>93090</v>
      </c>
      <c r="B4316" s="119" t="s">
        <v>5856</v>
      </c>
      <c r="C4316" s="120" t="s">
        <v>331</v>
      </c>
      <c r="D4316" s="441">
        <v>20.12</v>
      </c>
    </row>
    <row r="4317" spans="1:4" ht="31.5" customHeight="1">
      <c r="A4317" s="120">
        <v>93091</v>
      </c>
      <c r="B4317" s="119" t="s">
        <v>5857</v>
      </c>
      <c r="C4317" s="120" t="s">
        <v>331</v>
      </c>
      <c r="D4317" s="441">
        <v>17.399999999999999</v>
      </c>
    </row>
    <row r="4318" spans="1:4" ht="31.5" customHeight="1">
      <c r="A4318" s="120">
        <v>93092</v>
      </c>
      <c r="B4318" s="119" t="s">
        <v>5858</v>
      </c>
      <c r="C4318" s="120" t="s">
        <v>331</v>
      </c>
      <c r="D4318" s="441">
        <v>558.53</v>
      </c>
    </row>
    <row r="4319" spans="1:4" ht="31.5" customHeight="1">
      <c r="A4319" s="120">
        <v>93093</v>
      </c>
      <c r="B4319" s="119" t="s">
        <v>5859</v>
      </c>
      <c r="C4319" s="120" t="s">
        <v>331</v>
      </c>
      <c r="D4319" s="441">
        <v>30.67</v>
      </c>
    </row>
    <row r="4320" spans="1:4" ht="31.5" customHeight="1">
      <c r="A4320" s="120">
        <v>93094</v>
      </c>
      <c r="B4320" s="119" t="s">
        <v>5860</v>
      </c>
      <c r="C4320" s="120" t="s">
        <v>331</v>
      </c>
      <c r="D4320" s="441">
        <v>80.19</v>
      </c>
    </row>
    <row r="4321" spans="1:4" ht="31.5" customHeight="1">
      <c r="A4321" s="120">
        <v>93097</v>
      </c>
      <c r="B4321" s="119" t="s">
        <v>5861</v>
      </c>
      <c r="C4321" s="120" t="s">
        <v>331</v>
      </c>
      <c r="D4321" s="441">
        <v>14.81</v>
      </c>
    </row>
    <row r="4322" spans="1:4" ht="31.5" customHeight="1">
      <c r="A4322" s="120">
        <v>93098</v>
      </c>
      <c r="B4322" s="119" t="s">
        <v>5862</v>
      </c>
      <c r="C4322" s="120" t="s">
        <v>331</v>
      </c>
      <c r="D4322" s="441">
        <v>20.399999999999999</v>
      </c>
    </row>
    <row r="4323" spans="1:4" ht="31.5" customHeight="1">
      <c r="A4323" s="120">
        <v>93099</v>
      </c>
      <c r="B4323" s="119" t="s">
        <v>5863</v>
      </c>
      <c r="C4323" s="120" t="s">
        <v>331</v>
      </c>
      <c r="D4323" s="441">
        <v>26.07</v>
      </c>
    </row>
    <row r="4324" spans="1:4" ht="31.5" customHeight="1">
      <c r="A4324" s="120">
        <v>93100</v>
      </c>
      <c r="B4324" s="119" t="s">
        <v>5864</v>
      </c>
      <c r="C4324" s="120" t="s">
        <v>331</v>
      </c>
      <c r="D4324" s="441">
        <v>30.08</v>
      </c>
    </row>
    <row r="4325" spans="1:4" ht="31.5" customHeight="1">
      <c r="A4325" s="120">
        <v>93101</v>
      </c>
      <c r="B4325" s="119" t="s">
        <v>5865</v>
      </c>
      <c r="C4325" s="120" t="s">
        <v>331</v>
      </c>
      <c r="D4325" s="441">
        <v>33.68</v>
      </c>
    </row>
    <row r="4326" spans="1:4" ht="31.5" customHeight="1">
      <c r="A4326" s="120">
        <v>93102</v>
      </c>
      <c r="B4326" s="119" t="s">
        <v>5866</v>
      </c>
      <c r="C4326" s="120" t="s">
        <v>331</v>
      </c>
      <c r="D4326" s="441">
        <v>37.17</v>
      </c>
    </row>
    <row r="4327" spans="1:4" ht="31.5" customHeight="1">
      <c r="A4327" s="120">
        <v>93103</v>
      </c>
      <c r="B4327" s="119" t="s">
        <v>5867</v>
      </c>
      <c r="C4327" s="120" t="s">
        <v>331</v>
      </c>
      <c r="D4327" s="441">
        <v>9.67</v>
      </c>
    </row>
    <row r="4328" spans="1:4" ht="31.5" customHeight="1">
      <c r="A4328" s="120">
        <v>93104</v>
      </c>
      <c r="B4328" s="119" t="s">
        <v>5868</v>
      </c>
      <c r="C4328" s="120" t="s">
        <v>331</v>
      </c>
      <c r="D4328" s="441">
        <v>19.010000000000002</v>
      </c>
    </row>
    <row r="4329" spans="1:4" ht="31.5" customHeight="1">
      <c r="A4329" s="120">
        <v>93105</v>
      </c>
      <c r="B4329" s="119" t="s">
        <v>5869</v>
      </c>
      <c r="C4329" s="120" t="s">
        <v>331</v>
      </c>
      <c r="D4329" s="441">
        <v>24.53</v>
      </c>
    </row>
    <row r="4330" spans="1:4" ht="31.5" customHeight="1">
      <c r="A4330" s="120">
        <v>93106</v>
      </c>
      <c r="B4330" s="119" t="s">
        <v>5870</v>
      </c>
      <c r="C4330" s="120" t="s">
        <v>331</v>
      </c>
      <c r="D4330" s="441">
        <v>437.87</v>
      </c>
    </row>
    <row r="4331" spans="1:4" ht="31.5" customHeight="1">
      <c r="A4331" s="120">
        <v>93107</v>
      </c>
      <c r="B4331" s="119" t="s">
        <v>5871</v>
      </c>
      <c r="C4331" s="120" t="s">
        <v>331</v>
      </c>
      <c r="D4331" s="441">
        <v>17.18</v>
      </c>
    </row>
    <row r="4332" spans="1:4" ht="31.5" customHeight="1">
      <c r="A4332" s="120">
        <v>93108</v>
      </c>
      <c r="B4332" s="119" t="s">
        <v>5872</v>
      </c>
      <c r="C4332" s="120" t="s">
        <v>331</v>
      </c>
      <c r="D4332" s="441">
        <v>14.44</v>
      </c>
    </row>
    <row r="4333" spans="1:4" ht="31.5" customHeight="1">
      <c r="A4333" s="120">
        <v>93109</v>
      </c>
      <c r="B4333" s="119" t="s">
        <v>5873</v>
      </c>
      <c r="C4333" s="120" t="s">
        <v>331</v>
      </c>
      <c r="D4333" s="441">
        <v>510.51</v>
      </c>
    </row>
    <row r="4334" spans="1:4" ht="31.5" customHeight="1">
      <c r="A4334" s="120">
        <v>93110</v>
      </c>
      <c r="B4334" s="119" t="s">
        <v>5874</v>
      </c>
      <c r="C4334" s="120" t="s">
        <v>331</v>
      </c>
      <c r="D4334" s="441">
        <v>21.05</v>
      </c>
    </row>
    <row r="4335" spans="1:4" ht="31.5" customHeight="1">
      <c r="A4335" s="120">
        <v>93111</v>
      </c>
      <c r="B4335" s="119" t="s">
        <v>5875</v>
      </c>
      <c r="C4335" s="120" t="s">
        <v>331</v>
      </c>
      <c r="D4335" s="441">
        <v>25.46</v>
      </c>
    </row>
    <row r="4336" spans="1:4" ht="31.5" customHeight="1">
      <c r="A4336" s="120">
        <v>93112</v>
      </c>
      <c r="B4336" s="119" t="s">
        <v>5876</v>
      </c>
      <c r="C4336" s="120" t="s">
        <v>331</v>
      </c>
      <c r="D4336" s="441">
        <v>49.85</v>
      </c>
    </row>
    <row r="4337" spans="1:4" ht="31.5" customHeight="1">
      <c r="A4337" s="120">
        <v>93113</v>
      </c>
      <c r="B4337" s="119" t="s">
        <v>5877</v>
      </c>
      <c r="C4337" s="120" t="s">
        <v>331</v>
      </c>
      <c r="D4337" s="441">
        <v>24.42</v>
      </c>
    </row>
    <row r="4338" spans="1:4" ht="31.5" customHeight="1">
      <c r="A4338" s="120">
        <v>93114</v>
      </c>
      <c r="B4338" s="119" t="s">
        <v>5878</v>
      </c>
      <c r="C4338" s="120" t="s">
        <v>331</v>
      </c>
      <c r="D4338" s="441">
        <v>32.83</v>
      </c>
    </row>
    <row r="4339" spans="1:4" ht="31.5" customHeight="1">
      <c r="A4339" s="120">
        <v>93115</v>
      </c>
      <c r="B4339" s="119" t="s">
        <v>5879</v>
      </c>
      <c r="C4339" s="120" t="s">
        <v>331</v>
      </c>
      <c r="D4339" s="441">
        <v>84.49</v>
      </c>
    </row>
    <row r="4340" spans="1:4" ht="31.5" customHeight="1">
      <c r="A4340" s="120">
        <v>93116</v>
      </c>
      <c r="B4340" s="119" t="s">
        <v>5880</v>
      </c>
      <c r="C4340" s="120" t="s">
        <v>331</v>
      </c>
      <c r="D4340" s="441">
        <v>562.83000000000004</v>
      </c>
    </row>
    <row r="4341" spans="1:4" ht="31.5" customHeight="1">
      <c r="A4341" s="120">
        <v>93117</v>
      </c>
      <c r="B4341" s="119" t="s">
        <v>5881</v>
      </c>
      <c r="C4341" s="120" t="s">
        <v>331</v>
      </c>
      <c r="D4341" s="441">
        <v>57.78</v>
      </c>
    </row>
    <row r="4342" spans="1:4" ht="31.5" customHeight="1">
      <c r="A4342" s="120">
        <v>93118</v>
      </c>
      <c r="B4342" s="119" t="s">
        <v>5882</v>
      </c>
      <c r="C4342" s="120" t="s">
        <v>331</v>
      </c>
      <c r="D4342" s="441">
        <v>85.24</v>
      </c>
    </row>
    <row r="4343" spans="1:4" ht="31.5" customHeight="1">
      <c r="A4343" s="120">
        <v>93119</v>
      </c>
      <c r="B4343" s="119" t="s">
        <v>5883</v>
      </c>
      <c r="C4343" s="120" t="s">
        <v>331</v>
      </c>
      <c r="D4343" s="441">
        <v>17.61</v>
      </c>
    </row>
    <row r="4344" spans="1:4" ht="31.5" customHeight="1">
      <c r="A4344" s="120">
        <v>93120</v>
      </c>
      <c r="B4344" s="119" t="s">
        <v>5884</v>
      </c>
      <c r="C4344" s="120" t="s">
        <v>331</v>
      </c>
      <c r="D4344" s="441">
        <v>25.85</v>
      </c>
    </row>
    <row r="4345" spans="1:4" ht="31.5" customHeight="1">
      <c r="A4345" s="120">
        <v>93121</v>
      </c>
      <c r="B4345" s="119" t="s">
        <v>5885</v>
      </c>
      <c r="C4345" s="120" t="s">
        <v>331</v>
      </c>
      <c r="D4345" s="441">
        <v>29.45</v>
      </c>
    </row>
    <row r="4346" spans="1:4" ht="31.5" customHeight="1">
      <c r="A4346" s="120">
        <v>93122</v>
      </c>
      <c r="B4346" s="119" t="s">
        <v>5886</v>
      </c>
      <c r="C4346" s="120" t="s">
        <v>331</v>
      </c>
      <c r="D4346" s="441">
        <v>26.26</v>
      </c>
    </row>
    <row r="4347" spans="1:4" ht="31.5" customHeight="1">
      <c r="A4347" s="120">
        <v>93123</v>
      </c>
      <c r="B4347" s="119" t="s">
        <v>5887</v>
      </c>
      <c r="C4347" s="120" t="s">
        <v>331</v>
      </c>
      <c r="D4347" s="441">
        <v>57.46</v>
      </c>
    </row>
    <row r="4348" spans="1:4" ht="31.5" customHeight="1">
      <c r="A4348" s="120">
        <v>93124</v>
      </c>
      <c r="B4348" s="119" t="s">
        <v>5888</v>
      </c>
      <c r="C4348" s="120" t="s">
        <v>331</v>
      </c>
      <c r="D4348" s="441">
        <v>89.7</v>
      </c>
    </row>
    <row r="4349" spans="1:4" ht="31.5" customHeight="1">
      <c r="A4349" s="120">
        <v>93125</v>
      </c>
      <c r="B4349" s="119" t="s">
        <v>5889</v>
      </c>
      <c r="C4349" s="120" t="s">
        <v>331</v>
      </c>
      <c r="D4349" s="441">
        <v>131.59</v>
      </c>
    </row>
    <row r="4350" spans="1:4" ht="31.5" customHeight="1">
      <c r="A4350" s="120">
        <v>93126</v>
      </c>
      <c r="B4350" s="119" t="s">
        <v>5890</v>
      </c>
      <c r="C4350" s="120" t="s">
        <v>331</v>
      </c>
      <c r="D4350" s="441">
        <v>288.49</v>
      </c>
    </row>
    <row r="4351" spans="1:4" ht="31.5" customHeight="1">
      <c r="A4351" s="120">
        <v>93133</v>
      </c>
      <c r="B4351" s="119" t="s">
        <v>5891</v>
      </c>
      <c r="C4351" s="120" t="s">
        <v>331</v>
      </c>
      <c r="D4351" s="441">
        <v>20.74</v>
      </c>
    </row>
    <row r="4352" spans="1:4" ht="31.5" customHeight="1">
      <c r="A4352" s="120">
        <v>94465</v>
      </c>
      <c r="B4352" s="119" t="s">
        <v>5892</v>
      </c>
      <c r="C4352" s="120" t="s">
        <v>331</v>
      </c>
      <c r="D4352" s="441">
        <v>57.51</v>
      </c>
    </row>
    <row r="4353" spans="1:4" ht="31.5" customHeight="1">
      <c r="A4353" s="120">
        <v>94466</v>
      </c>
      <c r="B4353" s="119" t="s">
        <v>5893</v>
      </c>
      <c r="C4353" s="120" t="s">
        <v>331</v>
      </c>
      <c r="D4353" s="441">
        <v>57.54</v>
      </c>
    </row>
    <row r="4354" spans="1:4" ht="31.5" customHeight="1">
      <c r="A4354" s="120">
        <v>94467</v>
      </c>
      <c r="B4354" s="119" t="s">
        <v>5894</v>
      </c>
      <c r="C4354" s="120" t="s">
        <v>331</v>
      </c>
      <c r="D4354" s="441">
        <v>87.87</v>
      </c>
    </row>
    <row r="4355" spans="1:4" ht="31.5" customHeight="1">
      <c r="A4355" s="120">
        <v>94468</v>
      </c>
      <c r="B4355" s="119" t="s">
        <v>5895</v>
      </c>
      <c r="C4355" s="120" t="s">
        <v>331</v>
      </c>
      <c r="D4355" s="441">
        <v>77.09</v>
      </c>
    </row>
    <row r="4356" spans="1:4" ht="31.5" customHeight="1">
      <c r="A4356" s="120">
        <v>94469</v>
      </c>
      <c r="B4356" s="119" t="s">
        <v>5896</v>
      </c>
      <c r="C4356" s="120" t="s">
        <v>331</v>
      </c>
      <c r="D4356" s="441">
        <v>127.24</v>
      </c>
    </row>
    <row r="4357" spans="1:4" ht="31.5" customHeight="1">
      <c r="A4357" s="120">
        <v>94470</v>
      </c>
      <c r="B4357" s="119" t="s">
        <v>5897</v>
      </c>
      <c r="C4357" s="120" t="s">
        <v>331</v>
      </c>
      <c r="D4357" s="441">
        <v>117.65</v>
      </c>
    </row>
    <row r="4358" spans="1:4" ht="47.25" customHeight="1">
      <c r="A4358" s="120">
        <v>94471</v>
      </c>
      <c r="B4358" s="119" t="s">
        <v>5898</v>
      </c>
      <c r="C4358" s="120" t="s">
        <v>331</v>
      </c>
      <c r="D4358" s="441">
        <v>83.05</v>
      </c>
    </row>
    <row r="4359" spans="1:4" ht="47.25" customHeight="1">
      <c r="A4359" s="120">
        <v>94472</v>
      </c>
      <c r="B4359" s="119" t="s">
        <v>5899</v>
      </c>
      <c r="C4359" s="120" t="s">
        <v>331</v>
      </c>
      <c r="D4359" s="441">
        <v>85.45</v>
      </c>
    </row>
    <row r="4360" spans="1:4" ht="47.25" customHeight="1">
      <c r="A4360" s="120">
        <v>94473</v>
      </c>
      <c r="B4360" s="119" t="s">
        <v>5900</v>
      </c>
      <c r="C4360" s="120" t="s">
        <v>331</v>
      </c>
      <c r="D4360" s="441">
        <v>125.94</v>
      </c>
    </row>
    <row r="4361" spans="1:4" ht="47.25" customHeight="1">
      <c r="A4361" s="120">
        <v>94474</v>
      </c>
      <c r="B4361" s="119" t="s">
        <v>5901</v>
      </c>
      <c r="C4361" s="120" t="s">
        <v>331</v>
      </c>
      <c r="D4361" s="441">
        <v>136.47999999999999</v>
      </c>
    </row>
    <row r="4362" spans="1:4" ht="47.25" customHeight="1">
      <c r="A4362" s="120">
        <v>94475</v>
      </c>
      <c r="B4362" s="119" t="s">
        <v>5902</v>
      </c>
      <c r="C4362" s="120" t="s">
        <v>331</v>
      </c>
      <c r="D4362" s="441">
        <v>172.72</v>
      </c>
    </row>
    <row r="4363" spans="1:4" ht="47.25" customHeight="1">
      <c r="A4363" s="120">
        <v>94476</v>
      </c>
      <c r="B4363" s="119" t="s">
        <v>5903</v>
      </c>
      <c r="C4363" s="120" t="s">
        <v>331</v>
      </c>
      <c r="D4363" s="441">
        <v>193.04</v>
      </c>
    </row>
    <row r="4364" spans="1:4" ht="31.5" customHeight="1">
      <c r="A4364" s="120">
        <v>94477</v>
      </c>
      <c r="B4364" s="119" t="s">
        <v>5904</v>
      </c>
      <c r="C4364" s="120" t="s">
        <v>331</v>
      </c>
      <c r="D4364" s="441">
        <v>110.54</v>
      </c>
    </row>
    <row r="4365" spans="1:4" ht="31.5" customHeight="1">
      <c r="A4365" s="120">
        <v>94478</v>
      </c>
      <c r="B4365" s="119" t="s">
        <v>5905</v>
      </c>
      <c r="C4365" s="120" t="s">
        <v>331</v>
      </c>
      <c r="D4365" s="441">
        <v>173.05</v>
      </c>
    </row>
    <row r="4366" spans="1:4" ht="31.5" customHeight="1">
      <c r="A4366" s="120">
        <v>94479</v>
      </c>
      <c r="B4366" s="119" t="s">
        <v>5906</v>
      </c>
      <c r="C4366" s="120" t="s">
        <v>331</v>
      </c>
      <c r="D4366" s="441">
        <v>228.18</v>
      </c>
    </row>
    <row r="4367" spans="1:4" ht="31.5" customHeight="1">
      <c r="A4367" s="120">
        <v>94606</v>
      </c>
      <c r="B4367" s="119" t="s">
        <v>5907</v>
      </c>
      <c r="C4367" s="120" t="s">
        <v>331</v>
      </c>
      <c r="D4367" s="441">
        <v>82.02</v>
      </c>
    </row>
    <row r="4368" spans="1:4" ht="31.5" customHeight="1">
      <c r="A4368" s="120">
        <v>94608</v>
      </c>
      <c r="B4368" s="119" t="s">
        <v>5908</v>
      </c>
      <c r="C4368" s="120" t="s">
        <v>331</v>
      </c>
      <c r="D4368" s="441">
        <v>193.66</v>
      </c>
    </row>
    <row r="4369" spans="1:4" ht="31.5" customHeight="1">
      <c r="A4369" s="120">
        <v>94610</v>
      </c>
      <c r="B4369" s="119" t="s">
        <v>5909</v>
      </c>
      <c r="C4369" s="120" t="s">
        <v>331</v>
      </c>
      <c r="D4369" s="441">
        <v>285.52</v>
      </c>
    </row>
    <row r="4370" spans="1:4" ht="31.5" customHeight="1">
      <c r="A4370" s="120">
        <v>94612</v>
      </c>
      <c r="B4370" s="119" t="s">
        <v>5910</v>
      </c>
      <c r="C4370" s="120" t="s">
        <v>331</v>
      </c>
      <c r="D4370" s="441">
        <v>398.22</v>
      </c>
    </row>
    <row r="4371" spans="1:4" ht="31.5" customHeight="1">
      <c r="A4371" s="120">
        <v>94614</v>
      </c>
      <c r="B4371" s="119" t="s">
        <v>5911</v>
      </c>
      <c r="C4371" s="120" t="s">
        <v>331</v>
      </c>
      <c r="D4371" s="441">
        <v>137.69</v>
      </c>
    </row>
    <row r="4372" spans="1:4" ht="47.25" customHeight="1">
      <c r="A4372" s="120">
        <v>94615</v>
      </c>
      <c r="B4372" s="119" t="s">
        <v>5912</v>
      </c>
      <c r="C4372" s="120" t="s">
        <v>331</v>
      </c>
      <c r="D4372" s="441">
        <v>155.21</v>
      </c>
    </row>
    <row r="4373" spans="1:4" ht="31.5" customHeight="1">
      <c r="A4373" s="120">
        <v>94616</v>
      </c>
      <c r="B4373" s="119" t="s">
        <v>5913</v>
      </c>
      <c r="C4373" s="120" t="s">
        <v>331</v>
      </c>
      <c r="D4373" s="441">
        <v>368.03</v>
      </c>
    </row>
    <row r="4374" spans="1:4" ht="47.25" customHeight="1">
      <c r="A4374" s="120">
        <v>94617</v>
      </c>
      <c r="B4374" s="119" t="s">
        <v>5914</v>
      </c>
      <c r="C4374" s="120" t="s">
        <v>331</v>
      </c>
      <c r="D4374" s="441">
        <v>307.08999999999997</v>
      </c>
    </row>
    <row r="4375" spans="1:4" ht="31.5" customHeight="1">
      <c r="A4375" s="120">
        <v>94618</v>
      </c>
      <c r="B4375" s="119" t="s">
        <v>5915</v>
      </c>
      <c r="C4375" s="120" t="s">
        <v>331</v>
      </c>
      <c r="D4375" s="441">
        <v>362.29</v>
      </c>
    </row>
    <row r="4376" spans="1:4" ht="31.5" customHeight="1">
      <c r="A4376" s="120">
        <v>94620</v>
      </c>
      <c r="B4376" s="119" t="s">
        <v>5916</v>
      </c>
      <c r="C4376" s="120" t="s">
        <v>331</v>
      </c>
      <c r="D4376" s="441">
        <v>818.1</v>
      </c>
    </row>
    <row r="4377" spans="1:4" ht="31.5" customHeight="1">
      <c r="A4377" s="120">
        <v>94622</v>
      </c>
      <c r="B4377" s="119" t="s">
        <v>5917</v>
      </c>
      <c r="C4377" s="120" t="s">
        <v>331</v>
      </c>
      <c r="D4377" s="441">
        <v>200.35</v>
      </c>
    </row>
    <row r="4378" spans="1:4" ht="31.5" customHeight="1">
      <c r="A4378" s="120">
        <v>94623</v>
      </c>
      <c r="B4378" s="119" t="s">
        <v>5918</v>
      </c>
      <c r="C4378" s="120" t="s">
        <v>331</v>
      </c>
      <c r="D4378" s="441">
        <v>456.56</v>
      </c>
    </row>
    <row r="4379" spans="1:4" ht="31.5" customHeight="1">
      <c r="A4379" s="120">
        <v>94624</v>
      </c>
      <c r="B4379" s="119" t="s">
        <v>5919</v>
      </c>
      <c r="C4379" s="120" t="s">
        <v>331</v>
      </c>
      <c r="D4379" s="441">
        <v>690.07</v>
      </c>
    </row>
    <row r="4380" spans="1:4" ht="31.5" customHeight="1">
      <c r="A4380" s="120">
        <v>94625</v>
      </c>
      <c r="B4380" s="119" t="s">
        <v>5920</v>
      </c>
      <c r="C4380" s="120" t="s">
        <v>331</v>
      </c>
      <c r="D4380" s="442">
        <v>1423.21</v>
      </c>
    </row>
    <row r="4381" spans="1:4" ht="47.25" customHeight="1">
      <c r="A4381" s="120">
        <v>94656</v>
      </c>
      <c r="B4381" s="119" t="s">
        <v>5921</v>
      </c>
      <c r="C4381" s="120" t="s">
        <v>331</v>
      </c>
      <c r="D4381" s="441">
        <v>7.5</v>
      </c>
    </row>
    <row r="4382" spans="1:4" ht="31.5" customHeight="1">
      <c r="A4382" s="120">
        <v>94657</v>
      </c>
      <c r="B4382" s="119" t="s">
        <v>5922</v>
      </c>
      <c r="C4382" s="120" t="s">
        <v>331</v>
      </c>
      <c r="D4382" s="441">
        <v>7.41</v>
      </c>
    </row>
    <row r="4383" spans="1:4" ht="47.25" customHeight="1">
      <c r="A4383" s="120">
        <v>94658</v>
      </c>
      <c r="B4383" s="119" t="s">
        <v>5923</v>
      </c>
      <c r="C4383" s="120" t="s">
        <v>331</v>
      </c>
      <c r="D4383" s="441">
        <v>8.5399999999999991</v>
      </c>
    </row>
    <row r="4384" spans="1:4" ht="31.5" customHeight="1">
      <c r="A4384" s="120">
        <v>94659</v>
      </c>
      <c r="B4384" s="119" t="s">
        <v>5924</v>
      </c>
      <c r="C4384" s="120" t="s">
        <v>331</v>
      </c>
      <c r="D4384" s="441">
        <v>8.7799999999999994</v>
      </c>
    </row>
    <row r="4385" spans="1:4" ht="47.25" customHeight="1">
      <c r="A4385" s="120">
        <v>94660</v>
      </c>
      <c r="B4385" s="119" t="s">
        <v>5925</v>
      </c>
      <c r="C4385" s="120" t="s">
        <v>331</v>
      </c>
      <c r="D4385" s="441">
        <v>14.18</v>
      </c>
    </row>
    <row r="4386" spans="1:4" ht="31.5" customHeight="1">
      <c r="A4386" s="120">
        <v>94661</v>
      </c>
      <c r="B4386" s="119" t="s">
        <v>5926</v>
      </c>
      <c r="C4386" s="120" t="s">
        <v>331</v>
      </c>
      <c r="D4386" s="441">
        <v>14.82</v>
      </c>
    </row>
    <row r="4387" spans="1:4" ht="47.25" customHeight="1">
      <c r="A4387" s="120">
        <v>94662</v>
      </c>
      <c r="B4387" s="119" t="s">
        <v>5927</v>
      </c>
      <c r="C4387" s="120" t="s">
        <v>331</v>
      </c>
      <c r="D4387" s="441">
        <v>15.06</v>
      </c>
    </row>
    <row r="4388" spans="1:4" ht="31.5" customHeight="1">
      <c r="A4388" s="120">
        <v>94663</v>
      </c>
      <c r="B4388" s="119" t="s">
        <v>5928</v>
      </c>
      <c r="C4388" s="120" t="s">
        <v>331</v>
      </c>
      <c r="D4388" s="441">
        <v>14.94</v>
      </c>
    </row>
    <row r="4389" spans="1:4" ht="47.25" customHeight="1">
      <c r="A4389" s="120">
        <v>94664</v>
      </c>
      <c r="B4389" s="119" t="s">
        <v>5929</v>
      </c>
      <c r="C4389" s="120" t="s">
        <v>331</v>
      </c>
      <c r="D4389" s="441">
        <v>30.91</v>
      </c>
    </row>
    <row r="4390" spans="1:4" ht="31.5" customHeight="1">
      <c r="A4390" s="120">
        <v>94665</v>
      </c>
      <c r="B4390" s="119" t="s">
        <v>5930</v>
      </c>
      <c r="C4390" s="120" t="s">
        <v>331</v>
      </c>
      <c r="D4390" s="441">
        <v>33.450000000000003</v>
      </c>
    </row>
    <row r="4391" spans="1:4" ht="47.25" customHeight="1">
      <c r="A4391" s="120">
        <v>94666</v>
      </c>
      <c r="B4391" s="119" t="s">
        <v>5931</v>
      </c>
      <c r="C4391" s="120" t="s">
        <v>331</v>
      </c>
      <c r="D4391" s="441">
        <v>40.53</v>
      </c>
    </row>
    <row r="4392" spans="1:4" ht="31.5" customHeight="1">
      <c r="A4392" s="120">
        <v>94667</v>
      </c>
      <c r="B4392" s="119" t="s">
        <v>5932</v>
      </c>
      <c r="C4392" s="120" t="s">
        <v>331</v>
      </c>
      <c r="D4392" s="441">
        <v>40.64</v>
      </c>
    </row>
    <row r="4393" spans="1:4" ht="47.25" customHeight="1">
      <c r="A4393" s="120">
        <v>94668</v>
      </c>
      <c r="B4393" s="119" t="s">
        <v>5933</v>
      </c>
      <c r="C4393" s="120" t="s">
        <v>331</v>
      </c>
      <c r="D4393" s="441">
        <v>63.45</v>
      </c>
    </row>
    <row r="4394" spans="1:4" ht="31.5" customHeight="1">
      <c r="A4394" s="120">
        <v>94669</v>
      </c>
      <c r="B4394" s="119" t="s">
        <v>5934</v>
      </c>
      <c r="C4394" s="120" t="s">
        <v>331</v>
      </c>
      <c r="D4394" s="441">
        <v>83.28</v>
      </c>
    </row>
    <row r="4395" spans="1:4" ht="47.25" customHeight="1">
      <c r="A4395" s="120">
        <v>94670</v>
      </c>
      <c r="B4395" s="119" t="s">
        <v>5935</v>
      </c>
      <c r="C4395" s="120" t="s">
        <v>331</v>
      </c>
      <c r="D4395" s="441">
        <v>82.59</v>
      </c>
    </row>
    <row r="4396" spans="1:4" ht="31.5" customHeight="1">
      <c r="A4396" s="120">
        <v>94671</v>
      </c>
      <c r="B4396" s="119" t="s">
        <v>5936</v>
      </c>
      <c r="C4396" s="120" t="s">
        <v>331</v>
      </c>
      <c r="D4396" s="441">
        <v>118.88</v>
      </c>
    </row>
    <row r="4397" spans="1:4" ht="31.5" customHeight="1">
      <c r="A4397" s="120">
        <v>94672</v>
      </c>
      <c r="B4397" s="119" t="s">
        <v>5937</v>
      </c>
      <c r="C4397" s="120" t="s">
        <v>331</v>
      </c>
      <c r="D4397" s="441">
        <v>11.6</v>
      </c>
    </row>
    <row r="4398" spans="1:4" ht="31.5" customHeight="1">
      <c r="A4398" s="120">
        <v>94673</v>
      </c>
      <c r="B4398" s="119" t="s">
        <v>5938</v>
      </c>
      <c r="C4398" s="120" t="s">
        <v>331</v>
      </c>
      <c r="D4398" s="441">
        <v>12.25</v>
      </c>
    </row>
    <row r="4399" spans="1:4" ht="31.5" customHeight="1">
      <c r="A4399" s="120">
        <v>94674</v>
      </c>
      <c r="B4399" s="119" t="s">
        <v>5939</v>
      </c>
      <c r="C4399" s="120" t="s">
        <v>331</v>
      </c>
      <c r="D4399" s="441">
        <v>11.6</v>
      </c>
    </row>
    <row r="4400" spans="1:4" ht="31.5" customHeight="1">
      <c r="A4400" s="120">
        <v>94675</v>
      </c>
      <c r="B4400" s="119" t="s">
        <v>5940</v>
      </c>
      <c r="C4400" s="120" t="s">
        <v>331</v>
      </c>
      <c r="D4400" s="441">
        <v>16.29</v>
      </c>
    </row>
    <row r="4401" spans="1:4" ht="31.5" customHeight="1">
      <c r="A4401" s="120">
        <v>94676</v>
      </c>
      <c r="B4401" s="119" t="s">
        <v>5941</v>
      </c>
      <c r="C4401" s="120" t="s">
        <v>331</v>
      </c>
      <c r="D4401" s="441">
        <v>20.03</v>
      </c>
    </row>
    <row r="4402" spans="1:4" ht="31.5" customHeight="1">
      <c r="A4402" s="120">
        <v>94677</v>
      </c>
      <c r="B4402" s="119" t="s">
        <v>5942</v>
      </c>
      <c r="C4402" s="120" t="s">
        <v>331</v>
      </c>
      <c r="D4402" s="441">
        <v>27.15</v>
      </c>
    </row>
    <row r="4403" spans="1:4" ht="31.5" customHeight="1">
      <c r="A4403" s="120">
        <v>94678</v>
      </c>
      <c r="B4403" s="119" t="s">
        <v>5943</v>
      </c>
      <c r="C4403" s="120" t="s">
        <v>331</v>
      </c>
      <c r="D4403" s="441">
        <v>18.98</v>
      </c>
    </row>
    <row r="4404" spans="1:4" ht="31.5" customHeight="1">
      <c r="A4404" s="120">
        <v>94679</v>
      </c>
      <c r="B4404" s="119" t="s">
        <v>5944</v>
      </c>
      <c r="C4404" s="120" t="s">
        <v>331</v>
      </c>
      <c r="D4404" s="441">
        <v>28.34</v>
      </c>
    </row>
    <row r="4405" spans="1:4" ht="31.5" customHeight="1">
      <c r="A4405" s="120">
        <v>94680</v>
      </c>
      <c r="B4405" s="119" t="s">
        <v>5945</v>
      </c>
      <c r="C4405" s="120" t="s">
        <v>331</v>
      </c>
      <c r="D4405" s="441">
        <v>56.92</v>
      </c>
    </row>
    <row r="4406" spans="1:4" ht="31.5" customHeight="1">
      <c r="A4406" s="120">
        <v>94681</v>
      </c>
      <c r="B4406" s="119" t="s">
        <v>5946</v>
      </c>
      <c r="C4406" s="120" t="s">
        <v>331</v>
      </c>
      <c r="D4406" s="441">
        <v>62.91</v>
      </c>
    </row>
    <row r="4407" spans="1:4" ht="31.5" customHeight="1">
      <c r="A4407" s="120">
        <v>94682</v>
      </c>
      <c r="B4407" s="119" t="s">
        <v>5947</v>
      </c>
      <c r="C4407" s="120" t="s">
        <v>331</v>
      </c>
      <c r="D4407" s="441">
        <v>122.55</v>
      </c>
    </row>
    <row r="4408" spans="1:4" ht="31.5" customHeight="1">
      <c r="A4408" s="120">
        <v>94683</v>
      </c>
      <c r="B4408" s="119" t="s">
        <v>5948</v>
      </c>
      <c r="C4408" s="120" t="s">
        <v>331</v>
      </c>
      <c r="D4408" s="441">
        <v>84.15</v>
      </c>
    </row>
    <row r="4409" spans="1:4" ht="31.5" customHeight="1">
      <c r="A4409" s="120">
        <v>94684</v>
      </c>
      <c r="B4409" s="119" t="s">
        <v>5949</v>
      </c>
      <c r="C4409" s="120" t="s">
        <v>331</v>
      </c>
      <c r="D4409" s="441">
        <v>160.38</v>
      </c>
    </row>
    <row r="4410" spans="1:4" ht="31.5" customHeight="1">
      <c r="A4410" s="120">
        <v>94685</v>
      </c>
      <c r="B4410" s="119" t="s">
        <v>5950</v>
      </c>
      <c r="C4410" s="120" t="s">
        <v>331</v>
      </c>
      <c r="D4410" s="441">
        <v>119.67</v>
      </c>
    </row>
    <row r="4411" spans="1:4" ht="31.5" customHeight="1">
      <c r="A4411" s="120">
        <v>94686</v>
      </c>
      <c r="B4411" s="119" t="s">
        <v>5951</v>
      </c>
      <c r="C4411" s="120" t="s">
        <v>331</v>
      </c>
      <c r="D4411" s="441">
        <v>282.2</v>
      </c>
    </row>
    <row r="4412" spans="1:4" ht="31.5" customHeight="1">
      <c r="A4412" s="120">
        <v>94687</v>
      </c>
      <c r="B4412" s="119" t="s">
        <v>5952</v>
      </c>
      <c r="C4412" s="120" t="s">
        <v>331</v>
      </c>
      <c r="D4412" s="441">
        <v>255.18</v>
      </c>
    </row>
    <row r="4413" spans="1:4" ht="31.5" customHeight="1">
      <c r="A4413" s="120">
        <v>94688</v>
      </c>
      <c r="B4413" s="119" t="s">
        <v>5953</v>
      </c>
      <c r="C4413" s="120" t="s">
        <v>331</v>
      </c>
      <c r="D4413" s="441">
        <v>13.28</v>
      </c>
    </row>
    <row r="4414" spans="1:4" ht="47.25" customHeight="1">
      <c r="A4414" s="120">
        <v>94689</v>
      </c>
      <c r="B4414" s="119" t="s">
        <v>5954</v>
      </c>
      <c r="C4414" s="120" t="s">
        <v>331</v>
      </c>
      <c r="D4414" s="441">
        <v>16.8</v>
      </c>
    </row>
    <row r="4415" spans="1:4" ht="31.5" customHeight="1">
      <c r="A4415" s="120">
        <v>94690</v>
      </c>
      <c r="B4415" s="119" t="s">
        <v>5955</v>
      </c>
      <c r="C4415" s="120" t="s">
        <v>331</v>
      </c>
      <c r="D4415" s="441">
        <v>16.27</v>
      </c>
    </row>
    <row r="4416" spans="1:4" ht="31.5" customHeight="1">
      <c r="A4416" s="120">
        <v>94691</v>
      </c>
      <c r="B4416" s="119" t="s">
        <v>5956</v>
      </c>
      <c r="C4416" s="120" t="s">
        <v>331</v>
      </c>
      <c r="D4416" s="441">
        <v>19.649999999999999</v>
      </c>
    </row>
    <row r="4417" spans="1:4" ht="31.5" customHeight="1">
      <c r="A4417" s="120">
        <v>94692</v>
      </c>
      <c r="B4417" s="119" t="s">
        <v>5957</v>
      </c>
      <c r="C4417" s="120" t="s">
        <v>331</v>
      </c>
      <c r="D4417" s="441">
        <v>28.82</v>
      </c>
    </row>
    <row r="4418" spans="1:4" ht="31.5" customHeight="1">
      <c r="A4418" s="120">
        <v>94693</v>
      </c>
      <c r="B4418" s="119" t="s">
        <v>5958</v>
      </c>
      <c r="C4418" s="120" t="s">
        <v>331</v>
      </c>
      <c r="D4418" s="441">
        <v>28.17</v>
      </c>
    </row>
    <row r="4419" spans="1:4" ht="31.5" customHeight="1">
      <c r="A4419" s="120">
        <v>94694</v>
      </c>
      <c r="B4419" s="119" t="s">
        <v>5959</v>
      </c>
      <c r="C4419" s="120" t="s">
        <v>331</v>
      </c>
      <c r="D4419" s="441">
        <v>29.31</v>
      </c>
    </row>
    <row r="4420" spans="1:4" ht="31.5" customHeight="1">
      <c r="A4420" s="120">
        <v>94695</v>
      </c>
      <c r="B4420" s="119" t="s">
        <v>5960</v>
      </c>
      <c r="C4420" s="120" t="s">
        <v>331</v>
      </c>
      <c r="D4420" s="441">
        <v>39.130000000000003</v>
      </c>
    </row>
    <row r="4421" spans="1:4" ht="31.5" customHeight="1">
      <c r="A4421" s="120">
        <v>94696</v>
      </c>
      <c r="B4421" s="119" t="s">
        <v>5961</v>
      </c>
      <c r="C4421" s="120" t="s">
        <v>331</v>
      </c>
      <c r="D4421" s="441">
        <v>68.31</v>
      </c>
    </row>
    <row r="4422" spans="1:4" ht="31.5" customHeight="1">
      <c r="A4422" s="120">
        <v>94697</v>
      </c>
      <c r="B4422" s="119" t="s">
        <v>5962</v>
      </c>
      <c r="C4422" s="120" t="s">
        <v>331</v>
      </c>
      <c r="D4422" s="441">
        <v>99.1</v>
      </c>
    </row>
    <row r="4423" spans="1:4" ht="31.5" customHeight="1">
      <c r="A4423" s="120">
        <v>94698</v>
      </c>
      <c r="B4423" s="119" t="s">
        <v>5963</v>
      </c>
      <c r="C4423" s="120" t="s">
        <v>331</v>
      </c>
      <c r="D4423" s="441">
        <v>81.84</v>
      </c>
    </row>
    <row r="4424" spans="1:4" ht="31.5" customHeight="1">
      <c r="A4424" s="120">
        <v>94699</v>
      </c>
      <c r="B4424" s="119" t="s">
        <v>5964</v>
      </c>
      <c r="C4424" s="120" t="s">
        <v>331</v>
      </c>
      <c r="D4424" s="441">
        <v>148.68</v>
      </c>
    </row>
    <row r="4425" spans="1:4" ht="31.5" customHeight="1">
      <c r="A4425" s="120">
        <v>94700</v>
      </c>
      <c r="B4425" s="119" t="s">
        <v>5965</v>
      </c>
      <c r="C4425" s="120" t="s">
        <v>331</v>
      </c>
      <c r="D4425" s="441">
        <v>172.32</v>
      </c>
    </row>
    <row r="4426" spans="1:4" ht="31.5" customHeight="1">
      <c r="A4426" s="120">
        <v>94701</v>
      </c>
      <c r="B4426" s="119" t="s">
        <v>5966</v>
      </c>
      <c r="C4426" s="120" t="s">
        <v>331</v>
      </c>
      <c r="D4426" s="441">
        <v>252.86</v>
      </c>
    </row>
    <row r="4427" spans="1:4" ht="31.5" customHeight="1">
      <c r="A4427" s="120">
        <v>94702</v>
      </c>
      <c r="B4427" s="119" t="s">
        <v>5967</v>
      </c>
      <c r="C4427" s="120" t="s">
        <v>331</v>
      </c>
      <c r="D4427" s="441">
        <v>223.46</v>
      </c>
    </row>
    <row r="4428" spans="1:4" ht="47.25" customHeight="1">
      <c r="A4428" s="120">
        <v>94703</v>
      </c>
      <c r="B4428" s="119" t="s">
        <v>5968</v>
      </c>
      <c r="C4428" s="120" t="s">
        <v>331</v>
      </c>
      <c r="D4428" s="441">
        <v>24.25</v>
      </c>
    </row>
    <row r="4429" spans="1:4" ht="47.25" customHeight="1">
      <c r="A4429" s="120">
        <v>94704</v>
      </c>
      <c r="B4429" s="119" t="s">
        <v>5969</v>
      </c>
      <c r="C4429" s="120" t="s">
        <v>331</v>
      </c>
      <c r="D4429" s="441">
        <v>31.48</v>
      </c>
    </row>
    <row r="4430" spans="1:4" ht="47.25" customHeight="1">
      <c r="A4430" s="120">
        <v>94705</v>
      </c>
      <c r="B4430" s="119" t="s">
        <v>5970</v>
      </c>
      <c r="C4430" s="120" t="s">
        <v>331</v>
      </c>
      <c r="D4430" s="441">
        <v>42.19</v>
      </c>
    </row>
    <row r="4431" spans="1:4" ht="47.25" customHeight="1">
      <c r="A4431" s="120">
        <v>94706</v>
      </c>
      <c r="B4431" s="119" t="s">
        <v>5971</v>
      </c>
      <c r="C4431" s="120" t="s">
        <v>331</v>
      </c>
      <c r="D4431" s="441">
        <v>50.17</v>
      </c>
    </row>
    <row r="4432" spans="1:4" ht="47.25" customHeight="1">
      <c r="A4432" s="120">
        <v>94707</v>
      </c>
      <c r="B4432" s="119" t="s">
        <v>5972</v>
      </c>
      <c r="C4432" s="120" t="s">
        <v>331</v>
      </c>
      <c r="D4432" s="441">
        <v>72.959999999999994</v>
      </c>
    </row>
    <row r="4433" spans="1:4" ht="31.5" customHeight="1">
      <c r="A4433" s="120">
        <v>94713</v>
      </c>
      <c r="B4433" s="119" t="s">
        <v>5973</v>
      </c>
      <c r="C4433" s="120" t="s">
        <v>331</v>
      </c>
      <c r="D4433" s="441">
        <v>275.42</v>
      </c>
    </row>
    <row r="4434" spans="1:4" ht="31.5" customHeight="1">
      <c r="A4434" s="120">
        <v>94714</v>
      </c>
      <c r="B4434" s="119" t="s">
        <v>5974</v>
      </c>
      <c r="C4434" s="120" t="s">
        <v>331</v>
      </c>
      <c r="D4434" s="441">
        <v>382.15</v>
      </c>
    </row>
    <row r="4435" spans="1:4" ht="31.5" customHeight="1">
      <c r="A4435" s="120">
        <v>94715</v>
      </c>
      <c r="B4435" s="119" t="s">
        <v>5975</v>
      </c>
      <c r="C4435" s="120" t="s">
        <v>331</v>
      </c>
      <c r="D4435" s="441">
        <v>337.72</v>
      </c>
    </row>
    <row r="4436" spans="1:4" ht="31.5" customHeight="1">
      <c r="A4436" s="120">
        <v>94724</v>
      </c>
      <c r="B4436" s="119" t="s">
        <v>5976</v>
      </c>
      <c r="C4436" s="120" t="s">
        <v>331</v>
      </c>
      <c r="D4436" s="441">
        <v>27.33</v>
      </c>
    </row>
    <row r="4437" spans="1:4" ht="31.5" customHeight="1">
      <c r="A4437" s="120">
        <v>94725</v>
      </c>
      <c r="B4437" s="119" t="s">
        <v>5977</v>
      </c>
      <c r="C4437" s="120" t="s">
        <v>331</v>
      </c>
      <c r="D4437" s="441">
        <v>7.35</v>
      </c>
    </row>
    <row r="4438" spans="1:4" ht="31.5" customHeight="1">
      <c r="A4438" s="120">
        <v>94726</v>
      </c>
      <c r="B4438" s="119" t="s">
        <v>5978</v>
      </c>
      <c r="C4438" s="120" t="s">
        <v>331</v>
      </c>
      <c r="D4438" s="441">
        <v>33.799999999999997</v>
      </c>
    </row>
    <row r="4439" spans="1:4" ht="31.5" customHeight="1">
      <c r="A4439" s="120">
        <v>94727</v>
      </c>
      <c r="B4439" s="119" t="s">
        <v>5979</v>
      </c>
      <c r="C4439" s="120" t="s">
        <v>331</v>
      </c>
      <c r="D4439" s="441">
        <v>10.32</v>
      </c>
    </row>
    <row r="4440" spans="1:4" ht="31.5" customHeight="1">
      <c r="A4440" s="120">
        <v>94728</v>
      </c>
      <c r="B4440" s="119" t="s">
        <v>5980</v>
      </c>
      <c r="C4440" s="120" t="s">
        <v>331</v>
      </c>
      <c r="D4440" s="441">
        <v>52.87</v>
      </c>
    </row>
    <row r="4441" spans="1:4" ht="31.5" customHeight="1">
      <c r="A4441" s="120">
        <v>94729</v>
      </c>
      <c r="B4441" s="119" t="s">
        <v>5981</v>
      </c>
      <c r="C4441" s="120" t="s">
        <v>331</v>
      </c>
      <c r="D4441" s="441">
        <v>18.670000000000002</v>
      </c>
    </row>
    <row r="4442" spans="1:4" ht="31.5" customHeight="1">
      <c r="A4442" s="120">
        <v>94730</v>
      </c>
      <c r="B4442" s="119" t="s">
        <v>5982</v>
      </c>
      <c r="C4442" s="120" t="s">
        <v>331</v>
      </c>
      <c r="D4442" s="441">
        <v>63.23</v>
      </c>
    </row>
    <row r="4443" spans="1:4" ht="31.5" customHeight="1">
      <c r="A4443" s="120">
        <v>94731</v>
      </c>
      <c r="B4443" s="119" t="s">
        <v>5983</v>
      </c>
      <c r="C4443" s="120" t="s">
        <v>331</v>
      </c>
      <c r="D4443" s="441">
        <v>23.28</v>
      </c>
    </row>
    <row r="4444" spans="1:4" ht="31.5" customHeight="1">
      <c r="A4444" s="120">
        <v>94732</v>
      </c>
      <c r="B4444" s="119" t="s">
        <v>5984</v>
      </c>
      <c r="C4444" s="120" t="s">
        <v>331</v>
      </c>
      <c r="D4444" s="441">
        <v>103.46</v>
      </c>
    </row>
    <row r="4445" spans="1:4" ht="31.5" customHeight="1">
      <c r="A4445" s="120">
        <v>94733</v>
      </c>
      <c r="B4445" s="119" t="s">
        <v>5985</v>
      </c>
      <c r="C4445" s="120" t="s">
        <v>331</v>
      </c>
      <c r="D4445" s="441">
        <v>44.2</v>
      </c>
    </row>
    <row r="4446" spans="1:4" ht="31.5" customHeight="1">
      <c r="A4446" s="120">
        <v>94734</v>
      </c>
      <c r="B4446" s="119" t="s">
        <v>5986</v>
      </c>
      <c r="C4446" s="120" t="s">
        <v>331</v>
      </c>
      <c r="D4446" s="441">
        <v>366.91</v>
      </c>
    </row>
    <row r="4447" spans="1:4" ht="31.5" customHeight="1">
      <c r="A4447" s="120">
        <v>94736</v>
      </c>
      <c r="B4447" s="119" t="s">
        <v>5987</v>
      </c>
      <c r="C4447" s="120" t="s">
        <v>331</v>
      </c>
      <c r="D4447" s="441">
        <v>538.30999999999995</v>
      </c>
    </row>
    <row r="4448" spans="1:4" ht="31.5" customHeight="1">
      <c r="A4448" s="120">
        <v>94737</v>
      </c>
      <c r="B4448" s="119" t="s">
        <v>5988</v>
      </c>
      <c r="C4448" s="120" t="s">
        <v>331</v>
      </c>
      <c r="D4448" s="441">
        <v>182.31</v>
      </c>
    </row>
    <row r="4449" spans="1:4" ht="31.5" customHeight="1">
      <c r="A4449" s="120">
        <v>94738</v>
      </c>
      <c r="B4449" s="119" t="s">
        <v>5989</v>
      </c>
      <c r="C4449" s="120" t="s">
        <v>331</v>
      </c>
      <c r="D4449" s="442">
        <v>1605.3</v>
      </c>
    </row>
    <row r="4450" spans="1:4" ht="31.5" customHeight="1">
      <c r="A4450" s="120">
        <v>94739</v>
      </c>
      <c r="B4450" s="119" t="s">
        <v>5990</v>
      </c>
      <c r="C4450" s="120" t="s">
        <v>331</v>
      </c>
      <c r="D4450" s="441">
        <v>208.43</v>
      </c>
    </row>
    <row r="4451" spans="1:4" ht="31.5" customHeight="1">
      <c r="A4451" s="120">
        <v>94740</v>
      </c>
      <c r="B4451" s="119" t="s">
        <v>5991</v>
      </c>
      <c r="C4451" s="120" t="s">
        <v>331</v>
      </c>
      <c r="D4451" s="441">
        <v>11.43</v>
      </c>
    </row>
    <row r="4452" spans="1:4" ht="31.5" customHeight="1">
      <c r="A4452" s="120">
        <v>94741</v>
      </c>
      <c r="B4452" s="119" t="s">
        <v>5992</v>
      </c>
      <c r="C4452" s="120" t="s">
        <v>331</v>
      </c>
      <c r="D4452" s="441">
        <v>14.33</v>
      </c>
    </row>
    <row r="4453" spans="1:4" ht="31.5" customHeight="1">
      <c r="A4453" s="120">
        <v>94742</v>
      </c>
      <c r="B4453" s="119" t="s">
        <v>5993</v>
      </c>
      <c r="C4453" s="120" t="s">
        <v>331</v>
      </c>
      <c r="D4453" s="441">
        <v>16.350000000000001</v>
      </c>
    </row>
    <row r="4454" spans="1:4" ht="31.5" customHeight="1">
      <c r="A4454" s="120">
        <v>94743</v>
      </c>
      <c r="B4454" s="119" t="s">
        <v>5994</v>
      </c>
      <c r="C4454" s="120" t="s">
        <v>331</v>
      </c>
      <c r="D4454" s="441">
        <v>20.71</v>
      </c>
    </row>
    <row r="4455" spans="1:4" ht="31.5" customHeight="1">
      <c r="A4455" s="120">
        <v>94744</v>
      </c>
      <c r="B4455" s="119" t="s">
        <v>5995</v>
      </c>
      <c r="C4455" s="120" t="s">
        <v>331</v>
      </c>
      <c r="D4455" s="441">
        <v>26.24</v>
      </c>
    </row>
    <row r="4456" spans="1:4" ht="31.5" customHeight="1">
      <c r="A4456" s="120">
        <v>94746</v>
      </c>
      <c r="B4456" s="119" t="s">
        <v>5996</v>
      </c>
      <c r="C4456" s="120" t="s">
        <v>331</v>
      </c>
      <c r="D4456" s="441">
        <v>35.29</v>
      </c>
    </row>
    <row r="4457" spans="1:4" ht="31.5" customHeight="1">
      <c r="A4457" s="120">
        <v>94748</v>
      </c>
      <c r="B4457" s="119" t="s">
        <v>5997</v>
      </c>
      <c r="C4457" s="120" t="s">
        <v>331</v>
      </c>
      <c r="D4457" s="441">
        <v>82.2</v>
      </c>
    </row>
    <row r="4458" spans="1:4" ht="31.5" customHeight="1">
      <c r="A4458" s="120">
        <v>94750</v>
      </c>
      <c r="B4458" s="119" t="s">
        <v>5998</v>
      </c>
      <c r="C4458" s="120" t="s">
        <v>331</v>
      </c>
      <c r="D4458" s="441">
        <v>158.04</v>
      </c>
    </row>
    <row r="4459" spans="1:4" ht="31.5" customHeight="1">
      <c r="A4459" s="120">
        <v>94752</v>
      </c>
      <c r="B4459" s="119" t="s">
        <v>5999</v>
      </c>
      <c r="C4459" s="120" t="s">
        <v>331</v>
      </c>
      <c r="D4459" s="441">
        <v>195.4</v>
      </c>
    </row>
    <row r="4460" spans="1:4" ht="31.5" customHeight="1">
      <c r="A4460" s="120">
        <v>94754</v>
      </c>
      <c r="B4460" s="119" t="s">
        <v>6000</v>
      </c>
      <c r="C4460" s="120" t="s">
        <v>331</v>
      </c>
      <c r="D4460" s="441">
        <v>259.82</v>
      </c>
    </row>
    <row r="4461" spans="1:4" ht="31.5" customHeight="1">
      <c r="A4461" s="120">
        <v>94756</v>
      </c>
      <c r="B4461" s="119" t="s">
        <v>6001</v>
      </c>
      <c r="C4461" s="120" t="s">
        <v>331</v>
      </c>
      <c r="D4461" s="441">
        <v>14.42</v>
      </c>
    </row>
    <row r="4462" spans="1:4" ht="31.5" customHeight="1">
      <c r="A4462" s="120">
        <v>94757</v>
      </c>
      <c r="B4462" s="119" t="s">
        <v>6002</v>
      </c>
      <c r="C4462" s="120" t="s">
        <v>331</v>
      </c>
      <c r="D4462" s="441">
        <v>19.36</v>
      </c>
    </row>
    <row r="4463" spans="1:4" ht="31.5" customHeight="1">
      <c r="A4463" s="120">
        <v>94758</v>
      </c>
      <c r="B4463" s="119" t="s">
        <v>6003</v>
      </c>
      <c r="C4463" s="120" t="s">
        <v>331</v>
      </c>
      <c r="D4463" s="441">
        <v>50.36</v>
      </c>
    </row>
    <row r="4464" spans="1:4" ht="31.5" customHeight="1">
      <c r="A4464" s="120">
        <v>94759</v>
      </c>
      <c r="B4464" s="119" t="s">
        <v>6004</v>
      </c>
      <c r="C4464" s="120" t="s">
        <v>331</v>
      </c>
      <c r="D4464" s="441">
        <v>61.07</v>
      </c>
    </row>
    <row r="4465" spans="1:4" ht="31.5" customHeight="1">
      <c r="A4465" s="120">
        <v>94760</v>
      </c>
      <c r="B4465" s="119" t="s">
        <v>6005</v>
      </c>
      <c r="C4465" s="120" t="s">
        <v>331</v>
      </c>
      <c r="D4465" s="441">
        <v>102.58</v>
      </c>
    </row>
    <row r="4466" spans="1:4" ht="31.5" customHeight="1">
      <c r="A4466" s="120">
        <v>94761</v>
      </c>
      <c r="B4466" s="119" t="s">
        <v>6006</v>
      </c>
      <c r="C4466" s="120" t="s">
        <v>331</v>
      </c>
      <c r="D4466" s="441">
        <v>211.61</v>
      </c>
    </row>
    <row r="4467" spans="1:4" ht="31.5" customHeight="1">
      <c r="A4467" s="120">
        <v>94762</v>
      </c>
      <c r="B4467" s="119" t="s">
        <v>6007</v>
      </c>
      <c r="C4467" s="120" t="s">
        <v>331</v>
      </c>
      <c r="D4467" s="441">
        <v>263.51</v>
      </c>
    </row>
    <row r="4468" spans="1:4" ht="31.5" customHeight="1">
      <c r="A4468" s="120">
        <v>94763</v>
      </c>
      <c r="B4468" s="119" t="s">
        <v>6008</v>
      </c>
      <c r="C4468" s="120" t="s">
        <v>331</v>
      </c>
      <c r="D4468" s="441">
        <v>318.45</v>
      </c>
    </row>
    <row r="4469" spans="1:4" ht="47.25" customHeight="1">
      <c r="A4469" s="120">
        <v>94764</v>
      </c>
      <c r="B4469" s="119" t="s">
        <v>6009</v>
      </c>
      <c r="C4469" s="120" t="s">
        <v>331</v>
      </c>
      <c r="D4469" s="441">
        <v>38</v>
      </c>
    </row>
    <row r="4470" spans="1:4" ht="47.25" customHeight="1">
      <c r="A4470" s="120">
        <v>94765</v>
      </c>
      <c r="B4470" s="119" t="s">
        <v>6010</v>
      </c>
      <c r="C4470" s="120" t="s">
        <v>331</v>
      </c>
      <c r="D4470" s="441">
        <v>41.12</v>
      </c>
    </row>
    <row r="4471" spans="1:4" ht="47.25" customHeight="1">
      <c r="A4471" s="120">
        <v>94766</v>
      </c>
      <c r="B4471" s="119" t="s">
        <v>6011</v>
      </c>
      <c r="C4471" s="120" t="s">
        <v>331</v>
      </c>
      <c r="D4471" s="441">
        <v>45.26</v>
      </c>
    </row>
    <row r="4472" spans="1:4" ht="47.25" customHeight="1">
      <c r="A4472" s="120">
        <v>94767</v>
      </c>
      <c r="B4472" s="119" t="s">
        <v>6012</v>
      </c>
      <c r="C4472" s="120" t="s">
        <v>331</v>
      </c>
      <c r="D4472" s="441">
        <v>66.27</v>
      </c>
    </row>
    <row r="4473" spans="1:4" ht="47.25" customHeight="1">
      <c r="A4473" s="120">
        <v>94768</v>
      </c>
      <c r="B4473" s="119" t="s">
        <v>6013</v>
      </c>
      <c r="C4473" s="120" t="s">
        <v>331</v>
      </c>
      <c r="D4473" s="441">
        <v>74.430000000000007</v>
      </c>
    </row>
    <row r="4474" spans="1:4" ht="47.25" customHeight="1">
      <c r="A4474" s="120">
        <v>94769</v>
      </c>
      <c r="B4474" s="119" t="s">
        <v>6014</v>
      </c>
      <c r="C4474" s="120" t="s">
        <v>331</v>
      </c>
      <c r="D4474" s="441">
        <v>102.16</v>
      </c>
    </row>
    <row r="4475" spans="1:4" ht="31.5" customHeight="1">
      <c r="A4475" s="120">
        <v>94770</v>
      </c>
      <c r="B4475" s="119" t="s">
        <v>6015</v>
      </c>
      <c r="C4475" s="120" t="s">
        <v>331</v>
      </c>
      <c r="D4475" s="441">
        <v>44.19</v>
      </c>
    </row>
    <row r="4476" spans="1:4" ht="31.5" customHeight="1">
      <c r="A4476" s="120">
        <v>94771</v>
      </c>
      <c r="B4476" s="119" t="s">
        <v>6016</v>
      </c>
      <c r="C4476" s="120" t="s">
        <v>331</v>
      </c>
      <c r="D4476" s="441">
        <v>47.31</v>
      </c>
    </row>
    <row r="4477" spans="1:4" ht="31.5" customHeight="1">
      <c r="A4477" s="120">
        <v>94772</v>
      </c>
      <c r="B4477" s="119" t="s">
        <v>6017</v>
      </c>
      <c r="C4477" s="120" t="s">
        <v>331</v>
      </c>
      <c r="D4477" s="441">
        <v>51.45</v>
      </c>
    </row>
    <row r="4478" spans="1:4" ht="31.5" customHeight="1">
      <c r="A4478" s="120">
        <v>94773</v>
      </c>
      <c r="B4478" s="119" t="s">
        <v>6018</v>
      </c>
      <c r="C4478" s="120" t="s">
        <v>331</v>
      </c>
      <c r="D4478" s="441">
        <v>72.459999999999994</v>
      </c>
    </row>
    <row r="4479" spans="1:4" ht="31.5" customHeight="1">
      <c r="A4479" s="120">
        <v>94774</v>
      </c>
      <c r="B4479" s="119" t="s">
        <v>6019</v>
      </c>
      <c r="C4479" s="120" t="s">
        <v>331</v>
      </c>
      <c r="D4479" s="441">
        <v>80.62</v>
      </c>
    </row>
    <row r="4480" spans="1:4" ht="31.5" customHeight="1">
      <c r="A4480" s="120">
        <v>94775</v>
      </c>
      <c r="B4480" s="119" t="s">
        <v>6020</v>
      </c>
      <c r="C4480" s="120" t="s">
        <v>331</v>
      </c>
      <c r="D4480" s="441">
        <v>110.36</v>
      </c>
    </row>
    <row r="4481" spans="1:4" ht="47.25" customHeight="1">
      <c r="A4481" s="120">
        <v>94783</v>
      </c>
      <c r="B4481" s="119" t="s">
        <v>6021</v>
      </c>
      <c r="C4481" s="120" t="s">
        <v>331</v>
      </c>
      <c r="D4481" s="441">
        <v>23.09</v>
      </c>
    </row>
    <row r="4482" spans="1:4" ht="31.5" customHeight="1">
      <c r="A4482" s="120">
        <v>94785</v>
      </c>
      <c r="B4482" s="119" t="s">
        <v>6022</v>
      </c>
      <c r="C4482" s="120" t="s">
        <v>331</v>
      </c>
      <c r="D4482" s="441">
        <v>28.05</v>
      </c>
    </row>
    <row r="4483" spans="1:4" ht="47.25" customHeight="1">
      <c r="A4483" s="120">
        <v>94789</v>
      </c>
      <c r="B4483" s="119" t="s">
        <v>6023</v>
      </c>
      <c r="C4483" s="120" t="s">
        <v>331</v>
      </c>
      <c r="D4483" s="441">
        <v>263.35000000000002</v>
      </c>
    </row>
    <row r="4484" spans="1:4" ht="31.5" customHeight="1">
      <c r="A4484" s="120">
        <v>94790</v>
      </c>
      <c r="B4484" s="119" t="s">
        <v>6024</v>
      </c>
      <c r="C4484" s="120" t="s">
        <v>331</v>
      </c>
      <c r="D4484" s="441">
        <v>361.89</v>
      </c>
    </row>
    <row r="4485" spans="1:4" ht="31.5" customHeight="1">
      <c r="A4485" s="120">
        <v>94791</v>
      </c>
      <c r="B4485" s="119" t="s">
        <v>6025</v>
      </c>
      <c r="C4485" s="120" t="s">
        <v>331</v>
      </c>
      <c r="D4485" s="441">
        <v>476.09</v>
      </c>
    </row>
    <row r="4486" spans="1:4" ht="31.5" customHeight="1">
      <c r="A4486" s="120">
        <v>94863</v>
      </c>
      <c r="B4486" s="119" t="s">
        <v>6026</v>
      </c>
      <c r="C4486" s="120" t="s">
        <v>331</v>
      </c>
      <c r="D4486" s="441">
        <v>150.94999999999999</v>
      </c>
    </row>
    <row r="4487" spans="1:4" ht="31.5" customHeight="1">
      <c r="A4487" s="120">
        <v>95237</v>
      </c>
      <c r="B4487" s="119" t="s">
        <v>6027</v>
      </c>
      <c r="C4487" s="120" t="s">
        <v>331</v>
      </c>
      <c r="D4487" s="441">
        <v>27.41</v>
      </c>
    </row>
    <row r="4488" spans="1:4" ht="31.5" customHeight="1">
      <c r="A4488" s="120">
        <v>95693</v>
      </c>
      <c r="B4488" s="119" t="s">
        <v>6028</v>
      </c>
      <c r="C4488" s="120" t="s">
        <v>331</v>
      </c>
      <c r="D4488" s="441">
        <v>53.92</v>
      </c>
    </row>
    <row r="4489" spans="1:4" ht="31.5" customHeight="1">
      <c r="A4489" s="120">
        <v>95694</v>
      </c>
      <c r="B4489" s="119" t="s">
        <v>6029</v>
      </c>
      <c r="C4489" s="120" t="s">
        <v>331</v>
      </c>
      <c r="D4489" s="441">
        <v>53.18</v>
      </c>
    </row>
    <row r="4490" spans="1:4" ht="31.5" customHeight="1">
      <c r="A4490" s="120">
        <v>95695</v>
      </c>
      <c r="B4490" s="119" t="s">
        <v>6030</v>
      </c>
      <c r="C4490" s="120" t="s">
        <v>331</v>
      </c>
      <c r="D4490" s="441">
        <v>61.5</v>
      </c>
    </row>
    <row r="4491" spans="1:4" ht="15.75" customHeight="1">
      <c r="A4491" s="120">
        <v>95696</v>
      </c>
      <c r="B4491" s="119" t="s">
        <v>6031</v>
      </c>
      <c r="C4491" s="120" t="s">
        <v>331</v>
      </c>
      <c r="D4491" s="441">
        <v>58.79</v>
      </c>
    </row>
    <row r="4492" spans="1:4" ht="31.5" customHeight="1">
      <c r="A4492" s="120">
        <v>96637</v>
      </c>
      <c r="B4492" s="119" t="s">
        <v>6032</v>
      </c>
      <c r="C4492" s="120" t="s">
        <v>331</v>
      </c>
      <c r="D4492" s="441">
        <v>17.79</v>
      </c>
    </row>
    <row r="4493" spans="1:4" ht="31.5" customHeight="1">
      <c r="A4493" s="120">
        <v>96638</v>
      </c>
      <c r="B4493" s="119" t="s">
        <v>6033</v>
      </c>
      <c r="C4493" s="120" t="s">
        <v>331</v>
      </c>
      <c r="D4493" s="441">
        <v>18.21</v>
      </c>
    </row>
    <row r="4494" spans="1:4" ht="31.5" customHeight="1">
      <c r="A4494" s="120">
        <v>96639</v>
      </c>
      <c r="B4494" s="119" t="s">
        <v>6034</v>
      </c>
      <c r="C4494" s="120" t="s">
        <v>331</v>
      </c>
      <c r="D4494" s="441">
        <v>12.36</v>
      </c>
    </row>
    <row r="4495" spans="1:4" ht="31.5" customHeight="1">
      <c r="A4495" s="120">
        <v>96640</v>
      </c>
      <c r="B4495" s="119" t="s">
        <v>6035</v>
      </c>
      <c r="C4495" s="120" t="s">
        <v>331</v>
      </c>
      <c r="D4495" s="441">
        <v>27.39</v>
      </c>
    </row>
    <row r="4496" spans="1:4" ht="31.5" customHeight="1">
      <c r="A4496" s="120">
        <v>96641</v>
      </c>
      <c r="B4496" s="119" t="s">
        <v>6036</v>
      </c>
      <c r="C4496" s="120" t="s">
        <v>331</v>
      </c>
      <c r="D4496" s="441">
        <v>18.48</v>
      </c>
    </row>
    <row r="4497" spans="1:4" ht="31.5" customHeight="1">
      <c r="A4497" s="120">
        <v>96642</v>
      </c>
      <c r="B4497" s="119" t="s">
        <v>6037</v>
      </c>
      <c r="C4497" s="120" t="s">
        <v>331</v>
      </c>
      <c r="D4497" s="441">
        <v>23.45</v>
      </c>
    </row>
    <row r="4498" spans="1:4" ht="31.5" customHeight="1">
      <c r="A4498" s="120">
        <v>96643</v>
      </c>
      <c r="B4498" s="119" t="s">
        <v>6038</v>
      </c>
      <c r="C4498" s="120" t="s">
        <v>331</v>
      </c>
      <c r="D4498" s="441">
        <v>48.16</v>
      </c>
    </row>
    <row r="4499" spans="1:4" ht="31.5" customHeight="1">
      <c r="A4499" s="120">
        <v>96650</v>
      </c>
      <c r="B4499" s="119" t="s">
        <v>6039</v>
      </c>
      <c r="C4499" s="120" t="s">
        <v>331</v>
      </c>
      <c r="D4499" s="441">
        <v>9.86</v>
      </c>
    </row>
    <row r="4500" spans="1:4" ht="31.5" customHeight="1">
      <c r="A4500" s="120">
        <v>96651</v>
      </c>
      <c r="B4500" s="119" t="s">
        <v>6040</v>
      </c>
      <c r="C4500" s="120" t="s">
        <v>331</v>
      </c>
      <c r="D4500" s="441">
        <v>10.28</v>
      </c>
    </row>
    <row r="4501" spans="1:4" ht="31.5" customHeight="1">
      <c r="A4501" s="120">
        <v>96652</v>
      </c>
      <c r="B4501" s="119" t="s">
        <v>6041</v>
      </c>
      <c r="C4501" s="120" t="s">
        <v>331</v>
      </c>
      <c r="D4501" s="441">
        <v>11.63</v>
      </c>
    </row>
    <row r="4502" spans="1:4" ht="31.5" customHeight="1">
      <c r="A4502" s="120">
        <v>96653</v>
      </c>
      <c r="B4502" s="119" t="s">
        <v>6042</v>
      </c>
      <c r="C4502" s="120" t="s">
        <v>331</v>
      </c>
      <c r="D4502" s="441">
        <v>15.09</v>
      </c>
    </row>
    <row r="4503" spans="1:4" ht="31.5" customHeight="1">
      <c r="A4503" s="120">
        <v>96654</v>
      </c>
      <c r="B4503" s="119" t="s">
        <v>6043</v>
      </c>
      <c r="C4503" s="120" t="s">
        <v>331</v>
      </c>
      <c r="D4503" s="441">
        <v>17.12</v>
      </c>
    </row>
    <row r="4504" spans="1:4" ht="31.5" customHeight="1">
      <c r="A4504" s="120">
        <v>96655</v>
      </c>
      <c r="B4504" s="119" t="s">
        <v>6044</v>
      </c>
      <c r="C4504" s="120" t="s">
        <v>331</v>
      </c>
      <c r="D4504" s="441">
        <v>22.75</v>
      </c>
    </row>
    <row r="4505" spans="1:4" ht="31.5" customHeight="1">
      <c r="A4505" s="120">
        <v>96656</v>
      </c>
      <c r="B4505" s="119" t="s">
        <v>6045</v>
      </c>
      <c r="C4505" s="120" t="s">
        <v>331</v>
      </c>
      <c r="D4505" s="441">
        <v>7.07</v>
      </c>
    </row>
    <row r="4506" spans="1:4" ht="31.5" customHeight="1">
      <c r="A4506" s="120">
        <v>96657</v>
      </c>
      <c r="B4506" s="119" t="s">
        <v>6046</v>
      </c>
      <c r="C4506" s="120" t="s">
        <v>331</v>
      </c>
      <c r="D4506" s="441">
        <v>25.03</v>
      </c>
    </row>
    <row r="4507" spans="1:4" ht="31.5" customHeight="1">
      <c r="A4507" s="120">
        <v>96658</v>
      </c>
      <c r="B4507" s="119" t="s">
        <v>6047</v>
      </c>
      <c r="C4507" s="120" t="s">
        <v>331</v>
      </c>
      <c r="D4507" s="441">
        <v>16.12</v>
      </c>
    </row>
    <row r="4508" spans="1:4" ht="31.5" customHeight="1">
      <c r="A4508" s="120">
        <v>96659</v>
      </c>
      <c r="B4508" s="119" t="s">
        <v>6048</v>
      </c>
      <c r="C4508" s="120" t="s">
        <v>331</v>
      </c>
      <c r="D4508" s="441">
        <v>9.1199999999999992</v>
      </c>
    </row>
    <row r="4509" spans="1:4" ht="31.5" customHeight="1">
      <c r="A4509" s="120">
        <v>96660</v>
      </c>
      <c r="B4509" s="119" t="s">
        <v>6049</v>
      </c>
      <c r="C4509" s="120" t="s">
        <v>331</v>
      </c>
      <c r="D4509" s="441">
        <v>33.85</v>
      </c>
    </row>
    <row r="4510" spans="1:4" ht="31.5" customHeight="1">
      <c r="A4510" s="120">
        <v>96661</v>
      </c>
      <c r="B4510" s="119" t="s">
        <v>6050</v>
      </c>
      <c r="C4510" s="120" t="s">
        <v>331</v>
      </c>
      <c r="D4510" s="441">
        <v>33.54</v>
      </c>
    </row>
    <row r="4511" spans="1:4" ht="31.5" customHeight="1">
      <c r="A4511" s="120">
        <v>96662</v>
      </c>
      <c r="B4511" s="119" t="s">
        <v>6051</v>
      </c>
      <c r="C4511" s="120" t="s">
        <v>331</v>
      </c>
      <c r="D4511" s="441">
        <v>10.09</v>
      </c>
    </row>
    <row r="4512" spans="1:4" ht="31.5" customHeight="1">
      <c r="A4512" s="120">
        <v>96663</v>
      </c>
      <c r="B4512" s="119" t="s">
        <v>6052</v>
      </c>
      <c r="C4512" s="120" t="s">
        <v>331</v>
      </c>
      <c r="D4512" s="441">
        <v>16.93</v>
      </c>
    </row>
    <row r="4513" spans="1:4" ht="31.5" customHeight="1">
      <c r="A4513" s="120">
        <v>96664</v>
      </c>
      <c r="B4513" s="119" t="s">
        <v>6053</v>
      </c>
      <c r="C4513" s="120" t="s">
        <v>331</v>
      </c>
      <c r="D4513" s="441">
        <v>18.53</v>
      </c>
    </row>
    <row r="4514" spans="1:4" ht="31.5" customHeight="1">
      <c r="A4514" s="120">
        <v>96665</v>
      </c>
      <c r="B4514" s="119" t="s">
        <v>6054</v>
      </c>
      <c r="C4514" s="120" t="s">
        <v>331</v>
      </c>
      <c r="D4514" s="441">
        <v>12.86</v>
      </c>
    </row>
    <row r="4515" spans="1:4" ht="31.5" customHeight="1">
      <c r="A4515" s="120">
        <v>96666</v>
      </c>
      <c r="B4515" s="119" t="s">
        <v>6055</v>
      </c>
      <c r="C4515" s="120" t="s">
        <v>331</v>
      </c>
      <c r="D4515" s="441">
        <v>18.21</v>
      </c>
    </row>
    <row r="4516" spans="1:4" ht="31.5" customHeight="1">
      <c r="A4516" s="120">
        <v>96667</v>
      </c>
      <c r="B4516" s="119" t="s">
        <v>6056</v>
      </c>
      <c r="C4516" s="120" t="s">
        <v>331</v>
      </c>
      <c r="D4516" s="441">
        <v>25.44</v>
      </c>
    </row>
    <row r="4517" spans="1:4" ht="31.5" customHeight="1">
      <c r="A4517" s="120">
        <v>96684</v>
      </c>
      <c r="B4517" s="119" t="s">
        <v>6057</v>
      </c>
      <c r="C4517" s="120" t="s">
        <v>331</v>
      </c>
      <c r="D4517" s="441">
        <v>12.72</v>
      </c>
    </row>
    <row r="4518" spans="1:4" ht="31.5" customHeight="1">
      <c r="A4518" s="120">
        <v>96685</v>
      </c>
      <c r="B4518" s="119" t="s">
        <v>6058</v>
      </c>
      <c r="C4518" s="120" t="s">
        <v>331</v>
      </c>
      <c r="D4518" s="441">
        <v>13.14</v>
      </c>
    </row>
    <row r="4519" spans="1:4" ht="31.5" customHeight="1">
      <c r="A4519" s="120">
        <v>96686</v>
      </c>
      <c r="B4519" s="119" t="s">
        <v>6059</v>
      </c>
      <c r="C4519" s="120" t="s">
        <v>331</v>
      </c>
      <c r="D4519" s="441">
        <v>16.329999999999998</v>
      </c>
    </row>
    <row r="4520" spans="1:4" ht="31.5" customHeight="1">
      <c r="A4520" s="120">
        <v>96687</v>
      </c>
      <c r="B4520" s="119" t="s">
        <v>6060</v>
      </c>
      <c r="C4520" s="120" t="s">
        <v>331</v>
      </c>
      <c r="D4520" s="441">
        <v>19.79</v>
      </c>
    </row>
    <row r="4521" spans="1:4" ht="31.5" customHeight="1">
      <c r="A4521" s="120">
        <v>96688</v>
      </c>
      <c r="B4521" s="119" t="s">
        <v>6061</v>
      </c>
      <c r="C4521" s="120" t="s">
        <v>331</v>
      </c>
      <c r="D4521" s="441">
        <v>23.92</v>
      </c>
    </row>
    <row r="4522" spans="1:4" ht="31.5" customHeight="1">
      <c r="A4522" s="120">
        <v>96689</v>
      </c>
      <c r="B4522" s="119" t="s">
        <v>6062</v>
      </c>
      <c r="C4522" s="120" t="s">
        <v>331</v>
      </c>
      <c r="D4522" s="441">
        <v>29.55</v>
      </c>
    </row>
    <row r="4523" spans="1:4" ht="31.5" customHeight="1">
      <c r="A4523" s="120">
        <v>96690</v>
      </c>
      <c r="B4523" s="119" t="s">
        <v>6063</v>
      </c>
      <c r="C4523" s="120" t="s">
        <v>331</v>
      </c>
      <c r="D4523" s="441">
        <v>33.07</v>
      </c>
    </row>
    <row r="4524" spans="1:4" ht="31.5" customHeight="1">
      <c r="A4524" s="120">
        <v>96691</v>
      </c>
      <c r="B4524" s="119" t="s">
        <v>6064</v>
      </c>
      <c r="C4524" s="120" t="s">
        <v>331</v>
      </c>
      <c r="D4524" s="441">
        <v>41.98</v>
      </c>
    </row>
    <row r="4525" spans="1:4" ht="31.5" customHeight="1">
      <c r="A4525" s="120">
        <v>96692</v>
      </c>
      <c r="B4525" s="119" t="s">
        <v>6065</v>
      </c>
      <c r="C4525" s="120" t="s">
        <v>331</v>
      </c>
      <c r="D4525" s="441">
        <v>46.57</v>
      </c>
    </row>
    <row r="4526" spans="1:4" ht="31.5" customHeight="1">
      <c r="A4526" s="120">
        <v>96693</v>
      </c>
      <c r="B4526" s="119" t="s">
        <v>6066</v>
      </c>
      <c r="C4526" s="120" t="s">
        <v>331</v>
      </c>
      <c r="D4526" s="441">
        <v>62.49</v>
      </c>
    </row>
    <row r="4527" spans="1:4" ht="31.5" customHeight="1">
      <c r="A4527" s="120">
        <v>96694</v>
      </c>
      <c r="B4527" s="119" t="s">
        <v>6067</v>
      </c>
      <c r="C4527" s="120" t="s">
        <v>331</v>
      </c>
      <c r="D4527" s="441">
        <v>97.01</v>
      </c>
    </row>
    <row r="4528" spans="1:4" ht="31.5" customHeight="1">
      <c r="A4528" s="120">
        <v>96695</v>
      </c>
      <c r="B4528" s="119" t="s">
        <v>6068</v>
      </c>
      <c r="C4528" s="120" t="s">
        <v>331</v>
      </c>
      <c r="D4528" s="441">
        <v>106.71</v>
      </c>
    </row>
    <row r="4529" spans="1:4" ht="31.5" customHeight="1">
      <c r="A4529" s="120">
        <v>96696</v>
      </c>
      <c r="B4529" s="119" t="s">
        <v>6069</v>
      </c>
      <c r="C4529" s="120" t="s">
        <v>331</v>
      </c>
      <c r="D4529" s="441">
        <v>120.98</v>
      </c>
    </row>
    <row r="4530" spans="1:4" ht="31.5" customHeight="1">
      <c r="A4530" s="120">
        <v>96697</v>
      </c>
      <c r="B4530" s="119" t="s">
        <v>6070</v>
      </c>
      <c r="C4530" s="120" t="s">
        <v>331</v>
      </c>
      <c r="D4530" s="441">
        <v>353.72</v>
      </c>
    </row>
    <row r="4531" spans="1:4" ht="31.5" customHeight="1">
      <c r="A4531" s="120">
        <v>96698</v>
      </c>
      <c r="B4531" s="119" t="s">
        <v>6071</v>
      </c>
      <c r="C4531" s="120" t="s">
        <v>331</v>
      </c>
      <c r="D4531" s="441">
        <v>8.98</v>
      </c>
    </row>
    <row r="4532" spans="1:4" ht="31.5" customHeight="1">
      <c r="A4532" s="120">
        <v>96699</v>
      </c>
      <c r="B4532" s="119" t="s">
        <v>6072</v>
      </c>
      <c r="C4532" s="120" t="s">
        <v>331</v>
      </c>
      <c r="D4532" s="441">
        <v>26.94</v>
      </c>
    </row>
    <row r="4533" spans="1:4" ht="31.5" customHeight="1">
      <c r="A4533" s="120">
        <v>96700</v>
      </c>
      <c r="B4533" s="119" t="s">
        <v>6073</v>
      </c>
      <c r="C4533" s="120" t="s">
        <v>331</v>
      </c>
      <c r="D4533" s="441">
        <v>18.03</v>
      </c>
    </row>
    <row r="4534" spans="1:4" ht="31.5" customHeight="1">
      <c r="A4534" s="120">
        <v>96701</v>
      </c>
      <c r="B4534" s="119" t="s">
        <v>6074</v>
      </c>
      <c r="C4534" s="120" t="s">
        <v>331</v>
      </c>
      <c r="D4534" s="441">
        <v>12.25</v>
      </c>
    </row>
    <row r="4535" spans="1:4" ht="31.5" customHeight="1">
      <c r="A4535" s="120">
        <v>96702</v>
      </c>
      <c r="B4535" s="119" t="s">
        <v>6075</v>
      </c>
      <c r="C4535" s="120" t="s">
        <v>331</v>
      </c>
      <c r="D4535" s="441">
        <v>12.62</v>
      </c>
    </row>
    <row r="4536" spans="1:4" ht="31.5" customHeight="1">
      <c r="A4536" s="120">
        <v>96703</v>
      </c>
      <c r="B4536" s="119" t="s">
        <v>6076</v>
      </c>
      <c r="C4536" s="120" t="s">
        <v>331</v>
      </c>
      <c r="D4536" s="441">
        <v>21.46</v>
      </c>
    </row>
    <row r="4537" spans="1:4" ht="31.5" customHeight="1">
      <c r="A4537" s="120">
        <v>96704</v>
      </c>
      <c r="B4537" s="119" t="s">
        <v>6077</v>
      </c>
      <c r="C4537" s="120" t="s">
        <v>331</v>
      </c>
      <c r="D4537" s="441">
        <v>21.74</v>
      </c>
    </row>
    <row r="4538" spans="1:4" ht="31.5" customHeight="1">
      <c r="A4538" s="120">
        <v>96705</v>
      </c>
      <c r="B4538" s="119" t="s">
        <v>6078</v>
      </c>
      <c r="C4538" s="120" t="s">
        <v>331</v>
      </c>
      <c r="D4538" s="441">
        <v>26.02</v>
      </c>
    </row>
    <row r="4539" spans="1:4" ht="31.5" customHeight="1">
      <c r="A4539" s="120">
        <v>96706</v>
      </c>
      <c r="B4539" s="119" t="s">
        <v>6079</v>
      </c>
      <c r="C4539" s="120" t="s">
        <v>331</v>
      </c>
      <c r="D4539" s="441">
        <v>38.299999999999997</v>
      </c>
    </row>
    <row r="4540" spans="1:4" ht="31.5" customHeight="1">
      <c r="A4540" s="120">
        <v>96707</v>
      </c>
      <c r="B4540" s="119" t="s">
        <v>6080</v>
      </c>
      <c r="C4540" s="120" t="s">
        <v>331</v>
      </c>
      <c r="D4540" s="441">
        <v>61.05</v>
      </c>
    </row>
    <row r="4541" spans="1:4" ht="31.5" customHeight="1">
      <c r="A4541" s="120">
        <v>96708</v>
      </c>
      <c r="B4541" s="119" t="s">
        <v>6081</v>
      </c>
      <c r="C4541" s="120" t="s">
        <v>331</v>
      </c>
      <c r="D4541" s="441">
        <v>92.08</v>
      </c>
    </row>
    <row r="4542" spans="1:4" ht="31.5" customHeight="1">
      <c r="A4542" s="120">
        <v>96709</v>
      </c>
      <c r="B4542" s="119" t="s">
        <v>6082</v>
      </c>
      <c r="C4542" s="120" t="s">
        <v>331</v>
      </c>
      <c r="D4542" s="441">
        <v>117.41</v>
      </c>
    </row>
    <row r="4543" spans="1:4" ht="31.5" customHeight="1">
      <c r="A4543" s="120">
        <v>96710</v>
      </c>
      <c r="B4543" s="119" t="s">
        <v>6083</v>
      </c>
      <c r="C4543" s="120" t="s">
        <v>331</v>
      </c>
      <c r="D4543" s="441">
        <v>16.68</v>
      </c>
    </row>
    <row r="4544" spans="1:4" ht="31.5" customHeight="1">
      <c r="A4544" s="120">
        <v>96711</v>
      </c>
      <c r="B4544" s="119" t="s">
        <v>6084</v>
      </c>
      <c r="C4544" s="120" t="s">
        <v>331</v>
      </c>
      <c r="D4544" s="441">
        <v>24.47</v>
      </c>
    </row>
    <row r="4545" spans="1:4" ht="31.5" customHeight="1">
      <c r="A4545" s="120">
        <v>96712</v>
      </c>
      <c r="B4545" s="119" t="s">
        <v>6085</v>
      </c>
      <c r="C4545" s="120" t="s">
        <v>331</v>
      </c>
      <c r="D4545" s="441">
        <v>34.5</v>
      </c>
    </row>
    <row r="4546" spans="1:4" ht="31.5" customHeight="1">
      <c r="A4546" s="120">
        <v>96713</v>
      </c>
      <c r="B4546" s="119" t="s">
        <v>6086</v>
      </c>
      <c r="C4546" s="120" t="s">
        <v>331</v>
      </c>
      <c r="D4546" s="441">
        <v>52.39</v>
      </c>
    </row>
    <row r="4547" spans="1:4" ht="31.5" customHeight="1">
      <c r="A4547" s="120">
        <v>96714</v>
      </c>
      <c r="B4547" s="119" t="s">
        <v>6087</v>
      </c>
      <c r="C4547" s="120" t="s">
        <v>331</v>
      </c>
      <c r="D4547" s="441">
        <v>74.11</v>
      </c>
    </row>
    <row r="4548" spans="1:4" ht="31.5" customHeight="1">
      <c r="A4548" s="120">
        <v>96715</v>
      </c>
      <c r="B4548" s="119" t="s">
        <v>6088</v>
      </c>
      <c r="C4548" s="120" t="s">
        <v>331</v>
      </c>
      <c r="D4548" s="441">
        <v>130.44</v>
      </c>
    </row>
    <row r="4549" spans="1:4" ht="31.5" customHeight="1">
      <c r="A4549" s="120">
        <v>96716</v>
      </c>
      <c r="B4549" s="119" t="s">
        <v>6089</v>
      </c>
      <c r="C4549" s="120" t="s">
        <v>331</v>
      </c>
      <c r="D4549" s="441">
        <v>169.53</v>
      </c>
    </row>
    <row r="4550" spans="1:4" ht="31.5" customHeight="1">
      <c r="A4550" s="120">
        <v>96717</v>
      </c>
      <c r="B4550" s="119" t="s">
        <v>6090</v>
      </c>
      <c r="C4550" s="120" t="s">
        <v>331</v>
      </c>
      <c r="D4550" s="441">
        <v>323.14</v>
      </c>
    </row>
    <row r="4551" spans="1:4" ht="31.5" customHeight="1">
      <c r="A4551" s="120">
        <v>96736</v>
      </c>
      <c r="B4551" s="119" t="s">
        <v>6091</v>
      </c>
      <c r="C4551" s="120" t="s">
        <v>331</v>
      </c>
      <c r="D4551" s="441">
        <v>7.45</v>
      </c>
    </row>
    <row r="4552" spans="1:4" ht="31.5" customHeight="1">
      <c r="A4552" s="120">
        <v>96737</v>
      </c>
      <c r="B4552" s="119" t="s">
        <v>6092</v>
      </c>
      <c r="C4552" s="120" t="s">
        <v>331</v>
      </c>
      <c r="D4552" s="441">
        <v>7.23</v>
      </c>
    </row>
    <row r="4553" spans="1:4" ht="31.5" customHeight="1">
      <c r="A4553" s="120">
        <v>96738</v>
      </c>
      <c r="B4553" s="119" t="s">
        <v>6093</v>
      </c>
      <c r="C4553" s="120" t="s">
        <v>331</v>
      </c>
      <c r="D4553" s="441">
        <v>25.19</v>
      </c>
    </row>
    <row r="4554" spans="1:4" ht="31.5" customHeight="1">
      <c r="A4554" s="120">
        <v>96739</v>
      </c>
      <c r="B4554" s="119" t="s">
        <v>6094</v>
      </c>
      <c r="C4554" s="120" t="s">
        <v>331</v>
      </c>
      <c r="D4554" s="441">
        <v>10.42</v>
      </c>
    </row>
    <row r="4555" spans="1:4" ht="31.5" customHeight="1">
      <c r="A4555" s="120">
        <v>96740</v>
      </c>
      <c r="B4555" s="119" t="s">
        <v>6095</v>
      </c>
      <c r="C4555" s="120" t="s">
        <v>331</v>
      </c>
      <c r="D4555" s="441">
        <v>35.28</v>
      </c>
    </row>
    <row r="4556" spans="1:4" ht="31.5" customHeight="1">
      <c r="A4556" s="120">
        <v>96741</v>
      </c>
      <c r="B4556" s="119" t="s">
        <v>6096</v>
      </c>
      <c r="C4556" s="120" t="s">
        <v>331</v>
      </c>
      <c r="D4556" s="441">
        <v>17.940000000000001</v>
      </c>
    </row>
    <row r="4557" spans="1:4" ht="31.5" customHeight="1">
      <c r="A4557" s="120">
        <v>96742</v>
      </c>
      <c r="B4557" s="119" t="s">
        <v>6097</v>
      </c>
      <c r="C4557" s="120" t="s">
        <v>331</v>
      </c>
      <c r="D4557" s="441">
        <v>23.75</v>
      </c>
    </row>
    <row r="4558" spans="1:4" ht="31.5" customHeight="1">
      <c r="A4558" s="120">
        <v>96743</v>
      </c>
      <c r="B4558" s="119" t="s">
        <v>6098</v>
      </c>
      <c r="C4558" s="120" t="s">
        <v>331</v>
      </c>
      <c r="D4558" s="441">
        <v>33.299999999999997</v>
      </c>
    </row>
    <row r="4559" spans="1:4" ht="31.5" customHeight="1">
      <c r="A4559" s="120">
        <v>96744</v>
      </c>
      <c r="B4559" s="119" t="s">
        <v>6099</v>
      </c>
      <c r="C4559" s="120" t="s">
        <v>331</v>
      </c>
      <c r="D4559" s="441">
        <v>59.76</v>
      </c>
    </row>
    <row r="4560" spans="1:4" ht="31.5" customHeight="1">
      <c r="A4560" s="120">
        <v>96745</v>
      </c>
      <c r="B4560" s="119" t="s">
        <v>6100</v>
      </c>
      <c r="C4560" s="120" t="s">
        <v>331</v>
      </c>
      <c r="D4560" s="441">
        <v>87.62</v>
      </c>
    </row>
    <row r="4561" spans="1:4" ht="31.5" customHeight="1">
      <c r="A4561" s="120">
        <v>96746</v>
      </c>
      <c r="B4561" s="119" t="s">
        <v>6101</v>
      </c>
      <c r="C4561" s="120" t="s">
        <v>331</v>
      </c>
      <c r="D4561" s="441">
        <v>117.77</v>
      </c>
    </row>
    <row r="4562" spans="1:4" ht="31.5" customHeight="1">
      <c r="A4562" s="120">
        <v>96747</v>
      </c>
      <c r="B4562" s="119" t="s">
        <v>6102</v>
      </c>
      <c r="C4562" s="120" t="s">
        <v>331</v>
      </c>
      <c r="D4562" s="441">
        <v>9.42</v>
      </c>
    </row>
    <row r="4563" spans="1:4" ht="31.5" customHeight="1">
      <c r="A4563" s="120">
        <v>96748</v>
      </c>
      <c r="B4563" s="119" t="s">
        <v>6103</v>
      </c>
      <c r="C4563" s="120" t="s">
        <v>331</v>
      </c>
      <c r="D4563" s="441">
        <v>10.1</v>
      </c>
    </row>
    <row r="4564" spans="1:4" ht="31.5" customHeight="1">
      <c r="A4564" s="120">
        <v>96749</v>
      </c>
      <c r="B4564" s="119" t="s">
        <v>6104</v>
      </c>
      <c r="C4564" s="120" t="s">
        <v>331</v>
      </c>
      <c r="D4564" s="441">
        <v>13.58</v>
      </c>
    </row>
    <row r="4565" spans="1:4" ht="31.5" customHeight="1">
      <c r="A4565" s="120">
        <v>96750</v>
      </c>
      <c r="B4565" s="119" t="s">
        <v>6105</v>
      </c>
      <c r="C4565" s="120" t="s">
        <v>331</v>
      </c>
      <c r="D4565" s="441">
        <v>18.64</v>
      </c>
    </row>
    <row r="4566" spans="1:4" ht="31.5" customHeight="1">
      <c r="A4566" s="120">
        <v>96751</v>
      </c>
      <c r="B4566" s="119" t="s">
        <v>6106</v>
      </c>
      <c r="C4566" s="120" t="s">
        <v>331</v>
      </c>
      <c r="D4566" s="441">
        <v>29.59</v>
      </c>
    </row>
    <row r="4567" spans="1:4" ht="31.5" customHeight="1">
      <c r="A4567" s="120">
        <v>96752</v>
      </c>
      <c r="B4567" s="119" t="s">
        <v>6107</v>
      </c>
      <c r="C4567" s="120" t="s">
        <v>331</v>
      </c>
      <c r="D4567" s="441">
        <v>38.979999999999997</v>
      </c>
    </row>
    <row r="4568" spans="1:4" ht="31.5" customHeight="1">
      <c r="A4568" s="120">
        <v>96753</v>
      </c>
      <c r="B4568" s="119" t="s">
        <v>6108</v>
      </c>
      <c r="C4568" s="120" t="s">
        <v>331</v>
      </c>
      <c r="D4568" s="441">
        <v>95.02</v>
      </c>
    </row>
    <row r="4569" spans="1:4" ht="31.5" customHeight="1">
      <c r="A4569" s="120">
        <v>96754</v>
      </c>
      <c r="B4569" s="119" t="s">
        <v>6109</v>
      </c>
      <c r="C4569" s="120" t="s">
        <v>331</v>
      </c>
      <c r="D4569" s="441">
        <v>114.25</v>
      </c>
    </row>
    <row r="4570" spans="1:4" ht="31.5" customHeight="1">
      <c r="A4570" s="120">
        <v>96755</v>
      </c>
      <c r="B4570" s="119" t="s">
        <v>6110</v>
      </c>
      <c r="C4570" s="120" t="s">
        <v>331</v>
      </c>
      <c r="D4570" s="441">
        <v>354.27</v>
      </c>
    </row>
    <row r="4571" spans="1:4" ht="31.5" customHeight="1">
      <c r="A4571" s="120">
        <v>96756</v>
      </c>
      <c r="B4571" s="119" t="s">
        <v>6111</v>
      </c>
      <c r="C4571" s="120" t="s">
        <v>331</v>
      </c>
      <c r="D4571" s="441">
        <v>22.61</v>
      </c>
    </row>
    <row r="4572" spans="1:4" ht="31.5" customHeight="1">
      <c r="A4572" s="120">
        <v>96757</v>
      </c>
      <c r="B4572" s="119" t="s">
        <v>6112</v>
      </c>
      <c r="C4572" s="120" t="s">
        <v>331</v>
      </c>
      <c r="D4572" s="441">
        <v>26.9</v>
      </c>
    </row>
    <row r="4573" spans="1:4" ht="31.5" customHeight="1">
      <c r="A4573" s="120">
        <v>96758</v>
      </c>
      <c r="B4573" s="119" t="s">
        <v>6113</v>
      </c>
      <c r="C4573" s="120" t="s">
        <v>331</v>
      </c>
      <c r="D4573" s="441">
        <v>20.8</v>
      </c>
    </row>
    <row r="4574" spans="1:4" ht="31.5" customHeight="1">
      <c r="A4574" s="120">
        <v>96759</v>
      </c>
      <c r="B4574" s="119" t="s">
        <v>6114</v>
      </c>
      <c r="C4574" s="120" t="s">
        <v>331</v>
      </c>
      <c r="D4574" s="441">
        <v>27.46</v>
      </c>
    </row>
    <row r="4575" spans="1:4" ht="31.5" customHeight="1">
      <c r="A4575" s="120">
        <v>96760</v>
      </c>
      <c r="B4575" s="119" t="s">
        <v>6115</v>
      </c>
      <c r="C4575" s="120" t="s">
        <v>331</v>
      </c>
      <c r="D4575" s="441">
        <v>47.76</v>
      </c>
    </row>
    <row r="4576" spans="1:4" ht="31.5" customHeight="1">
      <c r="A4576" s="120">
        <v>96761</v>
      </c>
      <c r="B4576" s="119" t="s">
        <v>6116</v>
      </c>
      <c r="C4576" s="120" t="s">
        <v>331</v>
      </c>
      <c r="D4576" s="441">
        <v>64.010000000000005</v>
      </c>
    </row>
    <row r="4577" spans="1:4" ht="31.5" customHeight="1">
      <c r="A4577" s="120">
        <v>96762</v>
      </c>
      <c r="B4577" s="119" t="s">
        <v>6117</v>
      </c>
      <c r="C4577" s="120" t="s">
        <v>331</v>
      </c>
      <c r="D4577" s="441">
        <v>127.76</v>
      </c>
    </row>
    <row r="4578" spans="1:4" ht="31.5" customHeight="1">
      <c r="A4578" s="120">
        <v>96763</v>
      </c>
      <c r="B4578" s="119" t="s">
        <v>6118</v>
      </c>
      <c r="C4578" s="120" t="s">
        <v>331</v>
      </c>
      <c r="D4578" s="441">
        <v>160.52000000000001</v>
      </c>
    </row>
    <row r="4579" spans="1:4" ht="31.5" customHeight="1">
      <c r="A4579" s="120">
        <v>96764</v>
      </c>
      <c r="B4579" s="119" t="s">
        <v>6119</v>
      </c>
      <c r="C4579" s="120" t="s">
        <v>331</v>
      </c>
      <c r="D4579" s="441">
        <v>323.87</v>
      </c>
    </row>
    <row r="4580" spans="1:4" ht="31.5" customHeight="1">
      <c r="A4580" s="120">
        <v>96802</v>
      </c>
      <c r="B4580" s="119" t="s">
        <v>6120</v>
      </c>
      <c r="C4580" s="120" t="s">
        <v>331</v>
      </c>
      <c r="D4580" s="441">
        <v>235.05</v>
      </c>
    </row>
    <row r="4581" spans="1:4" ht="31.5" customHeight="1">
      <c r="A4581" s="120">
        <v>96803</v>
      </c>
      <c r="B4581" s="119" t="s">
        <v>6121</v>
      </c>
      <c r="C4581" s="120" t="s">
        <v>331</v>
      </c>
      <c r="D4581" s="441">
        <v>124.56</v>
      </c>
    </row>
    <row r="4582" spans="1:4" ht="31.5" customHeight="1">
      <c r="A4582" s="120">
        <v>96804</v>
      </c>
      <c r="B4582" s="119" t="s">
        <v>6122</v>
      </c>
      <c r="C4582" s="120" t="s">
        <v>331</v>
      </c>
      <c r="D4582" s="441">
        <v>224.8</v>
      </c>
    </row>
    <row r="4583" spans="1:4" ht="31.5" customHeight="1">
      <c r="A4583" s="120">
        <v>96805</v>
      </c>
      <c r="B4583" s="119" t="s">
        <v>6123</v>
      </c>
      <c r="C4583" s="120" t="s">
        <v>331</v>
      </c>
      <c r="D4583" s="441">
        <v>243.4</v>
      </c>
    </row>
    <row r="4584" spans="1:4" ht="31.5" customHeight="1">
      <c r="A4584" s="120">
        <v>96806</v>
      </c>
      <c r="B4584" s="119" t="s">
        <v>6124</v>
      </c>
      <c r="C4584" s="120" t="s">
        <v>331</v>
      </c>
      <c r="D4584" s="441">
        <v>122.87</v>
      </c>
    </row>
    <row r="4585" spans="1:4" ht="31.5" customHeight="1">
      <c r="A4585" s="120">
        <v>96807</v>
      </c>
      <c r="B4585" s="119" t="s">
        <v>6125</v>
      </c>
      <c r="C4585" s="120" t="s">
        <v>331</v>
      </c>
      <c r="D4585" s="441">
        <v>207.24</v>
      </c>
    </row>
    <row r="4586" spans="1:4" ht="31.5" customHeight="1">
      <c r="A4586" s="120">
        <v>96808</v>
      </c>
      <c r="B4586" s="119" t="s">
        <v>6126</v>
      </c>
      <c r="C4586" s="120" t="s">
        <v>331</v>
      </c>
      <c r="D4586" s="441">
        <v>16.579999999999998</v>
      </c>
    </row>
    <row r="4587" spans="1:4" ht="31.5" customHeight="1">
      <c r="A4587" s="120">
        <v>96809</v>
      </c>
      <c r="B4587" s="119" t="s">
        <v>6127</v>
      </c>
      <c r="C4587" s="120" t="s">
        <v>331</v>
      </c>
      <c r="D4587" s="441">
        <v>18.059999999999999</v>
      </c>
    </row>
    <row r="4588" spans="1:4" ht="31.5" customHeight="1">
      <c r="A4588" s="120">
        <v>96810</v>
      </c>
      <c r="B4588" s="119" t="s">
        <v>6128</v>
      </c>
      <c r="C4588" s="120" t="s">
        <v>331</v>
      </c>
      <c r="D4588" s="441">
        <v>19.690000000000001</v>
      </c>
    </row>
    <row r="4589" spans="1:4" ht="31.5" customHeight="1">
      <c r="A4589" s="120">
        <v>96811</v>
      </c>
      <c r="B4589" s="119" t="s">
        <v>6129</v>
      </c>
      <c r="C4589" s="120" t="s">
        <v>331</v>
      </c>
      <c r="D4589" s="441">
        <v>20.77</v>
      </c>
    </row>
    <row r="4590" spans="1:4" ht="31.5" customHeight="1">
      <c r="A4590" s="120">
        <v>96812</v>
      </c>
      <c r="B4590" s="119" t="s">
        <v>6130</v>
      </c>
      <c r="C4590" s="120" t="s">
        <v>331</v>
      </c>
      <c r="D4590" s="441">
        <v>18.89</v>
      </c>
    </row>
    <row r="4591" spans="1:4" ht="31.5" customHeight="1">
      <c r="A4591" s="120">
        <v>96813</v>
      </c>
      <c r="B4591" s="119" t="s">
        <v>6131</v>
      </c>
      <c r="C4591" s="120" t="s">
        <v>331</v>
      </c>
      <c r="D4591" s="441">
        <v>21.46</v>
      </c>
    </row>
    <row r="4592" spans="1:4" ht="31.5" customHeight="1">
      <c r="A4592" s="120">
        <v>96814</v>
      </c>
      <c r="B4592" s="119" t="s">
        <v>6132</v>
      </c>
      <c r="C4592" s="120" t="s">
        <v>331</v>
      </c>
      <c r="D4592" s="441">
        <v>15.35</v>
      </c>
    </row>
    <row r="4593" spans="1:4" ht="31.5" customHeight="1">
      <c r="A4593" s="120">
        <v>96815</v>
      </c>
      <c r="B4593" s="119" t="s">
        <v>6133</v>
      </c>
      <c r="C4593" s="120" t="s">
        <v>331</v>
      </c>
      <c r="D4593" s="441">
        <v>31.28</v>
      </c>
    </row>
    <row r="4594" spans="1:4" ht="31.5" customHeight="1">
      <c r="A4594" s="120">
        <v>96816</v>
      </c>
      <c r="B4594" s="119" t="s">
        <v>6134</v>
      </c>
      <c r="C4594" s="120" t="s">
        <v>331</v>
      </c>
      <c r="D4594" s="441">
        <v>24.09</v>
      </c>
    </row>
    <row r="4595" spans="1:4" ht="31.5" customHeight="1">
      <c r="A4595" s="120">
        <v>96817</v>
      </c>
      <c r="B4595" s="119" t="s">
        <v>6135</v>
      </c>
      <c r="C4595" s="120" t="s">
        <v>331</v>
      </c>
      <c r="D4595" s="441">
        <v>31.5</v>
      </c>
    </row>
    <row r="4596" spans="1:4" ht="31.5" customHeight="1">
      <c r="A4596" s="120">
        <v>96818</v>
      </c>
      <c r="B4596" s="119" t="s">
        <v>6136</v>
      </c>
      <c r="C4596" s="120" t="s">
        <v>331</v>
      </c>
      <c r="D4596" s="441">
        <v>20.190000000000001</v>
      </c>
    </row>
    <row r="4597" spans="1:4" ht="31.5" customHeight="1">
      <c r="A4597" s="120">
        <v>96819</v>
      </c>
      <c r="B4597" s="119" t="s">
        <v>6137</v>
      </c>
      <c r="C4597" s="120" t="s">
        <v>331</v>
      </c>
      <c r="D4597" s="441">
        <v>21.66</v>
      </c>
    </row>
    <row r="4598" spans="1:4" ht="31.5" customHeight="1">
      <c r="A4598" s="120">
        <v>96820</v>
      </c>
      <c r="B4598" s="119" t="s">
        <v>6138</v>
      </c>
      <c r="C4598" s="120" t="s">
        <v>331</v>
      </c>
      <c r="D4598" s="441">
        <v>37.71</v>
      </c>
    </row>
    <row r="4599" spans="1:4" ht="31.5" customHeight="1">
      <c r="A4599" s="120">
        <v>96821</v>
      </c>
      <c r="B4599" s="119" t="s">
        <v>6139</v>
      </c>
      <c r="C4599" s="120" t="s">
        <v>331</v>
      </c>
      <c r="D4599" s="441">
        <v>34.979999999999997</v>
      </c>
    </row>
    <row r="4600" spans="1:4" ht="31.5" customHeight="1">
      <c r="A4600" s="120">
        <v>96822</v>
      </c>
      <c r="B4600" s="119" t="s">
        <v>6140</v>
      </c>
      <c r="C4600" s="120" t="s">
        <v>331</v>
      </c>
      <c r="D4600" s="441">
        <v>28.21</v>
      </c>
    </row>
    <row r="4601" spans="1:4" ht="31.5" customHeight="1">
      <c r="A4601" s="120">
        <v>96823</v>
      </c>
      <c r="B4601" s="119" t="s">
        <v>6141</v>
      </c>
      <c r="C4601" s="120" t="s">
        <v>331</v>
      </c>
      <c r="D4601" s="441">
        <v>10.67</v>
      </c>
    </row>
    <row r="4602" spans="1:4" ht="31.5" customHeight="1">
      <c r="A4602" s="120">
        <v>96824</v>
      </c>
      <c r="B4602" s="119" t="s">
        <v>6142</v>
      </c>
      <c r="C4602" s="120" t="s">
        <v>331</v>
      </c>
      <c r="D4602" s="441">
        <v>16.82</v>
      </c>
    </row>
    <row r="4603" spans="1:4" ht="31.5" customHeight="1">
      <c r="A4603" s="120">
        <v>96826</v>
      </c>
      <c r="B4603" s="119" t="s">
        <v>6143</v>
      </c>
      <c r="C4603" s="120" t="s">
        <v>331</v>
      </c>
      <c r="D4603" s="441">
        <v>12.41</v>
      </c>
    </row>
    <row r="4604" spans="1:4" ht="31.5" customHeight="1">
      <c r="A4604" s="120">
        <v>96827</v>
      </c>
      <c r="B4604" s="119" t="s">
        <v>6144</v>
      </c>
      <c r="C4604" s="120" t="s">
        <v>331</v>
      </c>
      <c r="D4604" s="441">
        <v>18.25</v>
      </c>
    </row>
    <row r="4605" spans="1:4" ht="31.5" customHeight="1">
      <c r="A4605" s="120">
        <v>96828</v>
      </c>
      <c r="B4605" s="119" t="s">
        <v>6145</v>
      </c>
      <c r="C4605" s="120" t="s">
        <v>331</v>
      </c>
      <c r="D4605" s="441">
        <v>22.28</v>
      </c>
    </row>
    <row r="4606" spans="1:4" ht="31.5" customHeight="1">
      <c r="A4606" s="120">
        <v>96829</v>
      </c>
      <c r="B4606" s="119" t="s">
        <v>6146</v>
      </c>
      <c r="C4606" s="120" t="s">
        <v>331</v>
      </c>
      <c r="D4606" s="441">
        <v>19.28</v>
      </c>
    </row>
    <row r="4607" spans="1:4" ht="31.5" customHeight="1">
      <c r="A4607" s="120">
        <v>96830</v>
      </c>
      <c r="B4607" s="119" t="s">
        <v>6147</v>
      </c>
      <c r="C4607" s="120" t="s">
        <v>331</v>
      </c>
      <c r="D4607" s="441">
        <v>28.01</v>
      </c>
    </row>
    <row r="4608" spans="1:4" ht="31.5" customHeight="1">
      <c r="A4608" s="120">
        <v>96832</v>
      </c>
      <c r="B4608" s="119" t="s">
        <v>6148</v>
      </c>
      <c r="C4608" s="120" t="s">
        <v>331</v>
      </c>
      <c r="D4608" s="441">
        <v>27.54</v>
      </c>
    </row>
    <row r="4609" spans="1:4" ht="31.5" customHeight="1">
      <c r="A4609" s="120">
        <v>96833</v>
      </c>
      <c r="B4609" s="119" t="s">
        <v>6149</v>
      </c>
      <c r="C4609" s="120" t="s">
        <v>331</v>
      </c>
      <c r="D4609" s="441">
        <v>24.03</v>
      </c>
    </row>
    <row r="4610" spans="1:4" ht="31.5" customHeight="1">
      <c r="A4610" s="120">
        <v>96834</v>
      </c>
      <c r="B4610" s="119" t="s">
        <v>6150</v>
      </c>
      <c r="C4610" s="120" t="s">
        <v>331</v>
      </c>
      <c r="D4610" s="441">
        <v>40.08</v>
      </c>
    </row>
    <row r="4611" spans="1:4" ht="31.5" customHeight="1">
      <c r="A4611" s="120">
        <v>96836</v>
      </c>
      <c r="B4611" s="119" t="s">
        <v>6151</v>
      </c>
      <c r="C4611" s="120" t="s">
        <v>331</v>
      </c>
      <c r="D4611" s="441">
        <v>36.39</v>
      </c>
    </row>
    <row r="4612" spans="1:4" ht="31.5" customHeight="1">
      <c r="A4612" s="120">
        <v>96837</v>
      </c>
      <c r="B4612" s="119" t="s">
        <v>6152</v>
      </c>
      <c r="C4612" s="120" t="s">
        <v>331</v>
      </c>
      <c r="D4612" s="441">
        <v>20.13</v>
      </c>
    </row>
    <row r="4613" spans="1:4" ht="31.5" customHeight="1">
      <c r="A4613" s="120">
        <v>96838</v>
      </c>
      <c r="B4613" s="119" t="s">
        <v>6153</v>
      </c>
      <c r="C4613" s="120" t="s">
        <v>331</v>
      </c>
      <c r="D4613" s="441">
        <v>24.6</v>
      </c>
    </row>
    <row r="4614" spans="1:4" ht="31.5" customHeight="1">
      <c r="A4614" s="120">
        <v>96839</v>
      </c>
      <c r="B4614" s="119" t="s">
        <v>6154</v>
      </c>
      <c r="C4614" s="120" t="s">
        <v>331</v>
      </c>
      <c r="D4614" s="441">
        <v>25.31</v>
      </c>
    </row>
    <row r="4615" spans="1:4" ht="31.5" customHeight="1">
      <c r="A4615" s="120">
        <v>96840</v>
      </c>
      <c r="B4615" s="119" t="s">
        <v>6155</v>
      </c>
      <c r="C4615" s="120" t="s">
        <v>331</v>
      </c>
      <c r="D4615" s="441">
        <v>24.25</v>
      </c>
    </row>
    <row r="4616" spans="1:4" ht="31.5" customHeight="1">
      <c r="A4616" s="120">
        <v>96841</v>
      </c>
      <c r="B4616" s="119" t="s">
        <v>6156</v>
      </c>
      <c r="C4616" s="120" t="s">
        <v>331</v>
      </c>
      <c r="D4616" s="441">
        <v>27.16</v>
      </c>
    </row>
    <row r="4617" spans="1:4" ht="31.5" customHeight="1">
      <c r="A4617" s="120">
        <v>96842</v>
      </c>
      <c r="B4617" s="119" t="s">
        <v>6157</v>
      </c>
      <c r="C4617" s="120" t="s">
        <v>331</v>
      </c>
      <c r="D4617" s="441">
        <v>30.98</v>
      </c>
    </row>
    <row r="4618" spans="1:4" ht="31.5" customHeight="1">
      <c r="A4618" s="120">
        <v>96843</v>
      </c>
      <c r="B4618" s="119" t="s">
        <v>6158</v>
      </c>
      <c r="C4618" s="120" t="s">
        <v>331</v>
      </c>
      <c r="D4618" s="441">
        <v>28.13</v>
      </c>
    </row>
    <row r="4619" spans="1:4" ht="31.5" customHeight="1">
      <c r="A4619" s="120">
        <v>96844</v>
      </c>
      <c r="B4619" s="119" t="s">
        <v>6159</v>
      </c>
      <c r="C4619" s="120" t="s">
        <v>331</v>
      </c>
      <c r="D4619" s="441">
        <v>32.24</v>
      </c>
    </row>
    <row r="4620" spans="1:4" ht="31.5" customHeight="1">
      <c r="A4620" s="120">
        <v>96845</v>
      </c>
      <c r="B4620" s="119" t="s">
        <v>6160</v>
      </c>
      <c r="C4620" s="120" t="s">
        <v>331</v>
      </c>
      <c r="D4620" s="441">
        <v>37.01</v>
      </c>
    </row>
    <row r="4621" spans="1:4" ht="31.5" customHeight="1">
      <c r="A4621" s="120">
        <v>96846</v>
      </c>
      <c r="B4621" s="119" t="s">
        <v>6161</v>
      </c>
      <c r="C4621" s="120" t="s">
        <v>331</v>
      </c>
      <c r="D4621" s="441">
        <v>35.729999999999997</v>
      </c>
    </row>
    <row r="4622" spans="1:4" ht="31.5" customHeight="1">
      <c r="A4622" s="120">
        <v>96847</v>
      </c>
      <c r="B4622" s="119" t="s">
        <v>6162</v>
      </c>
      <c r="C4622" s="120" t="s">
        <v>331</v>
      </c>
      <c r="D4622" s="441">
        <v>35.299999999999997</v>
      </c>
    </row>
    <row r="4623" spans="1:4" ht="31.5" customHeight="1">
      <c r="A4623" s="120">
        <v>96848</v>
      </c>
      <c r="B4623" s="119" t="s">
        <v>6163</v>
      </c>
      <c r="C4623" s="120" t="s">
        <v>331</v>
      </c>
      <c r="D4623" s="441">
        <v>48.77</v>
      </c>
    </row>
    <row r="4624" spans="1:4" ht="31.5" customHeight="1">
      <c r="A4624" s="120">
        <v>96849</v>
      </c>
      <c r="B4624" s="119" t="s">
        <v>6164</v>
      </c>
      <c r="C4624" s="120" t="s">
        <v>331</v>
      </c>
      <c r="D4624" s="441">
        <v>15.79</v>
      </c>
    </row>
    <row r="4625" spans="1:4" ht="31.5" customHeight="1">
      <c r="A4625" s="120">
        <v>96850</v>
      </c>
      <c r="B4625" s="119" t="s">
        <v>6165</v>
      </c>
      <c r="C4625" s="120" t="s">
        <v>331</v>
      </c>
      <c r="D4625" s="441">
        <v>22.79</v>
      </c>
    </row>
    <row r="4626" spans="1:4" ht="31.5" customHeight="1">
      <c r="A4626" s="120">
        <v>96852</v>
      </c>
      <c r="B4626" s="119" t="s">
        <v>6166</v>
      </c>
      <c r="C4626" s="120" t="s">
        <v>331</v>
      </c>
      <c r="D4626" s="441">
        <v>19.95</v>
      </c>
    </row>
    <row r="4627" spans="1:4" ht="31.5" customHeight="1">
      <c r="A4627" s="120">
        <v>96853</v>
      </c>
      <c r="B4627" s="119" t="s">
        <v>6167</v>
      </c>
      <c r="C4627" s="120" t="s">
        <v>331</v>
      </c>
      <c r="D4627" s="441">
        <v>24.43</v>
      </c>
    </row>
    <row r="4628" spans="1:4" ht="31.5" customHeight="1">
      <c r="A4628" s="120">
        <v>96854</v>
      </c>
      <c r="B4628" s="119" t="s">
        <v>6168</v>
      </c>
      <c r="C4628" s="120" t="s">
        <v>331</v>
      </c>
      <c r="D4628" s="441">
        <v>29.73</v>
      </c>
    </row>
    <row r="4629" spans="1:4" ht="31.5" customHeight="1">
      <c r="A4629" s="120">
        <v>96855</v>
      </c>
      <c r="B4629" s="119" t="s">
        <v>6169</v>
      </c>
      <c r="C4629" s="120" t="s">
        <v>331</v>
      </c>
      <c r="D4629" s="441">
        <v>30.49</v>
      </c>
    </row>
    <row r="4630" spans="1:4" ht="31.5" customHeight="1">
      <c r="A4630" s="120">
        <v>96856</v>
      </c>
      <c r="B4630" s="119" t="s">
        <v>6170</v>
      </c>
      <c r="C4630" s="120" t="s">
        <v>331</v>
      </c>
      <c r="D4630" s="441">
        <v>33.36</v>
      </c>
    </row>
    <row r="4631" spans="1:4" ht="31.5" customHeight="1">
      <c r="A4631" s="120">
        <v>96860</v>
      </c>
      <c r="B4631" s="119" t="s">
        <v>6171</v>
      </c>
      <c r="C4631" s="120" t="s">
        <v>331</v>
      </c>
      <c r="D4631" s="441">
        <v>28.54</v>
      </c>
    </row>
    <row r="4632" spans="1:4" ht="31.5" customHeight="1">
      <c r="A4632" s="120">
        <v>96861</v>
      </c>
      <c r="B4632" s="119" t="s">
        <v>6172</v>
      </c>
      <c r="C4632" s="120" t="s">
        <v>331</v>
      </c>
      <c r="D4632" s="441">
        <v>35.950000000000003</v>
      </c>
    </row>
    <row r="4633" spans="1:4" ht="31.5" customHeight="1">
      <c r="A4633" s="120">
        <v>96862</v>
      </c>
      <c r="B4633" s="119" t="s">
        <v>6173</v>
      </c>
      <c r="C4633" s="120" t="s">
        <v>331</v>
      </c>
      <c r="D4633" s="441">
        <v>34.93</v>
      </c>
    </row>
    <row r="4634" spans="1:4" ht="31.5" customHeight="1">
      <c r="A4634" s="120">
        <v>96863</v>
      </c>
      <c r="B4634" s="119" t="s">
        <v>6174</v>
      </c>
      <c r="C4634" s="120" t="s">
        <v>331</v>
      </c>
      <c r="D4634" s="441">
        <v>37.17</v>
      </c>
    </row>
    <row r="4635" spans="1:4" ht="31.5" customHeight="1">
      <c r="A4635" s="120">
        <v>96864</v>
      </c>
      <c r="B4635" s="119" t="s">
        <v>6175</v>
      </c>
      <c r="C4635" s="120" t="s">
        <v>331</v>
      </c>
      <c r="D4635" s="441">
        <v>48.47</v>
      </c>
    </row>
    <row r="4636" spans="1:4" ht="31.5" customHeight="1">
      <c r="A4636" s="120">
        <v>96865</v>
      </c>
      <c r="B4636" s="119" t="s">
        <v>6176</v>
      </c>
      <c r="C4636" s="120" t="s">
        <v>331</v>
      </c>
      <c r="D4636" s="441">
        <v>43.92</v>
      </c>
    </row>
    <row r="4637" spans="1:4" ht="31.5" customHeight="1">
      <c r="A4637" s="120">
        <v>96866</v>
      </c>
      <c r="B4637" s="119" t="s">
        <v>6177</v>
      </c>
      <c r="C4637" s="120" t="s">
        <v>331</v>
      </c>
      <c r="D4637" s="441">
        <v>62.71</v>
      </c>
    </row>
    <row r="4638" spans="1:4" ht="31.5" customHeight="1">
      <c r="A4638" s="120">
        <v>96868</v>
      </c>
      <c r="B4638" s="119" t="s">
        <v>6178</v>
      </c>
      <c r="C4638" s="120" t="s">
        <v>331</v>
      </c>
      <c r="D4638" s="441">
        <v>28.64</v>
      </c>
    </row>
    <row r="4639" spans="1:4" ht="31.5" customHeight="1">
      <c r="A4639" s="120">
        <v>96869</v>
      </c>
      <c r="B4639" s="119" t="s">
        <v>6179</v>
      </c>
      <c r="C4639" s="120" t="s">
        <v>331</v>
      </c>
      <c r="D4639" s="441">
        <v>27.97</v>
      </c>
    </row>
    <row r="4640" spans="1:4" ht="31.5" customHeight="1">
      <c r="A4640" s="120">
        <v>96870</v>
      </c>
      <c r="B4640" s="119" t="s">
        <v>6180</v>
      </c>
      <c r="C4640" s="120" t="s">
        <v>331</v>
      </c>
      <c r="D4640" s="441">
        <v>41.13</v>
      </c>
    </row>
    <row r="4641" spans="1:4" ht="31.5" customHeight="1">
      <c r="A4641" s="120">
        <v>96871</v>
      </c>
      <c r="B4641" s="119" t="s">
        <v>6181</v>
      </c>
      <c r="C4641" s="120" t="s">
        <v>331</v>
      </c>
      <c r="D4641" s="441">
        <v>47.31</v>
      </c>
    </row>
    <row r="4642" spans="1:4" ht="31.5" customHeight="1">
      <c r="A4642" s="120">
        <v>96872</v>
      </c>
      <c r="B4642" s="119" t="s">
        <v>6182</v>
      </c>
      <c r="C4642" s="120" t="s">
        <v>331</v>
      </c>
      <c r="D4642" s="441">
        <v>44.81</v>
      </c>
    </row>
    <row r="4643" spans="1:4" ht="31.5" customHeight="1">
      <c r="A4643" s="120">
        <v>96873</v>
      </c>
      <c r="B4643" s="119" t="s">
        <v>6183</v>
      </c>
      <c r="C4643" s="120" t="s">
        <v>331</v>
      </c>
      <c r="D4643" s="441">
        <v>58.68</v>
      </c>
    </row>
    <row r="4644" spans="1:4" ht="31.5" customHeight="1">
      <c r="A4644" s="120">
        <v>96874</v>
      </c>
      <c r="B4644" s="119" t="s">
        <v>6184</v>
      </c>
      <c r="C4644" s="120" t="s">
        <v>331</v>
      </c>
      <c r="D4644" s="441">
        <v>54.31</v>
      </c>
    </row>
    <row r="4645" spans="1:4" ht="31.5" customHeight="1">
      <c r="A4645" s="120">
        <v>96875</v>
      </c>
      <c r="B4645" s="119" t="s">
        <v>6185</v>
      </c>
      <c r="C4645" s="120" t="s">
        <v>331</v>
      </c>
      <c r="D4645" s="441">
        <v>70.08</v>
      </c>
    </row>
    <row r="4646" spans="1:4" ht="31.5" customHeight="1">
      <c r="A4646" s="120">
        <v>96876</v>
      </c>
      <c r="B4646" s="119" t="s">
        <v>6186</v>
      </c>
      <c r="C4646" s="120" t="s">
        <v>331</v>
      </c>
      <c r="D4646" s="441">
        <v>156.74</v>
      </c>
    </row>
    <row r="4647" spans="1:4" ht="31.5" customHeight="1">
      <c r="A4647" s="120">
        <v>96878</v>
      </c>
      <c r="B4647" s="119" t="s">
        <v>6187</v>
      </c>
      <c r="C4647" s="120" t="s">
        <v>331</v>
      </c>
      <c r="D4647" s="441">
        <v>175.4</v>
      </c>
    </row>
    <row r="4648" spans="1:4" ht="31.5" customHeight="1">
      <c r="A4648" s="120">
        <v>96879</v>
      </c>
      <c r="B4648" s="119" t="s">
        <v>6188</v>
      </c>
      <c r="C4648" s="120" t="s">
        <v>331</v>
      </c>
      <c r="D4648" s="441">
        <v>170.35</v>
      </c>
    </row>
    <row r="4649" spans="1:4" ht="31.5" customHeight="1">
      <c r="A4649" s="120">
        <v>96881</v>
      </c>
      <c r="B4649" s="119" t="s">
        <v>6189</v>
      </c>
      <c r="C4649" s="120" t="s">
        <v>331</v>
      </c>
      <c r="D4649" s="441">
        <v>201.08</v>
      </c>
    </row>
    <row r="4650" spans="1:4" ht="31.5" customHeight="1">
      <c r="A4650" s="120">
        <v>97425</v>
      </c>
      <c r="B4650" s="119" t="s">
        <v>6190</v>
      </c>
      <c r="C4650" s="120" t="s">
        <v>331</v>
      </c>
      <c r="D4650" s="441">
        <v>34.71</v>
      </c>
    </row>
    <row r="4651" spans="1:4" ht="31.5" customHeight="1">
      <c r="A4651" s="120">
        <v>97426</v>
      </c>
      <c r="B4651" s="119" t="s">
        <v>6191</v>
      </c>
      <c r="C4651" s="120" t="s">
        <v>331</v>
      </c>
      <c r="D4651" s="441">
        <v>41.76</v>
      </c>
    </row>
    <row r="4652" spans="1:4" ht="31.5" customHeight="1">
      <c r="A4652" s="120">
        <v>97427</v>
      </c>
      <c r="B4652" s="119" t="s">
        <v>6192</v>
      </c>
      <c r="C4652" s="120" t="s">
        <v>331</v>
      </c>
      <c r="D4652" s="441">
        <v>47.1</v>
      </c>
    </row>
    <row r="4653" spans="1:4" ht="31.5" customHeight="1">
      <c r="A4653" s="120">
        <v>97428</v>
      </c>
      <c r="B4653" s="119" t="s">
        <v>6193</v>
      </c>
      <c r="C4653" s="120" t="s">
        <v>331</v>
      </c>
      <c r="D4653" s="441">
        <v>59.47</v>
      </c>
    </row>
    <row r="4654" spans="1:4" ht="31.5" customHeight="1">
      <c r="A4654" s="120">
        <v>97429</v>
      </c>
      <c r="B4654" s="119" t="s">
        <v>6194</v>
      </c>
      <c r="C4654" s="120" t="s">
        <v>331</v>
      </c>
      <c r="D4654" s="441">
        <v>70.86</v>
      </c>
    </row>
    <row r="4655" spans="1:4" ht="31.5" customHeight="1">
      <c r="A4655" s="120">
        <v>97430</v>
      </c>
      <c r="B4655" s="119" t="s">
        <v>6195</v>
      </c>
      <c r="C4655" s="120" t="s">
        <v>331</v>
      </c>
      <c r="D4655" s="441">
        <v>47.62</v>
      </c>
    </row>
    <row r="4656" spans="1:4" ht="31.5" customHeight="1">
      <c r="A4656" s="120">
        <v>97431</v>
      </c>
      <c r="B4656" s="119" t="s">
        <v>6196</v>
      </c>
      <c r="C4656" s="120" t="s">
        <v>331</v>
      </c>
      <c r="D4656" s="441">
        <v>53.13</v>
      </c>
    </row>
    <row r="4657" spans="1:4" ht="31.5" customHeight="1">
      <c r="A4657" s="120">
        <v>97432</v>
      </c>
      <c r="B4657" s="119" t="s">
        <v>6197</v>
      </c>
      <c r="C4657" s="120" t="s">
        <v>331</v>
      </c>
      <c r="D4657" s="441">
        <v>59.93</v>
      </c>
    </row>
    <row r="4658" spans="1:4" ht="31.5" customHeight="1">
      <c r="A4658" s="120">
        <v>97433</v>
      </c>
      <c r="B4658" s="119" t="s">
        <v>6198</v>
      </c>
      <c r="C4658" s="120" t="s">
        <v>331</v>
      </c>
      <c r="D4658" s="441">
        <v>108.27</v>
      </c>
    </row>
    <row r="4659" spans="1:4" ht="31.5" customHeight="1">
      <c r="A4659" s="120">
        <v>97434</v>
      </c>
      <c r="B4659" s="119" t="s">
        <v>6199</v>
      </c>
      <c r="C4659" s="120" t="s">
        <v>331</v>
      </c>
      <c r="D4659" s="441">
        <v>110.29</v>
      </c>
    </row>
    <row r="4660" spans="1:4" ht="31.5" customHeight="1">
      <c r="A4660" s="120">
        <v>97435</v>
      </c>
      <c r="B4660" s="119" t="s">
        <v>6200</v>
      </c>
      <c r="C4660" s="120" t="s">
        <v>331</v>
      </c>
      <c r="D4660" s="441">
        <v>126.65</v>
      </c>
    </row>
    <row r="4661" spans="1:4" ht="31.5" customHeight="1">
      <c r="A4661" s="120">
        <v>97436</v>
      </c>
      <c r="B4661" s="119" t="s">
        <v>6201</v>
      </c>
      <c r="C4661" s="120" t="s">
        <v>331</v>
      </c>
      <c r="D4661" s="441">
        <v>130.53</v>
      </c>
    </row>
    <row r="4662" spans="1:4" ht="31.5" customHeight="1">
      <c r="A4662" s="120">
        <v>97437</v>
      </c>
      <c r="B4662" s="119" t="s">
        <v>6202</v>
      </c>
      <c r="C4662" s="120" t="s">
        <v>331</v>
      </c>
      <c r="D4662" s="441">
        <v>144.93</v>
      </c>
    </row>
    <row r="4663" spans="1:4" ht="31.5" customHeight="1">
      <c r="A4663" s="120">
        <v>97438</v>
      </c>
      <c r="B4663" s="119" t="s">
        <v>6203</v>
      </c>
      <c r="C4663" s="120" t="s">
        <v>331</v>
      </c>
      <c r="D4663" s="441">
        <v>149.08000000000001</v>
      </c>
    </row>
    <row r="4664" spans="1:4" ht="31.5" customHeight="1">
      <c r="A4664" s="120">
        <v>97439</v>
      </c>
      <c r="B4664" s="119" t="s">
        <v>6204</v>
      </c>
      <c r="C4664" s="120" t="s">
        <v>331</v>
      </c>
      <c r="D4664" s="441">
        <v>163.71</v>
      </c>
    </row>
    <row r="4665" spans="1:4" ht="31.5" customHeight="1">
      <c r="A4665" s="120">
        <v>97440</v>
      </c>
      <c r="B4665" s="119" t="s">
        <v>6205</v>
      </c>
      <c r="C4665" s="120" t="s">
        <v>331</v>
      </c>
      <c r="D4665" s="441">
        <v>196.22</v>
      </c>
    </row>
    <row r="4666" spans="1:4" ht="31.5" customHeight="1">
      <c r="A4666" s="120">
        <v>97442</v>
      </c>
      <c r="B4666" s="119" t="s">
        <v>6206</v>
      </c>
      <c r="C4666" s="120" t="s">
        <v>331</v>
      </c>
      <c r="D4666" s="441">
        <v>216.76</v>
      </c>
    </row>
    <row r="4667" spans="1:4" ht="31.5" customHeight="1">
      <c r="A4667" s="120">
        <v>97443</v>
      </c>
      <c r="B4667" s="119" t="s">
        <v>6207</v>
      </c>
      <c r="C4667" s="120" t="s">
        <v>331</v>
      </c>
      <c r="D4667" s="441">
        <v>128.79</v>
      </c>
    </row>
    <row r="4668" spans="1:4" ht="31.5" customHeight="1">
      <c r="A4668" s="120">
        <v>97444</v>
      </c>
      <c r="B4668" s="119" t="s">
        <v>6208</v>
      </c>
      <c r="C4668" s="120" t="s">
        <v>331</v>
      </c>
      <c r="D4668" s="441">
        <v>151.61000000000001</v>
      </c>
    </row>
    <row r="4669" spans="1:4" ht="31.5" customHeight="1">
      <c r="A4669" s="120">
        <v>97446</v>
      </c>
      <c r="B4669" s="119" t="s">
        <v>6209</v>
      </c>
      <c r="C4669" s="120" t="s">
        <v>331</v>
      </c>
      <c r="D4669" s="441">
        <v>262.23</v>
      </c>
    </row>
    <row r="4670" spans="1:4" ht="31.5" customHeight="1">
      <c r="A4670" s="120">
        <v>97447</v>
      </c>
      <c r="B4670" s="119" t="s">
        <v>6210</v>
      </c>
      <c r="C4670" s="120" t="s">
        <v>331</v>
      </c>
      <c r="D4670" s="441">
        <v>262.23</v>
      </c>
    </row>
    <row r="4671" spans="1:4" ht="31.5" customHeight="1">
      <c r="A4671" s="120">
        <v>97449</v>
      </c>
      <c r="B4671" s="119" t="s">
        <v>6211</v>
      </c>
      <c r="C4671" s="120" t="s">
        <v>331</v>
      </c>
      <c r="D4671" s="441">
        <v>279.2</v>
      </c>
    </row>
    <row r="4672" spans="1:4" ht="31.5" customHeight="1">
      <c r="A4672" s="120">
        <v>97450</v>
      </c>
      <c r="B4672" s="119" t="s">
        <v>6212</v>
      </c>
      <c r="C4672" s="120" t="s">
        <v>331</v>
      </c>
      <c r="D4672" s="441">
        <v>341.34</v>
      </c>
    </row>
    <row r="4673" spans="1:4" ht="31.5" customHeight="1">
      <c r="A4673" s="120">
        <v>97452</v>
      </c>
      <c r="B4673" s="119" t="s">
        <v>6213</v>
      </c>
      <c r="C4673" s="120" t="s">
        <v>331</v>
      </c>
      <c r="D4673" s="441">
        <v>211.96</v>
      </c>
    </row>
    <row r="4674" spans="1:4" ht="31.5" customHeight="1">
      <c r="A4674" s="120">
        <v>97453</v>
      </c>
      <c r="B4674" s="119" t="s">
        <v>6214</v>
      </c>
      <c r="C4674" s="120" t="s">
        <v>331</v>
      </c>
      <c r="D4674" s="441">
        <v>224.99</v>
      </c>
    </row>
    <row r="4675" spans="1:4" ht="31.5" customHeight="1">
      <c r="A4675" s="120">
        <v>97454</v>
      </c>
      <c r="B4675" s="119" t="s">
        <v>6215</v>
      </c>
      <c r="C4675" s="120" t="s">
        <v>331</v>
      </c>
      <c r="D4675" s="441">
        <v>360.57</v>
      </c>
    </row>
    <row r="4676" spans="1:4" ht="31.5" customHeight="1">
      <c r="A4676" s="120">
        <v>97455</v>
      </c>
      <c r="B4676" s="119" t="s">
        <v>6216</v>
      </c>
      <c r="C4676" s="120" t="s">
        <v>331</v>
      </c>
      <c r="D4676" s="441">
        <v>381.4</v>
      </c>
    </row>
    <row r="4677" spans="1:4" ht="31.5" customHeight="1">
      <c r="A4677" s="120">
        <v>97456</v>
      </c>
      <c r="B4677" s="119" t="s">
        <v>6217</v>
      </c>
      <c r="C4677" s="120" t="s">
        <v>331</v>
      </c>
      <c r="D4677" s="441">
        <v>816.59</v>
      </c>
    </row>
    <row r="4678" spans="1:4" ht="31.5" customHeight="1">
      <c r="A4678" s="120">
        <v>97457</v>
      </c>
      <c r="B4678" s="119" t="s">
        <v>6218</v>
      </c>
      <c r="C4678" s="120" t="s">
        <v>331</v>
      </c>
      <c r="D4678" s="441">
        <v>723.13</v>
      </c>
    </row>
    <row r="4679" spans="1:4" ht="31.5" customHeight="1">
      <c r="A4679" s="120">
        <v>97458</v>
      </c>
      <c r="B4679" s="119" t="s">
        <v>6219</v>
      </c>
      <c r="C4679" s="120" t="s">
        <v>331</v>
      </c>
      <c r="D4679" s="441">
        <v>334.91</v>
      </c>
    </row>
    <row r="4680" spans="1:4" ht="31.5" customHeight="1">
      <c r="A4680" s="120">
        <v>97459</v>
      </c>
      <c r="B4680" s="119" t="s">
        <v>6220</v>
      </c>
      <c r="C4680" s="120" t="s">
        <v>331</v>
      </c>
      <c r="D4680" s="441">
        <v>574.29999999999995</v>
      </c>
    </row>
    <row r="4681" spans="1:4" ht="31.5" customHeight="1">
      <c r="A4681" s="120">
        <v>97460</v>
      </c>
      <c r="B4681" s="119" t="s">
        <v>6221</v>
      </c>
      <c r="C4681" s="120" t="s">
        <v>331</v>
      </c>
      <c r="D4681" s="441">
        <v>882.54</v>
      </c>
    </row>
    <row r="4682" spans="1:4" ht="31.5" customHeight="1">
      <c r="A4682" s="120">
        <v>97461</v>
      </c>
      <c r="B4682" s="119" t="s">
        <v>6222</v>
      </c>
      <c r="C4682" s="120" t="s">
        <v>331</v>
      </c>
      <c r="D4682" s="441">
        <v>40.57</v>
      </c>
    </row>
    <row r="4683" spans="1:4" ht="31.5" customHeight="1">
      <c r="A4683" s="120">
        <v>97462</v>
      </c>
      <c r="B4683" s="119" t="s">
        <v>6223</v>
      </c>
      <c r="C4683" s="120" t="s">
        <v>331</v>
      </c>
      <c r="D4683" s="441">
        <v>33.89</v>
      </c>
    </row>
    <row r="4684" spans="1:4" ht="31.5" customHeight="1">
      <c r="A4684" s="120">
        <v>97464</v>
      </c>
      <c r="B4684" s="119" t="s">
        <v>6224</v>
      </c>
      <c r="C4684" s="120" t="s">
        <v>331</v>
      </c>
      <c r="D4684" s="441">
        <v>58.42</v>
      </c>
    </row>
    <row r="4685" spans="1:4" ht="31.5" customHeight="1">
      <c r="A4685" s="120">
        <v>97465</v>
      </c>
      <c r="B4685" s="119" t="s">
        <v>6225</v>
      </c>
      <c r="C4685" s="120" t="s">
        <v>331</v>
      </c>
      <c r="D4685" s="441">
        <v>69.69</v>
      </c>
    </row>
    <row r="4686" spans="1:4" ht="31.5" customHeight="1">
      <c r="A4686" s="120">
        <v>97467</v>
      </c>
      <c r="B4686" s="119" t="s">
        <v>6226</v>
      </c>
      <c r="C4686" s="120" t="s">
        <v>331</v>
      </c>
      <c r="D4686" s="441">
        <v>74.13</v>
      </c>
    </row>
    <row r="4687" spans="1:4" ht="31.5" customHeight="1">
      <c r="A4687" s="120">
        <v>97468</v>
      </c>
      <c r="B4687" s="119" t="s">
        <v>6227</v>
      </c>
      <c r="C4687" s="120" t="s">
        <v>331</v>
      </c>
      <c r="D4687" s="441">
        <v>88.56</v>
      </c>
    </row>
    <row r="4688" spans="1:4" ht="31.5" customHeight="1">
      <c r="A4688" s="120">
        <v>97470</v>
      </c>
      <c r="B4688" s="119" t="s">
        <v>6228</v>
      </c>
      <c r="C4688" s="120" t="s">
        <v>331</v>
      </c>
      <c r="D4688" s="441">
        <v>109.45</v>
      </c>
    </row>
    <row r="4689" spans="1:4" ht="31.5" customHeight="1">
      <c r="A4689" s="120">
        <v>97471</v>
      </c>
      <c r="B4689" s="119" t="s">
        <v>6229</v>
      </c>
      <c r="C4689" s="120" t="s">
        <v>331</v>
      </c>
      <c r="D4689" s="441">
        <v>132.27000000000001</v>
      </c>
    </row>
    <row r="4690" spans="1:4" ht="31.5" customHeight="1">
      <c r="A4690" s="120">
        <v>97474</v>
      </c>
      <c r="B4690" s="119" t="s">
        <v>6230</v>
      </c>
      <c r="C4690" s="120" t="s">
        <v>331</v>
      </c>
      <c r="D4690" s="441">
        <v>200.05</v>
      </c>
    </row>
    <row r="4691" spans="1:4" ht="31.5" customHeight="1">
      <c r="A4691" s="120">
        <v>97475</v>
      </c>
      <c r="B4691" s="119" t="s">
        <v>6231</v>
      </c>
      <c r="C4691" s="120" t="s">
        <v>331</v>
      </c>
      <c r="D4691" s="441">
        <v>246.19</v>
      </c>
    </row>
    <row r="4692" spans="1:4" ht="31.5" customHeight="1">
      <c r="A4692" s="120">
        <v>97477</v>
      </c>
      <c r="B4692" s="119" t="s">
        <v>6232</v>
      </c>
      <c r="C4692" s="120" t="s">
        <v>331</v>
      </c>
      <c r="D4692" s="441">
        <v>266.48</v>
      </c>
    </row>
    <row r="4693" spans="1:4" ht="31.5" customHeight="1">
      <c r="A4693" s="120">
        <v>97478</v>
      </c>
      <c r="B4693" s="119" t="s">
        <v>6233</v>
      </c>
      <c r="C4693" s="120" t="s">
        <v>331</v>
      </c>
      <c r="D4693" s="441">
        <v>328.62</v>
      </c>
    </row>
    <row r="4694" spans="1:4" ht="31.5" customHeight="1">
      <c r="A4694" s="120">
        <v>97479</v>
      </c>
      <c r="B4694" s="119" t="s">
        <v>6234</v>
      </c>
      <c r="C4694" s="120" t="s">
        <v>331</v>
      </c>
      <c r="D4694" s="441">
        <v>65.459999999999994</v>
      </c>
    </row>
    <row r="4695" spans="1:4" ht="31.5" customHeight="1">
      <c r="A4695" s="120">
        <v>97480</v>
      </c>
      <c r="B4695" s="119" t="s">
        <v>6235</v>
      </c>
      <c r="C4695" s="120" t="s">
        <v>331</v>
      </c>
      <c r="D4695" s="441">
        <v>65.459999999999994</v>
      </c>
    </row>
    <row r="4696" spans="1:4" ht="31.5" customHeight="1">
      <c r="A4696" s="120">
        <v>97481</v>
      </c>
      <c r="B4696" s="119" t="s">
        <v>6236</v>
      </c>
      <c r="C4696" s="120" t="s">
        <v>331</v>
      </c>
      <c r="D4696" s="441">
        <v>94.82</v>
      </c>
    </row>
    <row r="4697" spans="1:4" ht="31.5" customHeight="1">
      <c r="A4697" s="120">
        <v>97482</v>
      </c>
      <c r="B4697" s="119" t="s">
        <v>6237</v>
      </c>
      <c r="C4697" s="120" t="s">
        <v>331</v>
      </c>
      <c r="D4697" s="441">
        <v>94.82</v>
      </c>
    </row>
    <row r="4698" spans="1:4" ht="31.5" customHeight="1">
      <c r="A4698" s="120">
        <v>97483</v>
      </c>
      <c r="B4698" s="119" t="s">
        <v>6238</v>
      </c>
      <c r="C4698" s="120" t="s">
        <v>331</v>
      </c>
      <c r="D4698" s="441">
        <v>132.74</v>
      </c>
    </row>
    <row r="4699" spans="1:4" ht="31.5" customHeight="1">
      <c r="A4699" s="120">
        <v>97484</v>
      </c>
      <c r="B4699" s="119" t="s">
        <v>6239</v>
      </c>
      <c r="C4699" s="120" t="s">
        <v>331</v>
      </c>
      <c r="D4699" s="441">
        <v>132.74</v>
      </c>
    </row>
    <row r="4700" spans="1:4" ht="31.5" customHeight="1">
      <c r="A4700" s="120">
        <v>97485</v>
      </c>
      <c r="B4700" s="119" t="s">
        <v>6240</v>
      </c>
      <c r="C4700" s="120" t="s">
        <v>331</v>
      </c>
      <c r="D4700" s="441">
        <v>183</v>
      </c>
    </row>
    <row r="4701" spans="1:4" ht="31.5" customHeight="1">
      <c r="A4701" s="120">
        <v>97486</v>
      </c>
      <c r="B4701" s="119" t="s">
        <v>6241</v>
      </c>
      <c r="C4701" s="120" t="s">
        <v>331</v>
      </c>
      <c r="D4701" s="441">
        <v>196.03</v>
      </c>
    </row>
    <row r="4702" spans="1:4" ht="31.5" customHeight="1">
      <c r="A4702" s="120">
        <v>97487</v>
      </c>
      <c r="B4702" s="119" t="s">
        <v>6242</v>
      </c>
      <c r="C4702" s="120" t="s">
        <v>331</v>
      </c>
      <c r="D4702" s="441">
        <v>336.57</v>
      </c>
    </row>
    <row r="4703" spans="1:4" ht="31.5" customHeight="1">
      <c r="A4703" s="120">
        <v>97488</v>
      </c>
      <c r="B4703" s="119" t="s">
        <v>6243</v>
      </c>
      <c r="C4703" s="120" t="s">
        <v>331</v>
      </c>
      <c r="D4703" s="441">
        <v>357.4</v>
      </c>
    </row>
    <row r="4704" spans="1:4" ht="31.5" customHeight="1">
      <c r="A4704" s="120">
        <v>97489</v>
      </c>
      <c r="B4704" s="119" t="s">
        <v>6244</v>
      </c>
      <c r="C4704" s="120" t="s">
        <v>331</v>
      </c>
      <c r="D4704" s="441">
        <v>797.45</v>
      </c>
    </row>
    <row r="4705" spans="1:4" ht="31.5" customHeight="1">
      <c r="A4705" s="120">
        <v>97490</v>
      </c>
      <c r="B4705" s="119" t="s">
        <v>6245</v>
      </c>
      <c r="C4705" s="120" t="s">
        <v>331</v>
      </c>
      <c r="D4705" s="441">
        <v>703.99</v>
      </c>
    </row>
    <row r="4706" spans="1:4" ht="31.5" customHeight="1">
      <c r="A4706" s="120">
        <v>97491</v>
      </c>
      <c r="B4706" s="119" t="s">
        <v>6246</v>
      </c>
      <c r="C4706" s="120" t="s">
        <v>331</v>
      </c>
      <c r="D4706" s="441">
        <v>101.05</v>
      </c>
    </row>
    <row r="4707" spans="1:4" ht="31.5" customHeight="1">
      <c r="A4707" s="120">
        <v>97492</v>
      </c>
      <c r="B4707" s="119" t="s">
        <v>6247</v>
      </c>
      <c r="C4707" s="120" t="s">
        <v>331</v>
      </c>
      <c r="D4707" s="441">
        <v>148.19</v>
      </c>
    </row>
    <row r="4708" spans="1:4" ht="31.5" customHeight="1">
      <c r="A4708" s="120">
        <v>97493</v>
      </c>
      <c r="B4708" s="119" t="s">
        <v>6248</v>
      </c>
      <c r="C4708" s="120" t="s">
        <v>331</v>
      </c>
      <c r="D4708" s="441">
        <v>191.08</v>
      </c>
    </row>
    <row r="4709" spans="1:4" ht="31.5" customHeight="1">
      <c r="A4709" s="120">
        <v>97494</v>
      </c>
      <c r="B4709" s="119" t="s">
        <v>6249</v>
      </c>
      <c r="C4709" s="120" t="s">
        <v>331</v>
      </c>
      <c r="D4709" s="441">
        <v>296.24</v>
      </c>
    </row>
    <row r="4710" spans="1:4" ht="31.5" customHeight="1">
      <c r="A4710" s="120">
        <v>97495</v>
      </c>
      <c r="B4710" s="119" t="s">
        <v>6250</v>
      </c>
      <c r="C4710" s="120" t="s">
        <v>331</v>
      </c>
      <c r="D4710" s="441">
        <v>542.23</v>
      </c>
    </row>
    <row r="4711" spans="1:4" ht="31.5" customHeight="1">
      <c r="A4711" s="120">
        <v>97496</v>
      </c>
      <c r="B4711" s="119" t="s">
        <v>6251</v>
      </c>
      <c r="C4711" s="120" t="s">
        <v>331</v>
      </c>
      <c r="D4711" s="441">
        <v>857.08</v>
      </c>
    </row>
    <row r="4712" spans="1:4" ht="31.5" customHeight="1">
      <c r="A4712" s="120">
        <v>97499</v>
      </c>
      <c r="B4712" s="119" t="s">
        <v>6252</v>
      </c>
      <c r="C4712" s="120" t="s">
        <v>331</v>
      </c>
      <c r="D4712" s="441">
        <v>37.450000000000003</v>
      </c>
    </row>
    <row r="4713" spans="1:4" ht="31.5" customHeight="1">
      <c r="A4713" s="120">
        <v>97500</v>
      </c>
      <c r="B4713" s="119" t="s">
        <v>6253</v>
      </c>
      <c r="C4713" s="120" t="s">
        <v>331</v>
      </c>
      <c r="D4713" s="441">
        <v>30.77</v>
      </c>
    </row>
    <row r="4714" spans="1:4" ht="31.5" customHeight="1">
      <c r="A4714" s="120">
        <v>97502</v>
      </c>
      <c r="B4714" s="119" t="s">
        <v>6254</v>
      </c>
      <c r="C4714" s="120" t="s">
        <v>331</v>
      </c>
      <c r="D4714" s="441">
        <v>52.64</v>
      </c>
    </row>
    <row r="4715" spans="1:4" ht="31.5" customHeight="1">
      <c r="A4715" s="120">
        <v>97503</v>
      </c>
      <c r="B4715" s="119" t="s">
        <v>6255</v>
      </c>
      <c r="C4715" s="120" t="s">
        <v>331</v>
      </c>
      <c r="D4715" s="441">
        <v>64.19</v>
      </c>
    </row>
    <row r="4716" spans="1:4" ht="31.5" customHeight="1">
      <c r="A4716" s="120">
        <v>97505</v>
      </c>
      <c r="B4716" s="119" t="s">
        <v>6256</v>
      </c>
      <c r="C4716" s="120" t="s">
        <v>331</v>
      </c>
      <c r="D4716" s="441">
        <v>65.98</v>
      </c>
    </row>
    <row r="4717" spans="1:4" ht="31.5" customHeight="1">
      <c r="A4717" s="120">
        <v>97506</v>
      </c>
      <c r="B4717" s="119" t="s">
        <v>6257</v>
      </c>
      <c r="C4717" s="120" t="s">
        <v>331</v>
      </c>
      <c r="D4717" s="441">
        <v>80.41</v>
      </c>
    </row>
    <row r="4718" spans="1:4" ht="31.5" customHeight="1">
      <c r="A4718" s="120">
        <v>97508</v>
      </c>
      <c r="B4718" s="119" t="s">
        <v>6258</v>
      </c>
      <c r="C4718" s="120" t="s">
        <v>331</v>
      </c>
      <c r="D4718" s="441">
        <v>97.91</v>
      </c>
    </row>
    <row r="4719" spans="1:4" ht="31.5" customHeight="1">
      <c r="A4719" s="120">
        <v>97509</v>
      </c>
      <c r="B4719" s="119" t="s">
        <v>6259</v>
      </c>
      <c r="C4719" s="120" t="s">
        <v>331</v>
      </c>
      <c r="D4719" s="441">
        <v>120.73</v>
      </c>
    </row>
    <row r="4720" spans="1:4" ht="31.5" customHeight="1">
      <c r="A4720" s="120">
        <v>97511</v>
      </c>
      <c r="B4720" s="119" t="s">
        <v>6260</v>
      </c>
      <c r="C4720" s="120" t="s">
        <v>331</v>
      </c>
      <c r="D4720" s="441">
        <v>183.47</v>
      </c>
    </row>
    <row r="4721" spans="1:4" ht="31.5" customHeight="1">
      <c r="A4721" s="120">
        <v>97512</v>
      </c>
      <c r="B4721" s="119" t="s">
        <v>6261</v>
      </c>
      <c r="C4721" s="120" t="s">
        <v>331</v>
      </c>
      <c r="D4721" s="441">
        <v>229.61</v>
      </c>
    </row>
    <row r="4722" spans="1:4" ht="31.5" customHeight="1">
      <c r="A4722" s="120">
        <v>97514</v>
      </c>
      <c r="B4722" s="119" t="s">
        <v>6262</v>
      </c>
      <c r="C4722" s="120" t="s">
        <v>331</v>
      </c>
      <c r="D4722" s="441">
        <v>244.67</v>
      </c>
    </row>
    <row r="4723" spans="1:4" ht="31.5" customHeight="1">
      <c r="A4723" s="120">
        <v>97515</v>
      </c>
      <c r="B4723" s="119" t="s">
        <v>6263</v>
      </c>
      <c r="C4723" s="120" t="s">
        <v>331</v>
      </c>
      <c r="D4723" s="441">
        <v>306.81</v>
      </c>
    </row>
    <row r="4724" spans="1:4" ht="31.5" customHeight="1">
      <c r="A4724" s="120">
        <v>97517</v>
      </c>
      <c r="B4724" s="119" t="s">
        <v>6264</v>
      </c>
      <c r="C4724" s="120" t="s">
        <v>331</v>
      </c>
      <c r="D4724" s="441">
        <v>60.78</v>
      </c>
    </row>
    <row r="4725" spans="1:4" ht="31.5" customHeight="1">
      <c r="A4725" s="120">
        <v>97518</v>
      </c>
      <c r="B4725" s="119" t="s">
        <v>6265</v>
      </c>
      <c r="C4725" s="120" t="s">
        <v>331</v>
      </c>
      <c r="D4725" s="441">
        <v>60.78</v>
      </c>
    </row>
    <row r="4726" spans="1:4" ht="31.5" customHeight="1">
      <c r="A4726" s="120">
        <v>97519</v>
      </c>
      <c r="B4726" s="119" t="s">
        <v>6266</v>
      </c>
      <c r="C4726" s="120" t="s">
        <v>331</v>
      </c>
      <c r="D4726" s="441">
        <v>86.56</v>
      </c>
    </row>
    <row r="4727" spans="1:4" ht="31.5" customHeight="1">
      <c r="A4727" s="120">
        <v>97520</v>
      </c>
      <c r="B4727" s="119" t="s">
        <v>6267</v>
      </c>
      <c r="C4727" s="120" t="s">
        <v>331</v>
      </c>
      <c r="D4727" s="441">
        <v>86.56</v>
      </c>
    </row>
    <row r="4728" spans="1:4" ht="31.5" customHeight="1">
      <c r="A4728" s="120">
        <v>97521</v>
      </c>
      <c r="B4728" s="119" t="s">
        <v>6268</v>
      </c>
      <c r="C4728" s="120" t="s">
        <v>331</v>
      </c>
      <c r="D4728" s="441">
        <v>120.46</v>
      </c>
    </row>
    <row r="4729" spans="1:4" ht="31.5" customHeight="1">
      <c r="A4729" s="120">
        <v>97522</v>
      </c>
      <c r="B4729" s="119" t="s">
        <v>6269</v>
      </c>
      <c r="C4729" s="120" t="s">
        <v>331</v>
      </c>
      <c r="D4729" s="441">
        <v>120.46</v>
      </c>
    </row>
    <row r="4730" spans="1:4" ht="31.5" customHeight="1">
      <c r="A4730" s="120">
        <v>97523</v>
      </c>
      <c r="B4730" s="119" t="s">
        <v>6270</v>
      </c>
      <c r="C4730" s="120" t="s">
        <v>331</v>
      </c>
      <c r="D4730" s="441">
        <v>165.67</v>
      </c>
    </row>
    <row r="4731" spans="1:4" ht="31.5" customHeight="1">
      <c r="A4731" s="120">
        <v>97524</v>
      </c>
      <c r="B4731" s="119" t="s">
        <v>6271</v>
      </c>
      <c r="C4731" s="120" t="s">
        <v>331</v>
      </c>
      <c r="D4731" s="441">
        <v>178.7</v>
      </c>
    </row>
    <row r="4732" spans="1:4" ht="31.5" customHeight="1">
      <c r="A4732" s="120">
        <v>97525</v>
      </c>
      <c r="B4732" s="119" t="s">
        <v>6272</v>
      </c>
      <c r="C4732" s="120" t="s">
        <v>331</v>
      </c>
      <c r="D4732" s="441">
        <v>311.56</v>
      </c>
    </row>
    <row r="4733" spans="1:4" ht="31.5" customHeight="1">
      <c r="A4733" s="120">
        <v>97526</v>
      </c>
      <c r="B4733" s="119" t="s">
        <v>6273</v>
      </c>
      <c r="C4733" s="120" t="s">
        <v>331</v>
      </c>
      <c r="D4733" s="441">
        <v>332.39</v>
      </c>
    </row>
    <row r="4734" spans="1:4" ht="31.5" customHeight="1">
      <c r="A4734" s="120">
        <v>97527</v>
      </c>
      <c r="B4734" s="119" t="s">
        <v>6274</v>
      </c>
      <c r="C4734" s="120" t="s">
        <v>331</v>
      </c>
      <c r="D4734" s="441">
        <v>764.82</v>
      </c>
    </row>
    <row r="4735" spans="1:4" ht="31.5" customHeight="1">
      <c r="A4735" s="120">
        <v>97528</v>
      </c>
      <c r="B4735" s="119" t="s">
        <v>6275</v>
      </c>
      <c r="C4735" s="120" t="s">
        <v>331</v>
      </c>
      <c r="D4735" s="441">
        <v>671.36</v>
      </c>
    </row>
    <row r="4736" spans="1:4" ht="31.5" customHeight="1">
      <c r="A4736" s="120">
        <v>97529</v>
      </c>
      <c r="B4736" s="119" t="s">
        <v>6276</v>
      </c>
      <c r="C4736" s="120" t="s">
        <v>331</v>
      </c>
      <c r="D4736" s="441">
        <v>94.91</v>
      </c>
    </row>
    <row r="4737" spans="1:4" ht="31.5" customHeight="1">
      <c r="A4737" s="120">
        <v>97530</v>
      </c>
      <c r="B4737" s="119" t="s">
        <v>6277</v>
      </c>
      <c r="C4737" s="120" t="s">
        <v>331</v>
      </c>
      <c r="D4737" s="441">
        <v>137.19999999999999</v>
      </c>
    </row>
    <row r="4738" spans="1:4" ht="31.5" customHeight="1">
      <c r="A4738" s="120">
        <v>97531</v>
      </c>
      <c r="B4738" s="119" t="s">
        <v>6278</v>
      </c>
      <c r="C4738" s="120" t="s">
        <v>331</v>
      </c>
      <c r="D4738" s="441">
        <v>174.68</v>
      </c>
    </row>
    <row r="4739" spans="1:4" ht="31.5" customHeight="1">
      <c r="A4739" s="120">
        <v>97532</v>
      </c>
      <c r="B4739" s="119" t="s">
        <v>6279</v>
      </c>
      <c r="C4739" s="120" t="s">
        <v>331</v>
      </c>
      <c r="D4739" s="441">
        <v>273.16000000000003</v>
      </c>
    </row>
    <row r="4740" spans="1:4" ht="31.5" customHeight="1">
      <c r="A4740" s="120">
        <v>97533</v>
      </c>
      <c r="B4740" s="119" t="s">
        <v>6280</v>
      </c>
      <c r="C4740" s="120" t="s">
        <v>331</v>
      </c>
      <c r="D4740" s="441">
        <v>513.83000000000004</v>
      </c>
    </row>
    <row r="4741" spans="1:4" ht="31.5" customHeight="1">
      <c r="A4741" s="120">
        <v>97534</v>
      </c>
      <c r="B4741" s="119" t="s">
        <v>6281</v>
      </c>
      <c r="C4741" s="120" t="s">
        <v>331</v>
      </c>
      <c r="D4741" s="441">
        <v>813.55</v>
      </c>
    </row>
    <row r="4742" spans="1:4" ht="31.5" customHeight="1">
      <c r="A4742" s="120">
        <v>97537</v>
      </c>
      <c r="B4742" s="119" t="s">
        <v>6282</v>
      </c>
      <c r="C4742" s="120" t="s">
        <v>331</v>
      </c>
      <c r="D4742" s="441">
        <v>28.16</v>
      </c>
    </row>
    <row r="4743" spans="1:4" ht="31.5" customHeight="1">
      <c r="A4743" s="120">
        <v>97540</v>
      </c>
      <c r="B4743" s="119" t="s">
        <v>6283</v>
      </c>
      <c r="C4743" s="120" t="s">
        <v>331</v>
      </c>
      <c r="D4743" s="441">
        <v>37.909999999999997</v>
      </c>
    </row>
    <row r="4744" spans="1:4" ht="31.5" customHeight="1">
      <c r="A4744" s="120">
        <v>97541</v>
      </c>
      <c r="B4744" s="119" t="s">
        <v>6284</v>
      </c>
      <c r="C4744" s="120" t="s">
        <v>331</v>
      </c>
      <c r="D4744" s="441">
        <v>32.36</v>
      </c>
    </row>
    <row r="4745" spans="1:4" ht="31.5" customHeight="1">
      <c r="A4745" s="120">
        <v>97543</v>
      </c>
      <c r="B4745" s="119" t="s">
        <v>6285</v>
      </c>
      <c r="C4745" s="120" t="s">
        <v>331</v>
      </c>
      <c r="D4745" s="441">
        <v>61.73</v>
      </c>
    </row>
    <row r="4746" spans="1:4" ht="31.5" customHeight="1">
      <c r="A4746" s="120">
        <v>97544</v>
      </c>
      <c r="B4746" s="119" t="s">
        <v>6286</v>
      </c>
      <c r="C4746" s="120" t="s">
        <v>331</v>
      </c>
      <c r="D4746" s="441">
        <v>55.05</v>
      </c>
    </row>
    <row r="4747" spans="1:4" ht="31.5" customHeight="1">
      <c r="A4747" s="120">
        <v>97546</v>
      </c>
      <c r="B4747" s="119" t="s">
        <v>6287</v>
      </c>
      <c r="C4747" s="120" t="s">
        <v>331</v>
      </c>
      <c r="D4747" s="441">
        <v>39.42</v>
      </c>
    </row>
    <row r="4748" spans="1:4" ht="31.5" customHeight="1">
      <c r="A4748" s="120">
        <v>97547</v>
      </c>
      <c r="B4748" s="119" t="s">
        <v>6288</v>
      </c>
      <c r="C4748" s="120" t="s">
        <v>331</v>
      </c>
      <c r="D4748" s="441">
        <v>39.42</v>
      </c>
    </row>
    <row r="4749" spans="1:4" ht="31.5" customHeight="1">
      <c r="A4749" s="120">
        <v>97548</v>
      </c>
      <c r="B4749" s="119" t="s">
        <v>6289</v>
      </c>
      <c r="C4749" s="120" t="s">
        <v>331</v>
      </c>
      <c r="D4749" s="441">
        <v>58.5</v>
      </c>
    </row>
    <row r="4750" spans="1:4" ht="31.5" customHeight="1">
      <c r="A4750" s="120">
        <v>97549</v>
      </c>
      <c r="B4750" s="119" t="s">
        <v>6290</v>
      </c>
      <c r="C4750" s="120" t="s">
        <v>331</v>
      </c>
      <c r="D4750" s="441">
        <v>58.5</v>
      </c>
    </row>
    <row r="4751" spans="1:4" ht="31.5" customHeight="1">
      <c r="A4751" s="120">
        <v>97550</v>
      </c>
      <c r="B4751" s="119" t="s">
        <v>6291</v>
      </c>
      <c r="C4751" s="120" t="s">
        <v>331</v>
      </c>
      <c r="D4751" s="441">
        <v>97.25</v>
      </c>
    </row>
    <row r="4752" spans="1:4" ht="31.5" customHeight="1">
      <c r="A4752" s="120">
        <v>97551</v>
      </c>
      <c r="B4752" s="119" t="s">
        <v>6292</v>
      </c>
      <c r="C4752" s="120" t="s">
        <v>331</v>
      </c>
      <c r="D4752" s="441">
        <v>97.25</v>
      </c>
    </row>
    <row r="4753" spans="1:4" ht="31.5" customHeight="1">
      <c r="A4753" s="120">
        <v>97552</v>
      </c>
      <c r="B4753" s="119" t="s">
        <v>6293</v>
      </c>
      <c r="C4753" s="120" t="s">
        <v>331</v>
      </c>
      <c r="D4753" s="441">
        <v>57.4</v>
      </c>
    </row>
    <row r="4754" spans="1:4" ht="31.5" customHeight="1">
      <c r="A4754" s="120">
        <v>97553</v>
      </c>
      <c r="B4754" s="119" t="s">
        <v>6294</v>
      </c>
      <c r="C4754" s="120" t="s">
        <v>331</v>
      </c>
      <c r="D4754" s="441">
        <v>82.84</v>
      </c>
    </row>
    <row r="4755" spans="1:4" ht="31.5" customHeight="1">
      <c r="A4755" s="120">
        <v>97554</v>
      </c>
      <c r="B4755" s="119" t="s">
        <v>6295</v>
      </c>
      <c r="C4755" s="120" t="s">
        <v>331</v>
      </c>
      <c r="D4755" s="441">
        <v>143.57</v>
      </c>
    </row>
    <row r="4756" spans="1:4" ht="31.5" customHeight="1">
      <c r="A4756" s="120">
        <v>98602</v>
      </c>
      <c r="B4756" s="119" t="s">
        <v>6296</v>
      </c>
      <c r="C4756" s="120" t="s">
        <v>331</v>
      </c>
      <c r="D4756" s="441">
        <v>18.21</v>
      </c>
    </row>
    <row r="4757" spans="1:4" ht="31.5" customHeight="1">
      <c r="A4757" s="120">
        <v>103805</v>
      </c>
      <c r="B4757" s="119" t="s">
        <v>6297</v>
      </c>
      <c r="C4757" s="120" t="s">
        <v>331</v>
      </c>
      <c r="D4757" s="441">
        <v>19.989999999999998</v>
      </c>
    </row>
    <row r="4758" spans="1:4" ht="31.5" customHeight="1">
      <c r="A4758" s="120">
        <v>103806</v>
      </c>
      <c r="B4758" s="119" t="s">
        <v>6298</v>
      </c>
      <c r="C4758" s="120" t="s">
        <v>331</v>
      </c>
      <c r="D4758" s="441">
        <v>19.96</v>
      </c>
    </row>
    <row r="4759" spans="1:4" ht="31.5" customHeight="1">
      <c r="A4759" s="120">
        <v>103807</v>
      </c>
      <c r="B4759" s="119" t="s">
        <v>6299</v>
      </c>
      <c r="C4759" s="120" t="s">
        <v>331</v>
      </c>
      <c r="D4759" s="441">
        <v>22.98</v>
      </c>
    </row>
    <row r="4760" spans="1:4" ht="31.5" customHeight="1">
      <c r="A4760" s="120">
        <v>103808</v>
      </c>
      <c r="B4760" s="119" t="s">
        <v>6300</v>
      </c>
      <c r="C4760" s="120" t="s">
        <v>331</v>
      </c>
      <c r="D4760" s="441">
        <v>37.01</v>
      </c>
    </row>
    <row r="4761" spans="1:4" ht="31.5" customHeight="1">
      <c r="A4761" s="120">
        <v>103809</v>
      </c>
      <c r="B4761" s="119" t="s">
        <v>6301</v>
      </c>
      <c r="C4761" s="120" t="s">
        <v>331</v>
      </c>
      <c r="D4761" s="441">
        <v>36.729999999999997</v>
      </c>
    </row>
    <row r="4762" spans="1:4" ht="31.5" customHeight="1">
      <c r="A4762" s="120">
        <v>103810</v>
      </c>
      <c r="B4762" s="119" t="s">
        <v>6302</v>
      </c>
      <c r="C4762" s="120" t="s">
        <v>331</v>
      </c>
      <c r="D4762" s="441">
        <v>35.4</v>
      </c>
    </row>
    <row r="4763" spans="1:4" ht="31.5" customHeight="1">
      <c r="A4763" s="120">
        <v>103811</v>
      </c>
      <c r="B4763" s="119" t="s">
        <v>6303</v>
      </c>
      <c r="C4763" s="120" t="s">
        <v>331</v>
      </c>
      <c r="D4763" s="441">
        <v>39.01</v>
      </c>
    </row>
    <row r="4764" spans="1:4" ht="31.5" customHeight="1">
      <c r="A4764" s="120">
        <v>103812</v>
      </c>
      <c r="B4764" s="119" t="s">
        <v>6304</v>
      </c>
      <c r="C4764" s="120" t="s">
        <v>331</v>
      </c>
      <c r="D4764" s="441">
        <v>54.27</v>
      </c>
    </row>
    <row r="4765" spans="1:4" ht="31.5" customHeight="1">
      <c r="A4765" s="120">
        <v>103813</v>
      </c>
      <c r="B4765" s="119" t="s">
        <v>6305</v>
      </c>
      <c r="C4765" s="120" t="s">
        <v>331</v>
      </c>
      <c r="D4765" s="441">
        <v>52.55</v>
      </c>
    </row>
    <row r="4766" spans="1:4" ht="31.5" customHeight="1">
      <c r="A4766" s="120">
        <v>103814</v>
      </c>
      <c r="B4766" s="119" t="s">
        <v>6306</v>
      </c>
      <c r="C4766" s="120" t="s">
        <v>331</v>
      </c>
      <c r="D4766" s="441">
        <v>13.1</v>
      </c>
    </row>
    <row r="4767" spans="1:4" ht="31.5" customHeight="1">
      <c r="A4767" s="120">
        <v>103815</v>
      </c>
      <c r="B4767" s="119" t="s">
        <v>6307</v>
      </c>
      <c r="C4767" s="120" t="s">
        <v>331</v>
      </c>
      <c r="D4767" s="441">
        <v>13.13</v>
      </c>
    </row>
    <row r="4768" spans="1:4" ht="31.5" customHeight="1">
      <c r="A4768" s="120">
        <v>103816</v>
      </c>
      <c r="B4768" s="119" t="s">
        <v>6308</v>
      </c>
      <c r="C4768" s="120" t="s">
        <v>331</v>
      </c>
      <c r="D4768" s="441">
        <v>27.99</v>
      </c>
    </row>
    <row r="4769" spans="1:4" ht="31.5" customHeight="1">
      <c r="A4769" s="120">
        <v>103817</v>
      </c>
      <c r="B4769" s="119" t="s">
        <v>6309</v>
      </c>
      <c r="C4769" s="120" t="s">
        <v>331</v>
      </c>
      <c r="D4769" s="441">
        <v>441.33</v>
      </c>
    </row>
    <row r="4770" spans="1:4" ht="31.5" customHeight="1">
      <c r="A4770" s="120">
        <v>103818</v>
      </c>
      <c r="B4770" s="119" t="s">
        <v>6310</v>
      </c>
      <c r="C4770" s="120" t="s">
        <v>331</v>
      </c>
      <c r="D4770" s="441">
        <v>20.74</v>
      </c>
    </row>
    <row r="4771" spans="1:4" ht="31.5" customHeight="1">
      <c r="A4771" s="120">
        <v>103819</v>
      </c>
      <c r="B4771" s="119" t="s">
        <v>6311</v>
      </c>
      <c r="C4771" s="120" t="s">
        <v>331</v>
      </c>
      <c r="D4771" s="441">
        <v>23.05</v>
      </c>
    </row>
    <row r="4772" spans="1:4" ht="31.5" customHeight="1">
      <c r="A4772" s="120">
        <v>103820</v>
      </c>
      <c r="B4772" s="119" t="s">
        <v>6312</v>
      </c>
      <c r="C4772" s="120" t="s">
        <v>331</v>
      </c>
      <c r="D4772" s="441">
        <v>24.33</v>
      </c>
    </row>
    <row r="4773" spans="1:4" ht="31.5" customHeight="1">
      <c r="A4773" s="120">
        <v>103821</v>
      </c>
      <c r="B4773" s="119" t="s">
        <v>6313</v>
      </c>
      <c r="C4773" s="120" t="s">
        <v>331</v>
      </c>
      <c r="D4773" s="441">
        <v>517.66</v>
      </c>
    </row>
    <row r="4774" spans="1:4" ht="31.5" customHeight="1">
      <c r="A4774" s="120">
        <v>103822</v>
      </c>
      <c r="B4774" s="119" t="s">
        <v>6314</v>
      </c>
      <c r="C4774" s="120" t="s">
        <v>331</v>
      </c>
      <c r="D4774" s="441">
        <v>57</v>
      </c>
    </row>
    <row r="4775" spans="1:4" ht="31.5" customHeight="1">
      <c r="A4775" s="120">
        <v>103823</v>
      </c>
      <c r="B4775" s="119" t="s">
        <v>6315</v>
      </c>
      <c r="C4775" s="120" t="s">
        <v>331</v>
      </c>
      <c r="D4775" s="441">
        <v>19.75</v>
      </c>
    </row>
    <row r="4776" spans="1:4" ht="31.5" customHeight="1">
      <c r="A4776" s="120">
        <v>103824</v>
      </c>
      <c r="B4776" s="119" t="s">
        <v>6316</v>
      </c>
      <c r="C4776" s="120" t="s">
        <v>331</v>
      </c>
      <c r="D4776" s="441">
        <v>24.62</v>
      </c>
    </row>
    <row r="4777" spans="1:4" ht="31.5" customHeight="1">
      <c r="A4777" s="120">
        <v>103825</v>
      </c>
      <c r="B4777" s="119" t="s">
        <v>6317</v>
      </c>
      <c r="C4777" s="120" t="s">
        <v>331</v>
      </c>
      <c r="D4777" s="441">
        <v>29.03</v>
      </c>
    </row>
    <row r="4778" spans="1:4" ht="31.5" customHeight="1">
      <c r="A4778" s="120">
        <v>103826</v>
      </c>
      <c r="B4778" s="119" t="s">
        <v>6318</v>
      </c>
      <c r="C4778" s="120" t="s">
        <v>331</v>
      </c>
      <c r="D4778" s="441">
        <v>34.26</v>
      </c>
    </row>
    <row r="4779" spans="1:4" ht="31.5" customHeight="1">
      <c r="A4779" s="120">
        <v>103827</v>
      </c>
      <c r="B4779" s="119" t="s">
        <v>6319</v>
      </c>
      <c r="C4779" s="120" t="s">
        <v>331</v>
      </c>
      <c r="D4779" s="441">
        <v>34.26</v>
      </c>
    </row>
    <row r="4780" spans="1:4" ht="31.5" customHeight="1">
      <c r="A4780" s="120">
        <v>103828</v>
      </c>
      <c r="B4780" s="119" t="s">
        <v>6320</v>
      </c>
      <c r="C4780" s="120" t="s">
        <v>331</v>
      </c>
      <c r="D4780" s="441">
        <v>94.33</v>
      </c>
    </row>
    <row r="4781" spans="1:4" ht="31.5" customHeight="1">
      <c r="A4781" s="120">
        <v>103829</v>
      </c>
      <c r="B4781" s="119" t="s">
        <v>6321</v>
      </c>
      <c r="C4781" s="120" t="s">
        <v>331</v>
      </c>
      <c r="D4781" s="441">
        <v>572.66999999999996</v>
      </c>
    </row>
    <row r="4782" spans="1:4" ht="31.5" customHeight="1">
      <c r="A4782" s="120">
        <v>103830</v>
      </c>
      <c r="B4782" s="119" t="s">
        <v>6322</v>
      </c>
      <c r="C4782" s="120" t="s">
        <v>331</v>
      </c>
      <c r="D4782" s="441">
        <v>37.74</v>
      </c>
    </row>
    <row r="4783" spans="1:4" ht="31.5" customHeight="1">
      <c r="A4783" s="120">
        <v>103831</v>
      </c>
      <c r="B4783" s="119" t="s">
        <v>6323</v>
      </c>
      <c r="C4783" s="120" t="s">
        <v>331</v>
      </c>
      <c r="D4783" s="441">
        <v>29.47</v>
      </c>
    </row>
    <row r="4784" spans="1:4" ht="31.5" customHeight="1">
      <c r="A4784" s="120">
        <v>103832</v>
      </c>
      <c r="B4784" s="119" t="s">
        <v>6324</v>
      </c>
      <c r="C4784" s="120" t="s">
        <v>331</v>
      </c>
      <c r="D4784" s="441">
        <v>26.97</v>
      </c>
    </row>
    <row r="4785" spans="1:4" ht="31.5" customHeight="1">
      <c r="A4785" s="120">
        <v>103833</v>
      </c>
      <c r="B4785" s="119" t="s">
        <v>6325</v>
      </c>
      <c r="C4785" s="120" t="s">
        <v>331</v>
      </c>
      <c r="D4785" s="441">
        <v>49.08</v>
      </c>
    </row>
    <row r="4786" spans="1:4" ht="31.5" customHeight="1">
      <c r="A4786" s="120">
        <v>103834</v>
      </c>
      <c r="B4786" s="119" t="s">
        <v>6326</v>
      </c>
      <c r="C4786" s="120" t="s">
        <v>331</v>
      </c>
      <c r="D4786" s="441">
        <v>70.739999999999995</v>
      </c>
    </row>
    <row r="4787" spans="1:4" ht="31.5" customHeight="1">
      <c r="A4787" s="120">
        <v>103838</v>
      </c>
      <c r="B4787" s="119" t="s">
        <v>6327</v>
      </c>
      <c r="C4787" s="120" t="s">
        <v>331</v>
      </c>
      <c r="D4787" s="441">
        <v>19.16</v>
      </c>
    </row>
    <row r="4788" spans="1:4" ht="31.5" customHeight="1">
      <c r="A4788" s="120">
        <v>103839</v>
      </c>
      <c r="B4788" s="119" t="s">
        <v>6328</v>
      </c>
      <c r="C4788" s="120" t="s">
        <v>331</v>
      </c>
      <c r="D4788" s="441">
        <v>19.13</v>
      </c>
    </row>
    <row r="4789" spans="1:4" ht="31.5" customHeight="1">
      <c r="A4789" s="120">
        <v>103840</v>
      </c>
      <c r="B4789" s="119" t="s">
        <v>6329</v>
      </c>
      <c r="C4789" s="120" t="s">
        <v>331</v>
      </c>
      <c r="D4789" s="441">
        <v>22.55</v>
      </c>
    </row>
    <row r="4790" spans="1:4" ht="31.5" customHeight="1">
      <c r="A4790" s="120">
        <v>103841</v>
      </c>
      <c r="B4790" s="119" t="s">
        <v>6330</v>
      </c>
      <c r="C4790" s="120" t="s">
        <v>331</v>
      </c>
      <c r="D4790" s="441">
        <v>30.49</v>
      </c>
    </row>
    <row r="4791" spans="1:4" ht="31.5" customHeight="1">
      <c r="A4791" s="120">
        <v>103842</v>
      </c>
      <c r="B4791" s="119" t="s">
        <v>6331</v>
      </c>
      <c r="C4791" s="120" t="s">
        <v>331</v>
      </c>
      <c r="D4791" s="441">
        <v>30.21</v>
      </c>
    </row>
    <row r="4792" spans="1:4" ht="31.5" customHeight="1">
      <c r="A4792" s="120">
        <v>103843</v>
      </c>
      <c r="B4792" s="119" t="s">
        <v>6332</v>
      </c>
      <c r="C4792" s="120" t="s">
        <v>331</v>
      </c>
      <c r="D4792" s="441">
        <v>32.15</v>
      </c>
    </row>
    <row r="4793" spans="1:4" ht="31.5" customHeight="1">
      <c r="A4793" s="120">
        <v>103844</v>
      </c>
      <c r="B4793" s="119" t="s">
        <v>6333</v>
      </c>
      <c r="C4793" s="120" t="s">
        <v>331</v>
      </c>
      <c r="D4793" s="441">
        <v>35.75</v>
      </c>
    </row>
    <row r="4794" spans="1:4" ht="31.5" customHeight="1">
      <c r="A4794" s="120">
        <v>103845</v>
      </c>
      <c r="B4794" s="119" t="s">
        <v>6334</v>
      </c>
      <c r="C4794" s="120" t="s">
        <v>331</v>
      </c>
      <c r="D4794" s="441">
        <v>42.86</v>
      </c>
    </row>
    <row r="4795" spans="1:4" ht="31.5" customHeight="1">
      <c r="A4795" s="120">
        <v>103846</v>
      </c>
      <c r="B4795" s="119" t="s">
        <v>6335</v>
      </c>
      <c r="C4795" s="120" t="s">
        <v>331</v>
      </c>
      <c r="D4795" s="441">
        <v>41.14</v>
      </c>
    </row>
    <row r="4796" spans="1:4" ht="31.5" customHeight="1">
      <c r="A4796" s="120">
        <v>103847</v>
      </c>
      <c r="B4796" s="119" t="s">
        <v>6336</v>
      </c>
      <c r="C4796" s="120" t="s">
        <v>331</v>
      </c>
      <c r="D4796" s="441">
        <v>12.54</v>
      </c>
    </row>
    <row r="4797" spans="1:4" ht="31.5" customHeight="1">
      <c r="A4797" s="120">
        <v>103848</v>
      </c>
      <c r="B4797" s="119" t="s">
        <v>6337</v>
      </c>
      <c r="C4797" s="120" t="s">
        <v>331</v>
      </c>
      <c r="D4797" s="441">
        <v>12.57</v>
      </c>
    </row>
    <row r="4798" spans="1:4" ht="31.5" customHeight="1">
      <c r="A4798" s="120">
        <v>103849</v>
      </c>
      <c r="B4798" s="119" t="s">
        <v>6338</v>
      </c>
      <c r="C4798" s="120" t="s">
        <v>331</v>
      </c>
      <c r="D4798" s="441">
        <v>27.43</v>
      </c>
    </row>
    <row r="4799" spans="1:4" ht="31.5" customHeight="1">
      <c r="A4799" s="120">
        <v>103850</v>
      </c>
      <c r="B4799" s="119" t="s">
        <v>6339</v>
      </c>
      <c r="C4799" s="120" t="s">
        <v>331</v>
      </c>
      <c r="D4799" s="441">
        <v>440.77</v>
      </c>
    </row>
    <row r="4800" spans="1:4" ht="31.5" customHeight="1">
      <c r="A4800" s="120">
        <v>103851</v>
      </c>
      <c r="B4800" s="119" t="s">
        <v>6340</v>
      </c>
      <c r="C4800" s="120" t="s">
        <v>331</v>
      </c>
      <c r="D4800" s="441">
        <v>20.45</v>
      </c>
    </row>
    <row r="4801" spans="1:4" ht="31.5" customHeight="1">
      <c r="A4801" s="120">
        <v>103852</v>
      </c>
      <c r="B4801" s="119" t="s">
        <v>6341</v>
      </c>
      <c r="C4801" s="120" t="s">
        <v>331</v>
      </c>
      <c r="D4801" s="441">
        <v>18.68</v>
      </c>
    </row>
    <row r="4802" spans="1:4" ht="31.5" customHeight="1">
      <c r="A4802" s="120">
        <v>103853</v>
      </c>
      <c r="B4802" s="119" t="s">
        <v>6342</v>
      </c>
      <c r="C4802" s="120" t="s">
        <v>331</v>
      </c>
      <c r="D4802" s="441">
        <v>19.96</v>
      </c>
    </row>
    <row r="4803" spans="1:4" ht="31.5" customHeight="1">
      <c r="A4803" s="120">
        <v>103854</v>
      </c>
      <c r="B4803" s="119" t="s">
        <v>6343</v>
      </c>
      <c r="C4803" s="120" t="s">
        <v>331</v>
      </c>
      <c r="D4803" s="441">
        <v>513.29</v>
      </c>
    </row>
    <row r="4804" spans="1:4" ht="31.5" customHeight="1">
      <c r="A4804" s="120">
        <v>103855</v>
      </c>
      <c r="B4804" s="119" t="s">
        <v>6344</v>
      </c>
      <c r="C4804" s="120" t="s">
        <v>331</v>
      </c>
      <c r="D4804" s="441">
        <v>52.63</v>
      </c>
    </row>
    <row r="4805" spans="1:4" ht="31.5" customHeight="1">
      <c r="A4805" s="120">
        <v>103856</v>
      </c>
      <c r="B4805" s="119" t="s">
        <v>6345</v>
      </c>
      <c r="C4805" s="120" t="s">
        <v>331</v>
      </c>
      <c r="D4805" s="441">
        <v>17.38</v>
      </c>
    </row>
    <row r="4806" spans="1:4" ht="31.5" customHeight="1">
      <c r="A4806" s="120">
        <v>103857</v>
      </c>
      <c r="B4806" s="119" t="s">
        <v>6346</v>
      </c>
      <c r="C4806" s="120" t="s">
        <v>331</v>
      </c>
      <c r="D4806" s="441">
        <v>22.44</v>
      </c>
    </row>
    <row r="4807" spans="1:4" ht="31.5" customHeight="1">
      <c r="A4807" s="120">
        <v>103858</v>
      </c>
      <c r="B4807" s="119" t="s">
        <v>6347</v>
      </c>
      <c r="C4807" s="120" t="s">
        <v>331</v>
      </c>
      <c r="D4807" s="441">
        <v>26.85</v>
      </c>
    </row>
    <row r="4808" spans="1:4" ht="31.5" customHeight="1">
      <c r="A4808" s="120">
        <v>103859</v>
      </c>
      <c r="B4808" s="119" t="s">
        <v>6348</v>
      </c>
      <c r="C4808" s="120" t="s">
        <v>331</v>
      </c>
      <c r="D4808" s="441">
        <v>27.08</v>
      </c>
    </row>
    <row r="4809" spans="1:4" ht="31.5" customHeight="1">
      <c r="A4809" s="120">
        <v>103860</v>
      </c>
      <c r="B4809" s="119" t="s">
        <v>6349</v>
      </c>
      <c r="C4809" s="120" t="s">
        <v>331</v>
      </c>
      <c r="D4809" s="441">
        <v>27.08</v>
      </c>
    </row>
    <row r="4810" spans="1:4" ht="31.5" customHeight="1">
      <c r="A4810" s="120">
        <v>103861</v>
      </c>
      <c r="B4810" s="119" t="s">
        <v>6350</v>
      </c>
      <c r="C4810" s="120" t="s">
        <v>331</v>
      </c>
      <c r="D4810" s="441">
        <v>87.15</v>
      </c>
    </row>
    <row r="4811" spans="1:4" ht="31.5" customHeight="1">
      <c r="A4811" s="120">
        <v>103862</v>
      </c>
      <c r="B4811" s="119" t="s">
        <v>6351</v>
      </c>
      <c r="C4811" s="120" t="s">
        <v>331</v>
      </c>
      <c r="D4811" s="441">
        <v>565.49</v>
      </c>
    </row>
    <row r="4812" spans="1:4" ht="31.5" customHeight="1">
      <c r="A4812" s="120">
        <v>103863</v>
      </c>
      <c r="B4812" s="119" t="s">
        <v>6352</v>
      </c>
      <c r="C4812" s="120" t="s">
        <v>331</v>
      </c>
      <c r="D4812" s="441">
        <v>34.159999999999997</v>
      </c>
    </row>
    <row r="4813" spans="1:4" ht="31.5" customHeight="1">
      <c r="A4813" s="120">
        <v>103864</v>
      </c>
      <c r="B4813" s="119" t="s">
        <v>6353</v>
      </c>
      <c r="C4813" s="120" t="s">
        <v>331</v>
      </c>
      <c r="D4813" s="441">
        <v>23.57</v>
      </c>
    </row>
    <row r="4814" spans="1:4" ht="31.5" customHeight="1">
      <c r="A4814" s="120">
        <v>103865</v>
      </c>
      <c r="B4814" s="119" t="s">
        <v>6354</v>
      </c>
      <c r="C4814" s="120" t="s">
        <v>331</v>
      </c>
      <c r="D4814" s="441">
        <v>25.84</v>
      </c>
    </row>
    <row r="4815" spans="1:4" ht="31.5" customHeight="1">
      <c r="A4815" s="120">
        <v>103866</v>
      </c>
      <c r="B4815" s="119" t="s">
        <v>6355</v>
      </c>
      <c r="C4815" s="120" t="s">
        <v>331</v>
      </c>
      <c r="D4815" s="441">
        <v>40.36</v>
      </c>
    </row>
    <row r="4816" spans="1:4" ht="31.5" customHeight="1">
      <c r="A4816" s="120">
        <v>103867</v>
      </c>
      <c r="B4816" s="119" t="s">
        <v>6356</v>
      </c>
      <c r="C4816" s="120" t="s">
        <v>331</v>
      </c>
      <c r="D4816" s="441">
        <v>55.5</v>
      </c>
    </row>
    <row r="4817" spans="1:4" ht="31.5" customHeight="1">
      <c r="A4817" s="120">
        <v>103874</v>
      </c>
      <c r="B4817" s="119" t="s">
        <v>6357</v>
      </c>
      <c r="C4817" s="120" t="s">
        <v>331</v>
      </c>
      <c r="D4817" s="441">
        <v>20.07</v>
      </c>
    </row>
    <row r="4818" spans="1:4" ht="31.5" customHeight="1">
      <c r="A4818" s="120">
        <v>103875</v>
      </c>
      <c r="B4818" s="119" t="s">
        <v>6358</v>
      </c>
      <c r="C4818" s="120" t="s">
        <v>331</v>
      </c>
      <c r="D4818" s="441">
        <v>20.04</v>
      </c>
    </row>
    <row r="4819" spans="1:4" ht="31.5" customHeight="1">
      <c r="A4819" s="120">
        <v>103876</v>
      </c>
      <c r="B4819" s="119" t="s">
        <v>6359</v>
      </c>
      <c r="C4819" s="120" t="s">
        <v>331</v>
      </c>
      <c r="D4819" s="441">
        <v>23.02</v>
      </c>
    </row>
    <row r="4820" spans="1:4" ht="31.5" customHeight="1">
      <c r="A4820" s="120">
        <v>103877</v>
      </c>
      <c r="B4820" s="119" t="s">
        <v>6360</v>
      </c>
      <c r="C4820" s="120" t="s">
        <v>331</v>
      </c>
      <c r="D4820" s="441">
        <v>29.54</v>
      </c>
    </row>
    <row r="4821" spans="1:4" ht="31.5" customHeight="1">
      <c r="A4821" s="120">
        <v>103878</v>
      </c>
      <c r="B4821" s="119" t="s">
        <v>6361</v>
      </c>
      <c r="C4821" s="120" t="s">
        <v>331</v>
      </c>
      <c r="D4821" s="441">
        <v>29.26</v>
      </c>
    </row>
    <row r="4822" spans="1:4" ht="31.5" customHeight="1">
      <c r="A4822" s="120">
        <v>103879</v>
      </c>
      <c r="B4822" s="119" t="s">
        <v>6362</v>
      </c>
      <c r="C4822" s="120" t="s">
        <v>331</v>
      </c>
      <c r="D4822" s="441">
        <v>31.68</v>
      </c>
    </row>
    <row r="4823" spans="1:4" ht="31.5" customHeight="1">
      <c r="A4823" s="120">
        <v>103880</v>
      </c>
      <c r="B4823" s="119" t="s">
        <v>6363</v>
      </c>
      <c r="C4823" s="120" t="s">
        <v>331</v>
      </c>
      <c r="D4823" s="441">
        <v>35.270000000000003</v>
      </c>
    </row>
    <row r="4824" spans="1:4" ht="31.5" customHeight="1">
      <c r="A4824" s="120">
        <v>103881</v>
      </c>
      <c r="B4824" s="119" t="s">
        <v>6364</v>
      </c>
      <c r="C4824" s="120" t="s">
        <v>331</v>
      </c>
      <c r="D4824" s="441">
        <v>40.33</v>
      </c>
    </row>
    <row r="4825" spans="1:4" ht="31.5" customHeight="1">
      <c r="A4825" s="120">
        <v>103882</v>
      </c>
      <c r="B4825" s="119" t="s">
        <v>6365</v>
      </c>
      <c r="C4825" s="120" t="s">
        <v>331</v>
      </c>
      <c r="D4825" s="441">
        <v>38.61</v>
      </c>
    </row>
    <row r="4826" spans="1:4" ht="31.5" customHeight="1">
      <c r="A4826" s="120">
        <v>103883</v>
      </c>
      <c r="B4826" s="119" t="s">
        <v>6366</v>
      </c>
      <c r="C4826" s="120" t="s">
        <v>331</v>
      </c>
      <c r="D4826" s="441">
        <v>13.13</v>
      </c>
    </row>
    <row r="4827" spans="1:4" ht="31.5" customHeight="1">
      <c r="A4827" s="120">
        <v>103884</v>
      </c>
      <c r="B4827" s="119" t="s">
        <v>6367</v>
      </c>
      <c r="C4827" s="120" t="s">
        <v>331</v>
      </c>
      <c r="D4827" s="441">
        <v>13.16</v>
      </c>
    </row>
    <row r="4828" spans="1:4" ht="31.5" customHeight="1">
      <c r="A4828" s="120">
        <v>103885</v>
      </c>
      <c r="B4828" s="119" t="s">
        <v>6368</v>
      </c>
      <c r="C4828" s="120" t="s">
        <v>331</v>
      </c>
      <c r="D4828" s="441">
        <v>28.02</v>
      </c>
    </row>
    <row r="4829" spans="1:4" ht="31.5" customHeight="1">
      <c r="A4829" s="120">
        <v>103886</v>
      </c>
      <c r="B4829" s="119" t="s">
        <v>6369</v>
      </c>
      <c r="C4829" s="120" t="s">
        <v>331</v>
      </c>
      <c r="D4829" s="441">
        <v>441.36</v>
      </c>
    </row>
    <row r="4830" spans="1:4" ht="31.5" customHeight="1">
      <c r="A4830" s="120">
        <v>103887</v>
      </c>
      <c r="B4830" s="119" t="s">
        <v>6370</v>
      </c>
      <c r="C4830" s="120" t="s">
        <v>331</v>
      </c>
      <c r="D4830" s="441">
        <v>20.76</v>
      </c>
    </row>
    <row r="4831" spans="1:4" ht="31.5" customHeight="1">
      <c r="A4831" s="120">
        <v>103888</v>
      </c>
      <c r="B4831" s="119" t="s">
        <v>6371</v>
      </c>
      <c r="C4831" s="120" t="s">
        <v>331</v>
      </c>
      <c r="D4831" s="441">
        <v>18.02</v>
      </c>
    </row>
    <row r="4832" spans="1:4" ht="31.5" customHeight="1">
      <c r="A4832" s="120">
        <v>103889</v>
      </c>
      <c r="B4832" s="119" t="s">
        <v>6372</v>
      </c>
      <c r="C4832" s="120" t="s">
        <v>331</v>
      </c>
      <c r="D4832" s="441">
        <v>19.3</v>
      </c>
    </row>
    <row r="4833" spans="1:4" ht="31.5" customHeight="1">
      <c r="A4833" s="120">
        <v>103890</v>
      </c>
      <c r="B4833" s="119" t="s">
        <v>6373</v>
      </c>
      <c r="C4833" s="120" t="s">
        <v>331</v>
      </c>
      <c r="D4833" s="441">
        <v>512.63</v>
      </c>
    </row>
    <row r="4834" spans="1:4" ht="31.5" customHeight="1">
      <c r="A4834" s="120">
        <v>103891</v>
      </c>
      <c r="B4834" s="119" t="s">
        <v>6374</v>
      </c>
      <c r="C4834" s="120" t="s">
        <v>331</v>
      </c>
      <c r="D4834" s="441">
        <v>51.97</v>
      </c>
    </row>
    <row r="4835" spans="1:4" ht="31.5" customHeight="1">
      <c r="A4835" s="120">
        <v>103892</v>
      </c>
      <c r="B4835" s="119" t="s">
        <v>6375</v>
      </c>
      <c r="C4835" s="120" t="s">
        <v>331</v>
      </c>
      <c r="D4835" s="441">
        <v>17.399999999999999</v>
      </c>
    </row>
    <row r="4836" spans="1:4" ht="31.5" customHeight="1">
      <c r="A4836" s="120">
        <v>103893</v>
      </c>
      <c r="B4836" s="119" t="s">
        <v>6376</v>
      </c>
      <c r="C4836" s="120" t="s">
        <v>331</v>
      </c>
      <c r="D4836" s="441">
        <v>22.11</v>
      </c>
    </row>
    <row r="4837" spans="1:4" ht="31.5" customHeight="1">
      <c r="A4837" s="120">
        <v>103894</v>
      </c>
      <c r="B4837" s="119" t="s">
        <v>6377</v>
      </c>
      <c r="C4837" s="120" t="s">
        <v>331</v>
      </c>
      <c r="D4837" s="441">
        <v>26.52</v>
      </c>
    </row>
    <row r="4838" spans="1:4" ht="31.5" customHeight="1">
      <c r="A4838" s="120">
        <v>103895</v>
      </c>
      <c r="B4838" s="119" t="s">
        <v>6378</v>
      </c>
      <c r="C4838" s="120" t="s">
        <v>331</v>
      </c>
      <c r="D4838" s="441">
        <v>25.36</v>
      </c>
    </row>
    <row r="4839" spans="1:4" ht="31.5" customHeight="1">
      <c r="A4839" s="120">
        <v>103896</v>
      </c>
      <c r="B4839" s="119" t="s">
        <v>6379</v>
      </c>
      <c r="C4839" s="120" t="s">
        <v>331</v>
      </c>
      <c r="D4839" s="441">
        <v>25.36</v>
      </c>
    </row>
    <row r="4840" spans="1:4" ht="31.5" customHeight="1">
      <c r="A4840" s="120">
        <v>103897</v>
      </c>
      <c r="B4840" s="119" t="s">
        <v>6380</v>
      </c>
      <c r="C4840" s="120" t="s">
        <v>331</v>
      </c>
      <c r="D4840" s="441">
        <v>85.43</v>
      </c>
    </row>
    <row r="4841" spans="1:4" ht="31.5" customHeight="1">
      <c r="A4841" s="120">
        <v>103898</v>
      </c>
      <c r="B4841" s="119" t="s">
        <v>6381</v>
      </c>
      <c r="C4841" s="120" t="s">
        <v>331</v>
      </c>
      <c r="D4841" s="441">
        <v>563.77</v>
      </c>
    </row>
    <row r="4842" spans="1:4" ht="31.5" customHeight="1">
      <c r="A4842" s="120">
        <v>103899</v>
      </c>
      <c r="B4842" s="119" t="s">
        <v>6382</v>
      </c>
      <c r="C4842" s="120" t="s">
        <v>331</v>
      </c>
      <c r="D4842" s="441">
        <v>33.29</v>
      </c>
    </row>
    <row r="4843" spans="1:4" ht="31.5" customHeight="1">
      <c r="A4843" s="120">
        <v>103900</v>
      </c>
      <c r="B4843" s="119" t="s">
        <v>6383</v>
      </c>
      <c r="C4843" s="120" t="s">
        <v>331</v>
      </c>
      <c r="D4843" s="441">
        <v>22.28</v>
      </c>
    </row>
    <row r="4844" spans="1:4" ht="31.5" customHeight="1">
      <c r="A4844" s="120">
        <v>103901</v>
      </c>
      <c r="B4844" s="119" t="s">
        <v>6384</v>
      </c>
      <c r="C4844" s="120" t="s">
        <v>331</v>
      </c>
      <c r="D4844" s="441">
        <v>27.07</v>
      </c>
    </row>
    <row r="4845" spans="1:4" ht="31.5" customHeight="1">
      <c r="A4845" s="120">
        <v>103902</v>
      </c>
      <c r="B4845" s="119" t="s">
        <v>6385</v>
      </c>
      <c r="C4845" s="120" t="s">
        <v>331</v>
      </c>
      <c r="D4845" s="441">
        <v>39.1</v>
      </c>
    </row>
    <row r="4846" spans="1:4" ht="31.5" customHeight="1">
      <c r="A4846" s="120">
        <v>103903</v>
      </c>
      <c r="B4846" s="119" t="s">
        <v>6386</v>
      </c>
      <c r="C4846" s="120" t="s">
        <v>331</v>
      </c>
      <c r="D4846" s="441">
        <v>52.1</v>
      </c>
    </row>
    <row r="4847" spans="1:4" ht="31.5" customHeight="1">
      <c r="A4847" s="120">
        <v>103947</v>
      </c>
      <c r="B4847" s="119" t="s">
        <v>6387</v>
      </c>
      <c r="C4847" s="120" t="s">
        <v>331</v>
      </c>
      <c r="D4847" s="441">
        <v>7.23</v>
      </c>
    </row>
    <row r="4848" spans="1:4" ht="31.5" customHeight="1">
      <c r="A4848" s="120">
        <v>103948</v>
      </c>
      <c r="B4848" s="119" t="s">
        <v>6388</v>
      </c>
      <c r="C4848" s="120" t="s">
        <v>331</v>
      </c>
      <c r="D4848" s="441">
        <v>9</v>
      </c>
    </row>
    <row r="4849" spans="1:4" ht="31.5" customHeight="1">
      <c r="A4849" s="120">
        <v>103949</v>
      </c>
      <c r="B4849" s="119" t="s">
        <v>6389</v>
      </c>
      <c r="C4849" s="120" t="s">
        <v>331</v>
      </c>
      <c r="D4849" s="441">
        <v>10.58</v>
      </c>
    </row>
    <row r="4850" spans="1:4" ht="31.5" customHeight="1">
      <c r="A4850" s="120">
        <v>103950</v>
      </c>
      <c r="B4850" s="119" t="s">
        <v>6390</v>
      </c>
      <c r="C4850" s="120" t="s">
        <v>331</v>
      </c>
      <c r="D4850" s="441">
        <v>12.45</v>
      </c>
    </row>
    <row r="4851" spans="1:4" ht="31.5" customHeight="1">
      <c r="A4851" s="120">
        <v>103951</v>
      </c>
      <c r="B4851" s="119" t="s">
        <v>6391</v>
      </c>
      <c r="C4851" s="120" t="s">
        <v>331</v>
      </c>
      <c r="D4851" s="441">
        <v>17.12</v>
      </c>
    </row>
    <row r="4852" spans="1:4" ht="31.5" customHeight="1">
      <c r="A4852" s="120">
        <v>103952</v>
      </c>
      <c r="B4852" s="119" t="s">
        <v>6392</v>
      </c>
      <c r="C4852" s="120" t="s">
        <v>331</v>
      </c>
      <c r="D4852" s="441">
        <v>6.64</v>
      </c>
    </row>
    <row r="4853" spans="1:4" ht="31.5" customHeight="1">
      <c r="A4853" s="120">
        <v>103953</v>
      </c>
      <c r="B4853" s="119" t="s">
        <v>6393</v>
      </c>
      <c r="C4853" s="120" t="s">
        <v>331</v>
      </c>
      <c r="D4853" s="441">
        <v>8.31</v>
      </c>
    </row>
    <row r="4854" spans="1:4" ht="31.5" customHeight="1">
      <c r="A4854" s="120">
        <v>103954</v>
      </c>
      <c r="B4854" s="119" t="s">
        <v>6394</v>
      </c>
      <c r="C4854" s="120" t="s">
        <v>331</v>
      </c>
      <c r="D4854" s="441">
        <v>9.94</v>
      </c>
    </row>
    <row r="4855" spans="1:4" ht="31.5" customHeight="1">
      <c r="A4855" s="120">
        <v>103955</v>
      </c>
      <c r="B4855" s="119" t="s">
        <v>6395</v>
      </c>
      <c r="C4855" s="120" t="s">
        <v>331</v>
      </c>
      <c r="D4855" s="441">
        <v>11.57</v>
      </c>
    </row>
    <row r="4856" spans="1:4" ht="31.5" customHeight="1">
      <c r="A4856" s="120">
        <v>103956</v>
      </c>
      <c r="B4856" s="119" t="s">
        <v>6396</v>
      </c>
      <c r="C4856" s="120" t="s">
        <v>331</v>
      </c>
      <c r="D4856" s="441">
        <v>16.09</v>
      </c>
    </row>
    <row r="4857" spans="1:4" ht="31.5" customHeight="1">
      <c r="A4857" s="120">
        <v>103957</v>
      </c>
      <c r="B4857" s="119" t="s">
        <v>6397</v>
      </c>
      <c r="C4857" s="120" t="s">
        <v>331</v>
      </c>
      <c r="D4857" s="441">
        <v>5.56</v>
      </c>
    </row>
    <row r="4858" spans="1:4" ht="31.5" customHeight="1">
      <c r="A4858" s="120">
        <v>103958</v>
      </c>
      <c r="B4858" s="119" t="s">
        <v>6398</v>
      </c>
      <c r="C4858" s="120" t="s">
        <v>331</v>
      </c>
      <c r="D4858" s="441">
        <v>11.32</v>
      </c>
    </row>
    <row r="4859" spans="1:4" ht="31.5" customHeight="1">
      <c r="A4859" s="120">
        <v>103959</v>
      </c>
      <c r="B4859" s="119" t="s">
        <v>6399</v>
      </c>
      <c r="C4859" s="120" t="s">
        <v>331</v>
      </c>
      <c r="D4859" s="441">
        <v>16.920000000000002</v>
      </c>
    </row>
    <row r="4860" spans="1:4" ht="31.5" customHeight="1">
      <c r="A4860" s="120">
        <v>103962</v>
      </c>
      <c r="B4860" s="119" t="s">
        <v>6400</v>
      </c>
      <c r="C4860" s="120" t="s">
        <v>331</v>
      </c>
      <c r="D4860" s="441">
        <v>7.28</v>
      </c>
    </row>
    <row r="4861" spans="1:4" ht="31.5" customHeight="1">
      <c r="A4861" s="120">
        <v>103964</v>
      </c>
      <c r="B4861" s="119" t="s">
        <v>6401</v>
      </c>
      <c r="C4861" s="120" t="s">
        <v>331</v>
      </c>
      <c r="D4861" s="441">
        <v>9.25</v>
      </c>
    </row>
    <row r="4862" spans="1:4" ht="31.5" customHeight="1">
      <c r="A4862" s="120">
        <v>103966</v>
      </c>
      <c r="B4862" s="119" t="s">
        <v>6402</v>
      </c>
      <c r="C4862" s="120" t="s">
        <v>331</v>
      </c>
      <c r="D4862" s="441">
        <v>10.9</v>
      </c>
    </row>
    <row r="4863" spans="1:4" ht="31.5" customHeight="1">
      <c r="A4863" s="120">
        <v>103967</v>
      </c>
      <c r="B4863" s="119" t="s">
        <v>6403</v>
      </c>
      <c r="C4863" s="120" t="s">
        <v>331</v>
      </c>
      <c r="D4863" s="441">
        <v>13.15</v>
      </c>
    </row>
    <row r="4864" spans="1:4" ht="31.5" customHeight="1">
      <c r="A4864" s="120">
        <v>103968</v>
      </c>
      <c r="B4864" s="119" t="s">
        <v>6404</v>
      </c>
      <c r="C4864" s="120" t="s">
        <v>331</v>
      </c>
      <c r="D4864" s="441">
        <v>18.77</v>
      </c>
    </row>
    <row r="4865" spans="1:4" ht="31.5" customHeight="1">
      <c r="A4865" s="120">
        <v>103969</v>
      </c>
      <c r="B4865" s="119" t="s">
        <v>6405</v>
      </c>
      <c r="C4865" s="120" t="s">
        <v>331</v>
      </c>
      <c r="D4865" s="441">
        <v>22.16</v>
      </c>
    </row>
    <row r="4866" spans="1:4" ht="31.5" customHeight="1">
      <c r="A4866" s="120">
        <v>103971</v>
      </c>
      <c r="B4866" s="119" t="s">
        <v>6406</v>
      </c>
      <c r="C4866" s="120" t="s">
        <v>331</v>
      </c>
      <c r="D4866" s="441">
        <v>28.18</v>
      </c>
    </row>
    <row r="4867" spans="1:4" ht="31.5" customHeight="1">
      <c r="A4867" s="120">
        <v>103972</v>
      </c>
      <c r="B4867" s="119" t="s">
        <v>6407</v>
      </c>
      <c r="C4867" s="120" t="s">
        <v>331</v>
      </c>
      <c r="D4867" s="441">
        <v>32.619999999999997</v>
      </c>
    </row>
    <row r="4868" spans="1:4" ht="31.5" customHeight="1">
      <c r="A4868" s="120">
        <v>103974</v>
      </c>
      <c r="B4868" s="119" t="s">
        <v>6408</v>
      </c>
      <c r="C4868" s="120" t="s">
        <v>331</v>
      </c>
      <c r="D4868" s="441">
        <v>11.96</v>
      </c>
    </row>
    <row r="4869" spans="1:4" ht="31.5" customHeight="1">
      <c r="A4869" s="120">
        <v>103975</v>
      </c>
      <c r="B4869" s="119" t="s">
        <v>6409</v>
      </c>
      <c r="C4869" s="120" t="s">
        <v>331</v>
      </c>
      <c r="D4869" s="441">
        <v>20.12</v>
      </c>
    </row>
    <row r="4870" spans="1:4" ht="31.5" customHeight="1">
      <c r="A4870" s="120">
        <v>103976</v>
      </c>
      <c r="B4870" s="119" t="s">
        <v>6410</v>
      </c>
      <c r="C4870" s="120" t="s">
        <v>331</v>
      </c>
      <c r="D4870" s="441">
        <v>29.03</v>
      </c>
    </row>
    <row r="4871" spans="1:4" ht="31.5" customHeight="1">
      <c r="A4871" s="120">
        <v>103977</v>
      </c>
      <c r="B4871" s="119" t="s">
        <v>6411</v>
      </c>
      <c r="C4871" s="120" t="s">
        <v>331</v>
      </c>
      <c r="D4871" s="441">
        <v>7.98</v>
      </c>
    </row>
    <row r="4872" spans="1:4" ht="31.5" customHeight="1">
      <c r="A4872" s="120">
        <v>103980</v>
      </c>
      <c r="B4872" s="119" t="s">
        <v>6412</v>
      </c>
      <c r="C4872" s="120" t="s">
        <v>331</v>
      </c>
      <c r="D4872" s="441">
        <v>20.100000000000001</v>
      </c>
    </row>
    <row r="4873" spans="1:4" ht="31.5" customHeight="1">
      <c r="A4873" s="120">
        <v>103981</v>
      </c>
      <c r="B4873" s="119" t="s">
        <v>6413</v>
      </c>
      <c r="C4873" s="120" t="s">
        <v>331</v>
      </c>
      <c r="D4873" s="441">
        <v>20.170000000000002</v>
      </c>
    </row>
    <row r="4874" spans="1:4" ht="31.5" customHeight="1">
      <c r="A4874" s="120">
        <v>103982</v>
      </c>
      <c r="B4874" s="119" t="s">
        <v>6414</v>
      </c>
      <c r="C4874" s="120" t="s">
        <v>331</v>
      </c>
      <c r="D4874" s="441">
        <v>27.22</v>
      </c>
    </row>
    <row r="4875" spans="1:4" ht="31.5" customHeight="1">
      <c r="A4875" s="120">
        <v>103983</v>
      </c>
      <c r="B4875" s="119" t="s">
        <v>6415</v>
      </c>
      <c r="C4875" s="120" t="s">
        <v>331</v>
      </c>
      <c r="D4875" s="441">
        <v>19.54</v>
      </c>
    </row>
    <row r="4876" spans="1:4" ht="31.5" customHeight="1">
      <c r="A4876" s="120">
        <v>103984</v>
      </c>
      <c r="B4876" s="119" t="s">
        <v>6416</v>
      </c>
      <c r="C4876" s="120" t="s">
        <v>331</v>
      </c>
      <c r="D4876" s="441">
        <v>22.27</v>
      </c>
    </row>
    <row r="4877" spans="1:4" ht="31.5" customHeight="1">
      <c r="A4877" s="120">
        <v>103985</v>
      </c>
      <c r="B4877" s="119" t="s">
        <v>6417</v>
      </c>
      <c r="C4877" s="120" t="s">
        <v>331</v>
      </c>
      <c r="D4877" s="441">
        <v>25.17</v>
      </c>
    </row>
    <row r="4878" spans="1:4" ht="31.5" customHeight="1">
      <c r="A4878" s="120">
        <v>103986</v>
      </c>
      <c r="B4878" s="119" t="s">
        <v>6418</v>
      </c>
      <c r="C4878" s="120" t="s">
        <v>331</v>
      </c>
      <c r="D4878" s="441">
        <v>31.63</v>
      </c>
    </row>
    <row r="4879" spans="1:4" ht="31.5" customHeight="1">
      <c r="A4879" s="120">
        <v>103987</v>
      </c>
      <c r="B4879" s="119" t="s">
        <v>6419</v>
      </c>
      <c r="C4879" s="120" t="s">
        <v>331</v>
      </c>
      <c r="D4879" s="441">
        <v>27.25</v>
      </c>
    </row>
    <row r="4880" spans="1:4" ht="31.5" customHeight="1">
      <c r="A4880" s="120">
        <v>103988</v>
      </c>
      <c r="B4880" s="119" t="s">
        <v>6420</v>
      </c>
      <c r="C4880" s="120" t="s">
        <v>331</v>
      </c>
      <c r="D4880" s="441">
        <v>14.48</v>
      </c>
    </row>
    <row r="4881" spans="1:4" ht="31.5" customHeight="1">
      <c r="A4881" s="120">
        <v>103990</v>
      </c>
      <c r="B4881" s="119" t="s">
        <v>6421</v>
      </c>
      <c r="C4881" s="120" t="s">
        <v>331</v>
      </c>
      <c r="D4881" s="441">
        <v>39.630000000000003</v>
      </c>
    </row>
    <row r="4882" spans="1:4" ht="31.5" customHeight="1">
      <c r="A4882" s="120">
        <v>103991</v>
      </c>
      <c r="B4882" s="119" t="s">
        <v>6422</v>
      </c>
      <c r="C4882" s="120" t="s">
        <v>331</v>
      </c>
      <c r="D4882" s="441">
        <v>20.75</v>
      </c>
    </row>
    <row r="4883" spans="1:4" ht="31.5" customHeight="1">
      <c r="A4883" s="120">
        <v>103992</v>
      </c>
      <c r="B4883" s="119" t="s">
        <v>6423</v>
      </c>
      <c r="C4883" s="120" t="s">
        <v>331</v>
      </c>
      <c r="D4883" s="441">
        <v>13.05</v>
      </c>
    </row>
    <row r="4884" spans="1:4" ht="31.5" customHeight="1">
      <c r="A4884" s="120">
        <v>103993</v>
      </c>
      <c r="B4884" s="119" t="s">
        <v>6424</v>
      </c>
      <c r="C4884" s="120" t="s">
        <v>331</v>
      </c>
      <c r="D4884" s="441">
        <v>11.19</v>
      </c>
    </row>
    <row r="4885" spans="1:4" ht="31.5" customHeight="1">
      <c r="A4885" s="120">
        <v>103994</v>
      </c>
      <c r="B4885" s="119" t="s">
        <v>6425</v>
      </c>
      <c r="C4885" s="120" t="s">
        <v>331</v>
      </c>
      <c r="D4885" s="441">
        <v>16.059999999999999</v>
      </c>
    </row>
    <row r="4886" spans="1:4" ht="31.5" customHeight="1">
      <c r="A4886" s="120">
        <v>103995</v>
      </c>
      <c r="B4886" s="119" t="s">
        <v>6426</v>
      </c>
      <c r="C4886" s="120" t="s">
        <v>331</v>
      </c>
      <c r="D4886" s="441">
        <v>17.11</v>
      </c>
    </row>
    <row r="4887" spans="1:4" ht="31.5" customHeight="1">
      <c r="A4887" s="120">
        <v>103996</v>
      </c>
      <c r="B4887" s="119" t="s">
        <v>6427</v>
      </c>
      <c r="C4887" s="120" t="s">
        <v>331</v>
      </c>
      <c r="D4887" s="441">
        <v>45.25</v>
      </c>
    </row>
    <row r="4888" spans="1:4" ht="31.5" customHeight="1">
      <c r="A4888" s="120">
        <v>103997</v>
      </c>
      <c r="B4888" s="119" t="s">
        <v>6428</v>
      </c>
      <c r="C4888" s="120" t="s">
        <v>331</v>
      </c>
      <c r="D4888" s="441">
        <v>44.18</v>
      </c>
    </row>
    <row r="4889" spans="1:4" ht="31.5" customHeight="1">
      <c r="A4889" s="120">
        <v>103998</v>
      </c>
      <c r="B4889" s="119" t="s">
        <v>6429</v>
      </c>
      <c r="C4889" s="120" t="s">
        <v>331</v>
      </c>
      <c r="D4889" s="441">
        <v>16.5</v>
      </c>
    </row>
    <row r="4890" spans="1:4" ht="31.5" customHeight="1">
      <c r="A4890" s="120">
        <v>103999</v>
      </c>
      <c r="B4890" s="119" t="s">
        <v>6430</v>
      </c>
      <c r="C4890" s="120" t="s">
        <v>331</v>
      </c>
      <c r="D4890" s="441">
        <v>14.19</v>
      </c>
    </row>
    <row r="4891" spans="1:4" ht="31.5" customHeight="1">
      <c r="A4891" s="120">
        <v>104000</v>
      </c>
      <c r="B4891" s="119" t="s">
        <v>6431</v>
      </c>
      <c r="C4891" s="120" t="s">
        <v>331</v>
      </c>
      <c r="D4891" s="441">
        <v>31.68</v>
      </c>
    </row>
    <row r="4892" spans="1:4" ht="31.5" customHeight="1">
      <c r="A4892" s="120">
        <v>104001</v>
      </c>
      <c r="B4892" s="119" t="s">
        <v>6432</v>
      </c>
      <c r="C4892" s="120" t="s">
        <v>331</v>
      </c>
      <c r="D4892" s="441">
        <v>15.62</v>
      </c>
    </row>
    <row r="4893" spans="1:4" ht="31.5" customHeight="1">
      <c r="A4893" s="120">
        <v>104002</v>
      </c>
      <c r="B4893" s="119" t="s">
        <v>6433</v>
      </c>
      <c r="C4893" s="120" t="s">
        <v>331</v>
      </c>
      <c r="D4893" s="441">
        <v>19.78</v>
      </c>
    </row>
    <row r="4894" spans="1:4" ht="31.5" customHeight="1">
      <c r="A4894" s="120">
        <v>104003</v>
      </c>
      <c r="B4894" s="119" t="s">
        <v>6434</v>
      </c>
      <c r="C4894" s="120" t="s">
        <v>331</v>
      </c>
      <c r="D4894" s="441">
        <v>16.63</v>
      </c>
    </row>
    <row r="4895" spans="1:4" ht="31.5" customHeight="1">
      <c r="A4895" s="120">
        <v>104004</v>
      </c>
      <c r="B4895" s="119" t="s">
        <v>6435</v>
      </c>
      <c r="C4895" s="120" t="s">
        <v>331</v>
      </c>
      <c r="D4895" s="441">
        <v>33.700000000000003</v>
      </c>
    </row>
    <row r="4896" spans="1:4" ht="31.5" customHeight="1">
      <c r="A4896" s="120">
        <v>104005</v>
      </c>
      <c r="B4896" s="119" t="s">
        <v>6436</v>
      </c>
      <c r="C4896" s="120" t="s">
        <v>331</v>
      </c>
      <c r="D4896" s="441">
        <v>41.3</v>
      </c>
    </row>
    <row r="4897" spans="1:4" ht="31.5" customHeight="1">
      <c r="A4897" s="120">
        <v>104006</v>
      </c>
      <c r="B4897" s="119" t="s">
        <v>6437</v>
      </c>
      <c r="C4897" s="120" t="s">
        <v>331</v>
      </c>
      <c r="D4897" s="441">
        <v>28.55</v>
      </c>
    </row>
    <row r="4898" spans="1:4" ht="31.5" customHeight="1">
      <c r="A4898" s="120">
        <v>104007</v>
      </c>
      <c r="B4898" s="119" t="s">
        <v>6438</v>
      </c>
      <c r="C4898" s="120" t="s">
        <v>331</v>
      </c>
      <c r="D4898" s="441">
        <v>24.98</v>
      </c>
    </row>
    <row r="4899" spans="1:4" ht="31.5" customHeight="1">
      <c r="A4899" s="120">
        <v>104008</v>
      </c>
      <c r="B4899" s="119" t="s">
        <v>6439</v>
      </c>
      <c r="C4899" s="120" t="s">
        <v>331</v>
      </c>
      <c r="D4899" s="441">
        <v>35.96</v>
      </c>
    </row>
    <row r="4900" spans="1:4" ht="31.5" customHeight="1">
      <c r="A4900" s="120">
        <v>104009</v>
      </c>
      <c r="B4900" s="119" t="s">
        <v>6440</v>
      </c>
      <c r="C4900" s="120" t="s">
        <v>331</v>
      </c>
      <c r="D4900" s="441">
        <v>15.04</v>
      </c>
    </row>
    <row r="4901" spans="1:4" ht="31.5" customHeight="1">
      <c r="A4901" s="120">
        <v>104011</v>
      </c>
      <c r="B4901" s="119" t="s">
        <v>6441</v>
      </c>
      <c r="C4901" s="120" t="s">
        <v>331</v>
      </c>
      <c r="D4901" s="441">
        <v>28.74</v>
      </c>
    </row>
    <row r="4902" spans="1:4" ht="31.5" customHeight="1">
      <c r="A4902" s="120">
        <v>104012</v>
      </c>
      <c r="B4902" s="119" t="s">
        <v>6442</v>
      </c>
      <c r="C4902" s="120" t="s">
        <v>331</v>
      </c>
      <c r="D4902" s="441">
        <v>26.63</v>
      </c>
    </row>
    <row r="4903" spans="1:4" ht="31.5" customHeight="1">
      <c r="A4903" s="120">
        <v>104014</v>
      </c>
      <c r="B4903" s="119" t="s">
        <v>6443</v>
      </c>
      <c r="C4903" s="120" t="s">
        <v>331</v>
      </c>
      <c r="D4903" s="441">
        <v>12.25</v>
      </c>
    </row>
    <row r="4904" spans="1:4" ht="31.5" customHeight="1">
      <c r="A4904" s="120">
        <v>104015</v>
      </c>
      <c r="B4904" s="119" t="s">
        <v>6444</v>
      </c>
      <c r="C4904" s="120" t="s">
        <v>331</v>
      </c>
      <c r="D4904" s="441">
        <v>18.61</v>
      </c>
    </row>
    <row r="4905" spans="1:4" ht="31.5" customHeight="1">
      <c r="A4905" s="120">
        <v>104016</v>
      </c>
      <c r="B4905" s="119" t="s">
        <v>6445</v>
      </c>
      <c r="C4905" s="120" t="s">
        <v>331</v>
      </c>
      <c r="D4905" s="441">
        <v>24.86</v>
      </c>
    </row>
    <row r="4906" spans="1:4" ht="31.5" customHeight="1">
      <c r="A4906" s="120">
        <v>104017</v>
      </c>
      <c r="B4906" s="119" t="s">
        <v>6446</v>
      </c>
      <c r="C4906" s="120" t="s">
        <v>331</v>
      </c>
      <c r="D4906" s="441">
        <v>48.56</v>
      </c>
    </row>
    <row r="4907" spans="1:4" ht="31.5" customHeight="1">
      <c r="A4907" s="120">
        <v>104018</v>
      </c>
      <c r="B4907" s="119" t="s">
        <v>6446</v>
      </c>
      <c r="C4907" s="120" t="s">
        <v>331</v>
      </c>
      <c r="D4907" s="441">
        <v>23.62</v>
      </c>
    </row>
    <row r="4908" spans="1:4" ht="31.5" customHeight="1">
      <c r="A4908" s="120">
        <v>104019</v>
      </c>
      <c r="B4908" s="119" t="s">
        <v>6447</v>
      </c>
      <c r="C4908" s="120" t="s">
        <v>331</v>
      </c>
      <c r="D4908" s="441">
        <v>47.1</v>
      </c>
    </row>
    <row r="4909" spans="1:4" ht="31.5" customHeight="1">
      <c r="A4909" s="120">
        <v>104020</v>
      </c>
      <c r="B4909" s="119" t="s">
        <v>6448</v>
      </c>
      <c r="C4909" s="120" t="s">
        <v>331</v>
      </c>
      <c r="D4909" s="441">
        <v>58.26</v>
      </c>
    </row>
    <row r="4910" spans="1:4" ht="31.5" customHeight="1">
      <c r="A4910" s="120">
        <v>104022</v>
      </c>
      <c r="B4910" s="119" t="s">
        <v>6449</v>
      </c>
      <c r="C4910" s="120" t="s">
        <v>331</v>
      </c>
      <c r="D4910" s="441">
        <v>72.95</v>
      </c>
    </row>
    <row r="4911" spans="1:4" ht="31.5" customHeight="1">
      <c r="A4911" s="120">
        <v>104023</v>
      </c>
      <c r="B4911" s="119" t="s">
        <v>6450</v>
      </c>
      <c r="C4911" s="120" t="s">
        <v>331</v>
      </c>
      <c r="D4911" s="441">
        <v>43.52</v>
      </c>
    </row>
    <row r="4912" spans="1:4" ht="31.5" customHeight="1">
      <c r="A4912" s="120">
        <v>104024</v>
      </c>
      <c r="B4912" s="119" t="s">
        <v>6451</v>
      </c>
      <c r="C4912" s="120" t="s">
        <v>331</v>
      </c>
      <c r="D4912" s="441">
        <v>43.11</v>
      </c>
    </row>
    <row r="4913" spans="1:4" ht="31.5" customHeight="1">
      <c r="A4913" s="120">
        <v>104025</v>
      </c>
      <c r="B4913" s="119" t="s">
        <v>6452</v>
      </c>
      <c r="C4913" s="120" t="s">
        <v>331</v>
      </c>
      <c r="D4913" s="441">
        <v>30.44</v>
      </c>
    </row>
    <row r="4914" spans="1:4" ht="31.5" customHeight="1">
      <c r="A4914" s="120">
        <v>104026</v>
      </c>
      <c r="B4914" s="119" t="s">
        <v>6453</v>
      </c>
      <c r="C4914" s="120" t="s">
        <v>331</v>
      </c>
      <c r="D4914" s="441">
        <v>43.76</v>
      </c>
    </row>
    <row r="4915" spans="1:4" ht="31.5" customHeight="1">
      <c r="A4915" s="120">
        <v>104027</v>
      </c>
      <c r="B4915" s="119" t="s">
        <v>6454</v>
      </c>
      <c r="C4915" s="120" t="s">
        <v>331</v>
      </c>
      <c r="D4915" s="441">
        <v>65.48</v>
      </c>
    </row>
    <row r="4916" spans="1:4" ht="31.5" customHeight="1">
      <c r="A4916" s="120">
        <v>104028</v>
      </c>
      <c r="B4916" s="119" t="s">
        <v>6455</v>
      </c>
      <c r="C4916" s="120" t="s">
        <v>331</v>
      </c>
      <c r="D4916" s="441">
        <v>131.85</v>
      </c>
    </row>
    <row r="4917" spans="1:4" ht="31.5" customHeight="1">
      <c r="A4917" s="120">
        <v>104029</v>
      </c>
      <c r="B4917" s="119" t="s">
        <v>6456</v>
      </c>
      <c r="C4917" s="120" t="s">
        <v>331</v>
      </c>
      <c r="D4917" s="441">
        <v>69.39</v>
      </c>
    </row>
    <row r="4918" spans="1:4" ht="31.5" customHeight="1">
      <c r="A4918" s="120">
        <v>104030</v>
      </c>
      <c r="B4918" s="119" t="s">
        <v>6457</v>
      </c>
      <c r="C4918" s="120" t="s">
        <v>331</v>
      </c>
      <c r="D4918" s="441">
        <v>64.81</v>
      </c>
    </row>
    <row r="4919" spans="1:4" ht="31.5" customHeight="1">
      <c r="A4919" s="120">
        <v>104159</v>
      </c>
      <c r="B4919" s="119" t="s">
        <v>6458</v>
      </c>
      <c r="C4919" s="120" t="s">
        <v>331</v>
      </c>
      <c r="D4919" s="441">
        <v>42.47</v>
      </c>
    </row>
    <row r="4920" spans="1:4" ht="31.5" customHeight="1">
      <c r="A4920" s="120">
        <v>104167</v>
      </c>
      <c r="B4920" s="119" t="s">
        <v>6459</v>
      </c>
      <c r="C4920" s="120" t="s">
        <v>331</v>
      </c>
      <c r="D4920" s="441">
        <v>119.8</v>
      </c>
    </row>
    <row r="4921" spans="1:4" ht="31.5" customHeight="1">
      <c r="A4921" s="120">
        <v>104168</v>
      </c>
      <c r="B4921" s="119" t="s">
        <v>6460</v>
      </c>
      <c r="C4921" s="120" t="s">
        <v>331</v>
      </c>
      <c r="D4921" s="441">
        <v>116.6</v>
      </c>
    </row>
    <row r="4922" spans="1:4" ht="31.5" customHeight="1">
      <c r="A4922" s="120">
        <v>104169</v>
      </c>
      <c r="B4922" s="119" t="s">
        <v>6461</v>
      </c>
      <c r="C4922" s="120" t="s">
        <v>331</v>
      </c>
      <c r="D4922" s="441">
        <v>144.72999999999999</v>
      </c>
    </row>
    <row r="4923" spans="1:4" ht="31.5" customHeight="1">
      <c r="A4923" s="120">
        <v>104170</v>
      </c>
      <c r="B4923" s="119" t="s">
        <v>6462</v>
      </c>
      <c r="C4923" s="120" t="s">
        <v>331</v>
      </c>
      <c r="D4923" s="441">
        <v>69.58</v>
      </c>
    </row>
    <row r="4924" spans="1:4" ht="31.5" customHeight="1">
      <c r="A4924" s="120">
        <v>104171</v>
      </c>
      <c r="B4924" s="119" t="s">
        <v>6463</v>
      </c>
      <c r="C4924" s="120" t="s">
        <v>331</v>
      </c>
      <c r="D4924" s="441">
        <v>95.95</v>
      </c>
    </row>
    <row r="4925" spans="1:4" ht="31.5" customHeight="1">
      <c r="A4925" s="120">
        <v>104172</v>
      </c>
      <c r="B4925" s="119" t="s">
        <v>6464</v>
      </c>
      <c r="C4925" s="120" t="s">
        <v>331</v>
      </c>
      <c r="D4925" s="441">
        <v>270.3</v>
      </c>
    </row>
    <row r="4926" spans="1:4" ht="31.5" customHeight="1">
      <c r="A4926" s="120">
        <v>104173</v>
      </c>
      <c r="B4926" s="119" t="s">
        <v>6465</v>
      </c>
      <c r="C4926" s="120" t="s">
        <v>331</v>
      </c>
      <c r="D4926" s="441">
        <v>82.99</v>
      </c>
    </row>
    <row r="4927" spans="1:4" ht="31.5" customHeight="1">
      <c r="A4927" s="120">
        <v>104174</v>
      </c>
      <c r="B4927" s="119" t="s">
        <v>6466</v>
      </c>
      <c r="C4927" s="120" t="s">
        <v>331</v>
      </c>
      <c r="D4927" s="441">
        <v>185.71</v>
      </c>
    </row>
    <row r="4928" spans="1:4" ht="31.5" customHeight="1">
      <c r="A4928" s="120">
        <v>104175</v>
      </c>
      <c r="B4928" s="119" t="s">
        <v>6467</v>
      </c>
      <c r="C4928" s="120" t="s">
        <v>331</v>
      </c>
      <c r="D4928" s="441">
        <v>137.63</v>
      </c>
    </row>
    <row r="4929" spans="1:4" ht="31.5" customHeight="1">
      <c r="A4929" s="120">
        <v>104176</v>
      </c>
      <c r="B4929" s="119" t="s">
        <v>6468</v>
      </c>
      <c r="C4929" s="120" t="s">
        <v>331</v>
      </c>
      <c r="D4929" s="441">
        <v>245.76</v>
      </c>
    </row>
    <row r="4930" spans="1:4" ht="31.5" customHeight="1">
      <c r="A4930" s="120">
        <v>104177</v>
      </c>
      <c r="B4930" s="119" t="s">
        <v>6469</v>
      </c>
      <c r="C4930" s="120" t="s">
        <v>331</v>
      </c>
      <c r="D4930" s="441">
        <v>177.56</v>
      </c>
    </row>
    <row r="4931" spans="1:4" ht="31.5" customHeight="1">
      <c r="A4931" s="120">
        <v>104178</v>
      </c>
      <c r="B4931" s="119" t="s">
        <v>6470</v>
      </c>
      <c r="C4931" s="120" t="s">
        <v>331</v>
      </c>
      <c r="D4931" s="441">
        <v>21.63</v>
      </c>
    </row>
    <row r="4932" spans="1:4" ht="31.5" customHeight="1">
      <c r="A4932" s="120">
        <v>104179</v>
      </c>
      <c r="B4932" s="119" t="s">
        <v>6471</v>
      </c>
      <c r="C4932" s="120" t="s">
        <v>331</v>
      </c>
      <c r="D4932" s="441">
        <v>81.400000000000006</v>
      </c>
    </row>
    <row r="4933" spans="1:4" ht="31.5" customHeight="1">
      <c r="A4933" s="120">
        <v>104191</v>
      </c>
      <c r="B4933" s="119" t="s">
        <v>6472</v>
      </c>
      <c r="C4933" s="120" t="s">
        <v>331</v>
      </c>
      <c r="D4933" s="441">
        <v>11.42</v>
      </c>
    </row>
    <row r="4934" spans="1:4" ht="31.5" customHeight="1">
      <c r="A4934" s="120">
        <v>104192</v>
      </c>
      <c r="B4934" s="119" t="s">
        <v>6473</v>
      </c>
      <c r="C4934" s="120" t="s">
        <v>331</v>
      </c>
      <c r="D4934" s="441">
        <v>31.31</v>
      </c>
    </row>
    <row r="4935" spans="1:4" ht="31.5" customHeight="1">
      <c r="A4935" s="120">
        <v>104193</v>
      </c>
      <c r="B4935" s="119" t="s">
        <v>6474</v>
      </c>
      <c r="C4935" s="120" t="s">
        <v>331</v>
      </c>
      <c r="D4935" s="441">
        <v>176.01</v>
      </c>
    </row>
    <row r="4936" spans="1:4" ht="31.5" customHeight="1">
      <c r="A4936" s="120">
        <v>104196</v>
      </c>
      <c r="B4936" s="119" t="s">
        <v>6475</v>
      </c>
      <c r="C4936" s="120" t="s">
        <v>331</v>
      </c>
      <c r="D4936" s="441">
        <v>17.09</v>
      </c>
    </row>
    <row r="4937" spans="1:4" ht="31.5" customHeight="1">
      <c r="A4937" s="120">
        <v>104197</v>
      </c>
      <c r="B4937" s="119" t="s">
        <v>6476</v>
      </c>
      <c r="C4937" s="120" t="s">
        <v>331</v>
      </c>
      <c r="D4937" s="441">
        <v>32.42</v>
      </c>
    </row>
    <row r="4938" spans="1:4" ht="31.5" customHeight="1">
      <c r="A4938" s="120">
        <v>104198</v>
      </c>
      <c r="B4938" s="119" t="s">
        <v>6477</v>
      </c>
      <c r="C4938" s="120" t="s">
        <v>331</v>
      </c>
      <c r="D4938" s="441">
        <v>8.57</v>
      </c>
    </row>
    <row r="4939" spans="1:4" ht="31.5" customHeight="1">
      <c r="A4939" s="120">
        <v>104199</v>
      </c>
      <c r="B4939" s="119" t="s">
        <v>6478</v>
      </c>
      <c r="C4939" s="120" t="s">
        <v>331</v>
      </c>
      <c r="D4939" s="441">
        <v>8.32</v>
      </c>
    </row>
    <row r="4940" spans="1:4" ht="31.5" customHeight="1">
      <c r="A4940" s="120">
        <v>104200</v>
      </c>
      <c r="B4940" s="119" t="s">
        <v>6479</v>
      </c>
      <c r="C4940" s="120" t="s">
        <v>331</v>
      </c>
      <c r="D4940" s="441">
        <v>6.72</v>
      </c>
    </row>
    <row r="4941" spans="1:4" ht="31.5" customHeight="1">
      <c r="A4941" s="120">
        <v>104201</v>
      </c>
      <c r="B4941" s="119" t="s">
        <v>6480</v>
      </c>
      <c r="C4941" s="120" t="s">
        <v>331</v>
      </c>
      <c r="D4941" s="441">
        <v>21.16</v>
      </c>
    </row>
    <row r="4942" spans="1:4" ht="31.5" customHeight="1">
      <c r="A4942" s="120">
        <v>104202</v>
      </c>
      <c r="B4942" s="119" t="s">
        <v>6481</v>
      </c>
      <c r="C4942" s="120" t="s">
        <v>331</v>
      </c>
      <c r="D4942" s="441">
        <v>12.26</v>
      </c>
    </row>
    <row r="4943" spans="1:4" ht="31.5" customHeight="1">
      <c r="A4943" s="120">
        <v>104317</v>
      </c>
      <c r="B4943" s="119" t="s">
        <v>6482</v>
      </c>
      <c r="C4943" s="120" t="s">
        <v>331</v>
      </c>
      <c r="D4943" s="441">
        <v>7.72</v>
      </c>
    </row>
    <row r="4944" spans="1:4" ht="31.5" customHeight="1">
      <c r="A4944" s="120">
        <v>104318</v>
      </c>
      <c r="B4944" s="119" t="s">
        <v>6483</v>
      </c>
      <c r="C4944" s="120" t="s">
        <v>331</v>
      </c>
      <c r="D4944" s="441">
        <v>8.35</v>
      </c>
    </row>
    <row r="4945" spans="1:4" ht="31.5" customHeight="1">
      <c r="A4945" s="120">
        <v>104319</v>
      </c>
      <c r="B4945" s="119" t="s">
        <v>6484</v>
      </c>
      <c r="C4945" s="120" t="s">
        <v>331</v>
      </c>
      <c r="D4945" s="441">
        <v>11.28</v>
      </c>
    </row>
    <row r="4946" spans="1:4" ht="31.5" customHeight="1">
      <c r="A4946" s="120">
        <v>104320</v>
      </c>
      <c r="B4946" s="119" t="s">
        <v>6485</v>
      </c>
      <c r="C4946" s="120" t="s">
        <v>331</v>
      </c>
      <c r="D4946" s="441">
        <v>13.28</v>
      </c>
    </row>
    <row r="4947" spans="1:4" ht="31.5" customHeight="1">
      <c r="A4947" s="120">
        <v>104321</v>
      </c>
      <c r="B4947" s="119" t="s">
        <v>6486</v>
      </c>
      <c r="C4947" s="120" t="s">
        <v>331</v>
      </c>
      <c r="D4947" s="441">
        <v>5.89</v>
      </c>
    </row>
    <row r="4948" spans="1:4" ht="31.5" customHeight="1">
      <c r="A4948" s="120">
        <v>104322</v>
      </c>
      <c r="B4948" s="119" t="s">
        <v>6487</v>
      </c>
      <c r="C4948" s="120" t="s">
        <v>331</v>
      </c>
      <c r="D4948" s="441">
        <v>8.5</v>
      </c>
    </row>
    <row r="4949" spans="1:4" ht="31.5" customHeight="1">
      <c r="A4949" s="120">
        <v>104323</v>
      </c>
      <c r="B4949" s="119" t="s">
        <v>6488</v>
      </c>
      <c r="C4949" s="120" t="s">
        <v>331</v>
      </c>
      <c r="D4949" s="441">
        <v>10.75</v>
      </c>
    </row>
    <row r="4950" spans="1:4" ht="31.5" customHeight="1">
      <c r="A4950" s="120">
        <v>104324</v>
      </c>
      <c r="B4950" s="119" t="s">
        <v>6489</v>
      </c>
      <c r="C4950" s="120" t="s">
        <v>331</v>
      </c>
      <c r="D4950" s="441">
        <v>15.96</v>
      </c>
    </row>
    <row r="4951" spans="1:4" ht="31.5" customHeight="1">
      <c r="A4951" s="120">
        <v>104341</v>
      </c>
      <c r="B4951" s="119" t="s">
        <v>6490</v>
      </c>
      <c r="C4951" s="120" t="s">
        <v>331</v>
      </c>
      <c r="D4951" s="441">
        <v>11.45</v>
      </c>
    </row>
    <row r="4952" spans="1:4" ht="31.5" customHeight="1">
      <c r="A4952" s="120">
        <v>104343</v>
      </c>
      <c r="B4952" s="119" t="s">
        <v>6491</v>
      </c>
      <c r="C4952" s="120" t="s">
        <v>331</v>
      </c>
      <c r="D4952" s="441">
        <v>34.71</v>
      </c>
    </row>
    <row r="4953" spans="1:4" ht="31.5" customHeight="1">
      <c r="A4953" s="120">
        <v>104344</v>
      </c>
      <c r="B4953" s="119" t="s">
        <v>6492</v>
      </c>
      <c r="C4953" s="120" t="s">
        <v>331</v>
      </c>
      <c r="D4953" s="441">
        <v>41.67</v>
      </c>
    </row>
    <row r="4954" spans="1:4" ht="31.5" customHeight="1">
      <c r="A4954" s="120">
        <v>104345</v>
      </c>
      <c r="B4954" s="119" t="s">
        <v>6493</v>
      </c>
      <c r="C4954" s="120" t="s">
        <v>331</v>
      </c>
      <c r="D4954" s="441">
        <v>43.78</v>
      </c>
    </row>
    <row r="4955" spans="1:4" ht="31.5" customHeight="1">
      <c r="A4955" s="120">
        <v>104346</v>
      </c>
      <c r="B4955" s="119" t="s">
        <v>6494</v>
      </c>
      <c r="C4955" s="120" t="s">
        <v>331</v>
      </c>
      <c r="D4955" s="441">
        <v>46.01</v>
      </c>
    </row>
    <row r="4956" spans="1:4" ht="31.5" customHeight="1">
      <c r="A4956" s="120">
        <v>104347</v>
      </c>
      <c r="B4956" s="119" t="s">
        <v>6495</v>
      </c>
      <c r="C4956" s="120" t="s">
        <v>331</v>
      </c>
      <c r="D4956" s="441">
        <v>48.73</v>
      </c>
    </row>
    <row r="4957" spans="1:4" ht="31.5" customHeight="1">
      <c r="A4957" s="120">
        <v>104348</v>
      </c>
      <c r="B4957" s="119" t="s">
        <v>6496</v>
      </c>
      <c r="C4957" s="120" t="s">
        <v>331</v>
      </c>
      <c r="D4957" s="441">
        <v>11.44</v>
      </c>
    </row>
    <row r="4958" spans="1:4" ht="31.5" customHeight="1">
      <c r="A4958" s="120">
        <v>104350</v>
      </c>
      <c r="B4958" s="119" t="s">
        <v>6497</v>
      </c>
      <c r="C4958" s="120" t="s">
        <v>331</v>
      </c>
      <c r="D4958" s="441">
        <v>30.02</v>
      </c>
    </row>
    <row r="4959" spans="1:4" ht="31.5" customHeight="1">
      <c r="A4959" s="120">
        <v>104351</v>
      </c>
      <c r="B4959" s="119" t="s">
        <v>6498</v>
      </c>
      <c r="C4959" s="120" t="s">
        <v>331</v>
      </c>
      <c r="D4959" s="441">
        <v>23.83</v>
      </c>
    </row>
    <row r="4960" spans="1:4" ht="31.5" customHeight="1">
      <c r="A4960" s="120">
        <v>104352</v>
      </c>
      <c r="B4960" s="119" t="s">
        <v>6499</v>
      </c>
      <c r="C4960" s="120" t="s">
        <v>331</v>
      </c>
      <c r="D4960" s="441">
        <v>40.270000000000003</v>
      </c>
    </row>
    <row r="4961" spans="1:4" ht="31.5" customHeight="1">
      <c r="A4961" s="120">
        <v>104353</v>
      </c>
      <c r="B4961" s="119" t="s">
        <v>6500</v>
      </c>
      <c r="C4961" s="120" t="s">
        <v>331</v>
      </c>
      <c r="D4961" s="441">
        <v>42.38</v>
      </c>
    </row>
    <row r="4962" spans="1:4" ht="31.5" customHeight="1">
      <c r="A4962" s="120">
        <v>104354</v>
      </c>
      <c r="B4962" s="119" t="s">
        <v>6501</v>
      </c>
      <c r="C4962" s="120" t="s">
        <v>331</v>
      </c>
      <c r="D4962" s="441">
        <v>46.26</v>
      </c>
    </row>
    <row r="4963" spans="1:4" ht="31.5" customHeight="1">
      <c r="A4963" s="120">
        <v>104355</v>
      </c>
      <c r="B4963" s="119" t="s">
        <v>6502</v>
      </c>
      <c r="C4963" s="120" t="s">
        <v>331</v>
      </c>
      <c r="D4963" s="441">
        <v>48.98</v>
      </c>
    </row>
    <row r="4964" spans="1:4" ht="31.5" customHeight="1">
      <c r="A4964" s="120">
        <v>104356</v>
      </c>
      <c r="B4964" s="119" t="s">
        <v>6503</v>
      </c>
      <c r="C4964" s="120" t="s">
        <v>331</v>
      </c>
      <c r="D4964" s="441">
        <v>31.82</v>
      </c>
    </row>
    <row r="4965" spans="1:4" ht="31.5" customHeight="1">
      <c r="A4965" s="120">
        <v>104357</v>
      </c>
      <c r="B4965" s="119" t="s">
        <v>6504</v>
      </c>
      <c r="C4965" s="120" t="s">
        <v>331</v>
      </c>
      <c r="D4965" s="441">
        <v>19.52</v>
      </c>
    </row>
    <row r="4966" spans="1:4" ht="31.5" customHeight="1">
      <c r="A4966" s="120">
        <v>97895</v>
      </c>
      <c r="B4966" s="119" t="s">
        <v>6505</v>
      </c>
      <c r="C4966" s="120" t="s">
        <v>331</v>
      </c>
      <c r="D4966" s="441">
        <v>130.07</v>
      </c>
    </row>
    <row r="4967" spans="1:4" ht="31.5" customHeight="1">
      <c r="A4967" s="120">
        <v>97896</v>
      </c>
      <c r="B4967" s="119" t="s">
        <v>6506</v>
      </c>
      <c r="C4967" s="120" t="s">
        <v>331</v>
      </c>
      <c r="D4967" s="441">
        <v>241.99</v>
      </c>
    </row>
    <row r="4968" spans="1:4" ht="31.5" customHeight="1">
      <c r="A4968" s="120">
        <v>97897</v>
      </c>
      <c r="B4968" s="119" t="s">
        <v>6507</v>
      </c>
      <c r="C4968" s="120" t="s">
        <v>331</v>
      </c>
      <c r="D4968" s="441">
        <v>316.60000000000002</v>
      </c>
    </row>
    <row r="4969" spans="1:4" ht="31.5" customHeight="1">
      <c r="A4969" s="120">
        <v>97898</v>
      </c>
      <c r="B4969" s="119" t="s">
        <v>6508</v>
      </c>
      <c r="C4969" s="120" t="s">
        <v>331</v>
      </c>
      <c r="D4969" s="441">
        <v>658.34</v>
      </c>
    </row>
    <row r="4970" spans="1:4" ht="31.5" customHeight="1">
      <c r="A4970" s="120">
        <v>97900</v>
      </c>
      <c r="B4970" s="119" t="s">
        <v>6509</v>
      </c>
      <c r="C4970" s="120" t="s">
        <v>331</v>
      </c>
      <c r="D4970" s="441">
        <v>198.67</v>
      </c>
    </row>
    <row r="4971" spans="1:4" ht="31.5" customHeight="1">
      <c r="A4971" s="120">
        <v>97901</v>
      </c>
      <c r="B4971" s="119" t="s">
        <v>6510</v>
      </c>
      <c r="C4971" s="120" t="s">
        <v>331</v>
      </c>
      <c r="D4971" s="441">
        <v>311.82</v>
      </c>
    </row>
    <row r="4972" spans="1:4" ht="31.5" customHeight="1">
      <c r="A4972" s="120">
        <v>97902</v>
      </c>
      <c r="B4972" s="119" t="s">
        <v>6511</v>
      </c>
      <c r="C4972" s="120" t="s">
        <v>331</v>
      </c>
      <c r="D4972" s="441">
        <v>603.53</v>
      </c>
    </row>
    <row r="4973" spans="1:4" ht="31.5" customHeight="1">
      <c r="A4973" s="120">
        <v>97903</v>
      </c>
      <c r="B4973" s="119" t="s">
        <v>6512</v>
      </c>
      <c r="C4973" s="120" t="s">
        <v>331</v>
      </c>
      <c r="D4973" s="441">
        <v>837.38</v>
      </c>
    </row>
    <row r="4974" spans="1:4" ht="31.5" customHeight="1">
      <c r="A4974" s="120">
        <v>97904</v>
      </c>
      <c r="B4974" s="119" t="s">
        <v>6513</v>
      </c>
      <c r="C4974" s="120" t="s">
        <v>331</v>
      </c>
      <c r="D4974" s="441">
        <v>980.03</v>
      </c>
    </row>
    <row r="4975" spans="1:4" ht="31.5" customHeight="1">
      <c r="A4975" s="120">
        <v>97905</v>
      </c>
      <c r="B4975" s="119" t="s">
        <v>6514</v>
      </c>
      <c r="C4975" s="120" t="s">
        <v>331</v>
      </c>
      <c r="D4975" s="441">
        <v>247.72</v>
      </c>
    </row>
    <row r="4976" spans="1:4" ht="31.5" customHeight="1">
      <c r="A4976" s="120">
        <v>97906</v>
      </c>
      <c r="B4976" s="119" t="s">
        <v>6515</v>
      </c>
      <c r="C4976" s="120" t="s">
        <v>331</v>
      </c>
      <c r="D4976" s="441">
        <v>456.33</v>
      </c>
    </row>
    <row r="4977" spans="1:4" ht="31.5" customHeight="1">
      <c r="A4977" s="120">
        <v>97907</v>
      </c>
      <c r="B4977" s="119" t="s">
        <v>6516</v>
      </c>
      <c r="C4977" s="120" t="s">
        <v>331</v>
      </c>
      <c r="D4977" s="441">
        <v>649.55999999999995</v>
      </c>
    </row>
    <row r="4978" spans="1:4" ht="31.5" customHeight="1">
      <c r="A4978" s="120">
        <v>97908</v>
      </c>
      <c r="B4978" s="119" t="s">
        <v>6517</v>
      </c>
      <c r="C4978" s="120" t="s">
        <v>331</v>
      </c>
      <c r="D4978" s="441">
        <v>757.78</v>
      </c>
    </row>
    <row r="4979" spans="1:4" ht="31.5" customHeight="1">
      <c r="A4979" s="120">
        <v>98102</v>
      </c>
      <c r="B4979" s="119" t="s">
        <v>6518</v>
      </c>
      <c r="C4979" s="120" t="s">
        <v>331</v>
      </c>
      <c r="D4979" s="441">
        <v>125.31</v>
      </c>
    </row>
    <row r="4980" spans="1:4" ht="31.5" customHeight="1">
      <c r="A4980" s="120">
        <v>98104</v>
      </c>
      <c r="B4980" s="119" t="s">
        <v>6519</v>
      </c>
      <c r="C4980" s="120" t="s">
        <v>331</v>
      </c>
      <c r="D4980" s="441">
        <v>394.67</v>
      </c>
    </row>
    <row r="4981" spans="1:4" ht="31.5" customHeight="1">
      <c r="A4981" s="120">
        <v>98105</v>
      </c>
      <c r="B4981" s="119" t="s">
        <v>6520</v>
      </c>
      <c r="C4981" s="120" t="s">
        <v>331</v>
      </c>
      <c r="D4981" s="441">
        <v>686.33</v>
      </c>
    </row>
    <row r="4982" spans="1:4" ht="47.25" customHeight="1">
      <c r="A4982" s="120">
        <v>98106</v>
      </c>
      <c r="B4982" s="119" t="s">
        <v>6521</v>
      </c>
      <c r="C4982" s="120" t="s">
        <v>331</v>
      </c>
      <c r="D4982" s="442">
        <v>1131.8399999999999</v>
      </c>
    </row>
    <row r="4983" spans="1:4" ht="31.5" customHeight="1">
      <c r="A4983" s="120">
        <v>98107</v>
      </c>
      <c r="B4983" s="119" t="s">
        <v>6522</v>
      </c>
      <c r="C4983" s="120" t="s">
        <v>331</v>
      </c>
      <c r="D4983" s="441">
        <v>280.64</v>
      </c>
    </row>
    <row r="4984" spans="1:4" ht="31.5" customHeight="1">
      <c r="A4984" s="120">
        <v>98108</v>
      </c>
      <c r="B4984" s="119" t="s">
        <v>6523</v>
      </c>
      <c r="C4984" s="120" t="s">
        <v>331</v>
      </c>
      <c r="D4984" s="441">
        <v>502.26</v>
      </c>
    </row>
    <row r="4985" spans="1:4" ht="31.5" customHeight="1">
      <c r="A4985" s="120">
        <v>99250</v>
      </c>
      <c r="B4985" s="119" t="s">
        <v>6524</v>
      </c>
      <c r="C4985" s="120" t="s">
        <v>331</v>
      </c>
      <c r="D4985" s="441">
        <v>194.27</v>
      </c>
    </row>
    <row r="4986" spans="1:4" ht="31.5" customHeight="1">
      <c r="A4986" s="120">
        <v>99251</v>
      </c>
      <c r="B4986" s="119" t="s">
        <v>6525</v>
      </c>
      <c r="C4986" s="120" t="s">
        <v>331</v>
      </c>
      <c r="D4986" s="441">
        <v>304.27</v>
      </c>
    </row>
    <row r="4987" spans="1:4" ht="31.5" customHeight="1">
      <c r="A4987" s="120">
        <v>99253</v>
      </c>
      <c r="B4987" s="119" t="s">
        <v>6526</v>
      </c>
      <c r="C4987" s="120" t="s">
        <v>331</v>
      </c>
      <c r="D4987" s="441">
        <v>586.58000000000004</v>
      </c>
    </row>
    <row r="4988" spans="1:4" ht="31.5" customHeight="1">
      <c r="A4988" s="120">
        <v>99255</v>
      </c>
      <c r="B4988" s="119" t="s">
        <v>6527</v>
      </c>
      <c r="C4988" s="120" t="s">
        <v>331</v>
      </c>
      <c r="D4988" s="441">
        <v>814.14</v>
      </c>
    </row>
    <row r="4989" spans="1:4" ht="31.5" customHeight="1">
      <c r="A4989" s="120">
        <v>99257</v>
      </c>
      <c r="B4989" s="119" t="s">
        <v>6528</v>
      </c>
      <c r="C4989" s="120" t="s">
        <v>331</v>
      </c>
      <c r="D4989" s="441">
        <v>949.98</v>
      </c>
    </row>
    <row r="4990" spans="1:4" ht="31.5" customHeight="1">
      <c r="A4990" s="120">
        <v>99258</v>
      </c>
      <c r="B4990" s="119" t="s">
        <v>6529</v>
      </c>
      <c r="C4990" s="120" t="s">
        <v>331</v>
      </c>
      <c r="D4990" s="441">
        <v>242.93</v>
      </c>
    </row>
    <row r="4991" spans="1:4" ht="31.5" customHeight="1">
      <c r="A4991" s="120">
        <v>99260</v>
      </c>
      <c r="B4991" s="119" t="s">
        <v>6530</v>
      </c>
      <c r="C4991" s="120" t="s">
        <v>331</v>
      </c>
      <c r="D4991" s="441">
        <v>445.66</v>
      </c>
    </row>
    <row r="4992" spans="1:4" ht="31.5" customHeight="1">
      <c r="A4992" s="120">
        <v>99262</v>
      </c>
      <c r="B4992" s="119" t="s">
        <v>6531</v>
      </c>
      <c r="C4992" s="120" t="s">
        <v>331</v>
      </c>
      <c r="D4992" s="441">
        <v>634.32000000000005</v>
      </c>
    </row>
    <row r="4993" spans="1:4" ht="31.5" customHeight="1">
      <c r="A4993" s="120">
        <v>99264</v>
      </c>
      <c r="B4993" s="119" t="s">
        <v>6532</v>
      </c>
      <c r="C4993" s="120" t="s">
        <v>331</v>
      </c>
      <c r="D4993" s="441">
        <v>737.2</v>
      </c>
    </row>
    <row r="4994" spans="1:4" ht="15.75" customHeight="1">
      <c r="A4994" s="120">
        <v>102587</v>
      </c>
      <c r="B4994" s="119" t="s">
        <v>6533</v>
      </c>
      <c r="C4994" s="120" t="s">
        <v>331</v>
      </c>
      <c r="D4994" s="441">
        <v>4.04</v>
      </c>
    </row>
    <row r="4995" spans="1:4" ht="15.75" customHeight="1">
      <c r="A4995" s="120">
        <v>102588</v>
      </c>
      <c r="B4995" s="119" t="s">
        <v>6534</v>
      </c>
      <c r="C4995" s="120" t="s">
        <v>331</v>
      </c>
      <c r="D4995" s="441">
        <v>5.84</v>
      </c>
    </row>
    <row r="4996" spans="1:4" ht="15.75" customHeight="1">
      <c r="A4996" s="120">
        <v>102589</v>
      </c>
      <c r="B4996" s="119" t="s">
        <v>6535</v>
      </c>
      <c r="C4996" s="120" t="s">
        <v>331</v>
      </c>
      <c r="D4996" s="441">
        <v>4.49</v>
      </c>
    </row>
    <row r="4997" spans="1:4" ht="15.75" customHeight="1">
      <c r="A4997" s="120">
        <v>102590</v>
      </c>
      <c r="B4997" s="119" t="s">
        <v>6536</v>
      </c>
      <c r="C4997" s="120" t="s">
        <v>331</v>
      </c>
      <c r="D4997" s="441">
        <v>6.29</v>
      </c>
    </row>
    <row r="4998" spans="1:4" ht="15.75" customHeight="1">
      <c r="A4998" s="120">
        <v>102591</v>
      </c>
      <c r="B4998" s="119" t="s">
        <v>6537</v>
      </c>
      <c r="C4998" s="120" t="s">
        <v>331</v>
      </c>
      <c r="D4998" s="441">
        <v>4.9400000000000004</v>
      </c>
    </row>
    <row r="4999" spans="1:4" ht="15.75" customHeight="1">
      <c r="A4999" s="120">
        <v>102592</v>
      </c>
      <c r="B4999" s="119" t="s">
        <v>6538</v>
      </c>
      <c r="C4999" s="120" t="s">
        <v>331</v>
      </c>
      <c r="D4999" s="441">
        <v>6.75</v>
      </c>
    </row>
    <row r="5000" spans="1:4" ht="15.75" customHeight="1">
      <c r="A5000" s="120">
        <v>102593</v>
      </c>
      <c r="B5000" s="119" t="s">
        <v>6539</v>
      </c>
      <c r="C5000" s="120" t="s">
        <v>331</v>
      </c>
      <c r="D5000" s="441">
        <v>5.58</v>
      </c>
    </row>
    <row r="5001" spans="1:4" ht="15.75" customHeight="1">
      <c r="A5001" s="120">
        <v>102594</v>
      </c>
      <c r="B5001" s="119" t="s">
        <v>6540</v>
      </c>
      <c r="C5001" s="120" t="s">
        <v>331</v>
      </c>
      <c r="D5001" s="441">
        <v>7.38</v>
      </c>
    </row>
    <row r="5002" spans="1:4" ht="15.75" customHeight="1">
      <c r="A5002" s="120">
        <v>102595</v>
      </c>
      <c r="B5002" s="119" t="s">
        <v>6541</v>
      </c>
      <c r="C5002" s="120" t="s">
        <v>331</v>
      </c>
      <c r="D5002" s="441">
        <v>6.31</v>
      </c>
    </row>
    <row r="5003" spans="1:4" ht="15.75" customHeight="1">
      <c r="A5003" s="120">
        <v>102596</v>
      </c>
      <c r="B5003" s="119" t="s">
        <v>6542</v>
      </c>
      <c r="C5003" s="120" t="s">
        <v>331</v>
      </c>
      <c r="D5003" s="441">
        <v>8.11</v>
      </c>
    </row>
    <row r="5004" spans="1:4" ht="15.75" customHeight="1">
      <c r="A5004" s="120">
        <v>102597</v>
      </c>
      <c r="B5004" s="119" t="s">
        <v>6543</v>
      </c>
      <c r="C5004" s="120" t="s">
        <v>331</v>
      </c>
      <c r="D5004" s="441">
        <v>7.22</v>
      </c>
    </row>
    <row r="5005" spans="1:4" ht="15.75" customHeight="1">
      <c r="A5005" s="120">
        <v>102598</v>
      </c>
      <c r="B5005" s="119" t="s">
        <v>6544</v>
      </c>
      <c r="C5005" s="120" t="s">
        <v>331</v>
      </c>
      <c r="D5005" s="441">
        <v>9.02</v>
      </c>
    </row>
    <row r="5006" spans="1:4" ht="15.75" customHeight="1">
      <c r="A5006" s="120">
        <v>102599</v>
      </c>
      <c r="B5006" s="119" t="s">
        <v>6545</v>
      </c>
      <c r="C5006" s="120" t="s">
        <v>331</v>
      </c>
      <c r="D5006" s="441">
        <v>8.1300000000000008</v>
      </c>
    </row>
    <row r="5007" spans="1:4" ht="15.75" customHeight="1">
      <c r="A5007" s="120">
        <v>102600</v>
      </c>
      <c r="B5007" s="119" t="s">
        <v>6546</v>
      </c>
      <c r="C5007" s="120" t="s">
        <v>331</v>
      </c>
      <c r="D5007" s="441">
        <v>9.94</v>
      </c>
    </row>
    <row r="5008" spans="1:4" ht="15.75" customHeight="1">
      <c r="A5008" s="120">
        <v>102601</v>
      </c>
      <c r="B5008" s="119" t="s">
        <v>6547</v>
      </c>
      <c r="C5008" s="120" t="s">
        <v>331</v>
      </c>
      <c r="D5008" s="441">
        <v>9.49</v>
      </c>
    </row>
    <row r="5009" spans="1:4" ht="15.75" customHeight="1">
      <c r="A5009" s="120">
        <v>102602</v>
      </c>
      <c r="B5009" s="119" t="s">
        <v>6548</v>
      </c>
      <c r="C5009" s="120" t="s">
        <v>331</v>
      </c>
      <c r="D5009" s="441">
        <v>11.31</v>
      </c>
    </row>
    <row r="5010" spans="1:4" ht="15.75" customHeight="1">
      <c r="A5010" s="120">
        <v>102603</v>
      </c>
      <c r="B5010" s="119" t="s">
        <v>6549</v>
      </c>
      <c r="C5010" s="120" t="s">
        <v>331</v>
      </c>
      <c r="D5010" s="441">
        <v>11.78</v>
      </c>
    </row>
    <row r="5011" spans="1:4" ht="15.75" customHeight="1">
      <c r="A5011" s="120">
        <v>102604</v>
      </c>
      <c r="B5011" s="119" t="s">
        <v>6550</v>
      </c>
      <c r="C5011" s="120" t="s">
        <v>331</v>
      </c>
      <c r="D5011" s="441">
        <v>13.58</v>
      </c>
    </row>
    <row r="5012" spans="1:4" ht="15.75" customHeight="1">
      <c r="A5012" s="120">
        <v>102605</v>
      </c>
      <c r="B5012" s="119" t="s">
        <v>6551</v>
      </c>
      <c r="C5012" s="120" t="s">
        <v>331</v>
      </c>
      <c r="D5012" s="441">
        <v>292.57</v>
      </c>
    </row>
    <row r="5013" spans="1:4" ht="15.75" customHeight="1">
      <c r="A5013" s="120">
        <v>102606</v>
      </c>
      <c r="B5013" s="119" t="s">
        <v>6552</v>
      </c>
      <c r="C5013" s="120" t="s">
        <v>331</v>
      </c>
      <c r="D5013" s="441">
        <v>498.8</v>
      </c>
    </row>
    <row r="5014" spans="1:4" ht="15.75" customHeight="1">
      <c r="A5014" s="120">
        <v>102607</v>
      </c>
      <c r="B5014" s="119" t="s">
        <v>6553</v>
      </c>
      <c r="C5014" s="120" t="s">
        <v>331</v>
      </c>
      <c r="D5014" s="441">
        <v>507.72</v>
      </c>
    </row>
    <row r="5015" spans="1:4" ht="15.75" customHeight="1">
      <c r="A5015" s="120">
        <v>102608</v>
      </c>
      <c r="B5015" s="119" t="s">
        <v>6554</v>
      </c>
      <c r="C5015" s="120" t="s">
        <v>331</v>
      </c>
      <c r="D5015" s="442">
        <v>1025.06</v>
      </c>
    </row>
    <row r="5016" spans="1:4" ht="15.75" customHeight="1">
      <c r="A5016" s="120">
        <v>102609</v>
      </c>
      <c r="B5016" s="119" t="s">
        <v>6555</v>
      </c>
      <c r="C5016" s="120" t="s">
        <v>331</v>
      </c>
      <c r="D5016" s="442">
        <v>1153.8900000000001</v>
      </c>
    </row>
    <row r="5017" spans="1:4" ht="31.5" customHeight="1">
      <c r="A5017" s="120">
        <v>102611</v>
      </c>
      <c r="B5017" s="119" t="s">
        <v>6556</v>
      </c>
      <c r="C5017" s="120" t="s">
        <v>331</v>
      </c>
      <c r="D5017" s="441">
        <v>306.54000000000002</v>
      </c>
    </row>
    <row r="5018" spans="1:4" ht="31.5" customHeight="1">
      <c r="A5018" s="120">
        <v>102613</v>
      </c>
      <c r="B5018" s="119" t="s">
        <v>6557</v>
      </c>
      <c r="C5018" s="120" t="s">
        <v>331</v>
      </c>
      <c r="D5018" s="441">
        <v>421.04</v>
      </c>
    </row>
    <row r="5019" spans="1:4" ht="31.5" customHeight="1">
      <c r="A5019" s="120">
        <v>102614</v>
      </c>
      <c r="B5019" s="119" t="s">
        <v>6558</v>
      </c>
      <c r="C5019" s="120" t="s">
        <v>331</v>
      </c>
      <c r="D5019" s="441">
        <v>680.14</v>
      </c>
    </row>
    <row r="5020" spans="1:4" ht="31.5" customHeight="1">
      <c r="A5020" s="120">
        <v>102615</v>
      </c>
      <c r="B5020" s="119" t="s">
        <v>6559</v>
      </c>
      <c r="C5020" s="120" t="s">
        <v>331</v>
      </c>
      <c r="D5020" s="441">
        <v>876.34</v>
      </c>
    </row>
    <row r="5021" spans="1:4" ht="31.5" customHeight="1">
      <c r="A5021" s="120">
        <v>102617</v>
      </c>
      <c r="B5021" s="119" t="s">
        <v>6560</v>
      </c>
      <c r="C5021" s="120" t="s">
        <v>331</v>
      </c>
      <c r="D5021" s="442">
        <v>2552.21</v>
      </c>
    </row>
    <row r="5022" spans="1:4" ht="31.5" customHeight="1">
      <c r="A5022" s="120">
        <v>102619</v>
      </c>
      <c r="B5022" s="119" t="s">
        <v>6561</v>
      </c>
      <c r="C5022" s="120" t="s">
        <v>331</v>
      </c>
      <c r="D5022" s="442">
        <v>4613.3999999999996</v>
      </c>
    </row>
    <row r="5023" spans="1:4" ht="31.5" customHeight="1">
      <c r="A5023" s="120">
        <v>102622</v>
      </c>
      <c r="B5023" s="119" t="s">
        <v>6562</v>
      </c>
      <c r="C5023" s="120" t="s">
        <v>331</v>
      </c>
      <c r="D5023" s="441">
        <v>666.88</v>
      </c>
    </row>
    <row r="5024" spans="1:4" ht="31.5" customHeight="1">
      <c r="A5024" s="120">
        <v>102623</v>
      </c>
      <c r="B5024" s="119" t="s">
        <v>6563</v>
      </c>
      <c r="C5024" s="120" t="s">
        <v>331</v>
      </c>
      <c r="D5024" s="441">
        <v>946.95</v>
      </c>
    </row>
    <row r="5025" spans="1:4" ht="31.5" customHeight="1">
      <c r="A5025" s="120">
        <v>89482</v>
      </c>
      <c r="B5025" s="119" t="s">
        <v>6564</v>
      </c>
      <c r="C5025" s="120" t="s">
        <v>331</v>
      </c>
      <c r="D5025" s="441">
        <v>41.97</v>
      </c>
    </row>
    <row r="5026" spans="1:4" ht="31.5" customHeight="1">
      <c r="A5026" s="120">
        <v>89491</v>
      </c>
      <c r="B5026" s="119" t="s">
        <v>6565</v>
      </c>
      <c r="C5026" s="120" t="s">
        <v>331</v>
      </c>
      <c r="D5026" s="441">
        <v>103.83</v>
      </c>
    </row>
    <row r="5027" spans="1:4" ht="31.5" customHeight="1">
      <c r="A5027" s="120">
        <v>89495</v>
      </c>
      <c r="B5027" s="119" t="s">
        <v>6566</v>
      </c>
      <c r="C5027" s="120" t="s">
        <v>331</v>
      </c>
      <c r="D5027" s="441">
        <v>19.239999999999998</v>
      </c>
    </row>
    <row r="5028" spans="1:4" ht="31.5" customHeight="1">
      <c r="A5028" s="120">
        <v>89707</v>
      </c>
      <c r="B5028" s="119" t="s">
        <v>6567</v>
      </c>
      <c r="C5028" s="120" t="s">
        <v>331</v>
      </c>
      <c r="D5028" s="441">
        <v>52.47</v>
      </c>
    </row>
    <row r="5029" spans="1:4" ht="31.5" customHeight="1">
      <c r="A5029" s="120">
        <v>89708</v>
      </c>
      <c r="B5029" s="119" t="s">
        <v>6568</v>
      </c>
      <c r="C5029" s="120" t="s">
        <v>331</v>
      </c>
      <c r="D5029" s="441">
        <v>108.74</v>
      </c>
    </row>
    <row r="5030" spans="1:4" ht="31.5" customHeight="1">
      <c r="A5030" s="120">
        <v>89709</v>
      </c>
      <c r="B5030" s="119" t="s">
        <v>6569</v>
      </c>
      <c r="C5030" s="120" t="s">
        <v>331</v>
      </c>
      <c r="D5030" s="441">
        <v>22.37</v>
      </c>
    </row>
    <row r="5031" spans="1:4" ht="31.5" customHeight="1">
      <c r="A5031" s="120">
        <v>89710</v>
      </c>
      <c r="B5031" s="119" t="s">
        <v>6570</v>
      </c>
      <c r="C5031" s="120" t="s">
        <v>331</v>
      </c>
      <c r="D5031" s="441">
        <v>19.84</v>
      </c>
    </row>
    <row r="5032" spans="1:4" ht="31.5" customHeight="1">
      <c r="A5032" s="120">
        <v>104326</v>
      </c>
      <c r="B5032" s="119" t="s">
        <v>6571</v>
      </c>
      <c r="C5032" s="120" t="s">
        <v>331</v>
      </c>
      <c r="D5032" s="441">
        <v>21.4</v>
      </c>
    </row>
    <row r="5033" spans="1:4" ht="31.5" customHeight="1">
      <c r="A5033" s="120">
        <v>104327</v>
      </c>
      <c r="B5033" s="119" t="s">
        <v>6572</v>
      </c>
      <c r="C5033" s="120" t="s">
        <v>331</v>
      </c>
      <c r="D5033" s="441">
        <v>20.48</v>
      </c>
    </row>
    <row r="5034" spans="1:4" ht="31.5" customHeight="1">
      <c r="A5034" s="120">
        <v>104328</v>
      </c>
      <c r="B5034" s="119" t="s">
        <v>6573</v>
      </c>
      <c r="C5034" s="120" t="s">
        <v>331</v>
      </c>
      <c r="D5034" s="441">
        <v>74.319999999999993</v>
      </c>
    </row>
    <row r="5035" spans="1:4" ht="31.5" customHeight="1">
      <c r="A5035" s="120">
        <v>104329</v>
      </c>
      <c r="B5035" s="119" t="s">
        <v>6574</v>
      </c>
      <c r="C5035" s="120" t="s">
        <v>331</v>
      </c>
      <c r="D5035" s="441">
        <v>83.34</v>
      </c>
    </row>
    <row r="5036" spans="1:4" ht="15.75" customHeight="1">
      <c r="A5036" s="120">
        <v>86872</v>
      </c>
      <c r="B5036" s="119" t="s">
        <v>6575</v>
      </c>
      <c r="C5036" s="120" t="s">
        <v>331</v>
      </c>
      <c r="D5036" s="441">
        <v>736.49</v>
      </c>
    </row>
    <row r="5037" spans="1:4" ht="15.75" customHeight="1">
      <c r="A5037" s="120">
        <v>86874</v>
      </c>
      <c r="B5037" s="119" t="s">
        <v>6576</v>
      </c>
      <c r="C5037" s="120" t="s">
        <v>331</v>
      </c>
      <c r="D5037" s="441">
        <v>513.78</v>
      </c>
    </row>
    <row r="5038" spans="1:4" ht="31.5" customHeight="1">
      <c r="A5038" s="120">
        <v>86875</v>
      </c>
      <c r="B5038" s="119" t="s">
        <v>6577</v>
      </c>
      <c r="C5038" s="120" t="s">
        <v>331</v>
      </c>
      <c r="D5038" s="441">
        <v>508.48</v>
      </c>
    </row>
    <row r="5039" spans="1:4" ht="15.75" customHeight="1">
      <c r="A5039" s="120">
        <v>86876</v>
      </c>
      <c r="B5039" s="119" t="s">
        <v>6578</v>
      </c>
      <c r="C5039" s="120" t="s">
        <v>331</v>
      </c>
      <c r="D5039" s="441">
        <v>291.36</v>
      </c>
    </row>
    <row r="5040" spans="1:4" ht="31.5" customHeight="1">
      <c r="A5040" s="120">
        <v>86877</v>
      </c>
      <c r="B5040" s="119" t="s">
        <v>6579</v>
      </c>
      <c r="C5040" s="120" t="s">
        <v>331</v>
      </c>
      <c r="D5040" s="441">
        <v>125.1</v>
      </c>
    </row>
    <row r="5041" spans="1:4" ht="31.5" customHeight="1">
      <c r="A5041" s="120">
        <v>86878</v>
      </c>
      <c r="B5041" s="119" t="s">
        <v>6580</v>
      </c>
      <c r="C5041" s="120" t="s">
        <v>331</v>
      </c>
      <c r="D5041" s="441">
        <v>135.19999999999999</v>
      </c>
    </row>
    <row r="5042" spans="1:4" ht="31.5" customHeight="1">
      <c r="A5042" s="120">
        <v>86879</v>
      </c>
      <c r="B5042" s="119" t="s">
        <v>6581</v>
      </c>
      <c r="C5042" s="120" t="s">
        <v>331</v>
      </c>
      <c r="D5042" s="441">
        <v>10.42</v>
      </c>
    </row>
    <row r="5043" spans="1:4" ht="31.5" customHeight="1">
      <c r="A5043" s="120">
        <v>86880</v>
      </c>
      <c r="B5043" s="119" t="s">
        <v>6582</v>
      </c>
      <c r="C5043" s="120" t="s">
        <v>331</v>
      </c>
      <c r="D5043" s="441">
        <v>27.12</v>
      </c>
    </row>
    <row r="5044" spans="1:4" ht="15.75" customHeight="1">
      <c r="A5044" s="120">
        <v>86881</v>
      </c>
      <c r="B5044" s="119" t="s">
        <v>6583</v>
      </c>
      <c r="C5044" s="120" t="s">
        <v>331</v>
      </c>
      <c r="D5044" s="441">
        <v>386.02</v>
      </c>
    </row>
    <row r="5045" spans="1:4" ht="15.75" customHeight="1">
      <c r="A5045" s="120">
        <v>86882</v>
      </c>
      <c r="B5045" s="119" t="s">
        <v>6584</v>
      </c>
      <c r="C5045" s="120" t="s">
        <v>331</v>
      </c>
      <c r="D5045" s="441">
        <v>23.17</v>
      </c>
    </row>
    <row r="5046" spans="1:4" ht="15.75" customHeight="1">
      <c r="A5046" s="120">
        <v>86883</v>
      </c>
      <c r="B5046" s="119" t="s">
        <v>6585</v>
      </c>
      <c r="C5046" s="120" t="s">
        <v>331</v>
      </c>
      <c r="D5046" s="441">
        <v>12.65</v>
      </c>
    </row>
    <row r="5047" spans="1:4" ht="15.75" customHeight="1">
      <c r="A5047" s="120">
        <v>86884</v>
      </c>
      <c r="B5047" s="119" t="s">
        <v>6586</v>
      </c>
      <c r="C5047" s="120" t="s">
        <v>331</v>
      </c>
      <c r="D5047" s="441">
        <v>11.67</v>
      </c>
    </row>
    <row r="5048" spans="1:4" ht="15.75" customHeight="1">
      <c r="A5048" s="120">
        <v>86885</v>
      </c>
      <c r="B5048" s="119" t="s">
        <v>6587</v>
      </c>
      <c r="C5048" s="120" t="s">
        <v>331</v>
      </c>
      <c r="D5048" s="441">
        <v>13.12</v>
      </c>
    </row>
    <row r="5049" spans="1:4" ht="15.75" customHeight="1">
      <c r="A5049" s="120">
        <v>86886</v>
      </c>
      <c r="B5049" s="119" t="s">
        <v>6588</v>
      </c>
      <c r="C5049" s="120" t="s">
        <v>331</v>
      </c>
      <c r="D5049" s="441">
        <v>92.14</v>
      </c>
    </row>
    <row r="5050" spans="1:4" ht="15.75" customHeight="1">
      <c r="A5050" s="120">
        <v>86887</v>
      </c>
      <c r="B5050" s="119" t="s">
        <v>6589</v>
      </c>
      <c r="C5050" s="120" t="s">
        <v>331</v>
      </c>
      <c r="D5050" s="441">
        <v>100.27</v>
      </c>
    </row>
    <row r="5051" spans="1:4" ht="15.75" customHeight="1">
      <c r="A5051" s="120">
        <v>86888</v>
      </c>
      <c r="B5051" s="119" t="s">
        <v>6590</v>
      </c>
      <c r="C5051" s="120" t="s">
        <v>331</v>
      </c>
      <c r="D5051" s="441">
        <v>500.47</v>
      </c>
    </row>
    <row r="5052" spans="1:4" ht="31.5" customHeight="1">
      <c r="A5052" s="120">
        <v>86889</v>
      </c>
      <c r="B5052" s="119" t="s">
        <v>6591</v>
      </c>
      <c r="C5052" s="120" t="s">
        <v>331</v>
      </c>
      <c r="D5052" s="441">
        <v>777.41</v>
      </c>
    </row>
    <row r="5053" spans="1:4" ht="31.5" customHeight="1">
      <c r="A5053" s="120">
        <v>86893</v>
      </c>
      <c r="B5053" s="119" t="s">
        <v>6592</v>
      </c>
      <c r="C5053" s="120" t="s">
        <v>331</v>
      </c>
      <c r="D5053" s="441">
        <v>759.82</v>
      </c>
    </row>
    <row r="5054" spans="1:4" ht="31.5" customHeight="1">
      <c r="A5054" s="120">
        <v>86894</v>
      </c>
      <c r="B5054" s="119" t="s">
        <v>6593</v>
      </c>
      <c r="C5054" s="120" t="s">
        <v>331</v>
      </c>
      <c r="D5054" s="441">
        <v>305.18</v>
      </c>
    </row>
    <row r="5055" spans="1:4" ht="31.5" customHeight="1">
      <c r="A5055" s="120">
        <v>86895</v>
      </c>
      <c r="B5055" s="119" t="s">
        <v>6594</v>
      </c>
      <c r="C5055" s="120" t="s">
        <v>331</v>
      </c>
      <c r="D5055" s="441">
        <v>389.79</v>
      </c>
    </row>
    <row r="5056" spans="1:4" ht="31.5" customHeight="1">
      <c r="A5056" s="120">
        <v>86899</v>
      </c>
      <c r="B5056" s="119" t="s">
        <v>6595</v>
      </c>
      <c r="C5056" s="120" t="s">
        <v>331</v>
      </c>
      <c r="D5056" s="441">
        <v>383.19</v>
      </c>
    </row>
    <row r="5057" spans="1:4" ht="31.5" customHeight="1">
      <c r="A5057" s="120">
        <v>86900</v>
      </c>
      <c r="B5057" s="119" t="s">
        <v>6596</v>
      </c>
      <c r="C5057" s="120" t="s">
        <v>331</v>
      </c>
      <c r="D5057" s="441">
        <v>250.2</v>
      </c>
    </row>
    <row r="5058" spans="1:4" ht="31.5" customHeight="1">
      <c r="A5058" s="120">
        <v>86901</v>
      </c>
      <c r="B5058" s="119" t="s">
        <v>6597</v>
      </c>
      <c r="C5058" s="120" t="s">
        <v>331</v>
      </c>
      <c r="D5058" s="441">
        <v>159.34</v>
      </c>
    </row>
    <row r="5059" spans="1:4" ht="31.5" customHeight="1">
      <c r="A5059" s="120">
        <v>86902</v>
      </c>
      <c r="B5059" s="119" t="s">
        <v>6598</v>
      </c>
      <c r="C5059" s="120" t="s">
        <v>331</v>
      </c>
      <c r="D5059" s="441">
        <v>310.58999999999997</v>
      </c>
    </row>
    <row r="5060" spans="1:4" ht="31.5" customHeight="1">
      <c r="A5060" s="120">
        <v>86903</v>
      </c>
      <c r="B5060" s="119" t="s">
        <v>6599</v>
      </c>
      <c r="C5060" s="120" t="s">
        <v>331</v>
      </c>
      <c r="D5060" s="441">
        <v>356.03</v>
      </c>
    </row>
    <row r="5061" spans="1:4" ht="31.5" customHeight="1">
      <c r="A5061" s="120">
        <v>86904</v>
      </c>
      <c r="B5061" s="119" t="s">
        <v>6600</v>
      </c>
      <c r="C5061" s="120" t="s">
        <v>331</v>
      </c>
      <c r="D5061" s="441">
        <v>148.4</v>
      </c>
    </row>
    <row r="5062" spans="1:4" ht="15.75" customHeight="1">
      <c r="A5062" s="120">
        <v>86905</v>
      </c>
      <c r="B5062" s="119" t="s">
        <v>6601</v>
      </c>
      <c r="C5062" s="120" t="s">
        <v>331</v>
      </c>
      <c r="D5062" s="441">
        <v>328.3</v>
      </c>
    </row>
    <row r="5063" spans="1:4" ht="31.5" customHeight="1">
      <c r="A5063" s="120">
        <v>86906</v>
      </c>
      <c r="B5063" s="119" t="s">
        <v>6602</v>
      </c>
      <c r="C5063" s="120" t="s">
        <v>331</v>
      </c>
      <c r="D5063" s="441">
        <v>60.91</v>
      </c>
    </row>
    <row r="5064" spans="1:4" ht="31.5" customHeight="1">
      <c r="A5064" s="120">
        <v>86908</v>
      </c>
      <c r="B5064" s="119" t="s">
        <v>6603</v>
      </c>
      <c r="C5064" s="120" t="s">
        <v>331</v>
      </c>
      <c r="D5064" s="441">
        <v>388.56</v>
      </c>
    </row>
    <row r="5065" spans="1:4" ht="31.5" customHeight="1">
      <c r="A5065" s="120">
        <v>86909</v>
      </c>
      <c r="B5065" s="119" t="s">
        <v>6604</v>
      </c>
      <c r="C5065" s="120" t="s">
        <v>331</v>
      </c>
      <c r="D5065" s="441">
        <v>105.72</v>
      </c>
    </row>
    <row r="5066" spans="1:4" ht="31.5" customHeight="1">
      <c r="A5066" s="120">
        <v>86910</v>
      </c>
      <c r="B5066" s="119" t="s">
        <v>6605</v>
      </c>
      <c r="C5066" s="120" t="s">
        <v>331</v>
      </c>
      <c r="D5066" s="441">
        <v>103.43</v>
      </c>
    </row>
    <row r="5067" spans="1:4" ht="31.5" customHeight="1">
      <c r="A5067" s="120">
        <v>86911</v>
      </c>
      <c r="B5067" s="119" t="s">
        <v>6606</v>
      </c>
      <c r="C5067" s="120" t="s">
        <v>331</v>
      </c>
      <c r="D5067" s="441">
        <v>71.33</v>
      </c>
    </row>
    <row r="5068" spans="1:4" ht="15.75" customHeight="1">
      <c r="A5068" s="120">
        <v>86913</v>
      </c>
      <c r="B5068" s="119" t="s">
        <v>6607</v>
      </c>
      <c r="C5068" s="120" t="s">
        <v>331</v>
      </c>
      <c r="D5068" s="441">
        <v>45.78</v>
      </c>
    </row>
    <row r="5069" spans="1:4" ht="15.75" customHeight="1">
      <c r="A5069" s="120">
        <v>86914</v>
      </c>
      <c r="B5069" s="119" t="s">
        <v>6608</v>
      </c>
      <c r="C5069" s="120" t="s">
        <v>331</v>
      </c>
      <c r="D5069" s="441">
        <v>80.38</v>
      </c>
    </row>
    <row r="5070" spans="1:4" ht="31.5" customHeight="1">
      <c r="A5070" s="120">
        <v>86915</v>
      </c>
      <c r="B5070" s="119" t="s">
        <v>6609</v>
      </c>
      <c r="C5070" s="120" t="s">
        <v>331</v>
      </c>
      <c r="D5070" s="441">
        <v>115.33</v>
      </c>
    </row>
    <row r="5071" spans="1:4" ht="15.75" customHeight="1">
      <c r="A5071" s="120">
        <v>86916</v>
      </c>
      <c r="B5071" s="119" t="s">
        <v>6610</v>
      </c>
      <c r="C5071" s="120" t="s">
        <v>331</v>
      </c>
      <c r="D5071" s="441">
        <v>23.71</v>
      </c>
    </row>
    <row r="5072" spans="1:4" ht="31.5" customHeight="1">
      <c r="A5072" s="120">
        <v>86919</v>
      </c>
      <c r="B5072" s="119" t="s">
        <v>6611</v>
      </c>
      <c r="C5072" s="120" t="s">
        <v>331</v>
      </c>
      <c r="D5072" s="441">
        <v>954.62</v>
      </c>
    </row>
    <row r="5073" spans="1:4" ht="31.5" customHeight="1">
      <c r="A5073" s="120">
        <v>86920</v>
      </c>
      <c r="B5073" s="119" t="s">
        <v>6612</v>
      </c>
      <c r="C5073" s="120" t="s">
        <v>331</v>
      </c>
      <c r="D5073" s="441">
        <v>805.34</v>
      </c>
    </row>
    <row r="5074" spans="1:4" ht="31.5" customHeight="1">
      <c r="A5074" s="120">
        <v>86921</v>
      </c>
      <c r="B5074" s="119" t="s">
        <v>6613</v>
      </c>
      <c r="C5074" s="120" t="s">
        <v>331</v>
      </c>
      <c r="D5074" s="441">
        <v>783.27</v>
      </c>
    </row>
    <row r="5075" spans="1:4" ht="47.25" customHeight="1">
      <c r="A5075" s="120">
        <v>86922</v>
      </c>
      <c r="B5075" s="119" t="s">
        <v>6614</v>
      </c>
      <c r="C5075" s="120" t="s">
        <v>331</v>
      </c>
      <c r="D5075" s="442">
        <v>1105.28</v>
      </c>
    </row>
    <row r="5076" spans="1:4" ht="31.5" customHeight="1">
      <c r="A5076" s="120">
        <v>86923</v>
      </c>
      <c r="B5076" s="119" t="s">
        <v>6615</v>
      </c>
      <c r="C5076" s="120" t="s">
        <v>331</v>
      </c>
      <c r="D5076" s="441">
        <v>593.15</v>
      </c>
    </row>
    <row r="5077" spans="1:4" ht="31.5" customHeight="1">
      <c r="A5077" s="120">
        <v>86924</v>
      </c>
      <c r="B5077" s="119" t="s">
        <v>6616</v>
      </c>
      <c r="C5077" s="120" t="s">
        <v>331</v>
      </c>
      <c r="D5077" s="441">
        <v>571.08000000000004</v>
      </c>
    </row>
    <row r="5078" spans="1:4" ht="31.5" customHeight="1">
      <c r="A5078" s="120">
        <v>86925</v>
      </c>
      <c r="B5078" s="119" t="s">
        <v>6617</v>
      </c>
      <c r="C5078" s="120" t="s">
        <v>331</v>
      </c>
      <c r="D5078" s="441">
        <v>577.33000000000004</v>
      </c>
    </row>
    <row r="5079" spans="1:4" ht="31.5" customHeight="1">
      <c r="A5079" s="120">
        <v>86926</v>
      </c>
      <c r="B5079" s="119" t="s">
        <v>6618</v>
      </c>
      <c r="C5079" s="120" t="s">
        <v>331</v>
      </c>
      <c r="D5079" s="441">
        <v>555.26</v>
      </c>
    </row>
    <row r="5080" spans="1:4" ht="31.5" customHeight="1">
      <c r="A5080" s="120">
        <v>86927</v>
      </c>
      <c r="B5080" s="119" t="s">
        <v>6619</v>
      </c>
      <c r="C5080" s="120" t="s">
        <v>331</v>
      </c>
      <c r="D5080" s="441">
        <v>370.73</v>
      </c>
    </row>
    <row r="5081" spans="1:4" ht="31.5" customHeight="1">
      <c r="A5081" s="120">
        <v>86928</v>
      </c>
      <c r="B5081" s="119" t="s">
        <v>6620</v>
      </c>
      <c r="C5081" s="120" t="s">
        <v>331</v>
      </c>
      <c r="D5081" s="441">
        <v>348.66</v>
      </c>
    </row>
    <row r="5082" spans="1:4" ht="31.5" customHeight="1">
      <c r="A5082" s="120">
        <v>86929</v>
      </c>
      <c r="B5082" s="119" t="s">
        <v>6621</v>
      </c>
      <c r="C5082" s="120" t="s">
        <v>331</v>
      </c>
      <c r="D5082" s="441">
        <v>360.21</v>
      </c>
    </row>
    <row r="5083" spans="1:4" ht="31.5" customHeight="1">
      <c r="A5083" s="120">
        <v>86930</v>
      </c>
      <c r="B5083" s="119" t="s">
        <v>6622</v>
      </c>
      <c r="C5083" s="120" t="s">
        <v>331</v>
      </c>
      <c r="D5083" s="441">
        <v>338.14</v>
      </c>
    </row>
    <row r="5084" spans="1:4" ht="31.5" customHeight="1">
      <c r="A5084" s="120">
        <v>86931</v>
      </c>
      <c r="B5084" s="119" t="s">
        <v>6623</v>
      </c>
      <c r="C5084" s="120" t="s">
        <v>331</v>
      </c>
      <c r="D5084" s="441">
        <v>513.59</v>
      </c>
    </row>
    <row r="5085" spans="1:4" ht="31.5" customHeight="1">
      <c r="A5085" s="120">
        <v>86932</v>
      </c>
      <c r="B5085" s="119" t="s">
        <v>6624</v>
      </c>
      <c r="C5085" s="120" t="s">
        <v>331</v>
      </c>
      <c r="D5085" s="441">
        <v>600.74</v>
      </c>
    </row>
    <row r="5086" spans="1:4" ht="47.25" customHeight="1">
      <c r="A5086" s="120">
        <v>86933</v>
      </c>
      <c r="B5086" s="119" t="s">
        <v>6625</v>
      </c>
      <c r="C5086" s="120" t="s">
        <v>331</v>
      </c>
      <c r="D5086" s="441">
        <v>426.8</v>
      </c>
    </row>
    <row r="5087" spans="1:4" ht="47.25" customHeight="1">
      <c r="A5087" s="120">
        <v>86934</v>
      </c>
      <c r="B5087" s="119" t="s">
        <v>6626</v>
      </c>
      <c r="C5087" s="120" t="s">
        <v>331</v>
      </c>
      <c r="D5087" s="441">
        <v>416.28</v>
      </c>
    </row>
    <row r="5088" spans="1:4" ht="31.5" customHeight="1">
      <c r="A5088" s="120">
        <v>86935</v>
      </c>
      <c r="B5088" s="119" t="s">
        <v>6627</v>
      </c>
      <c r="C5088" s="120" t="s">
        <v>331</v>
      </c>
      <c r="D5088" s="441">
        <v>398.05</v>
      </c>
    </row>
    <row r="5089" spans="1:4" ht="31.5" customHeight="1">
      <c r="A5089" s="120">
        <v>86936</v>
      </c>
      <c r="B5089" s="119" t="s">
        <v>6628</v>
      </c>
      <c r="C5089" s="120" t="s">
        <v>331</v>
      </c>
      <c r="D5089" s="441">
        <v>771.42</v>
      </c>
    </row>
    <row r="5090" spans="1:4" ht="31.5" customHeight="1">
      <c r="A5090" s="120">
        <v>86937</v>
      </c>
      <c r="B5090" s="119" t="s">
        <v>6629</v>
      </c>
      <c r="C5090" s="120" t="s">
        <v>331</v>
      </c>
      <c r="D5090" s="441">
        <v>297.08999999999997</v>
      </c>
    </row>
    <row r="5091" spans="1:4" ht="31.5" customHeight="1">
      <c r="A5091" s="120">
        <v>86938</v>
      </c>
      <c r="B5091" s="119" t="s">
        <v>6630</v>
      </c>
      <c r="C5091" s="120" t="s">
        <v>331</v>
      </c>
      <c r="D5091" s="441">
        <v>670.46</v>
      </c>
    </row>
    <row r="5092" spans="1:4" ht="47.25" customHeight="1">
      <c r="A5092" s="120">
        <v>86939</v>
      </c>
      <c r="B5092" s="119" t="s">
        <v>6631</v>
      </c>
      <c r="C5092" s="120" t="s">
        <v>331</v>
      </c>
      <c r="D5092" s="441">
        <v>406.24</v>
      </c>
    </row>
    <row r="5093" spans="1:4" ht="47.25" customHeight="1">
      <c r="A5093" s="120">
        <v>86940</v>
      </c>
      <c r="B5093" s="119" t="s">
        <v>6632</v>
      </c>
      <c r="C5093" s="120" t="s">
        <v>331</v>
      </c>
      <c r="D5093" s="442">
        <v>1395.99</v>
      </c>
    </row>
    <row r="5094" spans="1:4" ht="47.25" customHeight="1">
      <c r="A5094" s="120">
        <v>86941</v>
      </c>
      <c r="B5094" s="119" t="s">
        <v>6633</v>
      </c>
      <c r="C5094" s="120" t="s">
        <v>331</v>
      </c>
      <c r="D5094" s="442">
        <v>1082.75</v>
      </c>
    </row>
    <row r="5095" spans="1:4" ht="47.25" customHeight="1">
      <c r="A5095" s="120">
        <v>86942</v>
      </c>
      <c r="B5095" s="119" t="s">
        <v>6634</v>
      </c>
      <c r="C5095" s="120" t="s">
        <v>331</v>
      </c>
      <c r="D5095" s="441">
        <v>254.57</v>
      </c>
    </row>
    <row r="5096" spans="1:4" ht="47.25" customHeight="1">
      <c r="A5096" s="120">
        <v>86943</v>
      </c>
      <c r="B5096" s="119" t="s">
        <v>6635</v>
      </c>
      <c r="C5096" s="120" t="s">
        <v>331</v>
      </c>
      <c r="D5096" s="441">
        <v>244.05</v>
      </c>
    </row>
    <row r="5097" spans="1:4" ht="47.25" customHeight="1">
      <c r="A5097" s="120">
        <v>86947</v>
      </c>
      <c r="B5097" s="119" t="s">
        <v>6636</v>
      </c>
      <c r="C5097" s="120" t="s">
        <v>331</v>
      </c>
      <c r="D5097" s="442">
        <v>1582.49</v>
      </c>
    </row>
    <row r="5098" spans="1:4" ht="47.25" customHeight="1">
      <c r="A5098" s="120">
        <v>93396</v>
      </c>
      <c r="B5098" s="119" t="s">
        <v>6637</v>
      </c>
      <c r="C5098" s="120" t="s">
        <v>331</v>
      </c>
      <c r="D5098" s="441">
        <v>759.46</v>
      </c>
    </row>
    <row r="5099" spans="1:4" ht="47.25" customHeight="1">
      <c r="A5099" s="120">
        <v>93441</v>
      </c>
      <c r="B5099" s="119" t="s">
        <v>6638</v>
      </c>
      <c r="C5099" s="120" t="s">
        <v>331</v>
      </c>
      <c r="D5099" s="442">
        <v>1258.46</v>
      </c>
    </row>
    <row r="5100" spans="1:4" ht="47.25" customHeight="1">
      <c r="A5100" s="120">
        <v>93442</v>
      </c>
      <c r="B5100" s="119" t="s">
        <v>6639</v>
      </c>
      <c r="C5100" s="120" t="s">
        <v>331</v>
      </c>
      <c r="D5100" s="442">
        <v>1648.63</v>
      </c>
    </row>
    <row r="5101" spans="1:4" ht="15.75" customHeight="1">
      <c r="A5101" s="120">
        <v>95469</v>
      </c>
      <c r="B5101" s="119" t="s">
        <v>6640</v>
      </c>
      <c r="C5101" s="120" t="s">
        <v>331</v>
      </c>
      <c r="D5101" s="441">
        <v>301.44</v>
      </c>
    </row>
    <row r="5102" spans="1:4" ht="31.5" customHeight="1">
      <c r="A5102" s="120">
        <v>95470</v>
      </c>
      <c r="B5102" s="119" t="s">
        <v>6641</v>
      </c>
      <c r="C5102" s="120" t="s">
        <v>331</v>
      </c>
      <c r="D5102" s="441">
        <v>310.23</v>
      </c>
    </row>
    <row r="5103" spans="1:4" ht="31.5" customHeight="1">
      <c r="A5103" s="120">
        <v>95471</v>
      </c>
      <c r="B5103" s="119" t="s">
        <v>6642</v>
      </c>
      <c r="C5103" s="120" t="s">
        <v>331</v>
      </c>
      <c r="D5103" s="441">
        <v>791.24</v>
      </c>
    </row>
    <row r="5104" spans="1:4" ht="31.5" customHeight="1">
      <c r="A5104" s="120">
        <v>95472</v>
      </c>
      <c r="B5104" s="119" t="s">
        <v>6643</v>
      </c>
      <c r="C5104" s="120" t="s">
        <v>331</v>
      </c>
      <c r="D5104" s="441">
        <v>800.03</v>
      </c>
    </row>
    <row r="5105" spans="1:4" ht="15.75" customHeight="1">
      <c r="A5105" s="120">
        <v>95542</v>
      </c>
      <c r="B5105" s="119" t="s">
        <v>6644</v>
      </c>
      <c r="C5105" s="120" t="s">
        <v>331</v>
      </c>
      <c r="D5105" s="441">
        <v>62.66</v>
      </c>
    </row>
    <row r="5106" spans="1:4" ht="15.75" customHeight="1">
      <c r="A5106" s="120">
        <v>95543</v>
      </c>
      <c r="B5106" s="119" t="s">
        <v>6645</v>
      </c>
      <c r="C5106" s="120" t="s">
        <v>331</v>
      </c>
      <c r="D5106" s="441">
        <v>103.14</v>
      </c>
    </row>
    <row r="5107" spans="1:4" ht="15.75" customHeight="1">
      <c r="A5107" s="120">
        <v>95544</v>
      </c>
      <c r="B5107" s="119" t="s">
        <v>6646</v>
      </c>
      <c r="C5107" s="120" t="s">
        <v>331</v>
      </c>
      <c r="D5107" s="441">
        <v>78.150000000000006</v>
      </c>
    </row>
    <row r="5108" spans="1:4" ht="15.75" customHeight="1">
      <c r="A5108" s="120">
        <v>95545</v>
      </c>
      <c r="B5108" s="119" t="s">
        <v>6647</v>
      </c>
      <c r="C5108" s="120" t="s">
        <v>331</v>
      </c>
      <c r="D5108" s="441">
        <v>76.5</v>
      </c>
    </row>
    <row r="5109" spans="1:4" ht="15.75" customHeight="1">
      <c r="A5109" s="120">
        <v>95546</v>
      </c>
      <c r="B5109" s="119" t="s">
        <v>6648</v>
      </c>
      <c r="C5109" s="120" t="s">
        <v>331</v>
      </c>
      <c r="D5109" s="441">
        <v>243.9</v>
      </c>
    </row>
    <row r="5110" spans="1:4" ht="31.5" customHeight="1">
      <c r="A5110" s="120">
        <v>95547</v>
      </c>
      <c r="B5110" s="119" t="s">
        <v>6649</v>
      </c>
      <c r="C5110" s="120" t="s">
        <v>331</v>
      </c>
      <c r="D5110" s="441">
        <v>57.45</v>
      </c>
    </row>
    <row r="5111" spans="1:4" ht="15.75" customHeight="1">
      <c r="A5111" s="120">
        <v>100848</v>
      </c>
      <c r="B5111" s="119" t="s">
        <v>6650</v>
      </c>
      <c r="C5111" s="120" t="s">
        <v>331</v>
      </c>
      <c r="D5111" s="441">
        <v>564.14</v>
      </c>
    </row>
    <row r="5112" spans="1:4" ht="15.75" customHeight="1">
      <c r="A5112" s="120">
        <v>100849</v>
      </c>
      <c r="B5112" s="119" t="s">
        <v>6651</v>
      </c>
      <c r="C5112" s="120" t="s">
        <v>331</v>
      </c>
      <c r="D5112" s="441">
        <v>44.99</v>
      </c>
    </row>
    <row r="5113" spans="1:4" ht="15.75" customHeight="1">
      <c r="A5113" s="120">
        <v>100851</v>
      </c>
      <c r="B5113" s="119" t="s">
        <v>6652</v>
      </c>
      <c r="C5113" s="120" t="s">
        <v>331</v>
      </c>
      <c r="D5113" s="441">
        <v>88.87</v>
      </c>
    </row>
    <row r="5114" spans="1:4" ht="31.5" customHeight="1">
      <c r="A5114" s="120">
        <v>100852</v>
      </c>
      <c r="B5114" s="119" t="s">
        <v>6653</v>
      </c>
      <c r="C5114" s="120" t="s">
        <v>331</v>
      </c>
      <c r="D5114" s="441">
        <v>273.76</v>
      </c>
    </row>
    <row r="5115" spans="1:4" ht="15.75" customHeight="1">
      <c r="A5115" s="120">
        <v>100853</v>
      </c>
      <c r="B5115" s="119" t="s">
        <v>6654</v>
      </c>
      <c r="C5115" s="120" t="s">
        <v>331</v>
      </c>
      <c r="D5115" s="441">
        <v>279.99</v>
      </c>
    </row>
    <row r="5116" spans="1:4" ht="15.75" customHeight="1">
      <c r="A5116" s="120">
        <v>100854</v>
      </c>
      <c r="B5116" s="119" t="s">
        <v>6655</v>
      </c>
      <c r="C5116" s="120" t="s">
        <v>331</v>
      </c>
      <c r="D5116" s="442">
        <v>1434.46</v>
      </c>
    </row>
    <row r="5117" spans="1:4" ht="31.5" customHeight="1">
      <c r="A5117" s="120">
        <v>100855</v>
      </c>
      <c r="B5117" s="119" t="s">
        <v>6656</v>
      </c>
      <c r="C5117" s="120" t="s">
        <v>331</v>
      </c>
      <c r="D5117" s="441">
        <v>76.5</v>
      </c>
    </row>
    <row r="5118" spans="1:4" ht="15.75" customHeight="1">
      <c r="A5118" s="120">
        <v>100856</v>
      </c>
      <c r="B5118" s="119" t="s">
        <v>6657</v>
      </c>
      <c r="C5118" s="120" t="s">
        <v>331</v>
      </c>
      <c r="D5118" s="441">
        <v>31.54</v>
      </c>
    </row>
    <row r="5119" spans="1:4" ht="15.75" customHeight="1">
      <c r="A5119" s="120">
        <v>100857</v>
      </c>
      <c r="B5119" s="119" t="s">
        <v>6658</v>
      </c>
      <c r="C5119" s="120" t="s">
        <v>331</v>
      </c>
      <c r="D5119" s="441">
        <v>422.54</v>
      </c>
    </row>
    <row r="5120" spans="1:4" ht="15.75" customHeight="1">
      <c r="A5120" s="120">
        <v>100858</v>
      </c>
      <c r="B5120" s="119" t="s">
        <v>6659</v>
      </c>
      <c r="C5120" s="120" t="s">
        <v>331</v>
      </c>
      <c r="D5120" s="441">
        <v>684.05</v>
      </c>
    </row>
    <row r="5121" spans="1:4" ht="31.5" customHeight="1">
      <c r="A5121" s="120">
        <v>100859</v>
      </c>
      <c r="B5121" s="119" t="s">
        <v>6660</v>
      </c>
      <c r="C5121" s="120" t="s">
        <v>331</v>
      </c>
      <c r="D5121" s="442">
        <v>1051.72</v>
      </c>
    </row>
    <row r="5122" spans="1:4" ht="15.75" customHeight="1">
      <c r="A5122" s="120">
        <v>100860</v>
      </c>
      <c r="B5122" s="119" t="s">
        <v>6661</v>
      </c>
      <c r="C5122" s="120" t="s">
        <v>331</v>
      </c>
      <c r="D5122" s="441">
        <v>96.01</v>
      </c>
    </row>
    <row r="5123" spans="1:4" ht="31.5" customHeight="1">
      <c r="A5123" s="120">
        <v>100861</v>
      </c>
      <c r="B5123" s="119" t="s">
        <v>6662</v>
      </c>
      <c r="C5123" s="120" t="s">
        <v>331</v>
      </c>
      <c r="D5123" s="441">
        <v>42.17</v>
      </c>
    </row>
    <row r="5124" spans="1:4" ht="31.5" customHeight="1">
      <c r="A5124" s="120">
        <v>100862</v>
      </c>
      <c r="B5124" s="119" t="s">
        <v>6663</v>
      </c>
      <c r="C5124" s="120" t="s">
        <v>331</v>
      </c>
      <c r="D5124" s="441">
        <v>46.26</v>
      </c>
    </row>
    <row r="5125" spans="1:4" ht="31.5" customHeight="1">
      <c r="A5125" s="120">
        <v>100863</v>
      </c>
      <c r="B5125" s="119" t="s">
        <v>6664</v>
      </c>
      <c r="C5125" s="120" t="s">
        <v>331</v>
      </c>
      <c r="D5125" s="441">
        <v>592.79999999999995</v>
      </c>
    </row>
    <row r="5126" spans="1:4" ht="31.5" customHeight="1">
      <c r="A5126" s="120">
        <v>100864</v>
      </c>
      <c r="B5126" s="119" t="s">
        <v>6665</v>
      </c>
      <c r="C5126" s="120" t="s">
        <v>331</v>
      </c>
      <c r="D5126" s="441">
        <v>651.53</v>
      </c>
    </row>
    <row r="5127" spans="1:4" ht="31.5" customHeight="1">
      <c r="A5127" s="120">
        <v>100865</v>
      </c>
      <c r="B5127" s="119" t="s">
        <v>6666</v>
      </c>
      <c r="C5127" s="120" t="s">
        <v>331</v>
      </c>
      <c r="D5127" s="441">
        <v>580.54999999999995</v>
      </c>
    </row>
    <row r="5128" spans="1:4" ht="31.5" customHeight="1">
      <c r="A5128" s="120">
        <v>100866</v>
      </c>
      <c r="B5128" s="119" t="s">
        <v>6667</v>
      </c>
      <c r="C5128" s="120" t="s">
        <v>331</v>
      </c>
      <c r="D5128" s="441">
        <v>305.14999999999998</v>
      </c>
    </row>
    <row r="5129" spans="1:4" ht="31.5" customHeight="1">
      <c r="A5129" s="120">
        <v>100867</v>
      </c>
      <c r="B5129" s="119" t="s">
        <v>6668</v>
      </c>
      <c r="C5129" s="120" t="s">
        <v>331</v>
      </c>
      <c r="D5129" s="441">
        <v>324.51</v>
      </c>
    </row>
    <row r="5130" spans="1:4" ht="31.5" customHeight="1">
      <c r="A5130" s="120">
        <v>100868</v>
      </c>
      <c r="B5130" s="119" t="s">
        <v>6669</v>
      </c>
      <c r="C5130" s="120" t="s">
        <v>331</v>
      </c>
      <c r="D5130" s="441">
        <v>337.4</v>
      </c>
    </row>
    <row r="5131" spans="1:4" ht="31.5" customHeight="1">
      <c r="A5131" s="120">
        <v>100869</v>
      </c>
      <c r="B5131" s="119" t="s">
        <v>6670</v>
      </c>
      <c r="C5131" s="120" t="s">
        <v>331</v>
      </c>
      <c r="D5131" s="441">
        <v>347.28</v>
      </c>
    </row>
    <row r="5132" spans="1:4" ht="31.5" customHeight="1">
      <c r="A5132" s="120">
        <v>100870</v>
      </c>
      <c r="B5132" s="119" t="s">
        <v>6671</v>
      </c>
      <c r="C5132" s="120" t="s">
        <v>331</v>
      </c>
      <c r="D5132" s="441">
        <v>291.22000000000003</v>
      </c>
    </row>
    <row r="5133" spans="1:4" ht="31.5" customHeight="1">
      <c r="A5133" s="120">
        <v>100871</v>
      </c>
      <c r="B5133" s="119" t="s">
        <v>6672</v>
      </c>
      <c r="C5133" s="120" t="s">
        <v>331</v>
      </c>
      <c r="D5133" s="441">
        <v>314.86</v>
      </c>
    </row>
    <row r="5134" spans="1:4" ht="31.5" customHeight="1">
      <c r="A5134" s="120">
        <v>100872</v>
      </c>
      <c r="B5134" s="119" t="s">
        <v>6673</v>
      </c>
      <c r="C5134" s="120" t="s">
        <v>331</v>
      </c>
      <c r="D5134" s="441">
        <v>329.95</v>
      </c>
    </row>
    <row r="5135" spans="1:4" ht="31.5" customHeight="1">
      <c r="A5135" s="120">
        <v>100873</v>
      </c>
      <c r="B5135" s="119" t="s">
        <v>6674</v>
      </c>
      <c r="C5135" s="120" t="s">
        <v>331</v>
      </c>
      <c r="D5135" s="441">
        <v>339.37</v>
      </c>
    </row>
    <row r="5136" spans="1:4" ht="15.75" customHeight="1">
      <c r="A5136" s="120">
        <v>100874</v>
      </c>
      <c r="B5136" s="119" t="s">
        <v>6675</v>
      </c>
      <c r="C5136" s="120" t="s">
        <v>331</v>
      </c>
      <c r="D5136" s="441">
        <v>305.14999999999998</v>
      </c>
    </row>
    <row r="5137" spans="1:4" ht="15.75" customHeight="1">
      <c r="A5137" s="120">
        <v>100875</v>
      </c>
      <c r="B5137" s="119" t="s">
        <v>6676</v>
      </c>
      <c r="C5137" s="120" t="s">
        <v>331</v>
      </c>
      <c r="D5137" s="442">
        <v>1071.33</v>
      </c>
    </row>
    <row r="5138" spans="1:4" ht="31.5" customHeight="1">
      <c r="A5138" s="120">
        <v>100878</v>
      </c>
      <c r="B5138" s="119" t="s">
        <v>6677</v>
      </c>
      <c r="C5138" s="120" t="s">
        <v>331</v>
      </c>
      <c r="D5138" s="441">
        <v>676.83</v>
      </c>
    </row>
    <row r="5139" spans="1:4" ht="31.5" customHeight="1">
      <c r="A5139" s="120">
        <v>98052</v>
      </c>
      <c r="B5139" s="119" t="s">
        <v>6678</v>
      </c>
      <c r="C5139" s="120" t="s">
        <v>331</v>
      </c>
      <c r="D5139" s="442">
        <v>1597.42</v>
      </c>
    </row>
    <row r="5140" spans="1:4" ht="31.5" customHeight="1">
      <c r="A5140" s="120">
        <v>98053</v>
      </c>
      <c r="B5140" s="119" t="s">
        <v>6679</v>
      </c>
      <c r="C5140" s="120" t="s">
        <v>331</v>
      </c>
      <c r="D5140" s="442">
        <v>2188.92</v>
      </c>
    </row>
    <row r="5141" spans="1:4" ht="31.5" customHeight="1">
      <c r="A5141" s="120">
        <v>98054</v>
      </c>
      <c r="B5141" s="119" t="s">
        <v>6680</v>
      </c>
      <c r="C5141" s="120" t="s">
        <v>331</v>
      </c>
      <c r="D5141" s="442">
        <v>3463.77</v>
      </c>
    </row>
    <row r="5142" spans="1:4" ht="31.5" customHeight="1">
      <c r="A5142" s="120">
        <v>98055</v>
      </c>
      <c r="B5142" s="119" t="s">
        <v>6681</v>
      </c>
      <c r="C5142" s="120" t="s">
        <v>331</v>
      </c>
      <c r="D5142" s="442">
        <v>4720.13</v>
      </c>
    </row>
    <row r="5143" spans="1:4" ht="31.5" customHeight="1">
      <c r="A5143" s="120">
        <v>98056</v>
      </c>
      <c r="B5143" s="119" t="s">
        <v>6682</v>
      </c>
      <c r="C5143" s="120" t="s">
        <v>331</v>
      </c>
      <c r="D5143" s="442">
        <v>5464.79</v>
      </c>
    </row>
    <row r="5144" spans="1:4" ht="31.5" customHeight="1">
      <c r="A5144" s="120">
        <v>98057</v>
      </c>
      <c r="B5144" s="119" t="s">
        <v>6683</v>
      </c>
      <c r="C5144" s="120" t="s">
        <v>331</v>
      </c>
      <c r="D5144" s="442">
        <v>6538.3</v>
      </c>
    </row>
    <row r="5145" spans="1:4" ht="31.5" customHeight="1">
      <c r="A5145" s="120">
        <v>98058</v>
      </c>
      <c r="B5145" s="119" t="s">
        <v>6684</v>
      </c>
      <c r="C5145" s="120" t="s">
        <v>331</v>
      </c>
      <c r="D5145" s="442">
        <v>1421.2</v>
      </c>
    </row>
    <row r="5146" spans="1:4" ht="31.5" customHeight="1">
      <c r="A5146" s="120">
        <v>98059</v>
      </c>
      <c r="B5146" s="119" t="s">
        <v>6685</v>
      </c>
      <c r="C5146" s="120" t="s">
        <v>331</v>
      </c>
      <c r="D5146" s="442">
        <v>2975.84</v>
      </c>
    </row>
    <row r="5147" spans="1:4" ht="31.5" customHeight="1">
      <c r="A5147" s="120">
        <v>98060</v>
      </c>
      <c r="B5147" s="119" t="s">
        <v>6686</v>
      </c>
      <c r="C5147" s="120" t="s">
        <v>331</v>
      </c>
      <c r="D5147" s="442">
        <v>4180.26</v>
      </c>
    </row>
    <row r="5148" spans="1:4" ht="31.5" customHeight="1">
      <c r="A5148" s="120">
        <v>98061</v>
      </c>
      <c r="B5148" s="119" t="s">
        <v>6687</v>
      </c>
      <c r="C5148" s="120" t="s">
        <v>331</v>
      </c>
      <c r="D5148" s="442">
        <v>5825.09</v>
      </c>
    </row>
    <row r="5149" spans="1:4" ht="31.5" customHeight="1">
      <c r="A5149" s="120">
        <v>98062</v>
      </c>
      <c r="B5149" s="119" t="s">
        <v>6688</v>
      </c>
      <c r="C5149" s="120" t="s">
        <v>331</v>
      </c>
      <c r="D5149" s="442">
        <v>2352.1999999999998</v>
      </c>
    </row>
    <row r="5150" spans="1:4" ht="31.5" customHeight="1">
      <c r="A5150" s="120">
        <v>98063</v>
      </c>
      <c r="B5150" s="119" t="s">
        <v>6689</v>
      </c>
      <c r="C5150" s="120" t="s">
        <v>331</v>
      </c>
      <c r="D5150" s="442">
        <v>3580.61</v>
      </c>
    </row>
    <row r="5151" spans="1:4" ht="31.5" customHeight="1">
      <c r="A5151" s="120">
        <v>98064</v>
      </c>
      <c r="B5151" s="119" t="s">
        <v>6690</v>
      </c>
      <c r="C5151" s="120" t="s">
        <v>331</v>
      </c>
      <c r="D5151" s="442">
        <v>4098.4399999999996</v>
      </c>
    </row>
    <row r="5152" spans="1:4" ht="31.5" customHeight="1">
      <c r="A5152" s="120">
        <v>98065</v>
      </c>
      <c r="B5152" s="119" t="s">
        <v>6691</v>
      </c>
      <c r="C5152" s="120" t="s">
        <v>331</v>
      </c>
      <c r="D5152" s="442">
        <v>5676.23</v>
      </c>
    </row>
    <row r="5153" spans="1:4" ht="31.5" customHeight="1">
      <c r="A5153" s="120">
        <v>98066</v>
      </c>
      <c r="B5153" s="119" t="s">
        <v>6692</v>
      </c>
      <c r="C5153" s="120" t="s">
        <v>331</v>
      </c>
      <c r="D5153" s="442">
        <v>4829.2299999999996</v>
      </c>
    </row>
    <row r="5154" spans="1:4" ht="31.5" customHeight="1">
      <c r="A5154" s="120">
        <v>98067</v>
      </c>
      <c r="B5154" s="119" t="s">
        <v>6693</v>
      </c>
      <c r="C5154" s="120" t="s">
        <v>331</v>
      </c>
      <c r="D5154" s="442">
        <v>6435.48</v>
      </c>
    </row>
    <row r="5155" spans="1:4" ht="31.5" customHeight="1">
      <c r="A5155" s="120">
        <v>98068</v>
      </c>
      <c r="B5155" s="119" t="s">
        <v>6694</v>
      </c>
      <c r="C5155" s="120" t="s">
        <v>331</v>
      </c>
      <c r="D5155" s="442">
        <v>9087.3700000000008</v>
      </c>
    </row>
    <row r="5156" spans="1:4" ht="31.5" customHeight="1">
      <c r="A5156" s="120">
        <v>98069</v>
      </c>
      <c r="B5156" s="119" t="s">
        <v>6695</v>
      </c>
      <c r="C5156" s="120" t="s">
        <v>331</v>
      </c>
      <c r="D5156" s="442">
        <v>12211.91</v>
      </c>
    </row>
    <row r="5157" spans="1:4" ht="31.5" customHeight="1">
      <c r="A5157" s="120">
        <v>98070</v>
      </c>
      <c r="B5157" s="119" t="s">
        <v>6696</v>
      </c>
      <c r="C5157" s="120" t="s">
        <v>331</v>
      </c>
      <c r="D5157" s="442">
        <v>13954.84</v>
      </c>
    </row>
    <row r="5158" spans="1:4" ht="31.5" customHeight="1">
      <c r="A5158" s="120">
        <v>98071</v>
      </c>
      <c r="B5158" s="119" t="s">
        <v>6697</v>
      </c>
      <c r="C5158" s="120" t="s">
        <v>331</v>
      </c>
      <c r="D5158" s="442">
        <v>15231.78</v>
      </c>
    </row>
    <row r="5159" spans="1:4" ht="31.5" customHeight="1">
      <c r="A5159" s="120">
        <v>98072</v>
      </c>
      <c r="B5159" s="119" t="s">
        <v>6698</v>
      </c>
      <c r="C5159" s="120" t="s">
        <v>331</v>
      </c>
      <c r="D5159" s="442">
        <v>4058.24</v>
      </c>
    </row>
    <row r="5160" spans="1:4" ht="31.5" customHeight="1">
      <c r="A5160" s="120">
        <v>98073</v>
      </c>
      <c r="B5160" s="119" t="s">
        <v>6699</v>
      </c>
      <c r="C5160" s="120" t="s">
        <v>331</v>
      </c>
      <c r="D5160" s="442">
        <v>6335.8</v>
      </c>
    </row>
    <row r="5161" spans="1:4" ht="31.5" customHeight="1">
      <c r="A5161" s="120">
        <v>98074</v>
      </c>
      <c r="B5161" s="119" t="s">
        <v>6700</v>
      </c>
      <c r="C5161" s="120" t="s">
        <v>331</v>
      </c>
      <c r="D5161" s="442">
        <v>9815.2800000000007</v>
      </c>
    </row>
    <row r="5162" spans="1:4" ht="31.5" customHeight="1">
      <c r="A5162" s="120">
        <v>98075</v>
      </c>
      <c r="B5162" s="119" t="s">
        <v>6701</v>
      </c>
      <c r="C5162" s="120" t="s">
        <v>331</v>
      </c>
      <c r="D5162" s="442">
        <v>12749.36</v>
      </c>
    </row>
    <row r="5163" spans="1:4" ht="31.5" customHeight="1">
      <c r="A5163" s="120">
        <v>98076</v>
      </c>
      <c r="B5163" s="119" t="s">
        <v>6702</v>
      </c>
      <c r="C5163" s="120" t="s">
        <v>331</v>
      </c>
      <c r="D5163" s="442">
        <v>14679.51</v>
      </c>
    </row>
    <row r="5164" spans="1:4" ht="31.5" customHeight="1">
      <c r="A5164" s="120">
        <v>98077</v>
      </c>
      <c r="B5164" s="119" t="s">
        <v>6703</v>
      </c>
      <c r="C5164" s="120" t="s">
        <v>331</v>
      </c>
      <c r="D5164" s="442">
        <v>17272.32</v>
      </c>
    </row>
    <row r="5165" spans="1:4" ht="31.5" customHeight="1">
      <c r="A5165" s="120">
        <v>98078</v>
      </c>
      <c r="B5165" s="119" t="s">
        <v>6704</v>
      </c>
      <c r="C5165" s="120" t="s">
        <v>331</v>
      </c>
      <c r="D5165" s="442">
        <v>4506.8599999999997</v>
      </c>
    </row>
    <row r="5166" spans="1:4" ht="31.5" customHeight="1">
      <c r="A5166" s="120">
        <v>98079</v>
      </c>
      <c r="B5166" s="119" t="s">
        <v>6705</v>
      </c>
      <c r="C5166" s="120" t="s">
        <v>331</v>
      </c>
      <c r="D5166" s="442">
        <v>7874.57</v>
      </c>
    </row>
    <row r="5167" spans="1:4" ht="31.5" customHeight="1">
      <c r="A5167" s="120">
        <v>98080</v>
      </c>
      <c r="B5167" s="119" t="s">
        <v>6706</v>
      </c>
      <c r="C5167" s="120" t="s">
        <v>331</v>
      </c>
      <c r="D5167" s="442">
        <v>10095.969999999999</v>
      </c>
    </row>
    <row r="5168" spans="1:4" ht="31.5" customHeight="1">
      <c r="A5168" s="120">
        <v>98081</v>
      </c>
      <c r="B5168" s="119" t="s">
        <v>6707</v>
      </c>
      <c r="C5168" s="120" t="s">
        <v>331</v>
      </c>
      <c r="D5168" s="442">
        <v>14933.88</v>
      </c>
    </row>
    <row r="5169" spans="1:4" ht="31.5" customHeight="1">
      <c r="A5169" s="120">
        <v>98082</v>
      </c>
      <c r="B5169" s="119" t="s">
        <v>6708</v>
      </c>
      <c r="C5169" s="120" t="s">
        <v>331</v>
      </c>
      <c r="D5169" s="442">
        <v>3630.07</v>
      </c>
    </row>
    <row r="5170" spans="1:4" ht="31.5" customHeight="1">
      <c r="A5170" s="120">
        <v>98083</v>
      </c>
      <c r="B5170" s="119" t="s">
        <v>6709</v>
      </c>
      <c r="C5170" s="120" t="s">
        <v>331</v>
      </c>
      <c r="D5170" s="442">
        <v>4786.2700000000004</v>
      </c>
    </row>
    <row r="5171" spans="1:4" ht="31.5" customHeight="1">
      <c r="A5171" s="120">
        <v>98084</v>
      </c>
      <c r="B5171" s="119" t="s">
        <v>6710</v>
      </c>
      <c r="C5171" s="120" t="s">
        <v>331</v>
      </c>
      <c r="D5171" s="442">
        <v>6712.97</v>
      </c>
    </row>
    <row r="5172" spans="1:4" ht="31.5" customHeight="1">
      <c r="A5172" s="120">
        <v>98085</v>
      </c>
      <c r="B5172" s="119" t="s">
        <v>6711</v>
      </c>
      <c r="C5172" s="120" t="s">
        <v>331</v>
      </c>
      <c r="D5172" s="442">
        <v>9120.2199999999993</v>
      </c>
    </row>
    <row r="5173" spans="1:4" ht="31.5" customHeight="1">
      <c r="A5173" s="120">
        <v>98086</v>
      </c>
      <c r="B5173" s="119" t="s">
        <v>6712</v>
      </c>
      <c r="C5173" s="120" t="s">
        <v>331</v>
      </c>
      <c r="D5173" s="442">
        <v>10282.25</v>
      </c>
    </row>
    <row r="5174" spans="1:4" ht="31.5" customHeight="1">
      <c r="A5174" s="120">
        <v>98087</v>
      </c>
      <c r="B5174" s="119" t="s">
        <v>6713</v>
      </c>
      <c r="C5174" s="120" t="s">
        <v>331</v>
      </c>
      <c r="D5174" s="442">
        <v>10944.63</v>
      </c>
    </row>
    <row r="5175" spans="1:4" ht="31.5" customHeight="1">
      <c r="A5175" s="120">
        <v>98088</v>
      </c>
      <c r="B5175" s="119" t="s">
        <v>6714</v>
      </c>
      <c r="C5175" s="120" t="s">
        <v>331</v>
      </c>
      <c r="D5175" s="442">
        <v>3125.56</v>
      </c>
    </row>
    <row r="5176" spans="1:4" ht="31.5" customHeight="1">
      <c r="A5176" s="120">
        <v>98089</v>
      </c>
      <c r="B5176" s="119" t="s">
        <v>6715</v>
      </c>
      <c r="C5176" s="120" t="s">
        <v>331</v>
      </c>
      <c r="D5176" s="442">
        <v>4941.93</v>
      </c>
    </row>
    <row r="5177" spans="1:4" ht="31.5" customHeight="1">
      <c r="A5177" s="120">
        <v>98090</v>
      </c>
      <c r="B5177" s="119" t="s">
        <v>6716</v>
      </c>
      <c r="C5177" s="120" t="s">
        <v>331</v>
      </c>
      <c r="D5177" s="442">
        <v>7758.75</v>
      </c>
    </row>
    <row r="5178" spans="1:4" ht="31.5" customHeight="1">
      <c r="A5178" s="120">
        <v>98091</v>
      </c>
      <c r="B5178" s="119" t="s">
        <v>6717</v>
      </c>
      <c r="C5178" s="120" t="s">
        <v>331</v>
      </c>
      <c r="D5178" s="442">
        <v>10130.65</v>
      </c>
    </row>
    <row r="5179" spans="1:4" ht="31.5" customHeight="1">
      <c r="A5179" s="120">
        <v>98092</v>
      </c>
      <c r="B5179" s="119" t="s">
        <v>6718</v>
      </c>
      <c r="C5179" s="120" t="s">
        <v>331</v>
      </c>
      <c r="D5179" s="442">
        <v>11766.34</v>
      </c>
    </row>
    <row r="5180" spans="1:4" ht="31.5" customHeight="1">
      <c r="A5180" s="120">
        <v>98093</v>
      </c>
      <c r="B5180" s="119" t="s">
        <v>6719</v>
      </c>
      <c r="C5180" s="120" t="s">
        <v>331</v>
      </c>
      <c r="D5180" s="442">
        <v>13886.2</v>
      </c>
    </row>
    <row r="5181" spans="1:4" ht="31.5" customHeight="1">
      <c r="A5181" s="120">
        <v>98094</v>
      </c>
      <c r="B5181" s="119" t="s">
        <v>6720</v>
      </c>
      <c r="C5181" s="120" t="s">
        <v>331</v>
      </c>
      <c r="D5181" s="442">
        <v>2556.0700000000002</v>
      </c>
    </row>
    <row r="5182" spans="1:4" ht="31.5" customHeight="1">
      <c r="A5182" s="120">
        <v>98099</v>
      </c>
      <c r="B5182" s="119" t="s">
        <v>6721</v>
      </c>
      <c r="C5182" s="120" t="s">
        <v>331</v>
      </c>
      <c r="D5182" s="442">
        <v>4358.99</v>
      </c>
    </row>
    <row r="5183" spans="1:4" ht="31.5" customHeight="1">
      <c r="A5183" s="120">
        <v>98100</v>
      </c>
      <c r="B5183" s="119" t="s">
        <v>6722</v>
      </c>
      <c r="C5183" s="120" t="s">
        <v>331</v>
      </c>
      <c r="D5183" s="442">
        <v>5710.98</v>
      </c>
    </row>
    <row r="5184" spans="1:4" ht="31.5" customHeight="1">
      <c r="A5184" s="120">
        <v>98101</v>
      </c>
      <c r="B5184" s="119" t="s">
        <v>6723</v>
      </c>
      <c r="C5184" s="120" t="s">
        <v>331</v>
      </c>
      <c r="D5184" s="442">
        <v>8440.6299999999992</v>
      </c>
    </row>
    <row r="5185" spans="1:4" ht="31.5" customHeight="1">
      <c r="A5185" s="120">
        <v>98109</v>
      </c>
      <c r="B5185" s="119" t="s">
        <v>6724</v>
      </c>
      <c r="C5185" s="120" t="s">
        <v>331</v>
      </c>
      <c r="D5185" s="441">
        <v>813.15</v>
      </c>
    </row>
    <row r="5186" spans="1:4" ht="15.75" customHeight="1">
      <c r="A5186" s="120">
        <v>98110</v>
      </c>
      <c r="B5186" s="119" t="s">
        <v>6725</v>
      </c>
      <c r="C5186" s="120" t="s">
        <v>331</v>
      </c>
      <c r="D5186" s="441">
        <v>388.86</v>
      </c>
    </row>
    <row r="5187" spans="1:4" ht="15.75" customHeight="1">
      <c r="A5187" s="120">
        <v>98111</v>
      </c>
      <c r="B5187" s="119" t="s">
        <v>6726</v>
      </c>
      <c r="C5187" s="120" t="s">
        <v>331</v>
      </c>
      <c r="D5187" s="441">
        <v>53.32</v>
      </c>
    </row>
    <row r="5188" spans="1:4" ht="15.75" customHeight="1">
      <c r="A5188" s="120">
        <v>98112</v>
      </c>
      <c r="B5188" s="119" t="s">
        <v>6727</v>
      </c>
      <c r="C5188" s="120" t="s">
        <v>331</v>
      </c>
      <c r="D5188" s="441">
        <v>99.84</v>
      </c>
    </row>
    <row r="5189" spans="1:4" ht="15.75" customHeight="1">
      <c r="A5189" s="120">
        <v>98114</v>
      </c>
      <c r="B5189" s="119" t="s">
        <v>6728</v>
      </c>
      <c r="C5189" s="120" t="s">
        <v>331</v>
      </c>
      <c r="D5189" s="441">
        <v>746.82</v>
      </c>
    </row>
    <row r="5190" spans="1:4" ht="31.5" customHeight="1">
      <c r="A5190" s="120">
        <v>98115</v>
      </c>
      <c r="B5190" s="119" t="s">
        <v>6729</v>
      </c>
      <c r="C5190" s="120" t="s">
        <v>331</v>
      </c>
      <c r="D5190" s="441">
        <v>104.92</v>
      </c>
    </row>
    <row r="5191" spans="1:4" ht="31.5" customHeight="1">
      <c r="A5191" s="120">
        <v>89957</v>
      </c>
      <c r="B5191" s="119" t="s">
        <v>6730</v>
      </c>
      <c r="C5191" s="120" t="s">
        <v>331</v>
      </c>
      <c r="D5191" s="441">
        <v>171.12</v>
      </c>
    </row>
    <row r="5192" spans="1:4" ht="31.5" customHeight="1">
      <c r="A5192" s="120">
        <v>89959</v>
      </c>
      <c r="B5192" s="119" t="s">
        <v>6731</v>
      </c>
      <c r="C5192" s="120" t="s">
        <v>331</v>
      </c>
      <c r="D5192" s="441">
        <v>273.05</v>
      </c>
    </row>
    <row r="5193" spans="1:4" ht="15.75" customHeight="1">
      <c r="A5193" s="120">
        <v>89349</v>
      </c>
      <c r="B5193" s="119" t="s">
        <v>6732</v>
      </c>
      <c r="C5193" s="120" t="s">
        <v>331</v>
      </c>
      <c r="D5193" s="441">
        <v>27.97</v>
      </c>
    </row>
    <row r="5194" spans="1:4" ht="15.75" customHeight="1">
      <c r="A5194" s="120">
        <v>89351</v>
      </c>
      <c r="B5194" s="119" t="s">
        <v>6733</v>
      </c>
      <c r="C5194" s="120" t="s">
        <v>331</v>
      </c>
      <c r="D5194" s="441">
        <v>34.81</v>
      </c>
    </row>
    <row r="5195" spans="1:4" ht="15.75" customHeight="1">
      <c r="A5195" s="120">
        <v>89352</v>
      </c>
      <c r="B5195" s="119" t="s">
        <v>6734</v>
      </c>
      <c r="C5195" s="120" t="s">
        <v>331</v>
      </c>
      <c r="D5195" s="441">
        <v>37.71</v>
      </c>
    </row>
    <row r="5196" spans="1:4" ht="15.75" customHeight="1">
      <c r="A5196" s="120">
        <v>89353</v>
      </c>
      <c r="B5196" s="119" t="s">
        <v>6735</v>
      </c>
      <c r="C5196" s="120" t="s">
        <v>331</v>
      </c>
      <c r="D5196" s="441">
        <v>41.79</v>
      </c>
    </row>
    <row r="5197" spans="1:4" ht="31.5" customHeight="1">
      <c r="A5197" s="120">
        <v>89354</v>
      </c>
      <c r="B5197" s="119" t="s">
        <v>6736</v>
      </c>
      <c r="C5197" s="120" t="s">
        <v>331</v>
      </c>
      <c r="D5197" s="441">
        <v>444.99</v>
      </c>
    </row>
    <row r="5198" spans="1:4" ht="31.5" customHeight="1">
      <c r="A5198" s="120">
        <v>89969</v>
      </c>
      <c r="B5198" s="119" t="s">
        <v>6737</v>
      </c>
      <c r="C5198" s="120" t="s">
        <v>331</v>
      </c>
      <c r="D5198" s="441">
        <v>46.02</v>
      </c>
    </row>
    <row r="5199" spans="1:4" ht="31.5" customHeight="1">
      <c r="A5199" s="120">
        <v>89970</v>
      </c>
      <c r="B5199" s="119" t="s">
        <v>6738</v>
      </c>
      <c r="C5199" s="120" t="s">
        <v>331</v>
      </c>
      <c r="D5199" s="441">
        <v>50.69</v>
      </c>
    </row>
    <row r="5200" spans="1:4" ht="31.5" customHeight="1">
      <c r="A5200" s="120">
        <v>89971</v>
      </c>
      <c r="B5200" s="119" t="s">
        <v>6739</v>
      </c>
      <c r="C5200" s="120" t="s">
        <v>331</v>
      </c>
      <c r="D5200" s="441">
        <v>50.69</v>
      </c>
    </row>
    <row r="5201" spans="1:4" ht="31.5" customHeight="1">
      <c r="A5201" s="120">
        <v>89972</v>
      </c>
      <c r="B5201" s="119" t="s">
        <v>6740</v>
      </c>
      <c r="C5201" s="120" t="s">
        <v>331</v>
      </c>
      <c r="D5201" s="441">
        <v>56.95</v>
      </c>
    </row>
    <row r="5202" spans="1:4" ht="31.5" customHeight="1">
      <c r="A5202" s="120">
        <v>89973</v>
      </c>
      <c r="B5202" s="119" t="s">
        <v>6741</v>
      </c>
      <c r="C5202" s="120" t="s">
        <v>331</v>
      </c>
      <c r="D5202" s="441">
        <v>678.22</v>
      </c>
    </row>
    <row r="5203" spans="1:4" ht="31.5" customHeight="1">
      <c r="A5203" s="120">
        <v>89974</v>
      </c>
      <c r="B5203" s="119" t="s">
        <v>6742</v>
      </c>
      <c r="C5203" s="120" t="s">
        <v>331</v>
      </c>
      <c r="D5203" s="441">
        <v>322.61</v>
      </c>
    </row>
    <row r="5204" spans="1:4" ht="31.5" customHeight="1">
      <c r="A5204" s="120">
        <v>89984</v>
      </c>
      <c r="B5204" s="119" t="s">
        <v>6743</v>
      </c>
      <c r="C5204" s="120" t="s">
        <v>331</v>
      </c>
      <c r="D5204" s="441">
        <v>89.17</v>
      </c>
    </row>
    <row r="5205" spans="1:4" ht="31.5" customHeight="1">
      <c r="A5205" s="120">
        <v>89985</v>
      </c>
      <c r="B5205" s="119" t="s">
        <v>6744</v>
      </c>
      <c r="C5205" s="120" t="s">
        <v>331</v>
      </c>
      <c r="D5205" s="441">
        <v>94.07</v>
      </c>
    </row>
    <row r="5206" spans="1:4" ht="31.5" customHeight="1">
      <c r="A5206" s="120">
        <v>89986</v>
      </c>
      <c r="B5206" s="119" t="s">
        <v>6745</v>
      </c>
      <c r="C5206" s="120" t="s">
        <v>331</v>
      </c>
      <c r="D5206" s="441">
        <v>86.93</v>
      </c>
    </row>
    <row r="5207" spans="1:4" ht="31.5" customHeight="1">
      <c r="A5207" s="120">
        <v>89987</v>
      </c>
      <c r="B5207" s="119" t="s">
        <v>6746</v>
      </c>
      <c r="C5207" s="120" t="s">
        <v>331</v>
      </c>
      <c r="D5207" s="441">
        <v>98.96</v>
      </c>
    </row>
    <row r="5208" spans="1:4" ht="15.75" customHeight="1">
      <c r="A5208" s="120">
        <v>90371</v>
      </c>
      <c r="B5208" s="119" t="s">
        <v>6747</v>
      </c>
      <c r="C5208" s="120" t="s">
        <v>331</v>
      </c>
      <c r="D5208" s="441">
        <v>31.11</v>
      </c>
    </row>
    <row r="5209" spans="1:4" ht="15.75" customHeight="1">
      <c r="A5209" s="120">
        <v>94489</v>
      </c>
      <c r="B5209" s="119" t="s">
        <v>6748</v>
      </c>
      <c r="C5209" s="120" t="s">
        <v>331</v>
      </c>
      <c r="D5209" s="441">
        <v>31.28</v>
      </c>
    </row>
    <row r="5210" spans="1:4" ht="15.75" customHeight="1">
      <c r="A5210" s="120">
        <v>94490</v>
      </c>
      <c r="B5210" s="119" t="s">
        <v>6749</v>
      </c>
      <c r="C5210" s="120" t="s">
        <v>331</v>
      </c>
      <c r="D5210" s="441">
        <v>45.93</v>
      </c>
    </row>
    <row r="5211" spans="1:4" ht="15.75" customHeight="1">
      <c r="A5211" s="120">
        <v>94491</v>
      </c>
      <c r="B5211" s="119" t="s">
        <v>6750</v>
      </c>
      <c r="C5211" s="120" t="s">
        <v>331</v>
      </c>
      <c r="D5211" s="441">
        <v>62.75</v>
      </c>
    </row>
    <row r="5212" spans="1:4" ht="15.75" customHeight="1">
      <c r="A5212" s="120">
        <v>94492</v>
      </c>
      <c r="B5212" s="119" t="s">
        <v>6751</v>
      </c>
      <c r="C5212" s="120" t="s">
        <v>331</v>
      </c>
      <c r="D5212" s="441">
        <v>64.48</v>
      </c>
    </row>
    <row r="5213" spans="1:4" ht="15.75" customHeight="1">
      <c r="A5213" s="120">
        <v>94493</v>
      </c>
      <c r="B5213" s="119" t="s">
        <v>6752</v>
      </c>
      <c r="C5213" s="120" t="s">
        <v>331</v>
      </c>
      <c r="D5213" s="441">
        <v>117.99</v>
      </c>
    </row>
    <row r="5214" spans="1:4" ht="15.75" customHeight="1">
      <c r="A5214" s="120">
        <v>94495</v>
      </c>
      <c r="B5214" s="119" t="s">
        <v>6753</v>
      </c>
      <c r="C5214" s="120" t="s">
        <v>331</v>
      </c>
      <c r="D5214" s="441">
        <v>64.45</v>
      </c>
    </row>
    <row r="5215" spans="1:4" ht="15.75" customHeight="1">
      <c r="A5215" s="120">
        <v>94496</v>
      </c>
      <c r="B5215" s="119" t="s">
        <v>6754</v>
      </c>
      <c r="C5215" s="120" t="s">
        <v>331</v>
      </c>
      <c r="D5215" s="441">
        <v>87.79</v>
      </c>
    </row>
    <row r="5216" spans="1:4" ht="15.75" customHeight="1">
      <c r="A5216" s="120">
        <v>94497</v>
      </c>
      <c r="B5216" s="119" t="s">
        <v>6755</v>
      </c>
      <c r="C5216" s="120" t="s">
        <v>331</v>
      </c>
      <c r="D5216" s="441">
        <v>111.29</v>
      </c>
    </row>
    <row r="5217" spans="1:4" ht="15.75" customHeight="1">
      <c r="A5217" s="120">
        <v>94498</v>
      </c>
      <c r="B5217" s="119" t="s">
        <v>6756</v>
      </c>
      <c r="C5217" s="120" t="s">
        <v>331</v>
      </c>
      <c r="D5217" s="441">
        <v>153.4</v>
      </c>
    </row>
    <row r="5218" spans="1:4" ht="15.75" customHeight="1">
      <c r="A5218" s="120">
        <v>94499</v>
      </c>
      <c r="B5218" s="119" t="s">
        <v>6757</v>
      </c>
      <c r="C5218" s="120" t="s">
        <v>331</v>
      </c>
      <c r="D5218" s="441">
        <v>303.36</v>
      </c>
    </row>
    <row r="5219" spans="1:4" ht="15.75" customHeight="1">
      <c r="A5219" s="120">
        <v>94500</v>
      </c>
      <c r="B5219" s="119" t="s">
        <v>6758</v>
      </c>
      <c r="C5219" s="120" t="s">
        <v>331</v>
      </c>
      <c r="D5219" s="441">
        <v>368.36</v>
      </c>
    </row>
    <row r="5220" spans="1:4" ht="15.75" customHeight="1">
      <c r="A5220" s="120">
        <v>94501</v>
      </c>
      <c r="B5220" s="119" t="s">
        <v>6759</v>
      </c>
      <c r="C5220" s="120" t="s">
        <v>331</v>
      </c>
      <c r="D5220" s="441">
        <v>740.21</v>
      </c>
    </row>
    <row r="5221" spans="1:4" ht="31.5" customHeight="1">
      <c r="A5221" s="120">
        <v>94792</v>
      </c>
      <c r="B5221" s="119" t="s">
        <v>6760</v>
      </c>
      <c r="C5221" s="120" t="s">
        <v>331</v>
      </c>
      <c r="D5221" s="441">
        <v>120.48</v>
      </c>
    </row>
    <row r="5222" spans="1:4" ht="31.5" customHeight="1">
      <c r="A5222" s="120">
        <v>94793</v>
      </c>
      <c r="B5222" s="119" t="s">
        <v>6761</v>
      </c>
      <c r="C5222" s="120" t="s">
        <v>331</v>
      </c>
      <c r="D5222" s="441">
        <v>164.75</v>
      </c>
    </row>
    <row r="5223" spans="1:4" ht="31.5" customHeight="1">
      <c r="A5223" s="120">
        <v>94794</v>
      </c>
      <c r="B5223" s="119" t="s">
        <v>6762</v>
      </c>
      <c r="C5223" s="120" t="s">
        <v>331</v>
      </c>
      <c r="D5223" s="441">
        <v>175.05</v>
      </c>
    </row>
    <row r="5224" spans="1:4" ht="15.75" customHeight="1">
      <c r="A5224" s="120">
        <v>94795</v>
      </c>
      <c r="B5224" s="119" t="s">
        <v>6763</v>
      </c>
      <c r="C5224" s="120" t="s">
        <v>331</v>
      </c>
      <c r="D5224" s="441">
        <v>37.08</v>
      </c>
    </row>
    <row r="5225" spans="1:4" ht="15.75" customHeight="1">
      <c r="A5225" s="120">
        <v>94796</v>
      </c>
      <c r="B5225" s="119" t="s">
        <v>6764</v>
      </c>
      <c r="C5225" s="120" t="s">
        <v>331</v>
      </c>
      <c r="D5225" s="441">
        <v>43.31</v>
      </c>
    </row>
    <row r="5226" spans="1:4" ht="15.75" customHeight="1">
      <c r="A5226" s="120">
        <v>94797</v>
      </c>
      <c r="B5226" s="119" t="s">
        <v>6765</v>
      </c>
      <c r="C5226" s="120" t="s">
        <v>331</v>
      </c>
      <c r="D5226" s="441">
        <v>87.42</v>
      </c>
    </row>
    <row r="5227" spans="1:4" ht="15.75" customHeight="1">
      <c r="A5227" s="120">
        <v>94798</v>
      </c>
      <c r="B5227" s="119" t="s">
        <v>6766</v>
      </c>
      <c r="C5227" s="120" t="s">
        <v>331</v>
      </c>
      <c r="D5227" s="441">
        <v>143.77000000000001</v>
      </c>
    </row>
    <row r="5228" spans="1:4" ht="15.75" customHeight="1">
      <c r="A5228" s="120">
        <v>94799</v>
      </c>
      <c r="B5228" s="119" t="s">
        <v>6767</v>
      </c>
      <c r="C5228" s="120" t="s">
        <v>331</v>
      </c>
      <c r="D5228" s="441">
        <v>176.93</v>
      </c>
    </row>
    <row r="5229" spans="1:4" ht="15.75" customHeight="1">
      <c r="A5229" s="120">
        <v>94800</v>
      </c>
      <c r="B5229" s="119" t="s">
        <v>6768</v>
      </c>
      <c r="C5229" s="120" t="s">
        <v>331</v>
      </c>
      <c r="D5229" s="441">
        <v>227.21</v>
      </c>
    </row>
    <row r="5230" spans="1:4" ht="15.75" customHeight="1">
      <c r="A5230" s="120">
        <v>95248</v>
      </c>
      <c r="B5230" s="119" t="s">
        <v>6769</v>
      </c>
      <c r="C5230" s="120" t="s">
        <v>331</v>
      </c>
      <c r="D5230" s="441">
        <v>54.39</v>
      </c>
    </row>
    <row r="5231" spans="1:4" ht="15.75" customHeight="1">
      <c r="A5231" s="120">
        <v>95249</v>
      </c>
      <c r="B5231" s="119" t="s">
        <v>6770</v>
      </c>
      <c r="C5231" s="120" t="s">
        <v>331</v>
      </c>
      <c r="D5231" s="441">
        <v>64.36</v>
      </c>
    </row>
    <row r="5232" spans="1:4" ht="15.75" customHeight="1">
      <c r="A5232" s="120">
        <v>95250</v>
      </c>
      <c r="B5232" s="119" t="s">
        <v>6771</v>
      </c>
      <c r="C5232" s="120" t="s">
        <v>331</v>
      </c>
      <c r="D5232" s="441">
        <v>86.88</v>
      </c>
    </row>
    <row r="5233" spans="1:4" ht="15.75" customHeight="1">
      <c r="A5233" s="120">
        <v>95251</v>
      </c>
      <c r="B5233" s="119" t="s">
        <v>6772</v>
      </c>
      <c r="C5233" s="120" t="s">
        <v>331</v>
      </c>
      <c r="D5233" s="441">
        <v>128.32</v>
      </c>
    </row>
    <row r="5234" spans="1:4" ht="15.75" customHeight="1">
      <c r="A5234" s="120">
        <v>95252</v>
      </c>
      <c r="B5234" s="119" t="s">
        <v>6773</v>
      </c>
      <c r="C5234" s="120" t="s">
        <v>331</v>
      </c>
      <c r="D5234" s="441">
        <v>155.76</v>
      </c>
    </row>
    <row r="5235" spans="1:4" ht="15.75" customHeight="1">
      <c r="A5235" s="120">
        <v>95253</v>
      </c>
      <c r="B5235" s="119" t="s">
        <v>6774</v>
      </c>
      <c r="C5235" s="120" t="s">
        <v>331</v>
      </c>
      <c r="D5235" s="441">
        <v>236.26</v>
      </c>
    </row>
    <row r="5236" spans="1:4" ht="15.75" customHeight="1">
      <c r="A5236" s="120">
        <v>99619</v>
      </c>
      <c r="B5236" s="119" t="s">
        <v>6775</v>
      </c>
      <c r="C5236" s="120" t="s">
        <v>331</v>
      </c>
      <c r="D5236" s="441">
        <v>92.42</v>
      </c>
    </row>
    <row r="5237" spans="1:4" ht="15.75" customHeight="1">
      <c r="A5237" s="120">
        <v>99620</v>
      </c>
      <c r="B5237" s="119" t="s">
        <v>6776</v>
      </c>
      <c r="C5237" s="120" t="s">
        <v>331</v>
      </c>
      <c r="D5237" s="441">
        <v>125.53</v>
      </c>
    </row>
    <row r="5238" spans="1:4" ht="15.75" customHeight="1">
      <c r="A5238" s="120">
        <v>99621</v>
      </c>
      <c r="B5238" s="119" t="s">
        <v>6777</v>
      </c>
      <c r="C5238" s="120" t="s">
        <v>331</v>
      </c>
      <c r="D5238" s="441">
        <v>186.69</v>
      </c>
    </row>
    <row r="5239" spans="1:4" ht="15.75" customHeight="1">
      <c r="A5239" s="120">
        <v>99622</v>
      </c>
      <c r="B5239" s="119" t="s">
        <v>6778</v>
      </c>
      <c r="C5239" s="120" t="s">
        <v>331</v>
      </c>
      <c r="D5239" s="441">
        <v>210.83</v>
      </c>
    </row>
    <row r="5240" spans="1:4" ht="15.75" customHeight="1">
      <c r="A5240" s="120">
        <v>99623</v>
      </c>
      <c r="B5240" s="119" t="s">
        <v>6779</v>
      </c>
      <c r="C5240" s="120" t="s">
        <v>331</v>
      </c>
      <c r="D5240" s="441">
        <v>293.63</v>
      </c>
    </row>
    <row r="5241" spans="1:4" ht="15.75" customHeight="1">
      <c r="A5241" s="120">
        <v>99624</v>
      </c>
      <c r="B5241" s="119" t="s">
        <v>6780</v>
      </c>
      <c r="C5241" s="120" t="s">
        <v>331</v>
      </c>
      <c r="D5241" s="441">
        <v>418.04</v>
      </c>
    </row>
    <row r="5242" spans="1:4" ht="15.75" customHeight="1">
      <c r="A5242" s="120">
        <v>99625</v>
      </c>
      <c r="B5242" s="119" t="s">
        <v>6781</v>
      </c>
      <c r="C5242" s="120" t="s">
        <v>331</v>
      </c>
      <c r="D5242" s="441">
        <v>573.91</v>
      </c>
    </row>
    <row r="5243" spans="1:4" ht="15.75" customHeight="1">
      <c r="A5243" s="120">
        <v>99626</v>
      </c>
      <c r="B5243" s="119" t="s">
        <v>6782</v>
      </c>
      <c r="C5243" s="120" t="s">
        <v>331</v>
      </c>
      <c r="D5243" s="441">
        <v>880.68</v>
      </c>
    </row>
    <row r="5244" spans="1:4" ht="15.75" customHeight="1">
      <c r="A5244" s="120">
        <v>99627</v>
      </c>
      <c r="B5244" s="119" t="s">
        <v>6783</v>
      </c>
      <c r="C5244" s="120" t="s">
        <v>331</v>
      </c>
      <c r="D5244" s="441">
        <v>55.88</v>
      </c>
    </row>
    <row r="5245" spans="1:4" ht="15.75" customHeight="1">
      <c r="A5245" s="120">
        <v>99628</v>
      </c>
      <c r="B5245" s="119" t="s">
        <v>6784</v>
      </c>
      <c r="C5245" s="120" t="s">
        <v>331</v>
      </c>
      <c r="D5245" s="441">
        <v>61.59</v>
      </c>
    </row>
    <row r="5246" spans="1:4" ht="15.75" customHeight="1">
      <c r="A5246" s="120">
        <v>99629</v>
      </c>
      <c r="B5246" s="119" t="s">
        <v>6785</v>
      </c>
      <c r="C5246" s="120" t="s">
        <v>331</v>
      </c>
      <c r="D5246" s="441">
        <v>68.959999999999994</v>
      </c>
    </row>
    <row r="5247" spans="1:4" ht="15.75" customHeight="1">
      <c r="A5247" s="120">
        <v>99630</v>
      </c>
      <c r="B5247" s="119" t="s">
        <v>6786</v>
      </c>
      <c r="C5247" s="120" t="s">
        <v>331</v>
      </c>
      <c r="D5247" s="441">
        <v>102.2</v>
      </c>
    </row>
    <row r="5248" spans="1:4" ht="15.75" customHeight="1">
      <c r="A5248" s="120">
        <v>99631</v>
      </c>
      <c r="B5248" s="119" t="s">
        <v>6787</v>
      </c>
      <c r="C5248" s="120" t="s">
        <v>331</v>
      </c>
      <c r="D5248" s="441">
        <v>119.51</v>
      </c>
    </row>
    <row r="5249" spans="1:4" ht="15.75" customHeight="1">
      <c r="A5249" s="120">
        <v>99632</v>
      </c>
      <c r="B5249" s="119" t="s">
        <v>6788</v>
      </c>
      <c r="C5249" s="120" t="s">
        <v>331</v>
      </c>
      <c r="D5249" s="441">
        <v>171.52</v>
      </c>
    </row>
    <row r="5250" spans="1:4" ht="15.75" customHeight="1">
      <c r="A5250" s="120">
        <v>99633</v>
      </c>
      <c r="B5250" s="119" t="s">
        <v>6789</v>
      </c>
      <c r="C5250" s="120" t="s">
        <v>331</v>
      </c>
      <c r="D5250" s="441">
        <v>364.99</v>
      </c>
    </row>
    <row r="5251" spans="1:4" ht="15.75" customHeight="1">
      <c r="A5251" s="120">
        <v>99634</v>
      </c>
      <c r="B5251" s="119" t="s">
        <v>6790</v>
      </c>
      <c r="C5251" s="120" t="s">
        <v>331</v>
      </c>
      <c r="D5251" s="441">
        <v>617.80999999999995</v>
      </c>
    </row>
    <row r="5252" spans="1:4" ht="31.5" customHeight="1">
      <c r="A5252" s="120">
        <v>99635</v>
      </c>
      <c r="B5252" s="119" t="s">
        <v>6791</v>
      </c>
      <c r="C5252" s="120" t="s">
        <v>331</v>
      </c>
      <c r="D5252" s="441">
        <v>318.69</v>
      </c>
    </row>
    <row r="5253" spans="1:4" ht="15.75" customHeight="1">
      <c r="A5253" s="120">
        <v>103008</v>
      </c>
      <c r="B5253" s="119" t="s">
        <v>6792</v>
      </c>
      <c r="C5253" s="120" t="s">
        <v>331</v>
      </c>
      <c r="D5253" s="441">
        <v>75.150000000000006</v>
      </c>
    </row>
    <row r="5254" spans="1:4" ht="15.75" customHeight="1">
      <c r="A5254" s="120">
        <v>103009</v>
      </c>
      <c r="B5254" s="119" t="s">
        <v>6793</v>
      </c>
      <c r="C5254" s="120" t="s">
        <v>331</v>
      </c>
      <c r="D5254" s="441">
        <v>269.52</v>
      </c>
    </row>
    <row r="5255" spans="1:4" ht="31.5" customHeight="1">
      <c r="A5255" s="120">
        <v>103010</v>
      </c>
      <c r="B5255" s="119" t="s">
        <v>6794</v>
      </c>
      <c r="C5255" s="120" t="s">
        <v>331</v>
      </c>
      <c r="D5255" s="441">
        <v>57</v>
      </c>
    </row>
    <row r="5256" spans="1:4" ht="15.75" customHeight="1">
      <c r="A5256" s="120">
        <v>103011</v>
      </c>
      <c r="B5256" s="119" t="s">
        <v>6795</v>
      </c>
      <c r="C5256" s="120" t="s">
        <v>331</v>
      </c>
      <c r="D5256" s="441">
        <v>63.79</v>
      </c>
    </row>
    <row r="5257" spans="1:4" ht="31.5" customHeight="1">
      <c r="A5257" s="120">
        <v>103012</v>
      </c>
      <c r="B5257" s="119" t="s">
        <v>6796</v>
      </c>
      <c r="C5257" s="120" t="s">
        <v>331</v>
      </c>
      <c r="D5257" s="441">
        <v>100.28</v>
      </c>
    </row>
    <row r="5258" spans="1:4" ht="31.5" customHeight="1">
      <c r="A5258" s="120">
        <v>103013</v>
      </c>
      <c r="B5258" s="119" t="s">
        <v>6797</v>
      </c>
      <c r="C5258" s="120" t="s">
        <v>331</v>
      </c>
      <c r="D5258" s="441">
        <v>108.41</v>
      </c>
    </row>
    <row r="5259" spans="1:4" ht="15.75" customHeight="1">
      <c r="A5259" s="120">
        <v>103014</v>
      </c>
      <c r="B5259" s="119" t="s">
        <v>6798</v>
      </c>
      <c r="C5259" s="120" t="s">
        <v>331</v>
      </c>
      <c r="D5259" s="441">
        <v>162.47</v>
      </c>
    </row>
    <row r="5260" spans="1:4" ht="31.5" customHeight="1">
      <c r="A5260" s="120">
        <v>103015</v>
      </c>
      <c r="B5260" s="119" t="s">
        <v>6799</v>
      </c>
      <c r="C5260" s="120" t="s">
        <v>331</v>
      </c>
      <c r="D5260" s="441">
        <v>285.83</v>
      </c>
    </row>
    <row r="5261" spans="1:4" ht="15.75" customHeight="1">
      <c r="A5261" s="120">
        <v>103016</v>
      </c>
      <c r="B5261" s="119" t="s">
        <v>6800</v>
      </c>
      <c r="C5261" s="120" t="s">
        <v>331</v>
      </c>
      <c r="D5261" s="441">
        <v>390.25</v>
      </c>
    </row>
    <row r="5262" spans="1:4" ht="15.75" customHeight="1">
      <c r="A5262" s="120">
        <v>103017</v>
      </c>
      <c r="B5262" s="119" t="s">
        <v>6801</v>
      </c>
      <c r="C5262" s="120" t="s">
        <v>331</v>
      </c>
      <c r="D5262" s="441">
        <v>678.57</v>
      </c>
    </row>
    <row r="5263" spans="1:4" ht="31.5" customHeight="1">
      <c r="A5263" s="120">
        <v>103018</v>
      </c>
      <c r="B5263" s="119" t="s">
        <v>6802</v>
      </c>
      <c r="C5263" s="120" t="s">
        <v>331</v>
      </c>
      <c r="D5263" s="441">
        <v>261.26</v>
      </c>
    </row>
    <row r="5264" spans="1:4" ht="31.5" customHeight="1">
      <c r="A5264" s="120">
        <v>103019</v>
      </c>
      <c r="B5264" s="119" t="s">
        <v>6803</v>
      </c>
      <c r="C5264" s="120" t="s">
        <v>331</v>
      </c>
      <c r="D5264" s="441">
        <v>276.8</v>
      </c>
    </row>
    <row r="5265" spans="1:4" ht="15.75" customHeight="1">
      <c r="A5265" s="120">
        <v>103029</v>
      </c>
      <c r="B5265" s="119" t="s">
        <v>6804</v>
      </c>
      <c r="C5265" s="120" t="s">
        <v>331</v>
      </c>
      <c r="D5265" s="441">
        <v>47.61</v>
      </c>
    </row>
    <row r="5266" spans="1:4" ht="15.75" customHeight="1">
      <c r="A5266" s="120">
        <v>103036</v>
      </c>
      <c r="B5266" s="119" t="s">
        <v>6805</v>
      </c>
      <c r="C5266" s="120" t="s">
        <v>331</v>
      </c>
      <c r="D5266" s="441">
        <v>24.79</v>
      </c>
    </row>
    <row r="5267" spans="1:4" ht="15.75" customHeight="1">
      <c r="A5267" s="120">
        <v>103037</v>
      </c>
      <c r="B5267" s="119" t="s">
        <v>6806</v>
      </c>
      <c r="C5267" s="120" t="s">
        <v>331</v>
      </c>
      <c r="D5267" s="441">
        <v>48.9</v>
      </c>
    </row>
    <row r="5268" spans="1:4" ht="15.75" customHeight="1">
      <c r="A5268" s="120">
        <v>103038</v>
      </c>
      <c r="B5268" s="119" t="s">
        <v>6807</v>
      </c>
      <c r="C5268" s="120" t="s">
        <v>331</v>
      </c>
      <c r="D5268" s="441">
        <v>65.489999999999995</v>
      </c>
    </row>
    <row r="5269" spans="1:4" ht="15.75" customHeight="1">
      <c r="A5269" s="120">
        <v>103039</v>
      </c>
      <c r="B5269" s="119" t="s">
        <v>6808</v>
      </c>
      <c r="C5269" s="120" t="s">
        <v>331</v>
      </c>
      <c r="D5269" s="441">
        <v>71.760000000000005</v>
      </c>
    </row>
    <row r="5270" spans="1:4" ht="15.75" customHeight="1">
      <c r="A5270" s="120">
        <v>103040</v>
      </c>
      <c r="B5270" s="119" t="s">
        <v>6809</v>
      </c>
      <c r="C5270" s="120" t="s">
        <v>331</v>
      </c>
      <c r="D5270" s="441">
        <v>106.07</v>
      </c>
    </row>
    <row r="5271" spans="1:4" ht="15.75" customHeight="1">
      <c r="A5271" s="120">
        <v>103041</v>
      </c>
      <c r="B5271" s="119" t="s">
        <v>6810</v>
      </c>
      <c r="C5271" s="120" t="s">
        <v>331</v>
      </c>
      <c r="D5271" s="441">
        <v>20.8</v>
      </c>
    </row>
    <row r="5272" spans="1:4" ht="15.75" customHeight="1">
      <c r="A5272" s="120">
        <v>103042</v>
      </c>
      <c r="B5272" s="119" t="s">
        <v>6811</v>
      </c>
      <c r="C5272" s="120" t="s">
        <v>331</v>
      </c>
      <c r="D5272" s="441">
        <v>25.94</v>
      </c>
    </row>
    <row r="5273" spans="1:4" ht="15.75" customHeight="1">
      <c r="A5273" s="120">
        <v>103043</v>
      </c>
      <c r="B5273" s="119" t="s">
        <v>6812</v>
      </c>
      <c r="C5273" s="120" t="s">
        <v>331</v>
      </c>
      <c r="D5273" s="441">
        <v>23.89</v>
      </c>
    </row>
    <row r="5274" spans="1:4" ht="15.75" customHeight="1">
      <c r="A5274" s="120">
        <v>103044</v>
      </c>
      <c r="B5274" s="119" t="s">
        <v>6813</v>
      </c>
      <c r="C5274" s="120" t="s">
        <v>331</v>
      </c>
      <c r="D5274" s="441">
        <v>32.380000000000003</v>
      </c>
    </row>
    <row r="5275" spans="1:4" ht="15.75" customHeight="1">
      <c r="A5275" s="120">
        <v>103045</v>
      </c>
      <c r="B5275" s="119" t="s">
        <v>6814</v>
      </c>
      <c r="C5275" s="120" t="s">
        <v>331</v>
      </c>
      <c r="D5275" s="441">
        <v>10.64</v>
      </c>
    </row>
    <row r="5276" spans="1:4" ht="15.75" customHeight="1">
      <c r="A5276" s="120">
        <v>103046</v>
      </c>
      <c r="B5276" s="119" t="s">
        <v>6815</v>
      </c>
      <c r="C5276" s="120" t="s">
        <v>331</v>
      </c>
      <c r="D5276" s="441">
        <v>24.64</v>
      </c>
    </row>
    <row r="5277" spans="1:4" ht="15.75" customHeight="1">
      <c r="A5277" s="120">
        <v>103047</v>
      </c>
      <c r="B5277" s="119" t="s">
        <v>6816</v>
      </c>
      <c r="C5277" s="120" t="s">
        <v>331</v>
      </c>
      <c r="D5277" s="441">
        <v>25.6</v>
      </c>
    </row>
    <row r="5278" spans="1:4" ht="31.5" customHeight="1">
      <c r="A5278" s="120">
        <v>103048</v>
      </c>
      <c r="B5278" s="119" t="s">
        <v>6817</v>
      </c>
      <c r="C5278" s="120" t="s">
        <v>331</v>
      </c>
      <c r="D5278" s="441">
        <v>19.46</v>
      </c>
    </row>
    <row r="5279" spans="1:4" ht="31.5" customHeight="1">
      <c r="A5279" s="120">
        <v>103049</v>
      </c>
      <c r="B5279" s="119" t="s">
        <v>6818</v>
      </c>
      <c r="C5279" s="120" t="s">
        <v>331</v>
      </c>
      <c r="D5279" s="441">
        <v>21.05</v>
      </c>
    </row>
    <row r="5280" spans="1:4" ht="15.75" customHeight="1">
      <c r="A5280" s="120">
        <v>103050</v>
      </c>
      <c r="B5280" s="119" t="s">
        <v>6819</v>
      </c>
      <c r="C5280" s="120" t="s">
        <v>331</v>
      </c>
      <c r="D5280" s="441">
        <v>28.71</v>
      </c>
    </row>
    <row r="5281" spans="1:4" ht="15.75" customHeight="1">
      <c r="A5281" s="120">
        <v>103051</v>
      </c>
      <c r="B5281" s="119" t="s">
        <v>6820</v>
      </c>
      <c r="C5281" s="120" t="s">
        <v>331</v>
      </c>
      <c r="D5281" s="441">
        <v>34.75</v>
      </c>
    </row>
    <row r="5282" spans="1:4" ht="15.75" customHeight="1">
      <c r="A5282" s="120">
        <v>103052</v>
      </c>
      <c r="B5282" s="119" t="s">
        <v>6821</v>
      </c>
      <c r="C5282" s="120" t="s">
        <v>331</v>
      </c>
      <c r="D5282" s="441">
        <v>46.64</v>
      </c>
    </row>
    <row r="5283" spans="1:4" ht="31.5" customHeight="1">
      <c r="A5283" s="120">
        <v>95634</v>
      </c>
      <c r="B5283" s="119" t="s">
        <v>6822</v>
      </c>
      <c r="C5283" s="120" t="s">
        <v>331</v>
      </c>
      <c r="D5283" s="441">
        <v>258</v>
      </c>
    </row>
    <row r="5284" spans="1:4" ht="31.5" customHeight="1">
      <c r="A5284" s="120">
        <v>95635</v>
      </c>
      <c r="B5284" s="119" t="s">
        <v>6823</v>
      </c>
      <c r="C5284" s="120" t="s">
        <v>331</v>
      </c>
      <c r="D5284" s="441">
        <v>274.10000000000002</v>
      </c>
    </row>
    <row r="5285" spans="1:4" ht="31.5" customHeight="1">
      <c r="A5285" s="120">
        <v>95636</v>
      </c>
      <c r="B5285" s="119" t="s">
        <v>6824</v>
      </c>
      <c r="C5285" s="120" t="s">
        <v>331</v>
      </c>
      <c r="D5285" s="441">
        <v>404.68</v>
      </c>
    </row>
    <row r="5286" spans="1:4" ht="31.5" customHeight="1">
      <c r="A5286" s="120">
        <v>95637</v>
      </c>
      <c r="B5286" s="119" t="s">
        <v>6825</v>
      </c>
      <c r="C5286" s="120" t="s">
        <v>331</v>
      </c>
      <c r="D5286" s="441">
        <v>632.76</v>
      </c>
    </row>
    <row r="5287" spans="1:4" ht="31.5" customHeight="1">
      <c r="A5287" s="120">
        <v>95638</v>
      </c>
      <c r="B5287" s="119" t="s">
        <v>6826</v>
      </c>
      <c r="C5287" s="120" t="s">
        <v>331</v>
      </c>
      <c r="D5287" s="441">
        <v>766.88</v>
      </c>
    </row>
    <row r="5288" spans="1:4" ht="31.5" customHeight="1">
      <c r="A5288" s="120">
        <v>95639</v>
      </c>
      <c r="B5288" s="119" t="s">
        <v>6827</v>
      </c>
      <c r="C5288" s="120" t="s">
        <v>331</v>
      </c>
      <c r="D5288" s="441">
        <v>970</v>
      </c>
    </row>
    <row r="5289" spans="1:4" ht="31.5" customHeight="1">
      <c r="A5289" s="120">
        <v>95641</v>
      </c>
      <c r="B5289" s="119" t="s">
        <v>6828</v>
      </c>
      <c r="C5289" s="120" t="s">
        <v>331</v>
      </c>
      <c r="D5289" s="441">
        <v>343.81</v>
      </c>
    </row>
    <row r="5290" spans="1:4" ht="31.5" customHeight="1">
      <c r="A5290" s="120">
        <v>95642</v>
      </c>
      <c r="B5290" s="119" t="s">
        <v>6829</v>
      </c>
      <c r="C5290" s="120" t="s">
        <v>331</v>
      </c>
      <c r="D5290" s="441">
        <v>508.51</v>
      </c>
    </row>
    <row r="5291" spans="1:4" ht="31.5" customHeight="1">
      <c r="A5291" s="120">
        <v>95643</v>
      </c>
      <c r="B5291" s="119" t="s">
        <v>6830</v>
      </c>
      <c r="C5291" s="120" t="s">
        <v>331</v>
      </c>
      <c r="D5291" s="441">
        <v>665.42</v>
      </c>
    </row>
    <row r="5292" spans="1:4" ht="31.5" customHeight="1">
      <c r="A5292" s="120">
        <v>95644</v>
      </c>
      <c r="B5292" s="119" t="s">
        <v>6831</v>
      </c>
      <c r="C5292" s="120" t="s">
        <v>331</v>
      </c>
      <c r="D5292" s="441">
        <v>249.81</v>
      </c>
    </row>
    <row r="5293" spans="1:4" ht="31.5" customHeight="1">
      <c r="A5293" s="120">
        <v>95645</v>
      </c>
      <c r="B5293" s="119" t="s">
        <v>6832</v>
      </c>
      <c r="C5293" s="120" t="s">
        <v>331</v>
      </c>
      <c r="D5293" s="441">
        <v>457.57</v>
      </c>
    </row>
    <row r="5294" spans="1:4" ht="31.5" customHeight="1">
      <c r="A5294" s="120">
        <v>95646</v>
      </c>
      <c r="B5294" s="119" t="s">
        <v>6833</v>
      </c>
      <c r="C5294" s="120" t="s">
        <v>331</v>
      </c>
      <c r="D5294" s="441">
        <v>682.02</v>
      </c>
    </row>
    <row r="5295" spans="1:4" ht="31.5" customHeight="1">
      <c r="A5295" s="120">
        <v>95647</v>
      </c>
      <c r="B5295" s="119" t="s">
        <v>6834</v>
      </c>
      <c r="C5295" s="120" t="s">
        <v>331</v>
      </c>
      <c r="D5295" s="441">
        <v>894.48</v>
      </c>
    </row>
    <row r="5296" spans="1:4" ht="31.5" customHeight="1">
      <c r="A5296" s="120">
        <v>95648</v>
      </c>
      <c r="B5296" s="119" t="s">
        <v>6835</v>
      </c>
      <c r="C5296" s="120" t="s">
        <v>331</v>
      </c>
      <c r="D5296" s="441">
        <v>572.94000000000005</v>
      </c>
    </row>
    <row r="5297" spans="1:4" ht="31.5" customHeight="1">
      <c r="A5297" s="120">
        <v>95649</v>
      </c>
      <c r="B5297" s="119" t="s">
        <v>6836</v>
      </c>
      <c r="C5297" s="120" t="s">
        <v>331</v>
      </c>
      <c r="D5297" s="441">
        <v>986.42</v>
      </c>
    </row>
    <row r="5298" spans="1:4" ht="31.5" customHeight="1">
      <c r="A5298" s="120">
        <v>95650</v>
      </c>
      <c r="B5298" s="119" t="s">
        <v>6837</v>
      </c>
      <c r="C5298" s="120" t="s">
        <v>331</v>
      </c>
      <c r="D5298" s="442">
        <v>1441.06</v>
      </c>
    </row>
    <row r="5299" spans="1:4" ht="31.5" customHeight="1">
      <c r="A5299" s="120">
        <v>95651</v>
      </c>
      <c r="B5299" s="119" t="s">
        <v>6838</v>
      </c>
      <c r="C5299" s="120" t="s">
        <v>331</v>
      </c>
      <c r="D5299" s="442">
        <v>1871.2</v>
      </c>
    </row>
    <row r="5300" spans="1:4" ht="31.5" customHeight="1">
      <c r="A5300" s="120">
        <v>95652</v>
      </c>
      <c r="B5300" s="119" t="s">
        <v>6839</v>
      </c>
      <c r="C5300" s="120" t="s">
        <v>331</v>
      </c>
      <c r="D5300" s="441">
        <v>710.46</v>
      </c>
    </row>
    <row r="5301" spans="1:4" ht="31.5" customHeight="1">
      <c r="A5301" s="120">
        <v>95653</v>
      </c>
      <c r="B5301" s="119" t="s">
        <v>6840</v>
      </c>
      <c r="C5301" s="120" t="s">
        <v>331</v>
      </c>
      <c r="D5301" s="442">
        <v>1259.5899999999999</v>
      </c>
    </row>
    <row r="5302" spans="1:4" ht="31.5" customHeight="1">
      <c r="A5302" s="120">
        <v>95654</v>
      </c>
      <c r="B5302" s="119" t="s">
        <v>6841</v>
      </c>
      <c r="C5302" s="120" t="s">
        <v>331</v>
      </c>
      <c r="D5302" s="442">
        <v>1855.51</v>
      </c>
    </row>
    <row r="5303" spans="1:4" ht="31.5" customHeight="1">
      <c r="A5303" s="120">
        <v>95655</v>
      </c>
      <c r="B5303" s="119" t="s">
        <v>6842</v>
      </c>
      <c r="C5303" s="120" t="s">
        <v>331</v>
      </c>
      <c r="D5303" s="442">
        <v>2420.0500000000002</v>
      </c>
    </row>
    <row r="5304" spans="1:4" ht="31.5" customHeight="1">
      <c r="A5304" s="120">
        <v>95657</v>
      </c>
      <c r="B5304" s="119" t="s">
        <v>6843</v>
      </c>
      <c r="C5304" s="120" t="s">
        <v>331</v>
      </c>
      <c r="D5304" s="441">
        <v>280.43</v>
      </c>
    </row>
    <row r="5305" spans="1:4" ht="31.5" customHeight="1">
      <c r="A5305" s="120">
        <v>95658</v>
      </c>
      <c r="B5305" s="119" t="s">
        <v>6844</v>
      </c>
      <c r="C5305" s="120" t="s">
        <v>331</v>
      </c>
      <c r="D5305" s="441">
        <v>527.32000000000005</v>
      </c>
    </row>
    <row r="5306" spans="1:4" ht="31.5" customHeight="1">
      <c r="A5306" s="120">
        <v>95659</v>
      </c>
      <c r="B5306" s="119" t="s">
        <v>6845</v>
      </c>
      <c r="C5306" s="120" t="s">
        <v>331</v>
      </c>
      <c r="D5306" s="441">
        <v>742.39</v>
      </c>
    </row>
    <row r="5307" spans="1:4" ht="31.5" customHeight="1">
      <c r="A5307" s="120">
        <v>95660</v>
      </c>
      <c r="B5307" s="119" t="s">
        <v>6846</v>
      </c>
      <c r="C5307" s="120" t="s">
        <v>331</v>
      </c>
      <c r="D5307" s="442">
        <v>1051.79</v>
      </c>
    </row>
    <row r="5308" spans="1:4" ht="31.5" customHeight="1">
      <c r="A5308" s="120">
        <v>95661</v>
      </c>
      <c r="B5308" s="119" t="s">
        <v>6847</v>
      </c>
      <c r="C5308" s="120" t="s">
        <v>331</v>
      </c>
      <c r="D5308" s="441">
        <v>359.39</v>
      </c>
    </row>
    <row r="5309" spans="1:4" ht="31.5" customHeight="1">
      <c r="A5309" s="120">
        <v>95662</v>
      </c>
      <c r="B5309" s="119" t="s">
        <v>6848</v>
      </c>
      <c r="C5309" s="120" t="s">
        <v>331</v>
      </c>
      <c r="D5309" s="441">
        <v>686.97</v>
      </c>
    </row>
    <row r="5310" spans="1:4" ht="31.5" customHeight="1">
      <c r="A5310" s="120">
        <v>95663</v>
      </c>
      <c r="B5310" s="119" t="s">
        <v>6849</v>
      </c>
      <c r="C5310" s="120" t="s">
        <v>331</v>
      </c>
      <c r="D5310" s="442">
        <v>1037.6400000000001</v>
      </c>
    </row>
    <row r="5311" spans="1:4" ht="31.5" customHeight="1">
      <c r="A5311" s="120">
        <v>95664</v>
      </c>
      <c r="B5311" s="119" t="s">
        <v>6850</v>
      </c>
      <c r="C5311" s="120" t="s">
        <v>331</v>
      </c>
      <c r="D5311" s="442">
        <v>1366.65</v>
      </c>
    </row>
    <row r="5312" spans="1:4" ht="31.5" customHeight="1">
      <c r="A5312" s="120">
        <v>95665</v>
      </c>
      <c r="B5312" s="119" t="s">
        <v>6851</v>
      </c>
      <c r="C5312" s="120" t="s">
        <v>331</v>
      </c>
      <c r="D5312" s="441">
        <v>293.64</v>
      </c>
    </row>
    <row r="5313" spans="1:4" ht="31.5" customHeight="1">
      <c r="A5313" s="120">
        <v>95666</v>
      </c>
      <c r="B5313" s="119" t="s">
        <v>6852</v>
      </c>
      <c r="C5313" s="120" t="s">
        <v>331</v>
      </c>
      <c r="D5313" s="441">
        <v>558.80999999999995</v>
      </c>
    </row>
    <row r="5314" spans="1:4" ht="31.5" customHeight="1">
      <c r="A5314" s="120">
        <v>95667</v>
      </c>
      <c r="B5314" s="119" t="s">
        <v>6853</v>
      </c>
      <c r="C5314" s="120" t="s">
        <v>331</v>
      </c>
      <c r="D5314" s="441">
        <v>836.23</v>
      </c>
    </row>
    <row r="5315" spans="1:4" ht="31.5" customHeight="1">
      <c r="A5315" s="120">
        <v>95668</v>
      </c>
      <c r="B5315" s="119" t="s">
        <v>6854</v>
      </c>
      <c r="C5315" s="120" t="s">
        <v>331</v>
      </c>
      <c r="D5315" s="442">
        <v>1096.8800000000001</v>
      </c>
    </row>
    <row r="5316" spans="1:4" ht="31.5" customHeight="1">
      <c r="A5316" s="120">
        <v>95669</v>
      </c>
      <c r="B5316" s="119" t="s">
        <v>6855</v>
      </c>
      <c r="C5316" s="120" t="s">
        <v>331</v>
      </c>
      <c r="D5316" s="441">
        <v>384.81</v>
      </c>
    </row>
    <row r="5317" spans="1:4" ht="31.5" customHeight="1">
      <c r="A5317" s="120">
        <v>95670</v>
      </c>
      <c r="B5317" s="119" t="s">
        <v>6856</v>
      </c>
      <c r="C5317" s="120" t="s">
        <v>331</v>
      </c>
      <c r="D5317" s="441">
        <v>716.61</v>
      </c>
    </row>
    <row r="5318" spans="1:4" ht="31.5" customHeight="1">
      <c r="A5318" s="120">
        <v>95671</v>
      </c>
      <c r="B5318" s="119" t="s">
        <v>6857</v>
      </c>
      <c r="C5318" s="120" t="s">
        <v>331</v>
      </c>
      <c r="D5318" s="442">
        <v>1076.8499999999999</v>
      </c>
    </row>
    <row r="5319" spans="1:4" ht="31.5" customHeight="1">
      <c r="A5319" s="120">
        <v>95672</v>
      </c>
      <c r="B5319" s="119" t="s">
        <v>6858</v>
      </c>
      <c r="C5319" s="120" t="s">
        <v>331</v>
      </c>
      <c r="D5319" s="442">
        <v>1438.31</v>
      </c>
    </row>
    <row r="5320" spans="1:4" ht="15.75" customHeight="1">
      <c r="A5320" s="120">
        <v>95673</v>
      </c>
      <c r="B5320" s="119" t="s">
        <v>6859</v>
      </c>
      <c r="C5320" s="120" t="s">
        <v>331</v>
      </c>
      <c r="D5320" s="441">
        <v>119.05</v>
      </c>
    </row>
    <row r="5321" spans="1:4" ht="15.75" customHeight="1">
      <c r="A5321" s="120">
        <v>95674</v>
      </c>
      <c r="B5321" s="119" t="s">
        <v>6860</v>
      </c>
      <c r="C5321" s="120" t="s">
        <v>331</v>
      </c>
      <c r="D5321" s="441">
        <v>125.85</v>
      </c>
    </row>
    <row r="5322" spans="1:4" ht="15.75" customHeight="1">
      <c r="A5322" s="120">
        <v>95675</v>
      </c>
      <c r="B5322" s="119" t="s">
        <v>6861</v>
      </c>
      <c r="C5322" s="120" t="s">
        <v>331</v>
      </c>
      <c r="D5322" s="441">
        <v>153.15</v>
      </c>
    </row>
    <row r="5323" spans="1:4" ht="31.5" customHeight="1">
      <c r="A5323" s="120">
        <v>95676</v>
      </c>
      <c r="B5323" s="119" t="s">
        <v>6862</v>
      </c>
      <c r="C5323" s="120" t="s">
        <v>331</v>
      </c>
      <c r="D5323" s="441">
        <v>94.54</v>
      </c>
    </row>
    <row r="5324" spans="1:4" ht="31.5" customHeight="1">
      <c r="A5324" s="120">
        <v>97741</v>
      </c>
      <c r="B5324" s="119" t="s">
        <v>6863</v>
      </c>
      <c r="C5324" s="120" t="s">
        <v>331</v>
      </c>
      <c r="D5324" s="441">
        <v>192.36</v>
      </c>
    </row>
    <row r="5325" spans="1:4" ht="15.75" customHeight="1">
      <c r="A5325" s="120">
        <v>90436</v>
      </c>
      <c r="B5325" s="119" t="s">
        <v>6864</v>
      </c>
      <c r="C5325" s="120" t="s">
        <v>331</v>
      </c>
      <c r="D5325" s="441">
        <v>17.7</v>
      </c>
    </row>
    <row r="5326" spans="1:4" ht="15.75" customHeight="1">
      <c r="A5326" s="120">
        <v>90437</v>
      </c>
      <c r="B5326" s="119" t="s">
        <v>6865</v>
      </c>
      <c r="C5326" s="120" t="s">
        <v>331</v>
      </c>
      <c r="D5326" s="441">
        <v>43</v>
      </c>
    </row>
    <row r="5327" spans="1:4" ht="15.75" customHeight="1">
      <c r="A5327" s="120">
        <v>90438</v>
      </c>
      <c r="B5327" s="119" t="s">
        <v>6866</v>
      </c>
      <c r="C5327" s="120" t="s">
        <v>331</v>
      </c>
      <c r="D5327" s="441">
        <v>61.63</v>
      </c>
    </row>
    <row r="5328" spans="1:4" ht="15.75" customHeight="1">
      <c r="A5328" s="120">
        <v>90439</v>
      </c>
      <c r="B5328" s="119" t="s">
        <v>6867</v>
      </c>
      <c r="C5328" s="120" t="s">
        <v>331</v>
      </c>
      <c r="D5328" s="441">
        <v>75.38</v>
      </c>
    </row>
    <row r="5329" spans="1:4" ht="15.75" customHeight="1">
      <c r="A5329" s="120">
        <v>90440</v>
      </c>
      <c r="B5329" s="119" t="s">
        <v>6868</v>
      </c>
      <c r="C5329" s="120" t="s">
        <v>331</v>
      </c>
      <c r="D5329" s="441">
        <v>120.75</v>
      </c>
    </row>
    <row r="5330" spans="1:4" ht="15.75" customHeight="1">
      <c r="A5330" s="120">
        <v>90441</v>
      </c>
      <c r="B5330" s="119" t="s">
        <v>6869</v>
      </c>
      <c r="C5330" s="120" t="s">
        <v>331</v>
      </c>
      <c r="D5330" s="441">
        <v>154.24</v>
      </c>
    </row>
    <row r="5331" spans="1:4" ht="15.75" customHeight="1">
      <c r="A5331" s="120">
        <v>90443</v>
      </c>
      <c r="B5331" s="119" t="s">
        <v>6870</v>
      </c>
      <c r="C5331" s="120" t="s">
        <v>328</v>
      </c>
      <c r="D5331" s="441">
        <v>16.09</v>
      </c>
    </row>
    <row r="5332" spans="1:4" ht="31.5" customHeight="1">
      <c r="A5332" s="120">
        <v>90444</v>
      </c>
      <c r="B5332" s="119" t="s">
        <v>6871</v>
      </c>
      <c r="C5332" s="120" t="s">
        <v>328</v>
      </c>
      <c r="D5332" s="441">
        <v>32.36</v>
      </c>
    </row>
    <row r="5333" spans="1:4" ht="31.5" customHeight="1">
      <c r="A5333" s="120">
        <v>90445</v>
      </c>
      <c r="B5333" s="119" t="s">
        <v>6872</v>
      </c>
      <c r="C5333" s="120" t="s">
        <v>328</v>
      </c>
      <c r="D5333" s="441">
        <v>34.54</v>
      </c>
    </row>
    <row r="5334" spans="1:4" ht="15.75" customHeight="1">
      <c r="A5334" s="120">
        <v>90446</v>
      </c>
      <c r="B5334" s="119" t="s">
        <v>6873</v>
      </c>
      <c r="C5334" s="120" t="s">
        <v>328</v>
      </c>
      <c r="D5334" s="441">
        <v>37.520000000000003</v>
      </c>
    </row>
    <row r="5335" spans="1:4" ht="15.75" customHeight="1">
      <c r="A5335" s="120">
        <v>90447</v>
      </c>
      <c r="B5335" s="119" t="s">
        <v>6874</v>
      </c>
      <c r="C5335" s="120" t="s">
        <v>328</v>
      </c>
      <c r="D5335" s="441">
        <v>8.0299999999999994</v>
      </c>
    </row>
    <row r="5336" spans="1:4" ht="15.75" customHeight="1">
      <c r="A5336" s="120">
        <v>90451</v>
      </c>
      <c r="B5336" s="119" t="s">
        <v>6875</v>
      </c>
      <c r="C5336" s="120" t="s">
        <v>331</v>
      </c>
      <c r="D5336" s="441">
        <v>5.69</v>
      </c>
    </row>
    <row r="5337" spans="1:4" ht="31.5" customHeight="1">
      <c r="A5337" s="120">
        <v>90452</v>
      </c>
      <c r="B5337" s="119" t="s">
        <v>6876</v>
      </c>
      <c r="C5337" s="120" t="s">
        <v>331</v>
      </c>
      <c r="D5337" s="441">
        <v>26.81</v>
      </c>
    </row>
    <row r="5338" spans="1:4" ht="15.75" customHeight="1">
      <c r="A5338" s="120">
        <v>90453</v>
      </c>
      <c r="B5338" s="119" t="s">
        <v>6877</v>
      </c>
      <c r="C5338" s="120" t="s">
        <v>331</v>
      </c>
      <c r="D5338" s="441">
        <v>3.47</v>
      </c>
    </row>
    <row r="5339" spans="1:4" ht="31.5" customHeight="1">
      <c r="A5339" s="120">
        <v>90454</v>
      </c>
      <c r="B5339" s="119" t="s">
        <v>6878</v>
      </c>
      <c r="C5339" s="120" t="s">
        <v>331</v>
      </c>
      <c r="D5339" s="441">
        <v>5.91</v>
      </c>
    </row>
    <row r="5340" spans="1:4" ht="15.75" customHeight="1">
      <c r="A5340" s="120">
        <v>90455</v>
      </c>
      <c r="B5340" s="119" t="s">
        <v>6879</v>
      </c>
      <c r="C5340" s="120" t="s">
        <v>331</v>
      </c>
      <c r="D5340" s="441">
        <v>7.67</v>
      </c>
    </row>
    <row r="5341" spans="1:4" ht="15.75" customHeight="1">
      <c r="A5341" s="120">
        <v>90456</v>
      </c>
      <c r="B5341" s="119" t="s">
        <v>6880</v>
      </c>
      <c r="C5341" s="120" t="s">
        <v>331</v>
      </c>
      <c r="D5341" s="441">
        <v>5.16</v>
      </c>
    </row>
    <row r="5342" spans="1:4" ht="15.75" customHeight="1">
      <c r="A5342" s="120">
        <v>90457</v>
      </c>
      <c r="B5342" s="119" t="s">
        <v>6881</v>
      </c>
      <c r="C5342" s="120" t="s">
        <v>331</v>
      </c>
      <c r="D5342" s="441">
        <v>11.77</v>
      </c>
    </row>
    <row r="5343" spans="1:4" ht="15.75" customHeight="1">
      <c r="A5343" s="120">
        <v>90458</v>
      </c>
      <c r="B5343" s="119" t="s">
        <v>6882</v>
      </c>
      <c r="C5343" s="120" t="s">
        <v>331</v>
      </c>
      <c r="D5343" s="441">
        <v>33.409999999999997</v>
      </c>
    </row>
    <row r="5344" spans="1:4" ht="15.75" customHeight="1">
      <c r="A5344" s="120">
        <v>90459</v>
      </c>
      <c r="B5344" s="119" t="s">
        <v>6883</v>
      </c>
      <c r="C5344" s="120" t="s">
        <v>331</v>
      </c>
      <c r="D5344" s="441">
        <v>47.13</v>
      </c>
    </row>
    <row r="5345" spans="1:4" ht="31.5" customHeight="1">
      <c r="A5345" s="120">
        <v>90460</v>
      </c>
      <c r="B5345" s="119" t="s">
        <v>6884</v>
      </c>
      <c r="C5345" s="120" t="s">
        <v>328</v>
      </c>
      <c r="D5345" s="441">
        <v>12.79</v>
      </c>
    </row>
    <row r="5346" spans="1:4" ht="31.5" customHeight="1">
      <c r="A5346" s="120">
        <v>90461</v>
      </c>
      <c r="B5346" s="119" t="s">
        <v>6885</v>
      </c>
      <c r="C5346" s="120" t="s">
        <v>328</v>
      </c>
      <c r="D5346" s="441">
        <v>8.27</v>
      </c>
    </row>
    <row r="5347" spans="1:4" ht="31.5" customHeight="1">
      <c r="A5347" s="120">
        <v>90462</v>
      </c>
      <c r="B5347" s="119" t="s">
        <v>6886</v>
      </c>
      <c r="C5347" s="120" t="s">
        <v>328</v>
      </c>
      <c r="D5347" s="441">
        <v>1.76</v>
      </c>
    </row>
    <row r="5348" spans="1:4" ht="31.5" customHeight="1">
      <c r="A5348" s="120">
        <v>90463</v>
      </c>
      <c r="B5348" s="119" t="s">
        <v>6887</v>
      </c>
      <c r="C5348" s="120" t="s">
        <v>328</v>
      </c>
      <c r="D5348" s="441">
        <v>1.55</v>
      </c>
    </row>
    <row r="5349" spans="1:4" ht="31.5" customHeight="1">
      <c r="A5349" s="120">
        <v>90466</v>
      </c>
      <c r="B5349" s="119" t="s">
        <v>6888</v>
      </c>
      <c r="C5349" s="120" t="s">
        <v>328</v>
      </c>
      <c r="D5349" s="441">
        <v>15.73</v>
      </c>
    </row>
    <row r="5350" spans="1:4" ht="31.5" customHeight="1">
      <c r="A5350" s="120">
        <v>90467</v>
      </c>
      <c r="B5350" s="119" t="s">
        <v>6889</v>
      </c>
      <c r="C5350" s="120" t="s">
        <v>328</v>
      </c>
      <c r="D5350" s="441">
        <v>24.84</v>
      </c>
    </row>
    <row r="5351" spans="1:4" ht="31.5" customHeight="1">
      <c r="A5351" s="120">
        <v>90468</v>
      </c>
      <c r="B5351" s="119" t="s">
        <v>6890</v>
      </c>
      <c r="C5351" s="120" t="s">
        <v>328</v>
      </c>
      <c r="D5351" s="441">
        <v>6.72</v>
      </c>
    </row>
    <row r="5352" spans="1:4" ht="31.5" customHeight="1">
      <c r="A5352" s="120">
        <v>90469</v>
      </c>
      <c r="B5352" s="119" t="s">
        <v>6891</v>
      </c>
      <c r="C5352" s="120" t="s">
        <v>328</v>
      </c>
      <c r="D5352" s="441">
        <v>10.74</v>
      </c>
    </row>
    <row r="5353" spans="1:4" ht="31.5" customHeight="1">
      <c r="A5353" s="120">
        <v>90470</v>
      </c>
      <c r="B5353" s="119" t="s">
        <v>6892</v>
      </c>
      <c r="C5353" s="120" t="s">
        <v>328</v>
      </c>
      <c r="D5353" s="441">
        <v>14.63</v>
      </c>
    </row>
    <row r="5354" spans="1:4" ht="31.5" customHeight="1">
      <c r="A5354" s="120">
        <v>91166</v>
      </c>
      <c r="B5354" s="119" t="s">
        <v>6893</v>
      </c>
      <c r="C5354" s="120" t="s">
        <v>328</v>
      </c>
      <c r="D5354" s="441">
        <v>4.62</v>
      </c>
    </row>
    <row r="5355" spans="1:4" ht="31.5" customHeight="1">
      <c r="A5355" s="120">
        <v>91167</v>
      </c>
      <c r="B5355" s="119" t="s">
        <v>6894</v>
      </c>
      <c r="C5355" s="120" t="s">
        <v>328</v>
      </c>
      <c r="D5355" s="441">
        <v>14.35</v>
      </c>
    </row>
    <row r="5356" spans="1:4" ht="31.5" customHeight="1">
      <c r="A5356" s="120">
        <v>91168</v>
      </c>
      <c r="B5356" s="119" t="s">
        <v>6895</v>
      </c>
      <c r="C5356" s="120" t="s">
        <v>328</v>
      </c>
      <c r="D5356" s="441">
        <v>10.85</v>
      </c>
    </row>
    <row r="5357" spans="1:4" ht="31.5" customHeight="1">
      <c r="A5357" s="120">
        <v>91169</v>
      </c>
      <c r="B5357" s="119" t="s">
        <v>6896</v>
      </c>
      <c r="C5357" s="120" t="s">
        <v>328</v>
      </c>
      <c r="D5357" s="441">
        <v>12.86</v>
      </c>
    </row>
    <row r="5358" spans="1:4" ht="47.25" customHeight="1">
      <c r="A5358" s="120">
        <v>91170</v>
      </c>
      <c r="B5358" s="119" t="s">
        <v>6897</v>
      </c>
      <c r="C5358" s="120" t="s">
        <v>328</v>
      </c>
      <c r="D5358" s="441">
        <v>3.7</v>
      </c>
    </row>
    <row r="5359" spans="1:4" ht="31.5" customHeight="1">
      <c r="A5359" s="120">
        <v>91171</v>
      </c>
      <c r="B5359" s="119" t="s">
        <v>6898</v>
      </c>
      <c r="C5359" s="120" t="s">
        <v>328</v>
      </c>
      <c r="D5359" s="441">
        <v>4.63</v>
      </c>
    </row>
    <row r="5360" spans="1:4" ht="31.5" customHeight="1">
      <c r="A5360" s="120">
        <v>91172</v>
      </c>
      <c r="B5360" s="119" t="s">
        <v>6899</v>
      </c>
      <c r="C5360" s="120" t="s">
        <v>328</v>
      </c>
      <c r="D5360" s="441">
        <v>6.8</v>
      </c>
    </row>
    <row r="5361" spans="1:4" ht="31.5" customHeight="1">
      <c r="A5361" s="120">
        <v>91173</v>
      </c>
      <c r="B5361" s="119" t="s">
        <v>6900</v>
      </c>
      <c r="C5361" s="120" t="s">
        <v>328</v>
      </c>
      <c r="D5361" s="441">
        <v>1.88</v>
      </c>
    </row>
    <row r="5362" spans="1:4" ht="31.5" customHeight="1">
      <c r="A5362" s="120">
        <v>91174</v>
      </c>
      <c r="B5362" s="119" t="s">
        <v>6901</v>
      </c>
      <c r="C5362" s="120" t="s">
        <v>328</v>
      </c>
      <c r="D5362" s="441">
        <v>3.66</v>
      </c>
    </row>
    <row r="5363" spans="1:4" ht="31.5" customHeight="1">
      <c r="A5363" s="120">
        <v>91175</v>
      </c>
      <c r="B5363" s="119" t="s">
        <v>6902</v>
      </c>
      <c r="C5363" s="120" t="s">
        <v>328</v>
      </c>
      <c r="D5363" s="441">
        <v>5.98</v>
      </c>
    </row>
    <row r="5364" spans="1:4" ht="31.5" customHeight="1">
      <c r="A5364" s="120">
        <v>91176</v>
      </c>
      <c r="B5364" s="119" t="s">
        <v>6903</v>
      </c>
      <c r="C5364" s="120" t="s">
        <v>328</v>
      </c>
      <c r="D5364" s="441">
        <v>32.78</v>
      </c>
    </row>
    <row r="5365" spans="1:4" ht="31.5" customHeight="1">
      <c r="A5365" s="120">
        <v>91177</v>
      </c>
      <c r="B5365" s="119" t="s">
        <v>6904</v>
      </c>
      <c r="C5365" s="120" t="s">
        <v>328</v>
      </c>
      <c r="D5365" s="441">
        <v>15.99</v>
      </c>
    </row>
    <row r="5366" spans="1:4" ht="31.5" customHeight="1">
      <c r="A5366" s="120">
        <v>91178</v>
      </c>
      <c r="B5366" s="119" t="s">
        <v>6905</v>
      </c>
      <c r="C5366" s="120" t="s">
        <v>328</v>
      </c>
      <c r="D5366" s="441">
        <v>18.059999999999999</v>
      </c>
    </row>
    <row r="5367" spans="1:4" ht="31.5" customHeight="1">
      <c r="A5367" s="120">
        <v>91179</v>
      </c>
      <c r="B5367" s="119" t="s">
        <v>6906</v>
      </c>
      <c r="C5367" s="120" t="s">
        <v>328</v>
      </c>
      <c r="D5367" s="441">
        <v>8.44</v>
      </c>
    </row>
    <row r="5368" spans="1:4" ht="31.5" customHeight="1">
      <c r="A5368" s="120">
        <v>91180</v>
      </c>
      <c r="B5368" s="119" t="s">
        <v>6907</v>
      </c>
      <c r="C5368" s="120" t="s">
        <v>328</v>
      </c>
      <c r="D5368" s="441">
        <v>7.64</v>
      </c>
    </row>
    <row r="5369" spans="1:4" ht="31.5" customHeight="1">
      <c r="A5369" s="120">
        <v>91181</v>
      </c>
      <c r="B5369" s="119" t="s">
        <v>6908</v>
      </c>
      <c r="C5369" s="120" t="s">
        <v>328</v>
      </c>
      <c r="D5369" s="441">
        <v>8.66</v>
      </c>
    </row>
    <row r="5370" spans="1:4" ht="31.5" customHeight="1">
      <c r="A5370" s="120">
        <v>91182</v>
      </c>
      <c r="B5370" s="119" t="s">
        <v>6909</v>
      </c>
      <c r="C5370" s="120" t="s">
        <v>328</v>
      </c>
      <c r="D5370" s="441">
        <v>33.08</v>
      </c>
    </row>
    <row r="5371" spans="1:4" ht="31.5" customHeight="1">
      <c r="A5371" s="120">
        <v>91183</v>
      </c>
      <c r="B5371" s="119" t="s">
        <v>6910</v>
      </c>
      <c r="C5371" s="120" t="s">
        <v>328</v>
      </c>
      <c r="D5371" s="441">
        <v>16.32</v>
      </c>
    </row>
    <row r="5372" spans="1:4" ht="31.5" customHeight="1">
      <c r="A5372" s="120">
        <v>91184</v>
      </c>
      <c r="B5372" s="119" t="s">
        <v>6911</v>
      </c>
      <c r="C5372" s="120" t="s">
        <v>328</v>
      </c>
      <c r="D5372" s="441">
        <v>15.28</v>
      </c>
    </row>
    <row r="5373" spans="1:4" ht="31.5" customHeight="1">
      <c r="A5373" s="120">
        <v>91185</v>
      </c>
      <c r="B5373" s="119" t="s">
        <v>6912</v>
      </c>
      <c r="C5373" s="120" t="s">
        <v>328</v>
      </c>
      <c r="D5373" s="441">
        <v>8.48</v>
      </c>
    </row>
    <row r="5374" spans="1:4" ht="31.5" customHeight="1">
      <c r="A5374" s="120">
        <v>91186</v>
      </c>
      <c r="B5374" s="119" t="s">
        <v>6913</v>
      </c>
      <c r="C5374" s="120" t="s">
        <v>328</v>
      </c>
      <c r="D5374" s="441">
        <v>6.97</v>
      </c>
    </row>
    <row r="5375" spans="1:4" ht="31.5" customHeight="1">
      <c r="A5375" s="120">
        <v>91187</v>
      </c>
      <c r="B5375" s="119" t="s">
        <v>6914</v>
      </c>
      <c r="C5375" s="120" t="s">
        <v>328</v>
      </c>
      <c r="D5375" s="441">
        <v>8.07</v>
      </c>
    </row>
    <row r="5376" spans="1:4" ht="31.5" customHeight="1">
      <c r="A5376" s="120">
        <v>91188</v>
      </c>
      <c r="B5376" s="119" t="s">
        <v>6915</v>
      </c>
      <c r="C5376" s="120" t="s">
        <v>331</v>
      </c>
      <c r="D5376" s="441">
        <v>8.44</v>
      </c>
    </row>
    <row r="5377" spans="1:4" ht="31.5" customHeight="1">
      <c r="A5377" s="120">
        <v>91189</v>
      </c>
      <c r="B5377" s="119" t="s">
        <v>6916</v>
      </c>
      <c r="C5377" s="120" t="s">
        <v>331</v>
      </c>
      <c r="D5377" s="441">
        <v>55.47</v>
      </c>
    </row>
    <row r="5378" spans="1:4" ht="15.75" customHeight="1">
      <c r="A5378" s="120">
        <v>91190</v>
      </c>
      <c r="B5378" s="119" t="s">
        <v>6917</v>
      </c>
      <c r="C5378" s="120" t="s">
        <v>331</v>
      </c>
      <c r="D5378" s="441">
        <v>6.11</v>
      </c>
    </row>
    <row r="5379" spans="1:4" ht="15.75" customHeight="1">
      <c r="A5379" s="120">
        <v>91191</v>
      </c>
      <c r="B5379" s="119" t="s">
        <v>6918</v>
      </c>
      <c r="C5379" s="120" t="s">
        <v>331</v>
      </c>
      <c r="D5379" s="441">
        <v>6.48</v>
      </c>
    </row>
    <row r="5380" spans="1:4" ht="15.75" customHeight="1">
      <c r="A5380" s="120">
        <v>91192</v>
      </c>
      <c r="B5380" s="119" t="s">
        <v>6919</v>
      </c>
      <c r="C5380" s="120" t="s">
        <v>331</v>
      </c>
      <c r="D5380" s="441">
        <v>7.2</v>
      </c>
    </row>
    <row r="5381" spans="1:4" ht="31.5" customHeight="1">
      <c r="A5381" s="120">
        <v>91222</v>
      </c>
      <c r="B5381" s="119" t="s">
        <v>6920</v>
      </c>
      <c r="C5381" s="120" t="s">
        <v>328</v>
      </c>
      <c r="D5381" s="441">
        <v>17.32</v>
      </c>
    </row>
    <row r="5382" spans="1:4" ht="31.5" customHeight="1">
      <c r="A5382" s="120">
        <v>94480</v>
      </c>
      <c r="B5382" s="119" t="s">
        <v>6921</v>
      </c>
      <c r="C5382" s="120" t="s">
        <v>331</v>
      </c>
      <c r="D5382" s="442">
        <v>2905.07</v>
      </c>
    </row>
    <row r="5383" spans="1:4" ht="31.5" customHeight="1">
      <c r="A5383" s="120">
        <v>94481</v>
      </c>
      <c r="B5383" s="119" t="s">
        <v>6922</v>
      </c>
      <c r="C5383" s="120" t="s">
        <v>331</v>
      </c>
      <c r="D5383" s="442">
        <v>2075.48</v>
      </c>
    </row>
    <row r="5384" spans="1:4" ht="31.5" customHeight="1">
      <c r="A5384" s="120">
        <v>94482</v>
      </c>
      <c r="B5384" s="119" t="s">
        <v>6923</v>
      </c>
      <c r="C5384" s="120" t="s">
        <v>331</v>
      </c>
      <c r="D5384" s="442">
        <v>1657.09</v>
      </c>
    </row>
    <row r="5385" spans="1:4" ht="31.5" customHeight="1">
      <c r="A5385" s="120">
        <v>94483</v>
      </c>
      <c r="B5385" s="119" t="s">
        <v>6924</v>
      </c>
      <c r="C5385" s="120" t="s">
        <v>331</v>
      </c>
      <c r="D5385" s="442">
        <v>1404.65</v>
      </c>
    </row>
    <row r="5386" spans="1:4" ht="15.75" customHeight="1">
      <c r="A5386" s="120">
        <v>95541</v>
      </c>
      <c r="B5386" s="119" t="s">
        <v>6925</v>
      </c>
      <c r="C5386" s="120" t="s">
        <v>331</v>
      </c>
      <c r="D5386" s="441">
        <v>5.74</v>
      </c>
    </row>
    <row r="5387" spans="1:4" ht="31.5" customHeight="1">
      <c r="A5387" s="120">
        <v>96559</v>
      </c>
      <c r="B5387" s="119" t="s">
        <v>6926</v>
      </c>
      <c r="C5387" s="120" t="s">
        <v>951</v>
      </c>
      <c r="D5387" s="441">
        <v>35.68</v>
      </c>
    </row>
    <row r="5388" spans="1:4" ht="31.5" customHeight="1">
      <c r="A5388" s="120">
        <v>96560</v>
      </c>
      <c r="B5388" s="119" t="s">
        <v>6927</v>
      </c>
      <c r="C5388" s="120" t="s">
        <v>951</v>
      </c>
      <c r="D5388" s="441">
        <v>23.61</v>
      </c>
    </row>
    <row r="5389" spans="1:4" ht="31.5" customHeight="1">
      <c r="A5389" s="120">
        <v>96561</v>
      </c>
      <c r="B5389" s="119" t="s">
        <v>6928</v>
      </c>
      <c r="C5389" s="120" t="s">
        <v>951</v>
      </c>
      <c r="D5389" s="441">
        <v>16.93</v>
      </c>
    </row>
    <row r="5390" spans="1:4" ht="47.25" customHeight="1">
      <c r="A5390" s="120">
        <v>96562</v>
      </c>
      <c r="B5390" s="119" t="s">
        <v>6929</v>
      </c>
      <c r="C5390" s="120" t="s">
        <v>328</v>
      </c>
      <c r="D5390" s="441">
        <v>22.2</v>
      </c>
    </row>
    <row r="5391" spans="1:4" ht="47.25" customHeight="1">
      <c r="A5391" s="120">
        <v>96563</v>
      </c>
      <c r="B5391" s="119" t="s">
        <v>6930</v>
      </c>
      <c r="C5391" s="120" t="s">
        <v>328</v>
      </c>
      <c r="D5391" s="441">
        <v>27.36</v>
      </c>
    </row>
    <row r="5392" spans="1:4" ht="15.75" customHeight="1">
      <c r="A5392" s="120">
        <v>100128</v>
      </c>
      <c r="B5392" s="119" t="s">
        <v>6931</v>
      </c>
      <c r="C5392" s="120" t="s">
        <v>331</v>
      </c>
      <c r="D5392" s="442">
        <v>1599.21</v>
      </c>
    </row>
    <row r="5393" spans="1:4" ht="31.5" customHeight="1">
      <c r="A5393" s="120">
        <v>101802</v>
      </c>
      <c r="B5393" s="119" t="s">
        <v>6932</v>
      </c>
      <c r="C5393" s="120" t="s">
        <v>331</v>
      </c>
      <c r="D5393" s="442">
        <v>1683.18</v>
      </c>
    </row>
    <row r="5394" spans="1:4" ht="31.5" customHeight="1">
      <c r="A5394" s="120">
        <v>101803</v>
      </c>
      <c r="B5394" s="119" t="s">
        <v>6933</v>
      </c>
      <c r="C5394" s="120" t="s">
        <v>331</v>
      </c>
      <c r="D5394" s="442">
        <v>1085.29</v>
      </c>
    </row>
    <row r="5395" spans="1:4" ht="31.5" customHeight="1">
      <c r="A5395" s="120">
        <v>101804</v>
      </c>
      <c r="B5395" s="119" t="s">
        <v>6934</v>
      </c>
      <c r="C5395" s="120" t="s">
        <v>331</v>
      </c>
      <c r="D5395" s="442">
        <v>1358.56</v>
      </c>
    </row>
    <row r="5396" spans="1:4" ht="31.5" customHeight="1">
      <c r="A5396" s="120">
        <v>101805</v>
      </c>
      <c r="B5396" s="119" t="s">
        <v>6935</v>
      </c>
      <c r="C5396" s="120" t="s">
        <v>331</v>
      </c>
      <c r="D5396" s="442">
        <v>1731.77</v>
      </c>
    </row>
    <row r="5397" spans="1:4" ht="31.5" customHeight="1">
      <c r="A5397" s="120">
        <v>102111</v>
      </c>
      <c r="B5397" s="119" t="s">
        <v>6936</v>
      </c>
      <c r="C5397" s="120" t="s">
        <v>331</v>
      </c>
      <c r="D5397" s="442">
        <v>1020.7</v>
      </c>
    </row>
    <row r="5398" spans="1:4" ht="31.5" customHeight="1">
      <c r="A5398" s="120">
        <v>102112</v>
      </c>
      <c r="B5398" s="119" t="s">
        <v>6937</v>
      </c>
      <c r="C5398" s="120" t="s">
        <v>331</v>
      </c>
      <c r="D5398" s="441">
        <v>164.24</v>
      </c>
    </row>
    <row r="5399" spans="1:4" ht="31.5" customHeight="1">
      <c r="A5399" s="120">
        <v>102113</v>
      </c>
      <c r="B5399" s="119" t="s">
        <v>6938</v>
      </c>
      <c r="C5399" s="120" t="s">
        <v>331</v>
      </c>
      <c r="D5399" s="442">
        <v>1612.11</v>
      </c>
    </row>
    <row r="5400" spans="1:4" ht="31.5" customHeight="1">
      <c r="A5400" s="120">
        <v>102114</v>
      </c>
      <c r="B5400" s="119" t="s">
        <v>6939</v>
      </c>
      <c r="C5400" s="120" t="s">
        <v>331</v>
      </c>
      <c r="D5400" s="441">
        <v>168.41</v>
      </c>
    </row>
    <row r="5401" spans="1:4" ht="31.5" customHeight="1">
      <c r="A5401" s="120">
        <v>102115</v>
      </c>
      <c r="B5401" s="119" t="s">
        <v>6940</v>
      </c>
      <c r="C5401" s="120" t="s">
        <v>331</v>
      </c>
      <c r="D5401" s="442">
        <v>2804.55</v>
      </c>
    </row>
    <row r="5402" spans="1:4" ht="31.5" customHeight="1">
      <c r="A5402" s="120">
        <v>102116</v>
      </c>
      <c r="B5402" s="119" t="s">
        <v>6941</v>
      </c>
      <c r="C5402" s="120" t="s">
        <v>331</v>
      </c>
      <c r="D5402" s="442">
        <v>1721.1</v>
      </c>
    </row>
    <row r="5403" spans="1:4" ht="15.75" customHeight="1">
      <c r="A5403" s="120">
        <v>102117</v>
      </c>
      <c r="B5403" s="119" t="s">
        <v>6942</v>
      </c>
      <c r="C5403" s="120" t="s">
        <v>331</v>
      </c>
      <c r="D5403" s="441">
        <v>173.46</v>
      </c>
    </row>
    <row r="5404" spans="1:4" ht="31.5" customHeight="1">
      <c r="A5404" s="120">
        <v>102118</v>
      </c>
      <c r="B5404" s="119" t="s">
        <v>6943</v>
      </c>
      <c r="C5404" s="120" t="s">
        <v>331</v>
      </c>
      <c r="D5404" s="442">
        <v>2337.2600000000002</v>
      </c>
    </row>
    <row r="5405" spans="1:4" ht="31.5" customHeight="1">
      <c r="A5405" s="120">
        <v>102119</v>
      </c>
      <c r="B5405" s="119" t="s">
        <v>6944</v>
      </c>
      <c r="C5405" s="120" t="s">
        <v>331</v>
      </c>
      <c r="D5405" s="441">
        <v>177.81</v>
      </c>
    </row>
    <row r="5406" spans="1:4" ht="31.5" customHeight="1">
      <c r="A5406" s="120">
        <v>102121</v>
      </c>
      <c r="B5406" s="119" t="s">
        <v>6945</v>
      </c>
      <c r="C5406" s="120" t="s">
        <v>331</v>
      </c>
      <c r="D5406" s="441">
        <v>223.32</v>
      </c>
    </row>
    <row r="5407" spans="1:4" ht="31.5" customHeight="1">
      <c r="A5407" s="120">
        <v>102122</v>
      </c>
      <c r="B5407" s="119" t="s">
        <v>6946</v>
      </c>
      <c r="C5407" s="120" t="s">
        <v>331</v>
      </c>
      <c r="D5407" s="442">
        <v>7852.35</v>
      </c>
    </row>
    <row r="5408" spans="1:4" ht="31.5" customHeight="1">
      <c r="A5408" s="120">
        <v>102123</v>
      </c>
      <c r="B5408" s="119" t="s">
        <v>6947</v>
      </c>
      <c r="C5408" s="120" t="s">
        <v>331</v>
      </c>
      <c r="D5408" s="441">
        <v>236.28</v>
      </c>
    </row>
    <row r="5409" spans="1:4" ht="31.5" customHeight="1">
      <c r="A5409" s="120">
        <v>102136</v>
      </c>
      <c r="B5409" s="119" t="s">
        <v>6948</v>
      </c>
      <c r="C5409" s="120" t="s">
        <v>331</v>
      </c>
      <c r="D5409" s="441">
        <v>85.63</v>
      </c>
    </row>
    <row r="5410" spans="1:4" ht="15.75" customHeight="1">
      <c r="A5410" s="120">
        <v>102137</v>
      </c>
      <c r="B5410" s="119" t="s">
        <v>6949</v>
      </c>
      <c r="C5410" s="120" t="s">
        <v>331</v>
      </c>
      <c r="D5410" s="441">
        <v>77.87</v>
      </c>
    </row>
    <row r="5411" spans="1:4" ht="15.75" customHeight="1">
      <c r="A5411" s="120">
        <v>102138</v>
      </c>
      <c r="B5411" s="119" t="s">
        <v>6950</v>
      </c>
      <c r="C5411" s="120" t="s">
        <v>331</v>
      </c>
      <c r="D5411" s="441">
        <v>257.39</v>
      </c>
    </row>
    <row r="5412" spans="1:4" ht="31.5" customHeight="1">
      <c r="A5412" s="120">
        <v>103517</v>
      </c>
      <c r="B5412" s="119" t="s">
        <v>6951</v>
      </c>
      <c r="C5412" s="120" t="s">
        <v>331</v>
      </c>
      <c r="D5412" s="442">
        <v>3321.68</v>
      </c>
    </row>
    <row r="5413" spans="1:4" ht="31.5" customHeight="1">
      <c r="A5413" s="120">
        <v>103519</v>
      </c>
      <c r="B5413" s="119" t="s">
        <v>6952</v>
      </c>
      <c r="C5413" s="120" t="s">
        <v>331</v>
      </c>
      <c r="D5413" s="441">
        <v>10.7</v>
      </c>
    </row>
    <row r="5414" spans="1:4" ht="31.5" customHeight="1">
      <c r="A5414" s="120">
        <v>103520</v>
      </c>
      <c r="B5414" s="119" t="s">
        <v>6953</v>
      </c>
      <c r="C5414" s="120" t="s">
        <v>331</v>
      </c>
      <c r="D5414" s="442">
        <v>5445.37</v>
      </c>
    </row>
    <row r="5415" spans="1:4" ht="31.5" customHeight="1">
      <c r="A5415" s="120">
        <v>103521</v>
      </c>
      <c r="B5415" s="119" t="s">
        <v>6954</v>
      </c>
      <c r="C5415" s="120" t="s">
        <v>331</v>
      </c>
      <c r="D5415" s="442">
        <v>7231.02</v>
      </c>
    </row>
    <row r="5416" spans="1:4" ht="31.5" customHeight="1">
      <c r="A5416" s="120">
        <v>103522</v>
      </c>
      <c r="B5416" s="119" t="s">
        <v>6955</v>
      </c>
      <c r="C5416" s="120" t="s">
        <v>331</v>
      </c>
      <c r="D5416" s="442">
        <v>7394.29</v>
      </c>
    </row>
    <row r="5417" spans="1:4" ht="31.5" customHeight="1">
      <c r="A5417" s="120">
        <v>103523</v>
      </c>
      <c r="B5417" s="119" t="s">
        <v>6956</v>
      </c>
      <c r="C5417" s="120" t="s">
        <v>331</v>
      </c>
      <c r="D5417" s="442">
        <v>11071.15</v>
      </c>
    </row>
    <row r="5418" spans="1:4" ht="31.5" customHeight="1">
      <c r="A5418" s="120">
        <v>104031</v>
      </c>
      <c r="B5418" s="119" t="s">
        <v>6957</v>
      </c>
      <c r="C5418" s="120" t="s">
        <v>331</v>
      </c>
      <c r="D5418" s="441">
        <v>22.57</v>
      </c>
    </row>
    <row r="5419" spans="1:4" ht="31.5" customHeight="1">
      <c r="A5419" s="120">
        <v>104032</v>
      </c>
      <c r="B5419" s="119" t="s">
        <v>6958</v>
      </c>
      <c r="C5419" s="120" t="s">
        <v>331</v>
      </c>
      <c r="D5419" s="441">
        <v>28.18</v>
      </c>
    </row>
    <row r="5420" spans="1:4" ht="31.5" customHeight="1">
      <c r="A5420" s="120">
        <v>104033</v>
      </c>
      <c r="B5420" s="119" t="s">
        <v>6959</v>
      </c>
      <c r="C5420" s="120" t="s">
        <v>331</v>
      </c>
      <c r="D5420" s="441">
        <v>25.8</v>
      </c>
    </row>
    <row r="5421" spans="1:4" ht="31.5" customHeight="1">
      <c r="A5421" s="120">
        <v>104034</v>
      </c>
      <c r="B5421" s="119" t="s">
        <v>6960</v>
      </c>
      <c r="C5421" s="120" t="s">
        <v>331</v>
      </c>
      <c r="D5421" s="441">
        <v>33.369999999999997</v>
      </c>
    </row>
    <row r="5422" spans="1:4" ht="31.5" customHeight="1">
      <c r="A5422" s="120">
        <v>104035</v>
      </c>
      <c r="B5422" s="119" t="s">
        <v>6961</v>
      </c>
      <c r="C5422" s="120" t="s">
        <v>331</v>
      </c>
      <c r="D5422" s="441">
        <v>44.56</v>
      </c>
    </row>
    <row r="5423" spans="1:4" ht="31.5" customHeight="1">
      <c r="A5423" s="120">
        <v>104036</v>
      </c>
      <c r="B5423" s="119" t="s">
        <v>6962</v>
      </c>
      <c r="C5423" s="120" t="s">
        <v>331</v>
      </c>
      <c r="D5423" s="441">
        <v>45.98</v>
      </c>
    </row>
    <row r="5424" spans="1:4" ht="31.5" customHeight="1">
      <c r="A5424" s="120">
        <v>104039</v>
      </c>
      <c r="B5424" s="119" t="s">
        <v>6963</v>
      </c>
      <c r="C5424" s="120" t="s">
        <v>331</v>
      </c>
      <c r="D5424" s="441">
        <v>84.65</v>
      </c>
    </row>
    <row r="5425" spans="1:4" ht="15.75" customHeight="1">
      <c r="A5425" s="120">
        <v>104043</v>
      </c>
      <c r="B5425" s="119" t="s">
        <v>6964</v>
      </c>
      <c r="C5425" s="120" t="s">
        <v>331</v>
      </c>
      <c r="D5425" s="441">
        <v>9.8699999999999992</v>
      </c>
    </row>
    <row r="5426" spans="1:4" ht="15.75" customHeight="1">
      <c r="A5426" s="120">
        <v>104044</v>
      </c>
      <c r="B5426" s="119" t="s">
        <v>6965</v>
      </c>
      <c r="C5426" s="120" t="s">
        <v>331</v>
      </c>
      <c r="D5426" s="441">
        <v>10.52</v>
      </c>
    </row>
    <row r="5427" spans="1:4" ht="15.75" customHeight="1">
      <c r="A5427" s="120">
        <v>104045</v>
      </c>
      <c r="B5427" s="119" t="s">
        <v>6966</v>
      </c>
      <c r="C5427" s="120" t="s">
        <v>331</v>
      </c>
      <c r="D5427" s="441">
        <v>16.36</v>
      </c>
    </row>
    <row r="5428" spans="1:4" ht="31.5" customHeight="1">
      <c r="A5428" s="120">
        <v>104046</v>
      </c>
      <c r="B5428" s="119" t="s">
        <v>6967</v>
      </c>
      <c r="C5428" s="120" t="s">
        <v>331</v>
      </c>
      <c r="D5428" s="441">
        <v>9.44</v>
      </c>
    </row>
    <row r="5429" spans="1:4" ht="31.5" customHeight="1">
      <c r="A5429" s="120">
        <v>104047</v>
      </c>
      <c r="B5429" s="119" t="s">
        <v>6968</v>
      </c>
      <c r="C5429" s="120" t="s">
        <v>331</v>
      </c>
      <c r="D5429" s="441">
        <v>10.96</v>
      </c>
    </row>
    <row r="5430" spans="1:4" ht="31.5" customHeight="1">
      <c r="A5430" s="120">
        <v>104048</v>
      </c>
      <c r="B5430" s="119" t="s">
        <v>6969</v>
      </c>
      <c r="C5430" s="120" t="s">
        <v>331</v>
      </c>
      <c r="D5430" s="441">
        <v>15.98</v>
      </c>
    </row>
    <row r="5431" spans="1:4" ht="15.75" customHeight="1">
      <c r="A5431" s="120">
        <v>104049</v>
      </c>
      <c r="B5431" s="119" t="s">
        <v>6970</v>
      </c>
      <c r="C5431" s="120" t="s">
        <v>331</v>
      </c>
      <c r="D5431" s="441">
        <v>6.89</v>
      </c>
    </row>
    <row r="5432" spans="1:4" ht="15.75" customHeight="1">
      <c r="A5432" s="120">
        <v>104050</v>
      </c>
      <c r="B5432" s="119" t="s">
        <v>6971</v>
      </c>
      <c r="C5432" s="120" t="s">
        <v>331</v>
      </c>
      <c r="D5432" s="441">
        <v>10.3</v>
      </c>
    </row>
    <row r="5433" spans="1:4" ht="31.5" customHeight="1">
      <c r="A5433" s="120">
        <v>104051</v>
      </c>
      <c r="B5433" s="119" t="s">
        <v>6972</v>
      </c>
      <c r="C5433" s="120" t="s">
        <v>331</v>
      </c>
      <c r="D5433" s="441">
        <v>8.81</v>
      </c>
    </row>
    <row r="5434" spans="1:4" ht="31.5" customHeight="1">
      <c r="A5434" s="120">
        <v>104052</v>
      </c>
      <c r="B5434" s="119" t="s">
        <v>6973</v>
      </c>
      <c r="C5434" s="120" t="s">
        <v>331</v>
      </c>
      <c r="D5434" s="441">
        <v>12.34</v>
      </c>
    </row>
    <row r="5435" spans="1:4" ht="15.75" customHeight="1">
      <c r="A5435" s="120">
        <v>104053</v>
      </c>
      <c r="B5435" s="119" t="s">
        <v>6974</v>
      </c>
      <c r="C5435" s="120" t="s">
        <v>331</v>
      </c>
      <c r="D5435" s="441">
        <v>10.220000000000001</v>
      </c>
    </row>
    <row r="5436" spans="1:4" ht="15.75" customHeight="1">
      <c r="A5436" s="120">
        <v>104054</v>
      </c>
      <c r="B5436" s="119" t="s">
        <v>6975</v>
      </c>
      <c r="C5436" s="120" t="s">
        <v>331</v>
      </c>
      <c r="D5436" s="441">
        <v>20.09</v>
      </c>
    </row>
    <row r="5437" spans="1:4" ht="15.75" customHeight="1">
      <c r="A5437" s="120">
        <v>104055</v>
      </c>
      <c r="B5437" s="119" t="s">
        <v>6976</v>
      </c>
      <c r="C5437" s="120" t="s">
        <v>331</v>
      </c>
      <c r="D5437" s="441">
        <v>16.79</v>
      </c>
    </row>
    <row r="5438" spans="1:4" ht="15.75" customHeight="1">
      <c r="A5438" s="120">
        <v>104056</v>
      </c>
      <c r="B5438" s="119" t="s">
        <v>6977</v>
      </c>
      <c r="C5438" s="120" t="s">
        <v>331</v>
      </c>
      <c r="D5438" s="441">
        <v>24.95</v>
      </c>
    </row>
    <row r="5439" spans="1:4" ht="15.75" customHeight="1">
      <c r="A5439" s="120">
        <v>104058</v>
      </c>
      <c r="B5439" s="119" t="s">
        <v>6978</v>
      </c>
      <c r="C5439" s="120" t="s">
        <v>331</v>
      </c>
      <c r="D5439" s="441">
        <v>7.49</v>
      </c>
    </row>
    <row r="5440" spans="1:4" ht="15.75" customHeight="1">
      <c r="A5440" s="120">
        <v>104059</v>
      </c>
      <c r="B5440" s="119" t="s">
        <v>6979</v>
      </c>
      <c r="C5440" s="120" t="s">
        <v>331</v>
      </c>
      <c r="D5440" s="441">
        <v>12.63</v>
      </c>
    </row>
    <row r="5441" spans="1:4" ht="15.75" customHeight="1">
      <c r="A5441" s="120">
        <v>104060</v>
      </c>
      <c r="B5441" s="119" t="s">
        <v>6980</v>
      </c>
      <c r="C5441" s="120" t="s">
        <v>328</v>
      </c>
      <c r="D5441" s="441">
        <v>9.9600000000000009</v>
      </c>
    </row>
    <row r="5442" spans="1:4" ht="15.75" customHeight="1">
      <c r="A5442" s="120">
        <v>104061</v>
      </c>
      <c r="B5442" s="119" t="s">
        <v>6981</v>
      </c>
      <c r="C5442" s="120" t="s">
        <v>328</v>
      </c>
      <c r="D5442" s="441">
        <v>17.71</v>
      </c>
    </row>
    <row r="5443" spans="1:4" ht="47.25" customHeight="1">
      <c r="A5443" s="120">
        <v>104112</v>
      </c>
      <c r="B5443" s="119" t="s">
        <v>6982</v>
      </c>
      <c r="C5443" s="120" t="s">
        <v>331</v>
      </c>
      <c r="D5443" s="441">
        <v>172.75</v>
      </c>
    </row>
    <row r="5444" spans="1:4" ht="47.25" customHeight="1">
      <c r="A5444" s="120">
        <v>104114</v>
      </c>
      <c r="B5444" s="119" t="s">
        <v>6983</v>
      </c>
      <c r="C5444" s="120" t="s">
        <v>331</v>
      </c>
      <c r="D5444" s="441">
        <v>256.89999999999998</v>
      </c>
    </row>
    <row r="5445" spans="1:4" ht="47.25" customHeight="1">
      <c r="A5445" s="120">
        <v>104116</v>
      </c>
      <c r="B5445" s="119" t="s">
        <v>6984</v>
      </c>
      <c r="C5445" s="120" t="s">
        <v>331</v>
      </c>
      <c r="D5445" s="441">
        <v>341.05</v>
      </c>
    </row>
    <row r="5446" spans="1:4" ht="47.25" customHeight="1">
      <c r="A5446" s="120">
        <v>104118</v>
      </c>
      <c r="B5446" s="119" t="s">
        <v>6985</v>
      </c>
      <c r="C5446" s="120" t="s">
        <v>331</v>
      </c>
      <c r="D5446" s="441">
        <v>296.14999999999998</v>
      </c>
    </row>
    <row r="5447" spans="1:4" ht="47.25" customHeight="1">
      <c r="A5447" s="120">
        <v>104120</v>
      </c>
      <c r="B5447" s="119" t="s">
        <v>6986</v>
      </c>
      <c r="C5447" s="120" t="s">
        <v>331</v>
      </c>
      <c r="D5447" s="441">
        <v>466.22</v>
      </c>
    </row>
    <row r="5448" spans="1:4" ht="47.25" customHeight="1">
      <c r="A5448" s="120">
        <v>104122</v>
      </c>
      <c r="B5448" s="119" t="s">
        <v>6987</v>
      </c>
      <c r="C5448" s="120" t="s">
        <v>331</v>
      </c>
      <c r="D5448" s="441">
        <v>636.29999999999995</v>
      </c>
    </row>
    <row r="5449" spans="1:4" ht="31.5" customHeight="1">
      <c r="A5449" s="120">
        <v>104062</v>
      </c>
      <c r="B5449" s="119" t="s">
        <v>6988</v>
      </c>
      <c r="C5449" s="120" t="s">
        <v>331</v>
      </c>
      <c r="D5449" s="441">
        <v>73.86</v>
      </c>
    </row>
    <row r="5450" spans="1:4" ht="31.5" customHeight="1">
      <c r="A5450" s="120">
        <v>104063</v>
      </c>
      <c r="B5450" s="119" t="s">
        <v>6989</v>
      </c>
      <c r="C5450" s="120" t="s">
        <v>331</v>
      </c>
      <c r="D5450" s="441">
        <v>70.260000000000005</v>
      </c>
    </row>
    <row r="5451" spans="1:4" ht="31.5" customHeight="1">
      <c r="A5451" s="120">
        <v>104064</v>
      </c>
      <c r="B5451" s="119" t="s">
        <v>6990</v>
      </c>
      <c r="C5451" s="120" t="s">
        <v>331</v>
      </c>
      <c r="D5451" s="441">
        <v>176.91</v>
      </c>
    </row>
    <row r="5452" spans="1:4" ht="31.5" customHeight="1">
      <c r="A5452" s="120">
        <v>104065</v>
      </c>
      <c r="B5452" s="119" t="s">
        <v>6991</v>
      </c>
      <c r="C5452" s="120" t="s">
        <v>331</v>
      </c>
      <c r="D5452" s="441">
        <v>149.85</v>
      </c>
    </row>
    <row r="5453" spans="1:4" ht="15.75" customHeight="1">
      <c r="A5453" s="120">
        <v>104072</v>
      </c>
      <c r="B5453" s="119" t="s">
        <v>6992</v>
      </c>
      <c r="C5453" s="120" t="s">
        <v>331</v>
      </c>
      <c r="D5453" s="441">
        <v>270.25</v>
      </c>
    </row>
    <row r="5454" spans="1:4" ht="31.5" customHeight="1">
      <c r="A5454" s="120">
        <v>104076</v>
      </c>
      <c r="B5454" s="119" t="s">
        <v>6993</v>
      </c>
      <c r="C5454" s="120" t="s">
        <v>331</v>
      </c>
      <c r="D5454" s="441">
        <v>48.67</v>
      </c>
    </row>
    <row r="5455" spans="1:4" ht="15.75" customHeight="1">
      <c r="A5455" s="120">
        <v>104082</v>
      </c>
      <c r="B5455" s="119" t="s">
        <v>6994</v>
      </c>
      <c r="C5455" s="120" t="s">
        <v>331</v>
      </c>
      <c r="D5455" s="441">
        <v>30.24</v>
      </c>
    </row>
    <row r="5456" spans="1:4" ht="15.75" customHeight="1">
      <c r="A5456" s="120">
        <v>104083</v>
      </c>
      <c r="B5456" s="119" t="s">
        <v>6995</v>
      </c>
      <c r="C5456" s="120" t="s">
        <v>331</v>
      </c>
      <c r="D5456" s="441">
        <v>71.540000000000006</v>
      </c>
    </row>
    <row r="5457" spans="1:4" ht="15.75" customHeight="1">
      <c r="A5457" s="120">
        <v>104084</v>
      </c>
      <c r="B5457" s="119" t="s">
        <v>6996</v>
      </c>
      <c r="C5457" s="120" t="s">
        <v>331</v>
      </c>
      <c r="D5457" s="441">
        <v>81.75</v>
      </c>
    </row>
    <row r="5458" spans="1:4" ht="15.75" customHeight="1">
      <c r="A5458" s="120">
        <v>104085</v>
      </c>
      <c r="B5458" s="119" t="s">
        <v>6997</v>
      </c>
      <c r="C5458" s="120" t="s">
        <v>328</v>
      </c>
      <c r="D5458" s="441">
        <v>56.67</v>
      </c>
    </row>
    <row r="5459" spans="1:4" ht="15.75" customHeight="1">
      <c r="A5459" s="120">
        <v>104086</v>
      </c>
      <c r="B5459" s="119" t="s">
        <v>6998</v>
      </c>
      <c r="C5459" s="120" t="s">
        <v>328</v>
      </c>
      <c r="D5459" s="441">
        <v>99.89</v>
      </c>
    </row>
    <row r="5460" spans="1:4" ht="47.25" customHeight="1">
      <c r="A5460" s="120">
        <v>104124</v>
      </c>
      <c r="B5460" s="119" t="s">
        <v>6999</v>
      </c>
      <c r="C5460" s="120" t="s">
        <v>331</v>
      </c>
      <c r="D5460" s="441">
        <v>371.67</v>
      </c>
    </row>
    <row r="5461" spans="1:4" ht="47.25" customHeight="1">
      <c r="A5461" s="120">
        <v>104130</v>
      </c>
      <c r="B5461" s="119" t="s">
        <v>7000</v>
      </c>
      <c r="C5461" s="120" t="s">
        <v>331</v>
      </c>
      <c r="D5461" s="441">
        <v>570.73</v>
      </c>
    </row>
    <row r="5462" spans="1:4" ht="47.25" customHeight="1">
      <c r="A5462" s="120">
        <v>104136</v>
      </c>
      <c r="B5462" s="119" t="s">
        <v>7001</v>
      </c>
      <c r="C5462" s="120" t="s">
        <v>331</v>
      </c>
      <c r="D5462" s="441">
        <v>771.19</v>
      </c>
    </row>
    <row r="5463" spans="1:4" ht="47.25" customHeight="1">
      <c r="A5463" s="120">
        <v>104142</v>
      </c>
      <c r="B5463" s="119" t="s">
        <v>7002</v>
      </c>
      <c r="C5463" s="120" t="s">
        <v>331</v>
      </c>
      <c r="D5463" s="441">
        <v>551.89</v>
      </c>
    </row>
    <row r="5464" spans="1:4" ht="47.25" customHeight="1">
      <c r="A5464" s="120">
        <v>104148</v>
      </c>
      <c r="B5464" s="119" t="s">
        <v>7003</v>
      </c>
      <c r="C5464" s="120" t="s">
        <v>331</v>
      </c>
      <c r="D5464" s="441">
        <v>871.07</v>
      </c>
    </row>
    <row r="5465" spans="1:4" ht="47.25" customHeight="1">
      <c r="A5465" s="120">
        <v>104154</v>
      </c>
      <c r="B5465" s="119" t="s">
        <v>7004</v>
      </c>
      <c r="C5465" s="120" t="s">
        <v>331</v>
      </c>
      <c r="D5465" s="442">
        <v>1193.81</v>
      </c>
    </row>
    <row r="5466" spans="1:4" ht="31.5" customHeight="1">
      <c r="A5466" s="120">
        <v>96520</v>
      </c>
      <c r="B5466" s="119" t="s">
        <v>7005</v>
      </c>
      <c r="C5466" s="120" t="s">
        <v>950</v>
      </c>
      <c r="D5466" s="441">
        <v>113.47</v>
      </c>
    </row>
    <row r="5467" spans="1:4" ht="31.5" customHeight="1">
      <c r="A5467" s="120">
        <v>96521</v>
      </c>
      <c r="B5467" s="119" t="s">
        <v>7006</v>
      </c>
      <c r="C5467" s="120" t="s">
        <v>950</v>
      </c>
      <c r="D5467" s="441">
        <v>46.99</v>
      </c>
    </row>
    <row r="5468" spans="1:4" ht="31.5" customHeight="1">
      <c r="A5468" s="120">
        <v>96522</v>
      </c>
      <c r="B5468" s="119" t="s">
        <v>7007</v>
      </c>
      <c r="C5468" s="120" t="s">
        <v>950</v>
      </c>
      <c r="D5468" s="441">
        <v>181.02</v>
      </c>
    </row>
    <row r="5469" spans="1:4" ht="31.5" customHeight="1">
      <c r="A5469" s="120">
        <v>96523</v>
      </c>
      <c r="B5469" s="119" t="s">
        <v>7008</v>
      </c>
      <c r="C5469" s="120" t="s">
        <v>950</v>
      </c>
      <c r="D5469" s="441">
        <v>115.39</v>
      </c>
    </row>
    <row r="5470" spans="1:4" ht="31.5" customHeight="1">
      <c r="A5470" s="120">
        <v>96524</v>
      </c>
      <c r="B5470" s="119" t="s">
        <v>7009</v>
      </c>
      <c r="C5470" s="120" t="s">
        <v>950</v>
      </c>
      <c r="D5470" s="441">
        <v>213.72</v>
      </c>
    </row>
    <row r="5471" spans="1:4" ht="31.5" customHeight="1">
      <c r="A5471" s="120">
        <v>96525</v>
      </c>
      <c r="B5471" s="119" t="s">
        <v>7010</v>
      </c>
      <c r="C5471" s="120" t="s">
        <v>950</v>
      </c>
      <c r="D5471" s="441">
        <v>44.28</v>
      </c>
    </row>
    <row r="5472" spans="1:4" ht="31.5" customHeight="1">
      <c r="A5472" s="120">
        <v>96526</v>
      </c>
      <c r="B5472" s="119" t="s">
        <v>7011</v>
      </c>
      <c r="C5472" s="120" t="s">
        <v>950</v>
      </c>
      <c r="D5472" s="441">
        <v>365.66</v>
      </c>
    </row>
    <row r="5473" spans="1:4" ht="31.5" customHeight="1">
      <c r="A5473" s="120">
        <v>96527</v>
      </c>
      <c r="B5473" s="119" t="s">
        <v>7012</v>
      </c>
      <c r="C5473" s="120" t="s">
        <v>950</v>
      </c>
      <c r="D5473" s="441">
        <v>151.43</v>
      </c>
    </row>
    <row r="5474" spans="1:4" ht="31.5" customHeight="1">
      <c r="A5474" s="120">
        <v>96528</v>
      </c>
      <c r="B5474" s="119" t="s">
        <v>7013</v>
      </c>
      <c r="C5474" s="120" t="s">
        <v>951</v>
      </c>
      <c r="D5474" s="441">
        <v>249.24</v>
      </c>
    </row>
    <row r="5475" spans="1:4" ht="31.5" customHeight="1">
      <c r="A5475" s="120">
        <v>101114</v>
      </c>
      <c r="B5475" s="119" t="s">
        <v>7014</v>
      </c>
      <c r="C5475" s="120" t="s">
        <v>950</v>
      </c>
      <c r="D5475" s="441">
        <v>4.37</v>
      </c>
    </row>
    <row r="5476" spans="1:4" ht="31.5" customHeight="1">
      <c r="A5476" s="120">
        <v>101115</v>
      </c>
      <c r="B5476" s="119" t="s">
        <v>7015</v>
      </c>
      <c r="C5476" s="120" t="s">
        <v>950</v>
      </c>
      <c r="D5476" s="441">
        <v>3.63</v>
      </c>
    </row>
    <row r="5477" spans="1:4" ht="31.5" customHeight="1">
      <c r="A5477" s="120">
        <v>101116</v>
      </c>
      <c r="B5477" s="119" t="s">
        <v>7016</v>
      </c>
      <c r="C5477" s="120" t="s">
        <v>950</v>
      </c>
      <c r="D5477" s="441">
        <v>2.25</v>
      </c>
    </row>
    <row r="5478" spans="1:4" ht="31.5" customHeight="1">
      <c r="A5478" s="120">
        <v>101117</v>
      </c>
      <c r="B5478" s="119" t="s">
        <v>7017</v>
      </c>
      <c r="C5478" s="120" t="s">
        <v>950</v>
      </c>
      <c r="D5478" s="441">
        <v>3.07</v>
      </c>
    </row>
    <row r="5479" spans="1:4" ht="31.5" customHeight="1">
      <c r="A5479" s="120">
        <v>101118</v>
      </c>
      <c r="B5479" s="119" t="s">
        <v>7018</v>
      </c>
      <c r="C5479" s="120" t="s">
        <v>950</v>
      </c>
      <c r="D5479" s="441">
        <v>3.76</v>
      </c>
    </row>
    <row r="5480" spans="1:4" ht="31.5" customHeight="1">
      <c r="A5480" s="120">
        <v>101119</v>
      </c>
      <c r="B5480" s="119" t="s">
        <v>7019</v>
      </c>
      <c r="C5480" s="120" t="s">
        <v>950</v>
      </c>
      <c r="D5480" s="441">
        <v>8.36</v>
      </c>
    </row>
    <row r="5481" spans="1:4" ht="31.5" customHeight="1">
      <c r="A5481" s="120">
        <v>101120</v>
      </c>
      <c r="B5481" s="119" t="s">
        <v>7020</v>
      </c>
      <c r="C5481" s="120" t="s">
        <v>950</v>
      </c>
      <c r="D5481" s="441">
        <v>6.96</v>
      </c>
    </row>
    <row r="5482" spans="1:4" ht="31.5" customHeight="1">
      <c r="A5482" s="120">
        <v>101121</v>
      </c>
      <c r="B5482" s="119" t="s">
        <v>7021</v>
      </c>
      <c r="C5482" s="120" t="s">
        <v>950</v>
      </c>
      <c r="D5482" s="441">
        <v>4.34</v>
      </c>
    </row>
    <row r="5483" spans="1:4" ht="31.5" customHeight="1">
      <c r="A5483" s="120">
        <v>101122</v>
      </c>
      <c r="B5483" s="119" t="s">
        <v>7022</v>
      </c>
      <c r="C5483" s="120" t="s">
        <v>950</v>
      </c>
      <c r="D5483" s="441">
        <v>5.86</v>
      </c>
    </row>
    <row r="5484" spans="1:4" ht="31.5" customHeight="1">
      <c r="A5484" s="120">
        <v>101123</v>
      </c>
      <c r="B5484" s="119" t="s">
        <v>7023</v>
      </c>
      <c r="C5484" s="120" t="s">
        <v>950</v>
      </c>
      <c r="D5484" s="441">
        <v>7.18</v>
      </c>
    </row>
    <row r="5485" spans="1:4" ht="31.5" customHeight="1">
      <c r="A5485" s="120">
        <v>101124</v>
      </c>
      <c r="B5485" s="119" t="s">
        <v>7024</v>
      </c>
      <c r="C5485" s="120" t="s">
        <v>950</v>
      </c>
      <c r="D5485" s="441">
        <v>14.98</v>
      </c>
    </row>
    <row r="5486" spans="1:4" ht="31.5" customHeight="1">
      <c r="A5486" s="120">
        <v>101125</v>
      </c>
      <c r="B5486" s="119" t="s">
        <v>7025</v>
      </c>
      <c r="C5486" s="120" t="s">
        <v>950</v>
      </c>
      <c r="D5486" s="441">
        <v>14.24</v>
      </c>
    </row>
    <row r="5487" spans="1:4" ht="31.5" customHeight="1">
      <c r="A5487" s="120">
        <v>101126</v>
      </c>
      <c r="B5487" s="119" t="s">
        <v>7026</v>
      </c>
      <c r="C5487" s="120" t="s">
        <v>950</v>
      </c>
      <c r="D5487" s="441">
        <v>12.86</v>
      </c>
    </row>
    <row r="5488" spans="1:4" ht="31.5" customHeight="1">
      <c r="A5488" s="120">
        <v>101127</v>
      </c>
      <c r="B5488" s="119" t="s">
        <v>7027</v>
      </c>
      <c r="C5488" s="120" t="s">
        <v>950</v>
      </c>
      <c r="D5488" s="441">
        <v>13.68</v>
      </c>
    </row>
    <row r="5489" spans="1:4" ht="31.5" customHeight="1">
      <c r="A5489" s="120">
        <v>101128</v>
      </c>
      <c r="B5489" s="119" t="s">
        <v>7028</v>
      </c>
      <c r="C5489" s="120" t="s">
        <v>950</v>
      </c>
      <c r="D5489" s="441">
        <v>14.37</v>
      </c>
    </row>
    <row r="5490" spans="1:4" ht="31.5" customHeight="1">
      <c r="A5490" s="120">
        <v>101129</v>
      </c>
      <c r="B5490" s="119" t="s">
        <v>7029</v>
      </c>
      <c r="C5490" s="120" t="s">
        <v>950</v>
      </c>
      <c r="D5490" s="441">
        <v>19.39</v>
      </c>
    </row>
    <row r="5491" spans="1:4" ht="31.5" customHeight="1">
      <c r="A5491" s="120">
        <v>101130</v>
      </c>
      <c r="B5491" s="119" t="s">
        <v>7030</v>
      </c>
      <c r="C5491" s="120" t="s">
        <v>950</v>
      </c>
      <c r="D5491" s="441">
        <v>17.989999999999998</v>
      </c>
    </row>
    <row r="5492" spans="1:4" ht="31.5" customHeight="1">
      <c r="A5492" s="120">
        <v>101131</v>
      </c>
      <c r="B5492" s="119" t="s">
        <v>7031</v>
      </c>
      <c r="C5492" s="120" t="s">
        <v>950</v>
      </c>
      <c r="D5492" s="441">
        <v>15.37</v>
      </c>
    </row>
    <row r="5493" spans="1:4" ht="31.5" customHeight="1">
      <c r="A5493" s="120">
        <v>101132</v>
      </c>
      <c r="B5493" s="119" t="s">
        <v>7032</v>
      </c>
      <c r="C5493" s="120" t="s">
        <v>950</v>
      </c>
      <c r="D5493" s="441">
        <v>16.89</v>
      </c>
    </row>
    <row r="5494" spans="1:4" ht="31.5" customHeight="1">
      <c r="A5494" s="120">
        <v>101133</v>
      </c>
      <c r="B5494" s="119" t="s">
        <v>7033</v>
      </c>
      <c r="C5494" s="120" t="s">
        <v>950</v>
      </c>
      <c r="D5494" s="441">
        <v>18.21</v>
      </c>
    </row>
    <row r="5495" spans="1:4" ht="31.5" customHeight="1">
      <c r="A5495" s="120">
        <v>101134</v>
      </c>
      <c r="B5495" s="119" t="s">
        <v>7034</v>
      </c>
      <c r="C5495" s="120" t="s">
        <v>950</v>
      </c>
      <c r="D5495" s="441">
        <v>15.63</v>
      </c>
    </row>
    <row r="5496" spans="1:4" ht="31.5" customHeight="1">
      <c r="A5496" s="120">
        <v>101135</v>
      </c>
      <c r="B5496" s="119" t="s">
        <v>7035</v>
      </c>
      <c r="C5496" s="120" t="s">
        <v>950</v>
      </c>
      <c r="D5496" s="441">
        <v>14.89</v>
      </c>
    </row>
    <row r="5497" spans="1:4" ht="31.5" customHeight="1">
      <c r="A5497" s="120">
        <v>101136</v>
      </c>
      <c r="B5497" s="119" t="s">
        <v>7036</v>
      </c>
      <c r="C5497" s="120" t="s">
        <v>950</v>
      </c>
      <c r="D5497" s="441">
        <v>13.51</v>
      </c>
    </row>
    <row r="5498" spans="1:4" ht="31.5" customHeight="1">
      <c r="A5498" s="120">
        <v>101137</v>
      </c>
      <c r="B5498" s="119" t="s">
        <v>7037</v>
      </c>
      <c r="C5498" s="120" t="s">
        <v>950</v>
      </c>
      <c r="D5498" s="441">
        <v>14.33</v>
      </c>
    </row>
    <row r="5499" spans="1:4" ht="31.5" customHeight="1">
      <c r="A5499" s="120">
        <v>101138</v>
      </c>
      <c r="B5499" s="119" t="s">
        <v>7038</v>
      </c>
      <c r="C5499" s="120" t="s">
        <v>950</v>
      </c>
      <c r="D5499" s="441">
        <v>15.02</v>
      </c>
    </row>
    <row r="5500" spans="1:4" ht="47.25" customHeight="1">
      <c r="A5500" s="120">
        <v>101139</v>
      </c>
      <c r="B5500" s="119" t="s">
        <v>7039</v>
      </c>
      <c r="C5500" s="120" t="s">
        <v>950</v>
      </c>
      <c r="D5500" s="441">
        <v>20.059999999999999</v>
      </c>
    </row>
    <row r="5501" spans="1:4" ht="47.25" customHeight="1">
      <c r="A5501" s="120">
        <v>101140</v>
      </c>
      <c r="B5501" s="119" t="s">
        <v>7040</v>
      </c>
      <c r="C5501" s="120" t="s">
        <v>950</v>
      </c>
      <c r="D5501" s="441">
        <v>18.66</v>
      </c>
    </row>
    <row r="5502" spans="1:4" ht="47.25" customHeight="1">
      <c r="A5502" s="120">
        <v>101141</v>
      </c>
      <c r="B5502" s="119" t="s">
        <v>7041</v>
      </c>
      <c r="C5502" s="120" t="s">
        <v>950</v>
      </c>
      <c r="D5502" s="441">
        <v>16.04</v>
      </c>
    </row>
    <row r="5503" spans="1:4" ht="47.25" customHeight="1">
      <c r="A5503" s="120">
        <v>101142</v>
      </c>
      <c r="B5503" s="119" t="s">
        <v>7042</v>
      </c>
      <c r="C5503" s="120" t="s">
        <v>950</v>
      </c>
      <c r="D5503" s="441">
        <v>17.559999999999999</v>
      </c>
    </row>
    <row r="5504" spans="1:4" ht="47.25" customHeight="1">
      <c r="A5504" s="120">
        <v>101143</v>
      </c>
      <c r="B5504" s="119" t="s">
        <v>7043</v>
      </c>
      <c r="C5504" s="120" t="s">
        <v>950</v>
      </c>
      <c r="D5504" s="441">
        <v>18.88</v>
      </c>
    </row>
    <row r="5505" spans="1:4" ht="31.5" customHeight="1">
      <c r="A5505" s="120">
        <v>101144</v>
      </c>
      <c r="B5505" s="119" t="s">
        <v>7044</v>
      </c>
      <c r="C5505" s="120" t="s">
        <v>950</v>
      </c>
      <c r="D5505" s="441">
        <v>15.65</v>
      </c>
    </row>
    <row r="5506" spans="1:4" ht="31.5" customHeight="1">
      <c r="A5506" s="120">
        <v>101145</v>
      </c>
      <c r="B5506" s="119" t="s">
        <v>7045</v>
      </c>
      <c r="C5506" s="120" t="s">
        <v>950</v>
      </c>
      <c r="D5506" s="441">
        <v>14.91</v>
      </c>
    </row>
    <row r="5507" spans="1:4" ht="31.5" customHeight="1">
      <c r="A5507" s="120">
        <v>101146</v>
      </c>
      <c r="B5507" s="119" t="s">
        <v>7046</v>
      </c>
      <c r="C5507" s="120" t="s">
        <v>950</v>
      </c>
      <c r="D5507" s="441">
        <v>13.53</v>
      </c>
    </row>
    <row r="5508" spans="1:4" ht="31.5" customHeight="1">
      <c r="A5508" s="120">
        <v>101147</v>
      </c>
      <c r="B5508" s="119" t="s">
        <v>7047</v>
      </c>
      <c r="C5508" s="120" t="s">
        <v>950</v>
      </c>
      <c r="D5508" s="441">
        <v>14.35</v>
      </c>
    </row>
    <row r="5509" spans="1:4" ht="31.5" customHeight="1">
      <c r="A5509" s="120">
        <v>101148</v>
      </c>
      <c r="B5509" s="119" t="s">
        <v>7048</v>
      </c>
      <c r="C5509" s="120" t="s">
        <v>950</v>
      </c>
      <c r="D5509" s="441">
        <v>15.04</v>
      </c>
    </row>
    <row r="5510" spans="1:4" ht="47.25" customHeight="1">
      <c r="A5510" s="120">
        <v>101149</v>
      </c>
      <c r="B5510" s="119" t="s">
        <v>7049</v>
      </c>
      <c r="C5510" s="120" t="s">
        <v>950</v>
      </c>
      <c r="D5510" s="441">
        <v>20.100000000000001</v>
      </c>
    </row>
    <row r="5511" spans="1:4" ht="47.25" customHeight="1">
      <c r="A5511" s="120">
        <v>101150</v>
      </c>
      <c r="B5511" s="119" t="s">
        <v>7050</v>
      </c>
      <c r="C5511" s="120" t="s">
        <v>950</v>
      </c>
      <c r="D5511" s="441">
        <v>18.7</v>
      </c>
    </row>
    <row r="5512" spans="1:4" ht="47.25" customHeight="1">
      <c r="A5512" s="120">
        <v>101151</v>
      </c>
      <c r="B5512" s="119" t="s">
        <v>7051</v>
      </c>
      <c r="C5512" s="120" t="s">
        <v>950</v>
      </c>
      <c r="D5512" s="441">
        <v>16.079999999999998</v>
      </c>
    </row>
    <row r="5513" spans="1:4" ht="47.25" customHeight="1">
      <c r="A5513" s="120">
        <v>101152</v>
      </c>
      <c r="B5513" s="119" t="s">
        <v>7052</v>
      </c>
      <c r="C5513" s="120" t="s">
        <v>950</v>
      </c>
      <c r="D5513" s="441">
        <v>17.600000000000001</v>
      </c>
    </row>
    <row r="5514" spans="1:4" ht="47.25" customHeight="1">
      <c r="A5514" s="120">
        <v>101153</v>
      </c>
      <c r="B5514" s="119" t="s">
        <v>7053</v>
      </c>
      <c r="C5514" s="120" t="s">
        <v>950</v>
      </c>
      <c r="D5514" s="441">
        <v>18.920000000000002</v>
      </c>
    </row>
    <row r="5515" spans="1:4" ht="47.25" customHeight="1">
      <c r="A5515" s="120">
        <v>101206</v>
      </c>
      <c r="B5515" s="119" t="s">
        <v>7054</v>
      </c>
      <c r="C5515" s="120" t="s">
        <v>950</v>
      </c>
      <c r="D5515" s="441">
        <v>12.51</v>
      </c>
    </row>
    <row r="5516" spans="1:4" ht="47.25" customHeight="1">
      <c r="A5516" s="120">
        <v>101207</v>
      </c>
      <c r="B5516" s="119" t="s">
        <v>7055</v>
      </c>
      <c r="C5516" s="120" t="s">
        <v>950</v>
      </c>
      <c r="D5516" s="441">
        <v>10.9</v>
      </c>
    </row>
    <row r="5517" spans="1:4" ht="47.25" customHeight="1">
      <c r="A5517" s="120">
        <v>101208</v>
      </c>
      <c r="B5517" s="119" t="s">
        <v>7056</v>
      </c>
      <c r="C5517" s="120" t="s">
        <v>950</v>
      </c>
      <c r="D5517" s="441">
        <v>10.58</v>
      </c>
    </row>
    <row r="5518" spans="1:4" ht="47.25" customHeight="1">
      <c r="A5518" s="120">
        <v>101209</v>
      </c>
      <c r="B5518" s="119" t="s">
        <v>7057</v>
      </c>
      <c r="C5518" s="120" t="s">
        <v>950</v>
      </c>
      <c r="D5518" s="441">
        <v>9.83</v>
      </c>
    </row>
    <row r="5519" spans="1:4" ht="47.25" customHeight="1">
      <c r="A5519" s="120">
        <v>101210</v>
      </c>
      <c r="B5519" s="119" t="s">
        <v>7058</v>
      </c>
      <c r="C5519" s="120" t="s">
        <v>950</v>
      </c>
      <c r="D5519" s="441">
        <v>17.440000000000001</v>
      </c>
    </row>
    <row r="5520" spans="1:4" ht="47.25" customHeight="1">
      <c r="A5520" s="120">
        <v>101211</v>
      </c>
      <c r="B5520" s="119" t="s">
        <v>7059</v>
      </c>
      <c r="C5520" s="120" t="s">
        <v>950</v>
      </c>
      <c r="D5520" s="441">
        <v>18.71</v>
      </c>
    </row>
    <row r="5521" spans="1:4" ht="47.25" customHeight="1">
      <c r="A5521" s="120">
        <v>101212</v>
      </c>
      <c r="B5521" s="119" t="s">
        <v>7060</v>
      </c>
      <c r="C5521" s="120" t="s">
        <v>950</v>
      </c>
      <c r="D5521" s="441">
        <v>21.78</v>
      </c>
    </row>
    <row r="5522" spans="1:4" ht="47.25" customHeight="1">
      <c r="A5522" s="120">
        <v>101213</v>
      </c>
      <c r="B5522" s="119" t="s">
        <v>7061</v>
      </c>
      <c r="C5522" s="120" t="s">
        <v>950</v>
      </c>
      <c r="D5522" s="441">
        <v>24.31</v>
      </c>
    </row>
    <row r="5523" spans="1:4" ht="47.25" customHeight="1">
      <c r="A5523" s="120">
        <v>101214</v>
      </c>
      <c r="B5523" s="119" t="s">
        <v>7062</v>
      </c>
      <c r="C5523" s="120" t="s">
        <v>950</v>
      </c>
      <c r="D5523" s="441">
        <v>29.36</v>
      </c>
    </row>
    <row r="5524" spans="1:4" ht="47.25" customHeight="1">
      <c r="A5524" s="120">
        <v>101215</v>
      </c>
      <c r="B5524" s="119" t="s">
        <v>7063</v>
      </c>
      <c r="C5524" s="120" t="s">
        <v>950</v>
      </c>
      <c r="D5524" s="441">
        <v>16.79</v>
      </c>
    </row>
    <row r="5525" spans="1:4" ht="47.25" customHeight="1">
      <c r="A5525" s="120">
        <v>101216</v>
      </c>
      <c r="B5525" s="119" t="s">
        <v>7064</v>
      </c>
      <c r="C5525" s="120" t="s">
        <v>950</v>
      </c>
      <c r="D5525" s="441">
        <v>17.600000000000001</v>
      </c>
    </row>
    <row r="5526" spans="1:4" ht="47.25" customHeight="1">
      <c r="A5526" s="120">
        <v>101217</v>
      </c>
      <c r="B5526" s="119" t="s">
        <v>7065</v>
      </c>
      <c r="C5526" s="120" t="s">
        <v>950</v>
      </c>
      <c r="D5526" s="441">
        <v>20.45</v>
      </c>
    </row>
    <row r="5527" spans="1:4" ht="47.25" customHeight="1">
      <c r="A5527" s="120">
        <v>101218</v>
      </c>
      <c r="B5527" s="119" t="s">
        <v>7066</v>
      </c>
      <c r="C5527" s="120" t="s">
        <v>950</v>
      </c>
      <c r="D5527" s="441">
        <v>21.65</v>
      </c>
    </row>
    <row r="5528" spans="1:4" ht="47.25" customHeight="1">
      <c r="A5528" s="120">
        <v>101219</v>
      </c>
      <c r="B5528" s="119" t="s">
        <v>7067</v>
      </c>
      <c r="C5528" s="120" t="s">
        <v>950</v>
      </c>
      <c r="D5528" s="441">
        <v>26.22</v>
      </c>
    </row>
    <row r="5529" spans="1:4" ht="47.25" customHeight="1">
      <c r="A5529" s="120">
        <v>101220</v>
      </c>
      <c r="B5529" s="119" t="s">
        <v>7068</v>
      </c>
      <c r="C5529" s="120" t="s">
        <v>950</v>
      </c>
      <c r="D5529" s="441">
        <v>16.41</v>
      </c>
    </row>
    <row r="5530" spans="1:4" ht="47.25" customHeight="1">
      <c r="A5530" s="120">
        <v>101221</v>
      </c>
      <c r="B5530" s="119" t="s">
        <v>7069</v>
      </c>
      <c r="C5530" s="120" t="s">
        <v>950</v>
      </c>
      <c r="D5530" s="441">
        <v>17.36</v>
      </c>
    </row>
    <row r="5531" spans="1:4" ht="47.25" customHeight="1">
      <c r="A5531" s="120">
        <v>101222</v>
      </c>
      <c r="B5531" s="119" t="s">
        <v>7070</v>
      </c>
      <c r="C5531" s="120" t="s">
        <v>950</v>
      </c>
      <c r="D5531" s="441">
        <v>20.149999999999999</v>
      </c>
    </row>
    <row r="5532" spans="1:4" ht="47.25" customHeight="1">
      <c r="A5532" s="120">
        <v>101223</v>
      </c>
      <c r="B5532" s="119" t="s">
        <v>7071</v>
      </c>
      <c r="C5532" s="120" t="s">
        <v>950</v>
      </c>
      <c r="D5532" s="441">
        <v>22.4</v>
      </c>
    </row>
    <row r="5533" spans="1:4" ht="47.25" customHeight="1">
      <c r="A5533" s="120">
        <v>101224</v>
      </c>
      <c r="B5533" s="119" t="s">
        <v>7072</v>
      </c>
      <c r="C5533" s="120" t="s">
        <v>950</v>
      </c>
      <c r="D5533" s="441">
        <v>28.03</v>
      </c>
    </row>
    <row r="5534" spans="1:4" ht="47.25" customHeight="1">
      <c r="A5534" s="120">
        <v>101225</v>
      </c>
      <c r="B5534" s="119" t="s">
        <v>7073</v>
      </c>
      <c r="C5534" s="120" t="s">
        <v>950</v>
      </c>
      <c r="D5534" s="441">
        <v>15.09</v>
      </c>
    </row>
    <row r="5535" spans="1:4" ht="47.25" customHeight="1">
      <c r="A5535" s="120">
        <v>101226</v>
      </c>
      <c r="B5535" s="119" t="s">
        <v>7074</v>
      </c>
      <c r="C5535" s="120" t="s">
        <v>950</v>
      </c>
      <c r="D5535" s="441">
        <v>15.91</v>
      </c>
    </row>
    <row r="5536" spans="1:4" ht="47.25" customHeight="1">
      <c r="A5536" s="120">
        <v>101227</v>
      </c>
      <c r="B5536" s="119" t="s">
        <v>7075</v>
      </c>
      <c r="C5536" s="120" t="s">
        <v>950</v>
      </c>
      <c r="D5536" s="441">
        <v>18.420000000000002</v>
      </c>
    </row>
    <row r="5537" spans="1:4" ht="47.25" customHeight="1">
      <c r="A5537" s="120">
        <v>101228</v>
      </c>
      <c r="B5537" s="119" t="s">
        <v>7076</v>
      </c>
      <c r="C5537" s="120" t="s">
        <v>950</v>
      </c>
      <c r="D5537" s="441">
        <v>19.66</v>
      </c>
    </row>
    <row r="5538" spans="1:4" ht="47.25" customHeight="1">
      <c r="A5538" s="120">
        <v>101229</v>
      </c>
      <c r="B5538" s="119" t="s">
        <v>7077</v>
      </c>
      <c r="C5538" s="120" t="s">
        <v>950</v>
      </c>
      <c r="D5538" s="441">
        <v>24.74</v>
      </c>
    </row>
    <row r="5539" spans="1:4" ht="47.25" customHeight="1">
      <c r="A5539" s="120">
        <v>101230</v>
      </c>
      <c r="B5539" s="119" t="s">
        <v>7078</v>
      </c>
      <c r="C5539" s="120" t="s">
        <v>950</v>
      </c>
      <c r="D5539" s="441">
        <v>11.04</v>
      </c>
    </row>
    <row r="5540" spans="1:4" ht="47.25" customHeight="1">
      <c r="A5540" s="120">
        <v>101231</v>
      </c>
      <c r="B5540" s="119" t="s">
        <v>7079</v>
      </c>
      <c r="C5540" s="120" t="s">
        <v>950</v>
      </c>
      <c r="D5540" s="441">
        <v>10.52</v>
      </c>
    </row>
    <row r="5541" spans="1:4" ht="47.25" customHeight="1">
      <c r="A5541" s="120">
        <v>101232</v>
      </c>
      <c r="B5541" s="119" t="s">
        <v>7080</v>
      </c>
      <c r="C5541" s="120" t="s">
        <v>950</v>
      </c>
      <c r="D5541" s="441">
        <v>9.44</v>
      </c>
    </row>
    <row r="5542" spans="1:4" ht="47.25" customHeight="1">
      <c r="A5542" s="120">
        <v>101233</v>
      </c>
      <c r="B5542" s="119" t="s">
        <v>7081</v>
      </c>
      <c r="C5542" s="120" t="s">
        <v>950</v>
      </c>
      <c r="D5542" s="441">
        <v>8.7100000000000009</v>
      </c>
    </row>
    <row r="5543" spans="1:4" ht="47.25" customHeight="1">
      <c r="A5543" s="120">
        <v>101234</v>
      </c>
      <c r="B5543" s="119" t="s">
        <v>7082</v>
      </c>
      <c r="C5543" s="120" t="s">
        <v>950</v>
      </c>
      <c r="D5543" s="441">
        <v>17.059999999999999</v>
      </c>
    </row>
    <row r="5544" spans="1:4" ht="47.25" customHeight="1">
      <c r="A5544" s="120">
        <v>101235</v>
      </c>
      <c r="B5544" s="119" t="s">
        <v>7083</v>
      </c>
      <c r="C5544" s="120" t="s">
        <v>950</v>
      </c>
      <c r="D5544" s="441">
        <v>17.98</v>
      </c>
    </row>
    <row r="5545" spans="1:4" ht="47.25" customHeight="1">
      <c r="A5545" s="120">
        <v>101236</v>
      </c>
      <c r="B5545" s="119" t="s">
        <v>7084</v>
      </c>
      <c r="C5545" s="120" t="s">
        <v>950</v>
      </c>
      <c r="D5545" s="441">
        <v>20.9</v>
      </c>
    </row>
    <row r="5546" spans="1:4" ht="47.25" customHeight="1">
      <c r="A5546" s="120">
        <v>101237</v>
      </c>
      <c r="B5546" s="119" t="s">
        <v>7085</v>
      </c>
      <c r="C5546" s="120" t="s">
        <v>950</v>
      </c>
      <c r="D5546" s="441">
        <v>22.28</v>
      </c>
    </row>
    <row r="5547" spans="1:4" ht="47.25" customHeight="1">
      <c r="A5547" s="120">
        <v>101238</v>
      </c>
      <c r="B5547" s="119" t="s">
        <v>7086</v>
      </c>
      <c r="C5547" s="120" t="s">
        <v>950</v>
      </c>
      <c r="D5547" s="441">
        <v>28.12</v>
      </c>
    </row>
    <row r="5548" spans="1:4" ht="47.25" customHeight="1">
      <c r="A5548" s="120">
        <v>101239</v>
      </c>
      <c r="B5548" s="119" t="s">
        <v>7087</v>
      </c>
      <c r="C5548" s="120" t="s">
        <v>950</v>
      </c>
      <c r="D5548" s="441">
        <v>15.05</v>
      </c>
    </row>
    <row r="5549" spans="1:4" ht="47.25" customHeight="1">
      <c r="A5549" s="120">
        <v>101240</v>
      </c>
      <c r="B5549" s="119" t="s">
        <v>7088</v>
      </c>
      <c r="C5549" s="120" t="s">
        <v>950</v>
      </c>
      <c r="D5549" s="441">
        <v>15.89</v>
      </c>
    </row>
    <row r="5550" spans="1:4" ht="47.25" customHeight="1">
      <c r="A5550" s="120">
        <v>101241</v>
      </c>
      <c r="B5550" s="119" t="s">
        <v>7089</v>
      </c>
      <c r="C5550" s="120" t="s">
        <v>950</v>
      </c>
      <c r="D5550" s="441">
        <v>18.53</v>
      </c>
    </row>
    <row r="5551" spans="1:4" ht="47.25" customHeight="1">
      <c r="A5551" s="120">
        <v>101242</v>
      </c>
      <c r="B5551" s="119" t="s">
        <v>7090</v>
      </c>
      <c r="C5551" s="120" t="s">
        <v>950</v>
      </c>
      <c r="D5551" s="441">
        <v>20.68</v>
      </c>
    </row>
    <row r="5552" spans="1:4" ht="47.25" customHeight="1">
      <c r="A5552" s="120">
        <v>101243</v>
      </c>
      <c r="B5552" s="119" t="s">
        <v>7091</v>
      </c>
      <c r="C5552" s="120" t="s">
        <v>950</v>
      </c>
      <c r="D5552" s="441">
        <v>25.05</v>
      </c>
    </row>
    <row r="5553" spans="1:4" ht="47.25" customHeight="1">
      <c r="A5553" s="120">
        <v>101244</v>
      </c>
      <c r="B5553" s="119" t="s">
        <v>7092</v>
      </c>
      <c r="C5553" s="120" t="s">
        <v>950</v>
      </c>
      <c r="D5553" s="441">
        <v>15.74</v>
      </c>
    </row>
    <row r="5554" spans="1:4" ht="47.25" customHeight="1">
      <c r="A5554" s="120">
        <v>101245</v>
      </c>
      <c r="B5554" s="119" t="s">
        <v>7093</v>
      </c>
      <c r="C5554" s="120" t="s">
        <v>950</v>
      </c>
      <c r="D5554" s="441">
        <v>16.670000000000002</v>
      </c>
    </row>
    <row r="5555" spans="1:4" ht="47.25" customHeight="1">
      <c r="A5555" s="120">
        <v>101246</v>
      </c>
      <c r="B5555" s="119" t="s">
        <v>7094</v>
      </c>
      <c r="C5555" s="120" t="s">
        <v>950</v>
      </c>
      <c r="D5555" s="441">
        <v>19.34</v>
      </c>
    </row>
    <row r="5556" spans="1:4" ht="47.25" customHeight="1">
      <c r="A5556" s="120">
        <v>101247</v>
      </c>
      <c r="B5556" s="119" t="s">
        <v>7095</v>
      </c>
      <c r="C5556" s="120" t="s">
        <v>950</v>
      </c>
      <c r="D5556" s="441">
        <v>21.46</v>
      </c>
    </row>
    <row r="5557" spans="1:4" ht="47.25" customHeight="1">
      <c r="A5557" s="120">
        <v>101248</v>
      </c>
      <c r="B5557" s="119" t="s">
        <v>7096</v>
      </c>
      <c r="C5557" s="120" t="s">
        <v>950</v>
      </c>
      <c r="D5557" s="441">
        <v>26.83</v>
      </c>
    </row>
    <row r="5558" spans="1:4" ht="47.25" customHeight="1">
      <c r="A5558" s="120">
        <v>101249</v>
      </c>
      <c r="B5558" s="119" t="s">
        <v>7097</v>
      </c>
      <c r="C5558" s="120" t="s">
        <v>950</v>
      </c>
      <c r="D5558" s="441">
        <v>13.73</v>
      </c>
    </row>
    <row r="5559" spans="1:4" ht="47.25" customHeight="1">
      <c r="A5559" s="120">
        <v>101250</v>
      </c>
      <c r="B5559" s="119" t="s">
        <v>7098</v>
      </c>
      <c r="C5559" s="120" t="s">
        <v>950</v>
      </c>
      <c r="D5559" s="441">
        <v>15.23</v>
      </c>
    </row>
    <row r="5560" spans="1:4" ht="47.25" customHeight="1">
      <c r="A5560" s="120">
        <v>101251</v>
      </c>
      <c r="B5560" s="119" t="s">
        <v>7099</v>
      </c>
      <c r="C5560" s="120" t="s">
        <v>950</v>
      </c>
      <c r="D5560" s="441">
        <v>17.36</v>
      </c>
    </row>
    <row r="5561" spans="1:4" ht="47.25" customHeight="1">
      <c r="A5561" s="120">
        <v>101252</v>
      </c>
      <c r="B5561" s="119" t="s">
        <v>7100</v>
      </c>
      <c r="C5561" s="120" t="s">
        <v>950</v>
      </c>
      <c r="D5561" s="441">
        <v>18.82</v>
      </c>
    </row>
    <row r="5562" spans="1:4" ht="47.25" customHeight="1">
      <c r="A5562" s="120">
        <v>101253</v>
      </c>
      <c r="B5562" s="119" t="s">
        <v>7101</v>
      </c>
      <c r="C5562" s="120" t="s">
        <v>950</v>
      </c>
      <c r="D5562" s="441">
        <v>23.67</v>
      </c>
    </row>
    <row r="5563" spans="1:4" ht="47.25" customHeight="1">
      <c r="A5563" s="120">
        <v>101254</v>
      </c>
      <c r="B5563" s="119" t="s">
        <v>7102</v>
      </c>
      <c r="C5563" s="120" t="s">
        <v>950</v>
      </c>
      <c r="D5563" s="441">
        <v>12.7</v>
      </c>
    </row>
    <row r="5564" spans="1:4" ht="47.25" customHeight="1">
      <c r="A5564" s="120">
        <v>101255</v>
      </c>
      <c r="B5564" s="119" t="s">
        <v>7103</v>
      </c>
      <c r="C5564" s="120" t="s">
        <v>950</v>
      </c>
      <c r="D5564" s="441">
        <v>11.23</v>
      </c>
    </row>
    <row r="5565" spans="1:4" ht="47.25" customHeight="1">
      <c r="A5565" s="120">
        <v>101256</v>
      </c>
      <c r="B5565" s="119" t="s">
        <v>7104</v>
      </c>
      <c r="C5565" s="120" t="s">
        <v>950</v>
      </c>
      <c r="D5565" s="441">
        <v>19.46</v>
      </c>
    </row>
    <row r="5566" spans="1:4" ht="47.25" customHeight="1">
      <c r="A5566" s="120">
        <v>101257</v>
      </c>
      <c r="B5566" s="119" t="s">
        <v>7105</v>
      </c>
      <c r="C5566" s="120" t="s">
        <v>950</v>
      </c>
      <c r="D5566" s="441">
        <v>20.52</v>
      </c>
    </row>
    <row r="5567" spans="1:4" ht="47.25" customHeight="1">
      <c r="A5567" s="120">
        <v>101258</v>
      </c>
      <c r="B5567" s="119" t="s">
        <v>7106</v>
      </c>
      <c r="C5567" s="120" t="s">
        <v>950</v>
      </c>
      <c r="D5567" s="441">
        <v>23.76</v>
      </c>
    </row>
    <row r="5568" spans="1:4" ht="47.25" customHeight="1">
      <c r="A5568" s="120">
        <v>101259</v>
      </c>
      <c r="B5568" s="119" t="s">
        <v>7107</v>
      </c>
      <c r="C5568" s="120" t="s">
        <v>950</v>
      </c>
      <c r="D5568" s="441">
        <v>26.35</v>
      </c>
    </row>
    <row r="5569" spans="1:4" ht="47.25" customHeight="1">
      <c r="A5569" s="120">
        <v>101260</v>
      </c>
      <c r="B5569" s="119" t="s">
        <v>7108</v>
      </c>
      <c r="C5569" s="120" t="s">
        <v>950</v>
      </c>
      <c r="D5569" s="441">
        <v>32.869999999999997</v>
      </c>
    </row>
    <row r="5570" spans="1:4" ht="47.25" customHeight="1">
      <c r="A5570" s="120">
        <v>101261</v>
      </c>
      <c r="B5570" s="119" t="s">
        <v>7109</v>
      </c>
      <c r="C5570" s="120" t="s">
        <v>950</v>
      </c>
      <c r="D5570" s="441">
        <v>18.39</v>
      </c>
    </row>
    <row r="5571" spans="1:4" ht="47.25" customHeight="1">
      <c r="A5571" s="120">
        <v>101262</v>
      </c>
      <c r="B5571" s="119" t="s">
        <v>7110</v>
      </c>
      <c r="C5571" s="120" t="s">
        <v>950</v>
      </c>
      <c r="D5571" s="441">
        <v>19.43</v>
      </c>
    </row>
    <row r="5572" spans="1:4" ht="47.25" customHeight="1">
      <c r="A5572" s="120">
        <v>101263</v>
      </c>
      <c r="B5572" s="119" t="s">
        <v>7111</v>
      </c>
      <c r="C5572" s="120" t="s">
        <v>950</v>
      </c>
      <c r="D5572" s="441">
        <v>22.43</v>
      </c>
    </row>
    <row r="5573" spans="1:4" ht="47.25" customHeight="1">
      <c r="A5573" s="120">
        <v>101264</v>
      </c>
      <c r="B5573" s="119" t="s">
        <v>7112</v>
      </c>
      <c r="C5573" s="120" t="s">
        <v>950</v>
      </c>
      <c r="D5573" s="441">
        <v>24.84</v>
      </c>
    </row>
    <row r="5574" spans="1:4" ht="47.25" customHeight="1">
      <c r="A5574" s="120">
        <v>101265</v>
      </c>
      <c r="B5574" s="119" t="s">
        <v>7113</v>
      </c>
      <c r="C5574" s="120" t="s">
        <v>950</v>
      </c>
      <c r="D5574" s="441">
        <v>30.91</v>
      </c>
    </row>
    <row r="5575" spans="1:4" ht="47.25" customHeight="1">
      <c r="A5575" s="120">
        <v>101266</v>
      </c>
      <c r="B5575" s="119" t="s">
        <v>7114</v>
      </c>
      <c r="C5575" s="120" t="s">
        <v>950</v>
      </c>
      <c r="D5575" s="441">
        <v>11.3</v>
      </c>
    </row>
    <row r="5576" spans="1:4" ht="47.25" customHeight="1">
      <c r="A5576" s="120">
        <v>101267</v>
      </c>
      <c r="B5576" s="119" t="s">
        <v>7115</v>
      </c>
      <c r="C5576" s="120" t="s">
        <v>950</v>
      </c>
      <c r="D5576" s="441">
        <v>10.82</v>
      </c>
    </row>
    <row r="5577" spans="1:4" ht="47.25" customHeight="1">
      <c r="A5577" s="120">
        <v>101268</v>
      </c>
      <c r="B5577" s="119" t="s">
        <v>7116</v>
      </c>
      <c r="C5577" s="120" t="s">
        <v>950</v>
      </c>
      <c r="D5577" s="441">
        <v>17.71</v>
      </c>
    </row>
    <row r="5578" spans="1:4" ht="47.25" customHeight="1">
      <c r="A5578" s="120">
        <v>101269</v>
      </c>
      <c r="B5578" s="119" t="s">
        <v>7117</v>
      </c>
      <c r="C5578" s="120" t="s">
        <v>950</v>
      </c>
      <c r="D5578" s="441">
        <v>19.66</v>
      </c>
    </row>
    <row r="5579" spans="1:4" ht="47.25" customHeight="1">
      <c r="A5579" s="120">
        <v>101270</v>
      </c>
      <c r="B5579" s="119" t="s">
        <v>7118</v>
      </c>
      <c r="C5579" s="120" t="s">
        <v>950</v>
      </c>
      <c r="D5579" s="441">
        <v>22.74</v>
      </c>
    </row>
    <row r="5580" spans="1:4" ht="47.25" customHeight="1">
      <c r="A5580" s="120">
        <v>101271</v>
      </c>
      <c r="B5580" s="119" t="s">
        <v>7119</v>
      </c>
      <c r="C5580" s="120" t="s">
        <v>950</v>
      </c>
      <c r="D5580" s="441">
        <v>25.19</v>
      </c>
    </row>
    <row r="5581" spans="1:4" ht="47.25" customHeight="1">
      <c r="A5581" s="120">
        <v>101272</v>
      </c>
      <c r="B5581" s="119" t="s">
        <v>7120</v>
      </c>
      <c r="C5581" s="120" t="s">
        <v>950</v>
      </c>
      <c r="D5581" s="441">
        <v>31.38</v>
      </c>
    </row>
    <row r="5582" spans="1:4" ht="47.25" customHeight="1">
      <c r="A5582" s="120">
        <v>101273</v>
      </c>
      <c r="B5582" s="119" t="s">
        <v>7121</v>
      </c>
      <c r="C5582" s="120" t="s">
        <v>950</v>
      </c>
      <c r="D5582" s="441">
        <v>16.88</v>
      </c>
    </row>
    <row r="5583" spans="1:4" ht="47.25" customHeight="1">
      <c r="A5583" s="120">
        <v>101274</v>
      </c>
      <c r="B5583" s="119" t="s">
        <v>7122</v>
      </c>
      <c r="C5583" s="120" t="s">
        <v>950</v>
      </c>
      <c r="D5583" s="441">
        <v>18.64</v>
      </c>
    </row>
    <row r="5584" spans="1:4" ht="47.25" customHeight="1">
      <c r="A5584" s="120">
        <v>101275</v>
      </c>
      <c r="B5584" s="119" t="s">
        <v>7123</v>
      </c>
      <c r="C5584" s="120" t="s">
        <v>950</v>
      </c>
      <c r="D5584" s="441">
        <v>21.56</v>
      </c>
    </row>
    <row r="5585" spans="1:4" ht="47.25" customHeight="1">
      <c r="A5585" s="120">
        <v>101276</v>
      </c>
      <c r="B5585" s="119" t="s">
        <v>7124</v>
      </c>
      <c r="C5585" s="120" t="s">
        <v>950</v>
      </c>
      <c r="D5585" s="441">
        <v>23.81</v>
      </c>
    </row>
    <row r="5586" spans="1:4" ht="47.25" customHeight="1">
      <c r="A5586" s="120">
        <v>101277</v>
      </c>
      <c r="B5586" s="119" t="s">
        <v>7125</v>
      </c>
      <c r="C5586" s="120" t="s">
        <v>950</v>
      </c>
      <c r="D5586" s="441">
        <v>30.36</v>
      </c>
    </row>
    <row r="5587" spans="1:4" ht="31.5" customHeight="1">
      <c r="A5587" s="120">
        <v>102354</v>
      </c>
      <c r="B5587" s="119" t="s">
        <v>7126</v>
      </c>
      <c r="C5587" s="120" t="s">
        <v>950</v>
      </c>
      <c r="D5587" s="441">
        <v>157.05000000000001</v>
      </c>
    </row>
    <row r="5588" spans="1:4" ht="31.5" customHeight="1">
      <c r="A5588" s="120">
        <v>102355</v>
      </c>
      <c r="B5588" s="119" t="s">
        <v>7127</v>
      </c>
      <c r="C5588" s="120" t="s">
        <v>950</v>
      </c>
      <c r="D5588" s="441">
        <v>185.44</v>
      </c>
    </row>
    <row r="5589" spans="1:4" ht="31.5" customHeight="1">
      <c r="A5589" s="120">
        <v>102360</v>
      </c>
      <c r="B5589" s="119" t="s">
        <v>7128</v>
      </c>
      <c r="C5589" s="120" t="s">
        <v>950</v>
      </c>
      <c r="D5589" s="441">
        <v>25.45</v>
      </c>
    </row>
    <row r="5590" spans="1:4" ht="31.5" customHeight="1">
      <c r="A5590" s="120">
        <v>102361</v>
      </c>
      <c r="B5590" s="119" t="s">
        <v>7129</v>
      </c>
      <c r="C5590" s="120" t="s">
        <v>950</v>
      </c>
      <c r="D5590" s="441">
        <v>36.299999999999997</v>
      </c>
    </row>
    <row r="5591" spans="1:4" ht="47.25" customHeight="1">
      <c r="A5591" s="120">
        <v>90082</v>
      </c>
      <c r="B5591" s="119" t="s">
        <v>7130</v>
      </c>
      <c r="C5591" s="120" t="s">
        <v>950</v>
      </c>
      <c r="D5591" s="441">
        <v>12.08</v>
      </c>
    </row>
    <row r="5592" spans="1:4" ht="47.25" customHeight="1">
      <c r="A5592" s="120">
        <v>90084</v>
      </c>
      <c r="B5592" s="119" t="s">
        <v>7131</v>
      </c>
      <c r="C5592" s="120" t="s">
        <v>950</v>
      </c>
      <c r="D5592" s="441">
        <v>11.71</v>
      </c>
    </row>
    <row r="5593" spans="1:4" ht="47.25" customHeight="1">
      <c r="A5593" s="120">
        <v>90086</v>
      </c>
      <c r="B5593" s="119" t="s">
        <v>7132</v>
      </c>
      <c r="C5593" s="120" t="s">
        <v>950</v>
      </c>
      <c r="D5593" s="441">
        <v>11.06</v>
      </c>
    </row>
    <row r="5594" spans="1:4" ht="47.25" customHeight="1">
      <c r="A5594" s="120">
        <v>90087</v>
      </c>
      <c r="B5594" s="119" t="s">
        <v>7133</v>
      </c>
      <c r="C5594" s="120" t="s">
        <v>950</v>
      </c>
      <c r="D5594" s="441">
        <v>10.050000000000001</v>
      </c>
    </row>
    <row r="5595" spans="1:4" ht="47.25" customHeight="1">
      <c r="A5595" s="120">
        <v>90090</v>
      </c>
      <c r="B5595" s="119" t="s">
        <v>7134</v>
      </c>
      <c r="C5595" s="120" t="s">
        <v>950</v>
      </c>
      <c r="D5595" s="441">
        <v>9.83</v>
      </c>
    </row>
    <row r="5596" spans="1:4" ht="47.25" customHeight="1">
      <c r="A5596" s="120">
        <v>90091</v>
      </c>
      <c r="B5596" s="119" t="s">
        <v>7135</v>
      </c>
      <c r="C5596" s="120" t="s">
        <v>950</v>
      </c>
      <c r="D5596" s="441">
        <v>6.54</v>
      </c>
    </row>
    <row r="5597" spans="1:4" ht="47.25" customHeight="1">
      <c r="A5597" s="120">
        <v>90092</v>
      </c>
      <c r="B5597" s="119" t="s">
        <v>7136</v>
      </c>
      <c r="C5597" s="120" t="s">
        <v>950</v>
      </c>
      <c r="D5597" s="441">
        <v>6.45</v>
      </c>
    </row>
    <row r="5598" spans="1:4" ht="47.25" customHeight="1">
      <c r="A5598" s="120">
        <v>90094</v>
      </c>
      <c r="B5598" s="119" t="s">
        <v>7137</v>
      </c>
      <c r="C5598" s="120" t="s">
        <v>950</v>
      </c>
      <c r="D5598" s="441">
        <v>6.11</v>
      </c>
    </row>
    <row r="5599" spans="1:4" ht="47.25" customHeight="1">
      <c r="A5599" s="120">
        <v>90095</v>
      </c>
      <c r="B5599" s="119" t="s">
        <v>7138</v>
      </c>
      <c r="C5599" s="120" t="s">
        <v>950</v>
      </c>
      <c r="D5599" s="441">
        <v>5.52</v>
      </c>
    </row>
    <row r="5600" spans="1:4" ht="47.25" customHeight="1">
      <c r="A5600" s="120">
        <v>90098</v>
      </c>
      <c r="B5600" s="119" t="s">
        <v>7139</v>
      </c>
      <c r="C5600" s="120" t="s">
        <v>950</v>
      </c>
      <c r="D5600" s="441">
        <v>5.43</v>
      </c>
    </row>
    <row r="5601" spans="1:4" ht="47.25" customHeight="1">
      <c r="A5601" s="120">
        <v>90099</v>
      </c>
      <c r="B5601" s="119" t="s">
        <v>7140</v>
      </c>
      <c r="C5601" s="120" t="s">
        <v>950</v>
      </c>
      <c r="D5601" s="441">
        <v>16.260000000000002</v>
      </c>
    </row>
    <row r="5602" spans="1:4" ht="47.25" customHeight="1">
      <c r="A5602" s="120">
        <v>90100</v>
      </c>
      <c r="B5602" s="119" t="s">
        <v>7141</v>
      </c>
      <c r="C5602" s="120" t="s">
        <v>950</v>
      </c>
      <c r="D5602" s="441">
        <v>13.8</v>
      </c>
    </row>
    <row r="5603" spans="1:4" ht="47.25" customHeight="1">
      <c r="A5603" s="120">
        <v>90101</v>
      </c>
      <c r="B5603" s="119" t="s">
        <v>7142</v>
      </c>
      <c r="C5603" s="120" t="s">
        <v>950</v>
      </c>
      <c r="D5603" s="441">
        <v>13.63</v>
      </c>
    </row>
    <row r="5604" spans="1:4" ht="47.25" customHeight="1">
      <c r="A5604" s="120">
        <v>90102</v>
      </c>
      <c r="B5604" s="119" t="s">
        <v>7143</v>
      </c>
      <c r="C5604" s="120" t="s">
        <v>950</v>
      </c>
      <c r="D5604" s="441">
        <v>12.4</v>
      </c>
    </row>
    <row r="5605" spans="1:4" ht="47.25" customHeight="1">
      <c r="A5605" s="120">
        <v>90105</v>
      </c>
      <c r="B5605" s="119" t="s">
        <v>7144</v>
      </c>
      <c r="C5605" s="120" t="s">
        <v>950</v>
      </c>
      <c r="D5605" s="441">
        <v>8.9600000000000009</v>
      </c>
    </row>
    <row r="5606" spans="1:4" ht="47.25" customHeight="1">
      <c r="A5606" s="120">
        <v>90106</v>
      </c>
      <c r="B5606" s="119" t="s">
        <v>7145</v>
      </c>
      <c r="C5606" s="120" t="s">
        <v>950</v>
      </c>
      <c r="D5606" s="441">
        <v>7.61</v>
      </c>
    </row>
    <row r="5607" spans="1:4" ht="47.25" customHeight="1">
      <c r="A5607" s="120">
        <v>90107</v>
      </c>
      <c r="B5607" s="119" t="s">
        <v>7146</v>
      </c>
      <c r="C5607" s="120" t="s">
        <v>950</v>
      </c>
      <c r="D5607" s="441">
        <v>7.51</v>
      </c>
    </row>
    <row r="5608" spans="1:4" ht="47.25" customHeight="1">
      <c r="A5608" s="120">
        <v>90108</v>
      </c>
      <c r="B5608" s="119" t="s">
        <v>7147</v>
      </c>
      <c r="C5608" s="120" t="s">
        <v>950</v>
      </c>
      <c r="D5608" s="441">
        <v>6.84</v>
      </c>
    </row>
    <row r="5609" spans="1:4" ht="15.75" customHeight="1">
      <c r="A5609" s="120">
        <v>93358</v>
      </c>
      <c r="B5609" s="119" t="s">
        <v>7148</v>
      </c>
      <c r="C5609" s="120" t="s">
        <v>950</v>
      </c>
      <c r="D5609" s="441">
        <v>99.37</v>
      </c>
    </row>
    <row r="5610" spans="1:4" ht="47.25" customHeight="1">
      <c r="A5610" s="120">
        <v>102276</v>
      </c>
      <c r="B5610" s="119" t="s">
        <v>7149</v>
      </c>
      <c r="C5610" s="120" t="s">
        <v>950</v>
      </c>
      <c r="D5610" s="441">
        <v>13.59</v>
      </c>
    </row>
    <row r="5611" spans="1:4" ht="47.25" customHeight="1">
      <c r="A5611" s="120">
        <v>102277</v>
      </c>
      <c r="B5611" s="119" t="s">
        <v>7150</v>
      </c>
      <c r="C5611" s="120" t="s">
        <v>950</v>
      </c>
      <c r="D5611" s="441">
        <v>10.74</v>
      </c>
    </row>
    <row r="5612" spans="1:4" ht="47.25" customHeight="1">
      <c r="A5612" s="120">
        <v>102278</v>
      </c>
      <c r="B5612" s="119" t="s">
        <v>7151</v>
      </c>
      <c r="C5612" s="120" t="s">
        <v>950</v>
      </c>
      <c r="D5612" s="441">
        <v>10.48</v>
      </c>
    </row>
    <row r="5613" spans="1:4" ht="47.25" customHeight="1">
      <c r="A5613" s="120">
        <v>102279</v>
      </c>
      <c r="B5613" s="119" t="s">
        <v>7152</v>
      </c>
      <c r="C5613" s="120" t="s">
        <v>950</v>
      </c>
      <c r="D5613" s="441">
        <v>7.5</v>
      </c>
    </row>
    <row r="5614" spans="1:4" ht="47.25" customHeight="1">
      <c r="A5614" s="120">
        <v>102280</v>
      </c>
      <c r="B5614" s="119" t="s">
        <v>7153</v>
      </c>
      <c r="C5614" s="120" t="s">
        <v>950</v>
      </c>
      <c r="D5614" s="441">
        <v>5.92</v>
      </c>
    </row>
    <row r="5615" spans="1:4" ht="47.25" customHeight="1">
      <c r="A5615" s="120">
        <v>102281</v>
      </c>
      <c r="B5615" s="119" t="s">
        <v>7154</v>
      </c>
      <c r="C5615" s="120" t="s">
        <v>950</v>
      </c>
      <c r="D5615" s="441">
        <v>5.77</v>
      </c>
    </row>
    <row r="5616" spans="1:4" ht="47.25" customHeight="1">
      <c r="A5616" s="120">
        <v>102282</v>
      </c>
      <c r="B5616" s="119" t="s">
        <v>7155</v>
      </c>
      <c r="C5616" s="120" t="s">
        <v>950</v>
      </c>
      <c r="D5616" s="441">
        <v>15.1</v>
      </c>
    </row>
    <row r="5617" spans="1:4" ht="47.25" customHeight="1">
      <c r="A5617" s="120">
        <v>102283</v>
      </c>
      <c r="B5617" s="119" t="s">
        <v>7156</v>
      </c>
      <c r="C5617" s="120" t="s">
        <v>950</v>
      </c>
      <c r="D5617" s="441">
        <v>13.41</v>
      </c>
    </row>
    <row r="5618" spans="1:4" ht="47.25" customHeight="1">
      <c r="A5618" s="120">
        <v>102284</v>
      </c>
      <c r="B5618" s="119" t="s">
        <v>7157</v>
      </c>
      <c r="C5618" s="120" t="s">
        <v>950</v>
      </c>
      <c r="D5618" s="441">
        <v>12.99</v>
      </c>
    </row>
    <row r="5619" spans="1:4" ht="47.25" customHeight="1">
      <c r="A5619" s="120">
        <v>102285</v>
      </c>
      <c r="B5619" s="119" t="s">
        <v>7158</v>
      </c>
      <c r="C5619" s="120" t="s">
        <v>950</v>
      </c>
      <c r="D5619" s="441">
        <v>12.28</v>
      </c>
    </row>
    <row r="5620" spans="1:4" ht="47.25" customHeight="1">
      <c r="A5620" s="120">
        <v>102286</v>
      </c>
      <c r="B5620" s="119" t="s">
        <v>7159</v>
      </c>
      <c r="C5620" s="120" t="s">
        <v>950</v>
      </c>
      <c r="D5620" s="441">
        <v>11.94</v>
      </c>
    </row>
    <row r="5621" spans="1:4" ht="47.25" customHeight="1">
      <c r="A5621" s="120">
        <v>102287</v>
      </c>
      <c r="B5621" s="119" t="s">
        <v>7160</v>
      </c>
      <c r="C5621" s="120" t="s">
        <v>950</v>
      </c>
      <c r="D5621" s="441">
        <v>11.64</v>
      </c>
    </row>
    <row r="5622" spans="1:4" ht="47.25" customHeight="1">
      <c r="A5622" s="120">
        <v>102288</v>
      </c>
      <c r="B5622" s="119" t="s">
        <v>7161</v>
      </c>
      <c r="C5622" s="120" t="s">
        <v>950</v>
      </c>
      <c r="D5622" s="441">
        <v>11.17</v>
      </c>
    </row>
    <row r="5623" spans="1:4" ht="47.25" customHeight="1">
      <c r="A5623" s="120">
        <v>102289</v>
      </c>
      <c r="B5623" s="119" t="s">
        <v>7162</v>
      </c>
      <c r="C5623" s="120" t="s">
        <v>950</v>
      </c>
      <c r="D5623" s="441">
        <v>10.91</v>
      </c>
    </row>
    <row r="5624" spans="1:4" ht="47.25" customHeight="1">
      <c r="A5624" s="120">
        <v>102290</v>
      </c>
      <c r="B5624" s="119" t="s">
        <v>7163</v>
      </c>
      <c r="C5624" s="120" t="s">
        <v>950</v>
      </c>
      <c r="D5624" s="441">
        <v>8.33</v>
      </c>
    </row>
    <row r="5625" spans="1:4" ht="47.25" customHeight="1">
      <c r="A5625" s="120">
        <v>102291</v>
      </c>
      <c r="B5625" s="119" t="s">
        <v>7164</v>
      </c>
      <c r="C5625" s="120" t="s">
        <v>950</v>
      </c>
      <c r="D5625" s="441">
        <v>7.4</v>
      </c>
    </row>
    <row r="5626" spans="1:4" ht="47.25" customHeight="1">
      <c r="A5626" s="120">
        <v>102292</v>
      </c>
      <c r="B5626" s="119" t="s">
        <v>7165</v>
      </c>
      <c r="C5626" s="120" t="s">
        <v>950</v>
      </c>
      <c r="D5626" s="441">
        <v>7.17</v>
      </c>
    </row>
    <row r="5627" spans="1:4" ht="47.25" customHeight="1">
      <c r="A5627" s="120">
        <v>102293</v>
      </c>
      <c r="B5627" s="119" t="s">
        <v>7166</v>
      </c>
      <c r="C5627" s="120" t="s">
        <v>950</v>
      </c>
      <c r="D5627" s="441">
        <v>6.78</v>
      </c>
    </row>
    <row r="5628" spans="1:4" ht="47.25" customHeight="1">
      <c r="A5628" s="120">
        <v>102294</v>
      </c>
      <c r="B5628" s="119" t="s">
        <v>7167</v>
      </c>
      <c r="C5628" s="120" t="s">
        <v>950</v>
      </c>
      <c r="D5628" s="441">
        <v>6.6</v>
      </c>
    </row>
    <row r="5629" spans="1:4" ht="47.25" customHeight="1">
      <c r="A5629" s="120">
        <v>102295</v>
      </c>
      <c r="B5629" s="119" t="s">
        <v>7168</v>
      </c>
      <c r="C5629" s="120" t="s">
        <v>950</v>
      </c>
      <c r="D5629" s="441">
        <v>6.41</v>
      </c>
    </row>
    <row r="5630" spans="1:4" ht="47.25" customHeight="1">
      <c r="A5630" s="120">
        <v>102296</v>
      </c>
      <c r="B5630" s="119" t="s">
        <v>7169</v>
      </c>
      <c r="C5630" s="120" t="s">
        <v>950</v>
      </c>
      <c r="D5630" s="441">
        <v>6.16</v>
      </c>
    </row>
    <row r="5631" spans="1:4" ht="47.25" customHeight="1">
      <c r="A5631" s="120">
        <v>102297</v>
      </c>
      <c r="B5631" s="119" t="s">
        <v>7170</v>
      </c>
      <c r="C5631" s="120" t="s">
        <v>950</v>
      </c>
      <c r="D5631" s="441">
        <v>6.02</v>
      </c>
    </row>
    <row r="5632" spans="1:4" ht="47.25" customHeight="1">
      <c r="A5632" s="120">
        <v>102298</v>
      </c>
      <c r="B5632" s="119" t="s">
        <v>7171</v>
      </c>
      <c r="C5632" s="120" t="s">
        <v>950</v>
      </c>
      <c r="D5632" s="441">
        <v>18.059999999999999</v>
      </c>
    </row>
    <row r="5633" spans="1:4" ht="47.25" customHeight="1">
      <c r="A5633" s="120">
        <v>102299</v>
      </c>
      <c r="B5633" s="119" t="s">
        <v>7172</v>
      </c>
      <c r="C5633" s="120" t="s">
        <v>950</v>
      </c>
      <c r="D5633" s="441">
        <v>15.34</v>
      </c>
    </row>
    <row r="5634" spans="1:4" ht="47.25" customHeight="1">
      <c r="A5634" s="120">
        <v>102300</v>
      </c>
      <c r="B5634" s="119" t="s">
        <v>7173</v>
      </c>
      <c r="C5634" s="120" t="s">
        <v>950</v>
      </c>
      <c r="D5634" s="441">
        <v>15.15</v>
      </c>
    </row>
    <row r="5635" spans="1:4" ht="47.25" customHeight="1">
      <c r="A5635" s="120">
        <v>102301</v>
      </c>
      <c r="B5635" s="119" t="s">
        <v>7174</v>
      </c>
      <c r="C5635" s="120" t="s">
        <v>950</v>
      </c>
      <c r="D5635" s="441">
        <v>13.78</v>
      </c>
    </row>
    <row r="5636" spans="1:4" ht="47.25" customHeight="1">
      <c r="A5636" s="120">
        <v>102302</v>
      </c>
      <c r="B5636" s="119" t="s">
        <v>7175</v>
      </c>
      <c r="C5636" s="120" t="s">
        <v>950</v>
      </c>
      <c r="D5636" s="441">
        <v>9.9600000000000009</v>
      </c>
    </row>
    <row r="5637" spans="1:4" ht="47.25" customHeight="1">
      <c r="A5637" s="120">
        <v>102303</v>
      </c>
      <c r="B5637" s="119" t="s">
        <v>7176</v>
      </c>
      <c r="C5637" s="120" t="s">
        <v>950</v>
      </c>
      <c r="D5637" s="441">
        <v>8.4600000000000009</v>
      </c>
    </row>
    <row r="5638" spans="1:4" ht="47.25" customHeight="1">
      <c r="A5638" s="120">
        <v>102304</v>
      </c>
      <c r="B5638" s="119" t="s">
        <v>7177</v>
      </c>
      <c r="C5638" s="120" t="s">
        <v>950</v>
      </c>
      <c r="D5638" s="441">
        <v>8.34</v>
      </c>
    </row>
    <row r="5639" spans="1:4" ht="47.25" customHeight="1">
      <c r="A5639" s="120">
        <v>102305</v>
      </c>
      <c r="B5639" s="119" t="s">
        <v>7178</v>
      </c>
      <c r="C5639" s="120" t="s">
        <v>950</v>
      </c>
      <c r="D5639" s="441">
        <v>7.6</v>
      </c>
    </row>
    <row r="5640" spans="1:4" ht="47.25" customHeight="1">
      <c r="A5640" s="120">
        <v>102306</v>
      </c>
      <c r="B5640" s="119" t="s">
        <v>7179</v>
      </c>
      <c r="C5640" s="120" t="s">
        <v>950</v>
      </c>
      <c r="D5640" s="441">
        <v>17.010000000000002</v>
      </c>
    </row>
    <row r="5641" spans="1:4" ht="47.25" customHeight="1">
      <c r="A5641" s="120">
        <v>102307</v>
      </c>
      <c r="B5641" s="119" t="s">
        <v>7180</v>
      </c>
      <c r="C5641" s="120" t="s">
        <v>950</v>
      </c>
      <c r="D5641" s="441">
        <v>15.09</v>
      </c>
    </row>
    <row r="5642" spans="1:4" ht="47.25" customHeight="1">
      <c r="A5642" s="120">
        <v>102308</v>
      </c>
      <c r="B5642" s="119" t="s">
        <v>7181</v>
      </c>
      <c r="C5642" s="120" t="s">
        <v>950</v>
      </c>
      <c r="D5642" s="441">
        <v>14.64</v>
      </c>
    </row>
    <row r="5643" spans="1:4" ht="47.25" customHeight="1">
      <c r="A5643" s="120">
        <v>102309</v>
      </c>
      <c r="B5643" s="119" t="s">
        <v>7182</v>
      </c>
      <c r="C5643" s="120" t="s">
        <v>950</v>
      </c>
      <c r="D5643" s="441">
        <v>13.86</v>
      </c>
    </row>
    <row r="5644" spans="1:4" ht="47.25" customHeight="1">
      <c r="A5644" s="120">
        <v>102310</v>
      </c>
      <c r="B5644" s="119" t="s">
        <v>7183</v>
      </c>
      <c r="C5644" s="120" t="s">
        <v>950</v>
      </c>
      <c r="D5644" s="441">
        <v>13.43</v>
      </c>
    </row>
    <row r="5645" spans="1:4" ht="47.25" customHeight="1">
      <c r="A5645" s="120">
        <v>102311</v>
      </c>
      <c r="B5645" s="119" t="s">
        <v>7184</v>
      </c>
      <c r="C5645" s="120" t="s">
        <v>950</v>
      </c>
      <c r="D5645" s="441">
        <v>13.08</v>
      </c>
    </row>
    <row r="5646" spans="1:4" ht="47.25" customHeight="1">
      <c r="A5646" s="120">
        <v>102312</v>
      </c>
      <c r="B5646" s="119" t="s">
        <v>7185</v>
      </c>
      <c r="C5646" s="120" t="s">
        <v>950</v>
      </c>
      <c r="D5646" s="441">
        <v>12.57</v>
      </c>
    </row>
    <row r="5647" spans="1:4" ht="47.25" customHeight="1">
      <c r="A5647" s="120">
        <v>102313</v>
      </c>
      <c r="B5647" s="119" t="s">
        <v>7186</v>
      </c>
      <c r="C5647" s="120" t="s">
        <v>950</v>
      </c>
      <c r="D5647" s="441">
        <v>12.28</v>
      </c>
    </row>
    <row r="5648" spans="1:4" ht="47.25" customHeight="1">
      <c r="A5648" s="120">
        <v>102314</v>
      </c>
      <c r="B5648" s="119" t="s">
        <v>7187</v>
      </c>
      <c r="C5648" s="120" t="s">
        <v>950</v>
      </c>
      <c r="D5648" s="441">
        <v>9.39</v>
      </c>
    </row>
    <row r="5649" spans="1:4" ht="47.25" customHeight="1">
      <c r="A5649" s="120">
        <v>102315</v>
      </c>
      <c r="B5649" s="119" t="s">
        <v>7188</v>
      </c>
      <c r="C5649" s="120" t="s">
        <v>950</v>
      </c>
      <c r="D5649" s="441">
        <v>8.33</v>
      </c>
    </row>
    <row r="5650" spans="1:4" ht="47.25" customHeight="1">
      <c r="A5650" s="120">
        <v>102316</v>
      </c>
      <c r="B5650" s="119" t="s">
        <v>7189</v>
      </c>
      <c r="C5650" s="120" t="s">
        <v>950</v>
      </c>
      <c r="D5650" s="441">
        <v>8.07</v>
      </c>
    </row>
    <row r="5651" spans="1:4" ht="47.25" customHeight="1">
      <c r="A5651" s="120">
        <v>102317</v>
      </c>
      <c r="B5651" s="119" t="s">
        <v>7190</v>
      </c>
      <c r="C5651" s="120" t="s">
        <v>950</v>
      </c>
      <c r="D5651" s="441">
        <v>7.62</v>
      </c>
    </row>
    <row r="5652" spans="1:4" ht="47.25" customHeight="1">
      <c r="A5652" s="120">
        <v>102318</v>
      </c>
      <c r="B5652" s="119" t="s">
        <v>7191</v>
      </c>
      <c r="C5652" s="120" t="s">
        <v>950</v>
      </c>
      <c r="D5652" s="441">
        <v>7.42</v>
      </c>
    </row>
    <row r="5653" spans="1:4" ht="47.25" customHeight="1">
      <c r="A5653" s="120">
        <v>102319</v>
      </c>
      <c r="B5653" s="119" t="s">
        <v>7192</v>
      </c>
      <c r="C5653" s="120" t="s">
        <v>950</v>
      </c>
      <c r="D5653" s="441">
        <v>7.21</v>
      </c>
    </row>
    <row r="5654" spans="1:4" ht="47.25" customHeight="1">
      <c r="A5654" s="120">
        <v>102320</v>
      </c>
      <c r="B5654" s="119" t="s">
        <v>7193</v>
      </c>
      <c r="C5654" s="120" t="s">
        <v>950</v>
      </c>
      <c r="D5654" s="441">
        <v>6.93</v>
      </c>
    </row>
    <row r="5655" spans="1:4" ht="47.25" customHeight="1">
      <c r="A5655" s="120">
        <v>102321</v>
      </c>
      <c r="B5655" s="119" t="s">
        <v>7194</v>
      </c>
      <c r="C5655" s="120" t="s">
        <v>950</v>
      </c>
      <c r="D5655" s="441">
        <v>6.79</v>
      </c>
    </row>
    <row r="5656" spans="1:4" ht="47.25" customHeight="1">
      <c r="A5656" s="120">
        <v>102322</v>
      </c>
      <c r="B5656" s="119" t="s">
        <v>7195</v>
      </c>
      <c r="C5656" s="120" t="s">
        <v>950</v>
      </c>
      <c r="D5656" s="441">
        <v>20.32</v>
      </c>
    </row>
    <row r="5657" spans="1:4" ht="47.25" customHeight="1">
      <c r="A5657" s="120">
        <v>102323</v>
      </c>
      <c r="B5657" s="119" t="s">
        <v>7196</v>
      </c>
      <c r="C5657" s="120" t="s">
        <v>950</v>
      </c>
      <c r="D5657" s="441">
        <v>17.260000000000002</v>
      </c>
    </row>
    <row r="5658" spans="1:4" ht="47.25" customHeight="1">
      <c r="A5658" s="120">
        <v>102324</v>
      </c>
      <c r="B5658" s="119" t="s">
        <v>7197</v>
      </c>
      <c r="C5658" s="120" t="s">
        <v>950</v>
      </c>
      <c r="D5658" s="441">
        <v>17.04</v>
      </c>
    </row>
    <row r="5659" spans="1:4" ht="47.25" customHeight="1">
      <c r="A5659" s="120">
        <v>102325</v>
      </c>
      <c r="B5659" s="119" t="s">
        <v>7198</v>
      </c>
      <c r="C5659" s="120" t="s">
        <v>950</v>
      </c>
      <c r="D5659" s="441">
        <v>15.52</v>
      </c>
    </row>
    <row r="5660" spans="1:4" ht="47.25" customHeight="1">
      <c r="A5660" s="120">
        <v>102326</v>
      </c>
      <c r="B5660" s="119" t="s">
        <v>7199</v>
      </c>
      <c r="C5660" s="120" t="s">
        <v>950</v>
      </c>
      <c r="D5660" s="441">
        <v>11.23</v>
      </c>
    </row>
    <row r="5661" spans="1:4" ht="47.25" customHeight="1">
      <c r="A5661" s="120">
        <v>102327</v>
      </c>
      <c r="B5661" s="119" t="s">
        <v>7200</v>
      </c>
      <c r="C5661" s="120" t="s">
        <v>950</v>
      </c>
      <c r="D5661" s="441">
        <v>9.5299999999999994</v>
      </c>
    </row>
    <row r="5662" spans="1:4" ht="47.25" customHeight="1">
      <c r="A5662" s="120">
        <v>102328</v>
      </c>
      <c r="B5662" s="119" t="s">
        <v>7201</v>
      </c>
      <c r="C5662" s="120" t="s">
        <v>950</v>
      </c>
      <c r="D5662" s="441">
        <v>9.39</v>
      </c>
    </row>
    <row r="5663" spans="1:4" ht="47.25" customHeight="1">
      <c r="A5663" s="120">
        <v>102329</v>
      </c>
      <c r="B5663" s="119" t="s">
        <v>7202</v>
      </c>
      <c r="C5663" s="120" t="s">
        <v>950</v>
      </c>
      <c r="D5663" s="441">
        <v>8.56</v>
      </c>
    </row>
    <row r="5664" spans="1:4" ht="31.5" customHeight="1">
      <c r="A5664" s="120">
        <v>94304</v>
      </c>
      <c r="B5664" s="119" t="s">
        <v>7203</v>
      </c>
      <c r="C5664" s="120" t="s">
        <v>950</v>
      </c>
      <c r="D5664" s="441">
        <v>69.87</v>
      </c>
    </row>
    <row r="5665" spans="1:4" ht="31.5" customHeight="1">
      <c r="A5665" s="120">
        <v>94305</v>
      </c>
      <c r="B5665" s="119" t="s">
        <v>7204</v>
      </c>
      <c r="C5665" s="120" t="s">
        <v>950</v>
      </c>
      <c r="D5665" s="441">
        <v>65.45</v>
      </c>
    </row>
    <row r="5666" spans="1:4" ht="31.5" customHeight="1">
      <c r="A5666" s="120">
        <v>94306</v>
      </c>
      <c r="B5666" s="119" t="s">
        <v>7205</v>
      </c>
      <c r="C5666" s="120" t="s">
        <v>950</v>
      </c>
      <c r="D5666" s="441">
        <v>59.88</v>
      </c>
    </row>
    <row r="5667" spans="1:4" ht="31.5" customHeight="1">
      <c r="A5667" s="120">
        <v>94307</v>
      </c>
      <c r="B5667" s="119" t="s">
        <v>7206</v>
      </c>
      <c r="C5667" s="120" t="s">
        <v>950</v>
      </c>
      <c r="D5667" s="441">
        <v>61.15</v>
      </c>
    </row>
    <row r="5668" spans="1:4" ht="31.5" customHeight="1">
      <c r="A5668" s="120">
        <v>94308</v>
      </c>
      <c r="B5668" s="119" t="s">
        <v>7207</v>
      </c>
      <c r="C5668" s="120" t="s">
        <v>950</v>
      </c>
      <c r="D5668" s="441">
        <v>57.75</v>
      </c>
    </row>
    <row r="5669" spans="1:4" ht="31.5" customHeight="1">
      <c r="A5669" s="120">
        <v>94309</v>
      </c>
      <c r="B5669" s="119" t="s">
        <v>7208</v>
      </c>
      <c r="C5669" s="120" t="s">
        <v>950</v>
      </c>
      <c r="D5669" s="441">
        <v>59.28</v>
      </c>
    </row>
    <row r="5670" spans="1:4" ht="31.5" customHeight="1">
      <c r="A5670" s="120">
        <v>94310</v>
      </c>
      <c r="B5670" s="119" t="s">
        <v>7209</v>
      </c>
      <c r="C5670" s="120" t="s">
        <v>950</v>
      </c>
      <c r="D5670" s="441">
        <v>56.68</v>
      </c>
    </row>
    <row r="5671" spans="1:4" ht="31.5" customHeight="1">
      <c r="A5671" s="120">
        <v>94315</v>
      </c>
      <c r="B5671" s="119" t="s">
        <v>7210</v>
      </c>
      <c r="C5671" s="120" t="s">
        <v>950</v>
      </c>
      <c r="D5671" s="441">
        <v>78.209999999999994</v>
      </c>
    </row>
    <row r="5672" spans="1:4" ht="31.5" customHeight="1">
      <c r="A5672" s="120">
        <v>94316</v>
      </c>
      <c r="B5672" s="119" t="s">
        <v>7211</v>
      </c>
      <c r="C5672" s="120" t="s">
        <v>950</v>
      </c>
      <c r="D5672" s="441">
        <v>68.11</v>
      </c>
    </row>
    <row r="5673" spans="1:4" ht="31.5" customHeight="1">
      <c r="A5673" s="120">
        <v>94317</v>
      </c>
      <c r="B5673" s="119" t="s">
        <v>7212</v>
      </c>
      <c r="C5673" s="120" t="s">
        <v>950</v>
      </c>
      <c r="D5673" s="441">
        <v>63.65</v>
      </c>
    </row>
    <row r="5674" spans="1:4" ht="47.25" customHeight="1">
      <c r="A5674" s="120">
        <v>94318</v>
      </c>
      <c r="B5674" s="119" t="s">
        <v>7213</v>
      </c>
      <c r="C5674" s="120" t="s">
        <v>950</v>
      </c>
      <c r="D5674" s="441">
        <v>57.88</v>
      </c>
    </row>
    <row r="5675" spans="1:4" ht="15.75" customHeight="1">
      <c r="A5675" s="120">
        <v>94319</v>
      </c>
      <c r="B5675" s="119" t="s">
        <v>7214</v>
      </c>
      <c r="C5675" s="120" t="s">
        <v>950</v>
      </c>
      <c r="D5675" s="441">
        <v>84.12</v>
      </c>
    </row>
    <row r="5676" spans="1:4" ht="31.5" customHeight="1">
      <c r="A5676" s="120">
        <v>94327</v>
      </c>
      <c r="B5676" s="119" t="s">
        <v>7215</v>
      </c>
      <c r="C5676" s="120" t="s">
        <v>950</v>
      </c>
      <c r="D5676" s="441">
        <v>77.319999999999993</v>
      </c>
    </row>
    <row r="5677" spans="1:4" ht="31.5" customHeight="1">
      <c r="A5677" s="120">
        <v>94328</v>
      </c>
      <c r="B5677" s="119" t="s">
        <v>7216</v>
      </c>
      <c r="C5677" s="120" t="s">
        <v>950</v>
      </c>
      <c r="D5677" s="441">
        <v>72.900000000000006</v>
      </c>
    </row>
    <row r="5678" spans="1:4" ht="31.5" customHeight="1">
      <c r="A5678" s="120">
        <v>94329</v>
      </c>
      <c r="B5678" s="119" t="s">
        <v>7217</v>
      </c>
      <c r="C5678" s="120" t="s">
        <v>950</v>
      </c>
      <c r="D5678" s="441">
        <v>67.33</v>
      </c>
    </row>
    <row r="5679" spans="1:4" ht="31.5" customHeight="1">
      <c r="A5679" s="120">
        <v>94330</v>
      </c>
      <c r="B5679" s="119" t="s">
        <v>7218</v>
      </c>
      <c r="C5679" s="120" t="s">
        <v>950</v>
      </c>
      <c r="D5679" s="441">
        <v>68.599999999999994</v>
      </c>
    </row>
    <row r="5680" spans="1:4" ht="31.5" customHeight="1">
      <c r="A5680" s="120">
        <v>94331</v>
      </c>
      <c r="B5680" s="119" t="s">
        <v>7219</v>
      </c>
      <c r="C5680" s="120" t="s">
        <v>950</v>
      </c>
      <c r="D5680" s="441">
        <v>65.2</v>
      </c>
    </row>
    <row r="5681" spans="1:4" ht="31.5" customHeight="1">
      <c r="A5681" s="120">
        <v>94332</v>
      </c>
      <c r="B5681" s="119" t="s">
        <v>7220</v>
      </c>
      <c r="C5681" s="120" t="s">
        <v>950</v>
      </c>
      <c r="D5681" s="441">
        <v>66.73</v>
      </c>
    </row>
    <row r="5682" spans="1:4" ht="31.5" customHeight="1">
      <c r="A5682" s="120">
        <v>94333</v>
      </c>
      <c r="B5682" s="119" t="s">
        <v>7221</v>
      </c>
      <c r="C5682" s="120" t="s">
        <v>950</v>
      </c>
      <c r="D5682" s="441">
        <v>64.13</v>
      </c>
    </row>
    <row r="5683" spans="1:4" ht="31.5" customHeight="1">
      <c r="A5683" s="120">
        <v>94338</v>
      </c>
      <c r="B5683" s="119" t="s">
        <v>7222</v>
      </c>
      <c r="C5683" s="120" t="s">
        <v>950</v>
      </c>
      <c r="D5683" s="441">
        <v>85.66</v>
      </c>
    </row>
    <row r="5684" spans="1:4" ht="31.5" customHeight="1">
      <c r="A5684" s="120">
        <v>94339</v>
      </c>
      <c r="B5684" s="119" t="s">
        <v>7223</v>
      </c>
      <c r="C5684" s="120" t="s">
        <v>950</v>
      </c>
      <c r="D5684" s="441">
        <v>75.56</v>
      </c>
    </row>
    <row r="5685" spans="1:4" ht="31.5" customHeight="1">
      <c r="A5685" s="120">
        <v>94340</v>
      </c>
      <c r="B5685" s="119" t="s">
        <v>7224</v>
      </c>
      <c r="C5685" s="120" t="s">
        <v>950</v>
      </c>
      <c r="D5685" s="441">
        <v>71.099999999999994</v>
      </c>
    </row>
    <row r="5686" spans="1:4" ht="47.25" customHeight="1">
      <c r="A5686" s="120">
        <v>94341</v>
      </c>
      <c r="B5686" s="119" t="s">
        <v>7225</v>
      </c>
      <c r="C5686" s="120" t="s">
        <v>950</v>
      </c>
      <c r="D5686" s="441">
        <v>65.33</v>
      </c>
    </row>
    <row r="5687" spans="1:4" ht="15.75" customHeight="1">
      <c r="A5687" s="120">
        <v>94342</v>
      </c>
      <c r="B5687" s="119" t="s">
        <v>7226</v>
      </c>
      <c r="C5687" s="120" t="s">
        <v>950</v>
      </c>
      <c r="D5687" s="441">
        <v>91.57</v>
      </c>
    </row>
    <row r="5688" spans="1:4" ht="31.5" customHeight="1">
      <c r="A5688" s="120">
        <v>96385</v>
      </c>
      <c r="B5688" s="119" t="s">
        <v>7227</v>
      </c>
      <c r="C5688" s="120" t="s">
        <v>950</v>
      </c>
      <c r="D5688" s="441">
        <v>12.04</v>
      </c>
    </row>
    <row r="5689" spans="1:4" ht="31.5" customHeight="1">
      <c r="A5689" s="120">
        <v>96386</v>
      </c>
      <c r="B5689" s="119" t="s">
        <v>7228</v>
      </c>
      <c r="C5689" s="120" t="s">
        <v>950</v>
      </c>
      <c r="D5689" s="441">
        <v>8.6</v>
      </c>
    </row>
    <row r="5690" spans="1:4" ht="47.25" customHeight="1">
      <c r="A5690" s="120">
        <v>93360</v>
      </c>
      <c r="B5690" s="119" t="s">
        <v>7229</v>
      </c>
      <c r="C5690" s="120" t="s">
        <v>950</v>
      </c>
      <c r="D5690" s="441">
        <v>24.67</v>
      </c>
    </row>
    <row r="5691" spans="1:4" ht="47.25" customHeight="1">
      <c r="A5691" s="120">
        <v>93361</v>
      </c>
      <c r="B5691" s="119" t="s">
        <v>7230</v>
      </c>
      <c r="C5691" s="120" t="s">
        <v>950</v>
      </c>
      <c r="D5691" s="441">
        <v>20.38</v>
      </c>
    </row>
    <row r="5692" spans="1:4" ht="47.25" customHeight="1">
      <c r="A5692" s="120">
        <v>93362</v>
      </c>
      <c r="B5692" s="119" t="s">
        <v>7231</v>
      </c>
      <c r="C5692" s="120" t="s">
        <v>950</v>
      </c>
      <c r="D5692" s="441">
        <v>14.71</v>
      </c>
    </row>
    <row r="5693" spans="1:4" ht="47.25" customHeight="1">
      <c r="A5693" s="120">
        <v>93363</v>
      </c>
      <c r="B5693" s="119" t="s">
        <v>7232</v>
      </c>
      <c r="C5693" s="120" t="s">
        <v>950</v>
      </c>
      <c r="D5693" s="441">
        <v>15.95</v>
      </c>
    </row>
    <row r="5694" spans="1:4" ht="47.25" customHeight="1">
      <c r="A5694" s="120">
        <v>93364</v>
      </c>
      <c r="B5694" s="119" t="s">
        <v>7233</v>
      </c>
      <c r="C5694" s="120" t="s">
        <v>950</v>
      </c>
      <c r="D5694" s="441">
        <v>12.55</v>
      </c>
    </row>
    <row r="5695" spans="1:4" ht="47.25" customHeight="1">
      <c r="A5695" s="120">
        <v>93365</v>
      </c>
      <c r="B5695" s="119" t="s">
        <v>7234</v>
      </c>
      <c r="C5695" s="120" t="s">
        <v>950</v>
      </c>
      <c r="D5695" s="441">
        <v>13.99</v>
      </c>
    </row>
    <row r="5696" spans="1:4" ht="47.25" customHeight="1">
      <c r="A5696" s="120">
        <v>93366</v>
      </c>
      <c r="B5696" s="119" t="s">
        <v>7235</v>
      </c>
      <c r="C5696" s="120" t="s">
        <v>950</v>
      </c>
      <c r="D5696" s="441">
        <v>11.5</v>
      </c>
    </row>
    <row r="5697" spans="1:4" ht="47.25" customHeight="1">
      <c r="A5697" s="120">
        <v>93367</v>
      </c>
      <c r="B5697" s="119" t="s">
        <v>7236</v>
      </c>
      <c r="C5697" s="120" t="s">
        <v>950</v>
      </c>
      <c r="D5697" s="441">
        <v>23.07</v>
      </c>
    </row>
    <row r="5698" spans="1:4" ht="47.25" customHeight="1">
      <c r="A5698" s="120">
        <v>93368</v>
      </c>
      <c r="B5698" s="119" t="s">
        <v>7237</v>
      </c>
      <c r="C5698" s="120" t="s">
        <v>950</v>
      </c>
      <c r="D5698" s="441">
        <v>18.68</v>
      </c>
    </row>
    <row r="5699" spans="1:4" ht="47.25" customHeight="1">
      <c r="A5699" s="120">
        <v>93369</v>
      </c>
      <c r="B5699" s="119" t="s">
        <v>7238</v>
      </c>
      <c r="C5699" s="120" t="s">
        <v>950</v>
      </c>
      <c r="D5699" s="441">
        <v>13.11</v>
      </c>
    </row>
    <row r="5700" spans="1:4" ht="47.25" customHeight="1">
      <c r="A5700" s="120">
        <v>93370</v>
      </c>
      <c r="B5700" s="119" t="s">
        <v>7239</v>
      </c>
      <c r="C5700" s="120" t="s">
        <v>950</v>
      </c>
      <c r="D5700" s="441">
        <v>14.39</v>
      </c>
    </row>
    <row r="5701" spans="1:4" ht="47.25" customHeight="1">
      <c r="A5701" s="120">
        <v>93371</v>
      </c>
      <c r="B5701" s="119" t="s">
        <v>7240</v>
      </c>
      <c r="C5701" s="120" t="s">
        <v>950</v>
      </c>
      <c r="D5701" s="441">
        <v>10.98</v>
      </c>
    </row>
    <row r="5702" spans="1:4" ht="47.25" customHeight="1">
      <c r="A5702" s="120">
        <v>93372</v>
      </c>
      <c r="B5702" s="119" t="s">
        <v>7241</v>
      </c>
      <c r="C5702" s="120" t="s">
        <v>950</v>
      </c>
      <c r="D5702" s="441">
        <v>12.52</v>
      </c>
    </row>
    <row r="5703" spans="1:4" ht="47.25" customHeight="1">
      <c r="A5703" s="120">
        <v>93373</v>
      </c>
      <c r="B5703" s="119" t="s">
        <v>7242</v>
      </c>
      <c r="C5703" s="120" t="s">
        <v>950</v>
      </c>
      <c r="D5703" s="441">
        <v>9.94</v>
      </c>
    </row>
    <row r="5704" spans="1:4" ht="47.25" customHeight="1">
      <c r="A5704" s="120">
        <v>93374</v>
      </c>
      <c r="B5704" s="119" t="s">
        <v>7243</v>
      </c>
      <c r="C5704" s="120" t="s">
        <v>950</v>
      </c>
      <c r="D5704" s="441">
        <v>28.42</v>
      </c>
    </row>
    <row r="5705" spans="1:4" ht="47.25" customHeight="1">
      <c r="A5705" s="120">
        <v>93375</v>
      </c>
      <c r="B5705" s="119" t="s">
        <v>7244</v>
      </c>
      <c r="C5705" s="120" t="s">
        <v>950</v>
      </c>
      <c r="D5705" s="441">
        <v>21.91</v>
      </c>
    </row>
    <row r="5706" spans="1:4" ht="47.25" customHeight="1">
      <c r="A5706" s="120">
        <v>93376</v>
      </c>
      <c r="B5706" s="119" t="s">
        <v>7245</v>
      </c>
      <c r="C5706" s="120" t="s">
        <v>950</v>
      </c>
      <c r="D5706" s="441">
        <v>17.87</v>
      </c>
    </row>
    <row r="5707" spans="1:4" ht="47.25" customHeight="1">
      <c r="A5707" s="120">
        <v>93377</v>
      </c>
      <c r="B5707" s="119" t="s">
        <v>7246</v>
      </c>
      <c r="C5707" s="120" t="s">
        <v>950</v>
      </c>
      <c r="D5707" s="441">
        <v>11.83</v>
      </c>
    </row>
    <row r="5708" spans="1:4" ht="47.25" customHeight="1">
      <c r="A5708" s="120">
        <v>93378</v>
      </c>
      <c r="B5708" s="119" t="s">
        <v>7247</v>
      </c>
      <c r="C5708" s="120" t="s">
        <v>950</v>
      </c>
      <c r="D5708" s="441">
        <v>26.69</v>
      </c>
    </row>
    <row r="5709" spans="1:4" ht="47.25" customHeight="1">
      <c r="A5709" s="120">
        <v>93379</v>
      </c>
      <c r="B5709" s="119" t="s">
        <v>7248</v>
      </c>
      <c r="C5709" s="120" t="s">
        <v>950</v>
      </c>
      <c r="D5709" s="441">
        <v>20.59</v>
      </c>
    </row>
    <row r="5710" spans="1:4" ht="47.25" customHeight="1">
      <c r="A5710" s="120">
        <v>93380</v>
      </c>
      <c r="B5710" s="119" t="s">
        <v>7249</v>
      </c>
      <c r="C5710" s="120" t="s">
        <v>950</v>
      </c>
      <c r="D5710" s="441">
        <v>16.86</v>
      </c>
    </row>
    <row r="5711" spans="1:4" ht="47.25" customHeight="1">
      <c r="A5711" s="120">
        <v>93381</v>
      </c>
      <c r="B5711" s="119" t="s">
        <v>7250</v>
      </c>
      <c r="C5711" s="120" t="s">
        <v>950</v>
      </c>
      <c r="D5711" s="441">
        <v>11.12</v>
      </c>
    </row>
    <row r="5712" spans="1:4" ht="15.75" customHeight="1">
      <c r="A5712" s="120">
        <v>93382</v>
      </c>
      <c r="B5712" s="119" t="s">
        <v>7251</v>
      </c>
      <c r="C5712" s="120" t="s">
        <v>950</v>
      </c>
      <c r="D5712" s="441">
        <v>37.35</v>
      </c>
    </row>
    <row r="5713" spans="1:4" ht="15.75" customHeight="1">
      <c r="A5713" s="120">
        <v>96995</v>
      </c>
      <c r="B5713" s="119" t="s">
        <v>7252</v>
      </c>
      <c r="C5713" s="120" t="s">
        <v>950</v>
      </c>
      <c r="D5713" s="441">
        <v>60.25</v>
      </c>
    </row>
    <row r="5714" spans="1:4" ht="31.5" customHeight="1">
      <c r="A5714" s="120">
        <v>97916</v>
      </c>
      <c r="B5714" s="119" t="s">
        <v>7253</v>
      </c>
      <c r="C5714" s="120" t="s">
        <v>7254</v>
      </c>
      <c r="D5714" s="441">
        <v>2.4</v>
      </c>
    </row>
    <row r="5715" spans="1:4" ht="31.5" customHeight="1">
      <c r="A5715" s="120">
        <v>97917</v>
      </c>
      <c r="B5715" s="119" t="s">
        <v>7255</v>
      </c>
      <c r="C5715" s="120" t="s">
        <v>7254</v>
      </c>
      <c r="D5715" s="441">
        <v>2.0699999999999998</v>
      </c>
    </row>
    <row r="5716" spans="1:4" ht="31.5" customHeight="1">
      <c r="A5716" s="120">
        <v>97918</v>
      </c>
      <c r="B5716" s="119" t="s">
        <v>7256</v>
      </c>
      <c r="C5716" s="120" t="s">
        <v>7254</v>
      </c>
      <c r="D5716" s="441">
        <v>1.91</v>
      </c>
    </row>
    <row r="5717" spans="1:4" ht="31.5" customHeight="1">
      <c r="A5717" s="120">
        <v>97919</v>
      </c>
      <c r="B5717" s="119" t="s">
        <v>7257</v>
      </c>
      <c r="C5717" s="120" t="s">
        <v>7254</v>
      </c>
      <c r="D5717" s="441">
        <v>0.76</v>
      </c>
    </row>
    <row r="5718" spans="1:4" ht="15.75" customHeight="1">
      <c r="A5718" s="120">
        <v>101616</v>
      </c>
      <c r="B5718" s="119" t="s">
        <v>7258</v>
      </c>
      <c r="C5718" s="120" t="s">
        <v>951</v>
      </c>
      <c r="D5718" s="441">
        <v>7.4</v>
      </c>
    </row>
    <row r="5719" spans="1:4" ht="31.5" customHeight="1">
      <c r="A5719" s="120">
        <v>101617</v>
      </c>
      <c r="B5719" s="119" t="s">
        <v>7259</v>
      </c>
      <c r="C5719" s="120" t="s">
        <v>951</v>
      </c>
      <c r="D5719" s="441">
        <v>3.66</v>
      </c>
    </row>
    <row r="5720" spans="1:4" ht="31.5" customHeight="1">
      <c r="A5720" s="120">
        <v>101618</v>
      </c>
      <c r="B5720" s="119" t="s">
        <v>7260</v>
      </c>
      <c r="C5720" s="120" t="s">
        <v>950</v>
      </c>
      <c r="D5720" s="441">
        <v>242.32</v>
      </c>
    </row>
    <row r="5721" spans="1:4" ht="31.5" customHeight="1">
      <c r="A5721" s="120">
        <v>101619</v>
      </c>
      <c r="B5721" s="119" t="s">
        <v>7261</v>
      </c>
      <c r="C5721" s="120" t="s">
        <v>950</v>
      </c>
      <c r="D5721" s="441">
        <v>257.52</v>
      </c>
    </row>
    <row r="5722" spans="1:4" ht="31.5" customHeight="1">
      <c r="A5722" s="120">
        <v>101620</v>
      </c>
      <c r="B5722" s="119" t="s">
        <v>7262</v>
      </c>
      <c r="C5722" s="120" t="s">
        <v>950</v>
      </c>
      <c r="D5722" s="441">
        <v>212.62</v>
      </c>
    </row>
    <row r="5723" spans="1:4" ht="31.5" customHeight="1">
      <c r="A5723" s="120">
        <v>101621</v>
      </c>
      <c r="B5723" s="119" t="s">
        <v>7263</v>
      </c>
      <c r="C5723" s="120" t="s">
        <v>950</v>
      </c>
      <c r="D5723" s="441">
        <v>227.82</v>
      </c>
    </row>
    <row r="5724" spans="1:4" ht="31.5" customHeight="1">
      <c r="A5724" s="120">
        <v>101622</v>
      </c>
      <c r="B5724" s="119" t="s">
        <v>7264</v>
      </c>
      <c r="C5724" s="120" t="s">
        <v>950</v>
      </c>
      <c r="D5724" s="441">
        <v>200.29</v>
      </c>
    </row>
    <row r="5725" spans="1:4" ht="31.5" customHeight="1">
      <c r="A5725" s="120">
        <v>101623</v>
      </c>
      <c r="B5725" s="119" t="s">
        <v>7265</v>
      </c>
      <c r="C5725" s="120" t="s">
        <v>950</v>
      </c>
      <c r="D5725" s="441">
        <v>205.7</v>
      </c>
    </row>
    <row r="5726" spans="1:4" ht="31.5" customHeight="1">
      <c r="A5726" s="120">
        <v>101624</v>
      </c>
      <c r="B5726" s="119" t="s">
        <v>7266</v>
      </c>
      <c r="C5726" s="120" t="s">
        <v>950</v>
      </c>
      <c r="D5726" s="441">
        <v>156.22999999999999</v>
      </c>
    </row>
    <row r="5727" spans="1:4" ht="31.5" customHeight="1">
      <c r="A5727" s="120">
        <v>101625</v>
      </c>
      <c r="B5727" s="119" t="s">
        <v>7267</v>
      </c>
      <c r="C5727" s="120" t="s">
        <v>950</v>
      </c>
      <c r="D5727" s="441">
        <v>157.05000000000001</v>
      </c>
    </row>
    <row r="5728" spans="1:4" ht="15.75" customHeight="1">
      <c r="A5728" s="120">
        <v>95606</v>
      </c>
      <c r="B5728" s="119" t="s">
        <v>7268</v>
      </c>
      <c r="C5728" s="120" t="s">
        <v>950</v>
      </c>
      <c r="D5728" s="441">
        <v>2.2599999999999998</v>
      </c>
    </row>
    <row r="5729" spans="1:4" ht="31.5" customHeight="1">
      <c r="A5729" s="120">
        <v>101159</v>
      </c>
      <c r="B5729" s="119" t="s">
        <v>7269</v>
      </c>
      <c r="C5729" s="120" t="s">
        <v>951</v>
      </c>
      <c r="D5729" s="441">
        <v>150.94</v>
      </c>
    </row>
    <row r="5730" spans="1:4" ht="31.5" customHeight="1">
      <c r="A5730" s="120">
        <v>103322</v>
      </c>
      <c r="B5730" s="119" t="s">
        <v>7270</v>
      </c>
      <c r="C5730" s="120" t="s">
        <v>951</v>
      </c>
      <c r="D5730" s="441">
        <v>61.27</v>
      </c>
    </row>
    <row r="5731" spans="1:4" ht="31.5" customHeight="1">
      <c r="A5731" s="120">
        <v>103323</v>
      </c>
      <c r="B5731" s="119" t="s">
        <v>7271</v>
      </c>
      <c r="C5731" s="120" t="s">
        <v>951</v>
      </c>
      <c r="D5731" s="441">
        <v>62.93</v>
      </c>
    </row>
    <row r="5732" spans="1:4" ht="31.5" customHeight="1">
      <c r="A5732" s="120">
        <v>103324</v>
      </c>
      <c r="B5732" s="119" t="s">
        <v>7272</v>
      </c>
      <c r="C5732" s="120" t="s">
        <v>951</v>
      </c>
      <c r="D5732" s="441">
        <v>82.69</v>
      </c>
    </row>
    <row r="5733" spans="1:4" ht="31.5" customHeight="1">
      <c r="A5733" s="120">
        <v>103325</v>
      </c>
      <c r="B5733" s="119" t="s">
        <v>7273</v>
      </c>
      <c r="C5733" s="120" t="s">
        <v>951</v>
      </c>
      <c r="D5733" s="441">
        <v>84.57</v>
      </c>
    </row>
    <row r="5734" spans="1:4" ht="31.5" customHeight="1">
      <c r="A5734" s="120">
        <v>103326</v>
      </c>
      <c r="B5734" s="119" t="s">
        <v>7274</v>
      </c>
      <c r="C5734" s="120" t="s">
        <v>951</v>
      </c>
      <c r="D5734" s="441">
        <v>99.54</v>
      </c>
    </row>
    <row r="5735" spans="1:4" ht="31.5" customHeight="1">
      <c r="A5735" s="120">
        <v>103327</v>
      </c>
      <c r="B5735" s="119" t="s">
        <v>7275</v>
      </c>
      <c r="C5735" s="120" t="s">
        <v>951</v>
      </c>
      <c r="D5735" s="441">
        <v>101.74</v>
      </c>
    </row>
    <row r="5736" spans="1:4" ht="31.5" customHeight="1">
      <c r="A5736" s="120">
        <v>103328</v>
      </c>
      <c r="B5736" s="119" t="s">
        <v>7276</v>
      </c>
      <c r="C5736" s="120" t="s">
        <v>951</v>
      </c>
      <c r="D5736" s="441">
        <v>101.15</v>
      </c>
    </row>
    <row r="5737" spans="1:4" ht="31.5" customHeight="1">
      <c r="A5737" s="120">
        <v>103329</v>
      </c>
      <c r="B5737" s="119" t="s">
        <v>7277</v>
      </c>
      <c r="C5737" s="120" t="s">
        <v>951</v>
      </c>
      <c r="D5737" s="441">
        <v>102.59</v>
      </c>
    </row>
    <row r="5738" spans="1:4" ht="31.5" customHeight="1">
      <c r="A5738" s="120">
        <v>103330</v>
      </c>
      <c r="B5738" s="119" t="s">
        <v>7278</v>
      </c>
      <c r="C5738" s="120" t="s">
        <v>951</v>
      </c>
      <c r="D5738" s="441">
        <v>91.21</v>
      </c>
    </row>
    <row r="5739" spans="1:4" ht="31.5" customHeight="1">
      <c r="A5739" s="120">
        <v>103331</v>
      </c>
      <c r="B5739" s="119" t="s">
        <v>7279</v>
      </c>
      <c r="C5739" s="120" t="s">
        <v>951</v>
      </c>
      <c r="D5739" s="441">
        <v>92.77</v>
      </c>
    </row>
    <row r="5740" spans="1:4" ht="31.5" customHeight="1">
      <c r="A5740" s="120">
        <v>103332</v>
      </c>
      <c r="B5740" s="119" t="s">
        <v>7280</v>
      </c>
      <c r="C5740" s="120" t="s">
        <v>951</v>
      </c>
      <c r="D5740" s="441">
        <v>133.53</v>
      </c>
    </row>
    <row r="5741" spans="1:4" ht="31.5" customHeight="1">
      <c r="A5741" s="120">
        <v>103333</v>
      </c>
      <c r="B5741" s="119" t="s">
        <v>7281</v>
      </c>
      <c r="C5741" s="120" t="s">
        <v>951</v>
      </c>
      <c r="D5741" s="441">
        <v>135.19999999999999</v>
      </c>
    </row>
    <row r="5742" spans="1:4" ht="31.5" customHeight="1">
      <c r="A5742" s="120">
        <v>103334</v>
      </c>
      <c r="B5742" s="119" t="s">
        <v>7282</v>
      </c>
      <c r="C5742" s="120" t="s">
        <v>951</v>
      </c>
      <c r="D5742" s="441">
        <v>158.93</v>
      </c>
    </row>
    <row r="5743" spans="1:4" ht="31.5" customHeight="1">
      <c r="A5743" s="120">
        <v>103335</v>
      </c>
      <c r="B5743" s="119" t="s">
        <v>7283</v>
      </c>
      <c r="C5743" s="120" t="s">
        <v>951</v>
      </c>
      <c r="D5743" s="441">
        <v>161.85</v>
      </c>
    </row>
    <row r="5744" spans="1:4" ht="31.5" customHeight="1">
      <c r="A5744" s="120">
        <v>103350</v>
      </c>
      <c r="B5744" s="119" t="s">
        <v>7284</v>
      </c>
      <c r="C5744" s="120" t="s">
        <v>951</v>
      </c>
      <c r="D5744" s="441">
        <v>198.1</v>
      </c>
    </row>
    <row r="5745" spans="1:4" ht="31.5" customHeight="1">
      <c r="A5745" s="120">
        <v>103351</v>
      </c>
      <c r="B5745" s="119" t="s">
        <v>7285</v>
      </c>
      <c r="C5745" s="120" t="s">
        <v>951</v>
      </c>
      <c r="D5745" s="441">
        <v>200.23</v>
      </c>
    </row>
    <row r="5746" spans="1:4" ht="31.5" customHeight="1">
      <c r="A5746" s="120">
        <v>103356</v>
      </c>
      <c r="B5746" s="119" t="s">
        <v>7286</v>
      </c>
      <c r="C5746" s="120" t="s">
        <v>951</v>
      </c>
      <c r="D5746" s="441">
        <v>60.88</v>
      </c>
    </row>
    <row r="5747" spans="1:4" ht="31.5" customHeight="1">
      <c r="A5747" s="120">
        <v>103357</v>
      </c>
      <c r="B5747" s="119" t="s">
        <v>7287</v>
      </c>
      <c r="C5747" s="120" t="s">
        <v>951</v>
      </c>
      <c r="D5747" s="441">
        <v>62.11</v>
      </c>
    </row>
    <row r="5748" spans="1:4" ht="47.25" customHeight="1">
      <c r="A5748" s="120">
        <v>89282</v>
      </c>
      <c r="B5748" s="119" t="s">
        <v>7288</v>
      </c>
      <c r="C5748" s="120" t="s">
        <v>951</v>
      </c>
      <c r="D5748" s="441">
        <v>79.48</v>
      </c>
    </row>
    <row r="5749" spans="1:4" ht="47.25" customHeight="1">
      <c r="A5749" s="120">
        <v>89283</v>
      </c>
      <c r="B5749" s="119" t="s">
        <v>7289</v>
      </c>
      <c r="C5749" s="120" t="s">
        <v>951</v>
      </c>
      <c r="D5749" s="441">
        <v>81.37</v>
      </c>
    </row>
    <row r="5750" spans="1:4" ht="47.25" customHeight="1">
      <c r="A5750" s="120">
        <v>89284</v>
      </c>
      <c r="B5750" s="119" t="s">
        <v>7290</v>
      </c>
      <c r="C5750" s="120" t="s">
        <v>951</v>
      </c>
      <c r="D5750" s="441">
        <v>71.930000000000007</v>
      </c>
    </row>
    <row r="5751" spans="1:4" ht="47.25" customHeight="1">
      <c r="A5751" s="120">
        <v>89285</v>
      </c>
      <c r="B5751" s="119" t="s">
        <v>7291</v>
      </c>
      <c r="C5751" s="120" t="s">
        <v>951</v>
      </c>
      <c r="D5751" s="441">
        <v>73.819999999999993</v>
      </c>
    </row>
    <row r="5752" spans="1:4" ht="47.25" customHeight="1">
      <c r="A5752" s="120">
        <v>89286</v>
      </c>
      <c r="B5752" s="119" t="s">
        <v>7292</v>
      </c>
      <c r="C5752" s="120" t="s">
        <v>951</v>
      </c>
      <c r="D5752" s="441">
        <v>85.6</v>
      </c>
    </row>
    <row r="5753" spans="1:4" ht="47.25" customHeight="1">
      <c r="A5753" s="120">
        <v>89287</v>
      </c>
      <c r="B5753" s="119" t="s">
        <v>7293</v>
      </c>
      <c r="C5753" s="120" t="s">
        <v>951</v>
      </c>
      <c r="D5753" s="441">
        <v>87.49</v>
      </c>
    </row>
    <row r="5754" spans="1:4" ht="47.25" customHeight="1">
      <c r="A5754" s="120">
        <v>89288</v>
      </c>
      <c r="B5754" s="119" t="s">
        <v>7294</v>
      </c>
      <c r="C5754" s="120" t="s">
        <v>951</v>
      </c>
      <c r="D5754" s="441">
        <v>75.25</v>
      </c>
    </row>
    <row r="5755" spans="1:4" ht="47.25" customHeight="1">
      <c r="A5755" s="120">
        <v>89289</v>
      </c>
      <c r="B5755" s="119" t="s">
        <v>7295</v>
      </c>
      <c r="C5755" s="120" t="s">
        <v>951</v>
      </c>
      <c r="D5755" s="441">
        <v>77.14</v>
      </c>
    </row>
    <row r="5756" spans="1:4" ht="47.25" customHeight="1">
      <c r="A5756" s="120">
        <v>89290</v>
      </c>
      <c r="B5756" s="119" t="s">
        <v>7296</v>
      </c>
      <c r="C5756" s="120" t="s">
        <v>951</v>
      </c>
      <c r="D5756" s="441">
        <v>92.61</v>
      </c>
    </row>
    <row r="5757" spans="1:4" ht="47.25" customHeight="1">
      <c r="A5757" s="120">
        <v>89291</v>
      </c>
      <c r="B5757" s="119" t="s">
        <v>7297</v>
      </c>
      <c r="C5757" s="120" t="s">
        <v>951</v>
      </c>
      <c r="D5757" s="441">
        <v>94.72</v>
      </c>
    </row>
    <row r="5758" spans="1:4" ht="47.25" customHeight="1">
      <c r="A5758" s="120">
        <v>89292</v>
      </c>
      <c r="B5758" s="119" t="s">
        <v>7298</v>
      </c>
      <c r="C5758" s="120" t="s">
        <v>951</v>
      </c>
      <c r="D5758" s="441">
        <v>85.03</v>
      </c>
    </row>
    <row r="5759" spans="1:4" ht="47.25" customHeight="1">
      <c r="A5759" s="120">
        <v>89293</v>
      </c>
      <c r="B5759" s="119" t="s">
        <v>7299</v>
      </c>
      <c r="C5759" s="120" t="s">
        <v>951</v>
      </c>
      <c r="D5759" s="441">
        <v>87.14</v>
      </c>
    </row>
    <row r="5760" spans="1:4" ht="47.25" customHeight="1">
      <c r="A5760" s="120">
        <v>89294</v>
      </c>
      <c r="B5760" s="119" t="s">
        <v>7300</v>
      </c>
      <c r="C5760" s="120" t="s">
        <v>951</v>
      </c>
      <c r="D5760" s="441">
        <v>101.51</v>
      </c>
    </row>
    <row r="5761" spans="1:4" ht="47.25" customHeight="1">
      <c r="A5761" s="120">
        <v>89295</v>
      </c>
      <c r="B5761" s="119" t="s">
        <v>7301</v>
      </c>
      <c r="C5761" s="120" t="s">
        <v>951</v>
      </c>
      <c r="D5761" s="441">
        <v>103.62</v>
      </c>
    </row>
    <row r="5762" spans="1:4" ht="47.25" customHeight="1">
      <c r="A5762" s="120">
        <v>89296</v>
      </c>
      <c r="B5762" s="119" t="s">
        <v>7302</v>
      </c>
      <c r="C5762" s="120" t="s">
        <v>951</v>
      </c>
      <c r="D5762" s="441">
        <v>89.83</v>
      </c>
    </row>
    <row r="5763" spans="1:4" ht="47.25" customHeight="1">
      <c r="A5763" s="120">
        <v>89297</v>
      </c>
      <c r="B5763" s="119" t="s">
        <v>7303</v>
      </c>
      <c r="C5763" s="120" t="s">
        <v>951</v>
      </c>
      <c r="D5763" s="441">
        <v>91.94</v>
      </c>
    </row>
    <row r="5764" spans="1:4" ht="47.25" customHeight="1">
      <c r="A5764" s="120">
        <v>89298</v>
      </c>
      <c r="B5764" s="119" t="s">
        <v>7304</v>
      </c>
      <c r="C5764" s="120" t="s">
        <v>951</v>
      </c>
      <c r="D5764" s="441">
        <v>95.08</v>
      </c>
    </row>
    <row r="5765" spans="1:4" ht="47.25" customHeight="1">
      <c r="A5765" s="120">
        <v>89299</v>
      </c>
      <c r="B5765" s="119" t="s">
        <v>7305</v>
      </c>
      <c r="C5765" s="120" t="s">
        <v>951</v>
      </c>
      <c r="D5765" s="441">
        <v>97.77</v>
      </c>
    </row>
    <row r="5766" spans="1:4" ht="47.25" customHeight="1">
      <c r="A5766" s="120">
        <v>89300</v>
      </c>
      <c r="B5766" s="119" t="s">
        <v>7306</v>
      </c>
      <c r="C5766" s="120" t="s">
        <v>951</v>
      </c>
      <c r="D5766" s="441">
        <v>87.53</v>
      </c>
    </row>
    <row r="5767" spans="1:4" ht="47.25" customHeight="1">
      <c r="A5767" s="120">
        <v>89301</v>
      </c>
      <c r="B5767" s="119" t="s">
        <v>7307</v>
      </c>
      <c r="C5767" s="120" t="s">
        <v>951</v>
      </c>
      <c r="D5767" s="441">
        <v>90.22</v>
      </c>
    </row>
    <row r="5768" spans="1:4" ht="47.25" customHeight="1">
      <c r="A5768" s="120">
        <v>89302</v>
      </c>
      <c r="B5768" s="119" t="s">
        <v>7308</v>
      </c>
      <c r="C5768" s="120" t="s">
        <v>951</v>
      </c>
      <c r="D5768" s="441">
        <v>105.95</v>
      </c>
    </row>
    <row r="5769" spans="1:4" ht="47.25" customHeight="1">
      <c r="A5769" s="120">
        <v>89303</v>
      </c>
      <c r="B5769" s="119" t="s">
        <v>7309</v>
      </c>
      <c r="C5769" s="120" t="s">
        <v>951</v>
      </c>
      <c r="D5769" s="441">
        <v>108.64</v>
      </c>
    </row>
    <row r="5770" spans="1:4" ht="47.25" customHeight="1">
      <c r="A5770" s="120">
        <v>89304</v>
      </c>
      <c r="B5770" s="119" t="s">
        <v>7310</v>
      </c>
      <c r="C5770" s="120" t="s">
        <v>951</v>
      </c>
      <c r="D5770" s="441">
        <v>93.8</v>
      </c>
    </row>
    <row r="5771" spans="1:4" ht="47.25" customHeight="1">
      <c r="A5771" s="120">
        <v>89305</v>
      </c>
      <c r="B5771" s="119" t="s">
        <v>7311</v>
      </c>
      <c r="C5771" s="120" t="s">
        <v>951</v>
      </c>
      <c r="D5771" s="441">
        <v>96.49</v>
      </c>
    </row>
    <row r="5772" spans="1:4" ht="47.25" customHeight="1">
      <c r="A5772" s="120">
        <v>89306</v>
      </c>
      <c r="B5772" s="119" t="s">
        <v>7312</v>
      </c>
      <c r="C5772" s="120" t="s">
        <v>951</v>
      </c>
      <c r="D5772" s="441">
        <v>108.52</v>
      </c>
    </row>
    <row r="5773" spans="1:4" ht="47.25" customHeight="1">
      <c r="A5773" s="120">
        <v>89307</v>
      </c>
      <c r="B5773" s="119" t="s">
        <v>7313</v>
      </c>
      <c r="C5773" s="120" t="s">
        <v>951</v>
      </c>
      <c r="D5773" s="441">
        <v>111.51</v>
      </c>
    </row>
    <row r="5774" spans="1:4" ht="47.25" customHeight="1">
      <c r="A5774" s="120">
        <v>89308</v>
      </c>
      <c r="B5774" s="119" t="s">
        <v>7314</v>
      </c>
      <c r="C5774" s="120" t="s">
        <v>951</v>
      </c>
      <c r="D5774" s="441">
        <v>100.94</v>
      </c>
    </row>
    <row r="5775" spans="1:4" ht="47.25" customHeight="1">
      <c r="A5775" s="120">
        <v>89309</v>
      </c>
      <c r="B5775" s="119" t="s">
        <v>7315</v>
      </c>
      <c r="C5775" s="120" t="s">
        <v>951</v>
      </c>
      <c r="D5775" s="441">
        <v>103.93</v>
      </c>
    </row>
    <row r="5776" spans="1:4" ht="47.25" customHeight="1">
      <c r="A5776" s="120">
        <v>89310</v>
      </c>
      <c r="B5776" s="119" t="s">
        <v>7316</v>
      </c>
      <c r="C5776" s="120" t="s">
        <v>951</v>
      </c>
      <c r="D5776" s="441">
        <v>124.9</v>
      </c>
    </row>
    <row r="5777" spans="1:4" ht="47.25" customHeight="1">
      <c r="A5777" s="120">
        <v>89311</v>
      </c>
      <c r="B5777" s="119" t="s">
        <v>7317</v>
      </c>
      <c r="C5777" s="120" t="s">
        <v>951</v>
      </c>
      <c r="D5777" s="441">
        <v>127.89</v>
      </c>
    </row>
    <row r="5778" spans="1:4" ht="47.25" customHeight="1">
      <c r="A5778" s="120">
        <v>89312</v>
      </c>
      <c r="B5778" s="119" t="s">
        <v>7318</v>
      </c>
      <c r="C5778" s="120" t="s">
        <v>951</v>
      </c>
      <c r="D5778" s="441">
        <v>108.69</v>
      </c>
    </row>
    <row r="5779" spans="1:4" ht="47.25" customHeight="1">
      <c r="A5779" s="120">
        <v>89313</v>
      </c>
      <c r="B5779" s="119" t="s">
        <v>7319</v>
      </c>
      <c r="C5779" s="120" t="s">
        <v>951</v>
      </c>
      <c r="D5779" s="441">
        <v>111.68</v>
      </c>
    </row>
    <row r="5780" spans="1:4" ht="15.75" customHeight="1">
      <c r="A5780" s="120">
        <v>101157</v>
      </c>
      <c r="B5780" s="119" t="s">
        <v>7320</v>
      </c>
      <c r="C5780" s="120" t="s">
        <v>951</v>
      </c>
      <c r="D5780" s="441">
        <v>64.36</v>
      </c>
    </row>
    <row r="5781" spans="1:4" ht="15.75" customHeight="1">
      <c r="A5781" s="120">
        <v>101158</v>
      </c>
      <c r="B5781" s="119" t="s">
        <v>7321</v>
      </c>
      <c r="C5781" s="120" t="s">
        <v>951</v>
      </c>
      <c r="D5781" s="441">
        <v>83.59</v>
      </c>
    </row>
    <row r="5782" spans="1:4" ht="31.5" customHeight="1">
      <c r="A5782" s="120">
        <v>101162</v>
      </c>
      <c r="B5782" s="119" t="s">
        <v>7322</v>
      </c>
      <c r="C5782" s="120" t="s">
        <v>951</v>
      </c>
      <c r="D5782" s="441">
        <v>170.23</v>
      </c>
    </row>
    <row r="5783" spans="1:4" ht="31.5" customHeight="1">
      <c r="A5783" s="120">
        <v>103316</v>
      </c>
      <c r="B5783" s="119" t="s">
        <v>7323</v>
      </c>
      <c r="C5783" s="120" t="s">
        <v>951</v>
      </c>
      <c r="D5783" s="441">
        <v>71.25</v>
      </c>
    </row>
    <row r="5784" spans="1:4" ht="31.5" customHeight="1">
      <c r="A5784" s="120">
        <v>103317</v>
      </c>
      <c r="B5784" s="119" t="s">
        <v>7324</v>
      </c>
      <c r="C5784" s="120" t="s">
        <v>951</v>
      </c>
      <c r="D5784" s="441">
        <v>72.64</v>
      </c>
    </row>
    <row r="5785" spans="1:4" ht="31.5" customHeight="1">
      <c r="A5785" s="120">
        <v>103318</v>
      </c>
      <c r="B5785" s="119" t="s">
        <v>7325</v>
      </c>
      <c r="C5785" s="120" t="s">
        <v>951</v>
      </c>
      <c r="D5785" s="441">
        <v>93.28</v>
      </c>
    </row>
    <row r="5786" spans="1:4" ht="31.5" customHeight="1">
      <c r="A5786" s="120">
        <v>103319</v>
      </c>
      <c r="B5786" s="119" t="s">
        <v>7326</v>
      </c>
      <c r="C5786" s="120" t="s">
        <v>951</v>
      </c>
      <c r="D5786" s="441">
        <v>94.9</v>
      </c>
    </row>
    <row r="5787" spans="1:4" ht="31.5" customHeight="1">
      <c r="A5787" s="120">
        <v>103320</v>
      </c>
      <c r="B5787" s="119" t="s">
        <v>7327</v>
      </c>
      <c r="C5787" s="120" t="s">
        <v>951</v>
      </c>
      <c r="D5787" s="441">
        <v>111.5</v>
      </c>
    </row>
    <row r="5788" spans="1:4" ht="31.5" customHeight="1">
      <c r="A5788" s="120">
        <v>103321</v>
      </c>
      <c r="B5788" s="119" t="s">
        <v>7328</v>
      </c>
      <c r="C5788" s="120" t="s">
        <v>951</v>
      </c>
      <c r="D5788" s="441">
        <v>113.54</v>
      </c>
    </row>
    <row r="5789" spans="1:4" ht="31.5" customHeight="1">
      <c r="A5789" s="120">
        <v>103336</v>
      </c>
      <c r="B5789" s="119" t="s">
        <v>7329</v>
      </c>
      <c r="C5789" s="120" t="s">
        <v>951</v>
      </c>
      <c r="D5789" s="441">
        <v>81.72</v>
      </c>
    </row>
    <row r="5790" spans="1:4" ht="31.5" customHeight="1">
      <c r="A5790" s="120">
        <v>103337</v>
      </c>
      <c r="B5790" s="119" t="s">
        <v>7330</v>
      </c>
      <c r="C5790" s="120" t="s">
        <v>951</v>
      </c>
      <c r="D5790" s="441">
        <v>83.11</v>
      </c>
    </row>
    <row r="5791" spans="1:4" ht="31.5" customHeight="1">
      <c r="A5791" s="120">
        <v>103338</v>
      </c>
      <c r="B5791" s="119" t="s">
        <v>7331</v>
      </c>
      <c r="C5791" s="120" t="s">
        <v>951</v>
      </c>
      <c r="D5791" s="441">
        <v>108.29</v>
      </c>
    </row>
    <row r="5792" spans="1:4" ht="31.5" customHeight="1">
      <c r="A5792" s="120">
        <v>103339</v>
      </c>
      <c r="B5792" s="119" t="s">
        <v>7332</v>
      </c>
      <c r="C5792" s="120" t="s">
        <v>951</v>
      </c>
      <c r="D5792" s="441">
        <v>109.91</v>
      </c>
    </row>
    <row r="5793" spans="1:4" ht="31.5" customHeight="1">
      <c r="A5793" s="120">
        <v>103340</v>
      </c>
      <c r="B5793" s="119" t="s">
        <v>7333</v>
      </c>
      <c r="C5793" s="120" t="s">
        <v>951</v>
      </c>
      <c r="D5793" s="441">
        <v>129.96</v>
      </c>
    </row>
    <row r="5794" spans="1:4" ht="31.5" customHeight="1">
      <c r="A5794" s="120">
        <v>103341</v>
      </c>
      <c r="B5794" s="119" t="s">
        <v>7334</v>
      </c>
      <c r="C5794" s="120" t="s">
        <v>951</v>
      </c>
      <c r="D5794" s="441">
        <v>132</v>
      </c>
    </row>
    <row r="5795" spans="1:4" ht="31.5" customHeight="1">
      <c r="A5795" s="120">
        <v>103342</v>
      </c>
      <c r="B5795" s="119" t="s">
        <v>7335</v>
      </c>
      <c r="C5795" s="120" t="s">
        <v>951</v>
      </c>
      <c r="D5795" s="441">
        <v>108.21</v>
      </c>
    </row>
    <row r="5796" spans="1:4" ht="31.5" customHeight="1">
      <c r="A5796" s="120">
        <v>103343</v>
      </c>
      <c r="B5796" s="119" t="s">
        <v>7336</v>
      </c>
      <c r="C5796" s="120" t="s">
        <v>951</v>
      </c>
      <c r="D5796" s="441">
        <v>110.01</v>
      </c>
    </row>
    <row r="5797" spans="1:4" ht="31.5" customHeight="1">
      <c r="A5797" s="120">
        <v>89453</v>
      </c>
      <c r="B5797" s="119" t="s">
        <v>7337</v>
      </c>
      <c r="C5797" s="120" t="s">
        <v>951</v>
      </c>
      <c r="D5797" s="441">
        <v>77.11</v>
      </c>
    </row>
    <row r="5798" spans="1:4" ht="31.5" customHeight="1">
      <c r="A5798" s="120">
        <v>89455</v>
      </c>
      <c r="B5798" s="119" t="s">
        <v>7338</v>
      </c>
      <c r="C5798" s="120" t="s">
        <v>951</v>
      </c>
      <c r="D5798" s="441">
        <v>92.65</v>
      </c>
    </row>
    <row r="5799" spans="1:4" ht="31.5" customHeight="1">
      <c r="A5799" s="120">
        <v>89462</v>
      </c>
      <c r="B5799" s="119" t="s">
        <v>7339</v>
      </c>
      <c r="C5799" s="120" t="s">
        <v>951</v>
      </c>
      <c r="D5799" s="441">
        <v>104.25</v>
      </c>
    </row>
    <row r="5800" spans="1:4" ht="31.5" customHeight="1">
      <c r="A5800" s="120">
        <v>89464</v>
      </c>
      <c r="B5800" s="119" t="s">
        <v>7339</v>
      </c>
      <c r="C5800" s="120" t="s">
        <v>951</v>
      </c>
      <c r="D5800" s="441">
        <v>121.68</v>
      </c>
    </row>
    <row r="5801" spans="1:4" ht="31.5" customHeight="1">
      <c r="A5801" s="120">
        <v>89470</v>
      </c>
      <c r="B5801" s="119" t="s">
        <v>7340</v>
      </c>
      <c r="C5801" s="120" t="s">
        <v>951</v>
      </c>
      <c r="D5801" s="441">
        <v>89.43</v>
      </c>
    </row>
    <row r="5802" spans="1:4" ht="31.5" customHeight="1">
      <c r="A5802" s="120">
        <v>89472</v>
      </c>
      <c r="B5802" s="119" t="s">
        <v>7341</v>
      </c>
      <c r="C5802" s="120" t="s">
        <v>951</v>
      </c>
      <c r="D5802" s="441">
        <v>106.25</v>
      </c>
    </row>
    <row r="5803" spans="1:4" ht="31.5" customHeight="1">
      <c r="A5803" s="120">
        <v>89478</v>
      </c>
      <c r="B5803" s="119" t="s">
        <v>7342</v>
      </c>
      <c r="C5803" s="120" t="s">
        <v>951</v>
      </c>
      <c r="D5803" s="441">
        <v>124.96</v>
      </c>
    </row>
    <row r="5804" spans="1:4" ht="31.5" customHeight="1">
      <c r="A5804" s="120">
        <v>89480</v>
      </c>
      <c r="B5804" s="119" t="s">
        <v>7343</v>
      </c>
      <c r="C5804" s="120" t="s">
        <v>951</v>
      </c>
      <c r="D5804" s="441">
        <v>143.68</v>
      </c>
    </row>
    <row r="5805" spans="1:4" ht="31.5" customHeight="1">
      <c r="A5805" s="120">
        <v>91815</v>
      </c>
      <c r="B5805" s="119" t="s">
        <v>7344</v>
      </c>
      <c r="C5805" s="120" t="s">
        <v>951</v>
      </c>
      <c r="D5805" s="441">
        <v>77.11</v>
      </c>
    </row>
    <row r="5806" spans="1:4" ht="31.5" customHeight="1">
      <c r="A5806" s="120">
        <v>91816</v>
      </c>
      <c r="B5806" s="119" t="s">
        <v>7345</v>
      </c>
      <c r="C5806" s="120" t="s">
        <v>951</v>
      </c>
      <c r="D5806" s="441">
        <v>104.25</v>
      </c>
    </row>
    <row r="5807" spans="1:4" ht="31.5" customHeight="1">
      <c r="A5807" s="120">
        <v>101161</v>
      </c>
      <c r="B5807" s="119" t="s">
        <v>7346</v>
      </c>
      <c r="C5807" s="120" t="s">
        <v>951</v>
      </c>
      <c r="D5807" s="441">
        <v>208.89</v>
      </c>
    </row>
    <row r="5808" spans="1:4" ht="31.5" customHeight="1">
      <c r="A5808" s="120">
        <v>101163</v>
      </c>
      <c r="B5808" s="119" t="s">
        <v>7347</v>
      </c>
      <c r="C5808" s="120" t="s">
        <v>951</v>
      </c>
      <c r="D5808" s="441">
        <v>704.75</v>
      </c>
    </row>
    <row r="5809" spans="1:4" ht="31.5" customHeight="1">
      <c r="A5809" s="120">
        <v>101164</v>
      </c>
      <c r="B5809" s="119" t="s">
        <v>7348</v>
      </c>
      <c r="C5809" s="120" t="s">
        <v>951</v>
      </c>
      <c r="D5809" s="441">
        <v>714.29</v>
      </c>
    </row>
    <row r="5810" spans="1:4" ht="31.5">
      <c r="A5810" s="120">
        <v>96358</v>
      </c>
      <c r="B5810" s="119" t="s">
        <v>7349</v>
      </c>
      <c r="C5810" s="120" t="s">
        <v>951</v>
      </c>
      <c r="D5810" s="441">
        <v>98.56</v>
      </c>
    </row>
    <row r="5811" spans="1:4" ht="31.5">
      <c r="A5811" s="120">
        <v>96359</v>
      </c>
      <c r="B5811" s="119" t="s">
        <v>7350</v>
      </c>
      <c r="C5811" s="120" t="s">
        <v>951</v>
      </c>
      <c r="D5811" s="441">
        <v>112.86</v>
      </c>
    </row>
    <row r="5812" spans="1:4" ht="31.5">
      <c r="A5812" s="120">
        <v>96360</v>
      </c>
      <c r="B5812" s="119" t="s">
        <v>7351</v>
      </c>
      <c r="C5812" s="120" t="s">
        <v>951</v>
      </c>
      <c r="D5812" s="441">
        <v>134.86000000000001</v>
      </c>
    </row>
    <row r="5813" spans="1:4" ht="31.5">
      <c r="A5813" s="120">
        <v>96361</v>
      </c>
      <c r="B5813" s="119" t="s">
        <v>7352</v>
      </c>
      <c r="C5813" s="120" t="s">
        <v>951</v>
      </c>
      <c r="D5813" s="441">
        <v>162.68</v>
      </c>
    </row>
    <row r="5814" spans="1:4" ht="31.5">
      <c r="A5814" s="120">
        <v>96362</v>
      </c>
      <c r="B5814" s="119" t="s">
        <v>7353</v>
      </c>
      <c r="C5814" s="120" t="s">
        <v>951</v>
      </c>
      <c r="D5814" s="441">
        <v>124.93</v>
      </c>
    </row>
    <row r="5815" spans="1:4" ht="31.5">
      <c r="A5815" s="120">
        <v>96363</v>
      </c>
      <c r="B5815" s="119" t="s">
        <v>7354</v>
      </c>
      <c r="C5815" s="120" t="s">
        <v>951</v>
      </c>
      <c r="D5815" s="441">
        <v>139.74</v>
      </c>
    </row>
    <row r="5816" spans="1:4" ht="31.5">
      <c r="A5816" s="120">
        <v>96364</v>
      </c>
      <c r="B5816" s="119" t="s">
        <v>7355</v>
      </c>
      <c r="C5816" s="120" t="s">
        <v>951</v>
      </c>
      <c r="D5816" s="441">
        <v>161.22999999999999</v>
      </c>
    </row>
    <row r="5817" spans="1:4" ht="31.5">
      <c r="A5817" s="120">
        <v>96365</v>
      </c>
      <c r="B5817" s="119" t="s">
        <v>7356</v>
      </c>
      <c r="C5817" s="120" t="s">
        <v>951</v>
      </c>
      <c r="D5817" s="441">
        <v>189.55</v>
      </c>
    </row>
    <row r="5818" spans="1:4" ht="31.5">
      <c r="A5818" s="120">
        <v>96366</v>
      </c>
      <c r="B5818" s="119" t="s">
        <v>7357</v>
      </c>
      <c r="C5818" s="120" t="s">
        <v>951</v>
      </c>
      <c r="D5818" s="441">
        <v>151.30000000000001</v>
      </c>
    </row>
    <row r="5819" spans="1:4" ht="31.5">
      <c r="A5819" s="120">
        <v>96367</v>
      </c>
      <c r="B5819" s="119" t="s">
        <v>7358</v>
      </c>
      <c r="C5819" s="120" t="s">
        <v>951</v>
      </c>
      <c r="D5819" s="441">
        <v>166.59</v>
      </c>
    </row>
    <row r="5820" spans="1:4" ht="31.5">
      <c r="A5820" s="120">
        <v>96368</v>
      </c>
      <c r="B5820" s="119" t="s">
        <v>7359</v>
      </c>
      <c r="C5820" s="120" t="s">
        <v>951</v>
      </c>
      <c r="D5820" s="441">
        <v>187.6</v>
      </c>
    </row>
    <row r="5821" spans="1:4" ht="31.5">
      <c r="A5821" s="120">
        <v>96369</v>
      </c>
      <c r="B5821" s="119" t="s">
        <v>7360</v>
      </c>
      <c r="C5821" s="120" t="s">
        <v>951</v>
      </c>
      <c r="D5821" s="441">
        <v>216.42</v>
      </c>
    </row>
    <row r="5822" spans="1:4" ht="31.5">
      <c r="A5822" s="120">
        <v>96370</v>
      </c>
      <c r="B5822" s="119" t="s">
        <v>7361</v>
      </c>
      <c r="C5822" s="120" t="s">
        <v>951</v>
      </c>
      <c r="D5822" s="441">
        <v>68.150000000000006</v>
      </c>
    </row>
    <row r="5823" spans="1:4" ht="31.5">
      <c r="A5823" s="120">
        <v>96371</v>
      </c>
      <c r="B5823" s="119" t="s">
        <v>7362</v>
      </c>
      <c r="C5823" s="120" t="s">
        <v>951</v>
      </c>
      <c r="D5823" s="441">
        <v>82.17</v>
      </c>
    </row>
    <row r="5824" spans="1:4" ht="15.75" customHeight="1">
      <c r="A5824" s="120">
        <v>96373</v>
      </c>
      <c r="B5824" s="119" t="s">
        <v>7363</v>
      </c>
      <c r="C5824" s="120" t="s">
        <v>328</v>
      </c>
      <c r="D5824" s="441">
        <v>13.42</v>
      </c>
    </row>
    <row r="5825" spans="1:4" ht="15.75" customHeight="1">
      <c r="A5825" s="120">
        <v>96374</v>
      </c>
      <c r="B5825" s="119" t="s">
        <v>7364</v>
      </c>
      <c r="C5825" s="120" t="s">
        <v>328</v>
      </c>
      <c r="D5825" s="441">
        <v>37.89</v>
      </c>
    </row>
    <row r="5826" spans="1:4" ht="15.75" customHeight="1">
      <c r="A5826" s="120">
        <v>102235</v>
      </c>
      <c r="B5826" s="119" t="s">
        <v>7365</v>
      </c>
      <c r="C5826" s="120" t="s">
        <v>951</v>
      </c>
      <c r="D5826" s="441">
        <v>535.29</v>
      </c>
    </row>
    <row r="5827" spans="1:4" ht="31.5" customHeight="1">
      <c r="A5827" s="120">
        <v>102253</v>
      </c>
      <c r="B5827" s="119" t="s">
        <v>7366</v>
      </c>
      <c r="C5827" s="120" t="s">
        <v>951</v>
      </c>
      <c r="D5827" s="441">
        <v>858.25</v>
      </c>
    </row>
    <row r="5828" spans="1:4" ht="31.5" customHeight="1">
      <c r="A5828" s="120">
        <v>102254</v>
      </c>
      <c r="B5828" s="119" t="s">
        <v>7367</v>
      </c>
      <c r="C5828" s="120" t="s">
        <v>951</v>
      </c>
      <c r="D5828" s="441">
        <v>938.22</v>
      </c>
    </row>
    <row r="5829" spans="1:4" ht="31.5" customHeight="1">
      <c r="A5829" s="120">
        <v>102255</v>
      </c>
      <c r="B5829" s="119" t="s">
        <v>7368</v>
      </c>
      <c r="C5829" s="120" t="s">
        <v>951</v>
      </c>
      <c r="D5829" s="441">
        <v>904.92</v>
      </c>
    </row>
    <row r="5830" spans="1:4" ht="31.5" customHeight="1">
      <c r="A5830" s="120">
        <v>102256</v>
      </c>
      <c r="B5830" s="119" t="s">
        <v>7369</v>
      </c>
      <c r="C5830" s="120" t="s">
        <v>951</v>
      </c>
      <c r="D5830" s="442">
        <v>1114.8499999999999</v>
      </c>
    </row>
    <row r="5831" spans="1:4" ht="31.5" customHeight="1">
      <c r="A5831" s="120">
        <v>102257</v>
      </c>
      <c r="B5831" s="119" t="s">
        <v>7370</v>
      </c>
      <c r="C5831" s="120" t="s">
        <v>951</v>
      </c>
      <c r="D5831" s="441">
        <v>344.8</v>
      </c>
    </row>
    <row r="5832" spans="1:4" ht="31.5" customHeight="1">
      <c r="A5832" s="120">
        <v>102258</v>
      </c>
      <c r="B5832" s="119" t="s">
        <v>7371</v>
      </c>
      <c r="C5832" s="120" t="s">
        <v>951</v>
      </c>
      <c r="D5832" s="441">
        <v>406.7</v>
      </c>
    </row>
    <row r="5833" spans="1:4" ht="31.5" customHeight="1">
      <c r="A5833" s="120">
        <v>101154</v>
      </c>
      <c r="B5833" s="119" t="s">
        <v>7372</v>
      </c>
      <c r="C5833" s="120" t="s">
        <v>951</v>
      </c>
      <c r="D5833" s="441">
        <v>111.65</v>
      </c>
    </row>
    <row r="5834" spans="1:4" ht="31.5" customHeight="1">
      <c r="A5834" s="120">
        <v>101155</v>
      </c>
      <c r="B5834" s="119" t="s">
        <v>7373</v>
      </c>
      <c r="C5834" s="120" t="s">
        <v>951</v>
      </c>
      <c r="D5834" s="441">
        <v>155.85</v>
      </c>
    </row>
    <row r="5835" spans="1:4" ht="31.5" customHeight="1">
      <c r="A5835" s="120">
        <v>101156</v>
      </c>
      <c r="B5835" s="119" t="s">
        <v>7374</v>
      </c>
      <c r="C5835" s="120" t="s">
        <v>951</v>
      </c>
      <c r="D5835" s="441">
        <v>227.05</v>
      </c>
    </row>
    <row r="5836" spans="1:4" ht="47.25" customHeight="1">
      <c r="A5836" s="120">
        <v>101814</v>
      </c>
      <c r="B5836" s="119" t="s">
        <v>7375</v>
      </c>
      <c r="C5836" s="120" t="s">
        <v>951</v>
      </c>
      <c r="D5836" s="441">
        <v>47.87</v>
      </c>
    </row>
    <row r="5837" spans="1:4" ht="47.25" customHeight="1">
      <c r="A5837" s="120">
        <v>101816</v>
      </c>
      <c r="B5837" s="119" t="s">
        <v>7376</v>
      </c>
      <c r="C5837" s="120" t="s">
        <v>951</v>
      </c>
      <c r="D5837" s="441">
        <v>72.39</v>
      </c>
    </row>
    <row r="5838" spans="1:4" ht="47.25" customHeight="1">
      <c r="A5838" s="120">
        <v>101817</v>
      </c>
      <c r="B5838" s="119" t="s">
        <v>7377</v>
      </c>
      <c r="C5838" s="120" t="s">
        <v>951</v>
      </c>
      <c r="D5838" s="441">
        <v>54.15</v>
      </c>
    </row>
    <row r="5839" spans="1:4" ht="47.25" customHeight="1">
      <c r="A5839" s="120">
        <v>101819</v>
      </c>
      <c r="B5839" s="119" t="s">
        <v>7378</v>
      </c>
      <c r="C5839" s="120" t="s">
        <v>951</v>
      </c>
      <c r="D5839" s="441">
        <v>68.290000000000006</v>
      </c>
    </row>
    <row r="5840" spans="1:4" ht="31.5" customHeight="1">
      <c r="A5840" s="120">
        <v>101820</v>
      </c>
      <c r="B5840" s="119" t="s">
        <v>7379</v>
      </c>
      <c r="C5840" s="120" t="s">
        <v>951</v>
      </c>
      <c r="D5840" s="441">
        <v>45.32</v>
      </c>
    </row>
    <row r="5841" spans="1:4" ht="31.5" customHeight="1">
      <c r="A5841" s="120">
        <v>101822</v>
      </c>
      <c r="B5841" s="119" t="s">
        <v>7380</v>
      </c>
      <c r="C5841" s="120" t="s">
        <v>950</v>
      </c>
      <c r="D5841" s="441">
        <v>140.65</v>
      </c>
    </row>
    <row r="5842" spans="1:4" ht="31.5" customHeight="1">
      <c r="A5842" s="120">
        <v>101823</v>
      </c>
      <c r="B5842" s="119" t="s">
        <v>7381</v>
      </c>
      <c r="C5842" s="120" t="s">
        <v>950</v>
      </c>
      <c r="D5842" s="441">
        <v>172.44</v>
      </c>
    </row>
    <row r="5843" spans="1:4" ht="31.5" customHeight="1">
      <c r="A5843" s="120">
        <v>101824</v>
      </c>
      <c r="B5843" s="119" t="s">
        <v>7382</v>
      </c>
      <c r="C5843" s="120" t="s">
        <v>950</v>
      </c>
      <c r="D5843" s="441">
        <v>202.04</v>
      </c>
    </row>
    <row r="5844" spans="1:4" ht="31.5" customHeight="1">
      <c r="A5844" s="120">
        <v>101825</v>
      </c>
      <c r="B5844" s="119" t="s">
        <v>7383</v>
      </c>
      <c r="C5844" s="120" t="s">
        <v>950</v>
      </c>
      <c r="D5844" s="441">
        <v>230.84</v>
      </c>
    </row>
    <row r="5845" spans="1:4" ht="31.5" customHeight="1">
      <c r="A5845" s="120">
        <v>101826</v>
      </c>
      <c r="B5845" s="119" t="s">
        <v>7384</v>
      </c>
      <c r="C5845" s="120" t="s">
        <v>950</v>
      </c>
      <c r="D5845" s="441">
        <v>259.27</v>
      </c>
    </row>
    <row r="5846" spans="1:4" ht="31.5" customHeight="1">
      <c r="A5846" s="120">
        <v>101827</v>
      </c>
      <c r="B5846" s="119" t="s">
        <v>7385</v>
      </c>
      <c r="C5846" s="120" t="s">
        <v>950</v>
      </c>
      <c r="D5846" s="441">
        <v>190.99</v>
      </c>
    </row>
    <row r="5847" spans="1:4" ht="31.5" customHeight="1">
      <c r="A5847" s="120">
        <v>101828</v>
      </c>
      <c r="B5847" s="119" t="s">
        <v>7386</v>
      </c>
      <c r="C5847" s="120" t="s">
        <v>950</v>
      </c>
      <c r="D5847" s="441">
        <v>182.6</v>
      </c>
    </row>
    <row r="5848" spans="1:4" ht="31.5" customHeight="1">
      <c r="A5848" s="120">
        <v>101829</v>
      </c>
      <c r="B5848" s="119" t="s">
        <v>7387</v>
      </c>
      <c r="C5848" s="120" t="s">
        <v>950</v>
      </c>
      <c r="D5848" s="441">
        <v>250.37</v>
      </c>
    </row>
    <row r="5849" spans="1:4" ht="31.5" customHeight="1">
      <c r="A5849" s="120">
        <v>101830</v>
      </c>
      <c r="B5849" s="119" t="s">
        <v>7388</v>
      </c>
      <c r="C5849" s="120" t="s">
        <v>950</v>
      </c>
      <c r="D5849" s="441">
        <v>278.16000000000003</v>
      </c>
    </row>
    <row r="5850" spans="1:4" ht="31.5" customHeight="1">
      <c r="A5850" s="120">
        <v>101831</v>
      </c>
      <c r="B5850" s="119" t="s">
        <v>7389</v>
      </c>
      <c r="C5850" s="120" t="s">
        <v>950</v>
      </c>
      <c r="D5850" s="441">
        <v>305.58</v>
      </c>
    </row>
    <row r="5851" spans="1:4" ht="31.5" customHeight="1">
      <c r="A5851" s="120">
        <v>101832</v>
      </c>
      <c r="B5851" s="119" t="s">
        <v>7390</v>
      </c>
      <c r="C5851" s="120" t="s">
        <v>950</v>
      </c>
      <c r="D5851" s="441">
        <v>242.31</v>
      </c>
    </row>
    <row r="5852" spans="1:4" ht="31.5" customHeight="1">
      <c r="A5852" s="120">
        <v>101833</v>
      </c>
      <c r="B5852" s="119" t="s">
        <v>7391</v>
      </c>
      <c r="C5852" s="120" t="s">
        <v>950</v>
      </c>
      <c r="D5852" s="441">
        <v>270.27</v>
      </c>
    </row>
    <row r="5853" spans="1:4" ht="31.5" customHeight="1">
      <c r="A5853" s="120">
        <v>101834</v>
      </c>
      <c r="B5853" s="119" t="s">
        <v>7392</v>
      </c>
      <c r="C5853" s="120" t="s">
        <v>950</v>
      </c>
      <c r="D5853" s="441">
        <v>297.87</v>
      </c>
    </row>
    <row r="5854" spans="1:4" ht="31.5" customHeight="1">
      <c r="A5854" s="120">
        <v>101835</v>
      </c>
      <c r="B5854" s="119" t="s">
        <v>7393</v>
      </c>
      <c r="C5854" s="120" t="s">
        <v>950</v>
      </c>
      <c r="D5854" s="441">
        <v>240.06</v>
      </c>
    </row>
    <row r="5855" spans="1:4" ht="31.5" customHeight="1">
      <c r="A5855" s="120">
        <v>101836</v>
      </c>
      <c r="B5855" s="119" t="s">
        <v>7394</v>
      </c>
      <c r="C5855" s="120" t="s">
        <v>950</v>
      </c>
      <c r="D5855" s="441">
        <v>26.75</v>
      </c>
    </row>
    <row r="5856" spans="1:4" ht="31.5" customHeight="1">
      <c r="A5856" s="120">
        <v>101837</v>
      </c>
      <c r="B5856" s="119" t="s">
        <v>7395</v>
      </c>
      <c r="C5856" s="120" t="s">
        <v>950</v>
      </c>
      <c r="D5856" s="441">
        <v>58.54</v>
      </c>
    </row>
    <row r="5857" spans="1:4" ht="31.5" customHeight="1">
      <c r="A5857" s="120">
        <v>101838</v>
      </c>
      <c r="B5857" s="119" t="s">
        <v>7396</v>
      </c>
      <c r="C5857" s="120" t="s">
        <v>950</v>
      </c>
      <c r="D5857" s="441">
        <v>88.14</v>
      </c>
    </row>
    <row r="5858" spans="1:4" ht="31.5" customHeight="1">
      <c r="A5858" s="120">
        <v>101839</v>
      </c>
      <c r="B5858" s="119" t="s">
        <v>7397</v>
      </c>
      <c r="C5858" s="120" t="s">
        <v>950</v>
      </c>
      <c r="D5858" s="441">
        <v>116.94</v>
      </c>
    </row>
    <row r="5859" spans="1:4" ht="31.5" customHeight="1">
      <c r="A5859" s="120">
        <v>101840</v>
      </c>
      <c r="B5859" s="119" t="s">
        <v>7398</v>
      </c>
      <c r="C5859" s="120" t="s">
        <v>950</v>
      </c>
      <c r="D5859" s="441">
        <v>193.32</v>
      </c>
    </row>
    <row r="5860" spans="1:4" ht="31.5" customHeight="1">
      <c r="A5860" s="120">
        <v>101841</v>
      </c>
      <c r="B5860" s="119" t="s">
        <v>7399</v>
      </c>
      <c r="C5860" s="120" t="s">
        <v>950</v>
      </c>
      <c r="D5860" s="441">
        <v>77.09</v>
      </c>
    </row>
    <row r="5861" spans="1:4" ht="31.5" customHeight="1">
      <c r="A5861" s="120">
        <v>101842</v>
      </c>
      <c r="B5861" s="119" t="s">
        <v>7400</v>
      </c>
      <c r="C5861" s="120" t="s">
        <v>950</v>
      </c>
      <c r="D5861" s="441">
        <v>68.7</v>
      </c>
    </row>
    <row r="5862" spans="1:4" ht="31.5" customHeight="1">
      <c r="A5862" s="120">
        <v>101843</v>
      </c>
      <c r="B5862" s="119" t="s">
        <v>7401</v>
      </c>
      <c r="C5862" s="120" t="s">
        <v>950</v>
      </c>
      <c r="D5862" s="441">
        <v>136.47</v>
      </c>
    </row>
    <row r="5863" spans="1:4" ht="31.5" customHeight="1">
      <c r="A5863" s="120">
        <v>101844</v>
      </c>
      <c r="B5863" s="119" t="s">
        <v>7402</v>
      </c>
      <c r="C5863" s="120" t="s">
        <v>950</v>
      </c>
      <c r="D5863" s="441">
        <v>164.26</v>
      </c>
    </row>
    <row r="5864" spans="1:4" ht="31.5" customHeight="1">
      <c r="A5864" s="120">
        <v>101845</v>
      </c>
      <c r="B5864" s="119" t="s">
        <v>7403</v>
      </c>
      <c r="C5864" s="120" t="s">
        <v>950</v>
      </c>
      <c r="D5864" s="441">
        <v>191.68</v>
      </c>
    </row>
    <row r="5865" spans="1:4" ht="31.5" customHeight="1">
      <c r="A5865" s="120">
        <v>101846</v>
      </c>
      <c r="B5865" s="119" t="s">
        <v>7404</v>
      </c>
      <c r="C5865" s="120" t="s">
        <v>950</v>
      </c>
      <c r="D5865" s="441">
        <v>128.41</v>
      </c>
    </row>
    <row r="5866" spans="1:4" ht="31.5" customHeight="1">
      <c r="A5866" s="120">
        <v>101847</v>
      </c>
      <c r="B5866" s="119" t="s">
        <v>7405</v>
      </c>
      <c r="C5866" s="120" t="s">
        <v>950</v>
      </c>
      <c r="D5866" s="441">
        <v>156.37</v>
      </c>
    </row>
    <row r="5867" spans="1:4" ht="31.5" customHeight="1">
      <c r="A5867" s="120">
        <v>101848</v>
      </c>
      <c r="B5867" s="119" t="s">
        <v>7406</v>
      </c>
      <c r="C5867" s="120" t="s">
        <v>950</v>
      </c>
      <c r="D5867" s="441">
        <v>183.97</v>
      </c>
    </row>
    <row r="5868" spans="1:4" ht="31.5" customHeight="1">
      <c r="A5868" s="120">
        <v>101849</v>
      </c>
      <c r="B5868" s="119" t="s">
        <v>7407</v>
      </c>
      <c r="C5868" s="120" t="s">
        <v>950</v>
      </c>
      <c r="D5868" s="441">
        <v>126.16</v>
      </c>
    </row>
    <row r="5869" spans="1:4" ht="31.5" customHeight="1">
      <c r="A5869" s="120">
        <v>101850</v>
      </c>
      <c r="B5869" s="119" t="s">
        <v>7408</v>
      </c>
      <c r="C5869" s="120" t="s">
        <v>951</v>
      </c>
      <c r="D5869" s="441">
        <v>62.15</v>
      </c>
    </row>
    <row r="5870" spans="1:4" ht="31.5" customHeight="1">
      <c r="A5870" s="120">
        <v>101852</v>
      </c>
      <c r="B5870" s="119" t="s">
        <v>7409</v>
      </c>
      <c r="C5870" s="120" t="s">
        <v>951</v>
      </c>
      <c r="D5870" s="441">
        <v>76.489999999999995</v>
      </c>
    </row>
    <row r="5871" spans="1:4" ht="31.5" customHeight="1">
      <c r="A5871" s="120">
        <v>101853</v>
      </c>
      <c r="B5871" s="119" t="s">
        <v>7410</v>
      </c>
      <c r="C5871" s="120" t="s">
        <v>951</v>
      </c>
      <c r="D5871" s="441">
        <v>54.17</v>
      </c>
    </row>
    <row r="5872" spans="1:4" ht="31.5" customHeight="1">
      <c r="A5872" s="120">
        <v>101855</v>
      </c>
      <c r="B5872" s="119" t="s">
        <v>7411</v>
      </c>
      <c r="C5872" s="120" t="s">
        <v>951</v>
      </c>
      <c r="D5872" s="441">
        <v>78.81</v>
      </c>
    </row>
    <row r="5873" spans="1:4" ht="31.5" customHeight="1">
      <c r="A5873" s="120">
        <v>101856</v>
      </c>
      <c r="B5873" s="119" t="s">
        <v>7412</v>
      </c>
      <c r="C5873" s="120" t="s">
        <v>951</v>
      </c>
      <c r="D5873" s="441">
        <v>27.28</v>
      </c>
    </row>
    <row r="5874" spans="1:4" ht="31.5" customHeight="1">
      <c r="A5874" s="120">
        <v>101857</v>
      </c>
      <c r="B5874" s="119" t="s">
        <v>7413</v>
      </c>
      <c r="C5874" s="120" t="s">
        <v>951</v>
      </c>
      <c r="D5874" s="441">
        <v>34.79</v>
      </c>
    </row>
    <row r="5875" spans="1:4" ht="47.25" customHeight="1">
      <c r="A5875" s="120">
        <v>101858</v>
      </c>
      <c r="B5875" s="119" t="s">
        <v>7414</v>
      </c>
      <c r="C5875" s="120" t="s">
        <v>951</v>
      </c>
      <c r="D5875" s="441">
        <v>27.91</v>
      </c>
    </row>
    <row r="5876" spans="1:4" ht="47.25" customHeight="1">
      <c r="A5876" s="120">
        <v>101859</v>
      </c>
      <c r="B5876" s="119" t="s">
        <v>7415</v>
      </c>
      <c r="C5876" s="120" t="s">
        <v>951</v>
      </c>
      <c r="D5876" s="441">
        <v>31.13</v>
      </c>
    </row>
    <row r="5877" spans="1:4" ht="47.25" customHeight="1">
      <c r="A5877" s="120">
        <v>101860</v>
      </c>
      <c r="B5877" s="119" t="s">
        <v>7416</v>
      </c>
      <c r="C5877" s="120" t="s">
        <v>951</v>
      </c>
      <c r="D5877" s="441">
        <v>36.21</v>
      </c>
    </row>
    <row r="5878" spans="1:4" ht="31.5" customHeight="1">
      <c r="A5878" s="120">
        <v>101861</v>
      </c>
      <c r="B5878" s="119" t="s">
        <v>7417</v>
      </c>
      <c r="C5878" s="120" t="s">
        <v>951</v>
      </c>
      <c r="D5878" s="441">
        <v>33.700000000000003</v>
      </c>
    </row>
    <row r="5879" spans="1:4" ht="31.5" customHeight="1">
      <c r="A5879" s="120">
        <v>101862</v>
      </c>
      <c r="B5879" s="119" t="s">
        <v>7418</v>
      </c>
      <c r="C5879" s="120" t="s">
        <v>951</v>
      </c>
      <c r="D5879" s="441">
        <v>36.97</v>
      </c>
    </row>
    <row r="5880" spans="1:4" ht="47.25" customHeight="1">
      <c r="A5880" s="120">
        <v>101863</v>
      </c>
      <c r="B5880" s="119" t="s">
        <v>7419</v>
      </c>
      <c r="C5880" s="120" t="s">
        <v>951</v>
      </c>
      <c r="D5880" s="441">
        <v>28.36</v>
      </c>
    </row>
    <row r="5881" spans="1:4" ht="47.25" customHeight="1">
      <c r="A5881" s="120">
        <v>101864</v>
      </c>
      <c r="B5881" s="119" t="s">
        <v>7420</v>
      </c>
      <c r="C5881" s="120" t="s">
        <v>951</v>
      </c>
      <c r="D5881" s="441">
        <v>33.42</v>
      </c>
    </row>
    <row r="5882" spans="1:4" ht="47.25" customHeight="1">
      <c r="A5882" s="120">
        <v>101865</v>
      </c>
      <c r="B5882" s="119" t="s">
        <v>7421</v>
      </c>
      <c r="C5882" s="120" t="s">
        <v>951</v>
      </c>
      <c r="D5882" s="441">
        <v>38.5</v>
      </c>
    </row>
    <row r="5883" spans="1:4" ht="31.5" customHeight="1">
      <c r="A5883" s="120">
        <v>101866</v>
      </c>
      <c r="B5883" s="119" t="s">
        <v>7422</v>
      </c>
      <c r="C5883" s="120" t="s">
        <v>951</v>
      </c>
      <c r="D5883" s="441">
        <v>33.94</v>
      </c>
    </row>
    <row r="5884" spans="1:4" ht="31.5" customHeight="1">
      <c r="A5884" s="120">
        <v>101867</v>
      </c>
      <c r="B5884" s="119" t="s">
        <v>7423</v>
      </c>
      <c r="C5884" s="120" t="s">
        <v>951</v>
      </c>
      <c r="D5884" s="441">
        <v>39.01</v>
      </c>
    </row>
    <row r="5885" spans="1:4" ht="47.25" customHeight="1">
      <c r="A5885" s="120">
        <v>101868</v>
      </c>
      <c r="B5885" s="119" t="s">
        <v>7424</v>
      </c>
      <c r="C5885" s="120" t="s">
        <v>951</v>
      </c>
      <c r="D5885" s="441">
        <v>30.4</v>
      </c>
    </row>
    <row r="5886" spans="1:4" ht="47.25" customHeight="1">
      <c r="A5886" s="120">
        <v>101869</v>
      </c>
      <c r="B5886" s="119" t="s">
        <v>7425</v>
      </c>
      <c r="C5886" s="120" t="s">
        <v>951</v>
      </c>
      <c r="D5886" s="441">
        <v>35.46</v>
      </c>
    </row>
    <row r="5887" spans="1:4" ht="47.25" customHeight="1">
      <c r="A5887" s="120">
        <v>101870</v>
      </c>
      <c r="B5887" s="119" t="s">
        <v>7426</v>
      </c>
      <c r="C5887" s="120" t="s">
        <v>951</v>
      </c>
      <c r="D5887" s="441">
        <v>40.54</v>
      </c>
    </row>
    <row r="5888" spans="1:4" ht="31.5" customHeight="1">
      <c r="A5888" s="120">
        <v>102098</v>
      </c>
      <c r="B5888" s="119" t="s">
        <v>7427</v>
      </c>
      <c r="C5888" s="120" t="s">
        <v>950</v>
      </c>
      <c r="D5888" s="442">
        <v>1780.48</v>
      </c>
    </row>
    <row r="5889" spans="1:4" ht="31.5" customHeight="1">
      <c r="A5889" s="120">
        <v>102988</v>
      </c>
      <c r="B5889" s="119" t="s">
        <v>7428</v>
      </c>
      <c r="C5889" s="120" t="s">
        <v>951</v>
      </c>
      <c r="D5889" s="441">
        <v>61.46</v>
      </c>
    </row>
    <row r="5890" spans="1:4" ht="15.75" customHeight="1">
      <c r="A5890" s="120">
        <v>100576</v>
      </c>
      <c r="B5890" s="119" t="s">
        <v>7429</v>
      </c>
      <c r="C5890" s="120" t="s">
        <v>951</v>
      </c>
      <c r="D5890" s="441">
        <v>2.6</v>
      </c>
    </row>
    <row r="5891" spans="1:4" ht="15.75" customHeight="1">
      <c r="A5891" s="120">
        <v>100577</v>
      </c>
      <c r="B5891" s="119" t="s">
        <v>7430</v>
      </c>
      <c r="C5891" s="120" t="s">
        <v>951</v>
      </c>
      <c r="D5891" s="441">
        <v>1.19</v>
      </c>
    </row>
    <row r="5892" spans="1:4" ht="31.5" customHeight="1">
      <c r="A5892" s="120">
        <v>96388</v>
      </c>
      <c r="B5892" s="119" t="s">
        <v>7431</v>
      </c>
      <c r="C5892" s="120" t="s">
        <v>950</v>
      </c>
      <c r="D5892" s="441">
        <v>12.16</v>
      </c>
    </row>
    <row r="5893" spans="1:4" ht="31.5" customHeight="1">
      <c r="A5893" s="120">
        <v>96389</v>
      </c>
      <c r="B5893" s="119" t="s">
        <v>7432</v>
      </c>
      <c r="C5893" s="120" t="s">
        <v>950</v>
      </c>
      <c r="D5893" s="441">
        <v>49.29</v>
      </c>
    </row>
    <row r="5894" spans="1:4" ht="31.5" customHeight="1">
      <c r="A5894" s="120">
        <v>96390</v>
      </c>
      <c r="B5894" s="119" t="s">
        <v>7433</v>
      </c>
      <c r="C5894" s="120" t="s">
        <v>950</v>
      </c>
      <c r="D5894" s="441">
        <v>76.930000000000007</v>
      </c>
    </row>
    <row r="5895" spans="1:4" ht="31.5" customHeight="1">
      <c r="A5895" s="120">
        <v>96391</v>
      </c>
      <c r="B5895" s="119" t="s">
        <v>7434</v>
      </c>
      <c r="C5895" s="120" t="s">
        <v>950</v>
      </c>
      <c r="D5895" s="441">
        <v>106.61</v>
      </c>
    </row>
    <row r="5896" spans="1:4" ht="31.5" customHeight="1">
      <c r="A5896" s="120">
        <v>96392</v>
      </c>
      <c r="B5896" s="119" t="s">
        <v>7435</v>
      </c>
      <c r="C5896" s="120" t="s">
        <v>950</v>
      </c>
      <c r="D5896" s="441">
        <v>135.04</v>
      </c>
    </row>
    <row r="5897" spans="1:4" ht="31.5" customHeight="1">
      <c r="A5897" s="120">
        <v>96396</v>
      </c>
      <c r="B5897" s="119" t="s">
        <v>7436</v>
      </c>
      <c r="C5897" s="120" t="s">
        <v>950</v>
      </c>
      <c r="D5897" s="441">
        <v>112.95</v>
      </c>
    </row>
    <row r="5898" spans="1:4" ht="31.5" customHeight="1">
      <c r="A5898" s="120">
        <v>96397</v>
      </c>
      <c r="B5898" s="119" t="s">
        <v>7437</v>
      </c>
      <c r="C5898" s="120" t="s">
        <v>950</v>
      </c>
      <c r="D5898" s="441">
        <v>170.85</v>
      </c>
    </row>
    <row r="5899" spans="1:4" ht="31.5" customHeight="1">
      <c r="A5899" s="120">
        <v>96398</v>
      </c>
      <c r="B5899" s="119" t="s">
        <v>7438</v>
      </c>
      <c r="C5899" s="120" t="s">
        <v>950</v>
      </c>
      <c r="D5899" s="441">
        <v>246.41</v>
      </c>
    </row>
    <row r="5900" spans="1:4" ht="31.5" customHeight="1">
      <c r="A5900" s="120">
        <v>96399</v>
      </c>
      <c r="B5900" s="119" t="s">
        <v>7439</v>
      </c>
      <c r="C5900" s="120" t="s">
        <v>950</v>
      </c>
      <c r="D5900" s="441">
        <v>78.56</v>
      </c>
    </row>
    <row r="5901" spans="1:4" ht="31.5" customHeight="1">
      <c r="A5901" s="120">
        <v>96400</v>
      </c>
      <c r="B5901" s="119" t="s">
        <v>7440</v>
      </c>
      <c r="C5901" s="120" t="s">
        <v>950</v>
      </c>
      <c r="D5901" s="441">
        <v>103.58</v>
      </c>
    </row>
    <row r="5902" spans="1:4" ht="31.5" customHeight="1">
      <c r="A5902" s="120">
        <v>100564</v>
      </c>
      <c r="B5902" s="119" t="s">
        <v>7441</v>
      </c>
      <c r="C5902" s="120" t="s">
        <v>950</v>
      </c>
      <c r="D5902" s="441">
        <v>74</v>
      </c>
    </row>
    <row r="5903" spans="1:4" ht="31.5" customHeight="1">
      <c r="A5903" s="120">
        <v>100565</v>
      </c>
      <c r="B5903" s="119" t="s">
        <v>7442</v>
      </c>
      <c r="C5903" s="120" t="s">
        <v>950</v>
      </c>
      <c r="D5903" s="441">
        <v>65.64</v>
      </c>
    </row>
    <row r="5904" spans="1:4" ht="47.25" customHeight="1">
      <c r="A5904" s="120">
        <v>100566</v>
      </c>
      <c r="B5904" s="119" t="s">
        <v>7443</v>
      </c>
      <c r="C5904" s="120" t="s">
        <v>950</v>
      </c>
      <c r="D5904" s="441">
        <v>133.37</v>
      </c>
    </row>
    <row r="5905" spans="1:4" ht="47.25" customHeight="1">
      <c r="A5905" s="120">
        <v>100567</v>
      </c>
      <c r="B5905" s="119" t="s">
        <v>7444</v>
      </c>
      <c r="C5905" s="120" t="s">
        <v>950</v>
      </c>
      <c r="D5905" s="441">
        <v>161.19999999999999</v>
      </c>
    </row>
    <row r="5906" spans="1:4" ht="47.25" customHeight="1">
      <c r="A5906" s="120">
        <v>100568</v>
      </c>
      <c r="B5906" s="119" t="s">
        <v>7445</v>
      </c>
      <c r="C5906" s="120" t="s">
        <v>950</v>
      </c>
      <c r="D5906" s="441">
        <v>188.59</v>
      </c>
    </row>
    <row r="5907" spans="1:4" ht="47.25" customHeight="1">
      <c r="A5907" s="120">
        <v>100569</v>
      </c>
      <c r="B5907" s="119" t="s">
        <v>7446</v>
      </c>
      <c r="C5907" s="120" t="s">
        <v>950</v>
      </c>
      <c r="D5907" s="441">
        <v>125.32</v>
      </c>
    </row>
    <row r="5908" spans="1:4" ht="47.25" customHeight="1">
      <c r="A5908" s="120">
        <v>100570</v>
      </c>
      <c r="B5908" s="119" t="s">
        <v>7447</v>
      </c>
      <c r="C5908" s="120" t="s">
        <v>950</v>
      </c>
      <c r="D5908" s="441">
        <v>155.57</v>
      </c>
    </row>
    <row r="5909" spans="1:4" ht="47.25" customHeight="1">
      <c r="A5909" s="120">
        <v>100571</v>
      </c>
      <c r="B5909" s="119" t="s">
        <v>7448</v>
      </c>
      <c r="C5909" s="120" t="s">
        <v>950</v>
      </c>
      <c r="D5909" s="441">
        <v>180.9</v>
      </c>
    </row>
    <row r="5910" spans="1:4" ht="31.5" customHeight="1">
      <c r="A5910" s="120">
        <v>100572</v>
      </c>
      <c r="B5910" s="119" t="s">
        <v>7449</v>
      </c>
      <c r="C5910" s="120" t="s">
        <v>950</v>
      </c>
      <c r="D5910" s="441">
        <v>79.83</v>
      </c>
    </row>
    <row r="5911" spans="1:4" ht="31.5" customHeight="1">
      <c r="A5911" s="120">
        <v>100573</v>
      </c>
      <c r="B5911" s="119" t="s">
        <v>7450</v>
      </c>
      <c r="C5911" s="120" t="s">
        <v>950</v>
      </c>
      <c r="D5911" s="441">
        <v>71.47</v>
      </c>
    </row>
    <row r="5912" spans="1:4" ht="15.75" customHeight="1">
      <c r="A5912" s="120">
        <v>100574</v>
      </c>
      <c r="B5912" s="119" t="s">
        <v>7451</v>
      </c>
      <c r="C5912" s="120" t="s">
        <v>950</v>
      </c>
      <c r="D5912" s="441">
        <v>1.47</v>
      </c>
    </row>
    <row r="5913" spans="1:4" ht="15.75" customHeight="1">
      <c r="A5913" s="120">
        <v>100575</v>
      </c>
      <c r="B5913" s="119" t="s">
        <v>7452</v>
      </c>
      <c r="C5913" s="120" t="s">
        <v>951</v>
      </c>
      <c r="D5913" s="441">
        <v>0.13</v>
      </c>
    </row>
    <row r="5914" spans="1:4" ht="47.25" customHeight="1">
      <c r="A5914" s="120">
        <v>101767</v>
      </c>
      <c r="B5914" s="119" t="s">
        <v>7453</v>
      </c>
      <c r="C5914" s="120" t="s">
        <v>950</v>
      </c>
      <c r="D5914" s="441">
        <v>29.45</v>
      </c>
    </row>
    <row r="5915" spans="1:4" ht="47.25" customHeight="1">
      <c r="A5915" s="120">
        <v>101768</v>
      </c>
      <c r="B5915" s="119" t="s">
        <v>7454</v>
      </c>
      <c r="C5915" s="120" t="s">
        <v>950</v>
      </c>
      <c r="D5915" s="441">
        <v>44.25</v>
      </c>
    </row>
    <row r="5916" spans="1:4" ht="31.5" customHeight="1">
      <c r="A5916" s="120">
        <v>92391</v>
      </c>
      <c r="B5916" s="119" t="s">
        <v>7455</v>
      </c>
      <c r="C5916" s="120" t="s">
        <v>951</v>
      </c>
      <c r="D5916" s="441">
        <v>47.3</v>
      </c>
    </row>
    <row r="5917" spans="1:4" ht="31.5" customHeight="1">
      <c r="A5917" s="120">
        <v>92392</v>
      </c>
      <c r="B5917" s="119" t="s">
        <v>7456</v>
      </c>
      <c r="C5917" s="120" t="s">
        <v>951</v>
      </c>
      <c r="D5917" s="441">
        <v>94.28</v>
      </c>
    </row>
    <row r="5918" spans="1:4" ht="31.5" customHeight="1">
      <c r="A5918" s="120">
        <v>92393</v>
      </c>
      <c r="B5918" s="119" t="s">
        <v>7457</v>
      </c>
      <c r="C5918" s="120" t="s">
        <v>951</v>
      </c>
      <c r="D5918" s="441">
        <v>47.29</v>
      </c>
    </row>
    <row r="5919" spans="1:4" ht="31.5" customHeight="1">
      <c r="A5919" s="120">
        <v>92394</v>
      </c>
      <c r="B5919" s="119" t="s">
        <v>7458</v>
      </c>
      <c r="C5919" s="120" t="s">
        <v>951</v>
      </c>
      <c r="D5919" s="441">
        <v>58.85</v>
      </c>
    </row>
    <row r="5920" spans="1:4" ht="31.5" customHeight="1">
      <c r="A5920" s="120">
        <v>92395</v>
      </c>
      <c r="B5920" s="119" t="s">
        <v>7459</v>
      </c>
      <c r="C5920" s="120" t="s">
        <v>951</v>
      </c>
      <c r="D5920" s="441">
        <v>71.12</v>
      </c>
    </row>
    <row r="5921" spans="1:4" ht="31.5" customHeight="1">
      <c r="A5921" s="120">
        <v>92396</v>
      </c>
      <c r="B5921" s="119" t="s">
        <v>7460</v>
      </c>
      <c r="C5921" s="120" t="s">
        <v>951</v>
      </c>
      <c r="D5921" s="441">
        <v>62.05</v>
      </c>
    </row>
    <row r="5922" spans="1:4" ht="31.5" customHeight="1">
      <c r="A5922" s="120">
        <v>92397</v>
      </c>
      <c r="B5922" s="119" t="s">
        <v>7461</v>
      </c>
      <c r="C5922" s="120" t="s">
        <v>951</v>
      </c>
      <c r="D5922" s="441">
        <v>51.45</v>
      </c>
    </row>
    <row r="5923" spans="1:4" ht="31.5" customHeight="1">
      <c r="A5923" s="120">
        <v>92398</v>
      </c>
      <c r="B5923" s="119" t="s">
        <v>7462</v>
      </c>
      <c r="C5923" s="120" t="s">
        <v>951</v>
      </c>
      <c r="D5923" s="441">
        <v>64.040000000000006</v>
      </c>
    </row>
    <row r="5924" spans="1:4" ht="31.5" customHeight="1">
      <c r="A5924" s="120">
        <v>92400</v>
      </c>
      <c r="B5924" s="119" t="s">
        <v>7463</v>
      </c>
      <c r="C5924" s="120" t="s">
        <v>951</v>
      </c>
      <c r="D5924" s="441">
        <v>75.31</v>
      </c>
    </row>
    <row r="5925" spans="1:4" ht="31.5" customHeight="1">
      <c r="A5925" s="120">
        <v>92402</v>
      </c>
      <c r="B5925" s="119" t="s">
        <v>7464</v>
      </c>
      <c r="C5925" s="120" t="s">
        <v>951</v>
      </c>
      <c r="D5925" s="441">
        <v>59.52</v>
      </c>
    </row>
    <row r="5926" spans="1:4" ht="31.5" customHeight="1">
      <c r="A5926" s="120">
        <v>92403</v>
      </c>
      <c r="B5926" s="119" t="s">
        <v>7465</v>
      </c>
      <c r="C5926" s="120" t="s">
        <v>951</v>
      </c>
      <c r="D5926" s="441">
        <v>48.7</v>
      </c>
    </row>
    <row r="5927" spans="1:4" ht="31.5" customHeight="1">
      <c r="A5927" s="120">
        <v>92404</v>
      </c>
      <c r="B5927" s="119" t="s">
        <v>7466</v>
      </c>
      <c r="C5927" s="120" t="s">
        <v>951</v>
      </c>
      <c r="D5927" s="441">
        <v>61.28</v>
      </c>
    </row>
    <row r="5928" spans="1:4" ht="31.5" customHeight="1">
      <c r="A5928" s="120">
        <v>92406</v>
      </c>
      <c r="B5928" s="119" t="s">
        <v>7467</v>
      </c>
      <c r="C5928" s="120" t="s">
        <v>951</v>
      </c>
      <c r="D5928" s="441">
        <v>73.72</v>
      </c>
    </row>
    <row r="5929" spans="1:4" ht="31.5" customHeight="1">
      <c r="A5929" s="120">
        <v>93679</v>
      </c>
      <c r="B5929" s="119" t="s">
        <v>7468</v>
      </c>
      <c r="C5929" s="120" t="s">
        <v>951</v>
      </c>
      <c r="D5929" s="441">
        <v>67.739999999999995</v>
      </c>
    </row>
    <row r="5930" spans="1:4" ht="31.5" customHeight="1">
      <c r="A5930" s="120">
        <v>93680</v>
      </c>
      <c r="B5930" s="119" t="s">
        <v>7469</v>
      </c>
      <c r="C5930" s="120" t="s">
        <v>951</v>
      </c>
      <c r="D5930" s="441">
        <v>56.99</v>
      </c>
    </row>
    <row r="5931" spans="1:4" ht="31.5" customHeight="1">
      <c r="A5931" s="120">
        <v>93681</v>
      </c>
      <c r="B5931" s="119" t="s">
        <v>7470</v>
      </c>
      <c r="C5931" s="120" t="s">
        <v>951</v>
      </c>
      <c r="D5931" s="441">
        <v>68.47</v>
      </c>
    </row>
    <row r="5932" spans="1:4" ht="15.75" customHeight="1">
      <c r="A5932" s="120">
        <v>97104</v>
      </c>
      <c r="B5932" s="119" t="s">
        <v>7471</v>
      </c>
      <c r="C5932" s="120" t="s">
        <v>951</v>
      </c>
      <c r="D5932" s="441">
        <v>121.45</v>
      </c>
    </row>
    <row r="5933" spans="1:4" ht="15.75" customHeight="1">
      <c r="A5933" s="120">
        <v>97105</v>
      </c>
      <c r="B5933" s="119" t="s">
        <v>7472</v>
      </c>
      <c r="C5933" s="120" t="s">
        <v>951</v>
      </c>
      <c r="D5933" s="441">
        <v>136.68</v>
      </c>
    </row>
    <row r="5934" spans="1:4" ht="15.75" customHeight="1">
      <c r="A5934" s="120">
        <v>97106</v>
      </c>
      <c r="B5934" s="119" t="s">
        <v>7473</v>
      </c>
      <c r="C5934" s="120" t="s">
        <v>951</v>
      </c>
      <c r="D5934" s="441">
        <v>150.85</v>
      </c>
    </row>
    <row r="5935" spans="1:4" ht="15.75" customHeight="1">
      <c r="A5935" s="120">
        <v>97107</v>
      </c>
      <c r="B5935" s="119" t="s">
        <v>7474</v>
      </c>
      <c r="C5935" s="120" t="s">
        <v>951</v>
      </c>
      <c r="D5935" s="441">
        <v>172.16</v>
      </c>
    </row>
    <row r="5936" spans="1:4" ht="15.75" customHeight="1">
      <c r="A5936" s="120">
        <v>97108</v>
      </c>
      <c r="B5936" s="119" t="s">
        <v>7475</v>
      </c>
      <c r="C5936" s="120" t="s">
        <v>951</v>
      </c>
      <c r="D5936" s="441">
        <v>196.46</v>
      </c>
    </row>
    <row r="5937" spans="1:4" ht="15.75" customHeight="1">
      <c r="A5937" s="120">
        <v>97109</v>
      </c>
      <c r="B5937" s="119" t="s">
        <v>7476</v>
      </c>
      <c r="C5937" s="120" t="s">
        <v>951</v>
      </c>
      <c r="D5937" s="441">
        <v>217</v>
      </c>
    </row>
    <row r="5938" spans="1:4" ht="15.75" customHeight="1">
      <c r="A5938" s="120">
        <v>97111</v>
      </c>
      <c r="B5938" s="119" t="s">
        <v>7477</v>
      </c>
      <c r="C5938" s="120" t="s">
        <v>951</v>
      </c>
      <c r="D5938" s="441">
        <v>274.89</v>
      </c>
    </row>
    <row r="5939" spans="1:4" ht="15.75" customHeight="1">
      <c r="A5939" s="120">
        <v>97112</v>
      </c>
      <c r="B5939" s="119" t="s">
        <v>7478</v>
      </c>
      <c r="C5939" s="120" t="s">
        <v>951</v>
      </c>
      <c r="D5939" s="441">
        <v>231.07</v>
      </c>
    </row>
    <row r="5940" spans="1:4" ht="15.75" customHeight="1">
      <c r="A5940" s="120">
        <v>97113</v>
      </c>
      <c r="B5940" s="119" t="s">
        <v>7479</v>
      </c>
      <c r="C5940" s="120" t="s">
        <v>951</v>
      </c>
      <c r="D5940" s="441">
        <v>3.15</v>
      </c>
    </row>
    <row r="5941" spans="1:4" ht="15.75" customHeight="1">
      <c r="A5941" s="120">
        <v>97114</v>
      </c>
      <c r="B5941" s="119" t="s">
        <v>7480</v>
      </c>
      <c r="C5941" s="120" t="s">
        <v>328</v>
      </c>
      <c r="D5941" s="441">
        <v>0.44</v>
      </c>
    </row>
    <row r="5942" spans="1:4" ht="15.75" customHeight="1">
      <c r="A5942" s="120">
        <v>97115</v>
      </c>
      <c r="B5942" s="119" t="s">
        <v>7481</v>
      </c>
      <c r="C5942" s="120" t="s">
        <v>327</v>
      </c>
      <c r="D5942" s="441">
        <v>46.64</v>
      </c>
    </row>
    <row r="5943" spans="1:4" ht="31.5" customHeight="1">
      <c r="A5943" s="120">
        <v>97116</v>
      </c>
      <c r="B5943" s="119" t="s">
        <v>7482</v>
      </c>
      <c r="C5943" s="120" t="s">
        <v>327</v>
      </c>
      <c r="D5943" s="441">
        <v>26.06</v>
      </c>
    </row>
    <row r="5944" spans="1:4" ht="31.5" customHeight="1">
      <c r="A5944" s="120">
        <v>97117</v>
      </c>
      <c r="B5944" s="119" t="s">
        <v>7483</v>
      </c>
      <c r="C5944" s="120" t="s">
        <v>327</v>
      </c>
      <c r="D5944" s="441">
        <v>22.24</v>
      </c>
    </row>
    <row r="5945" spans="1:4" ht="31.5" customHeight="1">
      <c r="A5945" s="120">
        <v>97118</v>
      </c>
      <c r="B5945" s="119" t="s">
        <v>7484</v>
      </c>
      <c r="C5945" s="120" t="s">
        <v>327</v>
      </c>
      <c r="D5945" s="441">
        <v>18.18</v>
      </c>
    </row>
    <row r="5946" spans="1:4" ht="31.5" customHeight="1">
      <c r="A5946" s="120">
        <v>97119</v>
      </c>
      <c r="B5946" s="119" t="s">
        <v>7485</v>
      </c>
      <c r="C5946" s="120" t="s">
        <v>327</v>
      </c>
      <c r="D5946" s="441">
        <v>16.12</v>
      </c>
    </row>
    <row r="5947" spans="1:4" ht="31.5" customHeight="1">
      <c r="A5947" s="120">
        <v>97120</v>
      </c>
      <c r="B5947" s="119" t="s">
        <v>7486</v>
      </c>
      <c r="C5947" s="120" t="s">
        <v>327</v>
      </c>
      <c r="D5947" s="441">
        <v>10.31</v>
      </c>
    </row>
    <row r="5948" spans="1:4" ht="15.75" customHeight="1">
      <c r="A5948" s="120">
        <v>101167</v>
      </c>
      <c r="B5948" s="119" t="s">
        <v>7487</v>
      </c>
      <c r="C5948" s="120" t="s">
        <v>951</v>
      </c>
      <c r="D5948" s="441">
        <v>91.49</v>
      </c>
    </row>
    <row r="5949" spans="1:4" ht="31.5" customHeight="1">
      <c r="A5949" s="120">
        <v>101169</v>
      </c>
      <c r="B5949" s="119" t="s">
        <v>7488</v>
      </c>
      <c r="C5949" s="120" t="s">
        <v>951</v>
      </c>
      <c r="D5949" s="441">
        <v>105.87</v>
      </c>
    </row>
    <row r="5950" spans="1:4" ht="15.75" customHeight="1">
      <c r="A5950" s="120">
        <v>101170</v>
      </c>
      <c r="B5950" s="119" t="s">
        <v>7489</v>
      </c>
      <c r="C5950" s="120" t="s">
        <v>951</v>
      </c>
      <c r="D5950" s="441">
        <v>40.31</v>
      </c>
    </row>
    <row r="5951" spans="1:4" ht="31.5" customHeight="1">
      <c r="A5951" s="120">
        <v>101172</v>
      </c>
      <c r="B5951" s="119" t="s">
        <v>7490</v>
      </c>
      <c r="C5951" s="120" t="s">
        <v>951</v>
      </c>
      <c r="D5951" s="441">
        <v>65.08</v>
      </c>
    </row>
    <row r="5952" spans="1:4" ht="15.75" customHeight="1">
      <c r="A5952" s="120">
        <v>103904</v>
      </c>
      <c r="B5952" s="119" t="s">
        <v>7491</v>
      </c>
      <c r="C5952" s="120" t="s">
        <v>951</v>
      </c>
      <c r="D5952" s="441">
        <v>118.37</v>
      </c>
    </row>
    <row r="5953" spans="1:4" ht="15.75" customHeight="1">
      <c r="A5953" s="120">
        <v>103905</v>
      </c>
      <c r="B5953" s="119" t="s">
        <v>7492</v>
      </c>
      <c r="C5953" s="120" t="s">
        <v>951</v>
      </c>
      <c r="D5953" s="441">
        <v>124.83</v>
      </c>
    </row>
    <row r="5954" spans="1:4" ht="15.75" customHeight="1">
      <c r="A5954" s="120">
        <v>103906</v>
      </c>
      <c r="B5954" s="119" t="s">
        <v>7493</v>
      </c>
      <c r="C5954" s="120" t="s">
        <v>951</v>
      </c>
      <c r="D5954" s="441">
        <v>148.1</v>
      </c>
    </row>
    <row r="5955" spans="1:4" ht="15.75" customHeight="1">
      <c r="A5955" s="120">
        <v>103907</v>
      </c>
      <c r="B5955" s="119" t="s">
        <v>7494</v>
      </c>
      <c r="C5955" s="120" t="s">
        <v>951</v>
      </c>
      <c r="D5955" s="441">
        <v>130.07</v>
      </c>
    </row>
    <row r="5956" spans="1:4" ht="15.75" customHeight="1">
      <c r="A5956" s="120">
        <v>103908</v>
      </c>
      <c r="B5956" s="119" t="s">
        <v>7495</v>
      </c>
      <c r="C5956" s="120" t="s">
        <v>951</v>
      </c>
      <c r="D5956" s="441">
        <v>146.72999999999999</v>
      </c>
    </row>
    <row r="5957" spans="1:4" ht="15.75" customHeight="1">
      <c r="A5957" s="120">
        <v>103909</v>
      </c>
      <c r="B5957" s="119" t="s">
        <v>7496</v>
      </c>
      <c r="C5957" s="120" t="s">
        <v>951</v>
      </c>
      <c r="D5957" s="441">
        <v>167.53</v>
      </c>
    </row>
    <row r="5958" spans="1:4" ht="15.75" customHeight="1">
      <c r="A5958" s="120">
        <v>103911</v>
      </c>
      <c r="B5958" s="119" t="s">
        <v>7497</v>
      </c>
      <c r="C5958" s="120" t="s">
        <v>951</v>
      </c>
      <c r="D5958" s="441">
        <v>191.31</v>
      </c>
    </row>
    <row r="5959" spans="1:4" ht="15.75" customHeight="1">
      <c r="A5959" s="120">
        <v>103912</v>
      </c>
      <c r="B5959" s="119" t="s">
        <v>7498</v>
      </c>
      <c r="C5959" s="120" t="s">
        <v>951</v>
      </c>
      <c r="D5959" s="441">
        <v>93.42</v>
      </c>
    </row>
    <row r="5960" spans="1:4" ht="15.75" customHeight="1">
      <c r="A5960" s="120">
        <v>103913</v>
      </c>
      <c r="B5960" s="119" t="s">
        <v>7499</v>
      </c>
      <c r="C5960" s="120" t="s">
        <v>951</v>
      </c>
      <c r="D5960" s="441">
        <v>122.83</v>
      </c>
    </row>
    <row r="5961" spans="1:4" ht="15.75" customHeight="1">
      <c r="A5961" s="120">
        <v>103914</v>
      </c>
      <c r="B5961" s="119" t="s">
        <v>7500</v>
      </c>
      <c r="C5961" s="120" t="s">
        <v>951</v>
      </c>
      <c r="D5961" s="441">
        <v>142.52000000000001</v>
      </c>
    </row>
    <row r="5962" spans="1:4" ht="15.75" customHeight="1">
      <c r="A5962" s="120">
        <v>103915</v>
      </c>
      <c r="B5962" s="119" t="s">
        <v>7501</v>
      </c>
      <c r="C5962" s="120" t="s">
        <v>951</v>
      </c>
      <c r="D5962" s="441">
        <v>156.46</v>
      </c>
    </row>
    <row r="5963" spans="1:4" ht="15.75" customHeight="1">
      <c r="A5963" s="120">
        <v>103916</v>
      </c>
      <c r="B5963" s="119" t="s">
        <v>7502</v>
      </c>
      <c r="C5963" s="120" t="s">
        <v>951</v>
      </c>
      <c r="D5963" s="441">
        <v>177.14</v>
      </c>
    </row>
    <row r="5964" spans="1:4" ht="15.75" customHeight="1">
      <c r="A5964" s="120">
        <v>103917</v>
      </c>
      <c r="B5964" s="119" t="s">
        <v>7503</v>
      </c>
      <c r="C5964" s="120" t="s">
        <v>951</v>
      </c>
      <c r="D5964" s="441">
        <v>206.02</v>
      </c>
    </row>
    <row r="5965" spans="1:4" ht="15.75" customHeight="1">
      <c r="A5965" s="120">
        <v>103918</v>
      </c>
      <c r="B5965" s="119" t="s">
        <v>7504</v>
      </c>
      <c r="C5965" s="120" t="s">
        <v>951</v>
      </c>
      <c r="D5965" s="441">
        <v>216.46</v>
      </c>
    </row>
    <row r="5966" spans="1:4" ht="31.5" customHeight="1">
      <c r="A5966" s="120">
        <v>104432</v>
      </c>
      <c r="B5966" s="119" t="s">
        <v>7505</v>
      </c>
      <c r="C5966" s="120" t="s">
        <v>951</v>
      </c>
      <c r="D5966" s="441">
        <v>66.33</v>
      </c>
    </row>
    <row r="5967" spans="1:4" ht="31.5" customHeight="1">
      <c r="A5967" s="120">
        <v>104433</v>
      </c>
      <c r="B5967" s="119" t="s">
        <v>7506</v>
      </c>
      <c r="C5967" s="120" t="s">
        <v>951</v>
      </c>
      <c r="D5967" s="441">
        <v>54.47</v>
      </c>
    </row>
    <row r="5968" spans="1:4" ht="31.5" customHeight="1">
      <c r="A5968" s="120">
        <v>103694</v>
      </c>
      <c r="B5968" s="119" t="s">
        <v>7507</v>
      </c>
      <c r="C5968" s="120" t="s">
        <v>331</v>
      </c>
      <c r="D5968" s="441">
        <v>111.41</v>
      </c>
    </row>
    <row r="5969" spans="1:4" ht="31.5" customHeight="1">
      <c r="A5969" s="120">
        <v>103695</v>
      </c>
      <c r="B5969" s="119" t="s">
        <v>7508</v>
      </c>
      <c r="C5969" s="120" t="s">
        <v>331</v>
      </c>
      <c r="D5969" s="441">
        <v>99.82</v>
      </c>
    </row>
    <row r="5970" spans="1:4" ht="31.5" customHeight="1">
      <c r="A5970" s="120">
        <v>103696</v>
      </c>
      <c r="B5970" s="119" t="s">
        <v>7509</v>
      </c>
      <c r="C5970" s="120" t="s">
        <v>331</v>
      </c>
      <c r="D5970" s="441">
        <v>143.82</v>
      </c>
    </row>
    <row r="5971" spans="1:4" ht="31.5" customHeight="1">
      <c r="A5971" s="120">
        <v>103697</v>
      </c>
      <c r="B5971" s="119" t="s">
        <v>7510</v>
      </c>
      <c r="C5971" s="120" t="s">
        <v>331</v>
      </c>
      <c r="D5971" s="441">
        <v>132.22999999999999</v>
      </c>
    </row>
    <row r="5972" spans="1:4" ht="31.5" customHeight="1">
      <c r="A5972" s="120">
        <v>95995</v>
      </c>
      <c r="B5972" s="119" t="s">
        <v>7511</v>
      </c>
      <c r="C5972" s="120" t="s">
        <v>950</v>
      </c>
      <c r="D5972" s="442">
        <v>1349</v>
      </c>
    </row>
    <row r="5973" spans="1:4" ht="31.5" customHeight="1">
      <c r="A5973" s="120">
        <v>95996</v>
      </c>
      <c r="B5973" s="119" t="s">
        <v>7512</v>
      </c>
      <c r="C5973" s="120" t="s">
        <v>950</v>
      </c>
      <c r="D5973" s="442">
        <v>1163.72</v>
      </c>
    </row>
    <row r="5974" spans="1:4" ht="15.75" customHeight="1">
      <c r="A5974" s="120">
        <v>96001</v>
      </c>
      <c r="B5974" s="119" t="s">
        <v>7513</v>
      </c>
      <c r="C5974" s="120" t="s">
        <v>951</v>
      </c>
      <c r="D5974" s="441">
        <v>7.95</v>
      </c>
    </row>
    <row r="5975" spans="1:4" ht="15.75" customHeight="1">
      <c r="A5975" s="120">
        <v>96393</v>
      </c>
      <c r="B5975" s="119" t="s">
        <v>7514</v>
      </c>
      <c r="C5975" s="120" t="s">
        <v>950</v>
      </c>
      <c r="D5975" s="441">
        <v>99.41</v>
      </c>
    </row>
    <row r="5976" spans="1:4" ht="15.75" customHeight="1">
      <c r="A5976" s="120">
        <v>96394</v>
      </c>
      <c r="B5976" s="119" t="s">
        <v>7515</v>
      </c>
      <c r="C5976" s="120" t="s">
        <v>950</v>
      </c>
      <c r="D5976" s="441">
        <v>155.49</v>
      </c>
    </row>
    <row r="5977" spans="1:4" ht="15.75" customHeight="1">
      <c r="A5977" s="120">
        <v>96395</v>
      </c>
      <c r="B5977" s="119" t="s">
        <v>7516</v>
      </c>
      <c r="C5977" s="120" t="s">
        <v>950</v>
      </c>
      <c r="D5977" s="441">
        <v>232.87</v>
      </c>
    </row>
    <row r="5978" spans="1:4" ht="31.5" customHeight="1">
      <c r="A5978" s="120">
        <v>88411</v>
      </c>
      <c r="B5978" s="119" t="s">
        <v>7517</v>
      </c>
      <c r="C5978" s="120" t="s">
        <v>951</v>
      </c>
      <c r="D5978" s="441">
        <v>3.5</v>
      </c>
    </row>
    <row r="5979" spans="1:4" ht="31.5" customHeight="1">
      <c r="A5979" s="120">
        <v>88412</v>
      </c>
      <c r="B5979" s="119" t="s">
        <v>7518</v>
      </c>
      <c r="C5979" s="120" t="s">
        <v>951</v>
      </c>
      <c r="D5979" s="441">
        <v>2.61</v>
      </c>
    </row>
    <row r="5980" spans="1:4" ht="31.5" customHeight="1">
      <c r="A5980" s="120">
        <v>88413</v>
      </c>
      <c r="B5980" s="119" t="s">
        <v>7519</v>
      </c>
      <c r="C5980" s="120" t="s">
        <v>951</v>
      </c>
      <c r="D5980" s="441">
        <v>5.29</v>
      </c>
    </row>
    <row r="5981" spans="1:4" ht="31.5" customHeight="1">
      <c r="A5981" s="120">
        <v>88414</v>
      </c>
      <c r="B5981" s="119" t="s">
        <v>7520</v>
      </c>
      <c r="C5981" s="120" t="s">
        <v>951</v>
      </c>
      <c r="D5981" s="441">
        <v>5.86</v>
      </c>
    </row>
    <row r="5982" spans="1:4" ht="15.75" customHeight="1">
      <c r="A5982" s="120">
        <v>88415</v>
      </c>
      <c r="B5982" s="119" t="s">
        <v>7521</v>
      </c>
      <c r="C5982" s="120" t="s">
        <v>951</v>
      </c>
      <c r="D5982" s="441">
        <v>3.79</v>
      </c>
    </row>
    <row r="5983" spans="1:4" ht="31.5" customHeight="1">
      <c r="A5983" s="120">
        <v>88416</v>
      </c>
      <c r="B5983" s="119" t="s">
        <v>7522</v>
      </c>
      <c r="C5983" s="120" t="s">
        <v>951</v>
      </c>
      <c r="D5983" s="441">
        <v>18.34</v>
      </c>
    </row>
    <row r="5984" spans="1:4" ht="31.5" customHeight="1">
      <c r="A5984" s="120">
        <v>88417</v>
      </c>
      <c r="B5984" s="119" t="s">
        <v>7523</v>
      </c>
      <c r="C5984" s="120" t="s">
        <v>951</v>
      </c>
      <c r="D5984" s="441">
        <v>15.17</v>
      </c>
    </row>
    <row r="5985" spans="1:4" ht="31.5" customHeight="1">
      <c r="A5985" s="120">
        <v>88420</v>
      </c>
      <c r="B5985" s="119" t="s">
        <v>7524</v>
      </c>
      <c r="C5985" s="120" t="s">
        <v>951</v>
      </c>
      <c r="D5985" s="441">
        <v>24.74</v>
      </c>
    </row>
    <row r="5986" spans="1:4" ht="31.5" customHeight="1">
      <c r="A5986" s="120">
        <v>88421</v>
      </c>
      <c r="B5986" s="119" t="s">
        <v>7525</v>
      </c>
      <c r="C5986" s="120" t="s">
        <v>951</v>
      </c>
      <c r="D5986" s="441">
        <v>26.77</v>
      </c>
    </row>
    <row r="5987" spans="1:4" ht="31.5" customHeight="1">
      <c r="A5987" s="120">
        <v>88423</v>
      </c>
      <c r="B5987" s="119" t="s">
        <v>7526</v>
      </c>
      <c r="C5987" s="120" t="s">
        <v>951</v>
      </c>
      <c r="D5987" s="441">
        <v>19.329999999999998</v>
      </c>
    </row>
    <row r="5988" spans="1:4" ht="31.5" customHeight="1">
      <c r="A5988" s="120">
        <v>88424</v>
      </c>
      <c r="B5988" s="119" t="s">
        <v>7527</v>
      </c>
      <c r="C5988" s="120" t="s">
        <v>951</v>
      </c>
      <c r="D5988" s="441">
        <v>22.7</v>
      </c>
    </row>
    <row r="5989" spans="1:4" ht="31.5" customHeight="1">
      <c r="A5989" s="120">
        <v>88426</v>
      </c>
      <c r="B5989" s="119" t="s">
        <v>7528</v>
      </c>
      <c r="C5989" s="120" t="s">
        <v>951</v>
      </c>
      <c r="D5989" s="441">
        <v>17.22</v>
      </c>
    </row>
    <row r="5990" spans="1:4" ht="31.5" customHeight="1">
      <c r="A5990" s="120">
        <v>88428</v>
      </c>
      <c r="B5990" s="119" t="s">
        <v>7529</v>
      </c>
      <c r="C5990" s="120" t="s">
        <v>951</v>
      </c>
      <c r="D5990" s="441">
        <v>33.71</v>
      </c>
    </row>
    <row r="5991" spans="1:4" ht="31.5" customHeight="1">
      <c r="A5991" s="120">
        <v>88429</v>
      </c>
      <c r="B5991" s="119" t="s">
        <v>7530</v>
      </c>
      <c r="C5991" s="120" t="s">
        <v>951</v>
      </c>
      <c r="D5991" s="441">
        <v>37.229999999999997</v>
      </c>
    </row>
    <row r="5992" spans="1:4" ht="31.5" customHeight="1">
      <c r="A5992" s="120">
        <v>88431</v>
      </c>
      <c r="B5992" s="119" t="s">
        <v>7531</v>
      </c>
      <c r="C5992" s="120" t="s">
        <v>951</v>
      </c>
      <c r="D5992" s="441">
        <v>24.42</v>
      </c>
    </row>
    <row r="5993" spans="1:4" ht="31.5" customHeight="1">
      <c r="A5993" s="120">
        <v>88432</v>
      </c>
      <c r="B5993" s="119" t="s">
        <v>7532</v>
      </c>
      <c r="C5993" s="120" t="s">
        <v>951</v>
      </c>
      <c r="D5993" s="441">
        <v>19.899999999999999</v>
      </c>
    </row>
    <row r="5994" spans="1:4" ht="15.75" customHeight="1">
      <c r="A5994" s="120">
        <v>88484</v>
      </c>
      <c r="B5994" s="119" t="s">
        <v>7533</v>
      </c>
      <c r="C5994" s="120" t="s">
        <v>951</v>
      </c>
      <c r="D5994" s="441">
        <v>3.81</v>
      </c>
    </row>
    <row r="5995" spans="1:4" ht="15.75" customHeight="1">
      <c r="A5995" s="120">
        <v>88485</v>
      </c>
      <c r="B5995" s="119" t="s">
        <v>7534</v>
      </c>
      <c r="C5995" s="120" t="s">
        <v>951</v>
      </c>
      <c r="D5995" s="441">
        <v>3.28</v>
      </c>
    </row>
    <row r="5996" spans="1:4" ht="15.75" customHeight="1">
      <c r="A5996" s="120">
        <v>88488</v>
      </c>
      <c r="B5996" s="119" t="s">
        <v>7535</v>
      </c>
      <c r="C5996" s="120" t="s">
        <v>951</v>
      </c>
      <c r="D5996" s="441">
        <v>19.239999999999998</v>
      </c>
    </row>
    <row r="5997" spans="1:4" ht="15.75" customHeight="1">
      <c r="A5997" s="120">
        <v>88489</v>
      </c>
      <c r="B5997" s="119" t="s">
        <v>7536</v>
      </c>
      <c r="C5997" s="120" t="s">
        <v>951</v>
      </c>
      <c r="D5997" s="441">
        <v>16.809999999999999</v>
      </c>
    </row>
    <row r="5998" spans="1:4" ht="15.75" customHeight="1">
      <c r="A5998" s="120">
        <v>88494</v>
      </c>
      <c r="B5998" s="119" t="s">
        <v>7537</v>
      </c>
      <c r="C5998" s="120" t="s">
        <v>951</v>
      </c>
      <c r="D5998" s="441">
        <v>26.85</v>
      </c>
    </row>
    <row r="5999" spans="1:4" ht="15.75" customHeight="1">
      <c r="A5999" s="120">
        <v>88495</v>
      </c>
      <c r="B5999" s="119" t="s">
        <v>7538</v>
      </c>
      <c r="C5999" s="120" t="s">
        <v>951</v>
      </c>
      <c r="D5999" s="441">
        <v>15.26</v>
      </c>
    </row>
    <row r="6000" spans="1:4" ht="15.75" customHeight="1">
      <c r="A6000" s="120">
        <v>88496</v>
      </c>
      <c r="B6000" s="119" t="s">
        <v>7539</v>
      </c>
      <c r="C6000" s="120" t="s">
        <v>951</v>
      </c>
      <c r="D6000" s="441">
        <v>36.659999999999997</v>
      </c>
    </row>
    <row r="6001" spans="1:4" ht="15.75" customHeight="1">
      <c r="A6001" s="120">
        <v>88497</v>
      </c>
      <c r="B6001" s="119" t="s">
        <v>7540</v>
      </c>
      <c r="C6001" s="120" t="s">
        <v>951</v>
      </c>
      <c r="D6001" s="441">
        <v>21.17</v>
      </c>
    </row>
    <row r="6002" spans="1:4" ht="15.75" customHeight="1">
      <c r="A6002" s="120">
        <v>95305</v>
      </c>
      <c r="B6002" s="119" t="s">
        <v>7541</v>
      </c>
      <c r="C6002" s="120" t="s">
        <v>951</v>
      </c>
      <c r="D6002" s="441">
        <v>15.3</v>
      </c>
    </row>
    <row r="6003" spans="1:4" ht="15.75" customHeight="1">
      <c r="A6003" s="120">
        <v>95306</v>
      </c>
      <c r="B6003" s="119" t="s">
        <v>7542</v>
      </c>
      <c r="C6003" s="120" t="s">
        <v>951</v>
      </c>
      <c r="D6003" s="441">
        <v>18.37</v>
      </c>
    </row>
    <row r="6004" spans="1:4" ht="31.5" customHeight="1">
      <c r="A6004" s="120">
        <v>95622</v>
      </c>
      <c r="B6004" s="119" t="s">
        <v>7543</v>
      </c>
      <c r="C6004" s="120" t="s">
        <v>951</v>
      </c>
      <c r="D6004" s="441">
        <v>17.670000000000002</v>
      </c>
    </row>
    <row r="6005" spans="1:4" ht="31.5" customHeight="1">
      <c r="A6005" s="120">
        <v>95623</v>
      </c>
      <c r="B6005" s="119" t="s">
        <v>7544</v>
      </c>
      <c r="C6005" s="120" t="s">
        <v>951</v>
      </c>
      <c r="D6005" s="441">
        <v>13.35</v>
      </c>
    </row>
    <row r="6006" spans="1:4" ht="31.5" customHeight="1">
      <c r="A6006" s="120">
        <v>95624</v>
      </c>
      <c r="B6006" s="119" t="s">
        <v>7545</v>
      </c>
      <c r="C6006" s="120" t="s">
        <v>951</v>
      </c>
      <c r="D6006" s="441">
        <v>26.47</v>
      </c>
    </row>
    <row r="6007" spans="1:4" ht="31.5" customHeight="1">
      <c r="A6007" s="120">
        <v>95625</v>
      </c>
      <c r="B6007" s="119" t="s">
        <v>7546</v>
      </c>
      <c r="C6007" s="120" t="s">
        <v>951</v>
      </c>
      <c r="D6007" s="441">
        <v>29.25</v>
      </c>
    </row>
    <row r="6008" spans="1:4" ht="15.75" customHeight="1">
      <c r="A6008" s="120">
        <v>95626</v>
      </c>
      <c r="B6008" s="119" t="s">
        <v>7547</v>
      </c>
      <c r="C6008" s="120" t="s">
        <v>951</v>
      </c>
      <c r="D6008" s="441">
        <v>19.079999999999998</v>
      </c>
    </row>
    <row r="6009" spans="1:4" ht="31.5" customHeight="1">
      <c r="A6009" s="120">
        <v>96126</v>
      </c>
      <c r="B6009" s="119" t="s">
        <v>7548</v>
      </c>
      <c r="C6009" s="120" t="s">
        <v>951</v>
      </c>
      <c r="D6009" s="441">
        <v>24.75</v>
      </c>
    </row>
    <row r="6010" spans="1:4" ht="31.5" customHeight="1">
      <c r="A6010" s="120">
        <v>96127</v>
      </c>
      <c r="B6010" s="119" t="s">
        <v>7549</v>
      </c>
      <c r="C6010" s="120" t="s">
        <v>951</v>
      </c>
      <c r="D6010" s="441">
        <v>19.34</v>
      </c>
    </row>
    <row r="6011" spans="1:4" ht="31.5" customHeight="1">
      <c r="A6011" s="120">
        <v>96128</v>
      </c>
      <c r="B6011" s="119" t="s">
        <v>7550</v>
      </c>
      <c r="C6011" s="120" t="s">
        <v>951</v>
      </c>
      <c r="D6011" s="441">
        <v>35.700000000000003</v>
      </c>
    </row>
    <row r="6012" spans="1:4" ht="31.5" customHeight="1">
      <c r="A6012" s="120">
        <v>96129</v>
      </c>
      <c r="B6012" s="119" t="s">
        <v>7551</v>
      </c>
      <c r="C6012" s="120" t="s">
        <v>951</v>
      </c>
      <c r="D6012" s="441">
        <v>39.19</v>
      </c>
    </row>
    <row r="6013" spans="1:4" ht="15.75" customHeight="1">
      <c r="A6013" s="120">
        <v>96130</v>
      </c>
      <c r="B6013" s="119" t="s">
        <v>7552</v>
      </c>
      <c r="C6013" s="120" t="s">
        <v>951</v>
      </c>
      <c r="D6013" s="441">
        <v>26.45</v>
      </c>
    </row>
    <row r="6014" spans="1:4" ht="31.5" customHeight="1">
      <c r="A6014" s="120">
        <v>96131</v>
      </c>
      <c r="B6014" s="119" t="s">
        <v>7553</v>
      </c>
      <c r="C6014" s="120" t="s">
        <v>951</v>
      </c>
      <c r="D6014" s="441">
        <v>34.409999999999997</v>
      </c>
    </row>
    <row r="6015" spans="1:4" ht="31.5" customHeight="1">
      <c r="A6015" s="120">
        <v>96132</v>
      </c>
      <c r="B6015" s="119" t="s">
        <v>7554</v>
      </c>
      <c r="C6015" s="120" t="s">
        <v>951</v>
      </c>
      <c r="D6015" s="441">
        <v>27.2</v>
      </c>
    </row>
    <row r="6016" spans="1:4" ht="31.5" customHeight="1">
      <c r="A6016" s="120">
        <v>96133</v>
      </c>
      <c r="B6016" s="119" t="s">
        <v>7555</v>
      </c>
      <c r="C6016" s="120" t="s">
        <v>951</v>
      </c>
      <c r="D6016" s="441">
        <v>48.98</v>
      </c>
    </row>
    <row r="6017" spans="1:4" ht="31.5" customHeight="1">
      <c r="A6017" s="120">
        <v>96134</v>
      </c>
      <c r="B6017" s="119" t="s">
        <v>7556</v>
      </c>
      <c r="C6017" s="120" t="s">
        <v>951</v>
      </c>
      <c r="D6017" s="441">
        <v>53.61</v>
      </c>
    </row>
    <row r="6018" spans="1:4" ht="15.75" customHeight="1">
      <c r="A6018" s="120">
        <v>96135</v>
      </c>
      <c r="B6018" s="119" t="s">
        <v>7557</v>
      </c>
      <c r="C6018" s="120" t="s">
        <v>951</v>
      </c>
      <c r="D6018" s="441">
        <v>36.71</v>
      </c>
    </row>
    <row r="6019" spans="1:4" ht="15.75" customHeight="1">
      <c r="A6019" s="120">
        <v>102193</v>
      </c>
      <c r="B6019" s="119" t="s">
        <v>7558</v>
      </c>
      <c r="C6019" s="120" t="s">
        <v>951</v>
      </c>
      <c r="D6019" s="441">
        <v>2.48</v>
      </c>
    </row>
    <row r="6020" spans="1:4" ht="15.75" customHeight="1">
      <c r="A6020" s="120">
        <v>102194</v>
      </c>
      <c r="B6020" s="119" t="s">
        <v>7559</v>
      </c>
      <c r="C6020" s="120" t="s">
        <v>951</v>
      </c>
      <c r="D6020" s="441">
        <v>9.6199999999999992</v>
      </c>
    </row>
    <row r="6021" spans="1:4" ht="15.75" customHeight="1">
      <c r="A6021" s="120">
        <v>102197</v>
      </c>
      <c r="B6021" s="119" t="s">
        <v>7560</v>
      </c>
      <c r="C6021" s="120" t="s">
        <v>951</v>
      </c>
      <c r="D6021" s="441">
        <v>34.6</v>
      </c>
    </row>
    <row r="6022" spans="1:4" ht="31.5" customHeight="1">
      <c r="A6022" s="120">
        <v>102200</v>
      </c>
      <c r="B6022" s="119" t="s">
        <v>7561</v>
      </c>
      <c r="C6022" s="120" t="s">
        <v>951</v>
      </c>
      <c r="D6022" s="441">
        <v>26.36</v>
      </c>
    </row>
    <row r="6023" spans="1:4" ht="31.5" customHeight="1">
      <c r="A6023" s="120">
        <v>102201</v>
      </c>
      <c r="B6023" s="119" t="s">
        <v>7562</v>
      </c>
      <c r="C6023" s="120" t="s">
        <v>951</v>
      </c>
      <c r="D6023" s="441">
        <v>23.5</v>
      </c>
    </row>
    <row r="6024" spans="1:4" ht="31.5" customHeight="1">
      <c r="A6024" s="120">
        <v>102202</v>
      </c>
      <c r="B6024" s="119" t="s">
        <v>7563</v>
      </c>
      <c r="C6024" s="120" t="s">
        <v>951</v>
      </c>
      <c r="D6024" s="441">
        <v>67.540000000000006</v>
      </c>
    </row>
    <row r="6025" spans="1:4" ht="15.75" customHeight="1">
      <c r="A6025" s="120">
        <v>102203</v>
      </c>
      <c r="B6025" s="119" t="s">
        <v>7564</v>
      </c>
      <c r="C6025" s="120" t="s">
        <v>951</v>
      </c>
      <c r="D6025" s="441">
        <v>11.11</v>
      </c>
    </row>
    <row r="6026" spans="1:4" ht="15.75" customHeight="1">
      <c r="A6026" s="120">
        <v>102204</v>
      </c>
      <c r="B6026" s="119" t="s">
        <v>7565</v>
      </c>
      <c r="C6026" s="120" t="s">
        <v>951</v>
      </c>
      <c r="D6026" s="441">
        <v>11.41</v>
      </c>
    </row>
    <row r="6027" spans="1:4" ht="31.5" customHeight="1">
      <c r="A6027" s="120">
        <v>102205</v>
      </c>
      <c r="B6027" s="119" t="s">
        <v>7566</v>
      </c>
      <c r="C6027" s="120" t="s">
        <v>951</v>
      </c>
      <c r="D6027" s="441">
        <v>10.48</v>
      </c>
    </row>
    <row r="6028" spans="1:4" ht="15.75" customHeight="1">
      <c r="A6028" s="120">
        <v>102207</v>
      </c>
      <c r="B6028" s="119" t="s">
        <v>7567</v>
      </c>
      <c r="C6028" s="120" t="s">
        <v>951</v>
      </c>
      <c r="D6028" s="441">
        <v>9.27</v>
      </c>
    </row>
    <row r="6029" spans="1:4" ht="15.75" customHeight="1">
      <c r="A6029" s="120">
        <v>102208</v>
      </c>
      <c r="B6029" s="119" t="s">
        <v>7568</v>
      </c>
      <c r="C6029" s="120" t="s">
        <v>951</v>
      </c>
      <c r="D6029" s="441">
        <v>8.9</v>
      </c>
    </row>
    <row r="6030" spans="1:4" ht="31.5" customHeight="1">
      <c r="A6030" s="120">
        <v>102209</v>
      </c>
      <c r="B6030" s="119" t="s">
        <v>7569</v>
      </c>
      <c r="C6030" s="120" t="s">
        <v>951</v>
      </c>
      <c r="D6030" s="441">
        <v>9.14</v>
      </c>
    </row>
    <row r="6031" spans="1:4" ht="31.5" customHeight="1">
      <c r="A6031" s="120">
        <v>102210</v>
      </c>
      <c r="B6031" s="119" t="s">
        <v>7570</v>
      </c>
      <c r="C6031" s="120" t="s">
        <v>951</v>
      </c>
      <c r="D6031" s="441">
        <v>8.77</v>
      </c>
    </row>
    <row r="6032" spans="1:4" ht="15.75" customHeight="1">
      <c r="A6032" s="120">
        <v>102213</v>
      </c>
      <c r="B6032" s="119" t="s">
        <v>7571</v>
      </c>
      <c r="C6032" s="120" t="s">
        <v>951</v>
      </c>
      <c r="D6032" s="441">
        <v>22.25</v>
      </c>
    </row>
    <row r="6033" spans="1:4" ht="15.75" customHeight="1">
      <c r="A6033" s="120">
        <v>102214</v>
      </c>
      <c r="B6033" s="119" t="s">
        <v>7572</v>
      </c>
      <c r="C6033" s="120" t="s">
        <v>951</v>
      </c>
      <c r="D6033" s="441">
        <v>22.84</v>
      </c>
    </row>
    <row r="6034" spans="1:4" ht="31.5" customHeight="1">
      <c r="A6034" s="120">
        <v>102215</v>
      </c>
      <c r="B6034" s="119" t="s">
        <v>7573</v>
      </c>
      <c r="C6034" s="120" t="s">
        <v>951</v>
      </c>
      <c r="D6034" s="441">
        <v>20.99</v>
      </c>
    </row>
    <row r="6035" spans="1:4" ht="15.75" customHeight="1">
      <c r="A6035" s="120">
        <v>102217</v>
      </c>
      <c r="B6035" s="119" t="s">
        <v>7574</v>
      </c>
      <c r="C6035" s="120" t="s">
        <v>951</v>
      </c>
      <c r="D6035" s="441">
        <v>18.53</v>
      </c>
    </row>
    <row r="6036" spans="1:4" ht="15.75" customHeight="1">
      <c r="A6036" s="120">
        <v>102218</v>
      </c>
      <c r="B6036" s="119" t="s">
        <v>7575</v>
      </c>
      <c r="C6036" s="120" t="s">
        <v>951</v>
      </c>
      <c r="D6036" s="441">
        <v>17.78</v>
      </c>
    </row>
    <row r="6037" spans="1:4" ht="31.5" customHeight="1">
      <c r="A6037" s="120">
        <v>102219</v>
      </c>
      <c r="B6037" s="119" t="s">
        <v>7576</v>
      </c>
      <c r="C6037" s="120" t="s">
        <v>951</v>
      </c>
      <c r="D6037" s="441">
        <v>18.27</v>
      </c>
    </row>
    <row r="6038" spans="1:4" ht="31.5" customHeight="1">
      <c r="A6038" s="120">
        <v>102220</v>
      </c>
      <c r="B6038" s="119" t="s">
        <v>7577</v>
      </c>
      <c r="C6038" s="120" t="s">
        <v>951</v>
      </c>
      <c r="D6038" s="441">
        <v>17.54</v>
      </c>
    </row>
    <row r="6039" spans="1:4" ht="15.75" customHeight="1">
      <c r="A6039" s="120">
        <v>102223</v>
      </c>
      <c r="B6039" s="119" t="s">
        <v>7578</v>
      </c>
      <c r="C6039" s="120" t="s">
        <v>951</v>
      </c>
      <c r="D6039" s="441">
        <v>33.39</v>
      </c>
    </row>
    <row r="6040" spans="1:4" ht="15.75" customHeight="1">
      <c r="A6040" s="120">
        <v>102224</v>
      </c>
      <c r="B6040" s="119" t="s">
        <v>7579</v>
      </c>
      <c r="C6040" s="120" t="s">
        <v>951</v>
      </c>
      <c r="D6040" s="441">
        <v>34.270000000000003</v>
      </c>
    </row>
    <row r="6041" spans="1:4" ht="31.5" customHeight="1">
      <c r="A6041" s="120">
        <v>102225</v>
      </c>
      <c r="B6041" s="119" t="s">
        <v>7580</v>
      </c>
      <c r="C6041" s="120" t="s">
        <v>951</v>
      </c>
      <c r="D6041" s="441">
        <v>31.49</v>
      </c>
    </row>
    <row r="6042" spans="1:4" ht="15.75" customHeight="1">
      <c r="A6042" s="120">
        <v>102227</v>
      </c>
      <c r="B6042" s="119" t="s">
        <v>7581</v>
      </c>
      <c r="C6042" s="120" t="s">
        <v>951</v>
      </c>
      <c r="D6042" s="441">
        <v>27.8</v>
      </c>
    </row>
    <row r="6043" spans="1:4" ht="15.75" customHeight="1">
      <c r="A6043" s="120">
        <v>102228</v>
      </c>
      <c r="B6043" s="119" t="s">
        <v>7582</v>
      </c>
      <c r="C6043" s="120" t="s">
        <v>951</v>
      </c>
      <c r="D6043" s="441">
        <v>26.7</v>
      </c>
    </row>
    <row r="6044" spans="1:4" ht="31.5" customHeight="1">
      <c r="A6044" s="120">
        <v>102229</v>
      </c>
      <c r="B6044" s="119" t="s">
        <v>7583</v>
      </c>
      <c r="C6044" s="120" t="s">
        <v>951</v>
      </c>
      <c r="D6044" s="441">
        <v>27.42</v>
      </c>
    </row>
    <row r="6045" spans="1:4" ht="31.5" customHeight="1">
      <c r="A6045" s="120">
        <v>102230</v>
      </c>
      <c r="B6045" s="119" t="s">
        <v>7584</v>
      </c>
      <c r="C6045" s="120" t="s">
        <v>951</v>
      </c>
      <c r="D6045" s="441">
        <v>26.32</v>
      </c>
    </row>
    <row r="6046" spans="1:4" ht="15.75" customHeight="1">
      <c r="A6046" s="120">
        <v>102233</v>
      </c>
      <c r="B6046" s="119" t="s">
        <v>7585</v>
      </c>
      <c r="C6046" s="120" t="s">
        <v>951</v>
      </c>
      <c r="D6046" s="441">
        <v>12.6</v>
      </c>
    </row>
    <row r="6047" spans="1:4" ht="15.75" customHeight="1">
      <c r="A6047" s="120">
        <v>102234</v>
      </c>
      <c r="B6047" s="119" t="s">
        <v>7586</v>
      </c>
      <c r="C6047" s="120" t="s">
        <v>951</v>
      </c>
      <c r="D6047" s="441">
        <v>25.2</v>
      </c>
    </row>
    <row r="6048" spans="1:4" ht="15.75" customHeight="1">
      <c r="A6048" s="120">
        <v>100716</v>
      </c>
      <c r="B6048" s="119" t="s">
        <v>7587</v>
      </c>
      <c r="C6048" s="120" t="s">
        <v>951</v>
      </c>
      <c r="D6048" s="441">
        <v>27.9</v>
      </c>
    </row>
    <row r="6049" spans="1:4" ht="15.75" customHeight="1">
      <c r="A6049" s="120">
        <v>100717</v>
      </c>
      <c r="B6049" s="119" t="s">
        <v>7588</v>
      </c>
      <c r="C6049" s="120" t="s">
        <v>951</v>
      </c>
      <c r="D6049" s="441">
        <v>11.55</v>
      </c>
    </row>
    <row r="6050" spans="1:4" ht="15.75" customHeight="1">
      <c r="A6050" s="120">
        <v>100718</v>
      </c>
      <c r="B6050" s="119" t="s">
        <v>7589</v>
      </c>
      <c r="C6050" s="120" t="s">
        <v>328</v>
      </c>
      <c r="D6050" s="441">
        <v>1.55</v>
      </c>
    </row>
    <row r="6051" spans="1:4" ht="31.5" customHeight="1">
      <c r="A6051" s="120">
        <v>100719</v>
      </c>
      <c r="B6051" s="119" t="s">
        <v>7590</v>
      </c>
      <c r="C6051" s="120" t="s">
        <v>951</v>
      </c>
      <c r="D6051" s="441">
        <v>10.59</v>
      </c>
    </row>
    <row r="6052" spans="1:4" ht="31.5" customHeight="1">
      <c r="A6052" s="120">
        <v>100720</v>
      </c>
      <c r="B6052" s="119" t="s">
        <v>7591</v>
      </c>
      <c r="C6052" s="120" t="s">
        <v>951</v>
      </c>
      <c r="D6052" s="441">
        <v>11.54</v>
      </c>
    </row>
    <row r="6053" spans="1:4" ht="31.5" customHeight="1">
      <c r="A6053" s="120">
        <v>100721</v>
      </c>
      <c r="B6053" s="119" t="s">
        <v>7592</v>
      </c>
      <c r="C6053" s="120" t="s">
        <v>951</v>
      </c>
      <c r="D6053" s="441">
        <v>26.92</v>
      </c>
    </row>
    <row r="6054" spans="1:4" ht="31.5" customHeight="1">
      <c r="A6054" s="120">
        <v>100722</v>
      </c>
      <c r="B6054" s="119" t="s">
        <v>7593</v>
      </c>
      <c r="C6054" s="120" t="s">
        <v>951</v>
      </c>
      <c r="D6054" s="441">
        <v>27.31</v>
      </c>
    </row>
    <row r="6055" spans="1:4" ht="31.5" customHeight="1">
      <c r="A6055" s="120">
        <v>100723</v>
      </c>
      <c r="B6055" s="119" t="s">
        <v>7594</v>
      </c>
      <c r="C6055" s="120" t="s">
        <v>951</v>
      </c>
      <c r="D6055" s="441">
        <v>11.34</v>
      </c>
    </row>
    <row r="6056" spans="1:4" ht="31.5" customHeight="1">
      <c r="A6056" s="120">
        <v>100724</v>
      </c>
      <c r="B6056" s="119" t="s">
        <v>7595</v>
      </c>
      <c r="C6056" s="120" t="s">
        <v>951</v>
      </c>
      <c r="D6056" s="441">
        <v>14.55</v>
      </c>
    </row>
    <row r="6057" spans="1:4" ht="31.5" customHeight="1">
      <c r="A6057" s="120">
        <v>100725</v>
      </c>
      <c r="B6057" s="119" t="s">
        <v>7596</v>
      </c>
      <c r="C6057" s="120" t="s">
        <v>951</v>
      </c>
      <c r="D6057" s="441">
        <v>27.17</v>
      </c>
    </row>
    <row r="6058" spans="1:4" ht="31.5" customHeight="1">
      <c r="A6058" s="120">
        <v>100726</v>
      </c>
      <c r="B6058" s="119" t="s">
        <v>7597</v>
      </c>
      <c r="C6058" s="120" t="s">
        <v>951</v>
      </c>
      <c r="D6058" s="441">
        <v>30.22</v>
      </c>
    </row>
    <row r="6059" spans="1:4" ht="31.5" customHeight="1">
      <c r="A6059" s="120">
        <v>100727</v>
      </c>
      <c r="B6059" s="119" t="s">
        <v>7598</v>
      </c>
      <c r="C6059" s="120" t="s">
        <v>951</v>
      </c>
      <c r="D6059" s="441">
        <v>25.33</v>
      </c>
    </row>
    <row r="6060" spans="1:4" ht="31.5" customHeight="1">
      <c r="A6060" s="120">
        <v>100728</v>
      </c>
      <c r="B6060" s="119" t="s">
        <v>7599</v>
      </c>
      <c r="C6060" s="120" t="s">
        <v>951</v>
      </c>
      <c r="D6060" s="441">
        <v>23.84</v>
      </c>
    </row>
    <row r="6061" spans="1:4" ht="31.5" customHeight="1">
      <c r="A6061" s="120">
        <v>100729</v>
      </c>
      <c r="B6061" s="119" t="s">
        <v>7600</v>
      </c>
      <c r="C6061" s="120" t="s">
        <v>951</v>
      </c>
      <c r="D6061" s="441">
        <v>19.25</v>
      </c>
    </row>
    <row r="6062" spans="1:4" ht="31.5" customHeight="1">
      <c r="A6062" s="120">
        <v>100730</v>
      </c>
      <c r="B6062" s="119" t="s">
        <v>7601</v>
      </c>
      <c r="C6062" s="120" t="s">
        <v>951</v>
      </c>
      <c r="D6062" s="441">
        <v>23.46</v>
      </c>
    </row>
    <row r="6063" spans="1:4" ht="31.5" customHeight="1">
      <c r="A6063" s="120">
        <v>100733</v>
      </c>
      <c r="B6063" s="119" t="s">
        <v>7602</v>
      </c>
      <c r="C6063" s="120" t="s">
        <v>951</v>
      </c>
      <c r="D6063" s="441">
        <v>13.99</v>
      </c>
    </row>
    <row r="6064" spans="1:4" ht="31.5" customHeight="1">
      <c r="A6064" s="120">
        <v>100734</v>
      </c>
      <c r="B6064" s="119" t="s">
        <v>7603</v>
      </c>
      <c r="C6064" s="120" t="s">
        <v>951</v>
      </c>
      <c r="D6064" s="441">
        <v>18.14</v>
      </c>
    </row>
    <row r="6065" spans="1:4" ht="31.5" customHeight="1">
      <c r="A6065" s="120">
        <v>100735</v>
      </c>
      <c r="B6065" s="119" t="s">
        <v>7604</v>
      </c>
      <c r="C6065" s="120" t="s">
        <v>951</v>
      </c>
      <c r="D6065" s="441">
        <v>12.42</v>
      </c>
    </row>
    <row r="6066" spans="1:4" ht="31.5" customHeight="1">
      <c r="A6066" s="120">
        <v>100736</v>
      </c>
      <c r="B6066" s="119" t="s">
        <v>7605</v>
      </c>
      <c r="C6066" s="120" t="s">
        <v>951</v>
      </c>
      <c r="D6066" s="441">
        <v>16.850000000000001</v>
      </c>
    </row>
    <row r="6067" spans="1:4" ht="31.5" customHeight="1">
      <c r="A6067" s="120">
        <v>100739</v>
      </c>
      <c r="B6067" s="119" t="s">
        <v>7606</v>
      </c>
      <c r="C6067" s="120" t="s">
        <v>951</v>
      </c>
      <c r="D6067" s="441">
        <v>10.43</v>
      </c>
    </row>
    <row r="6068" spans="1:4" ht="31.5" customHeight="1">
      <c r="A6068" s="120">
        <v>100740</v>
      </c>
      <c r="B6068" s="119" t="s">
        <v>7607</v>
      </c>
      <c r="C6068" s="120" t="s">
        <v>951</v>
      </c>
      <c r="D6068" s="441">
        <v>12.06</v>
      </c>
    </row>
    <row r="6069" spans="1:4" ht="31.5" customHeight="1">
      <c r="A6069" s="120">
        <v>100741</v>
      </c>
      <c r="B6069" s="119" t="s">
        <v>7608</v>
      </c>
      <c r="C6069" s="120" t="s">
        <v>951</v>
      </c>
      <c r="D6069" s="441">
        <v>26.57</v>
      </c>
    </row>
    <row r="6070" spans="1:4" ht="31.5" customHeight="1">
      <c r="A6070" s="120">
        <v>100742</v>
      </c>
      <c r="B6070" s="119" t="s">
        <v>7609</v>
      </c>
      <c r="C6070" s="120" t="s">
        <v>951</v>
      </c>
      <c r="D6070" s="441">
        <v>27.81</v>
      </c>
    </row>
    <row r="6071" spans="1:4" ht="31.5" customHeight="1">
      <c r="A6071" s="120">
        <v>100743</v>
      </c>
      <c r="B6071" s="119" t="s">
        <v>7610</v>
      </c>
      <c r="C6071" s="120" t="s">
        <v>951</v>
      </c>
      <c r="D6071" s="441">
        <v>10.199999999999999</v>
      </c>
    </row>
    <row r="6072" spans="1:4" ht="31.5" customHeight="1">
      <c r="A6072" s="120">
        <v>100744</v>
      </c>
      <c r="B6072" s="119" t="s">
        <v>7611</v>
      </c>
      <c r="C6072" s="120" t="s">
        <v>951</v>
      </c>
      <c r="D6072" s="441">
        <v>11.92</v>
      </c>
    </row>
    <row r="6073" spans="1:4" ht="31.5" customHeight="1">
      <c r="A6073" s="120">
        <v>100745</v>
      </c>
      <c r="B6073" s="119" t="s">
        <v>7612</v>
      </c>
      <c r="C6073" s="120" t="s">
        <v>951</v>
      </c>
      <c r="D6073" s="441">
        <v>26.33</v>
      </c>
    </row>
    <row r="6074" spans="1:4" ht="31.5" customHeight="1">
      <c r="A6074" s="120">
        <v>100746</v>
      </c>
      <c r="B6074" s="119" t="s">
        <v>7613</v>
      </c>
      <c r="C6074" s="120" t="s">
        <v>951</v>
      </c>
      <c r="D6074" s="441">
        <v>27.66</v>
      </c>
    </row>
    <row r="6075" spans="1:4" ht="31.5" customHeight="1">
      <c r="A6075" s="120">
        <v>100747</v>
      </c>
      <c r="B6075" s="119" t="s">
        <v>7614</v>
      </c>
      <c r="C6075" s="120" t="s">
        <v>951</v>
      </c>
      <c r="D6075" s="441">
        <v>10.3</v>
      </c>
    </row>
    <row r="6076" spans="1:4" ht="31.5" customHeight="1">
      <c r="A6076" s="120">
        <v>100748</v>
      </c>
      <c r="B6076" s="119" t="s">
        <v>7615</v>
      </c>
      <c r="C6076" s="120" t="s">
        <v>951</v>
      </c>
      <c r="D6076" s="441">
        <v>11.98</v>
      </c>
    </row>
    <row r="6077" spans="1:4" ht="31.5" customHeight="1">
      <c r="A6077" s="120">
        <v>100749</v>
      </c>
      <c r="B6077" s="119" t="s">
        <v>7616</v>
      </c>
      <c r="C6077" s="120" t="s">
        <v>951</v>
      </c>
      <c r="D6077" s="441">
        <v>26.43</v>
      </c>
    </row>
    <row r="6078" spans="1:4" ht="31.5" customHeight="1">
      <c r="A6078" s="120">
        <v>100750</v>
      </c>
      <c r="B6078" s="119" t="s">
        <v>7617</v>
      </c>
      <c r="C6078" s="120" t="s">
        <v>951</v>
      </c>
      <c r="D6078" s="441">
        <v>27.72</v>
      </c>
    </row>
    <row r="6079" spans="1:4" ht="31.5" customHeight="1">
      <c r="A6079" s="120">
        <v>100751</v>
      </c>
      <c r="B6079" s="119" t="s">
        <v>7618</v>
      </c>
      <c r="C6079" s="120" t="s">
        <v>951</v>
      </c>
      <c r="D6079" s="441">
        <v>38.5</v>
      </c>
    </row>
    <row r="6080" spans="1:4" ht="31.5" customHeight="1">
      <c r="A6080" s="120">
        <v>100752</v>
      </c>
      <c r="B6080" s="119" t="s">
        <v>7619</v>
      </c>
      <c r="C6080" s="120" t="s">
        <v>951</v>
      </c>
      <c r="D6080" s="441">
        <v>46.93</v>
      </c>
    </row>
    <row r="6081" spans="1:4" ht="31.5" customHeight="1">
      <c r="A6081" s="120">
        <v>100753</v>
      </c>
      <c r="B6081" s="119" t="s">
        <v>7620</v>
      </c>
      <c r="C6081" s="120" t="s">
        <v>951</v>
      </c>
      <c r="D6081" s="441">
        <v>24.85</v>
      </c>
    </row>
    <row r="6082" spans="1:4" ht="31.5" customHeight="1">
      <c r="A6082" s="120">
        <v>100754</v>
      </c>
      <c r="B6082" s="119" t="s">
        <v>7621</v>
      </c>
      <c r="C6082" s="120" t="s">
        <v>951</v>
      </c>
      <c r="D6082" s="441">
        <v>33.71</v>
      </c>
    </row>
    <row r="6083" spans="1:4" ht="31.5" customHeight="1">
      <c r="A6083" s="120">
        <v>100757</v>
      </c>
      <c r="B6083" s="119" t="s">
        <v>7622</v>
      </c>
      <c r="C6083" s="120" t="s">
        <v>951</v>
      </c>
      <c r="D6083" s="441">
        <v>53.16</v>
      </c>
    </row>
    <row r="6084" spans="1:4" ht="31.5" customHeight="1">
      <c r="A6084" s="120">
        <v>100758</v>
      </c>
      <c r="B6084" s="119" t="s">
        <v>7623</v>
      </c>
      <c r="C6084" s="120" t="s">
        <v>951</v>
      </c>
      <c r="D6084" s="441">
        <v>55.63</v>
      </c>
    </row>
    <row r="6085" spans="1:4" ht="31.5" customHeight="1">
      <c r="A6085" s="120">
        <v>100759</v>
      </c>
      <c r="B6085" s="119" t="s">
        <v>7624</v>
      </c>
      <c r="C6085" s="120" t="s">
        <v>951</v>
      </c>
      <c r="D6085" s="441">
        <v>52.67</v>
      </c>
    </row>
    <row r="6086" spans="1:4" ht="31.5" customHeight="1">
      <c r="A6086" s="120">
        <v>100760</v>
      </c>
      <c r="B6086" s="119" t="s">
        <v>7625</v>
      </c>
      <c r="C6086" s="120" t="s">
        <v>951</v>
      </c>
      <c r="D6086" s="441">
        <v>55.33</v>
      </c>
    </row>
    <row r="6087" spans="1:4" ht="31.5" customHeight="1">
      <c r="A6087" s="120">
        <v>100761</v>
      </c>
      <c r="B6087" s="119" t="s">
        <v>7626</v>
      </c>
      <c r="C6087" s="120" t="s">
        <v>951</v>
      </c>
      <c r="D6087" s="441">
        <v>52.87</v>
      </c>
    </row>
    <row r="6088" spans="1:4" ht="31.5" customHeight="1">
      <c r="A6088" s="120">
        <v>100762</v>
      </c>
      <c r="B6088" s="119" t="s">
        <v>7627</v>
      </c>
      <c r="C6088" s="120" t="s">
        <v>951</v>
      </c>
      <c r="D6088" s="441">
        <v>55.46</v>
      </c>
    </row>
    <row r="6089" spans="1:4" ht="15.75" customHeight="1">
      <c r="A6089" s="120">
        <v>102488</v>
      </c>
      <c r="B6089" s="119" t="s">
        <v>7628</v>
      </c>
      <c r="C6089" s="120" t="s">
        <v>951</v>
      </c>
      <c r="D6089" s="441">
        <v>4.1900000000000004</v>
      </c>
    </row>
    <row r="6090" spans="1:4" ht="15.75" customHeight="1">
      <c r="A6090" s="120">
        <v>102489</v>
      </c>
      <c r="B6090" s="119" t="s">
        <v>7629</v>
      </c>
      <c r="C6090" s="120" t="s">
        <v>951</v>
      </c>
      <c r="D6090" s="441">
        <v>29.57</v>
      </c>
    </row>
    <row r="6091" spans="1:4" ht="31.5" customHeight="1">
      <c r="A6091" s="120">
        <v>102491</v>
      </c>
      <c r="B6091" s="119" t="s">
        <v>7630</v>
      </c>
      <c r="C6091" s="120" t="s">
        <v>951</v>
      </c>
      <c r="D6091" s="441">
        <v>21.47</v>
      </c>
    </row>
    <row r="6092" spans="1:4" ht="31.5" customHeight="1">
      <c r="A6092" s="120">
        <v>102492</v>
      </c>
      <c r="B6092" s="119" t="s">
        <v>7631</v>
      </c>
      <c r="C6092" s="120" t="s">
        <v>951</v>
      </c>
      <c r="D6092" s="441">
        <v>27.35</v>
      </c>
    </row>
    <row r="6093" spans="1:4" ht="15.75" customHeight="1">
      <c r="A6093" s="120">
        <v>102494</v>
      </c>
      <c r="B6093" s="119" t="s">
        <v>7632</v>
      </c>
      <c r="C6093" s="120" t="s">
        <v>951</v>
      </c>
      <c r="D6093" s="441">
        <v>61.16</v>
      </c>
    </row>
    <row r="6094" spans="1:4" ht="15.75" customHeight="1">
      <c r="A6094" s="120">
        <v>102496</v>
      </c>
      <c r="B6094" s="119" t="s">
        <v>7633</v>
      </c>
      <c r="C6094" s="120" t="s">
        <v>328</v>
      </c>
      <c r="D6094" s="441">
        <v>13.46</v>
      </c>
    </row>
    <row r="6095" spans="1:4" ht="31.5" customHeight="1">
      <c r="A6095" s="120">
        <v>102497</v>
      </c>
      <c r="B6095" s="119" t="s">
        <v>7634</v>
      </c>
      <c r="C6095" s="120" t="s">
        <v>328</v>
      </c>
      <c r="D6095" s="441">
        <v>5.34</v>
      </c>
    </row>
    <row r="6096" spans="1:4" ht="15.75" customHeight="1">
      <c r="A6096" s="120">
        <v>102498</v>
      </c>
      <c r="B6096" s="119" t="s">
        <v>7635</v>
      </c>
      <c r="C6096" s="120" t="s">
        <v>328</v>
      </c>
      <c r="D6096" s="441">
        <v>1.78</v>
      </c>
    </row>
    <row r="6097" spans="1:4" ht="15.75" customHeight="1">
      <c r="A6097" s="120">
        <v>102499</v>
      </c>
      <c r="B6097" s="119" t="s">
        <v>7636</v>
      </c>
      <c r="C6097" s="120" t="s">
        <v>951</v>
      </c>
      <c r="D6097" s="441">
        <v>3.34</v>
      </c>
    </row>
    <row r="6098" spans="1:4" ht="15.75" customHeight="1">
      <c r="A6098" s="120">
        <v>102500</v>
      </c>
      <c r="B6098" s="119" t="s">
        <v>7637</v>
      </c>
      <c r="C6098" s="120" t="s">
        <v>328</v>
      </c>
      <c r="D6098" s="441">
        <v>4.75</v>
      </c>
    </row>
    <row r="6099" spans="1:4" ht="15.75" customHeight="1">
      <c r="A6099" s="120">
        <v>102501</v>
      </c>
      <c r="B6099" s="119" t="s">
        <v>7638</v>
      </c>
      <c r="C6099" s="120" t="s">
        <v>951</v>
      </c>
      <c r="D6099" s="441">
        <v>26.8</v>
      </c>
    </row>
    <row r="6100" spans="1:4" ht="31.5" customHeight="1">
      <c r="A6100" s="120">
        <v>102504</v>
      </c>
      <c r="B6100" s="119" t="s">
        <v>7639</v>
      </c>
      <c r="C6100" s="120" t="s">
        <v>328</v>
      </c>
      <c r="D6100" s="441">
        <v>11.26</v>
      </c>
    </row>
    <row r="6101" spans="1:4" ht="31.5" customHeight="1">
      <c r="A6101" s="120">
        <v>102505</v>
      </c>
      <c r="B6101" s="119" t="s">
        <v>7640</v>
      </c>
      <c r="C6101" s="120" t="s">
        <v>328</v>
      </c>
      <c r="D6101" s="441">
        <v>11.77</v>
      </c>
    </row>
    <row r="6102" spans="1:4" ht="31.5" customHeight="1">
      <c r="A6102" s="120">
        <v>102506</v>
      </c>
      <c r="B6102" s="119" t="s">
        <v>7641</v>
      </c>
      <c r="C6102" s="120" t="s">
        <v>328</v>
      </c>
      <c r="D6102" s="441">
        <v>12.2</v>
      </c>
    </row>
    <row r="6103" spans="1:4" ht="15.75" customHeight="1">
      <c r="A6103" s="120">
        <v>102507</v>
      </c>
      <c r="B6103" s="119" t="s">
        <v>7642</v>
      </c>
      <c r="C6103" s="120" t="s">
        <v>328</v>
      </c>
      <c r="D6103" s="441">
        <v>6.61</v>
      </c>
    </row>
    <row r="6104" spans="1:4" ht="15.75" customHeight="1">
      <c r="A6104" s="120">
        <v>102508</v>
      </c>
      <c r="B6104" s="119" t="s">
        <v>7643</v>
      </c>
      <c r="C6104" s="120" t="s">
        <v>951</v>
      </c>
      <c r="D6104" s="441">
        <v>45.72</v>
      </c>
    </row>
    <row r="6105" spans="1:4" ht="31.5" customHeight="1">
      <c r="A6105" s="120">
        <v>102509</v>
      </c>
      <c r="B6105" s="119" t="s">
        <v>7644</v>
      </c>
      <c r="C6105" s="120" t="s">
        <v>951</v>
      </c>
      <c r="D6105" s="441">
        <v>27.82</v>
      </c>
    </row>
    <row r="6106" spans="1:4" ht="31.5" customHeight="1">
      <c r="A6106" s="120">
        <v>102512</v>
      </c>
      <c r="B6106" s="119" t="s">
        <v>7645</v>
      </c>
      <c r="C6106" s="120" t="s">
        <v>328</v>
      </c>
      <c r="D6106" s="441">
        <v>5.4</v>
      </c>
    </row>
    <row r="6107" spans="1:4" ht="31.5" customHeight="1">
      <c r="A6107" s="120">
        <v>102513</v>
      </c>
      <c r="B6107" s="119" t="s">
        <v>7646</v>
      </c>
      <c r="C6107" s="120" t="s">
        <v>951</v>
      </c>
      <c r="D6107" s="441">
        <v>51.93</v>
      </c>
    </row>
    <row r="6108" spans="1:4" ht="31.5" customHeight="1">
      <c r="A6108" s="120">
        <v>102520</v>
      </c>
      <c r="B6108" s="119" t="s">
        <v>7647</v>
      </c>
      <c r="C6108" s="120" t="s">
        <v>951</v>
      </c>
      <c r="D6108" s="441">
        <v>90.81</v>
      </c>
    </row>
    <row r="6109" spans="1:4" ht="31.5" customHeight="1">
      <c r="A6109" s="120">
        <v>101749</v>
      </c>
      <c r="B6109" s="119" t="s">
        <v>7648</v>
      </c>
      <c r="C6109" s="120" t="s">
        <v>951</v>
      </c>
      <c r="D6109" s="441">
        <v>55.1</v>
      </c>
    </row>
    <row r="6110" spans="1:4" ht="31.5" customHeight="1">
      <c r="A6110" s="120">
        <v>101750</v>
      </c>
      <c r="B6110" s="119" t="s">
        <v>7649</v>
      </c>
      <c r="C6110" s="120" t="s">
        <v>951</v>
      </c>
      <c r="D6110" s="441">
        <v>52.24</v>
      </c>
    </row>
    <row r="6111" spans="1:4" ht="15.75" customHeight="1">
      <c r="A6111" s="120">
        <v>101729</v>
      </c>
      <c r="B6111" s="119" t="s">
        <v>7650</v>
      </c>
      <c r="C6111" s="120" t="s">
        <v>951</v>
      </c>
      <c r="D6111" s="441">
        <v>194.68</v>
      </c>
    </row>
    <row r="6112" spans="1:4" ht="15.75" customHeight="1">
      <c r="A6112" s="120">
        <v>101746</v>
      </c>
      <c r="B6112" s="119" t="s">
        <v>7651</v>
      </c>
      <c r="C6112" s="120" t="s">
        <v>951</v>
      </c>
      <c r="D6112" s="441">
        <v>296.19</v>
      </c>
    </row>
    <row r="6113" spans="1:4" ht="15.75" customHeight="1">
      <c r="A6113" s="120">
        <v>101751</v>
      </c>
      <c r="B6113" s="119" t="s">
        <v>7652</v>
      </c>
      <c r="C6113" s="120" t="s">
        <v>951</v>
      </c>
      <c r="D6113" s="441">
        <v>202.31</v>
      </c>
    </row>
    <row r="6114" spans="1:4" ht="31.5" customHeight="1">
      <c r="A6114" s="120">
        <v>87246</v>
      </c>
      <c r="B6114" s="119" t="s">
        <v>7653</v>
      </c>
      <c r="C6114" s="120" t="s">
        <v>951</v>
      </c>
      <c r="D6114" s="441">
        <v>69.180000000000007</v>
      </c>
    </row>
    <row r="6115" spans="1:4" ht="31.5" customHeight="1">
      <c r="A6115" s="120">
        <v>87247</v>
      </c>
      <c r="B6115" s="119" t="s">
        <v>7654</v>
      </c>
      <c r="C6115" s="120" t="s">
        <v>951</v>
      </c>
      <c r="D6115" s="441">
        <v>61.17</v>
      </c>
    </row>
    <row r="6116" spans="1:4" ht="31.5" customHeight="1">
      <c r="A6116" s="120">
        <v>87248</v>
      </c>
      <c r="B6116" s="119" t="s">
        <v>7655</v>
      </c>
      <c r="C6116" s="120" t="s">
        <v>951</v>
      </c>
      <c r="D6116" s="441">
        <v>52.69</v>
      </c>
    </row>
    <row r="6117" spans="1:4" ht="31.5" customHeight="1">
      <c r="A6117" s="120">
        <v>87249</v>
      </c>
      <c r="B6117" s="119" t="s">
        <v>7656</v>
      </c>
      <c r="C6117" s="120" t="s">
        <v>951</v>
      </c>
      <c r="D6117" s="441">
        <v>74.53</v>
      </c>
    </row>
    <row r="6118" spans="1:4" ht="31.5" customHeight="1">
      <c r="A6118" s="120">
        <v>87250</v>
      </c>
      <c r="B6118" s="119" t="s">
        <v>7657</v>
      </c>
      <c r="C6118" s="120" t="s">
        <v>951</v>
      </c>
      <c r="D6118" s="441">
        <v>62.7</v>
      </c>
    </row>
    <row r="6119" spans="1:4" ht="31.5" customHeight="1">
      <c r="A6119" s="120">
        <v>87251</v>
      </c>
      <c r="B6119" s="119" t="s">
        <v>7658</v>
      </c>
      <c r="C6119" s="120" t="s">
        <v>951</v>
      </c>
      <c r="D6119" s="441">
        <v>53</v>
      </c>
    </row>
    <row r="6120" spans="1:4" ht="31.5" customHeight="1">
      <c r="A6120" s="120">
        <v>87255</v>
      </c>
      <c r="B6120" s="119" t="s">
        <v>7659</v>
      </c>
      <c r="C6120" s="120" t="s">
        <v>951</v>
      </c>
      <c r="D6120" s="441">
        <v>115.46</v>
      </c>
    </row>
    <row r="6121" spans="1:4" ht="31.5" customHeight="1">
      <c r="A6121" s="120">
        <v>87256</v>
      </c>
      <c r="B6121" s="119" t="s">
        <v>7660</v>
      </c>
      <c r="C6121" s="120" t="s">
        <v>951</v>
      </c>
      <c r="D6121" s="441">
        <v>101.32</v>
      </c>
    </row>
    <row r="6122" spans="1:4" ht="31.5" customHeight="1">
      <c r="A6122" s="120">
        <v>87257</v>
      </c>
      <c r="B6122" s="119" t="s">
        <v>7661</v>
      </c>
      <c r="C6122" s="120" t="s">
        <v>951</v>
      </c>
      <c r="D6122" s="441">
        <v>90.03</v>
      </c>
    </row>
    <row r="6123" spans="1:4" ht="31.5" customHeight="1">
      <c r="A6123" s="120">
        <v>87258</v>
      </c>
      <c r="B6123" s="119" t="s">
        <v>7662</v>
      </c>
      <c r="C6123" s="120" t="s">
        <v>951</v>
      </c>
      <c r="D6123" s="441">
        <v>158.04</v>
      </c>
    </row>
    <row r="6124" spans="1:4" ht="31.5" customHeight="1">
      <c r="A6124" s="120">
        <v>87259</v>
      </c>
      <c r="B6124" s="119" t="s">
        <v>7663</v>
      </c>
      <c r="C6124" s="120" t="s">
        <v>951</v>
      </c>
      <c r="D6124" s="441">
        <v>143.91</v>
      </c>
    </row>
    <row r="6125" spans="1:4" ht="31.5" customHeight="1">
      <c r="A6125" s="120">
        <v>87260</v>
      </c>
      <c r="B6125" s="119" t="s">
        <v>7664</v>
      </c>
      <c r="C6125" s="120" t="s">
        <v>951</v>
      </c>
      <c r="D6125" s="441">
        <v>133.57</v>
      </c>
    </row>
    <row r="6126" spans="1:4" ht="31.5" customHeight="1">
      <c r="A6126" s="120">
        <v>87261</v>
      </c>
      <c r="B6126" s="119" t="s">
        <v>7665</v>
      </c>
      <c r="C6126" s="120" t="s">
        <v>951</v>
      </c>
      <c r="D6126" s="441">
        <v>180.13</v>
      </c>
    </row>
    <row r="6127" spans="1:4" ht="31.5" customHeight="1">
      <c r="A6127" s="120">
        <v>87262</v>
      </c>
      <c r="B6127" s="119" t="s">
        <v>7666</v>
      </c>
      <c r="C6127" s="120" t="s">
        <v>951</v>
      </c>
      <c r="D6127" s="441">
        <v>164.26</v>
      </c>
    </row>
    <row r="6128" spans="1:4" ht="31.5" customHeight="1">
      <c r="A6128" s="120">
        <v>87263</v>
      </c>
      <c r="B6128" s="119" t="s">
        <v>7667</v>
      </c>
      <c r="C6128" s="120" t="s">
        <v>951</v>
      </c>
      <c r="D6128" s="441">
        <v>152.31</v>
      </c>
    </row>
    <row r="6129" spans="1:4" ht="47.25" customHeight="1">
      <c r="A6129" s="120">
        <v>89046</v>
      </c>
      <c r="B6129" s="119" t="s">
        <v>7668</v>
      </c>
      <c r="C6129" s="120" t="s">
        <v>951</v>
      </c>
      <c r="D6129" s="441">
        <v>60.21</v>
      </c>
    </row>
    <row r="6130" spans="1:4" ht="47.25" customHeight="1">
      <c r="A6130" s="120">
        <v>89171</v>
      </c>
      <c r="B6130" s="119" t="s">
        <v>7669</v>
      </c>
      <c r="C6130" s="120" t="s">
        <v>951</v>
      </c>
      <c r="D6130" s="441">
        <v>56.44</v>
      </c>
    </row>
    <row r="6131" spans="1:4" ht="31.5" customHeight="1">
      <c r="A6131" s="120">
        <v>93389</v>
      </c>
      <c r="B6131" s="119" t="s">
        <v>7670</v>
      </c>
      <c r="C6131" s="120" t="s">
        <v>951</v>
      </c>
      <c r="D6131" s="441">
        <v>63.27</v>
      </c>
    </row>
    <row r="6132" spans="1:4" ht="31.5" customHeight="1">
      <c r="A6132" s="120">
        <v>93390</v>
      </c>
      <c r="B6132" s="119" t="s">
        <v>7671</v>
      </c>
      <c r="C6132" s="120" t="s">
        <v>951</v>
      </c>
      <c r="D6132" s="441">
        <v>55.36</v>
      </c>
    </row>
    <row r="6133" spans="1:4" ht="31.5" customHeight="1">
      <c r="A6133" s="120">
        <v>93391</v>
      </c>
      <c r="B6133" s="119" t="s">
        <v>7672</v>
      </c>
      <c r="C6133" s="120" t="s">
        <v>951</v>
      </c>
      <c r="D6133" s="441">
        <v>46.9</v>
      </c>
    </row>
    <row r="6134" spans="1:4" ht="31.5" customHeight="1">
      <c r="A6134" s="120">
        <v>104593</v>
      </c>
      <c r="B6134" s="119" t="s">
        <v>7673</v>
      </c>
      <c r="C6134" s="120" t="s">
        <v>951</v>
      </c>
      <c r="D6134" s="441">
        <v>119.85</v>
      </c>
    </row>
    <row r="6135" spans="1:4" ht="31.5" customHeight="1">
      <c r="A6135" s="120">
        <v>104594</v>
      </c>
      <c r="B6135" s="119" t="s">
        <v>7674</v>
      </c>
      <c r="C6135" s="120" t="s">
        <v>951</v>
      </c>
      <c r="D6135" s="441">
        <v>104.01</v>
      </c>
    </row>
    <row r="6136" spans="1:4" ht="31.5" customHeight="1">
      <c r="A6136" s="120">
        <v>104595</v>
      </c>
      <c r="B6136" s="119" t="s">
        <v>7675</v>
      </c>
      <c r="C6136" s="120" t="s">
        <v>951</v>
      </c>
      <c r="D6136" s="441">
        <v>90.64</v>
      </c>
    </row>
    <row r="6137" spans="1:4" ht="31.5" customHeight="1">
      <c r="A6137" s="120">
        <v>104596</v>
      </c>
      <c r="B6137" s="119" t="s">
        <v>7676</v>
      </c>
      <c r="C6137" s="120" t="s">
        <v>951</v>
      </c>
      <c r="D6137" s="441">
        <v>185.34</v>
      </c>
    </row>
    <row r="6138" spans="1:4" ht="31.5" customHeight="1">
      <c r="A6138" s="120">
        <v>104597</v>
      </c>
      <c r="B6138" s="119" t="s">
        <v>7677</v>
      </c>
      <c r="C6138" s="120" t="s">
        <v>951</v>
      </c>
      <c r="D6138" s="441">
        <v>167.47</v>
      </c>
    </row>
    <row r="6139" spans="1:4" ht="31.5" customHeight="1">
      <c r="A6139" s="120">
        <v>104598</v>
      </c>
      <c r="B6139" s="119" t="s">
        <v>7678</v>
      </c>
      <c r="C6139" s="120" t="s">
        <v>951</v>
      </c>
      <c r="D6139" s="441">
        <v>153.07</v>
      </c>
    </row>
    <row r="6140" spans="1:4" ht="31.5" customHeight="1">
      <c r="A6140" s="120">
        <v>104599</v>
      </c>
      <c r="B6140" s="119" t="s">
        <v>7679</v>
      </c>
      <c r="C6140" s="120" t="s">
        <v>951</v>
      </c>
      <c r="D6140" s="441">
        <v>83.83</v>
      </c>
    </row>
    <row r="6141" spans="1:4" ht="31.5" customHeight="1">
      <c r="A6141" s="120">
        <v>104600</v>
      </c>
      <c r="B6141" s="119" t="s">
        <v>7680</v>
      </c>
      <c r="C6141" s="120" t="s">
        <v>951</v>
      </c>
      <c r="D6141" s="441">
        <v>77.44</v>
      </c>
    </row>
    <row r="6142" spans="1:4" ht="31.5" customHeight="1">
      <c r="A6142" s="120">
        <v>104601</v>
      </c>
      <c r="B6142" s="119" t="s">
        <v>7681</v>
      </c>
      <c r="C6142" s="120" t="s">
        <v>951</v>
      </c>
      <c r="D6142" s="441">
        <v>66.709999999999994</v>
      </c>
    </row>
    <row r="6143" spans="1:4" ht="31.5" customHeight="1">
      <c r="A6143" s="120">
        <v>104602</v>
      </c>
      <c r="B6143" s="119" t="s">
        <v>7682</v>
      </c>
      <c r="C6143" s="120" t="s">
        <v>951</v>
      </c>
      <c r="D6143" s="441">
        <v>60.72</v>
      </c>
    </row>
    <row r="6144" spans="1:4" ht="31.5" customHeight="1">
      <c r="A6144" s="120">
        <v>104603</v>
      </c>
      <c r="B6144" s="119" t="s">
        <v>7683</v>
      </c>
      <c r="C6144" s="120" t="s">
        <v>951</v>
      </c>
      <c r="D6144" s="441">
        <v>55.43</v>
      </c>
    </row>
    <row r="6145" spans="1:4" ht="31.5" customHeight="1">
      <c r="A6145" s="120">
        <v>104604</v>
      </c>
      <c r="B6145" s="119" t="s">
        <v>7684</v>
      </c>
      <c r="C6145" s="120" t="s">
        <v>951</v>
      </c>
      <c r="D6145" s="441">
        <v>49.56</v>
      </c>
    </row>
    <row r="6146" spans="1:4" ht="31.5" customHeight="1">
      <c r="A6146" s="120">
        <v>104605</v>
      </c>
      <c r="B6146" s="119" t="s">
        <v>7685</v>
      </c>
      <c r="C6146" s="120" t="s">
        <v>951</v>
      </c>
      <c r="D6146" s="441">
        <v>105.54</v>
      </c>
    </row>
    <row r="6147" spans="1:4" ht="31.5" customHeight="1">
      <c r="A6147" s="120">
        <v>104606</v>
      </c>
      <c r="B6147" s="119" t="s">
        <v>7686</v>
      </c>
      <c r="C6147" s="120" t="s">
        <v>951</v>
      </c>
      <c r="D6147" s="441">
        <v>71.48</v>
      </c>
    </row>
    <row r="6148" spans="1:4" ht="31.5" customHeight="1">
      <c r="A6148" s="120">
        <v>104607</v>
      </c>
      <c r="B6148" s="119" t="s">
        <v>7687</v>
      </c>
      <c r="C6148" s="120" t="s">
        <v>951</v>
      </c>
      <c r="D6148" s="441">
        <v>56.93</v>
      </c>
    </row>
    <row r="6149" spans="1:4" ht="31.5" customHeight="1">
      <c r="A6149" s="120">
        <v>104608</v>
      </c>
      <c r="B6149" s="119" t="s">
        <v>7688</v>
      </c>
      <c r="C6149" s="120" t="s">
        <v>951</v>
      </c>
      <c r="D6149" s="441">
        <v>198.78</v>
      </c>
    </row>
    <row r="6150" spans="1:4" ht="31.5" customHeight="1">
      <c r="A6150" s="120">
        <v>104609</v>
      </c>
      <c r="B6150" s="119" t="s">
        <v>7689</v>
      </c>
      <c r="C6150" s="120" t="s">
        <v>951</v>
      </c>
      <c r="D6150" s="441">
        <v>155.43</v>
      </c>
    </row>
    <row r="6151" spans="1:4" ht="31.5" customHeight="1">
      <c r="A6151" s="120">
        <v>104610</v>
      </c>
      <c r="B6151" s="119" t="s">
        <v>7690</v>
      </c>
      <c r="C6151" s="120" t="s">
        <v>951</v>
      </c>
      <c r="D6151" s="441">
        <v>138.71</v>
      </c>
    </row>
    <row r="6152" spans="1:4" ht="15.75" customHeight="1">
      <c r="A6152" s="120">
        <v>98671</v>
      </c>
      <c r="B6152" s="119" t="s">
        <v>7691</v>
      </c>
      <c r="C6152" s="120" t="s">
        <v>951</v>
      </c>
      <c r="D6152" s="441">
        <v>436.16</v>
      </c>
    </row>
    <row r="6153" spans="1:4" ht="15.75" customHeight="1">
      <c r="A6153" s="120">
        <v>98672</v>
      </c>
      <c r="B6153" s="119" t="s">
        <v>7692</v>
      </c>
      <c r="C6153" s="120" t="s">
        <v>951</v>
      </c>
      <c r="D6153" s="441">
        <v>657.17</v>
      </c>
    </row>
    <row r="6154" spans="1:4" ht="15.75" customHeight="1">
      <c r="A6154" s="120">
        <v>98678</v>
      </c>
      <c r="B6154" s="119" t="s">
        <v>7693</v>
      </c>
      <c r="C6154" s="120" t="s">
        <v>951</v>
      </c>
      <c r="D6154" s="441">
        <v>489.63</v>
      </c>
    </row>
    <row r="6155" spans="1:4" ht="31.5" customHeight="1">
      <c r="A6155" s="120">
        <v>98679</v>
      </c>
      <c r="B6155" s="119" t="s">
        <v>7694</v>
      </c>
      <c r="C6155" s="120" t="s">
        <v>951</v>
      </c>
      <c r="D6155" s="441">
        <v>39.01</v>
      </c>
    </row>
    <row r="6156" spans="1:4" ht="31.5" customHeight="1">
      <c r="A6156" s="120">
        <v>98680</v>
      </c>
      <c r="B6156" s="119" t="s">
        <v>7695</v>
      </c>
      <c r="C6156" s="120" t="s">
        <v>951</v>
      </c>
      <c r="D6156" s="441">
        <v>47.86</v>
      </c>
    </row>
    <row r="6157" spans="1:4" ht="31.5" customHeight="1">
      <c r="A6157" s="120">
        <v>98681</v>
      </c>
      <c r="B6157" s="119" t="s">
        <v>7696</v>
      </c>
      <c r="C6157" s="120" t="s">
        <v>951</v>
      </c>
      <c r="D6157" s="441">
        <v>36.15</v>
      </c>
    </row>
    <row r="6158" spans="1:4" ht="31.5" customHeight="1">
      <c r="A6158" s="120">
        <v>98682</v>
      </c>
      <c r="B6158" s="119" t="s">
        <v>7697</v>
      </c>
      <c r="C6158" s="120" t="s">
        <v>951</v>
      </c>
      <c r="D6158" s="441">
        <v>45</v>
      </c>
    </row>
    <row r="6159" spans="1:4" ht="15.75" customHeight="1">
      <c r="A6159" s="120">
        <v>98685</v>
      </c>
      <c r="B6159" s="119" t="s">
        <v>7698</v>
      </c>
      <c r="C6159" s="120" t="s">
        <v>328</v>
      </c>
      <c r="D6159" s="441">
        <v>80.319999999999993</v>
      </c>
    </row>
    <row r="6160" spans="1:4" ht="15.75" customHeight="1">
      <c r="A6160" s="120">
        <v>98686</v>
      </c>
      <c r="B6160" s="119" t="s">
        <v>7699</v>
      </c>
      <c r="C6160" s="120" t="s">
        <v>328</v>
      </c>
      <c r="D6160" s="441">
        <v>45.45</v>
      </c>
    </row>
    <row r="6161" spans="1:4" ht="15.75" customHeight="1">
      <c r="A6161" s="120">
        <v>98688</v>
      </c>
      <c r="B6161" s="119" t="s">
        <v>7700</v>
      </c>
      <c r="C6161" s="120" t="s">
        <v>328</v>
      </c>
      <c r="D6161" s="441">
        <v>58.42</v>
      </c>
    </row>
    <row r="6162" spans="1:4" ht="15.75" customHeight="1">
      <c r="A6162" s="120">
        <v>98689</v>
      </c>
      <c r="B6162" s="119" t="s">
        <v>7701</v>
      </c>
      <c r="C6162" s="120" t="s">
        <v>328</v>
      </c>
      <c r="D6162" s="441">
        <v>115.64</v>
      </c>
    </row>
    <row r="6163" spans="1:4" ht="31.5" customHeight="1">
      <c r="A6163" s="120">
        <v>101090</v>
      </c>
      <c r="B6163" s="119" t="s">
        <v>7702</v>
      </c>
      <c r="C6163" s="120" t="s">
        <v>951</v>
      </c>
      <c r="D6163" s="441">
        <v>291.81</v>
      </c>
    </row>
    <row r="6164" spans="1:4" ht="15.75" customHeight="1">
      <c r="A6164" s="120">
        <v>101091</v>
      </c>
      <c r="B6164" s="119" t="s">
        <v>7703</v>
      </c>
      <c r="C6164" s="120" t="s">
        <v>951</v>
      </c>
      <c r="D6164" s="441">
        <v>130.47</v>
      </c>
    </row>
    <row r="6165" spans="1:4" ht="31.5" customHeight="1">
      <c r="A6165" s="120">
        <v>101725</v>
      </c>
      <c r="B6165" s="119" t="s">
        <v>7704</v>
      </c>
      <c r="C6165" s="120" t="s">
        <v>951</v>
      </c>
      <c r="D6165" s="441">
        <v>285.81</v>
      </c>
    </row>
    <row r="6166" spans="1:4" ht="31.5" customHeight="1">
      <c r="A6166" s="120">
        <v>101726</v>
      </c>
      <c r="B6166" s="119" t="s">
        <v>7705</v>
      </c>
      <c r="C6166" s="120" t="s">
        <v>951</v>
      </c>
      <c r="D6166" s="441">
        <v>178.17</v>
      </c>
    </row>
    <row r="6167" spans="1:4" ht="15.75" customHeight="1">
      <c r="A6167" s="120">
        <v>101731</v>
      </c>
      <c r="B6167" s="119" t="s">
        <v>7706</v>
      </c>
      <c r="C6167" s="120" t="s">
        <v>951</v>
      </c>
      <c r="D6167" s="441">
        <v>454.98</v>
      </c>
    </row>
    <row r="6168" spans="1:4" ht="15.75" customHeight="1">
      <c r="A6168" s="120">
        <v>101732</v>
      </c>
      <c r="B6168" s="119" t="s">
        <v>7707</v>
      </c>
      <c r="C6168" s="120" t="s">
        <v>951</v>
      </c>
      <c r="D6168" s="441">
        <v>124.05</v>
      </c>
    </row>
    <row r="6169" spans="1:4" ht="15.75" customHeight="1">
      <c r="A6169" s="120">
        <v>101094</v>
      </c>
      <c r="B6169" s="119" t="s">
        <v>7708</v>
      </c>
      <c r="C6169" s="120" t="s">
        <v>328</v>
      </c>
      <c r="D6169" s="441">
        <v>190.49</v>
      </c>
    </row>
    <row r="6170" spans="1:4" ht="15.75" customHeight="1">
      <c r="A6170" s="120">
        <v>101727</v>
      </c>
      <c r="B6170" s="119" t="s">
        <v>7709</v>
      </c>
      <c r="C6170" s="120" t="s">
        <v>951</v>
      </c>
      <c r="D6170" s="441">
        <v>223.58</v>
      </c>
    </row>
    <row r="6171" spans="1:4" ht="15.75" customHeight="1">
      <c r="A6171" s="120">
        <v>101733</v>
      </c>
      <c r="B6171" s="119" t="s">
        <v>7710</v>
      </c>
      <c r="C6171" s="120" t="s">
        <v>951</v>
      </c>
      <c r="D6171" s="441">
        <v>304.97000000000003</v>
      </c>
    </row>
    <row r="6172" spans="1:4" ht="15.75" customHeight="1">
      <c r="A6172" s="120">
        <v>101734</v>
      </c>
      <c r="B6172" s="119" t="s">
        <v>7711</v>
      </c>
      <c r="C6172" s="120" t="s">
        <v>951</v>
      </c>
      <c r="D6172" s="441">
        <v>462.66</v>
      </c>
    </row>
    <row r="6173" spans="1:4" ht="15.75" customHeight="1">
      <c r="A6173" s="120">
        <v>101735</v>
      </c>
      <c r="B6173" s="119" t="s">
        <v>7712</v>
      </c>
      <c r="C6173" s="120" t="s">
        <v>951</v>
      </c>
      <c r="D6173" s="441">
        <v>474.1</v>
      </c>
    </row>
    <row r="6174" spans="1:4" ht="15.75" customHeight="1">
      <c r="A6174" s="120">
        <v>101736</v>
      </c>
      <c r="B6174" s="119" t="s">
        <v>7713</v>
      </c>
      <c r="C6174" s="120" t="s">
        <v>951</v>
      </c>
      <c r="D6174" s="441">
        <v>117.37</v>
      </c>
    </row>
    <row r="6175" spans="1:4" ht="15.75" customHeight="1">
      <c r="A6175" s="120">
        <v>101737</v>
      </c>
      <c r="B6175" s="119" t="s">
        <v>7714</v>
      </c>
      <c r="C6175" s="120" t="s">
        <v>951</v>
      </c>
      <c r="D6175" s="441">
        <v>140</v>
      </c>
    </row>
    <row r="6176" spans="1:4" ht="15.75" customHeight="1">
      <c r="A6176" s="120">
        <v>101748</v>
      </c>
      <c r="B6176" s="119" t="s">
        <v>7715</v>
      </c>
      <c r="C6176" s="120" t="s">
        <v>951</v>
      </c>
      <c r="D6176" s="441">
        <v>4.16</v>
      </c>
    </row>
    <row r="6177" spans="1:4" ht="47.25" customHeight="1">
      <c r="A6177" s="120">
        <v>104162</v>
      </c>
      <c r="B6177" s="119" t="s">
        <v>7716</v>
      </c>
      <c r="C6177" s="120" t="s">
        <v>951</v>
      </c>
      <c r="D6177" s="441">
        <v>96</v>
      </c>
    </row>
    <row r="6178" spans="1:4" ht="15.75" customHeight="1">
      <c r="A6178" s="120">
        <v>101092</v>
      </c>
      <c r="B6178" s="119" t="s">
        <v>7717</v>
      </c>
      <c r="C6178" s="120" t="s">
        <v>951</v>
      </c>
      <c r="D6178" s="441">
        <v>450.02</v>
      </c>
    </row>
    <row r="6179" spans="1:4" ht="15.75" customHeight="1">
      <c r="A6179" s="120">
        <v>101093</v>
      </c>
      <c r="B6179" s="119" t="s">
        <v>7718</v>
      </c>
      <c r="C6179" s="120" t="s">
        <v>951</v>
      </c>
      <c r="D6179" s="441">
        <v>671.03</v>
      </c>
    </row>
    <row r="6180" spans="1:4" ht="15.75" customHeight="1">
      <c r="A6180" s="120">
        <v>98695</v>
      </c>
      <c r="B6180" s="119" t="s">
        <v>7719</v>
      </c>
      <c r="C6180" s="120" t="s">
        <v>328</v>
      </c>
      <c r="D6180" s="441">
        <v>118.1</v>
      </c>
    </row>
    <row r="6181" spans="1:4" ht="15.75" customHeight="1">
      <c r="A6181" s="120">
        <v>98697</v>
      </c>
      <c r="B6181" s="119" t="s">
        <v>7720</v>
      </c>
      <c r="C6181" s="120" t="s">
        <v>328</v>
      </c>
      <c r="D6181" s="441">
        <v>78.03</v>
      </c>
    </row>
    <row r="6182" spans="1:4" ht="15.75" customHeight="1">
      <c r="A6182" s="120">
        <v>101738</v>
      </c>
      <c r="B6182" s="119" t="s">
        <v>7721</v>
      </c>
      <c r="C6182" s="120" t="s">
        <v>328</v>
      </c>
      <c r="D6182" s="441">
        <v>31.68</v>
      </c>
    </row>
    <row r="6183" spans="1:4" ht="15.75" customHeight="1">
      <c r="A6183" s="120">
        <v>101739</v>
      </c>
      <c r="B6183" s="119" t="s">
        <v>7722</v>
      </c>
      <c r="C6183" s="120" t="s">
        <v>328</v>
      </c>
      <c r="D6183" s="441">
        <v>35.44</v>
      </c>
    </row>
    <row r="6184" spans="1:4" ht="31.5" customHeight="1">
      <c r="A6184" s="120">
        <v>88648</v>
      </c>
      <c r="B6184" s="119" t="s">
        <v>7723</v>
      </c>
      <c r="C6184" s="120" t="s">
        <v>328</v>
      </c>
      <c r="D6184" s="441">
        <v>7.84</v>
      </c>
    </row>
    <row r="6185" spans="1:4" ht="31.5" customHeight="1">
      <c r="A6185" s="120">
        <v>88649</v>
      </c>
      <c r="B6185" s="119" t="s">
        <v>7724</v>
      </c>
      <c r="C6185" s="120" t="s">
        <v>328</v>
      </c>
      <c r="D6185" s="441">
        <v>8.86</v>
      </c>
    </row>
    <row r="6186" spans="1:4" ht="31.5" customHeight="1">
      <c r="A6186" s="120">
        <v>88650</v>
      </c>
      <c r="B6186" s="119" t="s">
        <v>7725</v>
      </c>
      <c r="C6186" s="120" t="s">
        <v>328</v>
      </c>
      <c r="D6186" s="441">
        <v>16.739999999999998</v>
      </c>
    </row>
    <row r="6187" spans="1:4" ht="31.5" customHeight="1">
      <c r="A6187" s="120">
        <v>96467</v>
      </c>
      <c r="B6187" s="119" t="s">
        <v>7726</v>
      </c>
      <c r="C6187" s="120" t="s">
        <v>328</v>
      </c>
      <c r="D6187" s="441">
        <v>7.17</v>
      </c>
    </row>
    <row r="6188" spans="1:4" ht="15.75" customHeight="1">
      <c r="A6188" s="120">
        <v>101740</v>
      </c>
      <c r="B6188" s="119" t="s">
        <v>7727</v>
      </c>
      <c r="C6188" s="120" t="s">
        <v>328</v>
      </c>
      <c r="D6188" s="441">
        <v>63.16</v>
      </c>
    </row>
    <row r="6189" spans="1:4" ht="15.75" customHeight="1">
      <c r="A6189" s="120">
        <v>101741</v>
      </c>
      <c r="B6189" s="119" t="s">
        <v>7728</v>
      </c>
      <c r="C6189" s="120" t="s">
        <v>328</v>
      </c>
      <c r="D6189" s="441">
        <v>27.75</v>
      </c>
    </row>
    <row r="6190" spans="1:4" ht="31.5" customHeight="1">
      <c r="A6190" s="120">
        <v>94990</v>
      </c>
      <c r="B6190" s="119" t="s">
        <v>7729</v>
      </c>
      <c r="C6190" s="120" t="s">
        <v>950</v>
      </c>
      <c r="D6190" s="441">
        <v>713.68</v>
      </c>
    </row>
    <row r="6191" spans="1:4" ht="31.5" customHeight="1">
      <c r="A6191" s="120">
        <v>94991</v>
      </c>
      <c r="B6191" s="119" t="s">
        <v>7730</v>
      </c>
      <c r="C6191" s="120" t="s">
        <v>950</v>
      </c>
      <c r="D6191" s="441">
        <v>629.91</v>
      </c>
    </row>
    <row r="6192" spans="1:4" ht="31.5" customHeight="1">
      <c r="A6192" s="120">
        <v>94992</v>
      </c>
      <c r="B6192" s="119" t="s">
        <v>7731</v>
      </c>
      <c r="C6192" s="120" t="s">
        <v>951</v>
      </c>
      <c r="D6192" s="441">
        <v>84.5</v>
      </c>
    </row>
    <row r="6193" spans="1:4" ht="31.5" customHeight="1">
      <c r="A6193" s="120">
        <v>94993</v>
      </c>
      <c r="B6193" s="119" t="s">
        <v>7732</v>
      </c>
      <c r="C6193" s="120" t="s">
        <v>951</v>
      </c>
      <c r="D6193" s="441">
        <v>79.48</v>
      </c>
    </row>
    <row r="6194" spans="1:4" ht="31.5" customHeight="1">
      <c r="A6194" s="120">
        <v>94994</v>
      </c>
      <c r="B6194" s="119" t="s">
        <v>7733</v>
      </c>
      <c r="C6194" s="120" t="s">
        <v>951</v>
      </c>
      <c r="D6194" s="441">
        <v>99.26</v>
      </c>
    </row>
    <row r="6195" spans="1:4" ht="31.5" customHeight="1">
      <c r="A6195" s="120">
        <v>94995</v>
      </c>
      <c r="B6195" s="119" t="s">
        <v>7734</v>
      </c>
      <c r="C6195" s="120" t="s">
        <v>951</v>
      </c>
      <c r="D6195" s="441">
        <v>92.56</v>
      </c>
    </row>
    <row r="6196" spans="1:4" ht="15.75" customHeight="1">
      <c r="A6196" s="120">
        <v>101747</v>
      </c>
      <c r="B6196" s="119" t="s">
        <v>7735</v>
      </c>
      <c r="C6196" s="120" t="s">
        <v>951</v>
      </c>
      <c r="D6196" s="441">
        <v>72.64</v>
      </c>
    </row>
    <row r="6197" spans="1:4" ht="31.5" customHeight="1">
      <c r="A6197" s="120">
        <v>87620</v>
      </c>
      <c r="B6197" s="119" t="s">
        <v>7736</v>
      </c>
      <c r="C6197" s="120" t="s">
        <v>951</v>
      </c>
      <c r="D6197" s="441">
        <v>30.24</v>
      </c>
    </row>
    <row r="6198" spans="1:4" ht="31.5" customHeight="1">
      <c r="A6198" s="120">
        <v>87622</v>
      </c>
      <c r="B6198" s="119" t="s">
        <v>7737</v>
      </c>
      <c r="C6198" s="120" t="s">
        <v>951</v>
      </c>
      <c r="D6198" s="441">
        <v>34.9</v>
      </c>
    </row>
    <row r="6199" spans="1:4" ht="31.5" customHeight="1">
      <c r="A6199" s="120">
        <v>87623</v>
      </c>
      <c r="B6199" s="119" t="s">
        <v>7738</v>
      </c>
      <c r="C6199" s="120" t="s">
        <v>951</v>
      </c>
      <c r="D6199" s="441">
        <v>69.56</v>
      </c>
    </row>
    <row r="6200" spans="1:4" ht="31.5" customHeight="1">
      <c r="A6200" s="120">
        <v>87624</v>
      </c>
      <c r="B6200" s="119" t="s">
        <v>7738</v>
      </c>
      <c r="C6200" s="120" t="s">
        <v>951</v>
      </c>
      <c r="D6200" s="441">
        <v>77.63</v>
      </c>
    </row>
    <row r="6201" spans="1:4" ht="31.5" customHeight="1">
      <c r="A6201" s="120">
        <v>87630</v>
      </c>
      <c r="B6201" s="119" t="s">
        <v>7739</v>
      </c>
      <c r="C6201" s="120" t="s">
        <v>951</v>
      </c>
      <c r="D6201" s="441">
        <v>38.22</v>
      </c>
    </row>
    <row r="6202" spans="1:4" ht="31.5" customHeight="1">
      <c r="A6202" s="120">
        <v>87632</v>
      </c>
      <c r="B6202" s="119" t="s">
        <v>7740</v>
      </c>
      <c r="C6202" s="120" t="s">
        <v>951</v>
      </c>
      <c r="D6202" s="441">
        <v>44.7</v>
      </c>
    </row>
    <row r="6203" spans="1:4" ht="31.5" customHeight="1">
      <c r="A6203" s="120">
        <v>87633</v>
      </c>
      <c r="B6203" s="119" t="s">
        <v>7741</v>
      </c>
      <c r="C6203" s="120" t="s">
        <v>951</v>
      </c>
      <c r="D6203" s="441">
        <v>92.9</v>
      </c>
    </row>
    <row r="6204" spans="1:4" ht="31.5" customHeight="1">
      <c r="A6204" s="120">
        <v>87634</v>
      </c>
      <c r="B6204" s="119" t="s">
        <v>7742</v>
      </c>
      <c r="C6204" s="120" t="s">
        <v>951</v>
      </c>
      <c r="D6204" s="441">
        <v>104.11</v>
      </c>
    </row>
    <row r="6205" spans="1:4" ht="31.5" customHeight="1">
      <c r="A6205" s="120">
        <v>87640</v>
      </c>
      <c r="B6205" s="119" t="s">
        <v>7743</v>
      </c>
      <c r="C6205" s="120" t="s">
        <v>951</v>
      </c>
      <c r="D6205" s="441">
        <v>44.79</v>
      </c>
    </row>
    <row r="6206" spans="1:4" ht="31.5" customHeight="1">
      <c r="A6206" s="120">
        <v>87642</v>
      </c>
      <c r="B6206" s="119" t="s">
        <v>7744</v>
      </c>
      <c r="C6206" s="120" t="s">
        <v>951</v>
      </c>
      <c r="D6206" s="441">
        <v>52.75</v>
      </c>
    </row>
    <row r="6207" spans="1:4" ht="31.5" customHeight="1">
      <c r="A6207" s="120">
        <v>87643</v>
      </c>
      <c r="B6207" s="119" t="s">
        <v>7745</v>
      </c>
      <c r="C6207" s="120" t="s">
        <v>951</v>
      </c>
      <c r="D6207" s="441">
        <v>112.02</v>
      </c>
    </row>
    <row r="6208" spans="1:4" ht="31.5" customHeight="1">
      <c r="A6208" s="120">
        <v>87644</v>
      </c>
      <c r="B6208" s="119" t="s">
        <v>7746</v>
      </c>
      <c r="C6208" s="120" t="s">
        <v>951</v>
      </c>
      <c r="D6208" s="441">
        <v>125.81</v>
      </c>
    </row>
    <row r="6209" spans="1:4" ht="47.25" customHeight="1">
      <c r="A6209" s="120">
        <v>87680</v>
      </c>
      <c r="B6209" s="119" t="s">
        <v>7747</v>
      </c>
      <c r="C6209" s="120" t="s">
        <v>951</v>
      </c>
      <c r="D6209" s="441">
        <v>39.99</v>
      </c>
    </row>
    <row r="6210" spans="1:4" ht="31.5" customHeight="1">
      <c r="A6210" s="120">
        <v>87682</v>
      </c>
      <c r="B6210" s="119" t="s">
        <v>7748</v>
      </c>
      <c r="C6210" s="120" t="s">
        <v>951</v>
      </c>
      <c r="D6210" s="441">
        <v>47.95</v>
      </c>
    </row>
    <row r="6211" spans="1:4" ht="31.5" customHeight="1">
      <c r="A6211" s="120">
        <v>87683</v>
      </c>
      <c r="B6211" s="119" t="s">
        <v>7749</v>
      </c>
      <c r="C6211" s="120" t="s">
        <v>951</v>
      </c>
      <c r="D6211" s="441">
        <v>107.22</v>
      </c>
    </row>
    <row r="6212" spans="1:4" ht="31.5" customHeight="1">
      <c r="A6212" s="120">
        <v>87684</v>
      </c>
      <c r="B6212" s="119" t="s">
        <v>7750</v>
      </c>
      <c r="C6212" s="120" t="s">
        <v>951</v>
      </c>
      <c r="D6212" s="441">
        <v>121.01</v>
      </c>
    </row>
    <row r="6213" spans="1:4" ht="47.25" customHeight="1">
      <c r="A6213" s="120">
        <v>87690</v>
      </c>
      <c r="B6213" s="119" t="s">
        <v>7751</v>
      </c>
      <c r="C6213" s="120" t="s">
        <v>951</v>
      </c>
      <c r="D6213" s="441">
        <v>45.82</v>
      </c>
    </row>
    <row r="6214" spans="1:4" ht="31.5" customHeight="1">
      <c r="A6214" s="120">
        <v>87692</v>
      </c>
      <c r="B6214" s="119" t="s">
        <v>7752</v>
      </c>
      <c r="C6214" s="120" t="s">
        <v>951</v>
      </c>
      <c r="D6214" s="441">
        <v>54.95</v>
      </c>
    </row>
    <row r="6215" spans="1:4" ht="31.5" customHeight="1">
      <c r="A6215" s="120">
        <v>87693</v>
      </c>
      <c r="B6215" s="119" t="s">
        <v>7753</v>
      </c>
      <c r="C6215" s="120" t="s">
        <v>951</v>
      </c>
      <c r="D6215" s="441">
        <v>122.82</v>
      </c>
    </row>
    <row r="6216" spans="1:4" ht="31.5" customHeight="1">
      <c r="A6216" s="120">
        <v>87694</v>
      </c>
      <c r="B6216" s="119" t="s">
        <v>7754</v>
      </c>
      <c r="C6216" s="120" t="s">
        <v>951</v>
      </c>
      <c r="D6216" s="441">
        <v>138.62</v>
      </c>
    </row>
    <row r="6217" spans="1:4" ht="47.25" customHeight="1">
      <c r="A6217" s="120">
        <v>87700</v>
      </c>
      <c r="B6217" s="119" t="s">
        <v>7755</v>
      </c>
      <c r="C6217" s="120" t="s">
        <v>951</v>
      </c>
      <c r="D6217" s="441">
        <v>49.4</v>
      </c>
    </row>
    <row r="6218" spans="1:4" ht="31.5" customHeight="1">
      <c r="A6218" s="120">
        <v>87702</v>
      </c>
      <c r="B6218" s="119" t="s">
        <v>7756</v>
      </c>
      <c r="C6218" s="120" t="s">
        <v>951</v>
      </c>
      <c r="D6218" s="441">
        <v>59.34</v>
      </c>
    </row>
    <row r="6219" spans="1:4" ht="31.5" customHeight="1">
      <c r="A6219" s="120">
        <v>87703</v>
      </c>
      <c r="B6219" s="119" t="s">
        <v>7757</v>
      </c>
      <c r="C6219" s="120" t="s">
        <v>951</v>
      </c>
      <c r="D6219" s="441">
        <v>133.25</v>
      </c>
    </row>
    <row r="6220" spans="1:4" ht="31.5" customHeight="1">
      <c r="A6220" s="120">
        <v>87704</v>
      </c>
      <c r="B6220" s="119" t="s">
        <v>7758</v>
      </c>
      <c r="C6220" s="120" t="s">
        <v>951</v>
      </c>
      <c r="D6220" s="441">
        <v>150.44999999999999</v>
      </c>
    </row>
    <row r="6221" spans="1:4" ht="47.25" customHeight="1">
      <c r="A6221" s="120">
        <v>87735</v>
      </c>
      <c r="B6221" s="119" t="s">
        <v>7759</v>
      </c>
      <c r="C6221" s="120" t="s">
        <v>951</v>
      </c>
      <c r="D6221" s="441">
        <v>44.46</v>
      </c>
    </row>
    <row r="6222" spans="1:4" ht="31.5" customHeight="1">
      <c r="A6222" s="120">
        <v>87737</v>
      </c>
      <c r="B6222" s="119" t="s">
        <v>7760</v>
      </c>
      <c r="C6222" s="120" t="s">
        <v>951</v>
      </c>
      <c r="D6222" s="441">
        <v>49.12</v>
      </c>
    </row>
    <row r="6223" spans="1:4" ht="31.5" customHeight="1">
      <c r="A6223" s="120">
        <v>87738</v>
      </c>
      <c r="B6223" s="119" t="s">
        <v>7761</v>
      </c>
      <c r="C6223" s="120" t="s">
        <v>951</v>
      </c>
      <c r="D6223" s="441">
        <v>83.78</v>
      </c>
    </row>
    <row r="6224" spans="1:4" ht="31.5" customHeight="1">
      <c r="A6224" s="120">
        <v>87739</v>
      </c>
      <c r="B6224" s="119" t="s">
        <v>7762</v>
      </c>
      <c r="C6224" s="120" t="s">
        <v>951</v>
      </c>
      <c r="D6224" s="441">
        <v>91.85</v>
      </c>
    </row>
    <row r="6225" spans="1:4" ht="47.25" customHeight="1">
      <c r="A6225" s="120">
        <v>87745</v>
      </c>
      <c r="B6225" s="119" t="s">
        <v>7763</v>
      </c>
      <c r="C6225" s="120" t="s">
        <v>951</v>
      </c>
      <c r="D6225" s="441">
        <v>52.46</v>
      </c>
    </row>
    <row r="6226" spans="1:4" ht="31.5" customHeight="1">
      <c r="A6226" s="120">
        <v>87747</v>
      </c>
      <c r="B6226" s="119" t="s">
        <v>7764</v>
      </c>
      <c r="C6226" s="120" t="s">
        <v>951</v>
      </c>
      <c r="D6226" s="441">
        <v>58.94</v>
      </c>
    </row>
    <row r="6227" spans="1:4" ht="31.5" customHeight="1">
      <c r="A6227" s="120">
        <v>87748</v>
      </c>
      <c r="B6227" s="119" t="s">
        <v>7765</v>
      </c>
      <c r="C6227" s="120" t="s">
        <v>951</v>
      </c>
      <c r="D6227" s="441">
        <v>107.14</v>
      </c>
    </row>
    <row r="6228" spans="1:4" ht="31.5" customHeight="1">
      <c r="A6228" s="120">
        <v>87749</v>
      </c>
      <c r="B6228" s="119" t="s">
        <v>7766</v>
      </c>
      <c r="C6228" s="120" t="s">
        <v>951</v>
      </c>
      <c r="D6228" s="441">
        <v>118.35</v>
      </c>
    </row>
    <row r="6229" spans="1:4" ht="47.25" customHeight="1">
      <c r="A6229" s="120">
        <v>87755</v>
      </c>
      <c r="B6229" s="119" t="s">
        <v>7767</v>
      </c>
      <c r="C6229" s="120" t="s">
        <v>951</v>
      </c>
      <c r="D6229" s="441">
        <v>50.3</v>
      </c>
    </row>
    <row r="6230" spans="1:4" ht="31.5" customHeight="1">
      <c r="A6230" s="120">
        <v>87757</v>
      </c>
      <c r="B6230" s="119" t="s">
        <v>7768</v>
      </c>
      <c r="C6230" s="120" t="s">
        <v>951</v>
      </c>
      <c r="D6230" s="441">
        <v>56.78</v>
      </c>
    </row>
    <row r="6231" spans="1:4" ht="31.5" customHeight="1">
      <c r="A6231" s="120">
        <v>87758</v>
      </c>
      <c r="B6231" s="119" t="s">
        <v>7769</v>
      </c>
      <c r="C6231" s="120" t="s">
        <v>951</v>
      </c>
      <c r="D6231" s="441">
        <v>104.98</v>
      </c>
    </row>
    <row r="6232" spans="1:4" ht="31.5" customHeight="1">
      <c r="A6232" s="120">
        <v>87759</v>
      </c>
      <c r="B6232" s="119" t="s">
        <v>7770</v>
      </c>
      <c r="C6232" s="120" t="s">
        <v>951</v>
      </c>
      <c r="D6232" s="441">
        <v>116.19</v>
      </c>
    </row>
    <row r="6233" spans="1:4" ht="47.25" customHeight="1">
      <c r="A6233" s="120">
        <v>87765</v>
      </c>
      <c r="B6233" s="119" t="s">
        <v>7771</v>
      </c>
      <c r="C6233" s="120" t="s">
        <v>951</v>
      </c>
      <c r="D6233" s="441">
        <v>56.92</v>
      </c>
    </row>
    <row r="6234" spans="1:4" ht="31.5" customHeight="1">
      <c r="A6234" s="120">
        <v>87767</v>
      </c>
      <c r="B6234" s="119" t="s">
        <v>7772</v>
      </c>
      <c r="C6234" s="120" t="s">
        <v>951</v>
      </c>
      <c r="D6234" s="441">
        <v>64.88</v>
      </c>
    </row>
    <row r="6235" spans="1:4" ht="31.5" customHeight="1">
      <c r="A6235" s="120">
        <v>87768</v>
      </c>
      <c r="B6235" s="119" t="s">
        <v>7773</v>
      </c>
      <c r="C6235" s="120" t="s">
        <v>951</v>
      </c>
      <c r="D6235" s="441">
        <v>124.15</v>
      </c>
    </row>
    <row r="6236" spans="1:4" ht="31.5" customHeight="1">
      <c r="A6236" s="120">
        <v>87769</v>
      </c>
      <c r="B6236" s="119" t="s">
        <v>7774</v>
      </c>
      <c r="C6236" s="120" t="s">
        <v>951</v>
      </c>
      <c r="D6236" s="441">
        <v>137.94</v>
      </c>
    </row>
    <row r="6237" spans="1:4" ht="31.5" customHeight="1">
      <c r="A6237" s="120">
        <v>88470</v>
      </c>
      <c r="B6237" s="119" t="s">
        <v>7775</v>
      </c>
      <c r="C6237" s="120" t="s">
        <v>951</v>
      </c>
      <c r="D6237" s="441">
        <v>22.98</v>
      </c>
    </row>
    <row r="6238" spans="1:4" ht="31.5" customHeight="1">
      <c r="A6238" s="120">
        <v>88471</v>
      </c>
      <c r="B6238" s="119" t="s">
        <v>7776</v>
      </c>
      <c r="C6238" s="120" t="s">
        <v>951</v>
      </c>
      <c r="D6238" s="441">
        <v>28.9</v>
      </c>
    </row>
    <row r="6239" spans="1:4" ht="31.5" customHeight="1">
      <c r="A6239" s="120">
        <v>88472</v>
      </c>
      <c r="B6239" s="119" t="s">
        <v>7777</v>
      </c>
      <c r="C6239" s="120" t="s">
        <v>951</v>
      </c>
      <c r="D6239" s="441">
        <v>33.58</v>
      </c>
    </row>
    <row r="6240" spans="1:4" ht="15.75" customHeight="1">
      <c r="A6240" s="120">
        <v>88476</v>
      </c>
      <c r="B6240" s="119" t="s">
        <v>7778</v>
      </c>
      <c r="C6240" s="120" t="s">
        <v>951</v>
      </c>
      <c r="D6240" s="441">
        <v>19.649999999999999</v>
      </c>
    </row>
    <row r="6241" spans="1:4" ht="15.75" customHeight="1">
      <c r="A6241" s="120">
        <v>88477</v>
      </c>
      <c r="B6241" s="119" t="s">
        <v>7779</v>
      </c>
      <c r="C6241" s="120" t="s">
        <v>951</v>
      </c>
      <c r="D6241" s="441">
        <v>27.15</v>
      </c>
    </row>
    <row r="6242" spans="1:4" ht="15.75" customHeight="1">
      <c r="A6242" s="120">
        <v>88478</v>
      </c>
      <c r="B6242" s="119" t="s">
        <v>7780</v>
      </c>
      <c r="C6242" s="120" t="s">
        <v>951</v>
      </c>
      <c r="D6242" s="441">
        <v>33.35</v>
      </c>
    </row>
    <row r="6243" spans="1:4" ht="31.5" customHeight="1">
      <c r="A6243" s="120">
        <v>90930</v>
      </c>
      <c r="B6243" s="119" t="s">
        <v>7781</v>
      </c>
      <c r="C6243" s="120" t="s">
        <v>951</v>
      </c>
      <c r="D6243" s="441">
        <v>79.66</v>
      </c>
    </row>
    <row r="6244" spans="1:4" ht="31.5" customHeight="1">
      <c r="A6244" s="120">
        <v>90932</v>
      </c>
      <c r="B6244" s="119" t="s">
        <v>7782</v>
      </c>
      <c r="C6244" s="120" t="s">
        <v>951</v>
      </c>
      <c r="D6244" s="441">
        <v>88.79</v>
      </c>
    </row>
    <row r="6245" spans="1:4" ht="31.5" customHeight="1">
      <c r="A6245" s="120">
        <v>90933</v>
      </c>
      <c r="B6245" s="119" t="s">
        <v>7783</v>
      </c>
      <c r="C6245" s="120" t="s">
        <v>951</v>
      </c>
      <c r="D6245" s="441">
        <v>156.66</v>
      </c>
    </row>
    <row r="6246" spans="1:4" ht="31.5" customHeight="1">
      <c r="A6246" s="120">
        <v>90934</v>
      </c>
      <c r="B6246" s="119" t="s">
        <v>7784</v>
      </c>
      <c r="C6246" s="120" t="s">
        <v>951</v>
      </c>
      <c r="D6246" s="441">
        <v>172.46</v>
      </c>
    </row>
    <row r="6247" spans="1:4" ht="31.5" customHeight="1">
      <c r="A6247" s="120">
        <v>90940</v>
      </c>
      <c r="B6247" s="119" t="s">
        <v>7785</v>
      </c>
      <c r="C6247" s="120" t="s">
        <v>951</v>
      </c>
      <c r="D6247" s="441">
        <v>84.77</v>
      </c>
    </row>
    <row r="6248" spans="1:4" ht="31.5" customHeight="1">
      <c r="A6248" s="120">
        <v>90942</v>
      </c>
      <c r="B6248" s="119" t="s">
        <v>7786</v>
      </c>
      <c r="C6248" s="120" t="s">
        <v>951</v>
      </c>
      <c r="D6248" s="441">
        <v>94.71</v>
      </c>
    </row>
    <row r="6249" spans="1:4" ht="31.5" customHeight="1">
      <c r="A6249" s="120">
        <v>90943</v>
      </c>
      <c r="B6249" s="119" t="s">
        <v>7787</v>
      </c>
      <c r="C6249" s="120" t="s">
        <v>951</v>
      </c>
      <c r="D6249" s="441">
        <v>168.62</v>
      </c>
    </row>
    <row r="6250" spans="1:4" ht="31.5" customHeight="1">
      <c r="A6250" s="120">
        <v>90944</v>
      </c>
      <c r="B6250" s="119" t="s">
        <v>7788</v>
      </c>
      <c r="C6250" s="120" t="s">
        <v>951</v>
      </c>
      <c r="D6250" s="441">
        <v>185.82</v>
      </c>
    </row>
    <row r="6251" spans="1:4" ht="31.5" customHeight="1">
      <c r="A6251" s="120">
        <v>90950</v>
      </c>
      <c r="B6251" s="119" t="s">
        <v>7789</v>
      </c>
      <c r="C6251" s="120" t="s">
        <v>951</v>
      </c>
      <c r="D6251" s="441">
        <v>94.09</v>
      </c>
    </row>
    <row r="6252" spans="1:4" ht="31.5" customHeight="1">
      <c r="A6252" s="120">
        <v>90952</v>
      </c>
      <c r="B6252" s="119" t="s">
        <v>7790</v>
      </c>
      <c r="C6252" s="120" t="s">
        <v>951</v>
      </c>
      <c r="D6252" s="441">
        <v>105.52</v>
      </c>
    </row>
    <row r="6253" spans="1:4" ht="31.5" customHeight="1">
      <c r="A6253" s="120">
        <v>90953</v>
      </c>
      <c r="B6253" s="119" t="s">
        <v>7791</v>
      </c>
      <c r="C6253" s="120" t="s">
        <v>951</v>
      </c>
      <c r="D6253" s="441">
        <v>190.5</v>
      </c>
    </row>
    <row r="6254" spans="1:4" ht="31.5" customHeight="1">
      <c r="A6254" s="120">
        <v>90954</v>
      </c>
      <c r="B6254" s="119" t="s">
        <v>7792</v>
      </c>
      <c r="C6254" s="120" t="s">
        <v>951</v>
      </c>
      <c r="D6254" s="441">
        <v>210.28</v>
      </c>
    </row>
    <row r="6255" spans="1:4" ht="47.25" customHeight="1">
      <c r="A6255" s="120">
        <v>94438</v>
      </c>
      <c r="B6255" s="119" t="s">
        <v>7793</v>
      </c>
      <c r="C6255" s="120" t="s">
        <v>951</v>
      </c>
      <c r="D6255" s="441">
        <v>43.01</v>
      </c>
    </row>
    <row r="6256" spans="1:4" ht="47.25" customHeight="1">
      <c r="A6256" s="120">
        <v>94439</v>
      </c>
      <c r="B6256" s="119" t="s">
        <v>7794</v>
      </c>
      <c r="C6256" s="120" t="s">
        <v>951</v>
      </c>
      <c r="D6256" s="441">
        <v>48.28</v>
      </c>
    </row>
    <row r="6257" spans="1:4" ht="47.25" customHeight="1">
      <c r="A6257" s="120">
        <v>94779</v>
      </c>
      <c r="B6257" s="119" t="s">
        <v>7795</v>
      </c>
      <c r="C6257" s="120" t="s">
        <v>951</v>
      </c>
      <c r="D6257" s="441">
        <v>41.17</v>
      </c>
    </row>
    <row r="6258" spans="1:4" ht="47.25" customHeight="1">
      <c r="A6258" s="120">
        <v>94782</v>
      </c>
      <c r="B6258" s="119" t="s">
        <v>7796</v>
      </c>
      <c r="C6258" s="120" t="s">
        <v>951</v>
      </c>
      <c r="D6258" s="441">
        <v>47.02</v>
      </c>
    </row>
    <row r="6259" spans="1:4" ht="15.75" customHeight="1">
      <c r="A6259" s="120">
        <v>102803</v>
      </c>
      <c r="B6259" s="119" t="s">
        <v>7797</v>
      </c>
      <c r="C6259" s="120" t="s">
        <v>951</v>
      </c>
      <c r="D6259" s="441">
        <v>2.67</v>
      </c>
    </row>
    <row r="6260" spans="1:4" ht="15.75" customHeight="1">
      <c r="A6260" s="120">
        <v>101742</v>
      </c>
      <c r="B6260" s="119" t="s">
        <v>7798</v>
      </c>
      <c r="C6260" s="120" t="s">
        <v>328</v>
      </c>
      <c r="D6260" s="441">
        <v>68.56</v>
      </c>
    </row>
    <row r="6261" spans="1:4" ht="31.5" customHeight="1">
      <c r="A6261" s="120">
        <v>87878</v>
      </c>
      <c r="B6261" s="119" t="s">
        <v>7799</v>
      </c>
      <c r="C6261" s="120" t="s">
        <v>951</v>
      </c>
      <c r="D6261" s="441">
        <v>5.21</v>
      </c>
    </row>
    <row r="6262" spans="1:4" ht="31.5" customHeight="1">
      <c r="A6262" s="120">
        <v>87879</v>
      </c>
      <c r="B6262" s="119" t="s">
        <v>7800</v>
      </c>
      <c r="C6262" s="120" t="s">
        <v>951</v>
      </c>
      <c r="D6262" s="441">
        <v>4.5999999999999996</v>
      </c>
    </row>
    <row r="6263" spans="1:4" ht="31.5" customHeight="1">
      <c r="A6263" s="120">
        <v>87881</v>
      </c>
      <c r="B6263" s="119" t="s">
        <v>7801</v>
      </c>
      <c r="C6263" s="120" t="s">
        <v>951</v>
      </c>
      <c r="D6263" s="441">
        <v>7.01</v>
      </c>
    </row>
    <row r="6264" spans="1:4" ht="31.5" customHeight="1">
      <c r="A6264" s="120">
        <v>87882</v>
      </c>
      <c r="B6264" s="119" t="s">
        <v>7802</v>
      </c>
      <c r="C6264" s="120" t="s">
        <v>951</v>
      </c>
      <c r="D6264" s="441">
        <v>6.8</v>
      </c>
    </row>
    <row r="6265" spans="1:4" ht="31.5" customHeight="1">
      <c r="A6265" s="120">
        <v>87884</v>
      </c>
      <c r="B6265" s="119" t="s">
        <v>7803</v>
      </c>
      <c r="C6265" s="120" t="s">
        <v>951</v>
      </c>
      <c r="D6265" s="441">
        <v>9.36</v>
      </c>
    </row>
    <row r="6266" spans="1:4" ht="31.5" customHeight="1">
      <c r="A6266" s="120">
        <v>87885</v>
      </c>
      <c r="B6266" s="119" t="s">
        <v>7804</v>
      </c>
      <c r="C6266" s="120" t="s">
        <v>951</v>
      </c>
      <c r="D6266" s="441">
        <v>8.9</v>
      </c>
    </row>
    <row r="6267" spans="1:4" ht="31.5" customHeight="1">
      <c r="A6267" s="120">
        <v>87886</v>
      </c>
      <c r="B6267" s="119" t="s">
        <v>7805</v>
      </c>
      <c r="C6267" s="120" t="s">
        <v>951</v>
      </c>
      <c r="D6267" s="441">
        <v>16.88</v>
      </c>
    </row>
    <row r="6268" spans="1:4" ht="31.5" customHeight="1">
      <c r="A6268" s="120">
        <v>87887</v>
      </c>
      <c r="B6268" s="119" t="s">
        <v>7806</v>
      </c>
      <c r="C6268" s="120" t="s">
        <v>951</v>
      </c>
      <c r="D6268" s="441">
        <v>15.88</v>
      </c>
    </row>
    <row r="6269" spans="1:4" ht="47.25" customHeight="1">
      <c r="A6269" s="120">
        <v>87888</v>
      </c>
      <c r="B6269" s="119" t="s">
        <v>7807</v>
      </c>
      <c r="C6269" s="120" t="s">
        <v>951</v>
      </c>
      <c r="D6269" s="441">
        <v>8.93</v>
      </c>
    </row>
    <row r="6270" spans="1:4" ht="47.25" customHeight="1">
      <c r="A6270" s="120">
        <v>87889</v>
      </c>
      <c r="B6270" s="119" t="s">
        <v>7808</v>
      </c>
      <c r="C6270" s="120" t="s">
        <v>951</v>
      </c>
      <c r="D6270" s="441">
        <v>8.7200000000000006</v>
      </c>
    </row>
    <row r="6271" spans="1:4" ht="31.5" customHeight="1">
      <c r="A6271" s="120">
        <v>87891</v>
      </c>
      <c r="B6271" s="119" t="s">
        <v>7809</v>
      </c>
      <c r="C6271" s="120" t="s">
        <v>951</v>
      </c>
      <c r="D6271" s="441">
        <v>11.28</v>
      </c>
    </row>
    <row r="6272" spans="1:4" ht="47.25" customHeight="1">
      <c r="A6272" s="120">
        <v>87892</v>
      </c>
      <c r="B6272" s="119" t="s">
        <v>7810</v>
      </c>
      <c r="C6272" s="120" t="s">
        <v>951</v>
      </c>
      <c r="D6272" s="441">
        <v>10.82</v>
      </c>
    </row>
    <row r="6273" spans="1:4" ht="31.5" customHeight="1">
      <c r="A6273" s="120">
        <v>87893</v>
      </c>
      <c r="B6273" s="119" t="s">
        <v>7811</v>
      </c>
      <c r="C6273" s="120" t="s">
        <v>951</v>
      </c>
      <c r="D6273" s="441">
        <v>8.0500000000000007</v>
      </c>
    </row>
    <row r="6274" spans="1:4" ht="31.5" customHeight="1">
      <c r="A6274" s="120">
        <v>87894</v>
      </c>
      <c r="B6274" s="119" t="s">
        <v>7812</v>
      </c>
      <c r="C6274" s="120" t="s">
        <v>951</v>
      </c>
      <c r="D6274" s="441">
        <v>7.44</v>
      </c>
    </row>
    <row r="6275" spans="1:4" ht="31.5" customHeight="1">
      <c r="A6275" s="120">
        <v>87896</v>
      </c>
      <c r="B6275" s="119" t="s">
        <v>7813</v>
      </c>
      <c r="C6275" s="120" t="s">
        <v>951</v>
      </c>
      <c r="D6275" s="441">
        <v>5.82</v>
      </c>
    </row>
    <row r="6276" spans="1:4" ht="31.5" customHeight="1">
      <c r="A6276" s="120">
        <v>87897</v>
      </c>
      <c r="B6276" s="119" t="s">
        <v>7814</v>
      </c>
      <c r="C6276" s="120" t="s">
        <v>951</v>
      </c>
      <c r="D6276" s="441">
        <v>5.21</v>
      </c>
    </row>
    <row r="6277" spans="1:4" ht="47.25" customHeight="1">
      <c r="A6277" s="120">
        <v>87899</v>
      </c>
      <c r="B6277" s="119" t="s">
        <v>7815</v>
      </c>
      <c r="C6277" s="120" t="s">
        <v>951</v>
      </c>
      <c r="D6277" s="441">
        <v>9.77</v>
      </c>
    </row>
    <row r="6278" spans="1:4" ht="47.25" customHeight="1">
      <c r="A6278" s="120">
        <v>87900</v>
      </c>
      <c r="B6278" s="119" t="s">
        <v>7816</v>
      </c>
      <c r="C6278" s="120" t="s">
        <v>951</v>
      </c>
      <c r="D6278" s="441">
        <v>9.56</v>
      </c>
    </row>
    <row r="6279" spans="1:4" ht="31.5" customHeight="1">
      <c r="A6279" s="120">
        <v>87902</v>
      </c>
      <c r="B6279" s="119" t="s">
        <v>7817</v>
      </c>
      <c r="C6279" s="120" t="s">
        <v>951</v>
      </c>
      <c r="D6279" s="441">
        <v>12.12</v>
      </c>
    </row>
    <row r="6280" spans="1:4" ht="47.25" customHeight="1">
      <c r="A6280" s="120">
        <v>87903</v>
      </c>
      <c r="B6280" s="119" t="s">
        <v>7818</v>
      </c>
      <c r="C6280" s="120" t="s">
        <v>951</v>
      </c>
      <c r="D6280" s="441">
        <v>11.66</v>
      </c>
    </row>
    <row r="6281" spans="1:4" ht="31.5" customHeight="1">
      <c r="A6281" s="120">
        <v>87904</v>
      </c>
      <c r="B6281" s="119" t="s">
        <v>7819</v>
      </c>
      <c r="C6281" s="120" t="s">
        <v>951</v>
      </c>
      <c r="D6281" s="441">
        <v>9.41</v>
      </c>
    </row>
    <row r="6282" spans="1:4" ht="31.5" customHeight="1">
      <c r="A6282" s="120">
        <v>87905</v>
      </c>
      <c r="B6282" s="119" t="s">
        <v>7820</v>
      </c>
      <c r="C6282" s="120" t="s">
        <v>951</v>
      </c>
      <c r="D6282" s="441">
        <v>8.8000000000000007</v>
      </c>
    </row>
    <row r="6283" spans="1:4" ht="31.5" customHeight="1">
      <c r="A6283" s="120">
        <v>87907</v>
      </c>
      <c r="B6283" s="119" t="s">
        <v>7821</v>
      </c>
      <c r="C6283" s="120" t="s">
        <v>951</v>
      </c>
      <c r="D6283" s="441">
        <v>7.04</v>
      </c>
    </row>
    <row r="6284" spans="1:4" ht="31.5" customHeight="1">
      <c r="A6284" s="120">
        <v>87908</v>
      </c>
      <c r="B6284" s="119" t="s">
        <v>7822</v>
      </c>
      <c r="C6284" s="120" t="s">
        <v>951</v>
      </c>
      <c r="D6284" s="441">
        <v>6.43</v>
      </c>
    </row>
    <row r="6285" spans="1:4" ht="31.5" customHeight="1">
      <c r="A6285" s="120">
        <v>87910</v>
      </c>
      <c r="B6285" s="119" t="s">
        <v>7823</v>
      </c>
      <c r="C6285" s="120" t="s">
        <v>951</v>
      </c>
      <c r="D6285" s="441">
        <v>23.28</v>
      </c>
    </row>
    <row r="6286" spans="1:4" ht="31.5" customHeight="1">
      <c r="A6286" s="120">
        <v>87911</v>
      </c>
      <c r="B6286" s="119" t="s">
        <v>7824</v>
      </c>
      <c r="C6286" s="120" t="s">
        <v>951</v>
      </c>
      <c r="D6286" s="441">
        <v>22.28</v>
      </c>
    </row>
    <row r="6287" spans="1:4" ht="31.5" customHeight="1">
      <c r="A6287" s="120">
        <v>104410</v>
      </c>
      <c r="B6287" s="119" t="s">
        <v>7825</v>
      </c>
      <c r="C6287" s="120" t="s">
        <v>951</v>
      </c>
      <c r="D6287" s="441">
        <v>5.26</v>
      </c>
    </row>
    <row r="6288" spans="1:4" ht="31.5" customHeight="1">
      <c r="A6288" s="120">
        <v>104411</v>
      </c>
      <c r="B6288" s="119" t="s">
        <v>7826</v>
      </c>
      <c r="C6288" s="120" t="s">
        <v>951</v>
      </c>
      <c r="D6288" s="441">
        <v>5.26</v>
      </c>
    </row>
    <row r="6289" spans="1:4" ht="31.5" customHeight="1">
      <c r="A6289" s="120">
        <v>87411</v>
      </c>
      <c r="B6289" s="119" t="s">
        <v>7827</v>
      </c>
      <c r="C6289" s="120" t="s">
        <v>951</v>
      </c>
      <c r="D6289" s="441">
        <v>18.36</v>
      </c>
    </row>
    <row r="6290" spans="1:4" ht="31.5" customHeight="1">
      <c r="A6290" s="120">
        <v>87412</v>
      </c>
      <c r="B6290" s="119" t="s">
        <v>7828</v>
      </c>
      <c r="C6290" s="120" t="s">
        <v>951</v>
      </c>
      <c r="D6290" s="441">
        <v>26.79</v>
      </c>
    </row>
    <row r="6291" spans="1:4" ht="31.5" customHeight="1">
      <c r="A6291" s="120">
        <v>87413</v>
      </c>
      <c r="B6291" s="119" t="s">
        <v>7829</v>
      </c>
      <c r="C6291" s="120" t="s">
        <v>951</v>
      </c>
      <c r="D6291" s="441">
        <v>31.59</v>
      </c>
    </row>
    <row r="6292" spans="1:4" ht="31.5" customHeight="1">
      <c r="A6292" s="120">
        <v>87414</v>
      </c>
      <c r="B6292" s="119" t="s">
        <v>7830</v>
      </c>
      <c r="C6292" s="120" t="s">
        <v>951</v>
      </c>
      <c r="D6292" s="441">
        <v>26.88</v>
      </c>
    </row>
    <row r="6293" spans="1:4" ht="31.5" customHeight="1">
      <c r="A6293" s="120">
        <v>87415</v>
      </c>
      <c r="B6293" s="119" t="s">
        <v>7831</v>
      </c>
      <c r="C6293" s="120" t="s">
        <v>951</v>
      </c>
      <c r="D6293" s="441">
        <v>35.06</v>
      </c>
    </row>
    <row r="6294" spans="1:4" ht="31.5" customHeight="1">
      <c r="A6294" s="120">
        <v>87416</v>
      </c>
      <c r="B6294" s="119" t="s">
        <v>7832</v>
      </c>
      <c r="C6294" s="120" t="s">
        <v>951</v>
      </c>
      <c r="D6294" s="441">
        <v>40.17</v>
      </c>
    </row>
    <row r="6295" spans="1:4" ht="31.5" customHeight="1">
      <c r="A6295" s="120">
        <v>87417</v>
      </c>
      <c r="B6295" s="119" t="s">
        <v>7833</v>
      </c>
      <c r="C6295" s="120" t="s">
        <v>951</v>
      </c>
      <c r="D6295" s="441">
        <v>19.55</v>
      </c>
    </row>
    <row r="6296" spans="1:4" ht="31.5" customHeight="1">
      <c r="A6296" s="120">
        <v>87418</v>
      </c>
      <c r="B6296" s="119" t="s">
        <v>7834</v>
      </c>
      <c r="C6296" s="120" t="s">
        <v>951</v>
      </c>
      <c r="D6296" s="441">
        <v>20.170000000000002</v>
      </c>
    </row>
    <row r="6297" spans="1:4" ht="31.5" customHeight="1">
      <c r="A6297" s="120">
        <v>87419</v>
      </c>
      <c r="B6297" s="119" t="s">
        <v>7835</v>
      </c>
      <c r="C6297" s="120" t="s">
        <v>951</v>
      </c>
      <c r="D6297" s="441">
        <v>21.98</v>
      </c>
    </row>
    <row r="6298" spans="1:4" ht="31.5" customHeight="1">
      <c r="A6298" s="120">
        <v>87420</v>
      </c>
      <c r="B6298" s="119" t="s">
        <v>7836</v>
      </c>
      <c r="C6298" s="120" t="s">
        <v>951</v>
      </c>
      <c r="D6298" s="441">
        <v>29.01</v>
      </c>
    </row>
    <row r="6299" spans="1:4" ht="31.5" customHeight="1">
      <c r="A6299" s="120">
        <v>87421</v>
      </c>
      <c r="B6299" s="119" t="s">
        <v>7837</v>
      </c>
      <c r="C6299" s="120" t="s">
        <v>951</v>
      </c>
      <c r="D6299" s="441">
        <v>29.64</v>
      </c>
    </row>
    <row r="6300" spans="1:4" ht="31.5" customHeight="1">
      <c r="A6300" s="120">
        <v>87422</v>
      </c>
      <c r="B6300" s="119" t="s">
        <v>7838</v>
      </c>
      <c r="C6300" s="120" t="s">
        <v>951</v>
      </c>
      <c r="D6300" s="441">
        <v>31.45</v>
      </c>
    </row>
    <row r="6301" spans="1:4" ht="31.5" customHeight="1">
      <c r="A6301" s="120">
        <v>87423</v>
      </c>
      <c r="B6301" s="119" t="s">
        <v>7839</v>
      </c>
      <c r="C6301" s="120" t="s">
        <v>951</v>
      </c>
      <c r="D6301" s="441">
        <v>39.24</v>
      </c>
    </row>
    <row r="6302" spans="1:4" ht="31.5" customHeight="1">
      <c r="A6302" s="120">
        <v>87424</v>
      </c>
      <c r="B6302" s="119" t="s">
        <v>7840</v>
      </c>
      <c r="C6302" s="120" t="s">
        <v>951</v>
      </c>
      <c r="D6302" s="441">
        <v>40.17</v>
      </c>
    </row>
    <row r="6303" spans="1:4" ht="31.5" customHeight="1">
      <c r="A6303" s="120">
        <v>87425</v>
      </c>
      <c r="B6303" s="119" t="s">
        <v>7841</v>
      </c>
      <c r="C6303" s="120" t="s">
        <v>951</v>
      </c>
      <c r="D6303" s="441">
        <v>41.67</v>
      </c>
    </row>
    <row r="6304" spans="1:4" ht="31.5" customHeight="1">
      <c r="A6304" s="120">
        <v>87426</v>
      </c>
      <c r="B6304" s="119" t="s">
        <v>7842</v>
      </c>
      <c r="C6304" s="120" t="s">
        <v>951</v>
      </c>
      <c r="D6304" s="441">
        <v>45.8</v>
      </c>
    </row>
    <row r="6305" spans="1:4" ht="31.5" customHeight="1">
      <c r="A6305" s="120">
        <v>87427</v>
      </c>
      <c r="B6305" s="119" t="s">
        <v>7843</v>
      </c>
      <c r="C6305" s="120" t="s">
        <v>951</v>
      </c>
      <c r="D6305" s="441">
        <v>46.73</v>
      </c>
    </row>
    <row r="6306" spans="1:4" ht="31.5" customHeight="1">
      <c r="A6306" s="120">
        <v>87428</v>
      </c>
      <c r="B6306" s="119" t="s">
        <v>7844</v>
      </c>
      <c r="C6306" s="120" t="s">
        <v>951</v>
      </c>
      <c r="D6306" s="441">
        <v>48.24</v>
      </c>
    </row>
    <row r="6307" spans="1:4" ht="31.5" customHeight="1">
      <c r="A6307" s="120">
        <v>87429</v>
      </c>
      <c r="B6307" s="119" t="s">
        <v>7845</v>
      </c>
      <c r="C6307" s="120" t="s">
        <v>951</v>
      </c>
      <c r="D6307" s="441">
        <v>20.170000000000002</v>
      </c>
    </row>
    <row r="6308" spans="1:4" ht="31.5" customHeight="1">
      <c r="A6308" s="120">
        <v>87430</v>
      </c>
      <c r="B6308" s="119" t="s">
        <v>7846</v>
      </c>
      <c r="C6308" s="120" t="s">
        <v>951</v>
      </c>
      <c r="D6308" s="441">
        <v>20.79</v>
      </c>
    </row>
    <row r="6309" spans="1:4" ht="31.5" customHeight="1">
      <c r="A6309" s="120">
        <v>87431</v>
      </c>
      <c r="B6309" s="119" t="s">
        <v>7847</v>
      </c>
      <c r="C6309" s="120" t="s">
        <v>951</v>
      </c>
      <c r="D6309" s="441">
        <v>21.1</v>
      </c>
    </row>
    <row r="6310" spans="1:4" ht="31.5" customHeight="1">
      <c r="A6310" s="120">
        <v>87432</v>
      </c>
      <c r="B6310" s="119" t="s">
        <v>7848</v>
      </c>
      <c r="C6310" s="120" t="s">
        <v>951</v>
      </c>
      <c r="D6310" s="441">
        <v>27.96</v>
      </c>
    </row>
    <row r="6311" spans="1:4" ht="31.5" customHeight="1">
      <c r="A6311" s="120">
        <v>87433</v>
      </c>
      <c r="B6311" s="119" t="s">
        <v>7849</v>
      </c>
      <c r="C6311" s="120" t="s">
        <v>951</v>
      </c>
      <c r="D6311" s="441">
        <v>29.21</v>
      </c>
    </row>
    <row r="6312" spans="1:4" ht="31.5" customHeight="1">
      <c r="A6312" s="120">
        <v>87434</v>
      </c>
      <c r="B6312" s="119" t="s">
        <v>7850</v>
      </c>
      <c r="C6312" s="120" t="s">
        <v>951</v>
      </c>
      <c r="D6312" s="441">
        <v>30.09</v>
      </c>
    </row>
    <row r="6313" spans="1:4" ht="31.5" customHeight="1">
      <c r="A6313" s="120">
        <v>87435</v>
      </c>
      <c r="B6313" s="119" t="s">
        <v>7851</v>
      </c>
      <c r="C6313" s="120" t="s">
        <v>951</v>
      </c>
      <c r="D6313" s="441">
        <v>31.9</v>
      </c>
    </row>
    <row r="6314" spans="1:4" ht="31.5" customHeight="1">
      <c r="A6314" s="120">
        <v>87436</v>
      </c>
      <c r="B6314" s="119" t="s">
        <v>7852</v>
      </c>
      <c r="C6314" s="120" t="s">
        <v>951</v>
      </c>
      <c r="D6314" s="441">
        <v>34.020000000000003</v>
      </c>
    </row>
    <row r="6315" spans="1:4" ht="31.5" customHeight="1">
      <c r="A6315" s="120">
        <v>87437</v>
      </c>
      <c r="B6315" s="119" t="s">
        <v>7853</v>
      </c>
      <c r="C6315" s="120" t="s">
        <v>951</v>
      </c>
      <c r="D6315" s="441">
        <v>35.520000000000003</v>
      </c>
    </row>
    <row r="6316" spans="1:4" ht="31.5" customHeight="1">
      <c r="A6316" s="120">
        <v>87438</v>
      </c>
      <c r="B6316" s="119" t="s">
        <v>7854</v>
      </c>
      <c r="C6316" s="120" t="s">
        <v>951</v>
      </c>
      <c r="D6316" s="441">
        <v>38.86</v>
      </c>
    </row>
    <row r="6317" spans="1:4" ht="31.5" customHeight="1">
      <c r="A6317" s="120">
        <v>87439</v>
      </c>
      <c r="B6317" s="119" t="s">
        <v>7855</v>
      </c>
      <c r="C6317" s="120" t="s">
        <v>951</v>
      </c>
      <c r="D6317" s="441">
        <v>41.54</v>
      </c>
    </row>
    <row r="6318" spans="1:4" ht="31.5" customHeight="1">
      <c r="A6318" s="120">
        <v>87440</v>
      </c>
      <c r="B6318" s="119" t="s">
        <v>7856</v>
      </c>
      <c r="C6318" s="120" t="s">
        <v>951</v>
      </c>
      <c r="D6318" s="441">
        <v>42.79</v>
      </c>
    </row>
    <row r="6319" spans="1:4" ht="47.25" customHeight="1">
      <c r="A6319" s="120">
        <v>87527</v>
      </c>
      <c r="B6319" s="119" t="s">
        <v>7857</v>
      </c>
      <c r="C6319" s="120" t="s">
        <v>951</v>
      </c>
      <c r="D6319" s="441">
        <v>42.31</v>
      </c>
    </row>
    <row r="6320" spans="1:4" ht="47.25" customHeight="1">
      <c r="A6320" s="120">
        <v>87528</v>
      </c>
      <c r="B6320" s="119" t="s">
        <v>7858</v>
      </c>
      <c r="C6320" s="120" t="s">
        <v>951</v>
      </c>
      <c r="D6320" s="441">
        <v>48.29</v>
      </c>
    </row>
    <row r="6321" spans="1:4" ht="47.25" customHeight="1">
      <c r="A6321" s="120">
        <v>87529</v>
      </c>
      <c r="B6321" s="119" t="s">
        <v>7859</v>
      </c>
      <c r="C6321" s="120" t="s">
        <v>951</v>
      </c>
      <c r="D6321" s="441">
        <v>37.72</v>
      </c>
    </row>
    <row r="6322" spans="1:4" ht="47.25" customHeight="1">
      <c r="A6322" s="120">
        <v>87530</v>
      </c>
      <c r="B6322" s="119" t="s">
        <v>7860</v>
      </c>
      <c r="C6322" s="120" t="s">
        <v>951</v>
      </c>
      <c r="D6322" s="441">
        <v>43.7</v>
      </c>
    </row>
    <row r="6323" spans="1:4" ht="47.25" customHeight="1">
      <c r="A6323" s="120">
        <v>87531</v>
      </c>
      <c r="B6323" s="119" t="s">
        <v>7861</v>
      </c>
      <c r="C6323" s="120" t="s">
        <v>951</v>
      </c>
      <c r="D6323" s="441">
        <v>36.090000000000003</v>
      </c>
    </row>
    <row r="6324" spans="1:4" ht="47.25" customHeight="1">
      <c r="A6324" s="120">
        <v>87532</v>
      </c>
      <c r="B6324" s="119" t="s">
        <v>7862</v>
      </c>
      <c r="C6324" s="120" t="s">
        <v>951</v>
      </c>
      <c r="D6324" s="441">
        <v>42.07</v>
      </c>
    </row>
    <row r="6325" spans="1:4" ht="47.25" customHeight="1">
      <c r="A6325" s="120">
        <v>87535</v>
      </c>
      <c r="B6325" s="119" t="s">
        <v>7863</v>
      </c>
      <c r="C6325" s="120" t="s">
        <v>951</v>
      </c>
      <c r="D6325" s="441">
        <v>31.51</v>
      </c>
    </row>
    <row r="6326" spans="1:4" ht="47.25" customHeight="1">
      <c r="A6326" s="120">
        <v>87536</v>
      </c>
      <c r="B6326" s="119" t="s">
        <v>7864</v>
      </c>
      <c r="C6326" s="120" t="s">
        <v>951</v>
      </c>
      <c r="D6326" s="441">
        <v>37.49</v>
      </c>
    </row>
    <row r="6327" spans="1:4" ht="47.25" customHeight="1">
      <c r="A6327" s="120">
        <v>87537</v>
      </c>
      <c r="B6327" s="119" t="s">
        <v>7865</v>
      </c>
      <c r="C6327" s="120" t="s">
        <v>951</v>
      </c>
      <c r="D6327" s="441">
        <v>79.39</v>
      </c>
    </row>
    <row r="6328" spans="1:4" ht="47.25" customHeight="1">
      <c r="A6328" s="120">
        <v>87538</v>
      </c>
      <c r="B6328" s="119" t="s">
        <v>7866</v>
      </c>
      <c r="C6328" s="120" t="s">
        <v>951</v>
      </c>
      <c r="D6328" s="441">
        <v>75.459999999999994</v>
      </c>
    </row>
    <row r="6329" spans="1:4" ht="47.25" customHeight="1">
      <c r="A6329" s="120">
        <v>87539</v>
      </c>
      <c r="B6329" s="119" t="s">
        <v>7867</v>
      </c>
      <c r="C6329" s="120" t="s">
        <v>951</v>
      </c>
      <c r="D6329" s="441">
        <v>74.06</v>
      </c>
    </row>
    <row r="6330" spans="1:4" ht="47.25" customHeight="1">
      <c r="A6330" s="120">
        <v>87541</v>
      </c>
      <c r="B6330" s="119" t="s">
        <v>7868</v>
      </c>
      <c r="C6330" s="120" t="s">
        <v>951</v>
      </c>
      <c r="D6330" s="441">
        <v>70.12</v>
      </c>
    </row>
    <row r="6331" spans="1:4" ht="47.25" customHeight="1">
      <c r="A6331" s="120">
        <v>87543</v>
      </c>
      <c r="B6331" s="119" t="s">
        <v>7869</v>
      </c>
      <c r="C6331" s="120" t="s">
        <v>951</v>
      </c>
      <c r="D6331" s="441">
        <v>25.2</v>
      </c>
    </row>
    <row r="6332" spans="1:4" ht="47.25" customHeight="1">
      <c r="A6332" s="120">
        <v>87545</v>
      </c>
      <c r="B6332" s="119" t="s">
        <v>7870</v>
      </c>
      <c r="C6332" s="120" t="s">
        <v>951</v>
      </c>
      <c r="D6332" s="441">
        <v>29.43</v>
      </c>
    </row>
    <row r="6333" spans="1:4" ht="47.25" customHeight="1">
      <c r="A6333" s="120">
        <v>87546</v>
      </c>
      <c r="B6333" s="119" t="s">
        <v>7871</v>
      </c>
      <c r="C6333" s="120" t="s">
        <v>951</v>
      </c>
      <c r="D6333" s="441">
        <v>32.82</v>
      </c>
    </row>
    <row r="6334" spans="1:4" ht="47.25" customHeight="1">
      <c r="A6334" s="120">
        <v>87547</v>
      </c>
      <c r="B6334" s="119" t="s">
        <v>7872</v>
      </c>
      <c r="C6334" s="120" t="s">
        <v>951</v>
      </c>
      <c r="D6334" s="441">
        <v>24.87</v>
      </c>
    </row>
    <row r="6335" spans="1:4" ht="47.25" customHeight="1">
      <c r="A6335" s="120">
        <v>87548</v>
      </c>
      <c r="B6335" s="119" t="s">
        <v>7873</v>
      </c>
      <c r="C6335" s="120" t="s">
        <v>951</v>
      </c>
      <c r="D6335" s="441">
        <v>28.26</v>
      </c>
    </row>
    <row r="6336" spans="1:4" ht="47.25" customHeight="1">
      <c r="A6336" s="120">
        <v>87549</v>
      </c>
      <c r="B6336" s="119" t="s">
        <v>7874</v>
      </c>
      <c r="C6336" s="120" t="s">
        <v>951</v>
      </c>
      <c r="D6336" s="441">
        <v>23.22</v>
      </c>
    </row>
    <row r="6337" spans="1:4" ht="47.25" customHeight="1">
      <c r="A6337" s="120">
        <v>87550</v>
      </c>
      <c r="B6337" s="119" t="s">
        <v>7875</v>
      </c>
      <c r="C6337" s="120" t="s">
        <v>951</v>
      </c>
      <c r="D6337" s="441">
        <v>26.61</v>
      </c>
    </row>
    <row r="6338" spans="1:4" ht="47.25" customHeight="1">
      <c r="A6338" s="120">
        <v>87553</v>
      </c>
      <c r="B6338" s="119" t="s">
        <v>7876</v>
      </c>
      <c r="C6338" s="120" t="s">
        <v>951</v>
      </c>
      <c r="D6338" s="441">
        <v>18.63</v>
      </c>
    </row>
    <row r="6339" spans="1:4" ht="47.25" customHeight="1">
      <c r="A6339" s="120">
        <v>87554</v>
      </c>
      <c r="B6339" s="119" t="s">
        <v>7877</v>
      </c>
      <c r="C6339" s="120" t="s">
        <v>951</v>
      </c>
      <c r="D6339" s="441">
        <v>22.02</v>
      </c>
    </row>
    <row r="6340" spans="1:4" ht="47.25" customHeight="1">
      <c r="A6340" s="120">
        <v>87555</v>
      </c>
      <c r="B6340" s="119" t="s">
        <v>7878</v>
      </c>
      <c r="C6340" s="120" t="s">
        <v>951</v>
      </c>
      <c r="D6340" s="441">
        <v>49.04</v>
      </c>
    </row>
    <row r="6341" spans="1:4" ht="47.25" customHeight="1">
      <c r="A6341" s="120">
        <v>87556</v>
      </c>
      <c r="B6341" s="119" t="s">
        <v>7879</v>
      </c>
      <c r="C6341" s="120" t="s">
        <v>951</v>
      </c>
      <c r="D6341" s="441">
        <v>45.13</v>
      </c>
    </row>
    <row r="6342" spans="1:4" ht="47.25" customHeight="1">
      <c r="A6342" s="120">
        <v>87557</v>
      </c>
      <c r="B6342" s="119" t="s">
        <v>7880</v>
      </c>
      <c r="C6342" s="120" t="s">
        <v>951</v>
      </c>
      <c r="D6342" s="441">
        <v>43.7</v>
      </c>
    </row>
    <row r="6343" spans="1:4" ht="47.25" customHeight="1">
      <c r="A6343" s="120">
        <v>87559</v>
      </c>
      <c r="B6343" s="119" t="s">
        <v>7881</v>
      </c>
      <c r="C6343" s="120" t="s">
        <v>951</v>
      </c>
      <c r="D6343" s="441">
        <v>39.770000000000003</v>
      </c>
    </row>
    <row r="6344" spans="1:4" ht="47.25" customHeight="1">
      <c r="A6344" s="120">
        <v>87561</v>
      </c>
      <c r="B6344" s="119" t="s">
        <v>7882</v>
      </c>
      <c r="C6344" s="120" t="s">
        <v>951</v>
      </c>
      <c r="D6344" s="441">
        <v>44.05</v>
      </c>
    </row>
    <row r="6345" spans="1:4" ht="31.5" customHeight="1">
      <c r="A6345" s="120">
        <v>87775</v>
      </c>
      <c r="B6345" s="119" t="s">
        <v>7883</v>
      </c>
      <c r="C6345" s="120" t="s">
        <v>951</v>
      </c>
      <c r="D6345" s="441">
        <v>57.44</v>
      </c>
    </row>
    <row r="6346" spans="1:4" ht="31.5" customHeight="1">
      <c r="A6346" s="120">
        <v>87777</v>
      </c>
      <c r="B6346" s="119" t="s">
        <v>7884</v>
      </c>
      <c r="C6346" s="120" t="s">
        <v>951</v>
      </c>
      <c r="D6346" s="441">
        <v>62.44</v>
      </c>
    </row>
    <row r="6347" spans="1:4" ht="47.25" customHeight="1">
      <c r="A6347" s="120">
        <v>87778</v>
      </c>
      <c r="B6347" s="119" t="s">
        <v>7885</v>
      </c>
      <c r="C6347" s="120" t="s">
        <v>951</v>
      </c>
      <c r="D6347" s="441">
        <v>88.94</v>
      </c>
    </row>
    <row r="6348" spans="1:4" ht="31.5" customHeight="1">
      <c r="A6348" s="120">
        <v>87779</v>
      </c>
      <c r="B6348" s="119" t="s">
        <v>7886</v>
      </c>
      <c r="C6348" s="120" t="s">
        <v>951</v>
      </c>
      <c r="D6348" s="441">
        <v>73.56</v>
      </c>
    </row>
    <row r="6349" spans="1:4" ht="31.5" customHeight="1">
      <c r="A6349" s="120">
        <v>87781</v>
      </c>
      <c r="B6349" s="119" t="s">
        <v>7887</v>
      </c>
      <c r="C6349" s="120" t="s">
        <v>951</v>
      </c>
      <c r="D6349" s="441">
        <v>80.260000000000005</v>
      </c>
    </row>
    <row r="6350" spans="1:4" ht="47.25" customHeight="1">
      <c r="A6350" s="120">
        <v>87783</v>
      </c>
      <c r="B6350" s="119" t="s">
        <v>7888</v>
      </c>
      <c r="C6350" s="120" t="s">
        <v>951</v>
      </c>
      <c r="D6350" s="441">
        <v>116.09</v>
      </c>
    </row>
    <row r="6351" spans="1:4" ht="31.5" customHeight="1">
      <c r="A6351" s="120">
        <v>87784</v>
      </c>
      <c r="B6351" s="119" t="s">
        <v>7889</v>
      </c>
      <c r="C6351" s="120" t="s">
        <v>951</v>
      </c>
      <c r="D6351" s="441">
        <v>78.72</v>
      </c>
    </row>
    <row r="6352" spans="1:4" ht="31.5" customHeight="1">
      <c r="A6352" s="120">
        <v>87786</v>
      </c>
      <c r="B6352" s="119" t="s">
        <v>7890</v>
      </c>
      <c r="C6352" s="120" t="s">
        <v>951</v>
      </c>
      <c r="D6352" s="441">
        <v>87.13</v>
      </c>
    </row>
    <row r="6353" spans="1:4" ht="47.25" customHeight="1">
      <c r="A6353" s="120">
        <v>87787</v>
      </c>
      <c r="B6353" s="119" t="s">
        <v>7891</v>
      </c>
      <c r="C6353" s="120" t="s">
        <v>951</v>
      </c>
      <c r="D6353" s="441">
        <v>133.19999999999999</v>
      </c>
    </row>
    <row r="6354" spans="1:4" ht="47.25" customHeight="1">
      <c r="A6354" s="120">
        <v>87788</v>
      </c>
      <c r="B6354" s="119" t="s">
        <v>7892</v>
      </c>
      <c r="C6354" s="120" t="s">
        <v>951</v>
      </c>
      <c r="D6354" s="441">
        <v>93.74</v>
      </c>
    </row>
    <row r="6355" spans="1:4" ht="31.5" customHeight="1">
      <c r="A6355" s="120">
        <v>87790</v>
      </c>
      <c r="B6355" s="119" t="s">
        <v>7893</v>
      </c>
      <c r="C6355" s="120" t="s">
        <v>951</v>
      </c>
      <c r="D6355" s="441">
        <v>102.99</v>
      </c>
    </row>
    <row r="6356" spans="1:4" ht="47.25" customHeight="1">
      <c r="A6356" s="120">
        <v>87791</v>
      </c>
      <c r="B6356" s="119" t="s">
        <v>7894</v>
      </c>
      <c r="C6356" s="120" t="s">
        <v>951</v>
      </c>
      <c r="D6356" s="441">
        <v>146.82</v>
      </c>
    </row>
    <row r="6357" spans="1:4" ht="31.5" customHeight="1">
      <c r="A6357" s="120">
        <v>87792</v>
      </c>
      <c r="B6357" s="119" t="s">
        <v>7895</v>
      </c>
      <c r="C6357" s="120" t="s">
        <v>951</v>
      </c>
      <c r="D6357" s="441">
        <v>41.29</v>
      </c>
    </row>
    <row r="6358" spans="1:4" ht="31.5" customHeight="1">
      <c r="A6358" s="120">
        <v>87794</v>
      </c>
      <c r="B6358" s="119" t="s">
        <v>7896</v>
      </c>
      <c r="C6358" s="120" t="s">
        <v>951</v>
      </c>
      <c r="D6358" s="441">
        <v>45.96</v>
      </c>
    </row>
    <row r="6359" spans="1:4" ht="47.25" customHeight="1">
      <c r="A6359" s="120">
        <v>87795</v>
      </c>
      <c r="B6359" s="119" t="s">
        <v>7897</v>
      </c>
      <c r="C6359" s="120" t="s">
        <v>951</v>
      </c>
      <c r="D6359" s="441">
        <v>71.88</v>
      </c>
    </row>
    <row r="6360" spans="1:4" ht="31.5" customHeight="1">
      <c r="A6360" s="120">
        <v>87797</v>
      </c>
      <c r="B6360" s="119" t="s">
        <v>7898</v>
      </c>
      <c r="C6360" s="120" t="s">
        <v>951</v>
      </c>
      <c r="D6360" s="441">
        <v>57.14</v>
      </c>
    </row>
    <row r="6361" spans="1:4" ht="31.5" customHeight="1">
      <c r="A6361" s="120">
        <v>87799</v>
      </c>
      <c r="B6361" s="119" t="s">
        <v>7899</v>
      </c>
      <c r="C6361" s="120" t="s">
        <v>951</v>
      </c>
      <c r="D6361" s="441">
        <v>63.39</v>
      </c>
    </row>
    <row r="6362" spans="1:4" ht="47.25" customHeight="1">
      <c r="A6362" s="120">
        <v>87800</v>
      </c>
      <c r="B6362" s="119" t="s">
        <v>7900</v>
      </c>
      <c r="C6362" s="120" t="s">
        <v>951</v>
      </c>
      <c r="D6362" s="441">
        <v>97.86</v>
      </c>
    </row>
    <row r="6363" spans="1:4" ht="31.5" customHeight="1">
      <c r="A6363" s="120">
        <v>87801</v>
      </c>
      <c r="B6363" s="119" t="s">
        <v>7901</v>
      </c>
      <c r="C6363" s="120" t="s">
        <v>951</v>
      </c>
      <c r="D6363" s="441">
        <v>61.96</v>
      </c>
    </row>
    <row r="6364" spans="1:4" ht="31.5" customHeight="1">
      <c r="A6364" s="120">
        <v>87803</v>
      </c>
      <c r="B6364" s="119" t="s">
        <v>7902</v>
      </c>
      <c r="C6364" s="120" t="s">
        <v>951</v>
      </c>
      <c r="D6364" s="441">
        <v>69.81</v>
      </c>
    </row>
    <row r="6365" spans="1:4" ht="47.25" customHeight="1">
      <c r="A6365" s="120">
        <v>87804</v>
      </c>
      <c r="B6365" s="119" t="s">
        <v>7903</v>
      </c>
      <c r="C6365" s="120" t="s">
        <v>951</v>
      </c>
      <c r="D6365" s="441">
        <v>113.86</v>
      </c>
    </row>
    <row r="6366" spans="1:4" ht="47.25" customHeight="1">
      <c r="A6366" s="120">
        <v>87805</v>
      </c>
      <c r="B6366" s="119" t="s">
        <v>7904</v>
      </c>
      <c r="C6366" s="120" t="s">
        <v>951</v>
      </c>
      <c r="D6366" s="441">
        <v>67.540000000000006</v>
      </c>
    </row>
    <row r="6367" spans="1:4" ht="31.5" customHeight="1">
      <c r="A6367" s="120">
        <v>87807</v>
      </c>
      <c r="B6367" s="119" t="s">
        <v>7905</v>
      </c>
      <c r="C6367" s="120" t="s">
        <v>951</v>
      </c>
      <c r="D6367" s="441">
        <v>76.19</v>
      </c>
    </row>
    <row r="6368" spans="1:4" ht="47.25" customHeight="1">
      <c r="A6368" s="120">
        <v>87808</v>
      </c>
      <c r="B6368" s="119" t="s">
        <v>7906</v>
      </c>
      <c r="C6368" s="120" t="s">
        <v>951</v>
      </c>
      <c r="D6368" s="441">
        <v>121.04</v>
      </c>
    </row>
    <row r="6369" spans="1:4" ht="47.25" customHeight="1">
      <c r="A6369" s="120">
        <v>87809</v>
      </c>
      <c r="B6369" s="119" t="s">
        <v>7907</v>
      </c>
      <c r="C6369" s="120" t="s">
        <v>951</v>
      </c>
      <c r="D6369" s="441">
        <v>84.25</v>
      </c>
    </row>
    <row r="6370" spans="1:4" ht="47.25" customHeight="1">
      <c r="A6370" s="120">
        <v>87811</v>
      </c>
      <c r="B6370" s="119" t="s">
        <v>7908</v>
      </c>
      <c r="C6370" s="120" t="s">
        <v>951</v>
      </c>
      <c r="D6370" s="441">
        <v>88.92</v>
      </c>
    </row>
    <row r="6371" spans="1:4" ht="47.25" customHeight="1">
      <c r="A6371" s="120">
        <v>87812</v>
      </c>
      <c r="B6371" s="119" t="s">
        <v>7909</v>
      </c>
      <c r="C6371" s="120" t="s">
        <v>951</v>
      </c>
      <c r="D6371" s="441">
        <v>110.57</v>
      </c>
    </row>
    <row r="6372" spans="1:4" ht="47.25" customHeight="1">
      <c r="A6372" s="120">
        <v>87813</v>
      </c>
      <c r="B6372" s="119" t="s">
        <v>7910</v>
      </c>
      <c r="C6372" s="120" t="s">
        <v>951</v>
      </c>
      <c r="D6372" s="441">
        <v>100.09</v>
      </c>
    </row>
    <row r="6373" spans="1:4" ht="47.25" customHeight="1">
      <c r="A6373" s="120">
        <v>87815</v>
      </c>
      <c r="B6373" s="119" t="s">
        <v>7911</v>
      </c>
      <c r="C6373" s="120" t="s">
        <v>951</v>
      </c>
      <c r="D6373" s="441">
        <v>106.34</v>
      </c>
    </row>
    <row r="6374" spans="1:4" ht="47.25" customHeight="1">
      <c r="A6374" s="120">
        <v>87816</v>
      </c>
      <c r="B6374" s="119" t="s">
        <v>7912</v>
      </c>
      <c r="C6374" s="120" t="s">
        <v>951</v>
      </c>
      <c r="D6374" s="441">
        <v>136.61000000000001</v>
      </c>
    </row>
    <row r="6375" spans="1:4" ht="47.25" customHeight="1">
      <c r="A6375" s="120">
        <v>87817</v>
      </c>
      <c r="B6375" s="119" t="s">
        <v>7913</v>
      </c>
      <c r="C6375" s="120" t="s">
        <v>951</v>
      </c>
      <c r="D6375" s="441">
        <v>104.91</v>
      </c>
    </row>
    <row r="6376" spans="1:4" ht="47.25" customHeight="1">
      <c r="A6376" s="120">
        <v>87819</v>
      </c>
      <c r="B6376" s="119" t="s">
        <v>7914</v>
      </c>
      <c r="C6376" s="120" t="s">
        <v>951</v>
      </c>
      <c r="D6376" s="441">
        <v>112.76</v>
      </c>
    </row>
    <row r="6377" spans="1:4" ht="47.25" customHeight="1">
      <c r="A6377" s="120">
        <v>87820</v>
      </c>
      <c r="B6377" s="119" t="s">
        <v>7915</v>
      </c>
      <c r="C6377" s="120" t="s">
        <v>951</v>
      </c>
      <c r="D6377" s="441">
        <v>152.61000000000001</v>
      </c>
    </row>
    <row r="6378" spans="1:4" ht="47.25" customHeight="1">
      <c r="A6378" s="120">
        <v>87821</v>
      </c>
      <c r="B6378" s="119" t="s">
        <v>7916</v>
      </c>
      <c r="C6378" s="120" t="s">
        <v>951</v>
      </c>
      <c r="D6378" s="441">
        <v>138.29</v>
      </c>
    </row>
    <row r="6379" spans="1:4" ht="47.25" customHeight="1">
      <c r="A6379" s="120">
        <v>87823</v>
      </c>
      <c r="B6379" s="119" t="s">
        <v>7917</v>
      </c>
      <c r="C6379" s="120" t="s">
        <v>951</v>
      </c>
      <c r="D6379" s="441">
        <v>146.94</v>
      </c>
    </row>
    <row r="6380" spans="1:4" ht="47.25" customHeight="1">
      <c r="A6380" s="120">
        <v>87824</v>
      </c>
      <c r="B6380" s="119" t="s">
        <v>7918</v>
      </c>
      <c r="C6380" s="120" t="s">
        <v>951</v>
      </c>
      <c r="D6380" s="441">
        <v>177.79</v>
      </c>
    </row>
    <row r="6381" spans="1:4" ht="47.25" customHeight="1">
      <c r="A6381" s="120">
        <v>87825</v>
      </c>
      <c r="B6381" s="119" t="s">
        <v>7919</v>
      </c>
      <c r="C6381" s="120" t="s">
        <v>951</v>
      </c>
      <c r="D6381" s="441">
        <v>77.11</v>
      </c>
    </row>
    <row r="6382" spans="1:4" ht="47.25" customHeight="1">
      <c r="A6382" s="120">
        <v>87827</v>
      </c>
      <c r="B6382" s="119" t="s">
        <v>7920</v>
      </c>
      <c r="C6382" s="120" t="s">
        <v>951</v>
      </c>
      <c r="D6382" s="441">
        <v>82.82</v>
      </c>
    </row>
    <row r="6383" spans="1:4" ht="47.25" customHeight="1">
      <c r="A6383" s="120">
        <v>87828</v>
      </c>
      <c r="B6383" s="119" t="s">
        <v>7921</v>
      </c>
      <c r="C6383" s="120" t="s">
        <v>951</v>
      </c>
      <c r="D6383" s="441">
        <v>111.85</v>
      </c>
    </row>
    <row r="6384" spans="1:4" ht="47.25" customHeight="1">
      <c r="A6384" s="120">
        <v>87829</v>
      </c>
      <c r="B6384" s="119" t="s">
        <v>7922</v>
      </c>
      <c r="C6384" s="120" t="s">
        <v>951</v>
      </c>
      <c r="D6384" s="441">
        <v>92.4</v>
      </c>
    </row>
    <row r="6385" spans="1:4" ht="47.25" customHeight="1">
      <c r="A6385" s="120">
        <v>87831</v>
      </c>
      <c r="B6385" s="119" t="s">
        <v>7923</v>
      </c>
      <c r="C6385" s="120" t="s">
        <v>951</v>
      </c>
      <c r="D6385" s="441">
        <v>100.06</v>
      </c>
    </row>
    <row r="6386" spans="1:4" ht="47.25" customHeight="1">
      <c r="A6386" s="120">
        <v>87832</v>
      </c>
      <c r="B6386" s="119" t="s">
        <v>7924</v>
      </c>
      <c r="C6386" s="120" t="s">
        <v>951</v>
      </c>
      <c r="D6386" s="441">
        <v>139.91</v>
      </c>
    </row>
    <row r="6387" spans="1:4" ht="31.5" customHeight="1">
      <c r="A6387" s="120">
        <v>87834</v>
      </c>
      <c r="B6387" s="119" t="s">
        <v>7925</v>
      </c>
      <c r="C6387" s="120" t="s">
        <v>951</v>
      </c>
      <c r="D6387" s="441">
        <v>181.84</v>
      </c>
    </row>
    <row r="6388" spans="1:4" ht="31.5" customHeight="1">
      <c r="A6388" s="120">
        <v>87835</v>
      </c>
      <c r="B6388" s="119" t="s">
        <v>7926</v>
      </c>
      <c r="C6388" s="120" t="s">
        <v>951</v>
      </c>
      <c r="D6388" s="441">
        <v>127.36</v>
      </c>
    </row>
    <row r="6389" spans="1:4" ht="31.5" customHeight="1">
      <c r="A6389" s="120">
        <v>87836</v>
      </c>
      <c r="B6389" s="119" t="s">
        <v>7927</v>
      </c>
      <c r="C6389" s="120" t="s">
        <v>951</v>
      </c>
      <c r="D6389" s="441">
        <v>172.05</v>
      </c>
    </row>
    <row r="6390" spans="1:4" ht="31.5" customHeight="1">
      <c r="A6390" s="120">
        <v>87837</v>
      </c>
      <c r="B6390" s="119" t="s">
        <v>7928</v>
      </c>
      <c r="C6390" s="120" t="s">
        <v>951</v>
      </c>
      <c r="D6390" s="441">
        <v>118.65</v>
      </c>
    </row>
    <row r="6391" spans="1:4" ht="31.5" customHeight="1">
      <c r="A6391" s="120">
        <v>87838</v>
      </c>
      <c r="B6391" s="119" t="s">
        <v>7929</v>
      </c>
      <c r="C6391" s="120" t="s">
        <v>951</v>
      </c>
      <c r="D6391" s="441">
        <v>190.06</v>
      </c>
    </row>
    <row r="6392" spans="1:4" ht="31.5" customHeight="1">
      <c r="A6392" s="120">
        <v>87839</v>
      </c>
      <c r="B6392" s="119" t="s">
        <v>7930</v>
      </c>
      <c r="C6392" s="120" t="s">
        <v>951</v>
      </c>
      <c r="D6392" s="441">
        <v>134.15</v>
      </c>
    </row>
    <row r="6393" spans="1:4" ht="47.25" customHeight="1">
      <c r="A6393" s="120">
        <v>87840</v>
      </c>
      <c r="B6393" s="119" t="s">
        <v>7931</v>
      </c>
      <c r="C6393" s="120" t="s">
        <v>951</v>
      </c>
      <c r="D6393" s="441">
        <v>177.98</v>
      </c>
    </row>
    <row r="6394" spans="1:4" ht="47.25" customHeight="1">
      <c r="A6394" s="120">
        <v>87841</v>
      </c>
      <c r="B6394" s="119" t="s">
        <v>7932</v>
      </c>
      <c r="C6394" s="120" t="s">
        <v>951</v>
      </c>
      <c r="D6394" s="441">
        <v>123.11</v>
      </c>
    </row>
    <row r="6395" spans="1:4" ht="31.5" customHeight="1">
      <c r="A6395" s="120">
        <v>87842</v>
      </c>
      <c r="B6395" s="119" t="s">
        <v>7933</v>
      </c>
      <c r="C6395" s="120" t="s">
        <v>951</v>
      </c>
      <c r="D6395" s="441">
        <v>198.21</v>
      </c>
    </row>
    <row r="6396" spans="1:4" ht="31.5" customHeight="1">
      <c r="A6396" s="120">
        <v>87843</v>
      </c>
      <c r="B6396" s="119" t="s">
        <v>7934</v>
      </c>
      <c r="C6396" s="120" t="s">
        <v>951</v>
      </c>
      <c r="D6396" s="441">
        <v>148.44999999999999</v>
      </c>
    </row>
    <row r="6397" spans="1:4" ht="31.5" customHeight="1">
      <c r="A6397" s="120">
        <v>87844</v>
      </c>
      <c r="B6397" s="119" t="s">
        <v>7935</v>
      </c>
      <c r="C6397" s="120" t="s">
        <v>951</v>
      </c>
      <c r="D6397" s="441">
        <v>180.02</v>
      </c>
    </row>
    <row r="6398" spans="1:4" ht="31.5" customHeight="1">
      <c r="A6398" s="120">
        <v>87845</v>
      </c>
      <c r="B6398" s="119" t="s">
        <v>7936</v>
      </c>
      <c r="C6398" s="120" t="s">
        <v>951</v>
      </c>
      <c r="D6398" s="441">
        <v>131.35</v>
      </c>
    </row>
    <row r="6399" spans="1:4" ht="31.5" customHeight="1">
      <c r="A6399" s="120">
        <v>87846</v>
      </c>
      <c r="B6399" s="119" t="s">
        <v>7937</v>
      </c>
      <c r="C6399" s="120" t="s">
        <v>951</v>
      </c>
      <c r="D6399" s="441">
        <v>198.28</v>
      </c>
    </row>
    <row r="6400" spans="1:4" ht="31.5" customHeight="1">
      <c r="A6400" s="120">
        <v>87847</v>
      </c>
      <c r="B6400" s="119" t="s">
        <v>7938</v>
      </c>
      <c r="C6400" s="120" t="s">
        <v>951</v>
      </c>
      <c r="D6400" s="441">
        <v>143.81</v>
      </c>
    </row>
    <row r="6401" spans="1:4" ht="31.5" customHeight="1">
      <c r="A6401" s="120">
        <v>87848</v>
      </c>
      <c r="B6401" s="119" t="s">
        <v>7939</v>
      </c>
      <c r="C6401" s="120" t="s">
        <v>951</v>
      </c>
      <c r="D6401" s="441">
        <v>186.75</v>
      </c>
    </row>
    <row r="6402" spans="1:4" ht="31.5" customHeight="1">
      <c r="A6402" s="120">
        <v>87849</v>
      </c>
      <c r="B6402" s="119" t="s">
        <v>7940</v>
      </c>
      <c r="C6402" s="120" t="s">
        <v>951</v>
      </c>
      <c r="D6402" s="441">
        <v>133.34</v>
      </c>
    </row>
    <row r="6403" spans="1:4" ht="31.5" customHeight="1">
      <c r="A6403" s="120">
        <v>87850</v>
      </c>
      <c r="B6403" s="119" t="s">
        <v>7941</v>
      </c>
      <c r="C6403" s="120" t="s">
        <v>951</v>
      </c>
      <c r="D6403" s="441">
        <v>206.54</v>
      </c>
    </row>
    <row r="6404" spans="1:4" ht="31.5" customHeight="1">
      <c r="A6404" s="120">
        <v>87851</v>
      </c>
      <c r="B6404" s="119" t="s">
        <v>7942</v>
      </c>
      <c r="C6404" s="120" t="s">
        <v>951</v>
      </c>
      <c r="D6404" s="441">
        <v>150.63</v>
      </c>
    </row>
    <row r="6405" spans="1:4" ht="47.25" customHeight="1">
      <c r="A6405" s="120">
        <v>87852</v>
      </c>
      <c r="B6405" s="119" t="s">
        <v>7943</v>
      </c>
      <c r="C6405" s="120" t="s">
        <v>951</v>
      </c>
      <c r="D6405" s="441">
        <v>192.64</v>
      </c>
    </row>
    <row r="6406" spans="1:4" ht="47.25" customHeight="1">
      <c r="A6406" s="120">
        <v>87853</v>
      </c>
      <c r="B6406" s="119" t="s">
        <v>7944</v>
      </c>
      <c r="C6406" s="120" t="s">
        <v>951</v>
      </c>
      <c r="D6406" s="441">
        <v>137.77000000000001</v>
      </c>
    </row>
    <row r="6407" spans="1:4" ht="31.5" customHeight="1">
      <c r="A6407" s="120">
        <v>87854</v>
      </c>
      <c r="B6407" s="119" t="s">
        <v>7945</v>
      </c>
      <c r="C6407" s="120" t="s">
        <v>951</v>
      </c>
      <c r="D6407" s="441">
        <v>214.66</v>
      </c>
    </row>
    <row r="6408" spans="1:4" ht="31.5" customHeight="1">
      <c r="A6408" s="120">
        <v>87855</v>
      </c>
      <c r="B6408" s="119" t="s">
        <v>7946</v>
      </c>
      <c r="C6408" s="120" t="s">
        <v>951</v>
      </c>
      <c r="D6408" s="441">
        <v>164.93</v>
      </c>
    </row>
    <row r="6409" spans="1:4" ht="31.5" customHeight="1">
      <c r="A6409" s="120">
        <v>87856</v>
      </c>
      <c r="B6409" s="119" t="s">
        <v>7947</v>
      </c>
      <c r="C6409" s="120" t="s">
        <v>951</v>
      </c>
      <c r="D6409" s="441">
        <v>194.71</v>
      </c>
    </row>
    <row r="6410" spans="1:4" ht="31.5" customHeight="1">
      <c r="A6410" s="120">
        <v>87857</v>
      </c>
      <c r="B6410" s="119" t="s">
        <v>7948</v>
      </c>
      <c r="C6410" s="120" t="s">
        <v>951</v>
      </c>
      <c r="D6410" s="441">
        <v>146.01</v>
      </c>
    </row>
    <row r="6411" spans="1:4" ht="31.5" customHeight="1">
      <c r="A6411" s="120">
        <v>87858</v>
      </c>
      <c r="B6411" s="119" t="s">
        <v>7949</v>
      </c>
      <c r="C6411" s="120" t="s">
        <v>951</v>
      </c>
      <c r="D6411" s="441">
        <v>140.94999999999999</v>
      </c>
    </row>
    <row r="6412" spans="1:4" ht="31.5" customHeight="1">
      <c r="A6412" s="120">
        <v>87859</v>
      </c>
      <c r="B6412" s="119" t="s">
        <v>7950</v>
      </c>
      <c r="C6412" s="120" t="s">
        <v>951</v>
      </c>
      <c r="D6412" s="441">
        <v>164.95</v>
      </c>
    </row>
    <row r="6413" spans="1:4" ht="47.25" customHeight="1">
      <c r="A6413" s="120">
        <v>89048</v>
      </c>
      <c r="B6413" s="119" t="s">
        <v>7951</v>
      </c>
      <c r="C6413" s="120" t="s">
        <v>951</v>
      </c>
      <c r="D6413" s="441">
        <v>38.71</v>
      </c>
    </row>
    <row r="6414" spans="1:4" ht="31.5" customHeight="1">
      <c r="A6414" s="120">
        <v>89049</v>
      </c>
      <c r="B6414" s="119" t="s">
        <v>7952</v>
      </c>
      <c r="C6414" s="120" t="s">
        <v>951</v>
      </c>
      <c r="D6414" s="441">
        <v>26.07</v>
      </c>
    </row>
    <row r="6415" spans="1:4" ht="47.25" customHeight="1">
      <c r="A6415" s="120">
        <v>89173</v>
      </c>
      <c r="B6415" s="119" t="s">
        <v>7953</v>
      </c>
      <c r="C6415" s="120" t="s">
        <v>951</v>
      </c>
      <c r="D6415" s="441">
        <v>37.97</v>
      </c>
    </row>
    <row r="6416" spans="1:4" ht="47.25" customHeight="1">
      <c r="A6416" s="120">
        <v>90406</v>
      </c>
      <c r="B6416" s="119" t="s">
        <v>7954</v>
      </c>
      <c r="C6416" s="120" t="s">
        <v>951</v>
      </c>
      <c r="D6416" s="441">
        <v>51.1</v>
      </c>
    </row>
    <row r="6417" spans="1:4" ht="31.5" customHeight="1">
      <c r="A6417" s="120">
        <v>90407</v>
      </c>
      <c r="B6417" s="119" t="s">
        <v>7955</v>
      </c>
      <c r="C6417" s="120" t="s">
        <v>951</v>
      </c>
      <c r="D6417" s="441">
        <v>57.08</v>
      </c>
    </row>
    <row r="6418" spans="1:4" ht="47.25" customHeight="1">
      <c r="A6418" s="120">
        <v>90408</v>
      </c>
      <c r="B6418" s="119" t="s">
        <v>7956</v>
      </c>
      <c r="C6418" s="120" t="s">
        <v>951</v>
      </c>
      <c r="D6418" s="441">
        <v>37.85</v>
      </c>
    </row>
    <row r="6419" spans="1:4" ht="31.5" customHeight="1">
      <c r="A6419" s="120">
        <v>90409</v>
      </c>
      <c r="B6419" s="119" t="s">
        <v>7957</v>
      </c>
      <c r="C6419" s="120" t="s">
        <v>951</v>
      </c>
      <c r="D6419" s="441">
        <v>41.24</v>
      </c>
    </row>
    <row r="6420" spans="1:4" ht="47.25" customHeight="1">
      <c r="A6420" s="120">
        <v>104203</v>
      </c>
      <c r="B6420" s="119" t="s">
        <v>7958</v>
      </c>
      <c r="C6420" s="120" t="s">
        <v>951</v>
      </c>
      <c r="D6420" s="441">
        <v>60.3</v>
      </c>
    </row>
    <row r="6421" spans="1:4" ht="47.25" customHeight="1">
      <c r="A6421" s="120">
        <v>104204</v>
      </c>
      <c r="B6421" s="119" t="s">
        <v>7959</v>
      </c>
      <c r="C6421" s="120" t="s">
        <v>951</v>
      </c>
      <c r="D6421" s="441">
        <v>77.510000000000005</v>
      </c>
    </row>
    <row r="6422" spans="1:4" ht="47.25" customHeight="1">
      <c r="A6422" s="120">
        <v>104205</v>
      </c>
      <c r="B6422" s="119" t="s">
        <v>7960</v>
      </c>
      <c r="C6422" s="120" t="s">
        <v>951</v>
      </c>
      <c r="D6422" s="441">
        <v>83.34</v>
      </c>
    </row>
    <row r="6423" spans="1:4" ht="47.25" customHeight="1">
      <c r="A6423" s="120">
        <v>104206</v>
      </c>
      <c r="B6423" s="119" t="s">
        <v>7961</v>
      </c>
      <c r="C6423" s="120" t="s">
        <v>951</v>
      </c>
      <c r="D6423" s="441">
        <v>92.07</v>
      </c>
    </row>
    <row r="6424" spans="1:4" ht="47.25" customHeight="1">
      <c r="A6424" s="120">
        <v>104207</v>
      </c>
      <c r="B6424" s="119" t="s">
        <v>7962</v>
      </c>
      <c r="C6424" s="120" t="s">
        <v>951</v>
      </c>
      <c r="D6424" s="441">
        <v>43.69</v>
      </c>
    </row>
    <row r="6425" spans="1:4" ht="47.25" customHeight="1">
      <c r="A6425" s="120">
        <v>104208</v>
      </c>
      <c r="B6425" s="119" t="s">
        <v>7963</v>
      </c>
      <c r="C6425" s="120" t="s">
        <v>951</v>
      </c>
      <c r="D6425" s="441">
        <v>60.5</v>
      </c>
    </row>
    <row r="6426" spans="1:4" ht="47.25" customHeight="1">
      <c r="A6426" s="120">
        <v>104209</v>
      </c>
      <c r="B6426" s="119" t="s">
        <v>7964</v>
      </c>
      <c r="C6426" s="120" t="s">
        <v>951</v>
      </c>
      <c r="D6426" s="441">
        <v>65.989999999999995</v>
      </c>
    </row>
    <row r="6427" spans="1:4" ht="47.25" customHeight="1">
      <c r="A6427" s="120">
        <v>104210</v>
      </c>
      <c r="B6427" s="119" t="s">
        <v>7965</v>
      </c>
      <c r="C6427" s="120" t="s">
        <v>951</v>
      </c>
      <c r="D6427" s="441">
        <v>67.819999999999993</v>
      </c>
    </row>
    <row r="6428" spans="1:4" ht="47.25" customHeight="1">
      <c r="A6428" s="120">
        <v>104211</v>
      </c>
      <c r="B6428" s="119" t="s">
        <v>7966</v>
      </c>
      <c r="C6428" s="120" t="s">
        <v>951</v>
      </c>
      <c r="D6428" s="441">
        <v>88.07</v>
      </c>
    </row>
    <row r="6429" spans="1:4" ht="47.25" customHeight="1">
      <c r="A6429" s="120">
        <v>104212</v>
      </c>
      <c r="B6429" s="119" t="s">
        <v>7967</v>
      </c>
      <c r="C6429" s="120" t="s">
        <v>951</v>
      </c>
      <c r="D6429" s="441">
        <v>104.95</v>
      </c>
    </row>
    <row r="6430" spans="1:4" ht="47.25" customHeight="1">
      <c r="A6430" s="120">
        <v>104213</v>
      </c>
      <c r="B6430" s="119" t="s">
        <v>7968</v>
      </c>
      <c r="C6430" s="120" t="s">
        <v>951</v>
      </c>
      <c r="D6430" s="441">
        <v>110.43</v>
      </c>
    </row>
    <row r="6431" spans="1:4" ht="47.25" customHeight="1">
      <c r="A6431" s="120">
        <v>104214</v>
      </c>
      <c r="B6431" s="119" t="s">
        <v>7969</v>
      </c>
      <c r="C6431" s="120" t="s">
        <v>951</v>
      </c>
      <c r="D6431" s="441">
        <v>132.68</v>
      </c>
    </row>
    <row r="6432" spans="1:4" ht="47.25" customHeight="1">
      <c r="A6432" s="120">
        <v>104215</v>
      </c>
      <c r="B6432" s="119" t="s">
        <v>7970</v>
      </c>
      <c r="C6432" s="120" t="s">
        <v>951</v>
      </c>
      <c r="D6432" s="441">
        <v>80.73</v>
      </c>
    </row>
    <row r="6433" spans="1:4" ht="47.25" customHeight="1">
      <c r="A6433" s="120">
        <v>104216</v>
      </c>
      <c r="B6433" s="119" t="s">
        <v>7971</v>
      </c>
      <c r="C6433" s="120" t="s">
        <v>951</v>
      </c>
      <c r="D6433" s="441">
        <v>96.96</v>
      </c>
    </row>
    <row r="6434" spans="1:4" ht="47.25" customHeight="1">
      <c r="A6434" s="120">
        <v>104217</v>
      </c>
      <c r="B6434" s="119" t="s">
        <v>7972</v>
      </c>
      <c r="C6434" s="120" t="s">
        <v>951</v>
      </c>
      <c r="D6434" s="441">
        <v>52.94</v>
      </c>
    </row>
    <row r="6435" spans="1:4" ht="31.5" customHeight="1">
      <c r="A6435" s="120">
        <v>104218</v>
      </c>
      <c r="B6435" s="119" t="s">
        <v>7973</v>
      </c>
      <c r="C6435" s="120" t="s">
        <v>951</v>
      </c>
      <c r="D6435" s="441">
        <v>57.94</v>
      </c>
    </row>
    <row r="6436" spans="1:4" ht="47.25" customHeight="1">
      <c r="A6436" s="120">
        <v>104219</v>
      </c>
      <c r="B6436" s="119" t="s">
        <v>7974</v>
      </c>
      <c r="C6436" s="120" t="s">
        <v>951</v>
      </c>
      <c r="D6436" s="441">
        <v>84.91</v>
      </c>
    </row>
    <row r="6437" spans="1:4" ht="47.25" customHeight="1">
      <c r="A6437" s="120">
        <v>104220</v>
      </c>
      <c r="B6437" s="119" t="s">
        <v>7975</v>
      </c>
      <c r="C6437" s="120" t="s">
        <v>951</v>
      </c>
      <c r="D6437" s="441">
        <v>55.73</v>
      </c>
    </row>
    <row r="6438" spans="1:4" ht="47.25" customHeight="1">
      <c r="A6438" s="120">
        <v>104221</v>
      </c>
      <c r="B6438" s="119" t="s">
        <v>7976</v>
      </c>
      <c r="C6438" s="120" t="s">
        <v>951</v>
      </c>
      <c r="D6438" s="441">
        <v>67.8</v>
      </c>
    </row>
    <row r="6439" spans="1:4" ht="31.5" customHeight="1">
      <c r="A6439" s="120">
        <v>104222</v>
      </c>
      <c r="B6439" s="119" t="s">
        <v>7977</v>
      </c>
      <c r="C6439" s="120" t="s">
        <v>951</v>
      </c>
      <c r="D6439" s="441">
        <v>74.5</v>
      </c>
    </row>
    <row r="6440" spans="1:4" ht="47.25" customHeight="1">
      <c r="A6440" s="120">
        <v>104223</v>
      </c>
      <c r="B6440" s="119" t="s">
        <v>7978</v>
      </c>
      <c r="C6440" s="120" t="s">
        <v>951</v>
      </c>
      <c r="D6440" s="441">
        <v>110.85</v>
      </c>
    </row>
    <row r="6441" spans="1:4" ht="47.25" customHeight="1">
      <c r="A6441" s="120">
        <v>104224</v>
      </c>
      <c r="B6441" s="119" t="s">
        <v>7979</v>
      </c>
      <c r="C6441" s="120" t="s">
        <v>951</v>
      </c>
      <c r="D6441" s="441">
        <v>71.56</v>
      </c>
    </row>
    <row r="6442" spans="1:4" ht="47.25" customHeight="1">
      <c r="A6442" s="120">
        <v>104225</v>
      </c>
      <c r="B6442" s="119" t="s">
        <v>7980</v>
      </c>
      <c r="C6442" s="120" t="s">
        <v>951</v>
      </c>
      <c r="D6442" s="441">
        <v>72.959999999999994</v>
      </c>
    </row>
    <row r="6443" spans="1:4" ht="31.5" customHeight="1">
      <c r="A6443" s="120">
        <v>104226</v>
      </c>
      <c r="B6443" s="119" t="s">
        <v>7981</v>
      </c>
      <c r="C6443" s="120" t="s">
        <v>951</v>
      </c>
      <c r="D6443" s="441">
        <v>81.37</v>
      </c>
    </row>
    <row r="6444" spans="1:4" ht="47.25" customHeight="1">
      <c r="A6444" s="120">
        <v>104227</v>
      </c>
      <c r="B6444" s="119" t="s">
        <v>7982</v>
      </c>
      <c r="C6444" s="120" t="s">
        <v>951</v>
      </c>
      <c r="D6444" s="441">
        <v>127.96</v>
      </c>
    </row>
    <row r="6445" spans="1:4" ht="47.25" customHeight="1">
      <c r="A6445" s="120">
        <v>104228</v>
      </c>
      <c r="B6445" s="119" t="s">
        <v>7983</v>
      </c>
      <c r="C6445" s="120" t="s">
        <v>951</v>
      </c>
      <c r="D6445" s="441">
        <v>77.39</v>
      </c>
    </row>
    <row r="6446" spans="1:4" ht="47.25" customHeight="1">
      <c r="A6446" s="120">
        <v>104229</v>
      </c>
      <c r="B6446" s="119" t="s">
        <v>7984</v>
      </c>
      <c r="C6446" s="120" t="s">
        <v>951</v>
      </c>
      <c r="D6446" s="441">
        <v>86.6</v>
      </c>
    </row>
    <row r="6447" spans="1:4" ht="31.5" customHeight="1">
      <c r="A6447" s="120">
        <v>104230</v>
      </c>
      <c r="B6447" s="119" t="s">
        <v>7985</v>
      </c>
      <c r="C6447" s="120" t="s">
        <v>951</v>
      </c>
      <c r="D6447" s="441">
        <v>95.85</v>
      </c>
    </row>
    <row r="6448" spans="1:4" ht="47.25" customHeight="1">
      <c r="A6448" s="120">
        <v>104231</v>
      </c>
      <c r="B6448" s="119" t="s">
        <v>7986</v>
      </c>
      <c r="C6448" s="120" t="s">
        <v>951</v>
      </c>
      <c r="D6448" s="441">
        <v>141.05000000000001</v>
      </c>
    </row>
    <row r="6449" spans="1:4" ht="47.25" customHeight="1">
      <c r="A6449" s="120">
        <v>104232</v>
      </c>
      <c r="B6449" s="119" t="s">
        <v>7987</v>
      </c>
      <c r="C6449" s="120" t="s">
        <v>951</v>
      </c>
      <c r="D6449" s="441">
        <v>85.52</v>
      </c>
    </row>
    <row r="6450" spans="1:4" ht="47.25" customHeight="1">
      <c r="A6450" s="120">
        <v>104233</v>
      </c>
      <c r="B6450" s="119" t="s">
        <v>7988</v>
      </c>
      <c r="C6450" s="120" t="s">
        <v>951</v>
      </c>
      <c r="D6450" s="441">
        <v>38.630000000000003</v>
      </c>
    </row>
    <row r="6451" spans="1:4" ht="31.5" customHeight="1">
      <c r="A6451" s="120">
        <v>104234</v>
      </c>
      <c r="B6451" s="119" t="s">
        <v>7989</v>
      </c>
      <c r="C6451" s="120" t="s">
        <v>951</v>
      </c>
      <c r="D6451" s="441">
        <v>43.3</v>
      </c>
    </row>
    <row r="6452" spans="1:4" ht="47.25" customHeight="1">
      <c r="A6452" s="120">
        <v>104235</v>
      </c>
      <c r="B6452" s="119" t="s">
        <v>7990</v>
      </c>
      <c r="C6452" s="120" t="s">
        <v>951</v>
      </c>
      <c r="D6452" s="441">
        <v>69.400000000000006</v>
      </c>
    </row>
    <row r="6453" spans="1:4" ht="47.25" customHeight="1">
      <c r="A6453" s="120">
        <v>104236</v>
      </c>
      <c r="B6453" s="119" t="s">
        <v>7991</v>
      </c>
      <c r="C6453" s="120" t="s">
        <v>951</v>
      </c>
      <c r="D6453" s="441">
        <v>40.880000000000003</v>
      </c>
    </row>
    <row r="6454" spans="1:4" ht="47.25" customHeight="1">
      <c r="A6454" s="120">
        <v>104237</v>
      </c>
      <c r="B6454" s="119" t="s">
        <v>7992</v>
      </c>
      <c r="C6454" s="120" t="s">
        <v>951</v>
      </c>
      <c r="D6454" s="441">
        <v>53.21</v>
      </c>
    </row>
    <row r="6455" spans="1:4" ht="31.5" customHeight="1">
      <c r="A6455" s="120">
        <v>104238</v>
      </c>
      <c r="B6455" s="119" t="s">
        <v>7993</v>
      </c>
      <c r="C6455" s="120" t="s">
        <v>951</v>
      </c>
      <c r="D6455" s="441">
        <v>59.46</v>
      </c>
    </row>
    <row r="6456" spans="1:4" ht="47.25" customHeight="1">
      <c r="A6456" s="120">
        <v>104239</v>
      </c>
      <c r="B6456" s="119" t="s">
        <v>7994</v>
      </c>
      <c r="C6456" s="120" t="s">
        <v>951</v>
      </c>
      <c r="D6456" s="441">
        <v>94.29</v>
      </c>
    </row>
    <row r="6457" spans="1:4" ht="47.25" customHeight="1">
      <c r="A6457" s="120">
        <v>104240</v>
      </c>
      <c r="B6457" s="119" t="s">
        <v>7995</v>
      </c>
      <c r="C6457" s="120" t="s">
        <v>951</v>
      </c>
      <c r="D6457" s="441">
        <v>56.45</v>
      </c>
    </row>
    <row r="6458" spans="1:4" ht="47.25" customHeight="1">
      <c r="A6458" s="120">
        <v>104241</v>
      </c>
      <c r="B6458" s="119" t="s">
        <v>7996</v>
      </c>
      <c r="C6458" s="120" t="s">
        <v>951</v>
      </c>
      <c r="D6458" s="441">
        <v>58.03</v>
      </c>
    </row>
    <row r="6459" spans="1:4" ht="31.5" customHeight="1">
      <c r="A6459" s="120">
        <v>104242</v>
      </c>
      <c r="B6459" s="119" t="s">
        <v>7997</v>
      </c>
      <c r="C6459" s="120" t="s">
        <v>951</v>
      </c>
      <c r="D6459" s="441">
        <v>65.88</v>
      </c>
    </row>
    <row r="6460" spans="1:4" ht="47.25" customHeight="1">
      <c r="A6460" s="120">
        <v>104243</v>
      </c>
      <c r="B6460" s="119" t="s">
        <v>7998</v>
      </c>
      <c r="C6460" s="120" t="s">
        <v>951</v>
      </c>
      <c r="D6460" s="441">
        <v>110.29</v>
      </c>
    </row>
    <row r="6461" spans="1:4" ht="47.25" customHeight="1">
      <c r="A6461" s="120">
        <v>104244</v>
      </c>
      <c r="B6461" s="119" t="s">
        <v>7999</v>
      </c>
      <c r="C6461" s="120" t="s">
        <v>951</v>
      </c>
      <c r="D6461" s="441">
        <v>61.94</v>
      </c>
    </row>
    <row r="6462" spans="1:4" ht="47.25" customHeight="1">
      <c r="A6462" s="120">
        <v>104245</v>
      </c>
      <c r="B6462" s="119" t="s">
        <v>8000</v>
      </c>
      <c r="C6462" s="120" t="s">
        <v>951</v>
      </c>
      <c r="D6462" s="441">
        <v>63.2</v>
      </c>
    </row>
    <row r="6463" spans="1:4" ht="31.5" customHeight="1">
      <c r="A6463" s="120">
        <v>104246</v>
      </c>
      <c r="B6463" s="119" t="s">
        <v>8001</v>
      </c>
      <c r="C6463" s="120" t="s">
        <v>951</v>
      </c>
      <c r="D6463" s="441">
        <v>71.849999999999994</v>
      </c>
    </row>
    <row r="6464" spans="1:4" ht="47.25" customHeight="1">
      <c r="A6464" s="120">
        <v>104247</v>
      </c>
      <c r="B6464" s="119" t="s">
        <v>8002</v>
      </c>
      <c r="C6464" s="120" t="s">
        <v>951</v>
      </c>
      <c r="D6464" s="441">
        <v>117.59</v>
      </c>
    </row>
    <row r="6465" spans="1:4" ht="47.25" customHeight="1">
      <c r="A6465" s="120">
        <v>104248</v>
      </c>
      <c r="B6465" s="119" t="s">
        <v>8003</v>
      </c>
      <c r="C6465" s="120" t="s">
        <v>951</v>
      </c>
      <c r="D6465" s="441">
        <v>63.9</v>
      </c>
    </row>
    <row r="6466" spans="1:4" ht="47.25" customHeight="1">
      <c r="A6466" s="120">
        <v>104249</v>
      </c>
      <c r="B6466" s="119" t="s">
        <v>8004</v>
      </c>
      <c r="C6466" s="120" t="s">
        <v>951</v>
      </c>
      <c r="D6466" s="441">
        <v>76.17</v>
      </c>
    </row>
    <row r="6467" spans="1:4" ht="47.25" customHeight="1">
      <c r="A6467" s="120">
        <v>104250</v>
      </c>
      <c r="B6467" s="119" t="s">
        <v>8005</v>
      </c>
      <c r="C6467" s="120" t="s">
        <v>951</v>
      </c>
      <c r="D6467" s="441">
        <v>80.84</v>
      </c>
    </row>
    <row r="6468" spans="1:4" ht="47.25" customHeight="1">
      <c r="A6468" s="120">
        <v>104251</v>
      </c>
      <c r="B6468" s="119" t="s">
        <v>8006</v>
      </c>
      <c r="C6468" s="120" t="s">
        <v>951</v>
      </c>
      <c r="D6468" s="441">
        <v>103.31</v>
      </c>
    </row>
    <row r="6469" spans="1:4" ht="47.25" customHeight="1">
      <c r="A6469" s="120">
        <v>104252</v>
      </c>
      <c r="B6469" s="119" t="s">
        <v>8007</v>
      </c>
      <c r="C6469" s="120" t="s">
        <v>951</v>
      </c>
      <c r="D6469" s="441">
        <v>79.83</v>
      </c>
    </row>
    <row r="6470" spans="1:4" ht="47.25" customHeight="1">
      <c r="A6470" s="120">
        <v>104253</v>
      </c>
      <c r="B6470" s="119" t="s">
        <v>8008</v>
      </c>
      <c r="C6470" s="120" t="s">
        <v>951</v>
      </c>
      <c r="D6470" s="441">
        <v>90.75</v>
      </c>
    </row>
    <row r="6471" spans="1:4" ht="47.25" customHeight="1">
      <c r="A6471" s="120">
        <v>104254</v>
      </c>
      <c r="B6471" s="119" t="s">
        <v>8009</v>
      </c>
      <c r="C6471" s="120" t="s">
        <v>951</v>
      </c>
      <c r="D6471" s="441">
        <v>97</v>
      </c>
    </row>
    <row r="6472" spans="1:4" ht="47.25" customHeight="1">
      <c r="A6472" s="120">
        <v>104255</v>
      </c>
      <c r="B6472" s="119" t="s">
        <v>8010</v>
      </c>
      <c r="C6472" s="120" t="s">
        <v>951</v>
      </c>
      <c r="D6472" s="441">
        <v>128.19</v>
      </c>
    </row>
    <row r="6473" spans="1:4" ht="47.25" customHeight="1">
      <c r="A6473" s="120">
        <v>104256</v>
      </c>
      <c r="B6473" s="119" t="s">
        <v>8011</v>
      </c>
      <c r="C6473" s="120" t="s">
        <v>951</v>
      </c>
      <c r="D6473" s="441">
        <v>95.39</v>
      </c>
    </row>
    <row r="6474" spans="1:4" ht="47.25" customHeight="1">
      <c r="A6474" s="120">
        <v>104257</v>
      </c>
      <c r="B6474" s="119" t="s">
        <v>8012</v>
      </c>
      <c r="C6474" s="120" t="s">
        <v>951</v>
      </c>
      <c r="D6474" s="441">
        <v>95.57</v>
      </c>
    </row>
    <row r="6475" spans="1:4" ht="47.25" customHeight="1">
      <c r="A6475" s="120">
        <v>104258</v>
      </c>
      <c r="B6475" s="119" t="s">
        <v>8013</v>
      </c>
      <c r="C6475" s="120" t="s">
        <v>951</v>
      </c>
      <c r="D6475" s="441">
        <v>103.42</v>
      </c>
    </row>
    <row r="6476" spans="1:4" ht="47.25" customHeight="1">
      <c r="A6476" s="120">
        <v>104259</v>
      </c>
      <c r="B6476" s="119" t="s">
        <v>8014</v>
      </c>
      <c r="C6476" s="120" t="s">
        <v>951</v>
      </c>
      <c r="D6476" s="441">
        <v>144.19</v>
      </c>
    </row>
    <row r="6477" spans="1:4" ht="47.25" customHeight="1">
      <c r="A6477" s="120">
        <v>104260</v>
      </c>
      <c r="B6477" s="119" t="s">
        <v>8015</v>
      </c>
      <c r="C6477" s="120" t="s">
        <v>951</v>
      </c>
      <c r="D6477" s="441">
        <v>100.88</v>
      </c>
    </row>
    <row r="6478" spans="1:4" ht="47.25" customHeight="1">
      <c r="A6478" s="120">
        <v>104261</v>
      </c>
      <c r="B6478" s="119" t="s">
        <v>8016</v>
      </c>
      <c r="C6478" s="120" t="s">
        <v>951</v>
      </c>
      <c r="D6478" s="441">
        <v>125.55</v>
      </c>
    </row>
    <row r="6479" spans="1:4" ht="47.25" customHeight="1">
      <c r="A6479" s="120">
        <v>104262</v>
      </c>
      <c r="B6479" s="119" t="s">
        <v>8017</v>
      </c>
      <c r="C6479" s="120" t="s">
        <v>951</v>
      </c>
      <c r="D6479" s="441">
        <v>134.19999999999999</v>
      </c>
    </row>
    <row r="6480" spans="1:4" ht="47.25" customHeight="1">
      <c r="A6480" s="120">
        <v>104263</v>
      </c>
      <c r="B6480" s="119" t="s">
        <v>8018</v>
      </c>
      <c r="C6480" s="120" t="s">
        <v>951</v>
      </c>
      <c r="D6480" s="441">
        <v>167.41</v>
      </c>
    </row>
    <row r="6481" spans="1:4" ht="47.25" customHeight="1">
      <c r="A6481" s="120">
        <v>104264</v>
      </c>
      <c r="B6481" s="119" t="s">
        <v>8019</v>
      </c>
      <c r="C6481" s="120" t="s">
        <v>951</v>
      </c>
      <c r="D6481" s="441">
        <v>120.91</v>
      </c>
    </row>
    <row r="6482" spans="1:4" ht="31.5" customHeight="1">
      <c r="A6482" s="120">
        <v>87244</v>
      </c>
      <c r="B6482" s="119" t="s">
        <v>8020</v>
      </c>
      <c r="C6482" s="120" t="s">
        <v>951</v>
      </c>
      <c r="D6482" s="441">
        <v>210.58</v>
      </c>
    </row>
    <row r="6483" spans="1:4" ht="31.5" customHeight="1">
      <c r="A6483" s="120">
        <v>87245</v>
      </c>
      <c r="B6483" s="119" t="s">
        <v>8021</v>
      </c>
      <c r="C6483" s="120" t="s">
        <v>951</v>
      </c>
      <c r="D6483" s="441">
        <v>250.72</v>
      </c>
    </row>
    <row r="6484" spans="1:4" ht="31.5" customHeight="1">
      <c r="A6484" s="120">
        <v>87265</v>
      </c>
      <c r="B6484" s="119" t="s">
        <v>8022</v>
      </c>
      <c r="C6484" s="120" t="s">
        <v>951</v>
      </c>
      <c r="D6484" s="441">
        <v>64.650000000000006</v>
      </c>
    </row>
    <row r="6485" spans="1:4" ht="31.5" customHeight="1">
      <c r="A6485" s="120">
        <v>87267</v>
      </c>
      <c r="B6485" s="119" t="s">
        <v>8023</v>
      </c>
      <c r="C6485" s="120" t="s">
        <v>951</v>
      </c>
      <c r="D6485" s="441">
        <v>70.59</v>
      </c>
    </row>
    <row r="6486" spans="1:4" ht="31.5" customHeight="1">
      <c r="A6486" s="120">
        <v>87269</v>
      </c>
      <c r="B6486" s="119" t="s">
        <v>8024</v>
      </c>
      <c r="C6486" s="120" t="s">
        <v>951</v>
      </c>
      <c r="D6486" s="441">
        <v>69.19</v>
      </c>
    </row>
    <row r="6487" spans="1:4" ht="31.5" customHeight="1">
      <c r="A6487" s="120">
        <v>87271</v>
      </c>
      <c r="B6487" s="119" t="s">
        <v>8025</v>
      </c>
      <c r="C6487" s="120" t="s">
        <v>951</v>
      </c>
      <c r="D6487" s="441">
        <v>75.2</v>
      </c>
    </row>
    <row r="6488" spans="1:4" ht="31.5" customHeight="1">
      <c r="A6488" s="120">
        <v>87273</v>
      </c>
      <c r="B6488" s="119" t="s">
        <v>8026</v>
      </c>
      <c r="C6488" s="120" t="s">
        <v>951</v>
      </c>
      <c r="D6488" s="441">
        <v>72.459999999999994</v>
      </c>
    </row>
    <row r="6489" spans="1:4" ht="31.5" customHeight="1">
      <c r="A6489" s="120">
        <v>87275</v>
      </c>
      <c r="B6489" s="119" t="s">
        <v>8027</v>
      </c>
      <c r="C6489" s="120" t="s">
        <v>951</v>
      </c>
      <c r="D6489" s="441">
        <v>80.430000000000007</v>
      </c>
    </row>
    <row r="6490" spans="1:4" ht="31.5" customHeight="1">
      <c r="A6490" s="120">
        <v>88788</v>
      </c>
      <c r="B6490" s="119" t="s">
        <v>8028</v>
      </c>
      <c r="C6490" s="120" t="s">
        <v>951</v>
      </c>
      <c r="D6490" s="441">
        <v>294.41000000000003</v>
      </c>
    </row>
    <row r="6491" spans="1:4" ht="31.5" customHeight="1">
      <c r="A6491" s="120">
        <v>88789</v>
      </c>
      <c r="B6491" s="119" t="s">
        <v>8029</v>
      </c>
      <c r="C6491" s="120" t="s">
        <v>951</v>
      </c>
      <c r="D6491" s="441">
        <v>352.02</v>
      </c>
    </row>
    <row r="6492" spans="1:4" ht="47.25" customHeight="1">
      <c r="A6492" s="120">
        <v>89045</v>
      </c>
      <c r="B6492" s="119" t="s">
        <v>8030</v>
      </c>
      <c r="C6492" s="120" t="s">
        <v>951</v>
      </c>
      <c r="D6492" s="441">
        <v>66.12</v>
      </c>
    </row>
    <row r="6493" spans="1:4" ht="47.25" customHeight="1">
      <c r="A6493" s="120">
        <v>89170</v>
      </c>
      <c r="B6493" s="119" t="s">
        <v>8031</v>
      </c>
      <c r="C6493" s="120" t="s">
        <v>951</v>
      </c>
      <c r="D6493" s="441">
        <v>66.12</v>
      </c>
    </row>
    <row r="6494" spans="1:4" ht="31.5" customHeight="1">
      <c r="A6494" s="120">
        <v>93393</v>
      </c>
      <c r="B6494" s="119" t="s">
        <v>8032</v>
      </c>
      <c r="C6494" s="120" t="s">
        <v>951</v>
      </c>
      <c r="D6494" s="441">
        <v>55.23</v>
      </c>
    </row>
    <row r="6495" spans="1:4" ht="31.5" customHeight="1">
      <c r="A6495" s="120">
        <v>93395</v>
      </c>
      <c r="B6495" s="119" t="s">
        <v>8033</v>
      </c>
      <c r="C6495" s="120" t="s">
        <v>951</v>
      </c>
      <c r="D6495" s="441">
        <v>61.11</v>
      </c>
    </row>
    <row r="6496" spans="1:4" ht="31.5" customHeight="1">
      <c r="A6496" s="120">
        <v>99195</v>
      </c>
      <c r="B6496" s="119" t="s">
        <v>8034</v>
      </c>
      <c r="C6496" s="120" t="s">
        <v>951</v>
      </c>
      <c r="D6496" s="441">
        <v>62.64</v>
      </c>
    </row>
    <row r="6497" spans="1:4" ht="31.5" customHeight="1">
      <c r="A6497" s="120">
        <v>99198</v>
      </c>
      <c r="B6497" s="119" t="s">
        <v>8035</v>
      </c>
      <c r="C6497" s="120" t="s">
        <v>951</v>
      </c>
      <c r="D6497" s="441">
        <v>68.52</v>
      </c>
    </row>
    <row r="6498" spans="1:4" ht="31.5" customHeight="1">
      <c r="A6498" s="120">
        <v>104611</v>
      </c>
      <c r="B6498" s="119" t="s">
        <v>8036</v>
      </c>
      <c r="C6498" s="120" t="s">
        <v>951</v>
      </c>
      <c r="D6498" s="441">
        <v>87.92</v>
      </c>
    </row>
    <row r="6499" spans="1:4" ht="31.5" customHeight="1">
      <c r="A6499" s="120">
        <v>104612</v>
      </c>
      <c r="B6499" s="119" t="s">
        <v>8037</v>
      </c>
      <c r="C6499" s="120" t="s">
        <v>951</v>
      </c>
      <c r="D6499" s="441">
        <v>88.86</v>
      </c>
    </row>
    <row r="6500" spans="1:4" ht="31.5" customHeight="1">
      <c r="A6500" s="120">
        <v>104613</v>
      </c>
      <c r="B6500" s="119" t="s">
        <v>8038</v>
      </c>
      <c r="C6500" s="120" t="s">
        <v>951</v>
      </c>
      <c r="D6500" s="441">
        <v>68.61</v>
      </c>
    </row>
    <row r="6501" spans="1:4" ht="31.5" customHeight="1">
      <c r="A6501" s="120">
        <v>104614</v>
      </c>
      <c r="B6501" s="119" t="s">
        <v>8039</v>
      </c>
      <c r="C6501" s="120" t="s">
        <v>951</v>
      </c>
      <c r="D6501" s="441">
        <v>76.349999999999994</v>
      </c>
    </row>
    <row r="6502" spans="1:4" ht="31.5" customHeight="1">
      <c r="A6502" s="120">
        <v>104615</v>
      </c>
      <c r="B6502" s="119" t="s">
        <v>8040</v>
      </c>
      <c r="C6502" s="120" t="s">
        <v>951</v>
      </c>
      <c r="D6502" s="441">
        <v>206.36</v>
      </c>
    </row>
    <row r="6503" spans="1:4" ht="31.5" customHeight="1">
      <c r="A6503" s="120">
        <v>104616</v>
      </c>
      <c r="B6503" s="119" t="s">
        <v>8041</v>
      </c>
      <c r="C6503" s="120" t="s">
        <v>951</v>
      </c>
      <c r="D6503" s="441">
        <v>293.20999999999998</v>
      </c>
    </row>
    <row r="6504" spans="1:4" ht="31.5" customHeight="1">
      <c r="A6504" s="120">
        <v>104617</v>
      </c>
      <c r="B6504" s="119" t="s">
        <v>8042</v>
      </c>
      <c r="C6504" s="120" t="s">
        <v>951</v>
      </c>
      <c r="D6504" s="441">
        <v>218.35</v>
      </c>
    </row>
    <row r="6505" spans="1:4" ht="31.5" customHeight="1">
      <c r="A6505" s="120">
        <v>104618</v>
      </c>
      <c r="B6505" s="119" t="s">
        <v>8043</v>
      </c>
      <c r="C6505" s="120" t="s">
        <v>951</v>
      </c>
      <c r="D6505" s="441">
        <v>305.2</v>
      </c>
    </row>
    <row r="6506" spans="1:4" ht="31.5" customHeight="1">
      <c r="A6506" s="120">
        <v>104619</v>
      </c>
      <c r="B6506" s="119" t="s">
        <v>8044</v>
      </c>
      <c r="C6506" s="120" t="s">
        <v>328</v>
      </c>
      <c r="D6506" s="441">
        <v>20.18</v>
      </c>
    </row>
    <row r="6507" spans="1:4" ht="31.5" customHeight="1">
      <c r="A6507" s="120">
        <v>101965</v>
      </c>
      <c r="B6507" s="119" t="s">
        <v>8045</v>
      </c>
      <c r="C6507" s="120" t="s">
        <v>328</v>
      </c>
      <c r="D6507" s="441">
        <v>158.63</v>
      </c>
    </row>
    <row r="6508" spans="1:4" ht="31.5" customHeight="1">
      <c r="A6508" s="120">
        <v>101966</v>
      </c>
      <c r="B6508" s="119" t="s">
        <v>8046</v>
      </c>
      <c r="C6508" s="120" t="s">
        <v>328</v>
      </c>
      <c r="D6508" s="441">
        <v>200.2</v>
      </c>
    </row>
    <row r="6509" spans="1:4" ht="15.75" customHeight="1">
      <c r="A6509" s="120">
        <v>101979</v>
      </c>
      <c r="B6509" s="119" t="s">
        <v>8047</v>
      </c>
      <c r="C6509" s="120" t="s">
        <v>328</v>
      </c>
      <c r="D6509" s="441">
        <v>57.06</v>
      </c>
    </row>
    <row r="6510" spans="1:4" ht="15.75" customHeight="1">
      <c r="A6510" s="120">
        <v>96112</v>
      </c>
      <c r="B6510" s="119" t="s">
        <v>8048</v>
      </c>
      <c r="C6510" s="120" t="s">
        <v>951</v>
      </c>
      <c r="D6510" s="441">
        <v>180.12</v>
      </c>
    </row>
    <row r="6511" spans="1:4" ht="15.75" customHeight="1">
      <c r="A6511" s="120">
        <v>96117</v>
      </c>
      <c r="B6511" s="119" t="s">
        <v>8049</v>
      </c>
      <c r="C6511" s="120" t="s">
        <v>951</v>
      </c>
      <c r="D6511" s="441">
        <v>230.6</v>
      </c>
    </row>
    <row r="6512" spans="1:4" ht="15.75" customHeight="1">
      <c r="A6512" s="120">
        <v>96122</v>
      </c>
      <c r="B6512" s="119" t="s">
        <v>8050</v>
      </c>
      <c r="C6512" s="120" t="s">
        <v>328</v>
      </c>
      <c r="D6512" s="441">
        <v>55.65</v>
      </c>
    </row>
    <row r="6513" spans="1:4" ht="15.75" customHeight="1">
      <c r="A6513" s="120">
        <v>96109</v>
      </c>
      <c r="B6513" s="119" t="s">
        <v>8051</v>
      </c>
      <c r="C6513" s="120" t="s">
        <v>951</v>
      </c>
      <c r="D6513" s="441">
        <v>48.71</v>
      </c>
    </row>
    <row r="6514" spans="1:4" ht="15.75" customHeight="1">
      <c r="A6514" s="120">
        <v>96110</v>
      </c>
      <c r="B6514" s="119" t="s">
        <v>8052</v>
      </c>
      <c r="C6514" s="120" t="s">
        <v>951</v>
      </c>
      <c r="D6514" s="441">
        <v>77.2</v>
      </c>
    </row>
    <row r="6515" spans="1:4" ht="15.75" customHeight="1">
      <c r="A6515" s="120">
        <v>96113</v>
      </c>
      <c r="B6515" s="119" t="s">
        <v>8053</v>
      </c>
      <c r="C6515" s="120" t="s">
        <v>951</v>
      </c>
      <c r="D6515" s="441">
        <v>41.94</v>
      </c>
    </row>
    <row r="6516" spans="1:4" ht="15.75" customHeight="1">
      <c r="A6516" s="120">
        <v>96114</v>
      </c>
      <c r="B6516" s="119" t="s">
        <v>8054</v>
      </c>
      <c r="C6516" s="120" t="s">
        <v>951</v>
      </c>
      <c r="D6516" s="441">
        <v>79.62</v>
      </c>
    </row>
    <row r="6517" spans="1:4" ht="15.75" customHeight="1">
      <c r="A6517" s="120">
        <v>96120</v>
      </c>
      <c r="B6517" s="119" t="s">
        <v>8055</v>
      </c>
      <c r="C6517" s="120" t="s">
        <v>328</v>
      </c>
      <c r="D6517" s="441">
        <v>3.26</v>
      </c>
    </row>
    <row r="6518" spans="1:4" ht="15.75" customHeight="1">
      <c r="A6518" s="120">
        <v>96123</v>
      </c>
      <c r="B6518" s="119" t="s">
        <v>8056</v>
      </c>
      <c r="C6518" s="120" t="s">
        <v>328</v>
      </c>
      <c r="D6518" s="441">
        <v>37.020000000000003</v>
      </c>
    </row>
    <row r="6519" spans="1:4" ht="15.75" customHeight="1">
      <c r="A6519" s="120">
        <v>99054</v>
      </c>
      <c r="B6519" s="119" t="s">
        <v>8057</v>
      </c>
      <c r="C6519" s="120" t="s">
        <v>951</v>
      </c>
      <c r="D6519" s="441">
        <v>61.39</v>
      </c>
    </row>
    <row r="6520" spans="1:4" ht="31.5" customHeight="1">
      <c r="A6520" s="120">
        <v>96111</v>
      </c>
      <c r="B6520" s="119" t="s">
        <v>8058</v>
      </c>
      <c r="C6520" s="120" t="s">
        <v>951</v>
      </c>
      <c r="D6520" s="441">
        <v>73.239999999999995</v>
      </c>
    </row>
    <row r="6521" spans="1:4" ht="31.5" customHeight="1">
      <c r="A6521" s="120">
        <v>96116</v>
      </c>
      <c r="B6521" s="119" t="s">
        <v>8059</v>
      </c>
      <c r="C6521" s="120" t="s">
        <v>951</v>
      </c>
      <c r="D6521" s="441">
        <v>80.040000000000006</v>
      </c>
    </row>
    <row r="6522" spans="1:4" ht="15.75" customHeight="1">
      <c r="A6522" s="120">
        <v>96121</v>
      </c>
      <c r="B6522" s="119" t="s">
        <v>8060</v>
      </c>
      <c r="C6522" s="120" t="s">
        <v>328</v>
      </c>
      <c r="D6522" s="441">
        <v>13.36</v>
      </c>
    </row>
    <row r="6523" spans="1:4" ht="31.5" customHeight="1">
      <c r="A6523" s="120">
        <v>96485</v>
      </c>
      <c r="B6523" s="119" t="s">
        <v>8061</v>
      </c>
      <c r="C6523" s="120" t="s">
        <v>951</v>
      </c>
      <c r="D6523" s="441">
        <v>85.14</v>
      </c>
    </row>
    <row r="6524" spans="1:4" ht="15.75" customHeight="1">
      <c r="A6524" s="120">
        <v>96486</v>
      </c>
      <c r="B6524" s="119" t="s">
        <v>8062</v>
      </c>
      <c r="C6524" s="120" t="s">
        <v>951</v>
      </c>
      <c r="D6524" s="441">
        <v>92.66</v>
      </c>
    </row>
    <row r="6525" spans="1:4" ht="47.25" customHeight="1">
      <c r="A6525" s="120">
        <v>91515</v>
      </c>
      <c r="B6525" s="119" t="s">
        <v>8063</v>
      </c>
      <c r="C6525" s="120" t="s">
        <v>951</v>
      </c>
      <c r="D6525" s="441">
        <v>7.26</v>
      </c>
    </row>
    <row r="6526" spans="1:4" ht="31.5" customHeight="1">
      <c r="A6526" s="120">
        <v>91519</v>
      </c>
      <c r="B6526" s="119" t="s">
        <v>8064</v>
      </c>
      <c r="C6526" s="120" t="s">
        <v>951</v>
      </c>
      <c r="D6526" s="441">
        <v>9.7899999999999991</v>
      </c>
    </row>
    <row r="6527" spans="1:4" ht="31.5" customHeight="1">
      <c r="A6527" s="120">
        <v>91520</v>
      </c>
      <c r="B6527" s="119" t="s">
        <v>8065</v>
      </c>
      <c r="C6527" s="120" t="s">
        <v>951</v>
      </c>
      <c r="D6527" s="441">
        <v>2.74</v>
      </c>
    </row>
    <row r="6528" spans="1:4" ht="31.5" customHeight="1">
      <c r="A6528" s="120">
        <v>91522</v>
      </c>
      <c r="B6528" s="119" t="s">
        <v>8066</v>
      </c>
      <c r="C6528" s="120" t="s">
        <v>951</v>
      </c>
      <c r="D6528" s="441">
        <v>3.78</v>
      </c>
    </row>
    <row r="6529" spans="1:4" ht="31.5" customHeight="1">
      <c r="A6529" s="120">
        <v>91525</v>
      </c>
      <c r="B6529" s="119" t="s">
        <v>8067</v>
      </c>
      <c r="C6529" s="120" t="s">
        <v>951</v>
      </c>
      <c r="D6529" s="441">
        <v>8.25</v>
      </c>
    </row>
    <row r="6530" spans="1:4" ht="31.5" customHeight="1">
      <c r="A6530" s="120">
        <v>104412</v>
      </c>
      <c r="B6530" s="119" t="s">
        <v>8068</v>
      </c>
      <c r="C6530" s="120" t="s">
        <v>951</v>
      </c>
      <c r="D6530" s="441">
        <v>3.39</v>
      </c>
    </row>
    <row r="6531" spans="1:4" ht="31.5" customHeight="1">
      <c r="A6531" s="120">
        <v>104413</v>
      </c>
      <c r="B6531" s="119" t="s">
        <v>8069</v>
      </c>
      <c r="C6531" s="120" t="s">
        <v>951</v>
      </c>
      <c r="D6531" s="441">
        <v>5.99</v>
      </c>
    </row>
    <row r="6532" spans="1:4" ht="31.5" customHeight="1">
      <c r="A6532" s="120">
        <v>104414</v>
      </c>
      <c r="B6532" s="119" t="s">
        <v>8070</v>
      </c>
      <c r="C6532" s="120" t="s">
        <v>951</v>
      </c>
      <c r="D6532" s="441">
        <v>7.35</v>
      </c>
    </row>
    <row r="6533" spans="1:4" ht="31.5" customHeight="1">
      <c r="A6533" s="120">
        <v>104415</v>
      </c>
      <c r="B6533" s="119" t="s">
        <v>8071</v>
      </c>
      <c r="C6533" s="120" t="s">
        <v>951</v>
      </c>
      <c r="D6533" s="441">
        <v>13.17</v>
      </c>
    </row>
    <row r="6534" spans="1:4" ht="31.5" customHeight="1">
      <c r="A6534" s="120">
        <v>104416</v>
      </c>
      <c r="B6534" s="119" t="s">
        <v>8072</v>
      </c>
      <c r="C6534" s="120" t="s">
        <v>951</v>
      </c>
      <c r="D6534" s="441">
        <v>2.33</v>
      </c>
    </row>
    <row r="6535" spans="1:4" ht="31.5" customHeight="1">
      <c r="A6535" s="120">
        <v>104417</v>
      </c>
      <c r="B6535" s="119" t="s">
        <v>8073</v>
      </c>
      <c r="C6535" s="120" t="s">
        <v>951</v>
      </c>
      <c r="D6535" s="441">
        <v>4.93</v>
      </c>
    </row>
    <row r="6536" spans="1:4" ht="47.25" customHeight="1">
      <c r="A6536" s="120">
        <v>104418</v>
      </c>
      <c r="B6536" s="119" t="s">
        <v>8074</v>
      </c>
      <c r="C6536" s="120" t="s">
        <v>951</v>
      </c>
      <c r="D6536" s="441">
        <v>3.16</v>
      </c>
    </row>
    <row r="6537" spans="1:4" ht="47.25" customHeight="1">
      <c r="A6537" s="120">
        <v>104419</v>
      </c>
      <c r="B6537" s="119" t="s">
        <v>8075</v>
      </c>
      <c r="C6537" s="120" t="s">
        <v>951</v>
      </c>
      <c r="D6537" s="441">
        <v>13.22</v>
      </c>
    </row>
    <row r="6538" spans="1:4" ht="47.25" customHeight="1">
      <c r="A6538" s="120">
        <v>104420</v>
      </c>
      <c r="B6538" s="119" t="s">
        <v>8076</v>
      </c>
      <c r="C6538" s="120" t="s">
        <v>951</v>
      </c>
      <c r="D6538" s="441">
        <v>11.92</v>
      </c>
    </row>
    <row r="6539" spans="1:4" ht="47.25" customHeight="1">
      <c r="A6539" s="120">
        <v>104421</v>
      </c>
      <c r="B6539" s="119" t="s">
        <v>8077</v>
      </c>
      <c r="C6539" s="120" t="s">
        <v>951</v>
      </c>
      <c r="D6539" s="441">
        <v>15.92</v>
      </c>
    </row>
    <row r="6540" spans="1:4" ht="47.25" customHeight="1">
      <c r="A6540" s="120">
        <v>104422</v>
      </c>
      <c r="B6540" s="119" t="s">
        <v>8078</v>
      </c>
      <c r="C6540" s="120" t="s">
        <v>951</v>
      </c>
      <c r="D6540" s="441">
        <v>8.92</v>
      </c>
    </row>
    <row r="6541" spans="1:4" ht="47.25" customHeight="1">
      <c r="A6541" s="120">
        <v>104423</v>
      </c>
      <c r="B6541" s="119" t="s">
        <v>8079</v>
      </c>
      <c r="C6541" s="120" t="s">
        <v>951</v>
      </c>
      <c r="D6541" s="441">
        <v>25.84</v>
      </c>
    </row>
    <row r="6542" spans="1:4" ht="47.25" customHeight="1">
      <c r="A6542" s="120">
        <v>104424</v>
      </c>
      <c r="B6542" s="119" t="s">
        <v>8080</v>
      </c>
      <c r="C6542" s="120" t="s">
        <v>951</v>
      </c>
      <c r="D6542" s="441">
        <v>23.74</v>
      </c>
    </row>
    <row r="6543" spans="1:4" ht="31.5" customHeight="1">
      <c r="A6543" s="120">
        <v>104425</v>
      </c>
      <c r="B6543" s="119" t="s">
        <v>8081</v>
      </c>
      <c r="C6543" s="120" t="s">
        <v>951</v>
      </c>
      <c r="D6543" s="441">
        <v>20.23</v>
      </c>
    </row>
    <row r="6544" spans="1:4" ht="47.25" customHeight="1">
      <c r="A6544" s="120">
        <v>87280</v>
      </c>
      <c r="B6544" s="119" t="s">
        <v>8082</v>
      </c>
      <c r="C6544" s="120" t="s">
        <v>950</v>
      </c>
      <c r="D6544" s="441">
        <v>397.46</v>
      </c>
    </row>
    <row r="6545" spans="1:4" ht="47.25" customHeight="1">
      <c r="A6545" s="120">
        <v>87281</v>
      </c>
      <c r="B6545" s="119" t="s">
        <v>8083</v>
      </c>
      <c r="C6545" s="120" t="s">
        <v>950</v>
      </c>
      <c r="D6545" s="441">
        <v>389.2</v>
      </c>
    </row>
    <row r="6546" spans="1:4" ht="47.25" customHeight="1">
      <c r="A6546" s="120">
        <v>87283</v>
      </c>
      <c r="B6546" s="119" t="s">
        <v>8084</v>
      </c>
      <c r="C6546" s="120" t="s">
        <v>950</v>
      </c>
      <c r="D6546" s="441">
        <v>408.11</v>
      </c>
    </row>
    <row r="6547" spans="1:4" ht="47.25" customHeight="1">
      <c r="A6547" s="120">
        <v>87284</v>
      </c>
      <c r="B6547" s="119" t="s">
        <v>8085</v>
      </c>
      <c r="C6547" s="120" t="s">
        <v>950</v>
      </c>
      <c r="D6547" s="441">
        <v>399.35</v>
      </c>
    </row>
    <row r="6548" spans="1:4" ht="31.5" customHeight="1">
      <c r="A6548" s="120">
        <v>87286</v>
      </c>
      <c r="B6548" s="119" t="s">
        <v>8086</v>
      </c>
      <c r="C6548" s="120" t="s">
        <v>950</v>
      </c>
      <c r="D6548" s="441">
        <v>499.25</v>
      </c>
    </row>
    <row r="6549" spans="1:4" ht="31.5" customHeight="1">
      <c r="A6549" s="120">
        <v>87287</v>
      </c>
      <c r="B6549" s="119" t="s">
        <v>8087</v>
      </c>
      <c r="C6549" s="120" t="s">
        <v>950</v>
      </c>
      <c r="D6549" s="441">
        <v>477.01</v>
      </c>
    </row>
    <row r="6550" spans="1:4" ht="31.5" customHeight="1">
      <c r="A6550" s="120">
        <v>87289</v>
      </c>
      <c r="B6550" s="119" t="s">
        <v>8088</v>
      </c>
      <c r="C6550" s="120" t="s">
        <v>950</v>
      </c>
      <c r="D6550" s="441">
        <v>477.49</v>
      </c>
    </row>
    <row r="6551" spans="1:4" ht="31.5" customHeight="1">
      <c r="A6551" s="120">
        <v>87290</v>
      </c>
      <c r="B6551" s="119" t="s">
        <v>8089</v>
      </c>
      <c r="C6551" s="120" t="s">
        <v>950</v>
      </c>
      <c r="D6551" s="441">
        <v>465.79</v>
      </c>
    </row>
    <row r="6552" spans="1:4" ht="31.5" customHeight="1">
      <c r="A6552" s="120">
        <v>87292</v>
      </c>
      <c r="B6552" s="119" t="s">
        <v>8090</v>
      </c>
      <c r="C6552" s="120" t="s">
        <v>950</v>
      </c>
      <c r="D6552" s="441">
        <v>482.48</v>
      </c>
    </row>
    <row r="6553" spans="1:4" ht="31.5" customHeight="1">
      <c r="A6553" s="120">
        <v>87294</v>
      </c>
      <c r="B6553" s="119" t="s">
        <v>8091</v>
      </c>
      <c r="C6553" s="120" t="s">
        <v>950</v>
      </c>
      <c r="D6553" s="441">
        <v>462.33</v>
      </c>
    </row>
    <row r="6554" spans="1:4" ht="31.5" customHeight="1">
      <c r="A6554" s="120">
        <v>87295</v>
      </c>
      <c r="B6554" s="119" t="s">
        <v>8092</v>
      </c>
      <c r="C6554" s="120" t="s">
        <v>950</v>
      </c>
      <c r="D6554" s="441">
        <v>476.04</v>
      </c>
    </row>
    <row r="6555" spans="1:4" ht="31.5" customHeight="1">
      <c r="A6555" s="120">
        <v>87296</v>
      </c>
      <c r="B6555" s="119" t="s">
        <v>8093</v>
      </c>
      <c r="C6555" s="120" t="s">
        <v>950</v>
      </c>
      <c r="D6555" s="441">
        <v>443.19</v>
      </c>
    </row>
    <row r="6556" spans="1:4" ht="31.5" customHeight="1">
      <c r="A6556" s="120">
        <v>87298</v>
      </c>
      <c r="B6556" s="119" t="s">
        <v>8094</v>
      </c>
      <c r="C6556" s="120" t="s">
        <v>950</v>
      </c>
      <c r="D6556" s="441">
        <v>600.04</v>
      </c>
    </row>
    <row r="6557" spans="1:4" ht="31.5" customHeight="1">
      <c r="A6557" s="120">
        <v>87299</v>
      </c>
      <c r="B6557" s="119" t="s">
        <v>8095</v>
      </c>
      <c r="C6557" s="120" t="s">
        <v>950</v>
      </c>
      <c r="D6557" s="441">
        <v>398.45</v>
      </c>
    </row>
    <row r="6558" spans="1:4" ht="31.5" customHeight="1">
      <c r="A6558" s="120">
        <v>87301</v>
      </c>
      <c r="B6558" s="119" t="s">
        <v>8096</v>
      </c>
      <c r="C6558" s="120" t="s">
        <v>950</v>
      </c>
      <c r="D6558" s="441">
        <v>543.6</v>
      </c>
    </row>
    <row r="6559" spans="1:4" ht="31.5" customHeight="1">
      <c r="A6559" s="120">
        <v>87302</v>
      </c>
      <c r="B6559" s="119" t="s">
        <v>8097</v>
      </c>
      <c r="C6559" s="120" t="s">
        <v>950</v>
      </c>
      <c r="D6559" s="441">
        <v>531.94000000000005</v>
      </c>
    </row>
    <row r="6560" spans="1:4" ht="31.5" customHeight="1">
      <c r="A6560" s="120">
        <v>87304</v>
      </c>
      <c r="B6560" s="119" t="s">
        <v>8098</v>
      </c>
      <c r="C6560" s="120" t="s">
        <v>950</v>
      </c>
      <c r="D6560" s="441">
        <v>490.4</v>
      </c>
    </row>
    <row r="6561" spans="1:4" ht="31.5" customHeight="1">
      <c r="A6561" s="120">
        <v>87305</v>
      </c>
      <c r="B6561" s="119" t="s">
        <v>8099</v>
      </c>
      <c r="C6561" s="120" t="s">
        <v>950</v>
      </c>
      <c r="D6561" s="441">
        <v>492.23</v>
      </c>
    </row>
    <row r="6562" spans="1:4" ht="31.5" customHeight="1">
      <c r="A6562" s="120">
        <v>87307</v>
      </c>
      <c r="B6562" s="119" t="s">
        <v>8100</v>
      </c>
      <c r="C6562" s="120" t="s">
        <v>950</v>
      </c>
      <c r="D6562" s="441">
        <v>469.88</v>
      </c>
    </row>
    <row r="6563" spans="1:4" ht="31.5" customHeight="1">
      <c r="A6563" s="120">
        <v>87308</v>
      </c>
      <c r="B6563" s="119" t="s">
        <v>8101</v>
      </c>
      <c r="C6563" s="120" t="s">
        <v>950</v>
      </c>
      <c r="D6563" s="441">
        <v>458.4</v>
      </c>
    </row>
    <row r="6564" spans="1:4" ht="31.5" customHeight="1">
      <c r="A6564" s="120">
        <v>87310</v>
      </c>
      <c r="B6564" s="119" t="s">
        <v>8102</v>
      </c>
      <c r="C6564" s="120" t="s">
        <v>950</v>
      </c>
      <c r="D6564" s="441">
        <v>393.25</v>
      </c>
    </row>
    <row r="6565" spans="1:4" ht="31.5" customHeight="1">
      <c r="A6565" s="120">
        <v>87311</v>
      </c>
      <c r="B6565" s="119" t="s">
        <v>8103</v>
      </c>
      <c r="C6565" s="120" t="s">
        <v>950</v>
      </c>
      <c r="D6565" s="441">
        <v>381.58</v>
      </c>
    </row>
    <row r="6566" spans="1:4" ht="31.5" customHeight="1">
      <c r="A6566" s="120">
        <v>87313</v>
      </c>
      <c r="B6566" s="119" t="s">
        <v>8104</v>
      </c>
      <c r="C6566" s="120" t="s">
        <v>950</v>
      </c>
      <c r="D6566" s="441">
        <v>473.74</v>
      </c>
    </row>
    <row r="6567" spans="1:4" ht="31.5" customHeight="1">
      <c r="A6567" s="120">
        <v>87314</v>
      </c>
      <c r="B6567" s="119" t="s">
        <v>8105</v>
      </c>
      <c r="C6567" s="120" t="s">
        <v>950</v>
      </c>
      <c r="D6567" s="441">
        <v>463.67</v>
      </c>
    </row>
    <row r="6568" spans="1:4" ht="31.5" customHeight="1">
      <c r="A6568" s="120">
        <v>87316</v>
      </c>
      <c r="B6568" s="119" t="s">
        <v>8106</v>
      </c>
      <c r="C6568" s="120" t="s">
        <v>950</v>
      </c>
      <c r="D6568" s="441">
        <v>433.18</v>
      </c>
    </row>
    <row r="6569" spans="1:4" ht="31.5" customHeight="1">
      <c r="A6569" s="120">
        <v>87317</v>
      </c>
      <c r="B6569" s="119" t="s">
        <v>8107</v>
      </c>
      <c r="C6569" s="120" t="s">
        <v>950</v>
      </c>
      <c r="D6569" s="441">
        <v>415.25</v>
      </c>
    </row>
    <row r="6570" spans="1:4" ht="31.5" customHeight="1">
      <c r="A6570" s="120">
        <v>87319</v>
      </c>
      <c r="B6570" s="119" t="s">
        <v>8108</v>
      </c>
      <c r="C6570" s="120" t="s">
        <v>950</v>
      </c>
      <c r="D6570" s="442">
        <v>3428.71</v>
      </c>
    </row>
    <row r="6571" spans="1:4" ht="31.5" customHeight="1">
      <c r="A6571" s="120">
        <v>87320</v>
      </c>
      <c r="B6571" s="119" t="s">
        <v>8109</v>
      </c>
      <c r="C6571" s="120" t="s">
        <v>950</v>
      </c>
      <c r="D6571" s="442">
        <v>3431.92</v>
      </c>
    </row>
    <row r="6572" spans="1:4" ht="31.5" customHeight="1">
      <c r="A6572" s="120">
        <v>87322</v>
      </c>
      <c r="B6572" s="119" t="s">
        <v>8110</v>
      </c>
      <c r="C6572" s="120" t="s">
        <v>950</v>
      </c>
      <c r="D6572" s="442">
        <v>3528.51</v>
      </c>
    </row>
    <row r="6573" spans="1:4" ht="31.5" customHeight="1">
      <c r="A6573" s="120">
        <v>87323</v>
      </c>
      <c r="B6573" s="119" t="s">
        <v>8111</v>
      </c>
      <c r="C6573" s="120" t="s">
        <v>950</v>
      </c>
      <c r="D6573" s="442">
        <v>3524.26</v>
      </c>
    </row>
    <row r="6574" spans="1:4" ht="31.5" customHeight="1">
      <c r="A6574" s="120">
        <v>87325</v>
      </c>
      <c r="B6574" s="119" t="s">
        <v>8112</v>
      </c>
      <c r="C6574" s="120" t="s">
        <v>950</v>
      </c>
      <c r="D6574" s="442">
        <v>3454.04</v>
      </c>
    </row>
    <row r="6575" spans="1:4" ht="31.5" customHeight="1">
      <c r="A6575" s="120">
        <v>87326</v>
      </c>
      <c r="B6575" s="119" t="s">
        <v>8113</v>
      </c>
      <c r="C6575" s="120" t="s">
        <v>950</v>
      </c>
      <c r="D6575" s="442">
        <v>3458.25</v>
      </c>
    </row>
    <row r="6576" spans="1:4" ht="47.25" customHeight="1">
      <c r="A6576" s="120">
        <v>87327</v>
      </c>
      <c r="B6576" s="119" t="s">
        <v>8114</v>
      </c>
      <c r="C6576" s="120" t="s">
        <v>950</v>
      </c>
      <c r="D6576" s="441">
        <v>422.78</v>
      </c>
    </row>
    <row r="6577" spans="1:4" ht="47.25" customHeight="1">
      <c r="A6577" s="120">
        <v>87328</v>
      </c>
      <c r="B6577" s="119" t="s">
        <v>8115</v>
      </c>
      <c r="C6577" s="120" t="s">
        <v>950</v>
      </c>
      <c r="D6577" s="441">
        <v>358.13</v>
      </c>
    </row>
    <row r="6578" spans="1:4" ht="47.25" customHeight="1">
      <c r="A6578" s="120">
        <v>87329</v>
      </c>
      <c r="B6578" s="119" t="s">
        <v>8116</v>
      </c>
      <c r="C6578" s="120" t="s">
        <v>950</v>
      </c>
      <c r="D6578" s="441">
        <v>454.83</v>
      </c>
    </row>
    <row r="6579" spans="1:4" ht="47.25" customHeight="1">
      <c r="A6579" s="120">
        <v>87330</v>
      </c>
      <c r="B6579" s="119" t="s">
        <v>8117</v>
      </c>
      <c r="C6579" s="120" t="s">
        <v>950</v>
      </c>
      <c r="D6579" s="441">
        <v>381.57</v>
      </c>
    </row>
    <row r="6580" spans="1:4" ht="47.25" customHeight="1">
      <c r="A6580" s="120">
        <v>87331</v>
      </c>
      <c r="B6580" s="119" t="s">
        <v>8118</v>
      </c>
      <c r="C6580" s="120" t="s">
        <v>950</v>
      </c>
      <c r="D6580" s="441">
        <v>524</v>
      </c>
    </row>
    <row r="6581" spans="1:4" ht="47.25" customHeight="1">
      <c r="A6581" s="120">
        <v>87332</v>
      </c>
      <c r="B6581" s="119" t="s">
        <v>8119</v>
      </c>
      <c r="C6581" s="120" t="s">
        <v>950</v>
      </c>
      <c r="D6581" s="441">
        <v>456.39</v>
      </c>
    </row>
    <row r="6582" spans="1:4" ht="47.25" customHeight="1">
      <c r="A6582" s="120">
        <v>87333</v>
      </c>
      <c r="B6582" s="119" t="s">
        <v>8120</v>
      </c>
      <c r="C6582" s="120" t="s">
        <v>950</v>
      </c>
      <c r="D6582" s="441">
        <v>484.37</v>
      </c>
    </row>
    <row r="6583" spans="1:4" ht="47.25" customHeight="1">
      <c r="A6583" s="120">
        <v>87334</v>
      </c>
      <c r="B6583" s="119" t="s">
        <v>8121</v>
      </c>
      <c r="C6583" s="120" t="s">
        <v>950</v>
      </c>
      <c r="D6583" s="441">
        <v>443.49</v>
      </c>
    </row>
    <row r="6584" spans="1:4" ht="47.25" customHeight="1">
      <c r="A6584" s="120">
        <v>87335</v>
      </c>
      <c r="B6584" s="119" t="s">
        <v>8122</v>
      </c>
      <c r="C6584" s="120" t="s">
        <v>950</v>
      </c>
      <c r="D6584" s="441">
        <v>475.83</v>
      </c>
    </row>
    <row r="6585" spans="1:4" ht="47.25" customHeight="1">
      <c r="A6585" s="120">
        <v>87336</v>
      </c>
      <c r="B6585" s="119" t="s">
        <v>8123</v>
      </c>
      <c r="C6585" s="120" t="s">
        <v>950</v>
      </c>
      <c r="D6585" s="441">
        <v>453.75</v>
      </c>
    </row>
    <row r="6586" spans="1:4" ht="47.25" customHeight="1">
      <c r="A6586" s="120">
        <v>87337</v>
      </c>
      <c r="B6586" s="119" t="s">
        <v>8124</v>
      </c>
      <c r="C6586" s="120" t="s">
        <v>950</v>
      </c>
      <c r="D6586" s="441">
        <v>466.52</v>
      </c>
    </row>
    <row r="6587" spans="1:4" ht="47.25" customHeight="1">
      <c r="A6587" s="120">
        <v>87338</v>
      </c>
      <c r="B6587" s="119" t="s">
        <v>8125</v>
      </c>
      <c r="C6587" s="120" t="s">
        <v>950</v>
      </c>
      <c r="D6587" s="441">
        <v>444.33</v>
      </c>
    </row>
    <row r="6588" spans="1:4" ht="31.5" customHeight="1">
      <c r="A6588" s="120">
        <v>87339</v>
      </c>
      <c r="B6588" s="119" t="s">
        <v>8126</v>
      </c>
      <c r="C6588" s="120" t="s">
        <v>950</v>
      </c>
      <c r="D6588" s="441">
        <v>737.74</v>
      </c>
    </row>
    <row r="6589" spans="1:4" ht="31.5" customHeight="1">
      <c r="A6589" s="120">
        <v>87340</v>
      </c>
      <c r="B6589" s="119" t="s">
        <v>8127</v>
      </c>
      <c r="C6589" s="120" t="s">
        <v>950</v>
      </c>
      <c r="D6589" s="441">
        <v>600.04</v>
      </c>
    </row>
    <row r="6590" spans="1:4" ht="31.5" customHeight="1">
      <c r="A6590" s="120">
        <v>87341</v>
      </c>
      <c r="B6590" s="119" t="s">
        <v>8128</v>
      </c>
      <c r="C6590" s="120" t="s">
        <v>950</v>
      </c>
      <c r="D6590" s="441">
        <v>565.91</v>
      </c>
    </row>
    <row r="6591" spans="1:4" ht="31.5" customHeight="1">
      <c r="A6591" s="120">
        <v>87342</v>
      </c>
      <c r="B6591" s="119" t="s">
        <v>8129</v>
      </c>
      <c r="C6591" s="120" t="s">
        <v>950</v>
      </c>
      <c r="D6591" s="441">
        <v>624.26</v>
      </c>
    </row>
    <row r="6592" spans="1:4" ht="31.5" customHeight="1">
      <c r="A6592" s="120">
        <v>87343</v>
      </c>
      <c r="B6592" s="119" t="s">
        <v>8130</v>
      </c>
      <c r="C6592" s="120" t="s">
        <v>950</v>
      </c>
      <c r="D6592" s="441">
        <v>546.11</v>
      </c>
    </row>
    <row r="6593" spans="1:4" ht="31.5" customHeight="1">
      <c r="A6593" s="120">
        <v>87344</v>
      </c>
      <c r="B6593" s="119" t="s">
        <v>8131</v>
      </c>
      <c r="C6593" s="120" t="s">
        <v>950</v>
      </c>
      <c r="D6593" s="441">
        <v>503.19</v>
      </c>
    </row>
    <row r="6594" spans="1:4" ht="31.5" customHeight="1">
      <c r="A6594" s="120">
        <v>87345</v>
      </c>
      <c r="B6594" s="119" t="s">
        <v>8132</v>
      </c>
      <c r="C6594" s="120" t="s">
        <v>950</v>
      </c>
      <c r="D6594" s="441">
        <v>558.74</v>
      </c>
    </row>
    <row r="6595" spans="1:4" ht="31.5" customHeight="1">
      <c r="A6595" s="120">
        <v>87346</v>
      </c>
      <c r="B6595" s="119" t="s">
        <v>8133</v>
      </c>
      <c r="C6595" s="120" t="s">
        <v>950</v>
      </c>
      <c r="D6595" s="441">
        <v>494.1</v>
      </c>
    </row>
    <row r="6596" spans="1:4" ht="31.5" customHeight="1">
      <c r="A6596" s="120">
        <v>87347</v>
      </c>
      <c r="B6596" s="119" t="s">
        <v>8134</v>
      </c>
      <c r="C6596" s="120" t="s">
        <v>950</v>
      </c>
      <c r="D6596" s="441">
        <v>460.18</v>
      </c>
    </row>
    <row r="6597" spans="1:4" ht="31.5" customHeight="1">
      <c r="A6597" s="120">
        <v>87348</v>
      </c>
      <c r="B6597" s="119" t="s">
        <v>8135</v>
      </c>
      <c r="C6597" s="120" t="s">
        <v>950</v>
      </c>
      <c r="D6597" s="441">
        <v>509.55</v>
      </c>
    </row>
    <row r="6598" spans="1:4" ht="31.5" customHeight="1">
      <c r="A6598" s="120">
        <v>87349</v>
      </c>
      <c r="B6598" s="119" t="s">
        <v>8136</v>
      </c>
      <c r="C6598" s="120" t="s">
        <v>950</v>
      </c>
      <c r="D6598" s="441">
        <v>425.08</v>
      </c>
    </row>
    <row r="6599" spans="1:4" ht="31.5" customHeight="1">
      <c r="A6599" s="120">
        <v>87350</v>
      </c>
      <c r="B6599" s="119" t="s">
        <v>8137</v>
      </c>
      <c r="C6599" s="120" t="s">
        <v>950</v>
      </c>
      <c r="D6599" s="441">
        <v>444.09</v>
      </c>
    </row>
    <row r="6600" spans="1:4" ht="31.5" customHeight="1">
      <c r="A6600" s="120">
        <v>87351</v>
      </c>
      <c r="B6600" s="119" t="s">
        <v>8138</v>
      </c>
      <c r="C6600" s="120" t="s">
        <v>950</v>
      </c>
      <c r="D6600" s="441">
        <v>365.45</v>
      </c>
    </row>
    <row r="6601" spans="1:4" ht="31.5" customHeight="1">
      <c r="A6601" s="120">
        <v>87352</v>
      </c>
      <c r="B6601" s="119" t="s">
        <v>8139</v>
      </c>
      <c r="C6601" s="120" t="s">
        <v>950</v>
      </c>
      <c r="D6601" s="441">
        <v>564.61</v>
      </c>
    </row>
    <row r="6602" spans="1:4" ht="31.5" customHeight="1">
      <c r="A6602" s="120">
        <v>87353</v>
      </c>
      <c r="B6602" s="119" t="s">
        <v>8140</v>
      </c>
      <c r="C6602" s="120" t="s">
        <v>950</v>
      </c>
      <c r="D6602" s="441">
        <v>479.71</v>
      </c>
    </row>
    <row r="6603" spans="1:4" ht="31.5" customHeight="1">
      <c r="A6603" s="120">
        <v>87354</v>
      </c>
      <c r="B6603" s="119" t="s">
        <v>8141</v>
      </c>
      <c r="C6603" s="120" t="s">
        <v>950</v>
      </c>
      <c r="D6603" s="441">
        <v>441.62</v>
      </c>
    </row>
    <row r="6604" spans="1:4" ht="31.5" customHeight="1">
      <c r="A6604" s="120">
        <v>87355</v>
      </c>
      <c r="B6604" s="119" t="s">
        <v>8142</v>
      </c>
      <c r="C6604" s="120" t="s">
        <v>950</v>
      </c>
      <c r="D6604" s="441">
        <v>476.69</v>
      </c>
    </row>
    <row r="6605" spans="1:4" ht="31.5" customHeight="1">
      <c r="A6605" s="120">
        <v>87356</v>
      </c>
      <c r="B6605" s="119" t="s">
        <v>8143</v>
      </c>
      <c r="C6605" s="120" t="s">
        <v>950</v>
      </c>
      <c r="D6605" s="441">
        <v>418.88</v>
      </c>
    </row>
    <row r="6606" spans="1:4" ht="31.5" customHeight="1">
      <c r="A6606" s="120">
        <v>87357</v>
      </c>
      <c r="B6606" s="119" t="s">
        <v>8144</v>
      </c>
      <c r="C6606" s="120" t="s">
        <v>950</v>
      </c>
      <c r="D6606" s="441">
        <v>391.45</v>
      </c>
    </row>
    <row r="6607" spans="1:4" ht="47.25" customHeight="1">
      <c r="A6607" s="120">
        <v>87358</v>
      </c>
      <c r="B6607" s="119" t="s">
        <v>8145</v>
      </c>
      <c r="C6607" s="120" t="s">
        <v>950</v>
      </c>
      <c r="D6607" s="442">
        <v>3393.16</v>
      </c>
    </row>
    <row r="6608" spans="1:4" ht="47.25" customHeight="1">
      <c r="A6608" s="120">
        <v>87359</v>
      </c>
      <c r="B6608" s="119" t="s">
        <v>8146</v>
      </c>
      <c r="C6608" s="120" t="s">
        <v>950</v>
      </c>
      <c r="D6608" s="442">
        <v>3361.26</v>
      </c>
    </row>
    <row r="6609" spans="1:4" ht="47.25" customHeight="1">
      <c r="A6609" s="120">
        <v>87360</v>
      </c>
      <c r="B6609" s="119" t="s">
        <v>8147</v>
      </c>
      <c r="C6609" s="120" t="s">
        <v>950</v>
      </c>
      <c r="D6609" s="442">
        <v>3494.2</v>
      </c>
    </row>
    <row r="6610" spans="1:4" ht="47.25" customHeight="1">
      <c r="A6610" s="120">
        <v>87361</v>
      </c>
      <c r="B6610" s="119" t="s">
        <v>8148</v>
      </c>
      <c r="C6610" s="120" t="s">
        <v>950</v>
      </c>
      <c r="D6610" s="442">
        <v>3443.36</v>
      </c>
    </row>
    <row r="6611" spans="1:4" ht="47.25" customHeight="1">
      <c r="A6611" s="120">
        <v>87362</v>
      </c>
      <c r="B6611" s="119" t="s">
        <v>8149</v>
      </c>
      <c r="C6611" s="120" t="s">
        <v>950</v>
      </c>
      <c r="D6611" s="442">
        <v>3439.85</v>
      </c>
    </row>
    <row r="6612" spans="1:4" ht="47.25" customHeight="1">
      <c r="A6612" s="120">
        <v>87363</v>
      </c>
      <c r="B6612" s="119" t="s">
        <v>8150</v>
      </c>
      <c r="C6612" s="120" t="s">
        <v>950</v>
      </c>
      <c r="D6612" s="442">
        <v>3427.99</v>
      </c>
    </row>
    <row r="6613" spans="1:4" ht="47.25" customHeight="1">
      <c r="A6613" s="120">
        <v>87364</v>
      </c>
      <c r="B6613" s="119" t="s">
        <v>8151</v>
      </c>
      <c r="C6613" s="120" t="s">
        <v>950</v>
      </c>
      <c r="D6613" s="442">
        <v>3394.02</v>
      </c>
    </row>
    <row r="6614" spans="1:4" ht="31.5" customHeight="1">
      <c r="A6614" s="120">
        <v>87365</v>
      </c>
      <c r="B6614" s="119" t="s">
        <v>8152</v>
      </c>
      <c r="C6614" s="120" t="s">
        <v>950</v>
      </c>
      <c r="D6614" s="441">
        <v>545.44000000000005</v>
      </c>
    </row>
    <row r="6615" spans="1:4" ht="31.5" customHeight="1">
      <c r="A6615" s="120">
        <v>87366</v>
      </c>
      <c r="B6615" s="119" t="s">
        <v>8153</v>
      </c>
      <c r="C6615" s="120" t="s">
        <v>950</v>
      </c>
      <c r="D6615" s="441">
        <v>574.11</v>
      </c>
    </row>
    <row r="6616" spans="1:4" ht="31.5" customHeight="1">
      <c r="A6616" s="120">
        <v>87367</v>
      </c>
      <c r="B6616" s="119" t="s">
        <v>8154</v>
      </c>
      <c r="C6616" s="120" t="s">
        <v>950</v>
      </c>
      <c r="D6616" s="441">
        <v>648.67999999999995</v>
      </c>
    </row>
    <row r="6617" spans="1:4" ht="31.5" customHeight="1">
      <c r="A6617" s="120">
        <v>87368</v>
      </c>
      <c r="B6617" s="119" t="s">
        <v>8155</v>
      </c>
      <c r="C6617" s="120" t="s">
        <v>950</v>
      </c>
      <c r="D6617" s="441">
        <v>633.19000000000005</v>
      </c>
    </row>
    <row r="6618" spans="1:4" ht="31.5" customHeight="1">
      <c r="A6618" s="120">
        <v>87369</v>
      </c>
      <c r="B6618" s="119" t="s">
        <v>8156</v>
      </c>
      <c r="C6618" s="120" t="s">
        <v>950</v>
      </c>
      <c r="D6618" s="441">
        <v>641.67999999999995</v>
      </c>
    </row>
    <row r="6619" spans="1:4" ht="31.5" customHeight="1">
      <c r="A6619" s="120">
        <v>87370</v>
      </c>
      <c r="B6619" s="119" t="s">
        <v>8157</v>
      </c>
      <c r="C6619" s="120" t="s">
        <v>950</v>
      </c>
      <c r="D6619" s="441">
        <v>622.48</v>
      </c>
    </row>
    <row r="6620" spans="1:4" ht="31.5" customHeight="1">
      <c r="A6620" s="120">
        <v>87371</v>
      </c>
      <c r="B6620" s="119" t="s">
        <v>8158</v>
      </c>
      <c r="C6620" s="120" t="s">
        <v>950</v>
      </c>
      <c r="D6620" s="441">
        <v>606.92999999999995</v>
      </c>
    </row>
    <row r="6621" spans="1:4" ht="31.5" customHeight="1">
      <c r="A6621" s="120">
        <v>87372</v>
      </c>
      <c r="B6621" s="119" t="s">
        <v>8159</v>
      </c>
      <c r="C6621" s="120" t="s">
        <v>950</v>
      </c>
      <c r="D6621" s="441">
        <v>773.03</v>
      </c>
    </row>
    <row r="6622" spans="1:4" ht="31.5" customHeight="1">
      <c r="A6622" s="120">
        <v>87373</v>
      </c>
      <c r="B6622" s="119" t="s">
        <v>8160</v>
      </c>
      <c r="C6622" s="120" t="s">
        <v>950</v>
      </c>
      <c r="D6622" s="441">
        <v>693.95</v>
      </c>
    </row>
    <row r="6623" spans="1:4" ht="31.5" customHeight="1">
      <c r="A6623" s="120">
        <v>87374</v>
      </c>
      <c r="B6623" s="119" t="s">
        <v>8161</v>
      </c>
      <c r="C6623" s="120" t="s">
        <v>950</v>
      </c>
      <c r="D6623" s="441">
        <v>652.53</v>
      </c>
    </row>
    <row r="6624" spans="1:4" ht="31.5" customHeight="1">
      <c r="A6624" s="120">
        <v>87375</v>
      </c>
      <c r="B6624" s="119" t="s">
        <v>8162</v>
      </c>
      <c r="C6624" s="120" t="s">
        <v>950</v>
      </c>
      <c r="D6624" s="441">
        <v>627.08000000000004</v>
      </c>
    </row>
    <row r="6625" spans="1:4" ht="31.5" customHeight="1">
      <c r="A6625" s="120">
        <v>87376</v>
      </c>
      <c r="B6625" s="119" t="s">
        <v>8163</v>
      </c>
      <c r="C6625" s="120" t="s">
        <v>950</v>
      </c>
      <c r="D6625" s="441">
        <v>552.52</v>
      </c>
    </row>
    <row r="6626" spans="1:4" ht="31.5" customHeight="1">
      <c r="A6626" s="120">
        <v>87377</v>
      </c>
      <c r="B6626" s="119" t="s">
        <v>8164</v>
      </c>
      <c r="C6626" s="120" t="s">
        <v>950</v>
      </c>
      <c r="D6626" s="441">
        <v>638.35</v>
      </c>
    </row>
    <row r="6627" spans="1:4" ht="31.5" customHeight="1">
      <c r="A6627" s="120">
        <v>87378</v>
      </c>
      <c r="B6627" s="119" t="s">
        <v>8165</v>
      </c>
      <c r="C6627" s="120" t="s">
        <v>950</v>
      </c>
      <c r="D6627" s="441">
        <v>581.19000000000005</v>
      </c>
    </row>
    <row r="6628" spans="1:4" ht="31.5" customHeight="1">
      <c r="A6628" s="120">
        <v>87379</v>
      </c>
      <c r="B6628" s="119" t="s">
        <v>8166</v>
      </c>
      <c r="C6628" s="120" t="s">
        <v>950</v>
      </c>
      <c r="D6628" s="442">
        <v>3565.91</v>
      </c>
    </row>
    <row r="6629" spans="1:4" ht="31.5" customHeight="1">
      <c r="A6629" s="120">
        <v>87380</v>
      </c>
      <c r="B6629" s="119" t="s">
        <v>8167</v>
      </c>
      <c r="C6629" s="120" t="s">
        <v>950</v>
      </c>
      <c r="D6629" s="442">
        <v>3651.45</v>
      </c>
    </row>
    <row r="6630" spans="1:4" ht="31.5" customHeight="1">
      <c r="A6630" s="120">
        <v>87381</v>
      </c>
      <c r="B6630" s="119" t="s">
        <v>8168</v>
      </c>
      <c r="C6630" s="120" t="s">
        <v>950</v>
      </c>
      <c r="D6630" s="442">
        <v>3594.28</v>
      </c>
    </row>
    <row r="6631" spans="1:4" ht="31.5" customHeight="1">
      <c r="A6631" s="120">
        <v>87382</v>
      </c>
      <c r="B6631" s="119" t="s">
        <v>8169</v>
      </c>
      <c r="C6631" s="120" t="s">
        <v>950</v>
      </c>
      <c r="D6631" s="442">
        <v>1568.87</v>
      </c>
    </row>
    <row r="6632" spans="1:4" ht="31.5" customHeight="1">
      <c r="A6632" s="120">
        <v>87383</v>
      </c>
      <c r="B6632" s="119" t="s">
        <v>8170</v>
      </c>
      <c r="C6632" s="120" t="s">
        <v>950</v>
      </c>
      <c r="D6632" s="442">
        <v>1559.61</v>
      </c>
    </row>
    <row r="6633" spans="1:4" ht="31.5" customHeight="1">
      <c r="A6633" s="120">
        <v>87384</v>
      </c>
      <c r="B6633" s="119" t="s">
        <v>8171</v>
      </c>
      <c r="C6633" s="120" t="s">
        <v>950</v>
      </c>
      <c r="D6633" s="442">
        <v>1548.3</v>
      </c>
    </row>
    <row r="6634" spans="1:4" ht="31.5" customHeight="1">
      <c r="A6634" s="120">
        <v>87385</v>
      </c>
      <c r="B6634" s="119" t="s">
        <v>8172</v>
      </c>
      <c r="C6634" s="120" t="s">
        <v>950</v>
      </c>
      <c r="D6634" s="442">
        <v>1827.74</v>
      </c>
    </row>
    <row r="6635" spans="1:4" ht="31.5" customHeight="1">
      <c r="A6635" s="120">
        <v>87386</v>
      </c>
      <c r="B6635" s="119" t="s">
        <v>8173</v>
      </c>
      <c r="C6635" s="120" t="s">
        <v>950</v>
      </c>
      <c r="D6635" s="442">
        <v>1812.17</v>
      </c>
    </row>
    <row r="6636" spans="1:4" ht="31.5" customHeight="1">
      <c r="A6636" s="120">
        <v>87387</v>
      </c>
      <c r="B6636" s="119" t="s">
        <v>8174</v>
      </c>
      <c r="C6636" s="120" t="s">
        <v>950</v>
      </c>
      <c r="D6636" s="442">
        <v>1802.48</v>
      </c>
    </row>
    <row r="6637" spans="1:4" ht="31.5" customHeight="1">
      <c r="A6637" s="120">
        <v>87388</v>
      </c>
      <c r="B6637" s="119" t="s">
        <v>8175</v>
      </c>
      <c r="C6637" s="120" t="s">
        <v>950</v>
      </c>
      <c r="D6637" s="442">
        <v>4338.3100000000004</v>
      </c>
    </row>
    <row r="6638" spans="1:4" ht="31.5" customHeight="1">
      <c r="A6638" s="120">
        <v>87389</v>
      </c>
      <c r="B6638" s="119" t="s">
        <v>8176</v>
      </c>
      <c r="C6638" s="120" t="s">
        <v>950</v>
      </c>
      <c r="D6638" s="442">
        <v>4348.42</v>
      </c>
    </row>
    <row r="6639" spans="1:4" ht="31.5" customHeight="1">
      <c r="A6639" s="120">
        <v>87390</v>
      </c>
      <c r="B6639" s="119" t="s">
        <v>8177</v>
      </c>
      <c r="C6639" s="120" t="s">
        <v>950</v>
      </c>
      <c r="D6639" s="442">
        <v>4365.8599999999997</v>
      </c>
    </row>
    <row r="6640" spans="1:4" ht="31.5" customHeight="1">
      <c r="A6640" s="120">
        <v>87391</v>
      </c>
      <c r="B6640" s="119" t="s">
        <v>8178</v>
      </c>
      <c r="C6640" s="120" t="s">
        <v>950</v>
      </c>
      <c r="D6640" s="442">
        <v>4823.18</v>
      </c>
    </row>
    <row r="6641" spans="1:4" ht="31.5" customHeight="1">
      <c r="A6641" s="120">
        <v>87393</v>
      </c>
      <c r="B6641" s="119" t="s">
        <v>8179</v>
      </c>
      <c r="C6641" s="120" t="s">
        <v>950</v>
      </c>
      <c r="D6641" s="442">
        <v>4858.59</v>
      </c>
    </row>
    <row r="6642" spans="1:4" ht="31.5" customHeight="1">
      <c r="A6642" s="120">
        <v>87394</v>
      </c>
      <c r="B6642" s="119" t="s">
        <v>8180</v>
      </c>
      <c r="C6642" s="120" t="s">
        <v>950</v>
      </c>
      <c r="D6642" s="442">
        <v>4896.2299999999996</v>
      </c>
    </row>
    <row r="6643" spans="1:4" ht="31.5" customHeight="1">
      <c r="A6643" s="120">
        <v>87395</v>
      </c>
      <c r="B6643" s="119" t="s">
        <v>8181</v>
      </c>
      <c r="C6643" s="120" t="s">
        <v>950</v>
      </c>
      <c r="D6643" s="442">
        <v>3063.71</v>
      </c>
    </row>
    <row r="6644" spans="1:4" ht="31.5" customHeight="1">
      <c r="A6644" s="120">
        <v>87396</v>
      </c>
      <c r="B6644" s="119" t="s">
        <v>8182</v>
      </c>
      <c r="C6644" s="120" t="s">
        <v>950</v>
      </c>
      <c r="D6644" s="442">
        <v>3075.49</v>
      </c>
    </row>
    <row r="6645" spans="1:4" ht="31.5" customHeight="1">
      <c r="A6645" s="120">
        <v>87397</v>
      </c>
      <c r="B6645" s="119" t="s">
        <v>8183</v>
      </c>
      <c r="C6645" s="120" t="s">
        <v>950</v>
      </c>
      <c r="D6645" s="442">
        <v>3090.55</v>
      </c>
    </row>
    <row r="6646" spans="1:4" ht="31.5" customHeight="1">
      <c r="A6646" s="120">
        <v>87398</v>
      </c>
      <c r="B6646" s="119" t="s">
        <v>8184</v>
      </c>
      <c r="C6646" s="120" t="s">
        <v>950</v>
      </c>
      <c r="D6646" s="442">
        <v>1809.36</v>
      </c>
    </row>
    <row r="6647" spans="1:4" ht="15.75" customHeight="1">
      <c r="A6647" s="120">
        <v>87399</v>
      </c>
      <c r="B6647" s="119" t="s">
        <v>8185</v>
      </c>
      <c r="C6647" s="120" t="s">
        <v>950</v>
      </c>
      <c r="D6647" s="442">
        <v>2072.37</v>
      </c>
    </row>
    <row r="6648" spans="1:4" ht="15.75" customHeight="1">
      <c r="A6648" s="120">
        <v>87401</v>
      </c>
      <c r="B6648" s="119" t="s">
        <v>8186</v>
      </c>
      <c r="C6648" s="120" t="s">
        <v>950</v>
      </c>
      <c r="D6648" s="442">
        <v>5164.4399999999996</v>
      </c>
    </row>
    <row r="6649" spans="1:4" ht="15.75" customHeight="1">
      <c r="A6649" s="120">
        <v>87402</v>
      </c>
      <c r="B6649" s="119" t="s">
        <v>8187</v>
      </c>
      <c r="C6649" s="120" t="s">
        <v>950</v>
      </c>
      <c r="D6649" s="442">
        <v>3368.94</v>
      </c>
    </row>
    <row r="6650" spans="1:4" ht="31.5" customHeight="1">
      <c r="A6650" s="120">
        <v>87404</v>
      </c>
      <c r="B6650" s="119" t="s">
        <v>8188</v>
      </c>
      <c r="C6650" s="120" t="s">
        <v>950</v>
      </c>
      <c r="D6650" s="442">
        <v>4519.38</v>
      </c>
    </row>
    <row r="6651" spans="1:4" ht="31.5" customHeight="1">
      <c r="A6651" s="120">
        <v>87405</v>
      </c>
      <c r="B6651" s="119" t="s">
        <v>8189</v>
      </c>
      <c r="C6651" s="120" t="s">
        <v>950</v>
      </c>
      <c r="D6651" s="442">
        <v>4520.04</v>
      </c>
    </row>
    <row r="6652" spans="1:4" ht="31.5" customHeight="1">
      <c r="A6652" s="120">
        <v>87407</v>
      </c>
      <c r="B6652" s="119" t="s">
        <v>8190</v>
      </c>
      <c r="C6652" s="120" t="s">
        <v>950</v>
      </c>
      <c r="D6652" s="442">
        <v>1599.61</v>
      </c>
    </row>
    <row r="6653" spans="1:4" ht="31.5" customHeight="1">
      <c r="A6653" s="120">
        <v>87408</v>
      </c>
      <c r="B6653" s="119" t="s">
        <v>8191</v>
      </c>
      <c r="C6653" s="120" t="s">
        <v>950</v>
      </c>
      <c r="D6653" s="442">
        <v>1582.43</v>
      </c>
    </row>
    <row r="6654" spans="1:4" ht="15.75" customHeight="1">
      <c r="A6654" s="120">
        <v>87410</v>
      </c>
      <c r="B6654" s="119" t="s">
        <v>8192</v>
      </c>
      <c r="C6654" s="120" t="s">
        <v>950</v>
      </c>
      <c r="D6654" s="441">
        <v>839.64</v>
      </c>
    </row>
    <row r="6655" spans="1:4" ht="31.5" customHeight="1">
      <c r="A6655" s="120">
        <v>88626</v>
      </c>
      <c r="B6655" s="119" t="s">
        <v>8193</v>
      </c>
      <c r="C6655" s="120" t="s">
        <v>950</v>
      </c>
      <c r="D6655" s="441">
        <v>480.21</v>
      </c>
    </row>
    <row r="6656" spans="1:4" ht="31.5" customHeight="1">
      <c r="A6656" s="120">
        <v>88627</v>
      </c>
      <c r="B6656" s="119" t="s">
        <v>8194</v>
      </c>
      <c r="C6656" s="120" t="s">
        <v>950</v>
      </c>
      <c r="D6656" s="441">
        <v>603.08000000000004</v>
      </c>
    </row>
    <row r="6657" spans="1:4" ht="31.5" customHeight="1">
      <c r="A6657" s="120">
        <v>88628</v>
      </c>
      <c r="B6657" s="119" t="s">
        <v>8195</v>
      </c>
      <c r="C6657" s="120" t="s">
        <v>950</v>
      </c>
      <c r="D6657" s="441">
        <v>498.17</v>
      </c>
    </row>
    <row r="6658" spans="1:4" ht="15.75" customHeight="1">
      <c r="A6658" s="120">
        <v>88629</v>
      </c>
      <c r="B6658" s="119" t="s">
        <v>8196</v>
      </c>
      <c r="C6658" s="120" t="s">
        <v>950</v>
      </c>
      <c r="D6658" s="441">
        <v>626.84</v>
      </c>
    </row>
    <row r="6659" spans="1:4" ht="15.75" customHeight="1">
      <c r="A6659" s="120">
        <v>88630</v>
      </c>
      <c r="B6659" s="119" t="s">
        <v>8197</v>
      </c>
      <c r="C6659" s="120" t="s">
        <v>950</v>
      </c>
      <c r="D6659" s="441">
        <v>425.62</v>
      </c>
    </row>
    <row r="6660" spans="1:4" ht="15.75" customHeight="1">
      <c r="A6660" s="120">
        <v>88631</v>
      </c>
      <c r="B6660" s="119" t="s">
        <v>8198</v>
      </c>
      <c r="C6660" s="120" t="s">
        <v>950</v>
      </c>
      <c r="D6660" s="441">
        <v>565.09</v>
      </c>
    </row>
    <row r="6661" spans="1:4" ht="31.5" customHeight="1">
      <c r="A6661" s="120">
        <v>88715</v>
      </c>
      <c r="B6661" s="119" t="s">
        <v>8199</v>
      </c>
      <c r="C6661" s="120" t="s">
        <v>950</v>
      </c>
      <c r="D6661" s="441">
        <v>455.67</v>
      </c>
    </row>
    <row r="6662" spans="1:4" ht="31.5" customHeight="1">
      <c r="A6662" s="120">
        <v>95563</v>
      </c>
      <c r="B6662" s="119" t="s">
        <v>8200</v>
      </c>
      <c r="C6662" s="120" t="s">
        <v>950</v>
      </c>
      <c r="D6662" s="441">
        <v>756.05</v>
      </c>
    </row>
    <row r="6663" spans="1:4" ht="31.5" customHeight="1">
      <c r="A6663" s="120">
        <v>100464</v>
      </c>
      <c r="B6663" s="119" t="s">
        <v>8201</v>
      </c>
      <c r="C6663" s="120" t="s">
        <v>950</v>
      </c>
      <c r="D6663" s="441">
        <v>510.41</v>
      </c>
    </row>
    <row r="6664" spans="1:4" ht="31.5" customHeight="1">
      <c r="A6664" s="120">
        <v>100465</v>
      </c>
      <c r="B6664" s="119" t="s">
        <v>8202</v>
      </c>
      <c r="C6664" s="120" t="s">
        <v>950</v>
      </c>
      <c r="D6664" s="441">
        <v>467.23</v>
      </c>
    </row>
    <row r="6665" spans="1:4" ht="31.5" customHeight="1">
      <c r="A6665" s="120">
        <v>100466</v>
      </c>
      <c r="B6665" s="119" t="s">
        <v>8203</v>
      </c>
      <c r="C6665" s="120" t="s">
        <v>950</v>
      </c>
      <c r="D6665" s="441">
        <v>446.44</v>
      </c>
    </row>
    <row r="6666" spans="1:4" ht="31.5" customHeight="1">
      <c r="A6666" s="120">
        <v>100468</v>
      </c>
      <c r="B6666" s="119" t="s">
        <v>8204</v>
      </c>
      <c r="C6666" s="120" t="s">
        <v>950</v>
      </c>
      <c r="D6666" s="441">
        <v>615.79999999999995</v>
      </c>
    </row>
    <row r="6667" spans="1:4" ht="31.5" customHeight="1">
      <c r="A6667" s="120">
        <v>100469</v>
      </c>
      <c r="B6667" s="119" t="s">
        <v>8205</v>
      </c>
      <c r="C6667" s="120" t="s">
        <v>950</v>
      </c>
      <c r="D6667" s="441">
        <v>488.61</v>
      </c>
    </row>
    <row r="6668" spans="1:4" ht="31.5" customHeight="1">
      <c r="A6668" s="120">
        <v>100470</v>
      </c>
      <c r="B6668" s="119" t="s">
        <v>8206</v>
      </c>
      <c r="C6668" s="120" t="s">
        <v>950</v>
      </c>
      <c r="D6668" s="441">
        <v>442.97</v>
      </c>
    </row>
    <row r="6669" spans="1:4" ht="31.5" customHeight="1">
      <c r="A6669" s="120">
        <v>100472</v>
      </c>
      <c r="B6669" s="119" t="s">
        <v>8207</v>
      </c>
      <c r="C6669" s="120" t="s">
        <v>950</v>
      </c>
      <c r="D6669" s="441">
        <v>496.01</v>
      </c>
    </row>
    <row r="6670" spans="1:4" ht="31.5" customHeight="1">
      <c r="A6670" s="120">
        <v>100473</v>
      </c>
      <c r="B6670" s="119" t="s">
        <v>8208</v>
      </c>
      <c r="C6670" s="120" t="s">
        <v>950</v>
      </c>
      <c r="D6670" s="441">
        <v>441.67</v>
      </c>
    </row>
    <row r="6671" spans="1:4" ht="31.5" customHeight="1">
      <c r="A6671" s="120">
        <v>100474</v>
      </c>
      <c r="B6671" s="119" t="s">
        <v>8209</v>
      </c>
      <c r="C6671" s="120" t="s">
        <v>950</v>
      </c>
      <c r="D6671" s="441">
        <v>418.24</v>
      </c>
    </row>
    <row r="6672" spans="1:4" ht="31.5" customHeight="1">
      <c r="A6672" s="120">
        <v>100475</v>
      </c>
      <c r="B6672" s="119" t="s">
        <v>8210</v>
      </c>
      <c r="C6672" s="120" t="s">
        <v>950</v>
      </c>
      <c r="D6672" s="441">
        <v>644.76</v>
      </c>
    </row>
    <row r="6673" spans="1:4" ht="31.5" customHeight="1">
      <c r="A6673" s="120">
        <v>100477</v>
      </c>
      <c r="B6673" s="119" t="s">
        <v>8211</v>
      </c>
      <c r="C6673" s="120" t="s">
        <v>950</v>
      </c>
      <c r="D6673" s="441">
        <v>716.16</v>
      </c>
    </row>
    <row r="6674" spans="1:4" ht="31.5" customHeight="1">
      <c r="A6674" s="120">
        <v>100478</v>
      </c>
      <c r="B6674" s="119" t="s">
        <v>8212</v>
      </c>
      <c r="C6674" s="120" t="s">
        <v>950</v>
      </c>
      <c r="D6674" s="441">
        <v>631.73</v>
      </c>
    </row>
    <row r="6675" spans="1:4" ht="31.5" customHeight="1">
      <c r="A6675" s="120">
        <v>100479</v>
      </c>
      <c r="B6675" s="119" t="s">
        <v>8213</v>
      </c>
      <c r="C6675" s="120" t="s">
        <v>950</v>
      </c>
      <c r="D6675" s="441">
        <v>614.37</v>
      </c>
    </row>
    <row r="6676" spans="1:4" ht="31.5" customHeight="1">
      <c r="A6676" s="120">
        <v>100480</v>
      </c>
      <c r="B6676" s="119" t="s">
        <v>8214</v>
      </c>
      <c r="C6676" s="120" t="s">
        <v>950</v>
      </c>
      <c r="D6676" s="441">
        <v>772.66</v>
      </c>
    </row>
    <row r="6677" spans="1:4" ht="31.5" customHeight="1">
      <c r="A6677" s="120">
        <v>100481</v>
      </c>
      <c r="B6677" s="119" t="s">
        <v>8215</v>
      </c>
      <c r="C6677" s="120" t="s">
        <v>950</v>
      </c>
      <c r="D6677" s="441">
        <v>555.91999999999996</v>
      </c>
    </row>
    <row r="6678" spans="1:4" ht="31.5" customHeight="1">
      <c r="A6678" s="120">
        <v>100483</v>
      </c>
      <c r="B6678" s="119" t="s">
        <v>8216</v>
      </c>
      <c r="C6678" s="120" t="s">
        <v>950</v>
      </c>
      <c r="D6678" s="441">
        <v>609.27</v>
      </c>
    </row>
    <row r="6679" spans="1:4" ht="31.5" customHeight="1">
      <c r="A6679" s="120">
        <v>100484</v>
      </c>
      <c r="B6679" s="119" t="s">
        <v>8217</v>
      </c>
      <c r="C6679" s="120" t="s">
        <v>950</v>
      </c>
      <c r="D6679" s="441">
        <v>555.91</v>
      </c>
    </row>
    <row r="6680" spans="1:4" ht="31.5" customHeight="1">
      <c r="A6680" s="120">
        <v>100485</v>
      </c>
      <c r="B6680" s="119" t="s">
        <v>8218</v>
      </c>
      <c r="C6680" s="120" t="s">
        <v>950</v>
      </c>
      <c r="D6680" s="441">
        <v>534.57000000000005</v>
      </c>
    </row>
    <row r="6681" spans="1:4" ht="31.5" customHeight="1">
      <c r="A6681" s="120">
        <v>100486</v>
      </c>
      <c r="B6681" s="119" t="s">
        <v>8219</v>
      </c>
      <c r="C6681" s="120" t="s">
        <v>950</v>
      </c>
      <c r="D6681" s="441">
        <v>687.16</v>
      </c>
    </row>
    <row r="6682" spans="1:4" ht="47.25" customHeight="1">
      <c r="A6682" s="120">
        <v>100487</v>
      </c>
      <c r="B6682" s="119" t="s">
        <v>8220</v>
      </c>
      <c r="C6682" s="120" t="s">
        <v>950</v>
      </c>
      <c r="D6682" s="441">
        <v>429.97</v>
      </c>
    </row>
    <row r="6683" spans="1:4" ht="31.5" customHeight="1">
      <c r="A6683" s="120">
        <v>100488</v>
      </c>
      <c r="B6683" s="119" t="s">
        <v>8221</v>
      </c>
      <c r="C6683" s="120" t="s">
        <v>950</v>
      </c>
      <c r="D6683" s="441">
        <v>470</v>
      </c>
    </row>
    <row r="6684" spans="1:4" ht="31.5" customHeight="1">
      <c r="A6684" s="120">
        <v>100489</v>
      </c>
      <c r="B6684" s="119" t="s">
        <v>8222</v>
      </c>
      <c r="C6684" s="120" t="s">
        <v>950</v>
      </c>
      <c r="D6684" s="441">
        <v>495.95</v>
      </c>
    </row>
    <row r="6685" spans="1:4" ht="31.5" customHeight="1">
      <c r="A6685" s="120">
        <v>100490</v>
      </c>
      <c r="B6685" s="119" t="s">
        <v>8223</v>
      </c>
      <c r="C6685" s="120" t="s">
        <v>950</v>
      </c>
      <c r="D6685" s="441">
        <v>437.27</v>
      </c>
    </row>
    <row r="6686" spans="1:4" ht="31.5" customHeight="1">
      <c r="A6686" s="120">
        <v>100491</v>
      </c>
      <c r="B6686" s="119" t="s">
        <v>8224</v>
      </c>
      <c r="C6686" s="120" t="s">
        <v>950</v>
      </c>
      <c r="D6686" s="441">
        <v>643.86</v>
      </c>
    </row>
    <row r="6687" spans="1:4" ht="31.5" customHeight="1">
      <c r="A6687" s="120">
        <v>100492</v>
      </c>
      <c r="B6687" s="119" t="s">
        <v>8225</v>
      </c>
      <c r="C6687" s="120" t="s">
        <v>950</v>
      </c>
      <c r="D6687" s="441">
        <v>555.33000000000004</v>
      </c>
    </row>
    <row r="6688" spans="1:4" ht="15.75" customHeight="1">
      <c r="A6688" s="120">
        <v>92121</v>
      </c>
      <c r="B6688" s="119" t="s">
        <v>8226</v>
      </c>
      <c r="C6688" s="120" t="s">
        <v>950</v>
      </c>
      <c r="D6688" s="441">
        <v>35.26</v>
      </c>
    </row>
    <row r="6689" spans="1:4" ht="15.75" customHeight="1">
      <c r="A6689" s="120">
        <v>92122</v>
      </c>
      <c r="B6689" s="119" t="s">
        <v>8227</v>
      </c>
      <c r="C6689" s="120" t="s">
        <v>950</v>
      </c>
      <c r="D6689" s="441">
        <v>60.23</v>
      </c>
    </row>
    <row r="6690" spans="1:4" ht="15.75" customHeight="1">
      <c r="A6690" s="120">
        <v>92123</v>
      </c>
      <c r="B6690" s="119" t="s">
        <v>8228</v>
      </c>
      <c r="C6690" s="120" t="s">
        <v>950</v>
      </c>
      <c r="D6690" s="441">
        <v>55.78</v>
      </c>
    </row>
    <row r="6691" spans="1:4" ht="15.75" customHeight="1">
      <c r="A6691" s="120">
        <v>100195</v>
      </c>
      <c r="B6691" s="119" t="s">
        <v>8229</v>
      </c>
      <c r="C6691" s="120" t="s">
        <v>8230</v>
      </c>
      <c r="D6691" s="441">
        <v>0.92</v>
      </c>
    </row>
    <row r="6692" spans="1:4" ht="15.75" customHeight="1">
      <c r="A6692" s="120">
        <v>100196</v>
      </c>
      <c r="B6692" s="119" t="s">
        <v>8231</v>
      </c>
      <c r="C6692" s="120" t="s">
        <v>8230</v>
      </c>
      <c r="D6692" s="441">
        <v>1.53</v>
      </c>
    </row>
    <row r="6693" spans="1:4" ht="15.75" customHeight="1">
      <c r="A6693" s="120">
        <v>100197</v>
      </c>
      <c r="B6693" s="119" t="s">
        <v>8232</v>
      </c>
      <c r="C6693" s="120" t="s">
        <v>8230</v>
      </c>
      <c r="D6693" s="441">
        <v>2.2999999999999998</v>
      </c>
    </row>
    <row r="6694" spans="1:4" ht="15.75" customHeight="1">
      <c r="A6694" s="120">
        <v>100198</v>
      </c>
      <c r="B6694" s="119" t="s">
        <v>8233</v>
      </c>
      <c r="C6694" s="120" t="s">
        <v>8230</v>
      </c>
      <c r="D6694" s="441">
        <v>0.32</v>
      </c>
    </row>
    <row r="6695" spans="1:4" ht="15.75" customHeight="1">
      <c r="A6695" s="120">
        <v>100199</v>
      </c>
      <c r="B6695" s="119" t="s">
        <v>8234</v>
      </c>
      <c r="C6695" s="120" t="s">
        <v>8230</v>
      </c>
      <c r="D6695" s="441">
        <v>0.38</v>
      </c>
    </row>
    <row r="6696" spans="1:4" ht="15.75" customHeight="1">
      <c r="A6696" s="120">
        <v>100200</v>
      </c>
      <c r="B6696" s="119" t="s">
        <v>8235</v>
      </c>
      <c r="C6696" s="120" t="s">
        <v>8230</v>
      </c>
      <c r="D6696" s="441">
        <v>0.47</v>
      </c>
    </row>
    <row r="6697" spans="1:4" ht="15.75" customHeight="1">
      <c r="A6697" s="120">
        <v>100201</v>
      </c>
      <c r="B6697" s="119" t="s">
        <v>8236</v>
      </c>
      <c r="C6697" s="120" t="s">
        <v>8230</v>
      </c>
      <c r="D6697" s="441">
        <v>0.93</v>
      </c>
    </row>
    <row r="6698" spans="1:4" ht="15.75" customHeight="1">
      <c r="A6698" s="120">
        <v>100202</v>
      </c>
      <c r="B6698" s="119" t="s">
        <v>8237</v>
      </c>
      <c r="C6698" s="120" t="s">
        <v>8230</v>
      </c>
      <c r="D6698" s="441">
        <v>1.0900000000000001</v>
      </c>
    </row>
    <row r="6699" spans="1:4" ht="15.75" customHeight="1">
      <c r="A6699" s="120">
        <v>100203</v>
      </c>
      <c r="B6699" s="119" t="s">
        <v>8238</v>
      </c>
      <c r="C6699" s="120" t="s">
        <v>8230</v>
      </c>
      <c r="D6699" s="441">
        <v>1.29</v>
      </c>
    </row>
    <row r="6700" spans="1:4" ht="31.5" customHeight="1">
      <c r="A6700" s="120">
        <v>100204</v>
      </c>
      <c r="B6700" s="119" t="s">
        <v>8239</v>
      </c>
      <c r="C6700" s="120" t="s">
        <v>8230</v>
      </c>
      <c r="D6700" s="441">
        <v>0.1</v>
      </c>
    </row>
    <row r="6701" spans="1:4" ht="15.75" customHeight="1">
      <c r="A6701" s="120">
        <v>100205</v>
      </c>
      <c r="B6701" s="119" t="s">
        <v>8240</v>
      </c>
      <c r="C6701" s="120" t="s">
        <v>8241</v>
      </c>
      <c r="D6701" s="442">
        <v>1715.85</v>
      </c>
    </row>
    <row r="6702" spans="1:4" ht="15.75" customHeight="1">
      <c r="A6702" s="120">
        <v>100206</v>
      </c>
      <c r="B6702" s="119" t="s">
        <v>8242</v>
      </c>
      <c r="C6702" s="120" t="s">
        <v>8241</v>
      </c>
      <c r="D6702" s="442">
        <v>1240.27</v>
      </c>
    </row>
    <row r="6703" spans="1:4" ht="15.75" customHeight="1">
      <c r="A6703" s="120">
        <v>100207</v>
      </c>
      <c r="B6703" s="119" t="s">
        <v>8243</v>
      </c>
      <c r="C6703" s="120" t="s">
        <v>8241</v>
      </c>
      <c r="D6703" s="441">
        <v>465.45</v>
      </c>
    </row>
    <row r="6704" spans="1:4" ht="31.5" customHeight="1">
      <c r="A6704" s="120">
        <v>100208</v>
      </c>
      <c r="B6704" s="119" t="s">
        <v>8244</v>
      </c>
      <c r="C6704" s="120" t="s">
        <v>8245</v>
      </c>
      <c r="D6704" s="441">
        <v>22.7</v>
      </c>
    </row>
    <row r="6705" spans="1:4" ht="31.5" customHeight="1">
      <c r="A6705" s="120">
        <v>100209</v>
      </c>
      <c r="B6705" s="119" t="s">
        <v>8246</v>
      </c>
      <c r="C6705" s="120" t="s">
        <v>8245</v>
      </c>
      <c r="D6705" s="441">
        <v>11.35</v>
      </c>
    </row>
    <row r="6706" spans="1:4" ht="31.5" customHeight="1">
      <c r="A6706" s="120">
        <v>100210</v>
      </c>
      <c r="B6706" s="119" t="s">
        <v>8247</v>
      </c>
      <c r="C6706" s="120" t="s">
        <v>8245</v>
      </c>
      <c r="D6706" s="441">
        <v>20.91</v>
      </c>
    </row>
    <row r="6707" spans="1:4" ht="31.5" customHeight="1">
      <c r="A6707" s="120">
        <v>100211</v>
      </c>
      <c r="B6707" s="119" t="s">
        <v>8248</v>
      </c>
      <c r="C6707" s="120" t="s">
        <v>8245</v>
      </c>
      <c r="D6707" s="441">
        <v>8.07</v>
      </c>
    </row>
    <row r="6708" spans="1:4" ht="31.5" customHeight="1">
      <c r="A6708" s="120">
        <v>100212</v>
      </c>
      <c r="B6708" s="119" t="s">
        <v>8249</v>
      </c>
      <c r="C6708" s="120" t="s">
        <v>8245</v>
      </c>
      <c r="D6708" s="441">
        <v>8.91</v>
      </c>
    </row>
    <row r="6709" spans="1:4" ht="31.5" customHeight="1">
      <c r="A6709" s="120">
        <v>100213</v>
      </c>
      <c r="B6709" s="119" t="s">
        <v>8250</v>
      </c>
      <c r="C6709" s="120" t="s">
        <v>8245</v>
      </c>
      <c r="D6709" s="441">
        <v>3.2</v>
      </c>
    </row>
    <row r="6710" spans="1:4" ht="31.5" customHeight="1">
      <c r="A6710" s="120">
        <v>100214</v>
      </c>
      <c r="B6710" s="119" t="s">
        <v>8251</v>
      </c>
      <c r="C6710" s="120" t="s">
        <v>8245</v>
      </c>
      <c r="D6710" s="441">
        <v>4.91</v>
      </c>
    </row>
    <row r="6711" spans="1:4" ht="31.5" customHeight="1">
      <c r="A6711" s="120">
        <v>100215</v>
      </c>
      <c r="B6711" s="119" t="s">
        <v>8252</v>
      </c>
      <c r="C6711" s="120" t="s">
        <v>8245</v>
      </c>
      <c r="D6711" s="441">
        <v>4.21</v>
      </c>
    </row>
    <row r="6712" spans="1:4" ht="31.5" customHeight="1">
      <c r="A6712" s="120">
        <v>100216</v>
      </c>
      <c r="B6712" s="119" t="s">
        <v>8253</v>
      </c>
      <c r="C6712" s="120" t="s">
        <v>8245</v>
      </c>
      <c r="D6712" s="441">
        <v>1.1299999999999999</v>
      </c>
    </row>
    <row r="6713" spans="1:4" ht="31.5" customHeight="1">
      <c r="A6713" s="120">
        <v>100217</v>
      </c>
      <c r="B6713" s="119" t="s">
        <v>8254</v>
      </c>
      <c r="C6713" s="120" t="s">
        <v>8245</v>
      </c>
      <c r="D6713" s="441">
        <v>2.84</v>
      </c>
    </row>
    <row r="6714" spans="1:4" ht="31.5" customHeight="1">
      <c r="A6714" s="120">
        <v>100218</v>
      </c>
      <c r="B6714" s="119" t="s">
        <v>8255</v>
      </c>
      <c r="C6714" s="120" t="s">
        <v>8245</v>
      </c>
      <c r="D6714" s="441">
        <v>1.93</v>
      </c>
    </row>
    <row r="6715" spans="1:4" ht="31.5" customHeight="1">
      <c r="A6715" s="120">
        <v>100219</v>
      </c>
      <c r="B6715" s="119" t="s">
        <v>8256</v>
      </c>
      <c r="C6715" s="120" t="s">
        <v>8245</v>
      </c>
      <c r="D6715" s="441">
        <v>0.42</v>
      </c>
    </row>
    <row r="6716" spans="1:4" ht="15.75" customHeight="1">
      <c r="A6716" s="120">
        <v>100220</v>
      </c>
      <c r="B6716" s="119" t="s">
        <v>8257</v>
      </c>
      <c r="C6716" s="120" t="s">
        <v>8258</v>
      </c>
      <c r="D6716" s="441">
        <v>32.61</v>
      </c>
    </row>
    <row r="6717" spans="1:4" ht="31.5" customHeight="1">
      <c r="A6717" s="120">
        <v>100221</v>
      </c>
      <c r="B6717" s="119" t="s">
        <v>8259</v>
      </c>
      <c r="C6717" s="120" t="s">
        <v>8258</v>
      </c>
      <c r="D6717" s="441">
        <v>36.96</v>
      </c>
    </row>
    <row r="6718" spans="1:4" ht="31.5" customHeight="1">
      <c r="A6718" s="120">
        <v>100222</v>
      </c>
      <c r="B6718" s="119" t="s">
        <v>8260</v>
      </c>
      <c r="C6718" s="120" t="s">
        <v>8258</v>
      </c>
      <c r="D6718" s="441">
        <v>14</v>
      </c>
    </row>
    <row r="6719" spans="1:4" ht="31.5" customHeight="1">
      <c r="A6719" s="120">
        <v>100223</v>
      </c>
      <c r="B6719" s="119" t="s">
        <v>8261</v>
      </c>
      <c r="C6719" s="120" t="s">
        <v>8258</v>
      </c>
      <c r="D6719" s="441">
        <v>6.55</v>
      </c>
    </row>
    <row r="6720" spans="1:4" ht="31.5" customHeight="1">
      <c r="A6720" s="120">
        <v>100224</v>
      </c>
      <c r="B6720" s="119" t="s">
        <v>8262</v>
      </c>
      <c r="C6720" s="120" t="s">
        <v>8258</v>
      </c>
      <c r="D6720" s="441">
        <v>2.84</v>
      </c>
    </row>
    <row r="6721" spans="1:4" ht="15.75" customHeight="1">
      <c r="A6721" s="120">
        <v>100225</v>
      </c>
      <c r="B6721" s="119" t="s">
        <v>8263</v>
      </c>
      <c r="C6721" s="120" t="s">
        <v>8264</v>
      </c>
      <c r="D6721" s="441">
        <v>2.56</v>
      </c>
    </row>
    <row r="6722" spans="1:4" ht="15.75" customHeight="1">
      <c r="A6722" s="120">
        <v>100226</v>
      </c>
      <c r="B6722" s="119" t="s">
        <v>8265</v>
      </c>
      <c r="C6722" s="120" t="s">
        <v>8264</v>
      </c>
      <c r="D6722" s="441">
        <v>0.8</v>
      </c>
    </row>
    <row r="6723" spans="1:4" ht="15.75" customHeight="1">
      <c r="A6723" s="120">
        <v>100227</v>
      </c>
      <c r="B6723" s="119" t="s">
        <v>8266</v>
      </c>
      <c r="C6723" s="120" t="s">
        <v>8264</v>
      </c>
      <c r="D6723" s="441">
        <v>1.19</v>
      </c>
    </row>
    <row r="6724" spans="1:4" ht="15.75" customHeight="1">
      <c r="A6724" s="120">
        <v>100228</v>
      </c>
      <c r="B6724" s="119" t="s">
        <v>8267</v>
      </c>
      <c r="C6724" s="120" t="s">
        <v>8264</v>
      </c>
      <c r="D6724" s="441">
        <v>0.28000000000000003</v>
      </c>
    </row>
    <row r="6725" spans="1:4" ht="15.75" customHeight="1">
      <c r="A6725" s="120">
        <v>100229</v>
      </c>
      <c r="B6725" s="119" t="s">
        <v>8268</v>
      </c>
      <c r="C6725" s="120" t="s">
        <v>327</v>
      </c>
      <c r="D6725" s="441">
        <v>0.01</v>
      </c>
    </row>
    <row r="6726" spans="1:4" ht="15.75" customHeight="1">
      <c r="A6726" s="120">
        <v>100230</v>
      </c>
      <c r="B6726" s="119" t="s">
        <v>8269</v>
      </c>
      <c r="C6726" s="120" t="s">
        <v>327</v>
      </c>
      <c r="D6726" s="441">
        <v>0.03</v>
      </c>
    </row>
    <row r="6727" spans="1:4" ht="15.75" customHeight="1">
      <c r="A6727" s="120">
        <v>100231</v>
      </c>
      <c r="B6727" s="119" t="s">
        <v>8270</v>
      </c>
      <c r="C6727" s="120" t="s">
        <v>327</v>
      </c>
      <c r="D6727" s="441">
        <v>0.04</v>
      </c>
    </row>
    <row r="6728" spans="1:4" ht="31.5" customHeight="1">
      <c r="A6728" s="120">
        <v>100232</v>
      </c>
      <c r="B6728" s="119" t="s">
        <v>8271</v>
      </c>
      <c r="C6728" s="120" t="s">
        <v>331</v>
      </c>
      <c r="D6728" s="441">
        <v>0.43</v>
      </c>
    </row>
    <row r="6729" spans="1:4" ht="31.5" customHeight="1">
      <c r="A6729" s="120">
        <v>100233</v>
      </c>
      <c r="B6729" s="119" t="s">
        <v>8272</v>
      </c>
      <c r="C6729" s="120" t="s">
        <v>331</v>
      </c>
      <c r="D6729" s="441">
        <v>0.21</v>
      </c>
    </row>
    <row r="6730" spans="1:4" ht="31.5" customHeight="1">
      <c r="A6730" s="120">
        <v>100234</v>
      </c>
      <c r="B6730" s="119" t="s">
        <v>8273</v>
      </c>
      <c r="C6730" s="120" t="s">
        <v>951</v>
      </c>
      <c r="D6730" s="441">
        <v>0.64</v>
      </c>
    </row>
    <row r="6731" spans="1:4" ht="15.75" customHeight="1">
      <c r="A6731" s="120">
        <v>100235</v>
      </c>
      <c r="B6731" s="119" t="s">
        <v>8274</v>
      </c>
      <c r="C6731" s="120" t="s">
        <v>954</v>
      </c>
      <c r="D6731" s="441">
        <v>0.05</v>
      </c>
    </row>
    <row r="6732" spans="1:4" ht="31.5" customHeight="1">
      <c r="A6732" s="120">
        <v>100236</v>
      </c>
      <c r="B6732" s="119" t="s">
        <v>8275</v>
      </c>
      <c r="C6732" s="120" t="s">
        <v>8276</v>
      </c>
      <c r="D6732" s="441">
        <v>3.25</v>
      </c>
    </row>
    <row r="6733" spans="1:4" ht="31.5" customHeight="1">
      <c r="A6733" s="120">
        <v>100237</v>
      </c>
      <c r="B6733" s="119" t="s">
        <v>8277</v>
      </c>
      <c r="C6733" s="120" t="s">
        <v>8276</v>
      </c>
      <c r="D6733" s="441">
        <v>3.9</v>
      </c>
    </row>
    <row r="6734" spans="1:4" ht="31.5" customHeight="1">
      <c r="A6734" s="120">
        <v>100238</v>
      </c>
      <c r="B6734" s="119" t="s">
        <v>8278</v>
      </c>
      <c r="C6734" s="120" t="s">
        <v>8276</v>
      </c>
      <c r="D6734" s="441">
        <v>6.24</v>
      </c>
    </row>
    <row r="6735" spans="1:4" ht="31.5" customHeight="1">
      <c r="A6735" s="120">
        <v>100239</v>
      </c>
      <c r="B6735" s="119" t="s">
        <v>8279</v>
      </c>
      <c r="C6735" s="120" t="s">
        <v>8276</v>
      </c>
      <c r="D6735" s="441">
        <v>7.8</v>
      </c>
    </row>
    <row r="6736" spans="1:4" ht="31.5" customHeight="1">
      <c r="A6736" s="120">
        <v>100240</v>
      </c>
      <c r="B6736" s="119" t="s">
        <v>8280</v>
      </c>
      <c r="C6736" s="120" t="s">
        <v>8276</v>
      </c>
      <c r="D6736" s="441">
        <v>4.67</v>
      </c>
    </row>
    <row r="6737" spans="1:4" ht="31.5" customHeight="1">
      <c r="A6737" s="120">
        <v>100241</v>
      </c>
      <c r="B6737" s="119" t="s">
        <v>8281</v>
      </c>
      <c r="C6737" s="120" t="s">
        <v>8276</v>
      </c>
      <c r="D6737" s="441">
        <v>7.8</v>
      </c>
    </row>
    <row r="6738" spans="1:4" ht="31.5" customHeight="1">
      <c r="A6738" s="120">
        <v>100242</v>
      </c>
      <c r="B6738" s="119" t="s">
        <v>8282</v>
      </c>
      <c r="C6738" s="120" t="s">
        <v>8276</v>
      </c>
      <c r="D6738" s="441">
        <v>23.05</v>
      </c>
    </row>
    <row r="6739" spans="1:4" ht="31.5" customHeight="1">
      <c r="A6739" s="120">
        <v>100243</v>
      </c>
      <c r="B6739" s="119" t="s">
        <v>8283</v>
      </c>
      <c r="C6739" s="120" t="s">
        <v>8276</v>
      </c>
      <c r="D6739" s="441">
        <v>3.74</v>
      </c>
    </row>
    <row r="6740" spans="1:4" ht="31.5" customHeight="1">
      <c r="A6740" s="120">
        <v>100244</v>
      </c>
      <c r="B6740" s="119" t="s">
        <v>8284</v>
      </c>
      <c r="C6740" s="120" t="s">
        <v>8276</v>
      </c>
      <c r="D6740" s="441">
        <v>4.67</v>
      </c>
    </row>
    <row r="6741" spans="1:4" ht="31.5" customHeight="1">
      <c r="A6741" s="120">
        <v>100245</v>
      </c>
      <c r="B6741" s="119" t="s">
        <v>8285</v>
      </c>
      <c r="C6741" s="120" t="s">
        <v>8276</v>
      </c>
      <c r="D6741" s="441">
        <v>9.36</v>
      </c>
    </row>
    <row r="6742" spans="1:4" ht="31.5" customHeight="1">
      <c r="A6742" s="120">
        <v>100246</v>
      </c>
      <c r="B6742" s="119" t="s">
        <v>8286</v>
      </c>
      <c r="C6742" s="120" t="s">
        <v>8276</v>
      </c>
      <c r="D6742" s="441">
        <v>3.11</v>
      </c>
    </row>
    <row r="6743" spans="1:4" ht="47.25" customHeight="1">
      <c r="A6743" s="120">
        <v>100247</v>
      </c>
      <c r="B6743" s="119" t="s">
        <v>8287</v>
      </c>
      <c r="C6743" s="120" t="s">
        <v>8276</v>
      </c>
      <c r="D6743" s="441">
        <v>3.9</v>
      </c>
    </row>
    <row r="6744" spans="1:4" ht="47.25" customHeight="1">
      <c r="A6744" s="120">
        <v>100248</v>
      </c>
      <c r="B6744" s="119" t="s">
        <v>8288</v>
      </c>
      <c r="C6744" s="120" t="s">
        <v>8276</v>
      </c>
      <c r="D6744" s="441">
        <v>15.36</v>
      </c>
    </row>
    <row r="6745" spans="1:4" ht="31.5" customHeight="1">
      <c r="A6745" s="120">
        <v>100249</v>
      </c>
      <c r="B6745" s="119" t="s">
        <v>8289</v>
      </c>
      <c r="C6745" s="120" t="s">
        <v>8276</v>
      </c>
      <c r="D6745" s="441">
        <v>3.11</v>
      </c>
    </row>
    <row r="6746" spans="1:4" ht="31.5" customHeight="1">
      <c r="A6746" s="120">
        <v>100250</v>
      </c>
      <c r="B6746" s="119" t="s">
        <v>8290</v>
      </c>
      <c r="C6746" s="120" t="s">
        <v>8276</v>
      </c>
      <c r="D6746" s="441">
        <v>5.19</v>
      </c>
    </row>
    <row r="6747" spans="1:4" ht="31.5" customHeight="1">
      <c r="A6747" s="120">
        <v>100251</v>
      </c>
      <c r="B6747" s="119" t="s">
        <v>8291</v>
      </c>
      <c r="C6747" s="120" t="s">
        <v>8276</v>
      </c>
      <c r="D6747" s="441">
        <v>15.36</v>
      </c>
    </row>
    <row r="6748" spans="1:4" ht="31.5" customHeight="1">
      <c r="A6748" s="120">
        <v>100252</v>
      </c>
      <c r="B6748" s="119" t="s">
        <v>8292</v>
      </c>
      <c r="C6748" s="120" t="s">
        <v>8276</v>
      </c>
      <c r="D6748" s="441">
        <v>23.05</v>
      </c>
    </row>
    <row r="6749" spans="1:4" ht="31.5" customHeight="1">
      <c r="A6749" s="120">
        <v>100253</v>
      </c>
      <c r="B6749" s="119" t="s">
        <v>8293</v>
      </c>
      <c r="C6749" s="120" t="s">
        <v>8276</v>
      </c>
      <c r="D6749" s="441">
        <v>30.73</v>
      </c>
    </row>
    <row r="6750" spans="1:4" ht="31.5" customHeight="1">
      <c r="A6750" s="120">
        <v>100254</v>
      </c>
      <c r="B6750" s="119" t="s">
        <v>8294</v>
      </c>
      <c r="C6750" s="120" t="s">
        <v>8276</v>
      </c>
      <c r="D6750" s="441">
        <v>46.1</v>
      </c>
    </row>
    <row r="6751" spans="1:4" ht="31.5" customHeight="1">
      <c r="A6751" s="120">
        <v>100255</v>
      </c>
      <c r="B6751" s="119" t="s">
        <v>8295</v>
      </c>
      <c r="C6751" s="120" t="s">
        <v>8276</v>
      </c>
      <c r="D6751" s="441">
        <v>15.6</v>
      </c>
    </row>
    <row r="6752" spans="1:4" ht="31.5" customHeight="1">
      <c r="A6752" s="120">
        <v>100256</v>
      </c>
      <c r="B6752" s="119" t="s">
        <v>8296</v>
      </c>
      <c r="C6752" s="120" t="s">
        <v>8276</v>
      </c>
      <c r="D6752" s="441">
        <v>10.4</v>
      </c>
    </row>
    <row r="6753" spans="1:4" ht="31.5" customHeight="1">
      <c r="A6753" s="120">
        <v>100257</v>
      </c>
      <c r="B6753" s="119" t="s">
        <v>8297</v>
      </c>
      <c r="C6753" s="120" t="s">
        <v>8276</v>
      </c>
      <c r="D6753" s="441">
        <v>6.24</v>
      </c>
    </row>
    <row r="6754" spans="1:4" ht="31.5" customHeight="1">
      <c r="A6754" s="120">
        <v>100258</v>
      </c>
      <c r="B6754" s="119" t="s">
        <v>8298</v>
      </c>
      <c r="C6754" s="120" t="s">
        <v>8276</v>
      </c>
      <c r="D6754" s="441">
        <v>15.6</v>
      </c>
    </row>
    <row r="6755" spans="1:4" ht="31.5" customHeight="1">
      <c r="A6755" s="120">
        <v>100259</v>
      </c>
      <c r="B6755" s="119" t="s">
        <v>8299</v>
      </c>
      <c r="C6755" s="120" t="s">
        <v>8276</v>
      </c>
      <c r="D6755" s="441">
        <v>30.73</v>
      </c>
    </row>
    <row r="6756" spans="1:4" ht="31.5" customHeight="1">
      <c r="A6756" s="120">
        <v>100260</v>
      </c>
      <c r="B6756" s="119" t="s">
        <v>8300</v>
      </c>
      <c r="C6756" s="120" t="s">
        <v>8230</v>
      </c>
      <c r="D6756" s="441">
        <v>10.130000000000001</v>
      </c>
    </row>
    <row r="6757" spans="1:4" ht="31.5" customHeight="1">
      <c r="A6757" s="120">
        <v>100261</v>
      </c>
      <c r="B6757" s="119" t="s">
        <v>8301</v>
      </c>
      <c r="C6757" s="120" t="s">
        <v>8230</v>
      </c>
      <c r="D6757" s="441">
        <v>6.36</v>
      </c>
    </row>
    <row r="6758" spans="1:4" ht="31.5" customHeight="1">
      <c r="A6758" s="120">
        <v>100262</v>
      </c>
      <c r="B6758" s="119" t="s">
        <v>8302</v>
      </c>
      <c r="C6758" s="120" t="s">
        <v>8230</v>
      </c>
      <c r="D6758" s="441">
        <v>3.94</v>
      </c>
    </row>
    <row r="6759" spans="1:4" ht="31.5" customHeight="1">
      <c r="A6759" s="120">
        <v>100263</v>
      </c>
      <c r="B6759" s="119" t="s">
        <v>8303</v>
      </c>
      <c r="C6759" s="120" t="s">
        <v>8230</v>
      </c>
      <c r="D6759" s="441">
        <v>2.52</v>
      </c>
    </row>
    <row r="6760" spans="1:4" ht="15.75" customHeight="1">
      <c r="A6760" s="120">
        <v>100264</v>
      </c>
      <c r="B6760" s="119" t="s">
        <v>8304</v>
      </c>
      <c r="C6760" s="120" t="s">
        <v>8258</v>
      </c>
      <c r="D6760" s="441">
        <v>46.03</v>
      </c>
    </row>
    <row r="6761" spans="1:4" ht="15.75" customHeight="1">
      <c r="A6761" s="120">
        <v>100265</v>
      </c>
      <c r="B6761" s="119" t="s">
        <v>8305</v>
      </c>
      <c r="C6761" s="120" t="s">
        <v>951</v>
      </c>
      <c r="D6761" s="441">
        <v>0.96</v>
      </c>
    </row>
    <row r="6762" spans="1:4" ht="15.75" customHeight="1">
      <c r="A6762" s="120">
        <v>100266</v>
      </c>
      <c r="B6762" s="119" t="s">
        <v>8306</v>
      </c>
      <c r="C6762" s="120" t="s">
        <v>8245</v>
      </c>
      <c r="D6762" s="441">
        <v>97.83</v>
      </c>
    </row>
    <row r="6763" spans="1:4" ht="15.75" customHeight="1">
      <c r="A6763" s="120">
        <v>100267</v>
      </c>
      <c r="B6763" s="119" t="s">
        <v>8307</v>
      </c>
      <c r="C6763" s="120" t="s">
        <v>331</v>
      </c>
      <c r="D6763" s="441">
        <v>1.93</v>
      </c>
    </row>
    <row r="6764" spans="1:4" ht="31.5" customHeight="1">
      <c r="A6764" s="120">
        <v>100268</v>
      </c>
      <c r="B6764" s="119" t="s">
        <v>8308</v>
      </c>
      <c r="C6764" s="120" t="s">
        <v>8245</v>
      </c>
      <c r="D6764" s="441">
        <v>97.83</v>
      </c>
    </row>
    <row r="6765" spans="1:4" ht="31.5" customHeight="1">
      <c r="A6765" s="120">
        <v>100269</v>
      </c>
      <c r="B6765" s="119" t="s">
        <v>8309</v>
      </c>
      <c r="C6765" s="120" t="s">
        <v>331</v>
      </c>
      <c r="D6765" s="441">
        <v>1.93</v>
      </c>
    </row>
    <row r="6766" spans="1:4" ht="31.5" customHeight="1">
      <c r="A6766" s="120">
        <v>100270</v>
      </c>
      <c r="B6766" s="119" t="s">
        <v>8310</v>
      </c>
      <c r="C6766" s="120" t="s">
        <v>8245</v>
      </c>
      <c r="D6766" s="441">
        <v>73.33</v>
      </c>
    </row>
    <row r="6767" spans="1:4" ht="15.75" customHeight="1">
      <c r="A6767" s="120">
        <v>100271</v>
      </c>
      <c r="B6767" s="119" t="s">
        <v>8311</v>
      </c>
      <c r="C6767" s="120" t="s">
        <v>8258</v>
      </c>
      <c r="D6767" s="441">
        <v>73.37</v>
      </c>
    </row>
    <row r="6768" spans="1:4" ht="15.75" customHeight="1">
      <c r="A6768" s="120">
        <v>100272</v>
      </c>
      <c r="B6768" s="119" t="s">
        <v>8312</v>
      </c>
      <c r="C6768" s="120" t="s">
        <v>951</v>
      </c>
      <c r="D6768" s="441">
        <v>1.45</v>
      </c>
    </row>
    <row r="6769" spans="1:4" ht="15.75" customHeight="1">
      <c r="A6769" s="120">
        <v>100273</v>
      </c>
      <c r="B6769" s="119" t="s">
        <v>8313</v>
      </c>
      <c r="C6769" s="120" t="s">
        <v>8230</v>
      </c>
      <c r="D6769" s="441">
        <v>3.82</v>
      </c>
    </row>
    <row r="6770" spans="1:4" ht="15.75" customHeight="1">
      <c r="A6770" s="120">
        <v>100274</v>
      </c>
      <c r="B6770" s="119" t="s">
        <v>8314</v>
      </c>
      <c r="C6770" s="120" t="s">
        <v>8258</v>
      </c>
      <c r="D6770" s="441">
        <v>32.619999999999997</v>
      </c>
    </row>
    <row r="6771" spans="1:4" ht="31.5" customHeight="1">
      <c r="A6771" s="120">
        <v>100275</v>
      </c>
      <c r="B6771" s="119" t="s">
        <v>8315</v>
      </c>
      <c r="C6771" s="120" t="s">
        <v>8258</v>
      </c>
      <c r="D6771" s="441">
        <v>21.09</v>
      </c>
    </row>
    <row r="6772" spans="1:4" ht="31.5" customHeight="1">
      <c r="A6772" s="120">
        <v>100276</v>
      </c>
      <c r="B6772" s="119" t="s">
        <v>8316</v>
      </c>
      <c r="C6772" s="120" t="s">
        <v>8258</v>
      </c>
      <c r="D6772" s="441">
        <v>38.49</v>
      </c>
    </row>
    <row r="6773" spans="1:4" ht="31.5" customHeight="1">
      <c r="A6773" s="120">
        <v>100277</v>
      </c>
      <c r="B6773" s="119" t="s">
        <v>8317</v>
      </c>
      <c r="C6773" s="120" t="s">
        <v>8258</v>
      </c>
      <c r="D6773" s="441">
        <v>1.81</v>
      </c>
    </row>
    <row r="6774" spans="1:4" ht="31.5" customHeight="1">
      <c r="A6774" s="120">
        <v>100278</v>
      </c>
      <c r="B6774" s="119" t="s">
        <v>8318</v>
      </c>
      <c r="C6774" s="120" t="s">
        <v>8245</v>
      </c>
      <c r="D6774" s="441">
        <v>46.8</v>
      </c>
    </row>
    <row r="6775" spans="1:4" ht="31.5" customHeight="1">
      <c r="A6775" s="120">
        <v>100279</v>
      </c>
      <c r="B6775" s="119" t="s">
        <v>8319</v>
      </c>
      <c r="C6775" s="120" t="s">
        <v>331</v>
      </c>
      <c r="D6775" s="441">
        <v>0.9</v>
      </c>
    </row>
    <row r="6776" spans="1:4" ht="31.5" customHeight="1">
      <c r="A6776" s="120">
        <v>100280</v>
      </c>
      <c r="B6776" s="119" t="s">
        <v>8320</v>
      </c>
      <c r="C6776" s="120" t="s">
        <v>8245</v>
      </c>
      <c r="D6776" s="441">
        <v>21.49</v>
      </c>
    </row>
    <row r="6777" spans="1:4" ht="31.5" customHeight="1">
      <c r="A6777" s="120">
        <v>100281</v>
      </c>
      <c r="B6777" s="119" t="s">
        <v>8321</v>
      </c>
      <c r="C6777" s="120" t="s">
        <v>8245</v>
      </c>
      <c r="D6777" s="441">
        <v>3.48</v>
      </c>
    </row>
    <row r="6778" spans="1:4" ht="15.75" customHeight="1">
      <c r="A6778" s="120">
        <v>100282</v>
      </c>
      <c r="B6778" s="119" t="s">
        <v>8322</v>
      </c>
      <c r="C6778" s="120" t="s">
        <v>8258</v>
      </c>
      <c r="D6778" s="441">
        <v>183.29</v>
      </c>
    </row>
    <row r="6779" spans="1:4" ht="31.5" customHeight="1">
      <c r="A6779" s="120">
        <v>100283</v>
      </c>
      <c r="B6779" s="119" t="s">
        <v>8323</v>
      </c>
      <c r="C6779" s="120" t="s">
        <v>8258</v>
      </c>
      <c r="D6779" s="441">
        <v>29.61</v>
      </c>
    </row>
    <row r="6780" spans="1:4" ht="31.5" customHeight="1">
      <c r="A6780" s="120">
        <v>100284</v>
      </c>
      <c r="B6780" s="119" t="s">
        <v>8324</v>
      </c>
      <c r="C6780" s="120" t="s">
        <v>8258</v>
      </c>
      <c r="D6780" s="441">
        <v>10.18</v>
      </c>
    </row>
    <row r="6781" spans="1:4" ht="15.75" customHeight="1">
      <c r="A6781" s="120">
        <v>100285</v>
      </c>
      <c r="B6781" s="119" t="s">
        <v>8325</v>
      </c>
      <c r="C6781" s="120" t="s">
        <v>8276</v>
      </c>
      <c r="D6781" s="441">
        <v>49.24</v>
      </c>
    </row>
    <row r="6782" spans="1:4" ht="31.5" customHeight="1">
      <c r="A6782" s="120">
        <v>100286</v>
      </c>
      <c r="B6782" s="119" t="s">
        <v>8326</v>
      </c>
      <c r="C6782" s="120" t="s">
        <v>8276</v>
      </c>
      <c r="D6782" s="441">
        <v>16.04</v>
      </c>
    </row>
    <row r="6783" spans="1:4" ht="15.75" customHeight="1">
      <c r="A6783" s="120">
        <v>100287</v>
      </c>
      <c r="B6783" s="119" t="s">
        <v>8327</v>
      </c>
      <c r="C6783" s="120" t="s">
        <v>8276</v>
      </c>
      <c r="D6783" s="441">
        <v>15.36</v>
      </c>
    </row>
    <row r="6784" spans="1:4" ht="15.75" customHeight="1">
      <c r="A6784" s="120">
        <v>99802</v>
      </c>
      <c r="B6784" s="119" t="s">
        <v>8328</v>
      </c>
      <c r="C6784" s="120" t="s">
        <v>951</v>
      </c>
      <c r="D6784" s="441">
        <v>0.62</v>
      </c>
    </row>
    <row r="6785" spans="1:4" ht="15.75" customHeight="1">
      <c r="A6785" s="120">
        <v>99803</v>
      </c>
      <c r="B6785" s="119" t="s">
        <v>8329</v>
      </c>
      <c r="C6785" s="120" t="s">
        <v>951</v>
      </c>
      <c r="D6785" s="441">
        <v>2.4300000000000002</v>
      </c>
    </row>
    <row r="6786" spans="1:4" ht="31.5" customHeight="1">
      <c r="A6786" s="120">
        <v>99804</v>
      </c>
      <c r="B6786" s="119" t="s">
        <v>8330</v>
      </c>
      <c r="C6786" s="120" t="s">
        <v>951</v>
      </c>
      <c r="D6786" s="441">
        <v>6.29</v>
      </c>
    </row>
    <row r="6787" spans="1:4" ht="15.75" customHeight="1">
      <c r="A6787" s="120">
        <v>99805</v>
      </c>
      <c r="B6787" s="119" t="s">
        <v>8331</v>
      </c>
      <c r="C6787" s="120" t="s">
        <v>951</v>
      </c>
      <c r="D6787" s="441">
        <v>13.01</v>
      </c>
    </row>
    <row r="6788" spans="1:4" ht="15.75" customHeight="1">
      <c r="A6788" s="120">
        <v>99806</v>
      </c>
      <c r="B6788" s="119" t="s">
        <v>8332</v>
      </c>
      <c r="C6788" s="120" t="s">
        <v>951</v>
      </c>
      <c r="D6788" s="441">
        <v>1</v>
      </c>
    </row>
    <row r="6789" spans="1:4" ht="31.5" customHeight="1">
      <c r="A6789" s="120">
        <v>99807</v>
      </c>
      <c r="B6789" s="119" t="s">
        <v>8333</v>
      </c>
      <c r="C6789" s="120" t="s">
        <v>951</v>
      </c>
      <c r="D6789" s="441">
        <v>1.9</v>
      </c>
    </row>
    <row r="6790" spans="1:4" ht="15.75" customHeight="1">
      <c r="A6790" s="120">
        <v>99808</v>
      </c>
      <c r="B6790" s="119" t="s">
        <v>8334</v>
      </c>
      <c r="C6790" s="120" t="s">
        <v>951</v>
      </c>
      <c r="D6790" s="441">
        <v>4.47</v>
      </c>
    </row>
    <row r="6791" spans="1:4" ht="15.75" customHeight="1">
      <c r="A6791" s="120">
        <v>99809</v>
      </c>
      <c r="B6791" s="119" t="s">
        <v>8335</v>
      </c>
      <c r="C6791" s="120" t="s">
        <v>951</v>
      </c>
      <c r="D6791" s="441">
        <v>6.93</v>
      </c>
    </row>
    <row r="6792" spans="1:4" ht="15.75" customHeight="1">
      <c r="A6792" s="120">
        <v>99810</v>
      </c>
      <c r="B6792" s="119" t="s">
        <v>8336</v>
      </c>
      <c r="C6792" s="120" t="s">
        <v>951</v>
      </c>
      <c r="D6792" s="441">
        <v>8.61</v>
      </c>
    </row>
    <row r="6793" spans="1:4" ht="15.75" customHeight="1">
      <c r="A6793" s="120">
        <v>99811</v>
      </c>
      <c r="B6793" s="119" t="s">
        <v>8337</v>
      </c>
      <c r="C6793" s="120" t="s">
        <v>951</v>
      </c>
      <c r="D6793" s="441">
        <v>4.1399999999999997</v>
      </c>
    </row>
    <row r="6794" spans="1:4" ht="15.75" customHeight="1">
      <c r="A6794" s="120">
        <v>99812</v>
      </c>
      <c r="B6794" s="119" t="s">
        <v>8338</v>
      </c>
      <c r="C6794" s="120" t="s">
        <v>951</v>
      </c>
      <c r="D6794" s="441">
        <v>1.33</v>
      </c>
    </row>
    <row r="6795" spans="1:4" ht="31.5" customHeight="1">
      <c r="A6795" s="120">
        <v>99813</v>
      </c>
      <c r="B6795" s="119" t="s">
        <v>8339</v>
      </c>
      <c r="C6795" s="120" t="s">
        <v>951</v>
      </c>
      <c r="D6795" s="441">
        <v>1.1200000000000001</v>
      </c>
    </row>
    <row r="6796" spans="1:4" ht="15.75" customHeight="1">
      <c r="A6796" s="120">
        <v>99814</v>
      </c>
      <c r="B6796" s="119" t="s">
        <v>8340</v>
      </c>
      <c r="C6796" s="120" t="s">
        <v>951</v>
      </c>
      <c r="D6796" s="441">
        <v>2.27</v>
      </c>
    </row>
    <row r="6797" spans="1:4" ht="15.75" customHeight="1">
      <c r="A6797" s="120">
        <v>99815</v>
      </c>
      <c r="B6797" s="119" t="s">
        <v>8341</v>
      </c>
      <c r="C6797" s="120" t="s">
        <v>331</v>
      </c>
      <c r="D6797" s="441">
        <v>9.5299999999999994</v>
      </c>
    </row>
    <row r="6798" spans="1:4" ht="15.75" customHeight="1">
      <c r="A6798" s="120">
        <v>99816</v>
      </c>
      <c r="B6798" s="119" t="s">
        <v>8342</v>
      </c>
      <c r="C6798" s="120" t="s">
        <v>331</v>
      </c>
      <c r="D6798" s="441">
        <v>10.16</v>
      </c>
    </row>
    <row r="6799" spans="1:4" ht="15.75" customHeight="1">
      <c r="A6799" s="120">
        <v>99817</v>
      </c>
      <c r="B6799" s="119" t="s">
        <v>8343</v>
      </c>
      <c r="C6799" s="120" t="s">
        <v>331</v>
      </c>
      <c r="D6799" s="441">
        <v>5.79</v>
      </c>
    </row>
    <row r="6800" spans="1:4" ht="15.75" customHeight="1">
      <c r="A6800" s="120">
        <v>99818</v>
      </c>
      <c r="B6800" s="119" t="s">
        <v>8344</v>
      </c>
      <c r="C6800" s="120" t="s">
        <v>331</v>
      </c>
      <c r="D6800" s="441">
        <v>5.79</v>
      </c>
    </row>
    <row r="6801" spans="1:4" ht="15.75" customHeight="1">
      <c r="A6801" s="120">
        <v>99819</v>
      </c>
      <c r="B6801" s="119" t="s">
        <v>8345</v>
      </c>
      <c r="C6801" s="120" t="s">
        <v>951</v>
      </c>
      <c r="D6801" s="441">
        <v>19.690000000000001</v>
      </c>
    </row>
    <row r="6802" spans="1:4" ht="15.75" customHeight="1">
      <c r="A6802" s="120">
        <v>99820</v>
      </c>
      <c r="B6802" s="119" t="s">
        <v>8346</v>
      </c>
      <c r="C6802" s="120" t="s">
        <v>951</v>
      </c>
      <c r="D6802" s="441">
        <v>2.16</v>
      </c>
    </row>
    <row r="6803" spans="1:4" ht="15.75" customHeight="1">
      <c r="A6803" s="120">
        <v>99821</v>
      </c>
      <c r="B6803" s="119" t="s">
        <v>8347</v>
      </c>
      <c r="C6803" s="120" t="s">
        <v>951</v>
      </c>
      <c r="D6803" s="441">
        <v>3.32</v>
      </c>
    </row>
    <row r="6804" spans="1:4" ht="15.75" customHeight="1">
      <c r="A6804" s="120">
        <v>99822</v>
      </c>
      <c r="B6804" s="119" t="s">
        <v>8348</v>
      </c>
      <c r="C6804" s="120" t="s">
        <v>951</v>
      </c>
      <c r="D6804" s="441">
        <v>1.18</v>
      </c>
    </row>
    <row r="6805" spans="1:4" ht="15.75" customHeight="1">
      <c r="A6805" s="120">
        <v>99823</v>
      </c>
      <c r="B6805" s="119" t="s">
        <v>8349</v>
      </c>
      <c r="C6805" s="120" t="s">
        <v>951</v>
      </c>
      <c r="D6805" s="441">
        <v>2.56</v>
      </c>
    </row>
    <row r="6806" spans="1:4" ht="15.75" customHeight="1">
      <c r="A6806" s="120">
        <v>99824</v>
      </c>
      <c r="B6806" s="119" t="s">
        <v>8350</v>
      </c>
      <c r="C6806" s="120" t="s">
        <v>951</v>
      </c>
      <c r="D6806" s="441">
        <v>2.83</v>
      </c>
    </row>
    <row r="6807" spans="1:4" ht="15.75" customHeight="1">
      <c r="A6807" s="120">
        <v>99825</v>
      </c>
      <c r="B6807" s="119" t="s">
        <v>8351</v>
      </c>
      <c r="C6807" s="120" t="s">
        <v>951</v>
      </c>
      <c r="D6807" s="441">
        <v>3.92</v>
      </c>
    </row>
    <row r="6808" spans="1:4" ht="15.75" customHeight="1">
      <c r="A6808" s="120">
        <v>99826</v>
      </c>
      <c r="B6808" s="119" t="s">
        <v>8352</v>
      </c>
      <c r="C6808" s="120" t="s">
        <v>951</v>
      </c>
      <c r="D6808" s="441">
        <v>1.8</v>
      </c>
    </row>
    <row r="6809" spans="1:4" ht="31.5" customHeight="1">
      <c r="A6809" s="120">
        <v>97010</v>
      </c>
      <c r="B6809" s="119" t="s">
        <v>8353</v>
      </c>
      <c r="C6809" s="120" t="s">
        <v>328</v>
      </c>
      <c r="D6809" s="441">
        <v>84.28</v>
      </c>
    </row>
    <row r="6810" spans="1:4" ht="31.5" customHeight="1">
      <c r="A6810" s="120">
        <v>97011</v>
      </c>
      <c r="B6810" s="119" t="s">
        <v>8354</v>
      </c>
      <c r="C6810" s="120" t="s">
        <v>328</v>
      </c>
      <c r="D6810" s="441">
        <v>64.2</v>
      </c>
    </row>
    <row r="6811" spans="1:4" ht="31.5" customHeight="1">
      <c r="A6811" s="120">
        <v>97012</v>
      </c>
      <c r="B6811" s="119" t="s">
        <v>8355</v>
      </c>
      <c r="C6811" s="120" t="s">
        <v>328</v>
      </c>
      <c r="D6811" s="441">
        <v>54.16</v>
      </c>
    </row>
    <row r="6812" spans="1:4" ht="31.5" customHeight="1">
      <c r="A6812" s="120">
        <v>97013</v>
      </c>
      <c r="B6812" s="119" t="s">
        <v>8356</v>
      </c>
      <c r="C6812" s="120" t="s">
        <v>328</v>
      </c>
      <c r="D6812" s="441">
        <v>108.79</v>
      </c>
    </row>
    <row r="6813" spans="1:4" ht="31.5" customHeight="1">
      <c r="A6813" s="120">
        <v>97014</v>
      </c>
      <c r="B6813" s="119" t="s">
        <v>8357</v>
      </c>
      <c r="C6813" s="120" t="s">
        <v>328</v>
      </c>
      <c r="D6813" s="441">
        <v>80.88</v>
      </c>
    </row>
    <row r="6814" spans="1:4" ht="31.5" customHeight="1">
      <c r="A6814" s="120">
        <v>97015</v>
      </c>
      <c r="B6814" s="119" t="s">
        <v>8358</v>
      </c>
      <c r="C6814" s="120" t="s">
        <v>328</v>
      </c>
      <c r="D6814" s="441">
        <v>66.77</v>
      </c>
    </row>
    <row r="6815" spans="1:4" ht="31.5" customHeight="1">
      <c r="A6815" s="120">
        <v>97016</v>
      </c>
      <c r="B6815" s="119" t="s">
        <v>8359</v>
      </c>
      <c r="C6815" s="120" t="s">
        <v>328</v>
      </c>
      <c r="D6815" s="441">
        <v>75.11</v>
      </c>
    </row>
    <row r="6816" spans="1:4" ht="31.5" customHeight="1">
      <c r="A6816" s="120">
        <v>97017</v>
      </c>
      <c r="B6816" s="119" t="s">
        <v>8360</v>
      </c>
      <c r="C6816" s="120" t="s">
        <v>328</v>
      </c>
      <c r="D6816" s="441">
        <v>55.97</v>
      </c>
    </row>
    <row r="6817" spans="1:4" ht="31.5" customHeight="1">
      <c r="A6817" s="120">
        <v>97018</v>
      </c>
      <c r="B6817" s="119" t="s">
        <v>8361</v>
      </c>
      <c r="C6817" s="120" t="s">
        <v>328</v>
      </c>
      <c r="D6817" s="441">
        <v>46.05</v>
      </c>
    </row>
    <row r="6818" spans="1:4" ht="47.25" customHeight="1">
      <c r="A6818" s="120">
        <v>97031</v>
      </c>
      <c r="B6818" s="119" t="s">
        <v>8362</v>
      </c>
      <c r="C6818" s="120" t="s">
        <v>328</v>
      </c>
      <c r="D6818" s="441">
        <v>111.21</v>
      </c>
    </row>
    <row r="6819" spans="1:4" ht="47.25" customHeight="1">
      <c r="A6819" s="120">
        <v>97032</v>
      </c>
      <c r="B6819" s="119" t="s">
        <v>8363</v>
      </c>
      <c r="C6819" s="120" t="s">
        <v>328</v>
      </c>
      <c r="D6819" s="441">
        <v>68.349999999999994</v>
      </c>
    </row>
    <row r="6820" spans="1:4" ht="47.25" customHeight="1">
      <c r="A6820" s="120">
        <v>97033</v>
      </c>
      <c r="B6820" s="119" t="s">
        <v>8364</v>
      </c>
      <c r="C6820" s="120" t="s">
        <v>328</v>
      </c>
      <c r="D6820" s="441">
        <v>119.02</v>
      </c>
    </row>
    <row r="6821" spans="1:4" ht="47.25" customHeight="1">
      <c r="A6821" s="120">
        <v>97034</v>
      </c>
      <c r="B6821" s="119" t="s">
        <v>8365</v>
      </c>
      <c r="C6821" s="120" t="s">
        <v>328</v>
      </c>
      <c r="D6821" s="441">
        <v>71.08</v>
      </c>
    </row>
    <row r="6822" spans="1:4" ht="31.5" customHeight="1">
      <c r="A6822" s="120">
        <v>97039</v>
      </c>
      <c r="B6822" s="119" t="s">
        <v>8366</v>
      </c>
      <c r="C6822" s="120" t="s">
        <v>951</v>
      </c>
      <c r="D6822" s="441">
        <v>48.41</v>
      </c>
    </row>
    <row r="6823" spans="1:4" ht="15.75" customHeight="1">
      <c r="A6823" s="120">
        <v>97040</v>
      </c>
      <c r="B6823" s="119" t="s">
        <v>8367</v>
      </c>
      <c r="C6823" s="120" t="s">
        <v>951</v>
      </c>
      <c r="D6823" s="441">
        <v>17.97</v>
      </c>
    </row>
    <row r="6824" spans="1:4" ht="15.75" customHeight="1">
      <c r="A6824" s="120">
        <v>97041</v>
      </c>
      <c r="B6824" s="119" t="s">
        <v>8368</v>
      </c>
      <c r="C6824" s="120" t="s">
        <v>951</v>
      </c>
      <c r="D6824" s="441">
        <v>337.35</v>
      </c>
    </row>
    <row r="6825" spans="1:4" ht="15.75" customHeight="1">
      <c r="A6825" s="120">
        <v>97046</v>
      </c>
      <c r="B6825" s="119" t="s">
        <v>8369</v>
      </c>
      <c r="C6825" s="120" t="s">
        <v>951</v>
      </c>
      <c r="D6825" s="441">
        <v>0.39</v>
      </c>
    </row>
    <row r="6826" spans="1:4" ht="31.5" customHeight="1">
      <c r="A6826" s="120">
        <v>97047</v>
      </c>
      <c r="B6826" s="119" t="s">
        <v>8370</v>
      </c>
      <c r="C6826" s="120" t="s">
        <v>951</v>
      </c>
      <c r="D6826" s="441">
        <v>0.14000000000000001</v>
      </c>
    </row>
    <row r="6827" spans="1:4" ht="15.75" customHeight="1">
      <c r="A6827" s="120">
        <v>97048</v>
      </c>
      <c r="B6827" s="119" t="s">
        <v>8371</v>
      </c>
      <c r="C6827" s="120" t="s">
        <v>951</v>
      </c>
      <c r="D6827" s="441">
        <v>0.11</v>
      </c>
    </row>
    <row r="6828" spans="1:4" ht="15.75" customHeight="1">
      <c r="A6828" s="120">
        <v>97054</v>
      </c>
      <c r="B6828" s="119" t="s">
        <v>8372</v>
      </c>
      <c r="C6828" s="120" t="s">
        <v>331</v>
      </c>
      <c r="D6828" s="441">
        <v>28.63</v>
      </c>
    </row>
    <row r="6829" spans="1:4" ht="15.75" customHeight="1">
      <c r="A6829" s="120">
        <v>97062</v>
      </c>
      <c r="B6829" s="119" t="s">
        <v>8373</v>
      </c>
      <c r="C6829" s="120" t="s">
        <v>951</v>
      </c>
      <c r="D6829" s="441">
        <v>7.19</v>
      </c>
    </row>
    <row r="6830" spans="1:4" ht="31.5" customHeight="1">
      <c r="A6830" s="120">
        <v>97063</v>
      </c>
      <c r="B6830" s="119" t="s">
        <v>8374</v>
      </c>
      <c r="C6830" s="120" t="s">
        <v>951</v>
      </c>
      <c r="D6830" s="441">
        <v>12.8</v>
      </c>
    </row>
    <row r="6831" spans="1:4" ht="15.75" customHeight="1">
      <c r="A6831" s="120">
        <v>97064</v>
      </c>
      <c r="B6831" s="119" t="s">
        <v>8375</v>
      </c>
      <c r="C6831" s="120" t="s">
        <v>328</v>
      </c>
      <c r="D6831" s="441">
        <v>23.53</v>
      </c>
    </row>
    <row r="6832" spans="1:4" ht="15.75" customHeight="1">
      <c r="A6832" s="120">
        <v>97065</v>
      </c>
      <c r="B6832" s="119" t="s">
        <v>8376</v>
      </c>
      <c r="C6832" s="120" t="s">
        <v>950</v>
      </c>
      <c r="D6832" s="441">
        <v>8.09</v>
      </c>
    </row>
    <row r="6833" spans="1:4" ht="31.5" customHeight="1">
      <c r="A6833" s="120">
        <v>97066</v>
      </c>
      <c r="B6833" s="119" t="s">
        <v>8377</v>
      </c>
      <c r="C6833" s="120" t="s">
        <v>951</v>
      </c>
      <c r="D6833" s="441">
        <v>105.82</v>
      </c>
    </row>
    <row r="6834" spans="1:4" ht="31.5" customHeight="1">
      <c r="A6834" s="120">
        <v>97067</v>
      </c>
      <c r="B6834" s="119" t="s">
        <v>8378</v>
      </c>
      <c r="C6834" s="120" t="s">
        <v>328</v>
      </c>
      <c r="D6834" s="441">
        <v>904.91</v>
      </c>
    </row>
    <row r="6835" spans="1:4" ht="15.75" customHeight="1">
      <c r="A6835" s="120">
        <v>97621</v>
      </c>
      <c r="B6835" s="119" t="s">
        <v>8379</v>
      </c>
      <c r="C6835" s="120" t="s">
        <v>950</v>
      </c>
      <c r="D6835" s="441">
        <v>134.83000000000001</v>
      </c>
    </row>
    <row r="6836" spans="1:4" ht="15.75" customHeight="1">
      <c r="A6836" s="120">
        <v>97622</v>
      </c>
      <c r="B6836" s="119" t="s">
        <v>8380</v>
      </c>
      <c r="C6836" s="120" t="s">
        <v>950</v>
      </c>
      <c r="D6836" s="441">
        <v>65.709999999999994</v>
      </c>
    </row>
    <row r="6837" spans="1:4" ht="15.75" customHeight="1">
      <c r="A6837" s="120">
        <v>97623</v>
      </c>
      <c r="B6837" s="119" t="s">
        <v>8381</v>
      </c>
      <c r="C6837" s="120" t="s">
        <v>950</v>
      </c>
      <c r="D6837" s="441">
        <v>201.31</v>
      </c>
    </row>
    <row r="6838" spans="1:4" ht="15.75" customHeight="1">
      <c r="A6838" s="120">
        <v>97624</v>
      </c>
      <c r="B6838" s="119" t="s">
        <v>8382</v>
      </c>
      <c r="C6838" s="120" t="s">
        <v>950</v>
      </c>
      <c r="D6838" s="441">
        <v>123.54</v>
      </c>
    </row>
    <row r="6839" spans="1:4" ht="31.5" customHeight="1">
      <c r="A6839" s="120">
        <v>97625</v>
      </c>
      <c r="B6839" s="119" t="s">
        <v>8383</v>
      </c>
      <c r="C6839" s="120" t="s">
        <v>950</v>
      </c>
      <c r="D6839" s="441">
        <v>57.31</v>
      </c>
    </row>
    <row r="6840" spans="1:4" ht="31.5" customHeight="1">
      <c r="A6840" s="120">
        <v>97626</v>
      </c>
      <c r="B6840" s="119" t="s">
        <v>8384</v>
      </c>
      <c r="C6840" s="120" t="s">
        <v>950</v>
      </c>
      <c r="D6840" s="441">
        <v>701.12</v>
      </c>
    </row>
    <row r="6841" spans="1:4" ht="31.5" customHeight="1">
      <c r="A6841" s="120">
        <v>97627</v>
      </c>
      <c r="B6841" s="119" t="s">
        <v>8385</v>
      </c>
      <c r="C6841" s="120" t="s">
        <v>950</v>
      </c>
      <c r="D6841" s="441">
        <v>331.45</v>
      </c>
    </row>
    <row r="6842" spans="1:4" ht="15.75" customHeight="1">
      <c r="A6842" s="120">
        <v>97628</v>
      </c>
      <c r="B6842" s="119" t="s">
        <v>8386</v>
      </c>
      <c r="C6842" s="120" t="s">
        <v>950</v>
      </c>
      <c r="D6842" s="441">
        <v>324.76</v>
      </c>
    </row>
    <row r="6843" spans="1:4" ht="15.75" customHeight="1">
      <c r="A6843" s="120">
        <v>97629</v>
      </c>
      <c r="B6843" s="119" t="s">
        <v>8387</v>
      </c>
      <c r="C6843" s="120" t="s">
        <v>950</v>
      </c>
      <c r="D6843" s="441">
        <v>147.58000000000001</v>
      </c>
    </row>
    <row r="6844" spans="1:4" ht="15.75" customHeight="1">
      <c r="A6844" s="120">
        <v>97631</v>
      </c>
      <c r="B6844" s="119" t="s">
        <v>8388</v>
      </c>
      <c r="C6844" s="120" t="s">
        <v>951</v>
      </c>
      <c r="D6844" s="441">
        <v>3.85</v>
      </c>
    </row>
    <row r="6845" spans="1:4" ht="15.75" customHeight="1">
      <c r="A6845" s="120">
        <v>97632</v>
      </c>
      <c r="B6845" s="119" t="s">
        <v>8389</v>
      </c>
      <c r="C6845" s="120" t="s">
        <v>328</v>
      </c>
      <c r="D6845" s="441">
        <v>3.01</v>
      </c>
    </row>
    <row r="6846" spans="1:4" ht="15.75" customHeight="1">
      <c r="A6846" s="120">
        <v>97633</v>
      </c>
      <c r="B6846" s="119" t="s">
        <v>8390</v>
      </c>
      <c r="C6846" s="120" t="s">
        <v>951</v>
      </c>
      <c r="D6846" s="441">
        <v>26.33</v>
      </c>
    </row>
    <row r="6847" spans="1:4" ht="31.5" customHeight="1">
      <c r="A6847" s="120">
        <v>97634</v>
      </c>
      <c r="B6847" s="119" t="s">
        <v>8391</v>
      </c>
      <c r="C6847" s="120" t="s">
        <v>951</v>
      </c>
      <c r="D6847" s="441">
        <v>14.28</v>
      </c>
    </row>
    <row r="6848" spans="1:4" ht="15.75" customHeight="1">
      <c r="A6848" s="120">
        <v>97635</v>
      </c>
      <c r="B6848" s="119" t="s">
        <v>8392</v>
      </c>
      <c r="C6848" s="120" t="s">
        <v>951</v>
      </c>
      <c r="D6848" s="441">
        <v>17.100000000000001</v>
      </c>
    </row>
    <row r="6849" spans="1:4" ht="15.75" customHeight="1">
      <c r="A6849" s="120">
        <v>97636</v>
      </c>
      <c r="B6849" s="119" t="s">
        <v>8393</v>
      </c>
      <c r="C6849" s="120" t="s">
        <v>951</v>
      </c>
      <c r="D6849" s="441">
        <v>20.37</v>
      </c>
    </row>
    <row r="6850" spans="1:4" ht="31.5" customHeight="1">
      <c r="A6850" s="120">
        <v>97637</v>
      </c>
      <c r="B6850" s="119" t="s">
        <v>8394</v>
      </c>
      <c r="C6850" s="120" t="s">
        <v>951</v>
      </c>
      <c r="D6850" s="441">
        <v>3.22</v>
      </c>
    </row>
    <row r="6851" spans="1:4" ht="15.75" customHeight="1">
      <c r="A6851" s="120">
        <v>97638</v>
      </c>
      <c r="B6851" s="119" t="s">
        <v>8395</v>
      </c>
      <c r="C6851" s="120" t="s">
        <v>951</v>
      </c>
      <c r="D6851" s="441">
        <v>9.3699999999999992</v>
      </c>
    </row>
    <row r="6852" spans="1:4" ht="15.75" customHeight="1">
      <c r="A6852" s="120">
        <v>97639</v>
      </c>
      <c r="B6852" s="119" t="s">
        <v>8396</v>
      </c>
      <c r="C6852" s="120" t="s">
        <v>951</v>
      </c>
      <c r="D6852" s="441">
        <v>23.28</v>
      </c>
    </row>
    <row r="6853" spans="1:4" ht="31.5" customHeight="1">
      <c r="A6853" s="120">
        <v>97640</v>
      </c>
      <c r="B6853" s="119" t="s">
        <v>8397</v>
      </c>
      <c r="C6853" s="120" t="s">
        <v>951</v>
      </c>
      <c r="D6853" s="441">
        <v>2.0299999999999998</v>
      </c>
    </row>
    <row r="6854" spans="1:4" ht="15.75" customHeight="1">
      <c r="A6854" s="120">
        <v>97641</v>
      </c>
      <c r="B6854" s="119" t="s">
        <v>8398</v>
      </c>
      <c r="C6854" s="120" t="s">
        <v>951</v>
      </c>
      <c r="D6854" s="441">
        <v>5.73</v>
      </c>
    </row>
    <row r="6855" spans="1:4" ht="31.5" customHeight="1">
      <c r="A6855" s="120">
        <v>97642</v>
      </c>
      <c r="B6855" s="119" t="s">
        <v>8399</v>
      </c>
      <c r="C6855" s="120" t="s">
        <v>951</v>
      </c>
      <c r="D6855" s="441">
        <v>3.63</v>
      </c>
    </row>
    <row r="6856" spans="1:4" ht="31.5" customHeight="1">
      <c r="A6856" s="120">
        <v>97643</v>
      </c>
      <c r="B6856" s="119" t="s">
        <v>8400</v>
      </c>
      <c r="C6856" s="120" t="s">
        <v>951</v>
      </c>
      <c r="D6856" s="441">
        <v>28.53</v>
      </c>
    </row>
    <row r="6857" spans="1:4" ht="15.75" customHeight="1">
      <c r="A6857" s="120">
        <v>97644</v>
      </c>
      <c r="B6857" s="119" t="s">
        <v>8401</v>
      </c>
      <c r="C6857" s="120" t="s">
        <v>951</v>
      </c>
      <c r="D6857" s="441">
        <v>10.76</v>
      </c>
    </row>
    <row r="6858" spans="1:4" ht="15.75" customHeight="1">
      <c r="A6858" s="120">
        <v>97645</v>
      </c>
      <c r="B6858" s="119" t="s">
        <v>8402</v>
      </c>
      <c r="C6858" s="120" t="s">
        <v>951</v>
      </c>
      <c r="D6858" s="441">
        <v>37.979999999999997</v>
      </c>
    </row>
    <row r="6859" spans="1:4" ht="31.5" customHeight="1">
      <c r="A6859" s="120">
        <v>97647</v>
      </c>
      <c r="B6859" s="119" t="s">
        <v>8403</v>
      </c>
      <c r="C6859" s="120" t="s">
        <v>951</v>
      </c>
      <c r="D6859" s="441">
        <v>4</v>
      </c>
    </row>
    <row r="6860" spans="1:4" ht="31.5" customHeight="1">
      <c r="A6860" s="120">
        <v>97648</v>
      </c>
      <c r="B6860" s="119" t="s">
        <v>8404</v>
      </c>
      <c r="C6860" s="120" t="s">
        <v>951</v>
      </c>
      <c r="D6860" s="441">
        <v>2.2999999999999998</v>
      </c>
    </row>
    <row r="6861" spans="1:4" ht="31.5" customHeight="1">
      <c r="A6861" s="120">
        <v>97649</v>
      </c>
      <c r="B6861" s="119" t="s">
        <v>8405</v>
      </c>
      <c r="C6861" s="120" t="s">
        <v>951</v>
      </c>
      <c r="D6861" s="441">
        <v>5.04</v>
      </c>
    </row>
    <row r="6862" spans="1:4" ht="15.75" customHeight="1">
      <c r="A6862" s="120">
        <v>97650</v>
      </c>
      <c r="B6862" s="119" t="s">
        <v>8406</v>
      </c>
      <c r="C6862" s="120" t="s">
        <v>951</v>
      </c>
      <c r="D6862" s="441">
        <v>8.61</v>
      </c>
    </row>
    <row r="6863" spans="1:4" ht="31.5" customHeight="1">
      <c r="A6863" s="120">
        <v>97651</v>
      </c>
      <c r="B6863" s="119" t="s">
        <v>8407</v>
      </c>
      <c r="C6863" s="120" t="s">
        <v>331</v>
      </c>
      <c r="D6863" s="441">
        <v>95.3</v>
      </c>
    </row>
    <row r="6864" spans="1:4" ht="31.5" customHeight="1">
      <c r="A6864" s="120">
        <v>97652</v>
      </c>
      <c r="B6864" s="119" t="s">
        <v>8408</v>
      </c>
      <c r="C6864" s="120" t="s">
        <v>331</v>
      </c>
      <c r="D6864" s="441">
        <v>216.05</v>
      </c>
    </row>
    <row r="6865" spans="1:4" ht="31.5" customHeight="1">
      <c r="A6865" s="120">
        <v>97653</v>
      </c>
      <c r="B6865" s="119" t="s">
        <v>8409</v>
      </c>
      <c r="C6865" s="120" t="s">
        <v>331</v>
      </c>
      <c r="D6865" s="441">
        <v>148.69</v>
      </c>
    </row>
    <row r="6866" spans="1:4" ht="31.5" customHeight="1">
      <c r="A6866" s="120">
        <v>97654</v>
      </c>
      <c r="B6866" s="119" t="s">
        <v>8410</v>
      </c>
      <c r="C6866" s="120" t="s">
        <v>331</v>
      </c>
      <c r="D6866" s="441">
        <v>181.74</v>
      </c>
    </row>
    <row r="6867" spans="1:4" ht="15.75" customHeight="1">
      <c r="A6867" s="120">
        <v>97655</v>
      </c>
      <c r="B6867" s="119" t="s">
        <v>8411</v>
      </c>
      <c r="C6867" s="120" t="s">
        <v>951</v>
      </c>
      <c r="D6867" s="441">
        <v>33.78</v>
      </c>
    </row>
    <row r="6868" spans="1:4" ht="31.5" customHeight="1">
      <c r="A6868" s="120">
        <v>97656</v>
      </c>
      <c r="B6868" s="119" t="s">
        <v>8412</v>
      </c>
      <c r="C6868" s="120" t="s">
        <v>331</v>
      </c>
      <c r="D6868" s="441">
        <v>319.02999999999997</v>
      </c>
    </row>
    <row r="6869" spans="1:4" ht="31.5" customHeight="1">
      <c r="A6869" s="120">
        <v>97657</v>
      </c>
      <c r="B6869" s="119" t="s">
        <v>8413</v>
      </c>
      <c r="C6869" s="120" t="s">
        <v>331</v>
      </c>
      <c r="D6869" s="441">
        <v>632.33000000000004</v>
      </c>
    </row>
    <row r="6870" spans="1:4" ht="31.5" customHeight="1">
      <c r="A6870" s="120">
        <v>97658</v>
      </c>
      <c r="B6870" s="119" t="s">
        <v>8414</v>
      </c>
      <c r="C6870" s="120" t="s">
        <v>331</v>
      </c>
      <c r="D6870" s="441">
        <v>226.7</v>
      </c>
    </row>
    <row r="6871" spans="1:4" ht="31.5" customHeight="1">
      <c r="A6871" s="120">
        <v>97659</v>
      </c>
      <c r="B6871" s="119" t="s">
        <v>8415</v>
      </c>
      <c r="C6871" s="120" t="s">
        <v>331</v>
      </c>
      <c r="D6871" s="441">
        <v>311.17</v>
      </c>
    </row>
    <row r="6872" spans="1:4" ht="15.75" customHeight="1">
      <c r="A6872" s="120">
        <v>97660</v>
      </c>
      <c r="B6872" s="119" t="s">
        <v>8416</v>
      </c>
      <c r="C6872" s="120" t="s">
        <v>331</v>
      </c>
      <c r="D6872" s="441">
        <v>0.77</v>
      </c>
    </row>
    <row r="6873" spans="1:4" ht="15.75" customHeight="1">
      <c r="A6873" s="120">
        <v>97661</v>
      </c>
      <c r="B6873" s="119" t="s">
        <v>8417</v>
      </c>
      <c r="C6873" s="120" t="s">
        <v>328</v>
      </c>
      <c r="D6873" s="441">
        <v>0.78</v>
      </c>
    </row>
    <row r="6874" spans="1:4" ht="31.5" customHeight="1">
      <c r="A6874" s="120">
        <v>97662</v>
      </c>
      <c r="B6874" s="119" t="s">
        <v>8418</v>
      </c>
      <c r="C6874" s="120" t="s">
        <v>328</v>
      </c>
      <c r="D6874" s="441">
        <v>0.56999999999999995</v>
      </c>
    </row>
    <row r="6875" spans="1:4" ht="15.75" customHeight="1">
      <c r="A6875" s="120">
        <v>97663</v>
      </c>
      <c r="B6875" s="119" t="s">
        <v>8419</v>
      </c>
      <c r="C6875" s="120" t="s">
        <v>331</v>
      </c>
      <c r="D6875" s="441">
        <v>14.23</v>
      </c>
    </row>
    <row r="6876" spans="1:4" ht="15.75" customHeight="1">
      <c r="A6876" s="120">
        <v>97664</v>
      </c>
      <c r="B6876" s="119" t="s">
        <v>8420</v>
      </c>
      <c r="C6876" s="120" t="s">
        <v>331</v>
      </c>
      <c r="D6876" s="441">
        <v>1.77</v>
      </c>
    </row>
    <row r="6877" spans="1:4" ht="15.75" customHeight="1">
      <c r="A6877" s="120">
        <v>97665</v>
      </c>
      <c r="B6877" s="119" t="s">
        <v>8421</v>
      </c>
      <c r="C6877" s="120" t="s">
        <v>331</v>
      </c>
      <c r="D6877" s="441">
        <v>1.5</v>
      </c>
    </row>
    <row r="6878" spans="1:4" ht="15.75" customHeight="1">
      <c r="A6878" s="120">
        <v>97666</v>
      </c>
      <c r="B6878" s="119" t="s">
        <v>8422</v>
      </c>
      <c r="C6878" s="120" t="s">
        <v>331</v>
      </c>
      <c r="D6878" s="441">
        <v>10.37</v>
      </c>
    </row>
    <row r="6879" spans="1:4" ht="31.5" customHeight="1">
      <c r="A6879" s="120">
        <v>95967</v>
      </c>
      <c r="B6879" s="119" t="s">
        <v>8423</v>
      </c>
      <c r="C6879" s="120" t="s">
        <v>324</v>
      </c>
      <c r="D6879" s="441">
        <v>168</v>
      </c>
    </row>
    <row r="6880" spans="1:4" ht="15.75" customHeight="1">
      <c r="A6880" s="120">
        <v>99058</v>
      </c>
      <c r="B6880" s="119" t="s">
        <v>8424</v>
      </c>
      <c r="C6880" s="120" t="s">
        <v>331</v>
      </c>
      <c r="D6880" s="441">
        <v>8.7200000000000006</v>
      </c>
    </row>
    <row r="6881" spans="1:4" ht="31.5" customHeight="1">
      <c r="A6881" s="120">
        <v>99059</v>
      </c>
      <c r="B6881" s="119" t="s">
        <v>8425</v>
      </c>
      <c r="C6881" s="120" t="s">
        <v>328</v>
      </c>
      <c r="D6881" s="441">
        <v>67.7</v>
      </c>
    </row>
    <row r="6882" spans="1:4" ht="15.75" customHeight="1">
      <c r="A6882" s="120">
        <v>99060</v>
      </c>
      <c r="B6882" s="119" t="s">
        <v>8426</v>
      </c>
      <c r="C6882" s="120" t="s">
        <v>331</v>
      </c>
      <c r="D6882" s="441">
        <v>186.42</v>
      </c>
    </row>
    <row r="6883" spans="1:4" ht="15.75" customHeight="1">
      <c r="A6883" s="120">
        <v>99061</v>
      </c>
      <c r="B6883" s="119" t="s">
        <v>8427</v>
      </c>
      <c r="C6883" s="120" t="s">
        <v>331</v>
      </c>
      <c r="D6883" s="441">
        <v>123.11</v>
      </c>
    </row>
    <row r="6884" spans="1:4" ht="15.75" customHeight="1">
      <c r="A6884" s="120">
        <v>99062</v>
      </c>
      <c r="B6884" s="119" t="s">
        <v>8428</v>
      </c>
      <c r="C6884" s="120" t="s">
        <v>331</v>
      </c>
      <c r="D6884" s="441">
        <v>2.98</v>
      </c>
    </row>
    <row r="6885" spans="1:4" ht="15.75" customHeight="1">
      <c r="A6885" s="120">
        <v>99063</v>
      </c>
      <c r="B6885" s="119" t="s">
        <v>8429</v>
      </c>
      <c r="C6885" s="120" t="s">
        <v>328</v>
      </c>
      <c r="D6885" s="441">
        <v>6.15</v>
      </c>
    </row>
    <row r="6886" spans="1:4" ht="15.75" customHeight="1">
      <c r="A6886" s="120">
        <v>99064</v>
      </c>
      <c r="B6886" s="119" t="s">
        <v>8430</v>
      </c>
      <c r="C6886" s="120" t="s">
        <v>328</v>
      </c>
      <c r="D6886" s="441">
        <v>0.43</v>
      </c>
    </row>
    <row r="6887" spans="1:4" ht="31.5" customHeight="1">
      <c r="A6887" s="120">
        <v>93588</v>
      </c>
      <c r="B6887" s="119" t="s">
        <v>8431</v>
      </c>
      <c r="C6887" s="120" t="s">
        <v>8241</v>
      </c>
      <c r="D6887" s="441">
        <v>3.03</v>
      </c>
    </row>
    <row r="6888" spans="1:4" ht="31.5" customHeight="1">
      <c r="A6888" s="120">
        <v>93589</v>
      </c>
      <c r="B6888" s="119" t="s">
        <v>8432</v>
      </c>
      <c r="C6888" s="120" t="s">
        <v>8241</v>
      </c>
      <c r="D6888" s="441">
        <v>2.6</v>
      </c>
    </row>
    <row r="6889" spans="1:4" ht="31.5" customHeight="1">
      <c r="A6889" s="120">
        <v>93590</v>
      </c>
      <c r="B6889" s="119" t="s">
        <v>8433</v>
      </c>
      <c r="C6889" s="120" t="s">
        <v>8241</v>
      </c>
      <c r="D6889" s="441">
        <v>0.94</v>
      </c>
    </row>
    <row r="6890" spans="1:4" ht="31.5" customHeight="1">
      <c r="A6890" s="120">
        <v>93591</v>
      </c>
      <c r="B6890" s="119" t="s">
        <v>8434</v>
      </c>
      <c r="C6890" s="120" t="s">
        <v>8241</v>
      </c>
      <c r="D6890" s="441">
        <v>2.66</v>
      </c>
    </row>
    <row r="6891" spans="1:4" ht="31.5" customHeight="1">
      <c r="A6891" s="120">
        <v>93592</v>
      </c>
      <c r="B6891" s="119" t="s">
        <v>8435</v>
      </c>
      <c r="C6891" s="120" t="s">
        <v>8241</v>
      </c>
      <c r="D6891" s="441">
        <v>2.31</v>
      </c>
    </row>
    <row r="6892" spans="1:4" ht="31.5" customHeight="1">
      <c r="A6892" s="120">
        <v>93593</v>
      </c>
      <c r="B6892" s="119" t="s">
        <v>8436</v>
      </c>
      <c r="C6892" s="120" t="s">
        <v>8241</v>
      </c>
      <c r="D6892" s="441">
        <v>0.85</v>
      </c>
    </row>
    <row r="6893" spans="1:4" ht="31.5" customHeight="1">
      <c r="A6893" s="120">
        <v>93594</v>
      </c>
      <c r="B6893" s="119" t="s">
        <v>8437</v>
      </c>
      <c r="C6893" s="120" t="s">
        <v>7254</v>
      </c>
      <c r="D6893" s="441">
        <v>2.02</v>
      </c>
    </row>
    <row r="6894" spans="1:4" ht="31.5" customHeight="1">
      <c r="A6894" s="120">
        <v>93595</v>
      </c>
      <c r="B6894" s="119" t="s">
        <v>8438</v>
      </c>
      <c r="C6894" s="120" t="s">
        <v>7254</v>
      </c>
      <c r="D6894" s="441">
        <v>1.75</v>
      </c>
    </row>
    <row r="6895" spans="1:4" ht="31.5" customHeight="1">
      <c r="A6895" s="120">
        <v>93596</v>
      </c>
      <c r="B6895" s="119" t="s">
        <v>8439</v>
      </c>
      <c r="C6895" s="120" t="s">
        <v>7254</v>
      </c>
      <c r="D6895" s="441">
        <v>0.63</v>
      </c>
    </row>
    <row r="6896" spans="1:4" ht="31.5" customHeight="1">
      <c r="A6896" s="120">
        <v>93597</v>
      </c>
      <c r="B6896" s="119" t="s">
        <v>8440</v>
      </c>
      <c r="C6896" s="120" t="s">
        <v>7254</v>
      </c>
      <c r="D6896" s="441">
        <v>1.76</v>
      </c>
    </row>
    <row r="6897" spans="1:4" ht="31.5" customHeight="1">
      <c r="A6897" s="120">
        <v>93598</v>
      </c>
      <c r="B6897" s="119" t="s">
        <v>8441</v>
      </c>
      <c r="C6897" s="120" t="s">
        <v>7254</v>
      </c>
      <c r="D6897" s="441">
        <v>1.53</v>
      </c>
    </row>
    <row r="6898" spans="1:4" ht="31.5" customHeight="1">
      <c r="A6898" s="120">
        <v>93599</v>
      </c>
      <c r="B6898" s="119" t="s">
        <v>8442</v>
      </c>
      <c r="C6898" s="120" t="s">
        <v>7254</v>
      </c>
      <c r="D6898" s="441">
        <v>0.56000000000000005</v>
      </c>
    </row>
    <row r="6899" spans="1:4" ht="31.5" customHeight="1">
      <c r="A6899" s="120">
        <v>95425</v>
      </c>
      <c r="B6899" s="119" t="s">
        <v>8443</v>
      </c>
      <c r="C6899" s="120" t="s">
        <v>8241</v>
      </c>
      <c r="D6899" s="441">
        <v>2.2799999999999998</v>
      </c>
    </row>
    <row r="6900" spans="1:4" ht="31.5" customHeight="1">
      <c r="A6900" s="120">
        <v>95426</v>
      </c>
      <c r="B6900" s="119" t="s">
        <v>8444</v>
      </c>
      <c r="C6900" s="120" t="s">
        <v>8241</v>
      </c>
      <c r="D6900" s="441">
        <v>1.96</v>
      </c>
    </row>
    <row r="6901" spans="1:4" ht="31.5" customHeight="1">
      <c r="A6901" s="120">
        <v>95427</v>
      </c>
      <c r="B6901" s="119" t="s">
        <v>8445</v>
      </c>
      <c r="C6901" s="120" t="s">
        <v>8241</v>
      </c>
      <c r="D6901" s="441">
        <v>0.73</v>
      </c>
    </row>
    <row r="6902" spans="1:4" ht="31.5" customHeight="1">
      <c r="A6902" s="120">
        <v>95428</v>
      </c>
      <c r="B6902" s="119" t="s">
        <v>8446</v>
      </c>
      <c r="C6902" s="120" t="s">
        <v>7254</v>
      </c>
      <c r="D6902" s="441">
        <v>1.53</v>
      </c>
    </row>
    <row r="6903" spans="1:4" ht="31.5" customHeight="1">
      <c r="A6903" s="120">
        <v>95429</v>
      </c>
      <c r="B6903" s="119" t="s">
        <v>8447</v>
      </c>
      <c r="C6903" s="120" t="s">
        <v>7254</v>
      </c>
      <c r="D6903" s="441">
        <v>1.32</v>
      </c>
    </row>
    <row r="6904" spans="1:4" ht="31.5" customHeight="1">
      <c r="A6904" s="120">
        <v>95430</v>
      </c>
      <c r="B6904" s="119" t="s">
        <v>8448</v>
      </c>
      <c r="C6904" s="120" t="s">
        <v>7254</v>
      </c>
      <c r="D6904" s="441">
        <v>0.46</v>
      </c>
    </row>
    <row r="6905" spans="1:4" ht="31.5" customHeight="1">
      <c r="A6905" s="120">
        <v>95875</v>
      </c>
      <c r="B6905" s="119" t="s">
        <v>8449</v>
      </c>
      <c r="C6905" s="120" t="s">
        <v>8241</v>
      </c>
      <c r="D6905" s="441">
        <v>2.4</v>
      </c>
    </row>
    <row r="6906" spans="1:4" ht="31.5" customHeight="1">
      <c r="A6906" s="120">
        <v>95876</v>
      </c>
      <c r="B6906" s="119" t="s">
        <v>8450</v>
      </c>
      <c r="C6906" s="120" t="s">
        <v>8241</v>
      </c>
      <c r="D6906" s="441">
        <v>2.09</v>
      </c>
    </row>
    <row r="6907" spans="1:4" ht="31.5" customHeight="1">
      <c r="A6907" s="120">
        <v>95877</v>
      </c>
      <c r="B6907" s="119" t="s">
        <v>8451</v>
      </c>
      <c r="C6907" s="120" t="s">
        <v>8241</v>
      </c>
      <c r="D6907" s="441">
        <v>1.8</v>
      </c>
    </row>
    <row r="6908" spans="1:4" ht="31.5" customHeight="1">
      <c r="A6908" s="120">
        <v>95878</v>
      </c>
      <c r="B6908" s="119" t="s">
        <v>8452</v>
      </c>
      <c r="C6908" s="120" t="s">
        <v>7254</v>
      </c>
      <c r="D6908" s="441">
        <v>1.61</v>
      </c>
    </row>
    <row r="6909" spans="1:4" ht="31.5" customHeight="1">
      <c r="A6909" s="120">
        <v>95879</v>
      </c>
      <c r="B6909" s="119" t="s">
        <v>8453</v>
      </c>
      <c r="C6909" s="120" t="s">
        <v>7254</v>
      </c>
      <c r="D6909" s="441">
        <v>1.41</v>
      </c>
    </row>
    <row r="6910" spans="1:4" ht="31.5" customHeight="1">
      <c r="A6910" s="120">
        <v>95880</v>
      </c>
      <c r="B6910" s="119" t="s">
        <v>8454</v>
      </c>
      <c r="C6910" s="120" t="s">
        <v>7254</v>
      </c>
      <c r="D6910" s="441">
        <v>1.2</v>
      </c>
    </row>
    <row r="6911" spans="1:4" ht="31.5" customHeight="1">
      <c r="A6911" s="120">
        <v>97912</v>
      </c>
      <c r="B6911" s="119" t="s">
        <v>8455</v>
      </c>
      <c r="C6911" s="120" t="s">
        <v>8241</v>
      </c>
      <c r="D6911" s="441">
        <v>3.59</v>
      </c>
    </row>
    <row r="6912" spans="1:4" ht="31.5" customHeight="1">
      <c r="A6912" s="120">
        <v>97913</v>
      </c>
      <c r="B6912" s="119" t="s">
        <v>8456</v>
      </c>
      <c r="C6912" s="120" t="s">
        <v>8241</v>
      </c>
      <c r="D6912" s="441">
        <v>3.13</v>
      </c>
    </row>
    <row r="6913" spans="1:4" ht="31.5" customHeight="1">
      <c r="A6913" s="120">
        <v>97914</v>
      </c>
      <c r="B6913" s="119" t="s">
        <v>8457</v>
      </c>
      <c r="C6913" s="120" t="s">
        <v>8241</v>
      </c>
      <c r="D6913" s="441">
        <v>2.86</v>
      </c>
    </row>
    <row r="6914" spans="1:4" ht="31.5" customHeight="1">
      <c r="A6914" s="120">
        <v>97915</v>
      </c>
      <c r="B6914" s="119" t="s">
        <v>8458</v>
      </c>
      <c r="C6914" s="120" t="s">
        <v>8241</v>
      </c>
      <c r="D6914" s="441">
        <v>1.1499999999999999</v>
      </c>
    </row>
    <row r="6915" spans="1:4" ht="31.5" customHeight="1">
      <c r="A6915" s="120">
        <v>100937</v>
      </c>
      <c r="B6915" s="119" t="s">
        <v>8459</v>
      </c>
      <c r="C6915" s="120" t="s">
        <v>8241</v>
      </c>
      <c r="D6915" s="441">
        <v>8.59</v>
      </c>
    </row>
    <row r="6916" spans="1:4" ht="31.5" customHeight="1">
      <c r="A6916" s="120">
        <v>100938</v>
      </c>
      <c r="B6916" s="119" t="s">
        <v>8460</v>
      </c>
      <c r="C6916" s="120" t="s">
        <v>8241</v>
      </c>
      <c r="D6916" s="441">
        <v>7.23</v>
      </c>
    </row>
    <row r="6917" spans="1:4" ht="31.5" customHeight="1">
      <c r="A6917" s="120">
        <v>100939</v>
      </c>
      <c r="B6917" s="119" t="s">
        <v>8461</v>
      </c>
      <c r="C6917" s="120" t="s">
        <v>8241</v>
      </c>
      <c r="D6917" s="441">
        <v>6.37</v>
      </c>
    </row>
    <row r="6918" spans="1:4" ht="31.5" customHeight="1">
      <c r="A6918" s="120">
        <v>100940</v>
      </c>
      <c r="B6918" s="119" t="s">
        <v>8462</v>
      </c>
      <c r="C6918" s="120" t="s">
        <v>8241</v>
      </c>
      <c r="D6918" s="441">
        <v>5.46</v>
      </c>
    </row>
    <row r="6919" spans="1:4" ht="31.5" customHeight="1">
      <c r="A6919" s="120">
        <v>100941</v>
      </c>
      <c r="B6919" s="119" t="s">
        <v>8463</v>
      </c>
      <c r="C6919" s="120" t="s">
        <v>7254</v>
      </c>
      <c r="D6919" s="441">
        <v>5.72</v>
      </c>
    </row>
    <row r="6920" spans="1:4" ht="15.75" customHeight="1">
      <c r="A6920" s="120">
        <v>100942</v>
      </c>
      <c r="B6920" s="119" t="s">
        <v>8464</v>
      </c>
      <c r="C6920" s="120" t="s">
        <v>7254</v>
      </c>
      <c r="D6920" s="441">
        <v>4.8099999999999996</v>
      </c>
    </row>
    <row r="6921" spans="1:4" ht="31.5" customHeight="1">
      <c r="A6921" s="120">
        <v>100943</v>
      </c>
      <c r="B6921" s="119" t="s">
        <v>8465</v>
      </c>
      <c r="C6921" s="120" t="s">
        <v>7254</v>
      </c>
      <c r="D6921" s="441">
        <v>4.2300000000000004</v>
      </c>
    </row>
    <row r="6922" spans="1:4" ht="31.5" customHeight="1">
      <c r="A6922" s="120">
        <v>100944</v>
      </c>
      <c r="B6922" s="119" t="s">
        <v>8466</v>
      </c>
      <c r="C6922" s="120" t="s">
        <v>7254</v>
      </c>
      <c r="D6922" s="441">
        <v>3.64</v>
      </c>
    </row>
    <row r="6923" spans="1:4" ht="15.75" customHeight="1">
      <c r="A6923" s="120">
        <v>100945</v>
      </c>
      <c r="B6923" s="119" t="s">
        <v>8467</v>
      </c>
      <c r="C6923" s="120" t="s">
        <v>7254</v>
      </c>
      <c r="D6923" s="441">
        <v>2.73</v>
      </c>
    </row>
    <row r="6924" spans="1:4" ht="31.5" customHeight="1">
      <c r="A6924" s="120">
        <v>100946</v>
      </c>
      <c r="B6924" s="119" t="s">
        <v>8468</v>
      </c>
      <c r="C6924" s="120" t="s">
        <v>7254</v>
      </c>
      <c r="D6924" s="441">
        <v>2.36</v>
      </c>
    </row>
    <row r="6925" spans="1:4" ht="31.5" customHeight="1">
      <c r="A6925" s="120">
        <v>100947</v>
      </c>
      <c r="B6925" s="119" t="s">
        <v>8469</v>
      </c>
      <c r="C6925" s="120" t="s">
        <v>7254</v>
      </c>
      <c r="D6925" s="441">
        <v>2.17</v>
      </c>
    </row>
    <row r="6926" spans="1:4" ht="31.5" customHeight="1">
      <c r="A6926" s="120">
        <v>100948</v>
      </c>
      <c r="B6926" s="119" t="s">
        <v>8470</v>
      </c>
      <c r="C6926" s="120" t="s">
        <v>7254</v>
      </c>
      <c r="D6926" s="441">
        <v>0.86</v>
      </c>
    </row>
    <row r="6927" spans="1:4" ht="31.5" customHeight="1">
      <c r="A6927" s="120">
        <v>100949</v>
      </c>
      <c r="B6927" s="119" t="s">
        <v>8471</v>
      </c>
      <c r="C6927" s="120" t="s">
        <v>7254</v>
      </c>
      <c r="D6927" s="441">
        <v>6.51</v>
      </c>
    </row>
    <row r="6928" spans="1:4" ht="31.5" customHeight="1">
      <c r="A6928" s="120">
        <v>100950</v>
      </c>
      <c r="B6928" s="119" t="s">
        <v>8472</v>
      </c>
      <c r="C6928" s="120" t="s">
        <v>7254</v>
      </c>
      <c r="D6928" s="441">
        <v>3.46</v>
      </c>
    </row>
    <row r="6929" spans="1:4" ht="31.5" customHeight="1">
      <c r="A6929" s="120">
        <v>100951</v>
      </c>
      <c r="B6929" s="119" t="s">
        <v>8473</v>
      </c>
      <c r="C6929" s="120" t="s">
        <v>7254</v>
      </c>
      <c r="D6929" s="441">
        <v>2.99</v>
      </c>
    </row>
    <row r="6930" spans="1:4" ht="31.5" customHeight="1">
      <c r="A6930" s="120">
        <v>100952</v>
      </c>
      <c r="B6930" s="119" t="s">
        <v>8474</v>
      </c>
      <c r="C6930" s="120" t="s">
        <v>7254</v>
      </c>
      <c r="D6930" s="441">
        <v>2.76</v>
      </c>
    </row>
    <row r="6931" spans="1:4" ht="31.5" customHeight="1">
      <c r="A6931" s="120">
        <v>100953</v>
      </c>
      <c r="B6931" s="119" t="s">
        <v>8475</v>
      </c>
      <c r="C6931" s="120" t="s">
        <v>7254</v>
      </c>
      <c r="D6931" s="441">
        <v>1.0900000000000001</v>
      </c>
    </row>
    <row r="6932" spans="1:4" ht="31.5" customHeight="1">
      <c r="A6932" s="120">
        <v>100954</v>
      </c>
      <c r="B6932" s="119" t="s">
        <v>8476</v>
      </c>
      <c r="C6932" s="120" t="s">
        <v>7254</v>
      </c>
      <c r="D6932" s="441">
        <v>8.25</v>
      </c>
    </row>
    <row r="6933" spans="1:4" ht="15.75" customHeight="1">
      <c r="A6933" s="120">
        <v>100955</v>
      </c>
      <c r="B6933" s="119" t="s">
        <v>8477</v>
      </c>
      <c r="C6933" s="120" t="s">
        <v>8241</v>
      </c>
      <c r="D6933" s="441">
        <v>4.7300000000000004</v>
      </c>
    </row>
    <row r="6934" spans="1:4" ht="31.5" customHeight="1">
      <c r="A6934" s="120">
        <v>100956</v>
      </c>
      <c r="B6934" s="119" t="s">
        <v>8478</v>
      </c>
      <c r="C6934" s="120" t="s">
        <v>8241</v>
      </c>
      <c r="D6934" s="441">
        <v>4.1100000000000003</v>
      </c>
    </row>
    <row r="6935" spans="1:4" ht="31.5" customHeight="1">
      <c r="A6935" s="120">
        <v>100957</v>
      </c>
      <c r="B6935" s="119" t="s">
        <v>8479</v>
      </c>
      <c r="C6935" s="120" t="s">
        <v>8241</v>
      </c>
      <c r="D6935" s="441">
        <v>3.76</v>
      </c>
    </row>
    <row r="6936" spans="1:4" ht="31.5" customHeight="1">
      <c r="A6936" s="120">
        <v>100958</v>
      </c>
      <c r="B6936" s="119" t="s">
        <v>8480</v>
      </c>
      <c r="C6936" s="120" t="s">
        <v>8241</v>
      </c>
      <c r="D6936" s="441">
        <v>1.51</v>
      </c>
    </row>
    <row r="6937" spans="1:4" ht="31.5" customHeight="1">
      <c r="A6937" s="120">
        <v>100959</v>
      </c>
      <c r="B6937" s="119" t="s">
        <v>8481</v>
      </c>
      <c r="C6937" s="120" t="s">
        <v>8241</v>
      </c>
      <c r="D6937" s="441">
        <v>11.31</v>
      </c>
    </row>
    <row r="6938" spans="1:4" ht="31.5" customHeight="1">
      <c r="A6938" s="120">
        <v>100960</v>
      </c>
      <c r="B6938" s="119" t="s">
        <v>8482</v>
      </c>
      <c r="C6938" s="120" t="s">
        <v>8241</v>
      </c>
      <c r="D6938" s="441">
        <v>3.52</v>
      </c>
    </row>
    <row r="6939" spans="1:4" ht="31.5" customHeight="1">
      <c r="A6939" s="120">
        <v>100961</v>
      </c>
      <c r="B6939" s="119" t="s">
        <v>8483</v>
      </c>
      <c r="C6939" s="120" t="s">
        <v>8241</v>
      </c>
      <c r="D6939" s="441">
        <v>3.05</v>
      </c>
    </row>
    <row r="6940" spans="1:4" ht="31.5" customHeight="1">
      <c r="A6940" s="120">
        <v>100962</v>
      </c>
      <c r="B6940" s="119" t="s">
        <v>8484</v>
      </c>
      <c r="C6940" s="120" t="s">
        <v>8241</v>
      </c>
      <c r="D6940" s="441">
        <v>2.78</v>
      </c>
    </row>
    <row r="6941" spans="1:4" ht="31.5" customHeight="1">
      <c r="A6941" s="120">
        <v>100963</v>
      </c>
      <c r="B6941" s="119" t="s">
        <v>8485</v>
      </c>
      <c r="C6941" s="120" t="s">
        <v>8241</v>
      </c>
      <c r="D6941" s="441">
        <v>1.1000000000000001</v>
      </c>
    </row>
    <row r="6942" spans="1:4" ht="31.5" customHeight="1">
      <c r="A6942" s="120">
        <v>100964</v>
      </c>
      <c r="B6942" s="119" t="s">
        <v>8486</v>
      </c>
      <c r="C6942" s="120" t="s">
        <v>8241</v>
      </c>
      <c r="D6942" s="441">
        <v>8.44</v>
      </c>
    </row>
    <row r="6943" spans="1:4" ht="31.5" customHeight="1">
      <c r="A6943" s="120">
        <v>100973</v>
      </c>
      <c r="B6943" s="119" t="s">
        <v>8487</v>
      </c>
      <c r="C6943" s="120" t="s">
        <v>950</v>
      </c>
      <c r="D6943" s="441">
        <v>8.77</v>
      </c>
    </row>
    <row r="6944" spans="1:4" ht="31.5" customHeight="1">
      <c r="A6944" s="120">
        <v>100974</v>
      </c>
      <c r="B6944" s="119" t="s">
        <v>8488</v>
      </c>
      <c r="C6944" s="120" t="s">
        <v>950</v>
      </c>
      <c r="D6944" s="441">
        <v>8.49</v>
      </c>
    </row>
    <row r="6945" spans="1:4" ht="31.5" customHeight="1">
      <c r="A6945" s="120">
        <v>100975</v>
      </c>
      <c r="B6945" s="119" t="s">
        <v>8489</v>
      </c>
      <c r="C6945" s="120" t="s">
        <v>950</v>
      </c>
      <c r="D6945" s="441">
        <v>8.57</v>
      </c>
    </row>
    <row r="6946" spans="1:4" ht="31.5" customHeight="1">
      <c r="A6946" s="120">
        <v>100965</v>
      </c>
      <c r="B6946" s="119" t="s">
        <v>8490</v>
      </c>
      <c r="C6946" s="120" t="s">
        <v>7254</v>
      </c>
      <c r="D6946" s="441">
        <v>1.7</v>
      </c>
    </row>
    <row r="6947" spans="1:4" ht="31.5" customHeight="1">
      <c r="A6947" s="120">
        <v>100966</v>
      </c>
      <c r="B6947" s="119" t="s">
        <v>8491</v>
      </c>
      <c r="C6947" s="120" t="s">
        <v>7254</v>
      </c>
      <c r="D6947" s="441">
        <v>1.46</v>
      </c>
    </row>
    <row r="6948" spans="1:4" ht="31.5" customHeight="1">
      <c r="A6948" s="120">
        <v>100969</v>
      </c>
      <c r="B6948" s="119" t="s">
        <v>8492</v>
      </c>
      <c r="C6948" s="120" t="s">
        <v>7254</v>
      </c>
      <c r="D6948" s="441">
        <v>2.2400000000000002</v>
      </c>
    </row>
    <row r="6949" spans="1:4" ht="31.5" customHeight="1">
      <c r="A6949" s="120">
        <v>100970</v>
      </c>
      <c r="B6949" s="119" t="s">
        <v>8493</v>
      </c>
      <c r="C6949" s="120" t="s">
        <v>7254</v>
      </c>
      <c r="D6949" s="441">
        <v>1.89</v>
      </c>
    </row>
    <row r="6950" spans="1:4" ht="31.5" customHeight="1">
      <c r="A6950" s="120">
        <v>102330</v>
      </c>
      <c r="B6950" s="119" t="s">
        <v>8494</v>
      </c>
      <c r="C6950" s="120" t="s">
        <v>7254</v>
      </c>
      <c r="D6950" s="441">
        <v>1.36</v>
      </c>
    </row>
    <row r="6951" spans="1:4" ht="31.5" customHeight="1">
      <c r="A6951" s="120">
        <v>102331</v>
      </c>
      <c r="B6951" s="119" t="s">
        <v>8495</v>
      </c>
      <c r="C6951" s="120" t="s">
        <v>7254</v>
      </c>
      <c r="D6951" s="441">
        <v>0.53</v>
      </c>
    </row>
    <row r="6952" spans="1:4" ht="31.5" customHeight="1">
      <c r="A6952" s="120">
        <v>102332</v>
      </c>
      <c r="B6952" s="119" t="s">
        <v>8496</v>
      </c>
      <c r="C6952" s="120" t="s">
        <v>7254</v>
      </c>
      <c r="D6952" s="441">
        <v>1.78</v>
      </c>
    </row>
    <row r="6953" spans="1:4" ht="31.5" customHeight="1">
      <c r="A6953" s="120">
        <v>102333</v>
      </c>
      <c r="B6953" s="119" t="s">
        <v>8497</v>
      </c>
      <c r="C6953" s="120" t="s">
        <v>7254</v>
      </c>
      <c r="D6953" s="441">
        <v>0.71</v>
      </c>
    </row>
    <row r="6954" spans="1:4" ht="31.5" customHeight="1">
      <c r="A6954" s="120">
        <v>101019</v>
      </c>
      <c r="B6954" s="119" t="s">
        <v>8498</v>
      </c>
      <c r="C6954" s="120" t="s">
        <v>34</v>
      </c>
      <c r="D6954" s="441">
        <v>587.5</v>
      </c>
    </row>
    <row r="6955" spans="1:4" ht="31.5" customHeight="1">
      <c r="A6955" s="120">
        <v>101479</v>
      </c>
      <c r="B6955" s="119" t="s">
        <v>8499</v>
      </c>
      <c r="C6955" s="120" t="s">
        <v>34</v>
      </c>
      <c r="D6955" s="441">
        <v>171.16</v>
      </c>
    </row>
    <row r="6956" spans="1:4" ht="31.5" customHeight="1">
      <c r="A6956" s="120">
        <v>102568</v>
      </c>
      <c r="B6956" s="119" t="s">
        <v>8500</v>
      </c>
      <c r="C6956" s="120" t="s">
        <v>34</v>
      </c>
      <c r="D6956" s="441">
        <v>291.58999999999997</v>
      </c>
    </row>
    <row r="6957" spans="1:4" ht="31.5" customHeight="1">
      <c r="A6957" s="120">
        <v>100976</v>
      </c>
      <c r="B6957" s="119" t="s">
        <v>8501</v>
      </c>
      <c r="C6957" s="120" t="s">
        <v>950</v>
      </c>
      <c r="D6957" s="441">
        <v>8.43</v>
      </c>
    </row>
    <row r="6958" spans="1:4" ht="31.5" customHeight="1">
      <c r="A6958" s="120">
        <v>100977</v>
      </c>
      <c r="B6958" s="119" t="s">
        <v>8502</v>
      </c>
      <c r="C6958" s="120" t="s">
        <v>950</v>
      </c>
      <c r="D6958" s="441">
        <v>7.56</v>
      </c>
    </row>
    <row r="6959" spans="1:4" ht="31.5" customHeight="1">
      <c r="A6959" s="120">
        <v>100978</v>
      </c>
      <c r="B6959" s="119" t="s">
        <v>8503</v>
      </c>
      <c r="C6959" s="120" t="s">
        <v>950</v>
      </c>
      <c r="D6959" s="441">
        <v>6.83</v>
      </c>
    </row>
    <row r="6960" spans="1:4" ht="31.5" customHeight="1">
      <c r="A6960" s="120">
        <v>100979</v>
      </c>
      <c r="B6960" s="119" t="s">
        <v>8504</v>
      </c>
      <c r="C6960" s="120" t="s">
        <v>950</v>
      </c>
      <c r="D6960" s="441">
        <v>6.57</v>
      </c>
    </row>
    <row r="6961" spans="1:4" ht="31.5" customHeight="1">
      <c r="A6961" s="120">
        <v>100980</v>
      </c>
      <c r="B6961" s="119" t="s">
        <v>8505</v>
      </c>
      <c r="C6961" s="120" t="s">
        <v>950</v>
      </c>
      <c r="D6961" s="441">
        <v>6.25</v>
      </c>
    </row>
    <row r="6962" spans="1:4" ht="31.5" customHeight="1">
      <c r="A6962" s="120">
        <v>100981</v>
      </c>
      <c r="B6962" s="119" t="s">
        <v>8506</v>
      </c>
      <c r="C6962" s="120" t="s">
        <v>950</v>
      </c>
      <c r="D6962" s="441">
        <v>9.25</v>
      </c>
    </row>
    <row r="6963" spans="1:4" ht="31.5" customHeight="1">
      <c r="A6963" s="120">
        <v>100982</v>
      </c>
      <c r="B6963" s="119" t="s">
        <v>8507</v>
      </c>
      <c r="C6963" s="120" t="s">
        <v>950</v>
      </c>
      <c r="D6963" s="441">
        <v>8.89</v>
      </c>
    </row>
    <row r="6964" spans="1:4" ht="31.5" customHeight="1">
      <c r="A6964" s="120">
        <v>100983</v>
      </c>
      <c r="B6964" s="119" t="s">
        <v>8508</v>
      </c>
      <c r="C6964" s="120" t="s">
        <v>950</v>
      </c>
      <c r="D6964" s="441">
        <v>8.93</v>
      </c>
    </row>
    <row r="6965" spans="1:4" ht="31.5" customHeight="1">
      <c r="A6965" s="120">
        <v>100984</v>
      </c>
      <c r="B6965" s="119" t="s">
        <v>8509</v>
      </c>
      <c r="C6965" s="120" t="s">
        <v>950</v>
      </c>
      <c r="D6965" s="441">
        <v>8.7799999999999994</v>
      </c>
    </row>
    <row r="6966" spans="1:4" ht="15.75" customHeight="1">
      <c r="A6966" s="120">
        <v>100985</v>
      </c>
      <c r="B6966" s="119" t="s">
        <v>8510</v>
      </c>
      <c r="C6966" s="120" t="s">
        <v>950</v>
      </c>
      <c r="D6966" s="441">
        <v>7.21</v>
      </c>
    </row>
    <row r="6967" spans="1:4" ht="15.75" customHeight="1">
      <c r="A6967" s="120">
        <v>100986</v>
      </c>
      <c r="B6967" s="119" t="s">
        <v>8511</v>
      </c>
      <c r="C6967" s="120" t="s">
        <v>950</v>
      </c>
      <c r="D6967" s="441">
        <v>8.74</v>
      </c>
    </row>
    <row r="6968" spans="1:4" ht="15.75" customHeight="1">
      <c r="A6968" s="120">
        <v>100987</v>
      </c>
      <c r="B6968" s="119" t="s">
        <v>8512</v>
      </c>
      <c r="C6968" s="120" t="s">
        <v>950</v>
      </c>
      <c r="D6968" s="441">
        <v>10.09</v>
      </c>
    </row>
    <row r="6969" spans="1:4" ht="15.75" customHeight="1">
      <c r="A6969" s="120">
        <v>100988</v>
      </c>
      <c r="B6969" s="119" t="s">
        <v>8513</v>
      </c>
      <c r="C6969" s="120" t="s">
        <v>950</v>
      </c>
      <c r="D6969" s="441">
        <v>10.74</v>
      </c>
    </row>
    <row r="6970" spans="1:4" ht="31.5" customHeight="1">
      <c r="A6970" s="120">
        <v>100989</v>
      </c>
      <c r="B6970" s="119" t="s">
        <v>8514</v>
      </c>
      <c r="C6970" s="120" t="s">
        <v>34</v>
      </c>
      <c r="D6970" s="441">
        <v>5.86</v>
      </c>
    </row>
    <row r="6971" spans="1:4" ht="31.5" customHeight="1">
      <c r="A6971" s="120">
        <v>100990</v>
      </c>
      <c r="B6971" s="119" t="s">
        <v>8515</v>
      </c>
      <c r="C6971" s="120" t="s">
        <v>34</v>
      </c>
      <c r="D6971" s="441">
        <v>5.66</v>
      </c>
    </row>
    <row r="6972" spans="1:4" ht="31.5" customHeight="1">
      <c r="A6972" s="120">
        <v>100991</v>
      </c>
      <c r="B6972" s="119" t="s">
        <v>8516</v>
      </c>
      <c r="C6972" s="120" t="s">
        <v>34</v>
      </c>
      <c r="D6972" s="441">
        <v>5.73</v>
      </c>
    </row>
    <row r="6973" spans="1:4" ht="31.5" customHeight="1">
      <c r="A6973" s="120">
        <v>100992</v>
      </c>
      <c r="B6973" s="119" t="s">
        <v>8517</v>
      </c>
      <c r="C6973" s="120" t="s">
        <v>34</v>
      </c>
      <c r="D6973" s="441">
        <v>5.62</v>
      </c>
    </row>
    <row r="6974" spans="1:4" ht="31.5" customHeight="1">
      <c r="A6974" s="120">
        <v>100993</v>
      </c>
      <c r="B6974" s="119" t="s">
        <v>8518</v>
      </c>
      <c r="C6974" s="120" t="s">
        <v>34</v>
      </c>
      <c r="D6974" s="441">
        <v>5.04</v>
      </c>
    </row>
    <row r="6975" spans="1:4" ht="31.5" customHeight="1">
      <c r="A6975" s="120">
        <v>100994</v>
      </c>
      <c r="B6975" s="119" t="s">
        <v>8519</v>
      </c>
      <c r="C6975" s="120" t="s">
        <v>34</v>
      </c>
      <c r="D6975" s="441">
        <v>4.53</v>
      </c>
    </row>
    <row r="6976" spans="1:4" ht="31.5" customHeight="1">
      <c r="A6976" s="120">
        <v>100995</v>
      </c>
      <c r="B6976" s="119" t="s">
        <v>8520</v>
      </c>
      <c r="C6976" s="120" t="s">
        <v>34</v>
      </c>
      <c r="D6976" s="441">
        <v>4.3899999999999997</v>
      </c>
    </row>
    <row r="6977" spans="1:4" ht="31.5" customHeight="1">
      <c r="A6977" s="120">
        <v>100996</v>
      </c>
      <c r="B6977" s="119" t="s">
        <v>8521</v>
      </c>
      <c r="C6977" s="120" t="s">
        <v>34</v>
      </c>
      <c r="D6977" s="441">
        <v>4.16</v>
      </c>
    </row>
    <row r="6978" spans="1:4" ht="31.5" customHeight="1">
      <c r="A6978" s="120">
        <v>100997</v>
      </c>
      <c r="B6978" s="119" t="s">
        <v>8522</v>
      </c>
      <c r="C6978" s="120" t="s">
        <v>34</v>
      </c>
      <c r="D6978" s="441">
        <v>6.18</v>
      </c>
    </row>
    <row r="6979" spans="1:4" ht="31.5" customHeight="1">
      <c r="A6979" s="120">
        <v>100998</v>
      </c>
      <c r="B6979" s="119" t="s">
        <v>8523</v>
      </c>
      <c r="C6979" s="120" t="s">
        <v>34</v>
      </c>
      <c r="D6979" s="441">
        <v>5.93</v>
      </c>
    </row>
    <row r="6980" spans="1:4" ht="31.5" customHeight="1">
      <c r="A6980" s="120">
        <v>100999</v>
      </c>
      <c r="B6980" s="119" t="s">
        <v>8524</v>
      </c>
      <c r="C6980" s="120" t="s">
        <v>34</v>
      </c>
      <c r="D6980" s="441">
        <v>5.98</v>
      </c>
    </row>
    <row r="6981" spans="1:4" ht="31.5" customHeight="1">
      <c r="A6981" s="120">
        <v>101000</v>
      </c>
      <c r="B6981" s="119" t="s">
        <v>8525</v>
      </c>
      <c r="C6981" s="120" t="s">
        <v>34</v>
      </c>
      <c r="D6981" s="441">
        <v>5.86</v>
      </c>
    </row>
    <row r="6982" spans="1:4" ht="15.75" customHeight="1">
      <c r="A6982" s="120">
        <v>101001</v>
      </c>
      <c r="B6982" s="119" t="s">
        <v>8526</v>
      </c>
      <c r="C6982" s="120" t="s">
        <v>34</v>
      </c>
      <c r="D6982" s="441">
        <v>4.82</v>
      </c>
    </row>
    <row r="6983" spans="1:4" ht="15.75" customHeight="1">
      <c r="A6983" s="120">
        <v>101002</v>
      </c>
      <c r="B6983" s="119" t="s">
        <v>8527</v>
      </c>
      <c r="C6983" s="120" t="s">
        <v>34</v>
      </c>
      <c r="D6983" s="441">
        <v>5.81</v>
      </c>
    </row>
    <row r="6984" spans="1:4" ht="15.75" customHeight="1">
      <c r="A6984" s="120">
        <v>101003</v>
      </c>
      <c r="B6984" s="119" t="s">
        <v>8528</v>
      </c>
      <c r="C6984" s="120" t="s">
        <v>34</v>
      </c>
      <c r="D6984" s="441">
        <v>6.71</v>
      </c>
    </row>
    <row r="6985" spans="1:4" ht="15.75" customHeight="1">
      <c r="A6985" s="120">
        <v>101004</v>
      </c>
      <c r="B6985" s="119" t="s">
        <v>8529</v>
      </c>
      <c r="C6985" s="120" t="s">
        <v>34</v>
      </c>
      <c r="D6985" s="441">
        <v>7.16</v>
      </c>
    </row>
    <row r="6986" spans="1:4" ht="15.75" customHeight="1">
      <c r="A6986" s="120">
        <v>101005</v>
      </c>
      <c r="B6986" s="119" t="s">
        <v>8530</v>
      </c>
      <c r="C6986" s="120" t="s">
        <v>950</v>
      </c>
      <c r="D6986" s="441">
        <v>18.03</v>
      </c>
    </row>
    <row r="6987" spans="1:4" ht="15.75" customHeight="1">
      <c r="A6987" s="120">
        <v>101006</v>
      </c>
      <c r="B6987" s="119" t="s">
        <v>8531</v>
      </c>
      <c r="C6987" s="120" t="s">
        <v>950</v>
      </c>
      <c r="D6987" s="441">
        <v>20.05</v>
      </c>
    </row>
    <row r="6988" spans="1:4" ht="15.75" customHeight="1">
      <c r="A6988" s="120">
        <v>101007</v>
      </c>
      <c r="B6988" s="119" t="s">
        <v>8532</v>
      </c>
      <c r="C6988" s="120" t="s">
        <v>950</v>
      </c>
      <c r="D6988" s="441">
        <v>5.23</v>
      </c>
    </row>
    <row r="6989" spans="1:4" ht="15.75" customHeight="1">
      <c r="A6989" s="120">
        <v>101008</v>
      </c>
      <c r="B6989" s="119" t="s">
        <v>8533</v>
      </c>
      <c r="C6989" s="120" t="s">
        <v>950</v>
      </c>
      <c r="D6989" s="441">
        <v>5.3</v>
      </c>
    </row>
    <row r="6990" spans="1:4" ht="31.5" customHeight="1">
      <c r="A6990" s="120">
        <v>101009</v>
      </c>
      <c r="B6990" s="119" t="s">
        <v>8534</v>
      </c>
      <c r="C6990" s="120" t="s">
        <v>34</v>
      </c>
      <c r="D6990" s="441">
        <v>41.81</v>
      </c>
    </row>
    <row r="6991" spans="1:4" ht="31.5" customHeight="1">
      <c r="A6991" s="120">
        <v>101010</v>
      </c>
      <c r="B6991" s="119" t="s">
        <v>8535</v>
      </c>
      <c r="C6991" s="120" t="s">
        <v>34</v>
      </c>
      <c r="D6991" s="441">
        <v>26.32</v>
      </c>
    </row>
    <row r="6992" spans="1:4" ht="31.5" customHeight="1">
      <c r="A6992" s="120">
        <v>101013</v>
      </c>
      <c r="B6992" s="119" t="s">
        <v>8536</v>
      </c>
      <c r="C6992" s="120" t="s">
        <v>34</v>
      </c>
      <c r="D6992" s="441">
        <v>45.34</v>
      </c>
    </row>
    <row r="6993" spans="1:4" ht="31.5" customHeight="1">
      <c r="A6993" s="120">
        <v>101014</v>
      </c>
      <c r="B6993" s="119" t="s">
        <v>8537</v>
      </c>
      <c r="C6993" s="120" t="s">
        <v>34</v>
      </c>
      <c r="D6993" s="441">
        <v>41.54</v>
      </c>
    </row>
    <row r="6994" spans="1:4" ht="31.5" customHeight="1">
      <c r="A6994" s="120">
        <v>101015</v>
      </c>
      <c r="B6994" s="119" t="s">
        <v>8538</v>
      </c>
      <c r="C6994" s="120" t="s">
        <v>34</v>
      </c>
      <c r="D6994" s="441">
        <v>34.130000000000003</v>
      </c>
    </row>
    <row r="6995" spans="1:4" ht="31.5" customHeight="1">
      <c r="A6995" s="120">
        <v>101016</v>
      </c>
      <c r="B6995" s="119" t="s">
        <v>8539</v>
      </c>
      <c r="C6995" s="120" t="s">
        <v>34</v>
      </c>
      <c r="D6995" s="441">
        <v>39.5</v>
      </c>
    </row>
    <row r="6996" spans="1:4" ht="31.5" customHeight="1">
      <c r="A6996" s="120">
        <v>101017</v>
      </c>
      <c r="B6996" s="119" t="s">
        <v>8540</v>
      </c>
      <c r="C6996" s="120" t="s">
        <v>34</v>
      </c>
      <c r="D6996" s="441">
        <v>29.96</v>
      </c>
    </row>
    <row r="6997" spans="1:4" ht="31.5" customHeight="1">
      <c r="A6997" s="120">
        <v>101018</v>
      </c>
      <c r="B6997" s="119" t="s">
        <v>8541</v>
      </c>
      <c r="C6997" s="120" t="s">
        <v>34</v>
      </c>
      <c r="D6997" s="441">
        <v>24.61</v>
      </c>
    </row>
    <row r="6998" spans="1:4" ht="31.5" customHeight="1">
      <c r="A6998" s="120">
        <v>101463</v>
      </c>
      <c r="B6998" s="119" t="s">
        <v>8542</v>
      </c>
      <c r="C6998" s="120" t="s">
        <v>34</v>
      </c>
      <c r="D6998" s="441">
        <v>45.47</v>
      </c>
    </row>
    <row r="6999" spans="1:4" ht="31.5" customHeight="1">
      <c r="A6999" s="120">
        <v>101464</v>
      </c>
      <c r="B6999" s="119" t="s">
        <v>8543</v>
      </c>
      <c r="C6999" s="120" t="s">
        <v>34</v>
      </c>
      <c r="D6999" s="441">
        <v>34.93</v>
      </c>
    </row>
    <row r="7000" spans="1:4" ht="31.5" customHeight="1">
      <c r="A7000" s="120">
        <v>101465</v>
      </c>
      <c r="B7000" s="119" t="s">
        <v>8544</v>
      </c>
      <c r="C7000" s="120" t="s">
        <v>34</v>
      </c>
      <c r="D7000" s="441">
        <v>26.7</v>
      </c>
    </row>
    <row r="7001" spans="1:4" ht="31.5" customHeight="1">
      <c r="A7001" s="120">
        <v>101466</v>
      </c>
      <c r="B7001" s="119" t="s">
        <v>8545</v>
      </c>
      <c r="C7001" s="120" t="s">
        <v>34</v>
      </c>
      <c r="D7001" s="441">
        <v>21.71</v>
      </c>
    </row>
    <row r="7002" spans="1:4" ht="31.5" customHeight="1">
      <c r="A7002" s="120">
        <v>101467</v>
      </c>
      <c r="B7002" s="119" t="s">
        <v>8546</v>
      </c>
      <c r="C7002" s="120" t="s">
        <v>34</v>
      </c>
      <c r="D7002" s="441">
        <v>18.18</v>
      </c>
    </row>
    <row r="7003" spans="1:4" ht="31.5" customHeight="1">
      <c r="A7003" s="120">
        <v>101468</v>
      </c>
      <c r="B7003" s="119" t="s">
        <v>8547</v>
      </c>
      <c r="C7003" s="120" t="s">
        <v>34</v>
      </c>
      <c r="D7003" s="441">
        <v>16.62</v>
      </c>
    </row>
    <row r="7004" spans="1:4" ht="31.5" customHeight="1">
      <c r="A7004" s="120">
        <v>101469</v>
      </c>
      <c r="B7004" s="119" t="s">
        <v>8548</v>
      </c>
      <c r="C7004" s="120" t="s">
        <v>34</v>
      </c>
      <c r="D7004" s="441">
        <v>37.21</v>
      </c>
    </row>
    <row r="7005" spans="1:4" ht="31.5" customHeight="1">
      <c r="A7005" s="120">
        <v>101470</v>
      </c>
      <c r="B7005" s="119" t="s">
        <v>8549</v>
      </c>
      <c r="C7005" s="120" t="s">
        <v>34</v>
      </c>
      <c r="D7005" s="441">
        <v>29.53</v>
      </c>
    </row>
    <row r="7006" spans="1:4" ht="31.5" customHeight="1">
      <c r="A7006" s="120">
        <v>101471</v>
      </c>
      <c r="B7006" s="119" t="s">
        <v>8550</v>
      </c>
      <c r="C7006" s="120" t="s">
        <v>34</v>
      </c>
      <c r="D7006" s="441">
        <v>25.34</v>
      </c>
    </row>
    <row r="7007" spans="1:4" ht="31.5" customHeight="1">
      <c r="A7007" s="120">
        <v>101472</v>
      </c>
      <c r="B7007" s="119" t="s">
        <v>8551</v>
      </c>
      <c r="C7007" s="120" t="s">
        <v>34</v>
      </c>
      <c r="D7007" s="441">
        <v>19.73</v>
      </c>
    </row>
    <row r="7008" spans="1:4" ht="31.5" customHeight="1">
      <c r="A7008" s="120">
        <v>101473</v>
      </c>
      <c r="B7008" s="119" t="s">
        <v>8552</v>
      </c>
      <c r="C7008" s="120" t="s">
        <v>34</v>
      </c>
      <c r="D7008" s="441">
        <v>28.4</v>
      </c>
    </row>
    <row r="7009" spans="1:4" ht="31.5" customHeight="1">
      <c r="A7009" s="120">
        <v>101474</v>
      </c>
      <c r="B7009" s="119" t="s">
        <v>8553</v>
      </c>
      <c r="C7009" s="120" t="s">
        <v>34</v>
      </c>
      <c r="D7009" s="441">
        <v>20.32</v>
      </c>
    </row>
    <row r="7010" spans="1:4" ht="31.5" customHeight="1">
      <c r="A7010" s="120">
        <v>101475</v>
      </c>
      <c r="B7010" s="119" t="s">
        <v>8554</v>
      </c>
      <c r="C7010" s="120" t="s">
        <v>34</v>
      </c>
      <c r="D7010" s="441">
        <v>18.02</v>
      </c>
    </row>
    <row r="7011" spans="1:4" ht="31.5" customHeight="1">
      <c r="A7011" s="120">
        <v>101476</v>
      </c>
      <c r="B7011" s="119" t="s">
        <v>8555</v>
      </c>
      <c r="C7011" s="120" t="s">
        <v>34</v>
      </c>
      <c r="D7011" s="441">
        <v>16.07</v>
      </c>
    </row>
    <row r="7012" spans="1:4" ht="31.5" customHeight="1">
      <c r="A7012" s="120">
        <v>101477</v>
      </c>
      <c r="B7012" s="119" t="s">
        <v>8556</v>
      </c>
      <c r="C7012" s="120" t="s">
        <v>34</v>
      </c>
      <c r="D7012" s="441">
        <v>13.16</v>
      </c>
    </row>
    <row r="7013" spans="1:4" ht="31.5" customHeight="1">
      <c r="A7013" s="120">
        <v>101478</v>
      </c>
      <c r="B7013" s="119" t="s">
        <v>8557</v>
      </c>
      <c r="C7013" s="120" t="s">
        <v>34</v>
      </c>
      <c r="D7013" s="441">
        <v>11.2</v>
      </c>
    </row>
    <row r="7014" spans="1:4" ht="31.5" customHeight="1">
      <c r="A7014" s="120">
        <v>101480</v>
      </c>
      <c r="B7014" s="119" t="s">
        <v>8558</v>
      </c>
      <c r="C7014" s="120" t="s">
        <v>34</v>
      </c>
      <c r="D7014" s="441">
        <v>66.56</v>
      </c>
    </row>
    <row r="7015" spans="1:4" ht="31.5" customHeight="1">
      <c r="A7015" s="120">
        <v>101481</v>
      </c>
      <c r="B7015" s="119" t="s">
        <v>8559</v>
      </c>
      <c r="C7015" s="120" t="s">
        <v>34</v>
      </c>
      <c r="D7015" s="441">
        <v>48.07</v>
      </c>
    </row>
    <row r="7016" spans="1:4" ht="31.5" customHeight="1">
      <c r="A7016" s="120">
        <v>101482</v>
      </c>
      <c r="B7016" s="119" t="s">
        <v>8560</v>
      </c>
      <c r="C7016" s="120" t="s">
        <v>34</v>
      </c>
      <c r="D7016" s="441">
        <v>35.93</v>
      </c>
    </row>
    <row r="7017" spans="1:4" ht="31.5" customHeight="1">
      <c r="A7017" s="120">
        <v>101483</v>
      </c>
      <c r="B7017" s="119" t="s">
        <v>8561</v>
      </c>
      <c r="C7017" s="120" t="s">
        <v>34</v>
      </c>
      <c r="D7017" s="441">
        <v>37.28</v>
      </c>
    </row>
    <row r="7018" spans="1:4" ht="31.5" customHeight="1">
      <c r="A7018" s="120">
        <v>101484</v>
      </c>
      <c r="B7018" s="119" t="s">
        <v>8562</v>
      </c>
      <c r="C7018" s="120" t="s">
        <v>34</v>
      </c>
      <c r="D7018" s="441">
        <v>193.26</v>
      </c>
    </row>
    <row r="7019" spans="1:4" ht="31.5" customHeight="1">
      <c r="A7019" s="120">
        <v>101485</v>
      </c>
      <c r="B7019" s="119" t="s">
        <v>8563</v>
      </c>
      <c r="C7019" s="120" t="s">
        <v>34</v>
      </c>
      <c r="D7019" s="441">
        <v>148.34</v>
      </c>
    </row>
    <row r="7020" spans="1:4" ht="31.5" customHeight="1">
      <c r="A7020" s="120">
        <v>101486</v>
      </c>
      <c r="B7020" s="119" t="s">
        <v>8564</v>
      </c>
      <c r="C7020" s="120" t="s">
        <v>34</v>
      </c>
      <c r="D7020" s="441">
        <v>133.62</v>
      </c>
    </row>
    <row r="7021" spans="1:4" ht="31.5" customHeight="1">
      <c r="A7021" s="120">
        <v>101487</v>
      </c>
      <c r="B7021" s="119" t="s">
        <v>8565</v>
      </c>
      <c r="C7021" s="120" t="s">
        <v>34</v>
      </c>
      <c r="D7021" s="441">
        <v>97.84</v>
      </c>
    </row>
    <row r="7022" spans="1:4" ht="31.5" customHeight="1">
      <c r="A7022" s="120">
        <v>101488</v>
      </c>
      <c r="B7022" s="119" t="s">
        <v>8566</v>
      </c>
      <c r="C7022" s="120" t="s">
        <v>34</v>
      </c>
      <c r="D7022" s="441">
        <v>84.66</v>
      </c>
    </row>
    <row r="7023" spans="1:4" ht="31.5" customHeight="1">
      <c r="A7023" s="120">
        <v>101188</v>
      </c>
      <c r="B7023" s="119" t="s">
        <v>8567</v>
      </c>
      <c r="C7023" s="120" t="s">
        <v>328</v>
      </c>
      <c r="D7023" s="441">
        <v>7.11</v>
      </c>
    </row>
    <row r="7024" spans="1:4" ht="31.5" customHeight="1">
      <c r="A7024" s="120">
        <v>101189</v>
      </c>
      <c r="B7024" s="119" t="s">
        <v>8568</v>
      </c>
      <c r="C7024" s="120" t="s">
        <v>328</v>
      </c>
      <c r="D7024" s="441">
        <v>70.459999999999994</v>
      </c>
    </row>
    <row r="7025" spans="1:4" ht="31.5" customHeight="1">
      <c r="A7025" s="120">
        <v>101190</v>
      </c>
      <c r="B7025" s="119" t="s">
        <v>8569</v>
      </c>
      <c r="C7025" s="120" t="s">
        <v>328</v>
      </c>
      <c r="D7025" s="441">
        <v>69.650000000000006</v>
      </c>
    </row>
    <row r="7026" spans="1:4" ht="31.5" customHeight="1">
      <c r="A7026" s="120">
        <v>101191</v>
      </c>
      <c r="B7026" s="119" t="s">
        <v>8570</v>
      </c>
      <c r="C7026" s="120" t="s">
        <v>328</v>
      </c>
      <c r="D7026" s="441">
        <v>70.05</v>
      </c>
    </row>
    <row r="7027" spans="1:4" ht="31.5" customHeight="1">
      <c r="A7027" s="120">
        <v>101192</v>
      </c>
      <c r="B7027" s="119" t="s">
        <v>8571</v>
      </c>
      <c r="C7027" s="120" t="s">
        <v>328</v>
      </c>
      <c r="D7027" s="441">
        <v>71.849999999999994</v>
      </c>
    </row>
    <row r="7028" spans="1:4" ht="31.5" customHeight="1">
      <c r="A7028" s="120">
        <v>101193</v>
      </c>
      <c r="B7028" s="119" t="s">
        <v>8572</v>
      </c>
      <c r="C7028" s="120" t="s">
        <v>328</v>
      </c>
      <c r="D7028" s="441">
        <v>64.27</v>
      </c>
    </row>
    <row r="7029" spans="1:4" ht="31.5" customHeight="1">
      <c r="A7029" s="120">
        <v>101194</v>
      </c>
      <c r="B7029" s="119" t="s">
        <v>8573</v>
      </c>
      <c r="C7029" s="120" t="s">
        <v>328</v>
      </c>
      <c r="D7029" s="441">
        <v>64.67</v>
      </c>
    </row>
    <row r="7030" spans="1:4" ht="31.5" customHeight="1">
      <c r="A7030" s="120">
        <v>101197</v>
      </c>
      <c r="B7030" s="119" t="s">
        <v>8574</v>
      </c>
      <c r="C7030" s="120" t="s">
        <v>328</v>
      </c>
      <c r="D7030" s="441">
        <v>128.75</v>
      </c>
    </row>
    <row r="7031" spans="1:4" ht="31.5" customHeight="1">
      <c r="A7031" s="120">
        <v>101198</v>
      </c>
      <c r="B7031" s="119" t="s">
        <v>8575</v>
      </c>
      <c r="C7031" s="120" t="s">
        <v>328</v>
      </c>
      <c r="D7031" s="441">
        <v>98.7</v>
      </c>
    </row>
    <row r="7032" spans="1:4" ht="31.5" customHeight="1">
      <c r="A7032" s="120">
        <v>101199</v>
      </c>
      <c r="B7032" s="119" t="s">
        <v>8576</v>
      </c>
      <c r="C7032" s="120" t="s">
        <v>328</v>
      </c>
      <c r="D7032" s="441">
        <v>99.71</v>
      </c>
    </row>
    <row r="7033" spans="1:4" ht="31.5" customHeight="1">
      <c r="A7033" s="120">
        <v>101200</v>
      </c>
      <c r="B7033" s="119" t="s">
        <v>8577</v>
      </c>
      <c r="C7033" s="120" t="s">
        <v>328</v>
      </c>
      <c r="D7033" s="441">
        <v>69.83</v>
      </c>
    </row>
    <row r="7034" spans="1:4" ht="31.5" customHeight="1">
      <c r="A7034" s="120">
        <v>101201</v>
      </c>
      <c r="B7034" s="119" t="s">
        <v>8578</v>
      </c>
      <c r="C7034" s="120" t="s">
        <v>328</v>
      </c>
      <c r="D7034" s="441">
        <v>85.05</v>
      </c>
    </row>
    <row r="7035" spans="1:4" ht="31.5" customHeight="1">
      <c r="A7035" s="120">
        <v>101202</v>
      </c>
      <c r="B7035" s="119" t="s">
        <v>8579</v>
      </c>
      <c r="C7035" s="120" t="s">
        <v>328</v>
      </c>
      <c r="D7035" s="441">
        <v>48.12</v>
      </c>
    </row>
    <row r="7036" spans="1:4" ht="31.5" customHeight="1">
      <c r="A7036" s="120">
        <v>101203</v>
      </c>
      <c r="B7036" s="119" t="s">
        <v>8580</v>
      </c>
      <c r="C7036" s="120" t="s">
        <v>328</v>
      </c>
      <c r="D7036" s="441">
        <v>47.11</v>
      </c>
    </row>
    <row r="7037" spans="1:4" ht="31.5" customHeight="1">
      <c r="A7037" s="120">
        <v>101204</v>
      </c>
      <c r="B7037" s="119" t="s">
        <v>8581</v>
      </c>
      <c r="C7037" s="120" t="s">
        <v>328</v>
      </c>
      <c r="D7037" s="441">
        <v>47.51</v>
      </c>
    </row>
    <row r="7038" spans="1:4" ht="31.5" customHeight="1">
      <c r="A7038" s="120">
        <v>101205</v>
      </c>
      <c r="B7038" s="119" t="s">
        <v>8582</v>
      </c>
      <c r="C7038" s="120" t="s">
        <v>328</v>
      </c>
      <c r="D7038" s="441">
        <v>48.12</v>
      </c>
    </row>
    <row r="7039" spans="1:4" ht="47.25" customHeight="1">
      <c r="A7039" s="120">
        <v>102362</v>
      </c>
      <c r="B7039" s="119" t="s">
        <v>8583</v>
      </c>
      <c r="C7039" s="120" t="s">
        <v>951</v>
      </c>
      <c r="D7039" s="441">
        <v>182.22</v>
      </c>
    </row>
    <row r="7040" spans="1:4" ht="47.25" customHeight="1">
      <c r="A7040" s="120">
        <v>102363</v>
      </c>
      <c r="B7040" s="119" t="s">
        <v>8584</v>
      </c>
      <c r="C7040" s="120" t="s">
        <v>951</v>
      </c>
      <c r="D7040" s="441">
        <v>195.79</v>
      </c>
    </row>
    <row r="7041" spans="1:4" ht="47.25" customHeight="1">
      <c r="A7041" s="120">
        <v>102364</v>
      </c>
      <c r="B7041" s="119" t="s">
        <v>8585</v>
      </c>
      <c r="C7041" s="120" t="s">
        <v>951</v>
      </c>
      <c r="D7041" s="441">
        <v>220.66</v>
      </c>
    </row>
    <row r="7042" spans="1:4" ht="15.75" customHeight="1">
      <c r="A7042" s="120">
        <v>98509</v>
      </c>
      <c r="B7042" s="119" t="s">
        <v>8586</v>
      </c>
      <c r="C7042" s="120" t="s">
        <v>331</v>
      </c>
      <c r="D7042" s="441">
        <v>31.71</v>
      </c>
    </row>
    <row r="7043" spans="1:4" ht="15.75" customHeight="1">
      <c r="A7043" s="120">
        <v>98510</v>
      </c>
      <c r="B7043" s="119" t="s">
        <v>8587</v>
      </c>
      <c r="C7043" s="120" t="s">
        <v>331</v>
      </c>
      <c r="D7043" s="441">
        <v>57.03</v>
      </c>
    </row>
    <row r="7044" spans="1:4" ht="31.5" customHeight="1">
      <c r="A7044" s="120">
        <v>98511</v>
      </c>
      <c r="B7044" s="119" t="s">
        <v>8588</v>
      </c>
      <c r="C7044" s="120" t="s">
        <v>331</v>
      </c>
      <c r="D7044" s="441">
        <v>102.8</v>
      </c>
    </row>
    <row r="7045" spans="1:4" ht="15.75" customHeight="1">
      <c r="A7045" s="120">
        <v>98516</v>
      </c>
      <c r="B7045" s="119" t="s">
        <v>8589</v>
      </c>
      <c r="C7045" s="120" t="s">
        <v>331</v>
      </c>
      <c r="D7045" s="441">
        <v>348.96</v>
      </c>
    </row>
    <row r="7046" spans="1:4" ht="15.75" customHeight="1">
      <c r="A7046" s="120">
        <v>98519</v>
      </c>
      <c r="B7046" s="119" t="s">
        <v>8590</v>
      </c>
      <c r="C7046" s="120" t="s">
        <v>951</v>
      </c>
      <c r="D7046" s="441">
        <v>2.39</v>
      </c>
    </row>
    <row r="7047" spans="1:4" ht="15.75" customHeight="1">
      <c r="A7047" s="120">
        <v>98520</v>
      </c>
      <c r="B7047" s="119" t="s">
        <v>8591</v>
      </c>
      <c r="C7047" s="120" t="s">
        <v>951</v>
      </c>
      <c r="D7047" s="441">
        <v>6.97</v>
      </c>
    </row>
    <row r="7048" spans="1:4" ht="15.75" customHeight="1">
      <c r="A7048" s="120">
        <v>98521</v>
      </c>
      <c r="B7048" s="119" t="s">
        <v>8592</v>
      </c>
      <c r="C7048" s="120" t="s">
        <v>951</v>
      </c>
      <c r="D7048" s="441">
        <v>0.42</v>
      </c>
    </row>
    <row r="7049" spans="1:4" ht="31.5" customHeight="1">
      <c r="A7049" s="120">
        <v>98522</v>
      </c>
      <c r="B7049" s="119" t="s">
        <v>8593</v>
      </c>
      <c r="C7049" s="120" t="s">
        <v>328</v>
      </c>
      <c r="D7049" s="441">
        <v>181.82</v>
      </c>
    </row>
    <row r="7050" spans="1:4" ht="15.75" customHeight="1">
      <c r="A7050" s="120">
        <v>98524</v>
      </c>
      <c r="B7050" s="119" t="s">
        <v>8594</v>
      </c>
      <c r="C7050" s="120" t="s">
        <v>951</v>
      </c>
      <c r="D7050" s="441">
        <v>3.67</v>
      </c>
    </row>
    <row r="7051" spans="1:4" ht="15.75" customHeight="1">
      <c r="A7051" s="120">
        <v>98503</v>
      </c>
      <c r="B7051" s="119" t="s">
        <v>8595</v>
      </c>
      <c r="C7051" s="120" t="s">
        <v>951</v>
      </c>
      <c r="D7051" s="441">
        <v>21.81</v>
      </c>
    </row>
    <row r="7052" spans="1:4" ht="15.75" customHeight="1">
      <c r="A7052" s="120">
        <v>98504</v>
      </c>
      <c r="B7052" s="119" t="s">
        <v>8596</v>
      </c>
      <c r="C7052" s="120" t="s">
        <v>951</v>
      </c>
      <c r="D7052" s="441">
        <v>11.01</v>
      </c>
    </row>
    <row r="7053" spans="1:4" ht="15.75" customHeight="1">
      <c r="A7053" s="120">
        <v>98505</v>
      </c>
      <c r="B7053" s="119" t="s">
        <v>8597</v>
      </c>
      <c r="C7053" s="120" t="s">
        <v>951</v>
      </c>
      <c r="D7053" s="441">
        <v>46.68</v>
      </c>
    </row>
    <row r="7054" spans="1:4" ht="15.75" customHeight="1">
      <c r="A7054" s="120">
        <v>103946</v>
      </c>
      <c r="B7054" s="119" t="s">
        <v>8598</v>
      </c>
      <c r="C7054" s="120" t="s">
        <v>951</v>
      </c>
      <c r="D7054" s="441">
        <v>13.44</v>
      </c>
    </row>
    <row r="7055" spans="1:4" ht="31.5" customHeight="1">
      <c r="A7055" s="120">
        <v>103185</v>
      </c>
      <c r="B7055" s="119" t="s">
        <v>8599</v>
      </c>
      <c r="C7055" s="120" t="s">
        <v>331</v>
      </c>
      <c r="D7055" s="442">
        <v>6123.28</v>
      </c>
    </row>
    <row r="7056" spans="1:4" ht="47.25" customHeight="1">
      <c r="A7056" s="120">
        <v>103186</v>
      </c>
      <c r="B7056" s="119" t="s">
        <v>8600</v>
      </c>
      <c r="C7056" s="120" t="s">
        <v>331</v>
      </c>
      <c r="D7056" s="442">
        <v>6439.51</v>
      </c>
    </row>
    <row r="7057" spans="1:4" ht="47.25" customHeight="1">
      <c r="A7057" s="120">
        <v>103187</v>
      </c>
      <c r="B7057" s="119" t="s">
        <v>8601</v>
      </c>
      <c r="C7057" s="120" t="s">
        <v>331</v>
      </c>
      <c r="D7057" s="442">
        <v>4850.45</v>
      </c>
    </row>
    <row r="7058" spans="1:4" ht="47.25" customHeight="1">
      <c r="A7058" s="120">
        <v>103188</v>
      </c>
      <c r="B7058" s="119" t="s">
        <v>8602</v>
      </c>
      <c r="C7058" s="120" t="s">
        <v>331</v>
      </c>
      <c r="D7058" s="442">
        <v>5209.3900000000003</v>
      </c>
    </row>
    <row r="7059" spans="1:4" ht="47.25" customHeight="1">
      <c r="A7059" s="120">
        <v>103189</v>
      </c>
      <c r="B7059" s="119" t="s">
        <v>8603</v>
      </c>
      <c r="C7059" s="120" t="s">
        <v>331</v>
      </c>
      <c r="D7059" s="442">
        <v>2613.6999999999998</v>
      </c>
    </row>
    <row r="7060" spans="1:4" ht="31.5" customHeight="1">
      <c r="A7060" s="120">
        <v>103190</v>
      </c>
      <c r="B7060" s="119" t="s">
        <v>8604</v>
      </c>
      <c r="C7060" s="120" t="s">
        <v>331</v>
      </c>
      <c r="D7060" s="442">
        <v>4056.18</v>
      </c>
    </row>
    <row r="7061" spans="1:4" ht="31.5" customHeight="1">
      <c r="A7061" s="120">
        <v>103191</v>
      </c>
      <c r="B7061" s="119" t="s">
        <v>8605</v>
      </c>
      <c r="C7061" s="120" t="s">
        <v>331</v>
      </c>
      <c r="D7061" s="442">
        <v>2365.31</v>
      </c>
    </row>
    <row r="7062" spans="1:4" ht="47.25" customHeight="1">
      <c r="A7062" s="120">
        <v>103192</v>
      </c>
      <c r="B7062" s="119" t="s">
        <v>8606</v>
      </c>
      <c r="C7062" s="120" t="s">
        <v>331</v>
      </c>
      <c r="D7062" s="442">
        <v>2517.59</v>
      </c>
    </row>
    <row r="7063" spans="1:4" ht="31.5" customHeight="1">
      <c r="A7063" s="120">
        <v>103193</v>
      </c>
      <c r="B7063" s="119" t="s">
        <v>8607</v>
      </c>
      <c r="C7063" s="120" t="s">
        <v>331</v>
      </c>
      <c r="D7063" s="442">
        <v>1941.44</v>
      </c>
    </row>
    <row r="7064" spans="1:4" ht="31.5" customHeight="1">
      <c r="A7064" s="120">
        <v>103194</v>
      </c>
      <c r="B7064" s="119" t="s">
        <v>8608</v>
      </c>
      <c r="C7064" s="120" t="s">
        <v>331</v>
      </c>
      <c r="D7064" s="442">
        <v>2791.86</v>
      </c>
    </row>
    <row r="7065" spans="1:4" ht="31.5" customHeight="1">
      <c r="A7065" s="120">
        <v>103195</v>
      </c>
      <c r="B7065" s="119" t="s">
        <v>8609</v>
      </c>
      <c r="C7065" s="120" t="s">
        <v>331</v>
      </c>
      <c r="D7065" s="442">
        <v>2182.89</v>
      </c>
    </row>
    <row r="7066" spans="1:4" ht="47.25" customHeight="1">
      <c r="A7066" s="120">
        <v>103205</v>
      </c>
      <c r="B7066" s="119" t="s">
        <v>8610</v>
      </c>
      <c r="C7066" s="120" t="s">
        <v>331</v>
      </c>
      <c r="D7066" s="442">
        <v>4075.19</v>
      </c>
    </row>
    <row r="7067" spans="1:4" ht="47.25" customHeight="1">
      <c r="A7067" s="120">
        <v>103206</v>
      </c>
      <c r="B7067" s="119" t="s">
        <v>8611</v>
      </c>
      <c r="C7067" s="120" t="s">
        <v>331</v>
      </c>
      <c r="D7067" s="442">
        <v>2384.33</v>
      </c>
    </row>
    <row r="7068" spans="1:4" ht="47.25" customHeight="1">
      <c r="A7068" s="120">
        <v>103207</v>
      </c>
      <c r="B7068" s="119" t="s">
        <v>8612</v>
      </c>
      <c r="C7068" s="120" t="s">
        <v>331</v>
      </c>
      <c r="D7068" s="442">
        <v>2536.61</v>
      </c>
    </row>
    <row r="7069" spans="1:4" ht="47.25" customHeight="1">
      <c r="A7069" s="120">
        <v>103208</v>
      </c>
      <c r="B7069" s="119" t="s">
        <v>8613</v>
      </c>
      <c r="C7069" s="120" t="s">
        <v>331</v>
      </c>
      <c r="D7069" s="442">
        <v>1960.46</v>
      </c>
    </row>
    <row r="7070" spans="1:4" ht="31.5" customHeight="1">
      <c r="A7070" s="120">
        <v>103209</v>
      </c>
      <c r="B7070" s="119" t="s">
        <v>8614</v>
      </c>
      <c r="C7070" s="120" t="s">
        <v>331</v>
      </c>
      <c r="D7070" s="442">
        <v>2810.88</v>
      </c>
    </row>
    <row r="7071" spans="1:4" ht="47.25" customHeight="1">
      <c r="A7071" s="120">
        <v>103210</v>
      </c>
      <c r="B7071" s="119" t="s">
        <v>8615</v>
      </c>
      <c r="C7071" s="120" t="s">
        <v>331</v>
      </c>
      <c r="D7071" s="442">
        <v>2301.73</v>
      </c>
    </row>
    <row r="7072" spans="1:4" ht="31.5" customHeight="1">
      <c r="A7072" s="120">
        <v>103304</v>
      </c>
      <c r="B7072" s="119" t="s">
        <v>8616</v>
      </c>
      <c r="C7072" s="120" t="s">
        <v>331</v>
      </c>
      <c r="D7072" s="442">
        <v>1245.01</v>
      </c>
    </row>
    <row r="7073" spans="1:4" ht="31.5" customHeight="1">
      <c r="A7073" s="120">
        <v>103307</v>
      </c>
      <c r="B7073" s="119" t="s">
        <v>8617</v>
      </c>
      <c r="C7073" s="120" t="s">
        <v>331</v>
      </c>
      <c r="D7073" s="442">
        <v>1338.44</v>
      </c>
    </row>
    <row r="7074" spans="1:4" ht="31.5" customHeight="1">
      <c r="A7074" s="120">
        <v>103310</v>
      </c>
      <c r="B7074" s="119" t="s">
        <v>8618</v>
      </c>
      <c r="C7074" s="120" t="s">
        <v>331</v>
      </c>
      <c r="D7074" s="442">
        <v>1279.76</v>
      </c>
    </row>
    <row r="7075" spans="1:4" ht="31.5" customHeight="1">
      <c r="A7075" s="120">
        <v>103314</v>
      </c>
      <c r="B7075" s="119" t="s">
        <v>8619</v>
      </c>
      <c r="C7075" s="120" t="s">
        <v>951</v>
      </c>
      <c r="D7075" s="441">
        <v>336.08</v>
      </c>
    </row>
    <row r="7076" spans="1:4" ht="31.5" customHeight="1">
      <c r="A7076" s="120">
        <v>103315</v>
      </c>
      <c r="B7076" s="119" t="s">
        <v>8620</v>
      </c>
      <c r="C7076" s="120" t="s">
        <v>951</v>
      </c>
      <c r="D7076" s="441">
        <v>326.55</v>
      </c>
    </row>
    <row r="7077" spans="1:4" ht="31.5" customHeight="1">
      <c r="A7077" s="120">
        <v>103769</v>
      </c>
      <c r="B7077" s="119" t="s">
        <v>8621</v>
      </c>
      <c r="C7077" s="120" t="s">
        <v>331</v>
      </c>
      <c r="D7077" s="442">
        <v>3414.79</v>
      </c>
    </row>
    <row r="7078" spans="1:4" ht="31.5" customHeight="1">
      <c r="A7078" s="120">
        <v>98525</v>
      </c>
      <c r="B7078" s="119" t="s">
        <v>8622</v>
      </c>
      <c r="C7078" s="120" t="s">
        <v>951</v>
      </c>
      <c r="D7078" s="441">
        <v>0.42</v>
      </c>
    </row>
    <row r="7079" spans="1:4" ht="31.5" customHeight="1">
      <c r="A7079" s="120">
        <v>98526</v>
      </c>
      <c r="B7079" s="119" t="s">
        <v>8623</v>
      </c>
      <c r="C7079" s="120" t="s">
        <v>331</v>
      </c>
      <c r="D7079" s="441">
        <v>88.21</v>
      </c>
    </row>
    <row r="7080" spans="1:4" ht="31.5" customHeight="1">
      <c r="A7080" s="120">
        <v>98527</v>
      </c>
      <c r="B7080" s="119" t="s">
        <v>8624</v>
      </c>
      <c r="C7080" s="120" t="s">
        <v>331</v>
      </c>
      <c r="D7080" s="441">
        <v>189.89</v>
      </c>
    </row>
    <row r="7081" spans="1:4" ht="31.5" customHeight="1">
      <c r="A7081" s="120">
        <v>98528</v>
      </c>
      <c r="B7081" s="119" t="s">
        <v>8625</v>
      </c>
      <c r="C7081" s="120" t="s">
        <v>331</v>
      </c>
      <c r="D7081" s="441">
        <v>277.68</v>
      </c>
    </row>
    <row r="7082" spans="1:4" ht="31.5" customHeight="1">
      <c r="A7082" s="120">
        <v>98529</v>
      </c>
      <c r="B7082" s="119" t="s">
        <v>8626</v>
      </c>
      <c r="C7082" s="120" t="s">
        <v>331</v>
      </c>
      <c r="D7082" s="441">
        <v>79.19</v>
      </c>
    </row>
    <row r="7083" spans="1:4" ht="31.5" customHeight="1">
      <c r="A7083" s="120">
        <v>98530</v>
      </c>
      <c r="B7083" s="119" t="s">
        <v>8627</v>
      </c>
      <c r="C7083" s="120" t="s">
        <v>331</v>
      </c>
      <c r="D7083" s="441">
        <v>141.06</v>
      </c>
    </row>
    <row r="7084" spans="1:4" ht="15.75" customHeight="1">
      <c r="A7084" s="120">
        <v>98531</v>
      </c>
      <c r="B7084" s="119" t="s">
        <v>8628</v>
      </c>
      <c r="C7084" s="120" t="s">
        <v>331</v>
      </c>
      <c r="D7084" s="441">
        <v>337.53</v>
      </c>
    </row>
    <row r="7085" spans="1:4" ht="15.75" customHeight="1">
      <c r="A7085" s="120">
        <v>98532</v>
      </c>
      <c r="B7085" s="119" t="s">
        <v>8629</v>
      </c>
      <c r="C7085" s="120" t="s">
        <v>331</v>
      </c>
      <c r="D7085" s="441">
        <v>123.34</v>
      </c>
    </row>
    <row r="7086" spans="1:4" ht="31.5" customHeight="1">
      <c r="A7086" s="120">
        <v>98533</v>
      </c>
      <c r="B7086" s="119" t="s">
        <v>8630</v>
      </c>
      <c r="C7086" s="120" t="s">
        <v>331</v>
      </c>
      <c r="D7086" s="441">
        <v>338.89</v>
      </c>
    </row>
    <row r="7087" spans="1:4" ht="31.5" customHeight="1">
      <c r="A7087" s="120">
        <v>98534</v>
      </c>
      <c r="B7087" s="119" t="s">
        <v>8631</v>
      </c>
      <c r="C7087" s="120" t="s">
        <v>331</v>
      </c>
      <c r="D7087" s="441">
        <v>866.88</v>
      </c>
    </row>
    <row r="7088" spans="1:4" ht="15.75" customHeight="1">
      <c r="A7088" s="120">
        <v>98535</v>
      </c>
      <c r="B7088" s="119" t="s">
        <v>8632</v>
      </c>
      <c r="C7088" s="120" t="s">
        <v>331</v>
      </c>
      <c r="D7088" s="442">
        <v>1374.29</v>
      </c>
    </row>
    <row r="7089" spans="1:4" ht="15.75" customHeight="1">
      <c r="A7089" s="120">
        <v>88238</v>
      </c>
      <c r="B7089" s="119" t="s">
        <v>8633</v>
      </c>
      <c r="C7089" s="120" t="s">
        <v>324</v>
      </c>
      <c r="D7089" s="441">
        <v>25.1</v>
      </c>
    </row>
    <row r="7090" spans="1:4" ht="15.75" customHeight="1">
      <c r="A7090" s="120">
        <v>88239</v>
      </c>
      <c r="B7090" s="119" t="s">
        <v>8634</v>
      </c>
      <c r="C7090" s="120" t="s">
        <v>324</v>
      </c>
      <c r="D7090" s="441">
        <v>26.45</v>
      </c>
    </row>
    <row r="7091" spans="1:4" ht="15.75" customHeight="1">
      <c r="A7091" s="120">
        <v>88240</v>
      </c>
      <c r="B7091" s="119" t="s">
        <v>8635</v>
      </c>
      <c r="C7091" s="120" t="s">
        <v>324</v>
      </c>
      <c r="D7091" s="441">
        <v>23.02</v>
      </c>
    </row>
    <row r="7092" spans="1:4" ht="15.75" customHeight="1">
      <c r="A7092" s="120">
        <v>88241</v>
      </c>
      <c r="B7092" s="119" t="s">
        <v>8636</v>
      </c>
      <c r="C7092" s="120" t="s">
        <v>324</v>
      </c>
      <c r="D7092" s="441">
        <v>26.57</v>
      </c>
    </row>
    <row r="7093" spans="1:4" ht="15.75" customHeight="1">
      <c r="A7093" s="120">
        <v>88242</v>
      </c>
      <c r="B7093" s="119" t="s">
        <v>8637</v>
      </c>
      <c r="C7093" s="120" t="s">
        <v>324</v>
      </c>
      <c r="D7093" s="441">
        <v>25.16</v>
      </c>
    </row>
    <row r="7094" spans="1:4" ht="15.75" customHeight="1">
      <c r="A7094" s="120">
        <v>88243</v>
      </c>
      <c r="B7094" s="119" t="s">
        <v>8638</v>
      </c>
      <c r="C7094" s="120" t="s">
        <v>324</v>
      </c>
      <c r="D7094" s="441">
        <v>26.4</v>
      </c>
    </row>
    <row r="7095" spans="1:4" ht="15.75" customHeight="1">
      <c r="A7095" s="120">
        <v>88245</v>
      </c>
      <c r="B7095" s="119" t="s">
        <v>8639</v>
      </c>
      <c r="C7095" s="120" t="s">
        <v>324</v>
      </c>
      <c r="D7095" s="441">
        <v>32.31</v>
      </c>
    </row>
    <row r="7096" spans="1:4" ht="15.75" customHeight="1">
      <c r="A7096" s="120">
        <v>88246</v>
      </c>
      <c r="B7096" s="119" t="s">
        <v>8640</v>
      </c>
      <c r="C7096" s="120" t="s">
        <v>324</v>
      </c>
      <c r="D7096" s="441">
        <v>29.35</v>
      </c>
    </row>
    <row r="7097" spans="1:4" ht="15.75" customHeight="1">
      <c r="A7097" s="120">
        <v>88247</v>
      </c>
      <c r="B7097" s="119" t="s">
        <v>8641</v>
      </c>
      <c r="C7097" s="120" t="s">
        <v>324</v>
      </c>
      <c r="D7097" s="441">
        <v>27.06</v>
      </c>
    </row>
    <row r="7098" spans="1:4" ht="15.75" customHeight="1">
      <c r="A7098" s="120">
        <v>88248</v>
      </c>
      <c r="B7098" s="119" t="s">
        <v>8642</v>
      </c>
      <c r="C7098" s="120" t="s">
        <v>324</v>
      </c>
      <c r="D7098" s="441">
        <v>26.01</v>
      </c>
    </row>
    <row r="7099" spans="1:4" ht="15.75" customHeight="1">
      <c r="A7099" s="120">
        <v>88249</v>
      </c>
      <c r="B7099" s="119" t="s">
        <v>8643</v>
      </c>
      <c r="C7099" s="120" t="s">
        <v>324</v>
      </c>
      <c r="D7099" s="441">
        <v>28.01</v>
      </c>
    </row>
    <row r="7100" spans="1:4" ht="15.75" customHeight="1">
      <c r="A7100" s="120">
        <v>88250</v>
      </c>
      <c r="B7100" s="119" t="s">
        <v>8644</v>
      </c>
      <c r="C7100" s="120" t="s">
        <v>324</v>
      </c>
      <c r="D7100" s="441">
        <v>22.95</v>
      </c>
    </row>
    <row r="7101" spans="1:4" ht="15.75" customHeight="1">
      <c r="A7101" s="120">
        <v>88251</v>
      </c>
      <c r="B7101" s="119" t="s">
        <v>8645</v>
      </c>
      <c r="C7101" s="120" t="s">
        <v>324</v>
      </c>
      <c r="D7101" s="441">
        <v>26.57</v>
      </c>
    </row>
    <row r="7102" spans="1:4" ht="15.75" customHeight="1">
      <c r="A7102" s="120">
        <v>88252</v>
      </c>
      <c r="B7102" s="119" t="s">
        <v>8646</v>
      </c>
      <c r="C7102" s="120" t="s">
        <v>324</v>
      </c>
      <c r="D7102" s="441">
        <v>24.95</v>
      </c>
    </row>
    <row r="7103" spans="1:4" ht="15.75" customHeight="1">
      <c r="A7103" s="120">
        <v>88253</v>
      </c>
      <c r="B7103" s="119" t="s">
        <v>197</v>
      </c>
      <c r="C7103" s="120" t="s">
        <v>324</v>
      </c>
      <c r="D7103" s="441">
        <v>12.9</v>
      </c>
    </row>
    <row r="7104" spans="1:4" ht="15.75" customHeight="1">
      <c r="A7104" s="120">
        <v>88255</v>
      </c>
      <c r="B7104" s="119" t="s">
        <v>8647</v>
      </c>
      <c r="C7104" s="120" t="s">
        <v>324</v>
      </c>
      <c r="D7104" s="441">
        <v>40.090000000000003</v>
      </c>
    </row>
    <row r="7105" spans="1:4" ht="15.75" customHeight="1">
      <c r="A7105" s="120">
        <v>88256</v>
      </c>
      <c r="B7105" s="119" t="s">
        <v>8648</v>
      </c>
      <c r="C7105" s="120" t="s">
        <v>324</v>
      </c>
      <c r="D7105" s="441">
        <v>32.39</v>
      </c>
    </row>
    <row r="7106" spans="1:4" ht="15.75" customHeight="1">
      <c r="A7106" s="120">
        <v>88257</v>
      </c>
      <c r="B7106" s="119" t="s">
        <v>8649</v>
      </c>
      <c r="C7106" s="120" t="s">
        <v>324</v>
      </c>
      <c r="D7106" s="441">
        <v>28.5</v>
      </c>
    </row>
    <row r="7107" spans="1:4" ht="15.75" customHeight="1">
      <c r="A7107" s="120">
        <v>88258</v>
      </c>
      <c r="B7107" s="119" t="s">
        <v>8650</v>
      </c>
      <c r="C7107" s="120" t="s">
        <v>324</v>
      </c>
      <c r="D7107" s="441">
        <v>21.58</v>
      </c>
    </row>
    <row r="7108" spans="1:4" ht="15.75" customHeight="1">
      <c r="A7108" s="120">
        <v>88260</v>
      </c>
      <c r="B7108" s="119" t="s">
        <v>8651</v>
      </c>
      <c r="C7108" s="120" t="s">
        <v>324</v>
      </c>
      <c r="D7108" s="441">
        <v>28.61</v>
      </c>
    </row>
    <row r="7109" spans="1:4" ht="15.75" customHeight="1">
      <c r="A7109" s="120">
        <v>88261</v>
      </c>
      <c r="B7109" s="119" t="s">
        <v>8652</v>
      </c>
      <c r="C7109" s="120" t="s">
        <v>324</v>
      </c>
      <c r="D7109" s="441">
        <v>30.78</v>
      </c>
    </row>
    <row r="7110" spans="1:4" ht="15.75" customHeight="1">
      <c r="A7110" s="120">
        <v>88262</v>
      </c>
      <c r="B7110" s="119" t="s">
        <v>8653</v>
      </c>
      <c r="C7110" s="120" t="s">
        <v>324</v>
      </c>
      <c r="D7110" s="441">
        <v>32.130000000000003</v>
      </c>
    </row>
    <row r="7111" spans="1:4" ht="15.75" customHeight="1">
      <c r="A7111" s="120">
        <v>88263</v>
      </c>
      <c r="B7111" s="119" t="s">
        <v>8654</v>
      </c>
      <c r="C7111" s="120" t="s">
        <v>324</v>
      </c>
      <c r="D7111" s="441">
        <v>22.69</v>
      </c>
    </row>
    <row r="7112" spans="1:4" ht="15.75" customHeight="1">
      <c r="A7112" s="120">
        <v>88264</v>
      </c>
      <c r="B7112" s="119" t="s">
        <v>8655</v>
      </c>
      <c r="C7112" s="120" t="s">
        <v>324</v>
      </c>
      <c r="D7112" s="441">
        <v>32.950000000000003</v>
      </c>
    </row>
    <row r="7113" spans="1:4" ht="15.75" customHeight="1">
      <c r="A7113" s="120">
        <v>88265</v>
      </c>
      <c r="B7113" s="119" t="s">
        <v>8656</v>
      </c>
      <c r="C7113" s="120" t="s">
        <v>324</v>
      </c>
      <c r="D7113" s="441">
        <v>35.380000000000003</v>
      </c>
    </row>
    <row r="7114" spans="1:4" ht="15.75" customHeight="1">
      <c r="A7114" s="120">
        <v>88266</v>
      </c>
      <c r="B7114" s="119" t="s">
        <v>8657</v>
      </c>
      <c r="C7114" s="120" t="s">
        <v>324</v>
      </c>
      <c r="D7114" s="441">
        <v>39.22</v>
      </c>
    </row>
    <row r="7115" spans="1:4" ht="15.75" customHeight="1">
      <c r="A7115" s="120">
        <v>88267</v>
      </c>
      <c r="B7115" s="119" t="s">
        <v>8658</v>
      </c>
      <c r="C7115" s="120" t="s">
        <v>324</v>
      </c>
      <c r="D7115" s="441">
        <v>31.79</v>
      </c>
    </row>
    <row r="7116" spans="1:4" ht="15.75" customHeight="1">
      <c r="A7116" s="120">
        <v>88269</v>
      </c>
      <c r="B7116" s="119" t="s">
        <v>8659</v>
      </c>
      <c r="C7116" s="120" t="s">
        <v>324</v>
      </c>
      <c r="D7116" s="441">
        <v>31.16</v>
      </c>
    </row>
    <row r="7117" spans="1:4" ht="15.75" customHeight="1">
      <c r="A7117" s="120">
        <v>88270</v>
      </c>
      <c r="B7117" s="119" t="s">
        <v>8660</v>
      </c>
      <c r="C7117" s="120" t="s">
        <v>324</v>
      </c>
      <c r="D7117" s="441">
        <v>32.549999999999997</v>
      </c>
    </row>
    <row r="7118" spans="1:4" ht="15.75" customHeight="1">
      <c r="A7118" s="120">
        <v>88272</v>
      </c>
      <c r="B7118" s="119" t="s">
        <v>8661</v>
      </c>
      <c r="C7118" s="120" t="s">
        <v>324</v>
      </c>
      <c r="D7118" s="441">
        <v>33.35</v>
      </c>
    </row>
    <row r="7119" spans="1:4" ht="15.75" customHeight="1">
      <c r="A7119" s="120">
        <v>88273</v>
      </c>
      <c r="B7119" s="119" t="s">
        <v>8662</v>
      </c>
      <c r="C7119" s="120" t="s">
        <v>324</v>
      </c>
      <c r="D7119" s="441">
        <v>30.16</v>
      </c>
    </row>
    <row r="7120" spans="1:4" ht="15.75" customHeight="1">
      <c r="A7120" s="120">
        <v>88274</v>
      </c>
      <c r="B7120" s="119" t="s">
        <v>8663</v>
      </c>
      <c r="C7120" s="120" t="s">
        <v>324</v>
      </c>
      <c r="D7120" s="441">
        <v>35.71</v>
      </c>
    </row>
    <row r="7121" spans="1:4" ht="15.75" customHeight="1">
      <c r="A7121" s="120">
        <v>88275</v>
      </c>
      <c r="B7121" s="119" t="s">
        <v>8664</v>
      </c>
      <c r="C7121" s="120" t="s">
        <v>324</v>
      </c>
      <c r="D7121" s="441">
        <v>35.049999999999997</v>
      </c>
    </row>
    <row r="7122" spans="1:4" ht="15.75" customHeight="1">
      <c r="A7122" s="120">
        <v>88277</v>
      </c>
      <c r="B7122" s="119" t="s">
        <v>8665</v>
      </c>
      <c r="C7122" s="120" t="s">
        <v>324</v>
      </c>
      <c r="D7122" s="441">
        <v>35.15</v>
      </c>
    </row>
    <row r="7123" spans="1:4" ht="15.75" customHeight="1">
      <c r="A7123" s="120">
        <v>88278</v>
      </c>
      <c r="B7123" s="119" t="s">
        <v>8666</v>
      </c>
      <c r="C7123" s="120" t="s">
        <v>324</v>
      </c>
      <c r="D7123" s="441">
        <v>29.7</v>
      </c>
    </row>
    <row r="7124" spans="1:4" ht="15.75" customHeight="1">
      <c r="A7124" s="120">
        <v>88279</v>
      </c>
      <c r="B7124" s="119" t="s">
        <v>8667</v>
      </c>
      <c r="C7124" s="120" t="s">
        <v>324</v>
      </c>
      <c r="D7124" s="441">
        <v>39.39</v>
      </c>
    </row>
    <row r="7125" spans="1:4" ht="15.75" customHeight="1">
      <c r="A7125" s="120">
        <v>88281</v>
      </c>
      <c r="B7125" s="119" t="s">
        <v>8668</v>
      </c>
      <c r="C7125" s="120" t="s">
        <v>324</v>
      </c>
      <c r="D7125" s="441">
        <v>26.03</v>
      </c>
    </row>
    <row r="7126" spans="1:4" ht="15.75" customHeight="1">
      <c r="A7126" s="120">
        <v>88282</v>
      </c>
      <c r="B7126" s="119" t="s">
        <v>8669</v>
      </c>
      <c r="C7126" s="120" t="s">
        <v>324</v>
      </c>
      <c r="D7126" s="441">
        <v>27.2</v>
      </c>
    </row>
    <row r="7127" spans="1:4" ht="15.75" customHeight="1">
      <c r="A7127" s="120">
        <v>88283</v>
      </c>
      <c r="B7127" s="119" t="s">
        <v>8670</v>
      </c>
      <c r="C7127" s="120" t="s">
        <v>324</v>
      </c>
      <c r="D7127" s="441">
        <v>34.08</v>
      </c>
    </row>
    <row r="7128" spans="1:4" ht="15.75" customHeight="1">
      <c r="A7128" s="120">
        <v>88284</v>
      </c>
      <c r="B7128" s="119" t="s">
        <v>8671</v>
      </c>
      <c r="C7128" s="120" t="s">
        <v>324</v>
      </c>
      <c r="D7128" s="441">
        <v>29.06</v>
      </c>
    </row>
    <row r="7129" spans="1:4" ht="15.75" customHeight="1">
      <c r="A7129" s="120">
        <v>88285</v>
      </c>
      <c r="B7129" s="119" t="s">
        <v>8672</v>
      </c>
      <c r="C7129" s="120" t="s">
        <v>324</v>
      </c>
      <c r="D7129" s="441">
        <v>29.89</v>
      </c>
    </row>
    <row r="7130" spans="1:4" ht="15.75" customHeight="1">
      <c r="A7130" s="120">
        <v>88286</v>
      </c>
      <c r="B7130" s="119" t="s">
        <v>8673</v>
      </c>
      <c r="C7130" s="120" t="s">
        <v>324</v>
      </c>
      <c r="D7130" s="441">
        <v>30.78</v>
      </c>
    </row>
    <row r="7131" spans="1:4" ht="15.75" customHeight="1">
      <c r="A7131" s="120">
        <v>88288</v>
      </c>
      <c r="B7131" s="119" t="s">
        <v>8674</v>
      </c>
      <c r="C7131" s="120" t="s">
        <v>324</v>
      </c>
      <c r="D7131" s="441">
        <v>15.94</v>
      </c>
    </row>
    <row r="7132" spans="1:4" ht="15.75" customHeight="1">
      <c r="A7132" s="120">
        <v>88291</v>
      </c>
      <c r="B7132" s="119" t="s">
        <v>8675</v>
      </c>
      <c r="C7132" s="120" t="s">
        <v>324</v>
      </c>
      <c r="D7132" s="441">
        <v>25.25</v>
      </c>
    </row>
    <row r="7133" spans="1:4" ht="15.75" customHeight="1">
      <c r="A7133" s="120">
        <v>88292</v>
      </c>
      <c r="B7133" s="119" t="s">
        <v>8676</v>
      </c>
      <c r="C7133" s="120" t="s">
        <v>324</v>
      </c>
      <c r="D7133" s="441">
        <v>26.91</v>
      </c>
    </row>
    <row r="7134" spans="1:4" ht="15.75" customHeight="1">
      <c r="A7134" s="120">
        <v>88293</v>
      </c>
      <c r="B7134" s="119" t="s">
        <v>8677</v>
      </c>
      <c r="C7134" s="120" t="s">
        <v>324</v>
      </c>
      <c r="D7134" s="441">
        <v>29.53</v>
      </c>
    </row>
    <row r="7135" spans="1:4" ht="15.75" customHeight="1">
      <c r="A7135" s="120">
        <v>88294</v>
      </c>
      <c r="B7135" s="119" t="s">
        <v>8678</v>
      </c>
      <c r="C7135" s="120" t="s">
        <v>324</v>
      </c>
      <c r="D7135" s="441">
        <v>31.81</v>
      </c>
    </row>
    <row r="7136" spans="1:4" ht="15.75" customHeight="1">
      <c r="A7136" s="120">
        <v>88295</v>
      </c>
      <c r="B7136" s="119" t="s">
        <v>8679</v>
      </c>
      <c r="C7136" s="120" t="s">
        <v>324</v>
      </c>
      <c r="D7136" s="441">
        <v>29.86</v>
      </c>
    </row>
    <row r="7137" spans="1:4" ht="15.75" customHeight="1">
      <c r="A7137" s="120">
        <v>88296</v>
      </c>
      <c r="B7137" s="119" t="s">
        <v>8680</v>
      </c>
      <c r="C7137" s="120" t="s">
        <v>324</v>
      </c>
      <c r="D7137" s="441">
        <v>63.85</v>
      </c>
    </row>
    <row r="7138" spans="1:4" ht="15.75" customHeight="1">
      <c r="A7138" s="120">
        <v>88297</v>
      </c>
      <c r="B7138" s="119" t="s">
        <v>8681</v>
      </c>
      <c r="C7138" s="120" t="s">
        <v>324</v>
      </c>
      <c r="D7138" s="441">
        <v>31.39</v>
      </c>
    </row>
    <row r="7139" spans="1:4" ht="15.75" customHeight="1">
      <c r="A7139" s="120">
        <v>88298</v>
      </c>
      <c r="B7139" s="119" t="s">
        <v>8682</v>
      </c>
      <c r="C7139" s="120" t="s">
        <v>324</v>
      </c>
      <c r="D7139" s="441">
        <v>26.49</v>
      </c>
    </row>
    <row r="7140" spans="1:4" ht="15.75" customHeight="1">
      <c r="A7140" s="120">
        <v>88299</v>
      </c>
      <c r="B7140" s="119" t="s">
        <v>8683</v>
      </c>
      <c r="C7140" s="120" t="s">
        <v>324</v>
      </c>
      <c r="D7140" s="441">
        <v>29.93</v>
      </c>
    </row>
    <row r="7141" spans="1:4" ht="15.75" customHeight="1">
      <c r="A7141" s="120">
        <v>88300</v>
      </c>
      <c r="B7141" s="119" t="s">
        <v>8684</v>
      </c>
      <c r="C7141" s="120" t="s">
        <v>324</v>
      </c>
      <c r="D7141" s="441">
        <v>35.200000000000003</v>
      </c>
    </row>
    <row r="7142" spans="1:4" ht="15.75" customHeight="1">
      <c r="A7142" s="120">
        <v>88301</v>
      </c>
      <c r="B7142" s="119" t="s">
        <v>8685</v>
      </c>
      <c r="C7142" s="120" t="s">
        <v>324</v>
      </c>
      <c r="D7142" s="441">
        <v>30.26</v>
      </c>
    </row>
    <row r="7143" spans="1:4" ht="15.75" customHeight="1">
      <c r="A7143" s="120">
        <v>88302</v>
      </c>
      <c r="B7143" s="119" t="s">
        <v>8686</v>
      </c>
      <c r="C7143" s="120" t="s">
        <v>324</v>
      </c>
      <c r="D7143" s="441">
        <v>30.67</v>
      </c>
    </row>
    <row r="7144" spans="1:4" ht="15.75" customHeight="1">
      <c r="A7144" s="120">
        <v>88303</v>
      </c>
      <c r="B7144" s="119" t="s">
        <v>8687</v>
      </c>
      <c r="C7144" s="120" t="s">
        <v>324</v>
      </c>
      <c r="D7144" s="441">
        <v>27.59</v>
      </c>
    </row>
    <row r="7145" spans="1:4" ht="15.75" customHeight="1">
      <c r="A7145" s="120">
        <v>88304</v>
      </c>
      <c r="B7145" s="119" t="s">
        <v>8688</v>
      </c>
      <c r="C7145" s="120" t="s">
        <v>324</v>
      </c>
      <c r="D7145" s="441">
        <v>27.27</v>
      </c>
    </row>
    <row r="7146" spans="1:4" ht="15.75" customHeight="1">
      <c r="A7146" s="120">
        <v>88306</v>
      </c>
      <c r="B7146" s="119" t="s">
        <v>8689</v>
      </c>
      <c r="C7146" s="120" t="s">
        <v>324</v>
      </c>
      <c r="D7146" s="441">
        <v>29.17</v>
      </c>
    </row>
    <row r="7147" spans="1:4" ht="15.75" customHeight="1">
      <c r="A7147" s="120">
        <v>88307</v>
      </c>
      <c r="B7147" s="119" t="s">
        <v>8690</v>
      </c>
      <c r="C7147" s="120" t="s">
        <v>324</v>
      </c>
      <c r="D7147" s="441">
        <v>29.12</v>
      </c>
    </row>
    <row r="7148" spans="1:4" ht="15.75" customHeight="1">
      <c r="A7148" s="120">
        <v>88308</v>
      </c>
      <c r="B7148" s="119" t="s">
        <v>8691</v>
      </c>
      <c r="C7148" s="120" t="s">
        <v>324</v>
      </c>
      <c r="D7148" s="441">
        <v>32.39</v>
      </c>
    </row>
    <row r="7149" spans="1:4" ht="15.75" customHeight="1">
      <c r="A7149" s="120">
        <v>88309</v>
      </c>
      <c r="B7149" s="119" t="s">
        <v>8692</v>
      </c>
      <c r="C7149" s="120" t="s">
        <v>324</v>
      </c>
      <c r="D7149" s="441">
        <v>32.549999999999997</v>
      </c>
    </row>
    <row r="7150" spans="1:4" ht="15.75" customHeight="1">
      <c r="A7150" s="120">
        <v>88310</v>
      </c>
      <c r="B7150" s="119" t="s">
        <v>8693</v>
      </c>
      <c r="C7150" s="120" t="s">
        <v>324</v>
      </c>
      <c r="D7150" s="441">
        <v>33.74</v>
      </c>
    </row>
    <row r="7151" spans="1:4" ht="15.75" customHeight="1">
      <c r="A7151" s="120">
        <v>88311</v>
      </c>
      <c r="B7151" s="119" t="s">
        <v>8694</v>
      </c>
      <c r="C7151" s="120" t="s">
        <v>324</v>
      </c>
      <c r="D7151" s="441">
        <v>33.01</v>
      </c>
    </row>
    <row r="7152" spans="1:4" ht="15.75" customHeight="1">
      <c r="A7152" s="120">
        <v>88312</v>
      </c>
      <c r="B7152" s="119" t="s">
        <v>8695</v>
      </c>
      <c r="C7152" s="120" t="s">
        <v>324</v>
      </c>
      <c r="D7152" s="441">
        <v>33.74</v>
      </c>
    </row>
    <row r="7153" spans="1:4" ht="15.75" customHeight="1">
      <c r="A7153" s="120">
        <v>88313</v>
      </c>
      <c r="B7153" s="119" t="s">
        <v>8696</v>
      </c>
      <c r="C7153" s="120" t="s">
        <v>324</v>
      </c>
      <c r="D7153" s="441">
        <v>24.96</v>
      </c>
    </row>
    <row r="7154" spans="1:4" ht="15.75" customHeight="1">
      <c r="A7154" s="120">
        <v>88314</v>
      </c>
      <c r="B7154" s="119" t="s">
        <v>8697</v>
      </c>
      <c r="C7154" s="120" t="s">
        <v>324</v>
      </c>
      <c r="D7154" s="441">
        <v>22.84</v>
      </c>
    </row>
    <row r="7155" spans="1:4" ht="15.75" customHeight="1">
      <c r="A7155" s="120">
        <v>88315</v>
      </c>
      <c r="B7155" s="119" t="s">
        <v>8698</v>
      </c>
      <c r="C7155" s="120" t="s">
        <v>324</v>
      </c>
      <c r="D7155" s="441">
        <v>32.31</v>
      </c>
    </row>
    <row r="7156" spans="1:4" ht="15.75" customHeight="1">
      <c r="A7156" s="120">
        <v>88316</v>
      </c>
      <c r="B7156" s="119" t="s">
        <v>8699</v>
      </c>
      <c r="C7156" s="120" t="s">
        <v>324</v>
      </c>
      <c r="D7156" s="441">
        <v>25.12</v>
      </c>
    </row>
    <row r="7157" spans="1:4" ht="15.75" customHeight="1">
      <c r="A7157" s="120">
        <v>88317</v>
      </c>
      <c r="B7157" s="119" t="s">
        <v>8700</v>
      </c>
      <c r="C7157" s="120" t="s">
        <v>324</v>
      </c>
      <c r="D7157" s="441">
        <v>33.83</v>
      </c>
    </row>
    <row r="7158" spans="1:4" ht="15.75" customHeight="1">
      <c r="A7158" s="120">
        <v>88318</v>
      </c>
      <c r="B7158" s="119" t="s">
        <v>8701</v>
      </c>
      <c r="C7158" s="120" t="s">
        <v>324</v>
      </c>
      <c r="D7158" s="441">
        <v>29.04</v>
      </c>
    </row>
    <row r="7159" spans="1:4" ht="15.75" customHeight="1">
      <c r="A7159" s="120">
        <v>88320</v>
      </c>
      <c r="B7159" s="119" t="s">
        <v>8702</v>
      </c>
      <c r="C7159" s="120" t="s">
        <v>324</v>
      </c>
      <c r="D7159" s="441">
        <v>32.130000000000003</v>
      </c>
    </row>
    <row r="7160" spans="1:4" ht="15.75" customHeight="1">
      <c r="A7160" s="120">
        <v>88321</v>
      </c>
      <c r="B7160" s="119" t="s">
        <v>194</v>
      </c>
      <c r="C7160" s="120" t="s">
        <v>324</v>
      </c>
      <c r="D7160" s="441">
        <v>37.64</v>
      </c>
    </row>
    <row r="7161" spans="1:4" ht="15.75" customHeight="1">
      <c r="A7161" s="120">
        <v>88322</v>
      </c>
      <c r="B7161" s="119" t="s">
        <v>8703</v>
      </c>
      <c r="C7161" s="120" t="s">
        <v>324</v>
      </c>
      <c r="D7161" s="441">
        <v>28.08</v>
      </c>
    </row>
    <row r="7162" spans="1:4" ht="15.75" customHeight="1">
      <c r="A7162" s="120">
        <v>88323</v>
      </c>
      <c r="B7162" s="119" t="s">
        <v>8704</v>
      </c>
      <c r="C7162" s="120" t="s">
        <v>324</v>
      </c>
      <c r="D7162" s="441">
        <v>31.81</v>
      </c>
    </row>
    <row r="7163" spans="1:4" ht="15.75" customHeight="1">
      <c r="A7163" s="120">
        <v>88324</v>
      </c>
      <c r="B7163" s="119" t="s">
        <v>8705</v>
      </c>
      <c r="C7163" s="120" t="s">
        <v>324</v>
      </c>
      <c r="D7163" s="441">
        <v>33.17</v>
      </c>
    </row>
    <row r="7164" spans="1:4" ht="15.75" customHeight="1">
      <c r="A7164" s="120">
        <v>88325</v>
      </c>
      <c r="B7164" s="119" t="s">
        <v>8706</v>
      </c>
      <c r="C7164" s="120" t="s">
        <v>324</v>
      </c>
      <c r="D7164" s="441">
        <v>32.729999999999997</v>
      </c>
    </row>
    <row r="7165" spans="1:4" ht="15.75" customHeight="1">
      <c r="A7165" s="120">
        <v>88326</v>
      </c>
      <c r="B7165" s="119" t="s">
        <v>8707</v>
      </c>
      <c r="C7165" s="120" t="s">
        <v>324</v>
      </c>
      <c r="D7165" s="441">
        <v>31.19</v>
      </c>
    </row>
    <row r="7166" spans="1:4" ht="15.75" customHeight="1">
      <c r="A7166" s="120">
        <v>88377</v>
      </c>
      <c r="B7166" s="119" t="s">
        <v>8708</v>
      </c>
      <c r="C7166" s="120" t="s">
        <v>324</v>
      </c>
      <c r="D7166" s="441">
        <v>24.59</v>
      </c>
    </row>
    <row r="7167" spans="1:4" ht="15.75" customHeight="1">
      <c r="A7167" s="120">
        <v>88441</v>
      </c>
      <c r="B7167" s="119" t="s">
        <v>8709</v>
      </c>
      <c r="C7167" s="120" t="s">
        <v>324</v>
      </c>
      <c r="D7167" s="441">
        <v>26.16</v>
      </c>
    </row>
    <row r="7168" spans="1:4" ht="15.75" customHeight="1">
      <c r="A7168" s="120">
        <v>88597</v>
      </c>
      <c r="B7168" s="119" t="s">
        <v>8710</v>
      </c>
      <c r="C7168" s="120" t="s">
        <v>324</v>
      </c>
      <c r="D7168" s="441">
        <v>39.51</v>
      </c>
    </row>
    <row r="7169" spans="1:4" ht="15.75" customHeight="1">
      <c r="A7169" s="120">
        <v>90766</v>
      </c>
      <c r="B7169" s="119" t="s">
        <v>8711</v>
      </c>
      <c r="C7169" s="120" t="s">
        <v>324</v>
      </c>
      <c r="D7169" s="441">
        <v>26.29</v>
      </c>
    </row>
    <row r="7170" spans="1:4" ht="15.75" customHeight="1">
      <c r="A7170" s="120">
        <v>90767</v>
      </c>
      <c r="B7170" s="119" t="s">
        <v>8712</v>
      </c>
      <c r="C7170" s="120" t="s">
        <v>324</v>
      </c>
      <c r="D7170" s="441">
        <v>23.79</v>
      </c>
    </row>
    <row r="7171" spans="1:4" ht="15.75" customHeight="1">
      <c r="A7171" s="120">
        <v>90768</v>
      </c>
      <c r="B7171" s="119" t="s">
        <v>8713</v>
      </c>
      <c r="C7171" s="120" t="s">
        <v>324</v>
      </c>
      <c r="D7171" s="441">
        <v>83.09</v>
      </c>
    </row>
    <row r="7172" spans="1:4" ht="15.75" customHeight="1">
      <c r="A7172" s="120">
        <v>90769</v>
      </c>
      <c r="B7172" s="119" t="s">
        <v>8714</v>
      </c>
      <c r="C7172" s="120" t="s">
        <v>324</v>
      </c>
      <c r="D7172" s="441">
        <v>117.21</v>
      </c>
    </row>
    <row r="7173" spans="1:4" ht="15.75" customHeight="1">
      <c r="A7173" s="120">
        <v>90770</v>
      </c>
      <c r="B7173" s="119" t="s">
        <v>8715</v>
      </c>
      <c r="C7173" s="120" t="s">
        <v>324</v>
      </c>
      <c r="D7173" s="441">
        <v>154.33000000000001</v>
      </c>
    </row>
    <row r="7174" spans="1:4" ht="15.75" customHeight="1">
      <c r="A7174" s="120">
        <v>90771</v>
      </c>
      <c r="B7174" s="119" t="s">
        <v>8716</v>
      </c>
      <c r="C7174" s="120" t="s">
        <v>324</v>
      </c>
      <c r="D7174" s="441">
        <v>18.739999999999998</v>
      </c>
    </row>
    <row r="7175" spans="1:4" ht="15.75" customHeight="1">
      <c r="A7175" s="120">
        <v>90772</v>
      </c>
      <c r="B7175" s="119" t="s">
        <v>8717</v>
      </c>
      <c r="C7175" s="120" t="s">
        <v>324</v>
      </c>
      <c r="D7175" s="441">
        <v>21.45</v>
      </c>
    </row>
    <row r="7176" spans="1:4" ht="15.75" customHeight="1">
      <c r="A7176" s="120">
        <v>90773</v>
      </c>
      <c r="B7176" s="119" t="s">
        <v>8718</v>
      </c>
      <c r="C7176" s="120" t="s">
        <v>324</v>
      </c>
      <c r="D7176" s="441">
        <v>14.32</v>
      </c>
    </row>
    <row r="7177" spans="1:4" ht="15.75" customHeight="1">
      <c r="A7177" s="120">
        <v>90775</v>
      </c>
      <c r="B7177" s="119" t="s">
        <v>8719</v>
      </c>
      <c r="C7177" s="120" t="s">
        <v>324</v>
      </c>
      <c r="D7177" s="441">
        <v>21.85</v>
      </c>
    </row>
    <row r="7178" spans="1:4" ht="15.75" customHeight="1">
      <c r="A7178" s="120">
        <v>90776</v>
      </c>
      <c r="B7178" s="119" t="s">
        <v>8720</v>
      </c>
      <c r="C7178" s="120" t="s">
        <v>324</v>
      </c>
      <c r="D7178" s="441">
        <v>39.9</v>
      </c>
    </row>
    <row r="7179" spans="1:4" ht="15.75" customHeight="1">
      <c r="A7179" s="120">
        <v>90777</v>
      </c>
      <c r="B7179" s="119" t="s">
        <v>8721</v>
      </c>
      <c r="C7179" s="120" t="s">
        <v>324</v>
      </c>
      <c r="D7179" s="441">
        <v>112.79</v>
      </c>
    </row>
    <row r="7180" spans="1:4" ht="15.75" customHeight="1">
      <c r="A7180" s="120">
        <v>90778</v>
      </c>
      <c r="B7180" s="119" t="s">
        <v>8722</v>
      </c>
      <c r="C7180" s="120" t="s">
        <v>324</v>
      </c>
      <c r="D7180" s="441">
        <v>128.1</v>
      </c>
    </row>
    <row r="7181" spans="1:4" ht="15.75" customHeight="1">
      <c r="A7181" s="120">
        <v>90779</v>
      </c>
      <c r="B7181" s="119" t="s">
        <v>8723</v>
      </c>
      <c r="C7181" s="120" t="s">
        <v>324</v>
      </c>
      <c r="D7181" s="441">
        <v>174.4</v>
      </c>
    </row>
    <row r="7182" spans="1:4" ht="15.75" customHeight="1">
      <c r="A7182" s="120">
        <v>90780</v>
      </c>
      <c r="B7182" s="119" t="s">
        <v>8724</v>
      </c>
      <c r="C7182" s="120" t="s">
        <v>324</v>
      </c>
      <c r="D7182" s="441">
        <v>66.569999999999993</v>
      </c>
    </row>
    <row r="7183" spans="1:4" ht="15.75" customHeight="1">
      <c r="A7183" s="120">
        <v>90781</v>
      </c>
      <c r="B7183" s="119" t="s">
        <v>8725</v>
      </c>
      <c r="C7183" s="120" t="s">
        <v>324</v>
      </c>
      <c r="D7183" s="441">
        <v>26.32</v>
      </c>
    </row>
    <row r="7184" spans="1:4" ht="15.75" customHeight="1">
      <c r="A7184" s="120">
        <v>91677</v>
      </c>
      <c r="B7184" s="119" t="s">
        <v>8726</v>
      </c>
      <c r="C7184" s="120" t="s">
        <v>324</v>
      </c>
      <c r="D7184" s="441">
        <v>113.39</v>
      </c>
    </row>
    <row r="7185" spans="1:4" ht="15.75" customHeight="1">
      <c r="A7185" s="120">
        <v>91678</v>
      </c>
      <c r="B7185" s="119" t="s">
        <v>8727</v>
      </c>
      <c r="C7185" s="120" t="s">
        <v>324</v>
      </c>
      <c r="D7185" s="441">
        <v>76.92</v>
      </c>
    </row>
    <row r="7186" spans="1:4" ht="15.75" customHeight="1">
      <c r="A7186" s="120">
        <v>93558</v>
      </c>
      <c r="B7186" s="119" t="s">
        <v>8728</v>
      </c>
      <c r="C7186" s="120" t="s">
        <v>955</v>
      </c>
      <c r="D7186" s="442">
        <v>4849.26</v>
      </c>
    </row>
    <row r="7187" spans="1:4" ht="15.75" customHeight="1">
      <c r="A7187" s="120">
        <v>93559</v>
      </c>
      <c r="B7187" s="119" t="s">
        <v>8710</v>
      </c>
      <c r="C7187" s="120" t="s">
        <v>955</v>
      </c>
      <c r="D7187" s="442">
        <v>6940.82</v>
      </c>
    </row>
    <row r="7188" spans="1:4" ht="15.75" customHeight="1">
      <c r="A7188" s="120">
        <v>93560</v>
      </c>
      <c r="B7188" s="119" t="s">
        <v>8718</v>
      </c>
      <c r="C7188" s="120" t="s">
        <v>955</v>
      </c>
      <c r="D7188" s="442">
        <v>2534.88</v>
      </c>
    </row>
    <row r="7189" spans="1:4" ht="15.75" customHeight="1">
      <c r="A7189" s="120">
        <v>93561</v>
      </c>
      <c r="B7189" s="119" t="s">
        <v>8719</v>
      </c>
      <c r="C7189" s="120" t="s">
        <v>955</v>
      </c>
      <c r="D7189" s="442">
        <v>3850.82</v>
      </c>
    </row>
    <row r="7190" spans="1:4" ht="15.75" customHeight="1">
      <c r="A7190" s="120">
        <v>93562</v>
      </c>
      <c r="B7190" s="119" t="s">
        <v>8716</v>
      </c>
      <c r="C7190" s="120" t="s">
        <v>955</v>
      </c>
      <c r="D7190" s="442">
        <v>3309.51</v>
      </c>
    </row>
    <row r="7191" spans="1:4" ht="15.75" customHeight="1">
      <c r="A7191" s="120">
        <v>93563</v>
      </c>
      <c r="B7191" s="119" t="s">
        <v>8711</v>
      </c>
      <c r="C7191" s="120" t="s">
        <v>955</v>
      </c>
      <c r="D7191" s="442">
        <v>4624.97</v>
      </c>
    </row>
    <row r="7192" spans="1:4" ht="15.75" customHeight="1">
      <c r="A7192" s="120">
        <v>93564</v>
      </c>
      <c r="B7192" s="119" t="s">
        <v>8712</v>
      </c>
      <c r="C7192" s="120" t="s">
        <v>955</v>
      </c>
      <c r="D7192" s="442">
        <v>4173.6099999999997</v>
      </c>
    </row>
    <row r="7193" spans="1:4" ht="15.75" customHeight="1">
      <c r="A7193" s="120">
        <v>93565</v>
      </c>
      <c r="B7193" s="119" t="s">
        <v>8721</v>
      </c>
      <c r="C7193" s="120" t="s">
        <v>955</v>
      </c>
      <c r="D7193" s="442">
        <v>19699.849999999999</v>
      </c>
    </row>
    <row r="7194" spans="1:4" ht="15.75" customHeight="1">
      <c r="A7194" s="120">
        <v>93566</v>
      </c>
      <c r="B7194" s="119" t="s">
        <v>8717</v>
      </c>
      <c r="C7194" s="120" t="s">
        <v>955</v>
      </c>
      <c r="D7194" s="442">
        <v>3780.98</v>
      </c>
    </row>
    <row r="7195" spans="1:4" ht="15.75" customHeight="1">
      <c r="A7195" s="120">
        <v>93567</v>
      </c>
      <c r="B7195" s="119" t="s">
        <v>8722</v>
      </c>
      <c r="C7195" s="120" t="s">
        <v>955</v>
      </c>
      <c r="D7195" s="442">
        <v>22372.12</v>
      </c>
    </row>
    <row r="7196" spans="1:4" ht="15.75" customHeight="1">
      <c r="A7196" s="120">
        <v>93568</v>
      </c>
      <c r="B7196" s="119" t="s">
        <v>8723</v>
      </c>
      <c r="C7196" s="120" t="s">
        <v>955</v>
      </c>
      <c r="D7196" s="442">
        <v>30448.34</v>
      </c>
    </row>
    <row r="7197" spans="1:4" ht="15.75" customHeight="1">
      <c r="A7197" s="120">
        <v>93569</v>
      </c>
      <c r="B7197" s="119" t="s">
        <v>8729</v>
      </c>
      <c r="C7197" s="120" t="s">
        <v>955</v>
      </c>
      <c r="D7197" s="442">
        <v>14544.86</v>
      </c>
    </row>
    <row r="7198" spans="1:4" ht="15.75" customHeight="1">
      <c r="A7198" s="120">
        <v>93570</v>
      </c>
      <c r="B7198" s="119" t="s">
        <v>8730</v>
      </c>
      <c r="C7198" s="120" t="s">
        <v>955</v>
      </c>
      <c r="D7198" s="442">
        <v>20506.55</v>
      </c>
    </row>
    <row r="7199" spans="1:4" ht="15.75" customHeight="1">
      <c r="A7199" s="120">
        <v>93571</v>
      </c>
      <c r="B7199" s="119" t="s">
        <v>8731</v>
      </c>
      <c r="C7199" s="120" t="s">
        <v>955</v>
      </c>
      <c r="D7199" s="442">
        <v>26994.12</v>
      </c>
    </row>
    <row r="7200" spans="1:4" ht="15.75" customHeight="1">
      <c r="A7200" s="120">
        <v>93572</v>
      </c>
      <c r="B7200" s="119" t="s">
        <v>196</v>
      </c>
      <c r="C7200" s="120" t="s">
        <v>955</v>
      </c>
      <c r="D7200" s="442">
        <v>6987.63</v>
      </c>
    </row>
    <row r="7201" spans="1:4" ht="15.75" customHeight="1">
      <c r="A7201" s="120">
        <v>94295</v>
      </c>
      <c r="B7201" s="119" t="s">
        <v>8724</v>
      </c>
      <c r="C7201" s="120" t="s">
        <v>955</v>
      </c>
      <c r="D7201" s="442">
        <v>11631.63</v>
      </c>
    </row>
    <row r="7202" spans="1:4" ht="15.75" customHeight="1">
      <c r="A7202" s="120">
        <v>94296</v>
      </c>
      <c r="B7202" s="119" t="s">
        <v>8725</v>
      </c>
      <c r="C7202" s="120" t="s">
        <v>955</v>
      </c>
      <c r="D7202" s="442">
        <v>4626.34</v>
      </c>
    </row>
    <row r="7203" spans="1:4" ht="15.75" customHeight="1">
      <c r="A7203" s="120">
        <v>95308</v>
      </c>
      <c r="B7203" s="119" t="s">
        <v>8732</v>
      </c>
      <c r="C7203" s="120" t="s">
        <v>324</v>
      </c>
      <c r="D7203" s="441">
        <v>0.2</v>
      </c>
    </row>
    <row r="7204" spans="1:4" ht="15.75" customHeight="1">
      <c r="A7204" s="120">
        <v>95309</v>
      </c>
      <c r="B7204" s="119" t="s">
        <v>8733</v>
      </c>
      <c r="C7204" s="120" t="s">
        <v>324</v>
      </c>
      <c r="D7204" s="441">
        <v>0.28000000000000003</v>
      </c>
    </row>
    <row r="7205" spans="1:4" ht="15.75" customHeight="1">
      <c r="A7205" s="120">
        <v>95310</v>
      </c>
      <c r="B7205" s="119" t="s">
        <v>8734</v>
      </c>
      <c r="C7205" s="120" t="s">
        <v>324</v>
      </c>
      <c r="D7205" s="441">
        <v>0.19</v>
      </c>
    </row>
    <row r="7206" spans="1:4" ht="15.75" customHeight="1">
      <c r="A7206" s="120">
        <v>95311</v>
      </c>
      <c r="B7206" s="119" t="s">
        <v>8735</v>
      </c>
      <c r="C7206" s="120" t="s">
        <v>324</v>
      </c>
      <c r="D7206" s="441">
        <v>0.22</v>
      </c>
    </row>
    <row r="7207" spans="1:4" ht="15.75" customHeight="1">
      <c r="A7207" s="120">
        <v>95312</v>
      </c>
      <c r="B7207" s="119" t="s">
        <v>8736</v>
      </c>
      <c r="C7207" s="120" t="s">
        <v>324</v>
      </c>
      <c r="D7207" s="441">
        <v>0.26</v>
      </c>
    </row>
    <row r="7208" spans="1:4" ht="15.75" customHeight="1">
      <c r="A7208" s="120">
        <v>95313</v>
      </c>
      <c r="B7208" s="119" t="s">
        <v>8737</v>
      </c>
      <c r="C7208" s="120" t="s">
        <v>324</v>
      </c>
      <c r="D7208" s="441">
        <v>0.22</v>
      </c>
    </row>
    <row r="7209" spans="1:4" ht="15.75" customHeight="1">
      <c r="A7209" s="120">
        <v>95314</v>
      </c>
      <c r="B7209" s="119" t="s">
        <v>8738</v>
      </c>
      <c r="C7209" s="120" t="s">
        <v>324</v>
      </c>
      <c r="D7209" s="441">
        <v>0.28999999999999998</v>
      </c>
    </row>
    <row r="7210" spans="1:4" ht="15.75" customHeight="1">
      <c r="A7210" s="120">
        <v>95315</v>
      </c>
      <c r="B7210" s="119" t="s">
        <v>8739</v>
      </c>
      <c r="C7210" s="120" t="s">
        <v>324</v>
      </c>
      <c r="D7210" s="441">
        <v>0.34</v>
      </c>
    </row>
    <row r="7211" spans="1:4" ht="15.75" customHeight="1">
      <c r="A7211" s="120">
        <v>95316</v>
      </c>
      <c r="B7211" s="119" t="s">
        <v>8740</v>
      </c>
      <c r="C7211" s="120" t="s">
        <v>324</v>
      </c>
      <c r="D7211" s="441">
        <v>0.72</v>
      </c>
    </row>
    <row r="7212" spans="1:4" ht="31.5" customHeight="1">
      <c r="A7212" s="120">
        <v>95317</v>
      </c>
      <c r="B7212" s="119" t="s">
        <v>8741</v>
      </c>
      <c r="C7212" s="120" t="s">
        <v>324</v>
      </c>
      <c r="D7212" s="441">
        <v>0.34</v>
      </c>
    </row>
    <row r="7213" spans="1:4" ht="15.75" customHeight="1">
      <c r="A7213" s="120">
        <v>95318</v>
      </c>
      <c r="B7213" s="119" t="s">
        <v>8742</v>
      </c>
      <c r="C7213" s="120" t="s">
        <v>324</v>
      </c>
      <c r="D7213" s="441">
        <v>0.22</v>
      </c>
    </row>
    <row r="7214" spans="1:4" ht="15.75" customHeight="1">
      <c r="A7214" s="120">
        <v>95319</v>
      </c>
      <c r="B7214" s="119" t="s">
        <v>8743</v>
      </c>
      <c r="C7214" s="120" t="s">
        <v>324</v>
      </c>
      <c r="D7214" s="441">
        <v>0.19</v>
      </c>
    </row>
    <row r="7215" spans="1:4" ht="15.75" customHeight="1">
      <c r="A7215" s="120">
        <v>95320</v>
      </c>
      <c r="B7215" s="119" t="s">
        <v>8744</v>
      </c>
      <c r="C7215" s="120" t="s">
        <v>324</v>
      </c>
      <c r="D7215" s="441">
        <v>0.22</v>
      </c>
    </row>
    <row r="7216" spans="1:4" ht="15.75" customHeight="1">
      <c r="A7216" s="120">
        <v>95321</v>
      </c>
      <c r="B7216" s="119" t="s">
        <v>8745</v>
      </c>
      <c r="C7216" s="120" t="s">
        <v>324</v>
      </c>
      <c r="D7216" s="441">
        <v>0.2</v>
      </c>
    </row>
    <row r="7217" spans="1:4" ht="15.75" customHeight="1">
      <c r="A7217" s="120">
        <v>95322</v>
      </c>
      <c r="B7217" s="119" t="s">
        <v>8746</v>
      </c>
      <c r="C7217" s="120" t="s">
        <v>324</v>
      </c>
      <c r="D7217" s="441">
        <v>0.09</v>
      </c>
    </row>
    <row r="7218" spans="1:4" ht="15.75" customHeight="1">
      <c r="A7218" s="120">
        <v>95323</v>
      </c>
      <c r="B7218" s="119" t="s">
        <v>8747</v>
      </c>
      <c r="C7218" s="120" t="s">
        <v>324</v>
      </c>
      <c r="D7218" s="441">
        <v>0.32</v>
      </c>
    </row>
    <row r="7219" spans="1:4" ht="15.75" customHeight="1">
      <c r="A7219" s="120">
        <v>95324</v>
      </c>
      <c r="B7219" s="119" t="s">
        <v>8748</v>
      </c>
      <c r="C7219" s="120" t="s">
        <v>324</v>
      </c>
      <c r="D7219" s="441">
        <v>0.37</v>
      </c>
    </row>
    <row r="7220" spans="1:4" ht="31.5" customHeight="1">
      <c r="A7220" s="120">
        <v>95325</v>
      </c>
      <c r="B7220" s="119" t="s">
        <v>8749</v>
      </c>
      <c r="C7220" s="120" t="s">
        <v>324</v>
      </c>
      <c r="D7220" s="441">
        <v>0.4</v>
      </c>
    </row>
    <row r="7221" spans="1:4" ht="31.5" customHeight="1">
      <c r="A7221" s="120">
        <v>95326</v>
      </c>
      <c r="B7221" s="119" t="s">
        <v>8750</v>
      </c>
      <c r="C7221" s="120" t="s">
        <v>324</v>
      </c>
      <c r="D7221" s="441">
        <v>0.1</v>
      </c>
    </row>
    <row r="7222" spans="1:4" ht="15.75" customHeight="1">
      <c r="A7222" s="120">
        <v>95328</v>
      </c>
      <c r="B7222" s="119" t="s">
        <v>8751</v>
      </c>
      <c r="C7222" s="120" t="s">
        <v>324</v>
      </c>
      <c r="D7222" s="441">
        <v>0.24</v>
      </c>
    </row>
    <row r="7223" spans="1:4" ht="15.75" customHeight="1">
      <c r="A7223" s="120">
        <v>95329</v>
      </c>
      <c r="B7223" s="119" t="s">
        <v>8752</v>
      </c>
      <c r="C7223" s="120" t="s">
        <v>324</v>
      </c>
      <c r="D7223" s="441">
        <v>0.35</v>
      </c>
    </row>
    <row r="7224" spans="1:4" ht="15.75" customHeight="1">
      <c r="A7224" s="120">
        <v>95330</v>
      </c>
      <c r="B7224" s="119" t="s">
        <v>8753</v>
      </c>
      <c r="C7224" s="120" t="s">
        <v>324</v>
      </c>
      <c r="D7224" s="441">
        <v>0.28999999999999998</v>
      </c>
    </row>
    <row r="7225" spans="1:4" ht="31.5" customHeight="1">
      <c r="A7225" s="120">
        <v>95331</v>
      </c>
      <c r="B7225" s="119" t="s">
        <v>8754</v>
      </c>
      <c r="C7225" s="120" t="s">
        <v>324</v>
      </c>
      <c r="D7225" s="441">
        <v>0.19</v>
      </c>
    </row>
    <row r="7226" spans="1:4" ht="15.75" customHeight="1">
      <c r="A7226" s="120">
        <v>95332</v>
      </c>
      <c r="B7226" s="119" t="s">
        <v>8755</v>
      </c>
      <c r="C7226" s="120" t="s">
        <v>324</v>
      </c>
      <c r="D7226" s="441">
        <v>0.94</v>
      </c>
    </row>
    <row r="7227" spans="1:4" ht="15.75" customHeight="1">
      <c r="A7227" s="120">
        <v>95333</v>
      </c>
      <c r="B7227" s="119" t="s">
        <v>8756</v>
      </c>
      <c r="C7227" s="120" t="s">
        <v>324</v>
      </c>
      <c r="D7227" s="441">
        <v>1.03</v>
      </c>
    </row>
    <row r="7228" spans="1:4" ht="15.75" customHeight="1">
      <c r="A7228" s="120">
        <v>95334</v>
      </c>
      <c r="B7228" s="119" t="s">
        <v>8757</v>
      </c>
      <c r="C7228" s="120" t="s">
        <v>324</v>
      </c>
      <c r="D7228" s="441">
        <v>0.98</v>
      </c>
    </row>
    <row r="7229" spans="1:4" ht="15.75" customHeight="1">
      <c r="A7229" s="120">
        <v>95335</v>
      </c>
      <c r="B7229" s="119" t="s">
        <v>8758</v>
      </c>
      <c r="C7229" s="120" t="s">
        <v>324</v>
      </c>
      <c r="D7229" s="441">
        <v>0.45</v>
      </c>
    </row>
    <row r="7230" spans="1:4" ht="15.75" customHeight="1">
      <c r="A7230" s="120">
        <v>95337</v>
      </c>
      <c r="B7230" s="119" t="s">
        <v>8759</v>
      </c>
      <c r="C7230" s="120" t="s">
        <v>324</v>
      </c>
      <c r="D7230" s="441">
        <v>0.27</v>
      </c>
    </row>
    <row r="7231" spans="1:4" ht="15.75" customHeight="1">
      <c r="A7231" s="120">
        <v>95338</v>
      </c>
      <c r="B7231" s="119" t="s">
        <v>8760</v>
      </c>
      <c r="C7231" s="120" t="s">
        <v>324</v>
      </c>
      <c r="D7231" s="441">
        <v>0.53</v>
      </c>
    </row>
    <row r="7232" spans="1:4" ht="15.75" customHeight="1">
      <c r="A7232" s="120">
        <v>95339</v>
      </c>
      <c r="B7232" s="119" t="s">
        <v>8761</v>
      </c>
      <c r="C7232" s="120" t="s">
        <v>324</v>
      </c>
      <c r="D7232" s="441">
        <v>0.45</v>
      </c>
    </row>
    <row r="7233" spans="1:4" ht="15.75" customHeight="1">
      <c r="A7233" s="120">
        <v>95340</v>
      </c>
      <c r="B7233" s="119" t="s">
        <v>8762</v>
      </c>
      <c r="C7233" s="120" t="s">
        <v>324</v>
      </c>
      <c r="D7233" s="441">
        <v>0.34</v>
      </c>
    </row>
    <row r="7234" spans="1:4" ht="15.75" customHeight="1">
      <c r="A7234" s="120">
        <v>95341</v>
      </c>
      <c r="B7234" s="119" t="s">
        <v>8763</v>
      </c>
      <c r="C7234" s="120" t="s">
        <v>324</v>
      </c>
      <c r="D7234" s="441">
        <v>0.42</v>
      </c>
    </row>
    <row r="7235" spans="1:4" ht="15.75" customHeight="1">
      <c r="A7235" s="120">
        <v>95342</v>
      </c>
      <c r="B7235" s="119" t="s">
        <v>8764</v>
      </c>
      <c r="C7235" s="120" t="s">
        <v>324</v>
      </c>
      <c r="D7235" s="441">
        <v>0.24</v>
      </c>
    </row>
    <row r="7236" spans="1:4" ht="31.5" customHeight="1">
      <c r="A7236" s="120">
        <v>95343</v>
      </c>
      <c r="B7236" s="119" t="s">
        <v>8765</v>
      </c>
      <c r="C7236" s="120" t="s">
        <v>324</v>
      </c>
      <c r="D7236" s="441">
        <v>0.43</v>
      </c>
    </row>
    <row r="7237" spans="1:4" ht="15.75" customHeight="1">
      <c r="A7237" s="120">
        <v>95344</v>
      </c>
      <c r="B7237" s="119" t="s">
        <v>8766</v>
      </c>
      <c r="C7237" s="120" t="s">
        <v>324</v>
      </c>
      <c r="D7237" s="441">
        <v>0.27</v>
      </c>
    </row>
    <row r="7238" spans="1:4" ht="15.75" customHeight="1">
      <c r="A7238" s="120">
        <v>95345</v>
      </c>
      <c r="B7238" s="119" t="s">
        <v>8767</v>
      </c>
      <c r="C7238" s="120" t="s">
        <v>324</v>
      </c>
      <c r="D7238" s="441">
        <v>0.98</v>
      </c>
    </row>
    <row r="7239" spans="1:4" ht="15.75" customHeight="1">
      <c r="A7239" s="120">
        <v>95346</v>
      </c>
      <c r="B7239" s="119" t="s">
        <v>8768</v>
      </c>
      <c r="C7239" s="120" t="s">
        <v>324</v>
      </c>
      <c r="D7239" s="441">
        <v>0.1</v>
      </c>
    </row>
    <row r="7240" spans="1:4" ht="15.75" customHeight="1">
      <c r="A7240" s="120">
        <v>95347</v>
      </c>
      <c r="B7240" s="119" t="s">
        <v>8769</v>
      </c>
      <c r="C7240" s="120" t="s">
        <v>324</v>
      </c>
      <c r="D7240" s="441">
        <v>0.1</v>
      </c>
    </row>
    <row r="7241" spans="1:4" ht="15.75" customHeight="1">
      <c r="A7241" s="120">
        <v>95348</v>
      </c>
      <c r="B7241" s="119" t="s">
        <v>8770</v>
      </c>
      <c r="C7241" s="120" t="s">
        <v>324</v>
      </c>
      <c r="D7241" s="441">
        <v>0.14000000000000001</v>
      </c>
    </row>
    <row r="7242" spans="1:4" ht="15.75" customHeight="1">
      <c r="A7242" s="120">
        <v>95349</v>
      </c>
      <c r="B7242" s="119" t="s">
        <v>8771</v>
      </c>
      <c r="C7242" s="120" t="s">
        <v>324</v>
      </c>
      <c r="D7242" s="441">
        <v>0.11</v>
      </c>
    </row>
    <row r="7243" spans="1:4" ht="15.75" customHeight="1">
      <c r="A7243" s="120">
        <v>95350</v>
      </c>
      <c r="B7243" s="119" t="s">
        <v>8772</v>
      </c>
      <c r="C7243" s="120" t="s">
        <v>324</v>
      </c>
      <c r="D7243" s="441">
        <v>0.12</v>
      </c>
    </row>
    <row r="7244" spans="1:4" ht="15.75" customHeight="1">
      <c r="A7244" s="120">
        <v>95351</v>
      </c>
      <c r="B7244" s="119" t="s">
        <v>8773</v>
      </c>
      <c r="C7244" s="120" t="s">
        <v>324</v>
      </c>
      <c r="D7244" s="441">
        <v>0.4</v>
      </c>
    </row>
    <row r="7245" spans="1:4" ht="15.75" customHeight="1">
      <c r="A7245" s="120">
        <v>95352</v>
      </c>
      <c r="B7245" s="119" t="s">
        <v>8774</v>
      </c>
      <c r="C7245" s="120" t="s">
        <v>324</v>
      </c>
      <c r="D7245" s="441">
        <v>0.12</v>
      </c>
    </row>
    <row r="7246" spans="1:4" ht="15.75" customHeight="1">
      <c r="A7246" s="120">
        <v>95354</v>
      </c>
      <c r="B7246" s="119" t="s">
        <v>8775</v>
      </c>
      <c r="C7246" s="120" t="s">
        <v>324</v>
      </c>
      <c r="D7246" s="441">
        <v>0.16</v>
      </c>
    </row>
    <row r="7247" spans="1:4" ht="31.5" customHeight="1">
      <c r="A7247" s="120">
        <v>95355</v>
      </c>
      <c r="B7247" s="119" t="s">
        <v>8776</v>
      </c>
      <c r="C7247" s="120" t="s">
        <v>324</v>
      </c>
      <c r="D7247" s="441">
        <v>0.17</v>
      </c>
    </row>
    <row r="7248" spans="1:4" ht="31.5" customHeight="1">
      <c r="A7248" s="120">
        <v>95356</v>
      </c>
      <c r="B7248" s="119" t="s">
        <v>8777</v>
      </c>
      <c r="C7248" s="120" t="s">
        <v>324</v>
      </c>
      <c r="D7248" s="441">
        <v>0.19</v>
      </c>
    </row>
    <row r="7249" spans="1:4" ht="15.75" customHeight="1">
      <c r="A7249" s="120">
        <v>95357</v>
      </c>
      <c r="B7249" s="119" t="s">
        <v>8778</v>
      </c>
      <c r="C7249" s="120" t="s">
        <v>324</v>
      </c>
      <c r="D7249" s="441">
        <v>0.3</v>
      </c>
    </row>
    <row r="7250" spans="1:4" ht="15.75" customHeight="1">
      <c r="A7250" s="120">
        <v>95358</v>
      </c>
      <c r="B7250" s="119" t="s">
        <v>8779</v>
      </c>
      <c r="C7250" s="120" t="s">
        <v>324</v>
      </c>
      <c r="D7250" s="441">
        <v>0.39</v>
      </c>
    </row>
    <row r="7251" spans="1:4" ht="15.75" customHeight="1">
      <c r="A7251" s="120">
        <v>95359</v>
      </c>
      <c r="B7251" s="119" t="s">
        <v>8780</v>
      </c>
      <c r="C7251" s="120" t="s">
        <v>324</v>
      </c>
      <c r="D7251" s="441">
        <v>0.96</v>
      </c>
    </row>
    <row r="7252" spans="1:4" ht="31.5" customHeight="1">
      <c r="A7252" s="120">
        <v>95360</v>
      </c>
      <c r="B7252" s="119" t="s">
        <v>8781</v>
      </c>
      <c r="C7252" s="120" t="s">
        <v>324</v>
      </c>
      <c r="D7252" s="441">
        <v>0.28999999999999998</v>
      </c>
    </row>
    <row r="7253" spans="1:4" ht="31.5" customHeight="1">
      <c r="A7253" s="120">
        <v>95361</v>
      </c>
      <c r="B7253" s="119" t="s">
        <v>8782</v>
      </c>
      <c r="C7253" s="120" t="s">
        <v>324</v>
      </c>
      <c r="D7253" s="441">
        <v>0.17</v>
      </c>
    </row>
    <row r="7254" spans="1:4" ht="15.75" customHeight="1">
      <c r="A7254" s="120">
        <v>95362</v>
      </c>
      <c r="B7254" s="119" t="s">
        <v>8783</v>
      </c>
      <c r="C7254" s="120" t="s">
        <v>324</v>
      </c>
      <c r="D7254" s="441">
        <v>0.2</v>
      </c>
    </row>
    <row r="7255" spans="1:4" ht="15.75" customHeight="1">
      <c r="A7255" s="120">
        <v>95363</v>
      </c>
      <c r="B7255" s="119" t="s">
        <v>8784</v>
      </c>
      <c r="C7255" s="120" t="s">
        <v>324</v>
      </c>
      <c r="D7255" s="441">
        <v>0.24</v>
      </c>
    </row>
    <row r="7256" spans="1:4" ht="15.75" customHeight="1">
      <c r="A7256" s="120">
        <v>95364</v>
      </c>
      <c r="B7256" s="119" t="s">
        <v>8785</v>
      </c>
      <c r="C7256" s="120" t="s">
        <v>324</v>
      </c>
      <c r="D7256" s="441">
        <v>0.2</v>
      </c>
    </row>
    <row r="7257" spans="1:4" ht="15.75" customHeight="1">
      <c r="A7257" s="120">
        <v>95365</v>
      </c>
      <c r="B7257" s="119" t="s">
        <v>8786</v>
      </c>
      <c r="C7257" s="120" t="s">
        <v>324</v>
      </c>
      <c r="D7257" s="441">
        <v>0.2</v>
      </c>
    </row>
    <row r="7258" spans="1:4" ht="15.75" customHeight="1">
      <c r="A7258" s="120">
        <v>95366</v>
      </c>
      <c r="B7258" s="119" t="s">
        <v>8787</v>
      </c>
      <c r="C7258" s="120" t="s">
        <v>324</v>
      </c>
      <c r="D7258" s="441">
        <v>0.18</v>
      </c>
    </row>
    <row r="7259" spans="1:4" ht="31.5" customHeight="1">
      <c r="A7259" s="120">
        <v>95367</v>
      </c>
      <c r="B7259" s="119" t="s">
        <v>8788</v>
      </c>
      <c r="C7259" s="120" t="s">
        <v>324</v>
      </c>
      <c r="D7259" s="441">
        <v>0.17</v>
      </c>
    </row>
    <row r="7260" spans="1:4" ht="15.75" customHeight="1">
      <c r="A7260" s="120">
        <v>95368</v>
      </c>
      <c r="B7260" s="119" t="s">
        <v>8789</v>
      </c>
      <c r="C7260" s="120" t="s">
        <v>324</v>
      </c>
      <c r="D7260" s="441">
        <v>0.26</v>
      </c>
    </row>
    <row r="7261" spans="1:4" ht="15.75" customHeight="1">
      <c r="A7261" s="120">
        <v>95369</v>
      </c>
      <c r="B7261" s="119" t="s">
        <v>8790</v>
      </c>
      <c r="C7261" s="120" t="s">
        <v>324</v>
      </c>
      <c r="D7261" s="441">
        <v>0.19</v>
      </c>
    </row>
    <row r="7262" spans="1:4" ht="15.75" customHeight="1">
      <c r="A7262" s="120">
        <v>95370</v>
      </c>
      <c r="B7262" s="119" t="s">
        <v>8791</v>
      </c>
      <c r="C7262" s="120" t="s">
        <v>324</v>
      </c>
      <c r="D7262" s="441">
        <v>0.37</v>
      </c>
    </row>
    <row r="7263" spans="1:4" ht="15.75" customHeight="1">
      <c r="A7263" s="120">
        <v>95371</v>
      </c>
      <c r="B7263" s="119" t="s">
        <v>8792</v>
      </c>
      <c r="C7263" s="120" t="s">
        <v>324</v>
      </c>
      <c r="D7263" s="441">
        <v>0.53</v>
      </c>
    </row>
    <row r="7264" spans="1:4" ht="15.75" customHeight="1">
      <c r="A7264" s="120">
        <v>95372</v>
      </c>
      <c r="B7264" s="119" t="s">
        <v>8793</v>
      </c>
      <c r="C7264" s="120" t="s">
        <v>324</v>
      </c>
      <c r="D7264" s="441">
        <v>0.37</v>
      </c>
    </row>
    <row r="7265" spans="1:4" ht="15.75" customHeight="1">
      <c r="A7265" s="120">
        <v>95373</v>
      </c>
      <c r="B7265" s="119" t="s">
        <v>8794</v>
      </c>
      <c r="C7265" s="120" t="s">
        <v>324</v>
      </c>
      <c r="D7265" s="441">
        <v>0.36</v>
      </c>
    </row>
    <row r="7266" spans="1:4" ht="15.75" customHeight="1">
      <c r="A7266" s="120">
        <v>95374</v>
      </c>
      <c r="B7266" s="119" t="s">
        <v>8795</v>
      </c>
      <c r="C7266" s="120" t="s">
        <v>324</v>
      </c>
      <c r="D7266" s="441">
        <v>0.37</v>
      </c>
    </row>
    <row r="7267" spans="1:4" ht="15.75" customHeight="1">
      <c r="A7267" s="120">
        <v>95375</v>
      </c>
      <c r="B7267" s="119" t="s">
        <v>8796</v>
      </c>
      <c r="C7267" s="120" t="s">
        <v>324</v>
      </c>
      <c r="D7267" s="441">
        <v>0.39</v>
      </c>
    </row>
    <row r="7268" spans="1:4" ht="15.75" customHeight="1">
      <c r="A7268" s="120">
        <v>95376</v>
      </c>
      <c r="B7268" s="119" t="s">
        <v>8797</v>
      </c>
      <c r="C7268" s="120" t="s">
        <v>324</v>
      </c>
      <c r="D7268" s="441">
        <v>0.08</v>
      </c>
    </row>
    <row r="7269" spans="1:4" ht="15.75" customHeight="1">
      <c r="A7269" s="120">
        <v>95377</v>
      </c>
      <c r="B7269" s="119" t="s">
        <v>8798</v>
      </c>
      <c r="C7269" s="120" t="s">
        <v>324</v>
      </c>
      <c r="D7269" s="441">
        <v>0.28999999999999998</v>
      </c>
    </row>
    <row r="7270" spans="1:4" ht="15.75" customHeight="1">
      <c r="A7270" s="120">
        <v>95378</v>
      </c>
      <c r="B7270" s="119" t="s">
        <v>8799</v>
      </c>
      <c r="C7270" s="120" t="s">
        <v>324</v>
      </c>
      <c r="D7270" s="441">
        <v>0.37</v>
      </c>
    </row>
    <row r="7271" spans="1:4" ht="15.75" customHeight="1">
      <c r="A7271" s="120">
        <v>95379</v>
      </c>
      <c r="B7271" s="119" t="s">
        <v>8800</v>
      </c>
      <c r="C7271" s="120" t="s">
        <v>324</v>
      </c>
      <c r="D7271" s="441">
        <v>0.3</v>
      </c>
    </row>
    <row r="7272" spans="1:4" ht="31.5" customHeight="1">
      <c r="A7272" s="120">
        <v>95380</v>
      </c>
      <c r="B7272" s="119" t="s">
        <v>8801</v>
      </c>
      <c r="C7272" s="120" t="s">
        <v>324</v>
      </c>
      <c r="D7272" s="441">
        <v>0.24</v>
      </c>
    </row>
    <row r="7273" spans="1:4" ht="15.75" customHeight="1">
      <c r="A7273" s="120">
        <v>95382</v>
      </c>
      <c r="B7273" s="119" t="s">
        <v>8802</v>
      </c>
      <c r="C7273" s="120" t="s">
        <v>324</v>
      </c>
      <c r="D7273" s="441">
        <v>0.28999999999999998</v>
      </c>
    </row>
    <row r="7274" spans="1:4" ht="15.75" customHeight="1">
      <c r="A7274" s="120">
        <v>95383</v>
      </c>
      <c r="B7274" s="119" t="s">
        <v>8803</v>
      </c>
      <c r="C7274" s="120" t="s">
        <v>324</v>
      </c>
      <c r="D7274" s="441">
        <v>0.3</v>
      </c>
    </row>
    <row r="7275" spans="1:4" ht="15.75" customHeight="1">
      <c r="A7275" s="120">
        <v>95384</v>
      </c>
      <c r="B7275" s="119" t="s">
        <v>8804</v>
      </c>
      <c r="C7275" s="120" t="s">
        <v>324</v>
      </c>
      <c r="D7275" s="441">
        <v>0.31</v>
      </c>
    </row>
    <row r="7276" spans="1:4" ht="15.75" customHeight="1">
      <c r="A7276" s="120">
        <v>95385</v>
      </c>
      <c r="B7276" s="119" t="s">
        <v>8805</v>
      </c>
      <c r="C7276" s="120" t="s">
        <v>324</v>
      </c>
      <c r="D7276" s="441">
        <v>0.28000000000000003</v>
      </c>
    </row>
    <row r="7277" spans="1:4" ht="15.75" customHeight="1">
      <c r="A7277" s="120">
        <v>95386</v>
      </c>
      <c r="B7277" s="119" t="s">
        <v>8806</v>
      </c>
      <c r="C7277" s="120" t="s">
        <v>324</v>
      </c>
      <c r="D7277" s="441">
        <v>0.31</v>
      </c>
    </row>
    <row r="7278" spans="1:4" ht="15.75" customHeight="1">
      <c r="A7278" s="120">
        <v>95387</v>
      </c>
      <c r="B7278" s="119" t="s">
        <v>8807</v>
      </c>
      <c r="C7278" s="120" t="s">
        <v>324</v>
      </c>
      <c r="D7278" s="441">
        <v>0.37</v>
      </c>
    </row>
    <row r="7279" spans="1:4" ht="15.75" customHeight="1">
      <c r="A7279" s="120">
        <v>95388</v>
      </c>
      <c r="B7279" s="119" t="s">
        <v>8808</v>
      </c>
      <c r="C7279" s="120" t="s">
        <v>324</v>
      </c>
      <c r="D7279" s="441">
        <v>0.12</v>
      </c>
    </row>
    <row r="7280" spans="1:4" ht="31.5" customHeight="1">
      <c r="A7280" s="120">
        <v>95389</v>
      </c>
      <c r="B7280" s="119" t="s">
        <v>8809</v>
      </c>
      <c r="C7280" s="120" t="s">
        <v>324</v>
      </c>
      <c r="D7280" s="441">
        <v>0.15</v>
      </c>
    </row>
    <row r="7281" spans="1:4" ht="15.75" customHeight="1">
      <c r="A7281" s="120">
        <v>95390</v>
      </c>
      <c r="B7281" s="119" t="s">
        <v>8810</v>
      </c>
      <c r="C7281" s="120" t="s">
        <v>324</v>
      </c>
      <c r="D7281" s="441">
        <v>0.09</v>
      </c>
    </row>
    <row r="7282" spans="1:4" ht="15.75" customHeight="1">
      <c r="A7282" s="120">
        <v>95391</v>
      </c>
      <c r="B7282" s="119" t="s">
        <v>8811</v>
      </c>
      <c r="C7282" s="120" t="s">
        <v>324</v>
      </c>
      <c r="D7282" s="441">
        <v>0.19</v>
      </c>
    </row>
    <row r="7283" spans="1:4" ht="15.75" customHeight="1">
      <c r="A7283" s="120">
        <v>95392</v>
      </c>
      <c r="B7283" s="119" t="s">
        <v>8812</v>
      </c>
      <c r="C7283" s="120" t="s">
        <v>324</v>
      </c>
      <c r="D7283" s="441">
        <v>0.12</v>
      </c>
    </row>
    <row r="7284" spans="1:4" ht="15.75" customHeight="1">
      <c r="A7284" s="120">
        <v>95393</v>
      </c>
      <c r="B7284" s="119" t="s">
        <v>8813</v>
      </c>
      <c r="C7284" s="120" t="s">
        <v>324</v>
      </c>
      <c r="D7284" s="441">
        <v>0.47</v>
      </c>
    </row>
    <row r="7285" spans="1:4" ht="15.75" customHeight="1">
      <c r="A7285" s="120">
        <v>95394</v>
      </c>
      <c r="B7285" s="119" t="s">
        <v>8814</v>
      </c>
      <c r="C7285" s="120" t="s">
        <v>324</v>
      </c>
      <c r="D7285" s="441">
        <v>0.7</v>
      </c>
    </row>
    <row r="7286" spans="1:4" ht="15.75" customHeight="1">
      <c r="A7286" s="120">
        <v>95395</v>
      </c>
      <c r="B7286" s="119" t="s">
        <v>8815</v>
      </c>
      <c r="C7286" s="120" t="s">
        <v>324</v>
      </c>
      <c r="D7286" s="441">
        <v>0.99</v>
      </c>
    </row>
    <row r="7287" spans="1:4" ht="15.75" customHeight="1">
      <c r="A7287" s="120">
        <v>95396</v>
      </c>
      <c r="B7287" s="119" t="s">
        <v>8816</v>
      </c>
      <c r="C7287" s="120" t="s">
        <v>324</v>
      </c>
      <c r="D7287" s="441">
        <v>1.31</v>
      </c>
    </row>
    <row r="7288" spans="1:4" ht="15.75" customHeight="1">
      <c r="A7288" s="120">
        <v>95397</v>
      </c>
      <c r="B7288" s="119" t="s">
        <v>8817</v>
      </c>
      <c r="C7288" s="120" t="s">
        <v>324</v>
      </c>
      <c r="D7288" s="441">
        <v>0.08</v>
      </c>
    </row>
    <row r="7289" spans="1:4" ht="15.75" customHeight="1">
      <c r="A7289" s="120">
        <v>95398</v>
      </c>
      <c r="B7289" s="119" t="s">
        <v>8818</v>
      </c>
      <c r="C7289" s="120" t="s">
        <v>324</v>
      </c>
      <c r="D7289" s="441">
        <v>0.1</v>
      </c>
    </row>
    <row r="7290" spans="1:4" ht="15.75" customHeight="1">
      <c r="A7290" s="120">
        <v>95399</v>
      </c>
      <c r="B7290" s="119" t="s">
        <v>8819</v>
      </c>
      <c r="C7290" s="120" t="s">
        <v>324</v>
      </c>
      <c r="D7290" s="441">
        <v>0.06</v>
      </c>
    </row>
    <row r="7291" spans="1:4" ht="15.75" customHeight="1">
      <c r="A7291" s="120">
        <v>95400</v>
      </c>
      <c r="B7291" s="119" t="s">
        <v>8820</v>
      </c>
      <c r="C7291" s="120" t="s">
        <v>324</v>
      </c>
      <c r="D7291" s="441">
        <v>0.1</v>
      </c>
    </row>
    <row r="7292" spans="1:4" ht="15.75" customHeight="1">
      <c r="A7292" s="120">
        <v>95401</v>
      </c>
      <c r="B7292" s="119" t="s">
        <v>8821</v>
      </c>
      <c r="C7292" s="120" t="s">
        <v>324</v>
      </c>
      <c r="D7292" s="441">
        <v>0.81</v>
      </c>
    </row>
    <row r="7293" spans="1:4" ht="15.75" customHeight="1">
      <c r="A7293" s="120">
        <v>95402</v>
      </c>
      <c r="B7293" s="119" t="s">
        <v>8822</v>
      </c>
      <c r="C7293" s="120" t="s">
        <v>324</v>
      </c>
      <c r="D7293" s="441">
        <v>1.69</v>
      </c>
    </row>
    <row r="7294" spans="1:4" ht="15.75" customHeight="1">
      <c r="A7294" s="120">
        <v>95403</v>
      </c>
      <c r="B7294" s="119" t="s">
        <v>8823</v>
      </c>
      <c r="C7294" s="120" t="s">
        <v>324</v>
      </c>
      <c r="D7294" s="441">
        <v>1.92</v>
      </c>
    </row>
    <row r="7295" spans="1:4" ht="15.75" customHeight="1">
      <c r="A7295" s="120">
        <v>95404</v>
      </c>
      <c r="B7295" s="119" t="s">
        <v>8824</v>
      </c>
      <c r="C7295" s="120" t="s">
        <v>324</v>
      </c>
      <c r="D7295" s="441">
        <v>2.63</v>
      </c>
    </row>
    <row r="7296" spans="1:4" ht="15.75" customHeight="1">
      <c r="A7296" s="120">
        <v>95405</v>
      </c>
      <c r="B7296" s="119" t="s">
        <v>8825</v>
      </c>
      <c r="C7296" s="120" t="s">
        <v>324</v>
      </c>
      <c r="D7296" s="441">
        <v>1.39</v>
      </c>
    </row>
    <row r="7297" spans="1:4" ht="15.75" customHeight="1">
      <c r="A7297" s="120">
        <v>95406</v>
      </c>
      <c r="B7297" s="119" t="s">
        <v>8826</v>
      </c>
      <c r="C7297" s="120" t="s">
        <v>324</v>
      </c>
      <c r="D7297" s="441">
        <v>0.21</v>
      </c>
    </row>
    <row r="7298" spans="1:4" ht="15.75" customHeight="1">
      <c r="A7298" s="120">
        <v>95407</v>
      </c>
      <c r="B7298" s="119" t="s">
        <v>8827</v>
      </c>
      <c r="C7298" s="120" t="s">
        <v>324</v>
      </c>
      <c r="D7298" s="441">
        <v>3.85</v>
      </c>
    </row>
    <row r="7299" spans="1:4" ht="15.75" customHeight="1">
      <c r="A7299" s="120">
        <v>95408</v>
      </c>
      <c r="B7299" s="119" t="s">
        <v>8828</v>
      </c>
      <c r="C7299" s="120" t="s">
        <v>955</v>
      </c>
      <c r="D7299" s="441">
        <v>14.37</v>
      </c>
    </row>
    <row r="7300" spans="1:4" ht="15.75" customHeight="1">
      <c r="A7300" s="120">
        <v>95409</v>
      </c>
      <c r="B7300" s="119" t="s">
        <v>8829</v>
      </c>
      <c r="C7300" s="120" t="s">
        <v>955</v>
      </c>
      <c r="D7300" s="441">
        <v>26.3</v>
      </c>
    </row>
    <row r="7301" spans="1:4" ht="15.75" customHeight="1">
      <c r="A7301" s="120">
        <v>95410</v>
      </c>
      <c r="B7301" s="119" t="s">
        <v>8830</v>
      </c>
      <c r="C7301" s="120" t="s">
        <v>955</v>
      </c>
      <c r="D7301" s="441">
        <v>8.66</v>
      </c>
    </row>
    <row r="7302" spans="1:4" ht="15.75" customHeight="1">
      <c r="A7302" s="120">
        <v>95411</v>
      </c>
      <c r="B7302" s="119" t="s">
        <v>8831</v>
      </c>
      <c r="C7302" s="120" t="s">
        <v>955</v>
      </c>
      <c r="D7302" s="441">
        <v>13.93</v>
      </c>
    </row>
    <row r="7303" spans="1:4" ht="15.75" customHeight="1">
      <c r="A7303" s="120">
        <v>95412</v>
      </c>
      <c r="B7303" s="119" t="s">
        <v>8832</v>
      </c>
      <c r="C7303" s="120" t="s">
        <v>955</v>
      </c>
      <c r="D7303" s="441">
        <v>11.76</v>
      </c>
    </row>
    <row r="7304" spans="1:4" ht="15.75" customHeight="1">
      <c r="A7304" s="120">
        <v>95413</v>
      </c>
      <c r="B7304" s="119" t="s">
        <v>8833</v>
      </c>
      <c r="C7304" s="120" t="s">
        <v>955</v>
      </c>
      <c r="D7304" s="441">
        <v>16.989999999999998</v>
      </c>
    </row>
    <row r="7305" spans="1:4" ht="15.75" customHeight="1">
      <c r="A7305" s="120">
        <v>95414</v>
      </c>
      <c r="B7305" s="119" t="s">
        <v>8834</v>
      </c>
      <c r="C7305" s="120" t="s">
        <v>955</v>
      </c>
      <c r="D7305" s="441">
        <v>62.5</v>
      </c>
    </row>
    <row r="7306" spans="1:4" ht="15.75" customHeight="1">
      <c r="A7306" s="120">
        <v>95415</v>
      </c>
      <c r="B7306" s="119" t="s">
        <v>8835</v>
      </c>
      <c r="C7306" s="120" t="s">
        <v>955</v>
      </c>
      <c r="D7306" s="441">
        <v>222.85</v>
      </c>
    </row>
    <row r="7307" spans="1:4" ht="15.75" customHeight="1">
      <c r="A7307" s="120">
        <v>95416</v>
      </c>
      <c r="B7307" s="119" t="s">
        <v>8836</v>
      </c>
      <c r="C7307" s="120" t="s">
        <v>955</v>
      </c>
      <c r="D7307" s="441">
        <v>13.61</v>
      </c>
    </row>
    <row r="7308" spans="1:4" ht="15.75" customHeight="1">
      <c r="A7308" s="120">
        <v>95417</v>
      </c>
      <c r="B7308" s="119" t="s">
        <v>8837</v>
      </c>
      <c r="C7308" s="120" t="s">
        <v>955</v>
      </c>
      <c r="D7308" s="441">
        <v>253.65</v>
      </c>
    </row>
    <row r="7309" spans="1:4" ht="15.75" customHeight="1">
      <c r="A7309" s="120">
        <v>95418</v>
      </c>
      <c r="B7309" s="119" t="s">
        <v>8838</v>
      </c>
      <c r="C7309" s="120" t="s">
        <v>955</v>
      </c>
      <c r="D7309" s="441">
        <v>346.73</v>
      </c>
    </row>
    <row r="7310" spans="1:4" ht="15.75" customHeight="1">
      <c r="A7310" s="120">
        <v>95419</v>
      </c>
      <c r="B7310" s="119" t="s">
        <v>8839</v>
      </c>
      <c r="C7310" s="120" t="s">
        <v>955</v>
      </c>
      <c r="D7310" s="441">
        <v>92.55</v>
      </c>
    </row>
    <row r="7311" spans="1:4" ht="15.75" customHeight="1">
      <c r="A7311" s="120">
        <v>95420</v>
      </c>
      <c r="B7311" s="119" t="s">
        <v>8840</v>
      </c>
      <c r="C7311" s="120" t="s">
        <v>955</v>
      </c>
      <c r="D7311" s="441">
        <v>131.46</v>
      </c>
    </row>
    <row r="7312" spans="1:4" ht="15.75" customHeight="1">
      <c r="A7312" s="120">
        <v>95421</v>
      </c>
      <c r="B7312" s="119" t="s">
        <v>8841</v>
      </c>
      <c r="C7312" s="120" t="s">
        <v>955</v>
      </c>
      <c r="D7312" s="441">
        <v>173.81</v>
      </c>
    </row>
    <row r="7313" spans="1:4" ht="15.75" customHeight="1">
      <c r="A7313" s="120">
        <v>95422</v>
      </c>
      <c r="B7313" s="119" t="s">
        <v>8842</v>
      </c>
      <c r="C7313" s="120" t="s">
        <v>955</v>
      </c>
      <c r="D7313" s="441">
        <v>107.34</v>
      </c>
    </row>
    <row r="7314" spans="1:4" ht="15.75" customHeight="1">
      <c r="A7314" s="120">
        <v>95423</v>
      </c>
      <c r="B7314" s="119" t="s">
        <v>8843</v>
      </c>
      <c r="C7314" s="120" t="s">
        <v>955</v>
      </c>
      <c r="D7314" s="441">
        <v>183.85</v>
      </c>
    </row>
    <row r="7315" spans="1:4" ht="15.75" customHeight="1">
      <c r="A7315" s="120">
        <v>95424</v>
      </c>
      <c r="B7315" s="119" t="s">
        <v>8844</v>
      </c>
      <c r="C7315" s="120" t="s">
        <v>955</v>
      </c>
      <c r="D7315" s="441">
        <v>27.77</v>
      </c>
    </row>
    <row r="7316" spans="1:4" ht="15.75" customHeight="1">
      <c r="A7316" s="120">
        <v>100288</v>
      </c>
      <c r="B7316" s="119" t="s">
        <v>8845</v>
      </c>
      <c r="C7316" s="120" t="s">
        <v>324</v>
      </c>
      <c r="D7316" s="441">
        <v>0.09</v>
      </c>
    </row>
    <row r="7317" spans="1:4" ht="15.75" customHeight="1">
      <c r="A7317" s="120">
        <v>100289</v>
      </c>
      <c r="B7317" s="119" t="s">
        <v>8846</v>
      </c>
      <c r="C7317" s="120" t="s">
        <v>324</v>
      </c>
      <c r="D7317" s="441">
        <v>25.21</v>
      </c>
    </row>
    <row r="7318" spans="1:4" ht="15.75" customHeight="1">
      <c r="A7318" s="120">
        <v>100290</v>
      </c>
      <c r="B7318" s="119" t="s">
        <v>8847</v>
      </c>
      <c r="C7318" s="120" t="s">
        <v>324</v>
      </c>
      <c r="D7318" s="441">
        <v>0.09</v>
      </c>
    </row>
    <row r="7319" spans="1:4" ht="15.75" customHeight="1">
      <c r="A7319" s="120">
        <v>100291</v>
      </c>
      <c r="B7319" s="119" t="s">
        <v>8848</v>
      </c>
      <c r="C7319" s="120" t="s">
        <v>324</v>
      </c>
      <c r="D7319" s="441">
        <v>0.28000000000000003</v>
      </c>
    </row>
    <row r="7320" spans="1:4" ht="15.75" customHeight="1">
      <c r="A7320" s="120">
        <v>100292</v>
      </c>
      <c r="B7320" s="119" t="s">
        <v>8849</v>
      </c>
      <c r="C7320" s="120" t="s">
        <v>324</v>
      </c>
      <c r="D7320" s="441">
        <v>0.85</v>
      </c>
    </row>
    <row r="7321" spans="1:4" ht="15.75" customHeight="1">
      <c r="A7321" s="120">
        <v>100293</v>
      </c>
      <c r="B7321" s="119" t="s">
        <v>8850</v>
      </c>
      <c r="C7321" s="120" t="s">
        <v>324</v>
      </c>
      <c r="D7321" s="441">
        <v>0.26</v>
      </c>
    </row>
    <row r="7322" spans="1:4" ht="15.75" customHeight="1">
      <c r="A7322" s="120">
        <v>100294</v>
      </c>
      <c r="B7322" s="119" t="s">
        <v>8851</v>
      </c>
      <c r="C7322" s="120" t="s">
        <v>324</v>
      </c>
      <c r="D7322" s="441">
        <v>0.41</v>
      </c>
    </row>
    <row r="7323" spans="1:4" ht="15.75" customHeight="1">
      <c r="A7323" s="120">
        <v>100295</v>
      </c>
      <c r="B7323" s="119" t="s">
        <v>8852</v>
      </c>
      <c r="C7323" s="120" t="s">
        <v>324</v>
      </c>
      <c r="D7323" s="441">
        <v>0.66</v>
      </c>
    </row>
    <row r="7324" spans="1:4" ht="15.75" customHeight="1">
      <c r="A7324" s="120">
        <v>100296</v>
      </c>
      <c r="B7324" s="119" t="s">
        <v>8853</v>
      </c>
      <c r="C7324" s="120" t="s">
        <v>324</v>
      </c>
      <c r="D7324" s="441">
        <v>1.34</v>
      </c>
    </row>
    <row r="7325" spans="1:4" ht="15.75" customHeight="1">
      <c r="A7325" s="120">
        <v>100297</v>
      </c>
      <c r="B7325" s="119" t="s">
        <v>8854</v>
      </c>
      <c r="C7325" s="120" t="s">
        <v>324</v>
      </c>
      <c r="D7325" s="441">
        <v>1.51</v>
      </c>
    </row>
    <row r="7326" spans="1:4" ht="15.75" customHeight="1">
      <c r="A7326" s="120">
        <v>100298</v>
      </c>
      <c r="B7326" s="119" t="s">
        <v>8855</v>
      </c>
      <c r="C7326" s="120" t="s">
        <v>324</v>
      </c>
      <c r="D7326" s="441">
        <v>0.77</v>
      </c>
    </row>
    <row r="7327" spans="1:4" ht="15.75" customHeight="1">
      <c r="A7327" s="120">
        <v>100299</v>
      </c>
      <c r="B7327" s="119" t="s">
        <v>8856</v>
      </c>
      <c r="C7327" s="120" t="s">
        <v>324</v>
      </c>
      <c r="D7327" s="441">
        <v>0.6</v>
      </c>
    </row>
    <row r="7328" spans="1:4" ht="15.75" customHeight="1">
      <c r="A7328" s="120">
        <v>100300</v>
      </c>
      <c r="B7328" s="119" t="s">
        <v>8857</v>
      </c>
      <c r="C7328" s="120" t="s">
        <v>324</v>
      </c>
      <c r="D7328" s="441">
        <v>20.59</v>
      </c>
    </row>
    <row r="7329" spans="1:4" ht="15.75" customHeight="1">
      <c r="A7329" s="120">
        <v>100301</v>
      </c>
      <c r="B7329" s="119" t="s">
        <v>8858</v>
      </c>
      <c r="C7329" s="120" t="s">
        <v>324</v>
      </c>
      <c r="D7329" s="441">
        <v>27.98</v>
      </c>
    </row>
    <row r="7330" spans="1:4" ht="15.75" customHeight="1">
      <c r="A7330" s="120">
        <v>100302</v>
      </c>
      <c r="B7330" s="119" t="s">
        <v>8859</v>
      </c>
      <c r="C7330" s="120" t="s">
        <v>324</v>
      </c>
      <c r="D7330" s="441">
        <v>162.79</v>
      </c>
    </row>
    <row r="7331" spans="1:4" ht="15.75" customHeight="1">
      <c r="A7331" s="120">
        <v>100303</v>
      </c>
      <c r="B7331" s="119" t="s">
        <v>8860</v>
      </c>
      <c r="C7331" s="120" t="s">
        <v>324</v>
      </c>
      <c r="D7331" s="441">
        <v>25.16</v>
      </c>
    </row>
    <row r="7332" spans="1:4" ht="15.75" customHeight="1">
      <c r="A7332" s="120">
        <v>100304</v>
      </c>
      <c r="B7332" s="119" t="s">
        <v>8861</v>
      </c>
      <c r="C7332" s="120" t="s">
        <v>324</v>
      </c>
      <c r="D7332" s="441">
        <v>80.22</v>
      </c>
    </row>
    <row r="7333" spans="1:4" ht="15.75" customHeight="1">
      <c r="A7333" s="120">
        <v>100305</v>
      </c>
      <c r="B7333" s="119" t="s">
        <v>8862</v>
      </c>
      <c r="C7333" s="120" t="s">
        <v>324</v>
      </c>
      <c r="D7333" s="441">
        <v>114.02</v>
      </c>
    </row>
    <row r="7334" spans="1:4" ht="15.75" customHeight="1">
      <c r="A7334" s="120">
        <v>100306</v>
      </c>
      <c r="B7334" s="119" t="s">
        <v>8863</v>
      </c>
      <c r="C7334" s="120" t="s">
        <v>324</v>
      </c>
      <c r="D7334" s="441">
        <v>128.38</v>
      </c>
    </row>
    <row r="7335" spans="1:4" ht="15.75" customHeight="1">
      <c r="A7335" s="120">
        <v>100307</v>
      </c>
      <c r="B7335" s="119" t="s">
        <v>8864</v>
      </c>
      <c r="C7335" s="120" t="s">
        <v>324</v>
      </c>
      <c r="D7335" s="441">
        <v>28.96</v>
      </c>
    </row>
    <row r="7336" spans="1:4" ht="15.75" customHeight="1">
      <c r="A7336" s="120">
        <v>100308</v>
      </c>
      <c r="B7336" s="119" t="s">
        <v>8865</v>
      </c>
      <c r="C7336" s="120" t="s">
        <v>324</v>
      </c>
      <c r="D7336" s="441">
        <v>35.450000000000003</v>
      </c>
    </row>
    <row r="7337" spans="1:4" ht="15.75" customHeight="1">
      <c r="A7337" s="120">
        <v>100309</v>
      </c>
      <c r="B7337" s="119" t="s">
        <v>199</v>
      </c>
      <c r="C7337" s="120" t="s">
        <v>324</v>
      </c>
      <c r="D7337" s="441">
        <v>34.86</v>
      </c>
    </row>
    <row r="7338" spans="1:4" ht="15.75" customHeight="1">
      <c r="A7338" s="120">
        <v>100310</v>
      </c>
      <c r="B7338" s="119" t="s">
        <v>8866</v>
      </c>
      <c r="C7338" s="120" t="s">
        <v>955</v>
      </c>
      <c r="D7338" s="441">
        <v>13.01</v>
      </c>
    </row>
    <row r="7339" spans="1:4" ht="15.75" customHeight="1">
      <c r="A7339" s="120">
        <v>100311</v>
      </c>
      <c r="B7339" s="119" t="s">
        <v>8867</v>
      </c>
      <c r="C7339" s="120" t="s">
        <v>955</v>
      </c>
      <c r="D7339" s="441">
        <v>112.62</v>
      </c>
    </row>
    <row r="7340" spans="1:4" ht="15.75" customHeight="1">
      <c r="A7340" s="120">
        <v>100312</v>
      </c>
      <c r="B7340" s="119" t="s">
        <v>8868</v>
      </c>
      <c r="C7340" s="120" t="s">
        <v>955</v>
      </c>
      <c r="D7340" s="441">
        <v>141.55000000000001</v>
      </c>
    </row>
    <row r="7341" spans="1:4" ht="15.75" customHeight="1">
      <c r="A7341" s="120">
        <v>100313</v>
      </c>
      <c r="B7341" s="119" t="s">
        <v>8869</v>
      </c>
      <c r="C7341" s="120" t="s">
        <v>955</v>
      </c>
      <c r="D7341" s="441">
        <v>176.65</v>
      </c>
    </row>
    <row r="7342" spans="1:4" ht="15.75" customHeight="1">
      <c r="A7342" s="120">
        <v>100314</v>
      </c>
      <c r="B7342" s="119" t="s">
        <v>8870</v>
      </c>
      <c r="C7342" s="120" t="s">
        <v>955</v>
      </c>
      <c r="D7342" s="441">
        <v>199.3</v>
      </c>
    </row>
    <row r="7343" spans="1:4" ht="31.5" customHeight="1">
      <c r="A7343" s="120">
        <v>100315</v>
      </c>
      <c r="B7343" s="119" t="s">
        <v>8871</v>
      </c>
      <c r="C7343" s="120" t="s">
        <v>955</v>
      </c>
      <c r="D7343" s="441">
        <v>80.17</v>
      </c>
    </row>
    <row r="7344" spans="1:4" ht="15.75" customHeight="1">
      <c r="A7344" s="120">
        <v>100316</v>
      </c>
      <c r="B7344" s="119" t="s">
        <v>8857</v>
      </c>
      <c r="C7344" s="120" t="s">
        <v>955</v>
      </c>
      <c r="D7344" s="442">
        <v>3629.86</v>
      </c>
    </row>
    <row r="7345" spans="1:4" ht="15.75" customHeight="1">
      <c r="A7345" s="120">
        <v>100317</v>
      </c>
      <c r="B7345" s="119" t="s">
        <v>8872</v>
      </c>
      <c r="C7345" s="120" t="s">
        <v>955</v>
      </c>
      <c r="D7345" s="442">
        <v>28494.33</v>
      </c>
    </row>
    <row r="7346" spans="1:4" ht="15.75" customHeight="1">
      <c r="A7346" s="120">
        <v>100318</v>
      </c>
      <c r="B7346" s="119" t="s">
        <v>8861</v>
      </c>
      <c r="C7346" s="120" t="s">
        <v>955</v>
      </c>
      <c r="D7346" s="442">
        <v>14143.56</v>
      </c>
    </row>
    <row r="7347" spans="1:4" ht="15.75" customHeight="1">
      <c r="A7347" s="120">
        <v>100319</v>
      </c>
      <c r="B7347" s="119" t="s">
        <v>8862</v>
      </c>
      <c r="C7347" s="120" t="s">
        <v>955</v>
      </c>
      <c r="D7347" s="442">
        <v>19932.46</v>
      </c>
    </row>
    <row r="7348" spans="1:4" ht="15.75" customHeight="1">
      <c r="A7348" s="120">
        <v>100320</v>
      </c>
      <c r="B7348" s="119" t="s">
        <v>8863</v>
      </c>
      <c r="C7348" s="120" t="s">
        <v>955</v>
      </c>
      <c r="D7348" s="442">
        <v>22441.05</v>
      </c>
    </row>
    <row r="7349" spans="1:4" ht="15.75" customHeight="1">
      <c r="A7349" s="120">
        <v>100321</v>
      </c>
      <c r="B7349" s="119" t="s">
        <v>199</v>
      </c>
      <c r="C7349" s="120" t="s">
        <v>955</v>
      </c>
      <c r="D7349" s="442">
        <v>6105.99</v>
      </c>
    </row>
    <row r="7350" spans="1:4" ht="15.75" customHeight="1">
      <c r="A7350" s="120">
        <v>100533</v>
      </c>
      <c r="B7350" s="119" t="s">
        <v>8873</v>
      </c>
      <c r="C7350" s="120" t="s">
        <v>324</v>
      </c>
      <c r="D7350" s="441">
        <v>21.38</v>
      </c>
    </row>
    <row r="7351" spans="1:4" ht="15.75" customHeight="1">
      <c r="A7351" s="120">
        <v>100534</v>
      </c>
      <c r="B7351" s="119" t="s">
        <v>8873</v>
      </c>
      <c r="C7351" s="120" t="s">
        <v>955</v>
      </c>
      <c r="D7351" s="442">
        <v>3768</v>
      </c>
    </row>
    <row r="7352" spans="1:4" ht="15.75" customHeight="1">
      <c r="A7352" s="120">
        <v>100535</v>
      </c>
      <c r="B7352" s="119" t="s">
        <v>8874</v>
      </c>
      <c r="C7352" s="120" t="s">
        <v>324</v>
      </c>
      <c r="D7352" s="441">
        <v>0.35</v>
      </c>
    </row>
    <row r="7353" spans="1:4" ht="15.75" customHeight="1">
      <c r="A7353" s="120">
        <v>100536</v>
      </c>
      <c r="B7353" s="119" t="s">
        <v>8875</v>
      </c>
      <c r="C7353" s="120" t="s">
        <v>955</v>
      </c>
      <c r="D7353" s="441">
        <v>47.43</v>
      </c>
    </row>
    <row r="7354" spans="1:4" ht="15.75" customHeight="1">
      <c r="A7354" s="120">
        <v>101284</v>
      </c>
      <c r="B7354" s="119" t="s">
        <v>8876</v>
      </c>
      <c r="C7354" s="120" t="s">
        <v>324</v>
      </c>
      <c r="D7354" s="441">
        <v>2.0699999999999998</v>
      </c>
    </row>
    <row r="7355" spans="1:4" ht="15.75" customHeight="1">
      <c r="A7355" s="120">
        <v>101285</v>
      </c>
      <c r="B7355" s="119" t="s">
        <v>8877</v>
      </c>
      <c r="C7355" s="120" t="s">
        <v>324</v>
      </c>
      <c r="D7355" s="441">
        <v>0.39</v>
      </c>
    </row>
    <row r="7356" spans="1:4" ht="15.75" customHeight="1">
      <c r="A7356" s="120">
        <v>101286</v>
      </c>
      <c r="B7356" s="119" t="s">
        <v>8878</v>
      </c>
      <c r="C7356" s="120" t="s">
        <v>955</v>
      </c>
      <c r="D7356" s="441">
        <v>27.19</v>
      </c>
    </row>
    <row r="7357" spans="1:4" ht="15.75" customHeight="1">
      <c r="A7357" s="120">
        <v>101287</v>
      </c>
      <c r="B7357" s="119" t="s">
        <v>8879</v>
      </c>
      <c r="C7357" s="120" t="s">
        <v>955</v>
      </c>
      <c r="D7357" s="441">
        <v>95.39</v>
      </c>
    </row>
    <row r="7358" spans="1:4" ht="31.5" customHeight="1">
      <c r="A7358" s="120">
        <v>101288</v>
      </c>
      <c r="B7358" s="119" t="s">
        <v>8880</v>
      </c>
      <c r="C7358" s="120" t="s">
        <v>955</v>
      </c>
      <c r="D7358" s="441">
        <v>25.76</v>
      </c>
    </row>
    <row r="7359" spans="1:4" ht="15.75" customHeight="1">
      <c r="A7359" s="120">
        <v>101289</v>
      </c>
      <c r="B7359" s="119" t="s">
        <v>8881</v>
      </c>
      <c r="C7359" s="120" t="s">
        <v>955</v>
      </c>
      <c r="D7359" s="441">
        <v>29.49</v>
      </c>
    </row>
    <row r="7360" spans="1:4" ht="15.75" customHeight="1">
      <c r="A7360" s="120">
        <v>101290</v>
      </c>
      <c r="B7360" s="119" t="s">
        <v>8882</v>
      </c>
      <c r="C7360" s="120" t="s">
        <v>955</v>
      </c>
      <c r="D7360" s="441">
        <v>37.74</v>
      </c>
    </row>
    <row r="7361" spans="1:4" ht="15.75" customHeight="1">
      <c r="A7361" s="120">
        <v>101291</v>
      </c>
      <c r="B7361" s="119" t="s">
        <v>8883</v>
      </c>
      <c r="C7361" s="120" t="s">
        <v>955</v>
      </c>
      <c r="D7361" s="441">
        <v>29.49</v>
      </c>
    </row>
    <row r="7362" spans="1:4" ht="15.75" customHeight="1">
      <c r="A7362" s="120">
        <v>101292</v>
      </c>
      <c r="B7362" s="119" t="s">
        <v>8884</v>
      </c>
      <c r="C7362" s="120" t="s">
        <v>955</v>
      </c>
      <c r="D7362" s="441">
        <v>29.48</v>
      </c>
    </row>
    <row r="7363" spans="1:4" ht="15.75" customHeight="1">
      <c r="A7363" s="120">
        <v>101293</v>
      </c>
      <c r="B7363" s="119" t="s">
        <v>8885</v>
      </c>
      <c r="C7363" s="120" t="s">
        <v>955</v>
      </c>
      <c r="D7363" s="441">
        <v>38.51</v>
      </c>
    </row>
    <row r="7364" spans="1:4" ht="15.75" customHeight="1">
      <c r="A7364" s="120">
        <v>101294</v>
      </c>
      <c r="B7364" s="119" t="s">
        <v>8886</v>
      </c>
      <c r="C7364" s="120" t="s">
        <v>955</v>
      </c>
      <c r="D7364" s="441">
        <v>45.61</v>
      </c>
    </row>
    <row r="7365" spans="1:4" ht="15.75" customHeight="1">
      <c r="A7365" s="120">
        <v>101295</v>
      </c>
      <c r="B7365" s="119" t="s">
        <v>8887</v>
      </c>
      <c r="C7365" s="120" t="s">
        <v>955</v>
      </c>
      <c r="D7365" s="441">
        <v>34.799999999999997</v>
      </c>
    </row>
    <row r="7366" spans="1:4" ht="31.5" customHeight="1">
      <c r="A7366" s="120">
        <v>101296</v>
      </c>
      <c r="B7366" s="119" t="s">
        <v>8888</v>
      </c>
      <c r="C7366" s="120" t="s">
        <v>955</v>
      </c>
      <c r="D7366" s="441">
        <v>45.96</v>
      </c>
    </row>
    <row r="7367" spans="1:4" ht="15.75" customHeight="1">
      <c r="A7367" s="120">
        <v>101297</v>
      </c>
      <c r="B7367" s="119" t="s">
        <v>8889</v>
      </c>
      <c r="C7367" s="120" t="s">
        <v>955</v>
      </c>
      <c r="D7367" s="441">
        <v>29.67</v>
      </c>
    </row>
    <row r="7368" spans="1:4" ht="15.75" customHeight="1">
      <c r="A7368" s="120">
        <v>101298</v>
      </c>
      <c r="B7368" s="119" t="s">
        <v>8890</v>
      </c>
      <c r="C7368" s="120" t="s">
        <v>955</v>
      </c>
      <c r="D7368" s="441">
        <v>25.66</v>
      </c>
    </row>
    <row r="7369" spans="1:4" ht="15.75" customHeight="1">
      <c r="A7369" s="120">
        <v>101299</v>
      </c>
      <c r="B7369" s="119" t="s">
        <v>8891</v>
      </c>
      <c r="C7369" s="120" t="s">
        <v>955</v>
      </c>
      <c r="D7369" s="441">
        <v>34.799999999999997</v>
      </c>
    </row>
    <row r="7370" spans="1:4" ht="15.75" customHeight="1">
      <c r="A7370" s="120">
        <v>101300</v>
      </c>
      <c r="B7370" s="119" t="s">
        <v>8892</v>
      </c>
      <c r="C7370" s="120" t="s">
        <v>955</v>
      </c>
      <c r="D7370" s="441">
        <v>27.2</v>
      </c>
    </row>
    <row r="7371" spans="1:4" ht="15.75" customHeight="1">
      <c r="A7371" s="120">
        <v>101301</v>
      </c>
      <c r="B7371" s="119" t="s">
        <v>8893</v>
      </c>
      <c r="C7371" s="120" t="s">
        <v>955</v>
      </c>
      <c r="D7371" s="441">
        <v>12.5</v>
      </c>
    </row>
    <row r="7372" spans="1:4" ht="15.75" customHeight="1">
      <c r="A7372" s="120">
        <v>101302</v>
      </c>
      <c r="B7372" s="119" t="s">
        <v>8894</v>
      </c>
      <c r="C7372" s="120" t="s">
        <v>955</v>
      </c>
      <c r="D7372" s="441">
        <v>43.54</v>
      </c>
    </row>
    <row r="7373" spans="1:4" ht="15.75" customHeight="1">
      <c r="A7373" s="120">
        <v>101303</v>
      </c>
      <c r="B7373" s="119" t="s">
        <v>8895</v>
      </c>
      <c r="C7373" s="120" t="s">
        <v>955</v>
      </c>
      <c r="D7373" s="441">
        <v>87.3</v>
      </c>
    </row>
    <row r="7374" spans="1:4" ht="15.75" customHeight="1">
      <c r="A7374" s="120">
        <v>101304</v>
      </c>
      <c r="B7374" s="119" t="s">
        <v>8896</v>
      </c>
      <c r="C7374" s="120" t="s">
        <v>955</v>
      </c>
      <c r="D7374" s="441">
        <v>49.3</v>
      </c>
    </row>
    <row r="7375" spans="1:4" ht="31.5" customHeight="1">
      <c r="A7375" s="120">
        <v>101305</v>
      </c>
      <c r="B7375" s="119" t="s">
        <v>8897</v>
      </c>
      <c r="C7375" s="120" t="s">
        <v>955</v>
      </c>
      <c r="D7375" s="441">
        <v>53.27</v>
      </c>
    </row>
    <row r="7376" spans="1:4" ht="15.75" customHeight="1">
      <c r="A7376" s="120">
        <v>101307</v>
      </c>
      <c r="B7376" s="119" t="s">
        <v>8898</v>
      </c>
      <c r="C7376" s="120" t="s">
        <v>955</v>
      </c>
      <c r="D7376" s="441">
        <v>32.72</v>
      </c>
    </row>
    <row r="7377" spans="1:4" ht="31.5" customHeight="1">
      <c r="A7377" s="120">
        <v>101308</v>
      </c>
      <c r="B7377" s="119" t="s">
        <v>8899</v>
      </c>
      <c r="C7377" s="120" t="s">
        <v>955</v>
      </c>
      <c r="D7377" s="441">
        <v>36.270000000000003</v>
      </c>
    </row>
    <row r="7378" spans="1:4" ht="15.75" customHeight="1">
      <c r="A7378" s="120">
        <v>101309</v>
      </c>
      <c r="B7378" s="119" t="s">
        <v>8900</v>
      </c>
      <c r="C7378" s="120" t="s">
        <v>955</v>
      </c>
      <c r="D7378" s="441">
        <v>37.74</v>
      </c>
    </row>
    <row r="7379" spans="1:4" ht="15.75" customHeight="1">
      <c r="A7379" s="120">
        <v>101310</v>
      </c>
      <c r="B7379" s="119" t="s">
        <v>8901</v>
      </c>
      <c r="C7379" s="120" t="s">
        <v>955</v>
      </c>
      <c r="D7379" s="441">
        <v>46.42</v>
      </c>
    </row>
    <row r="7380" spans="1:4" ht="15.75" customHeight="1">
      <c r="A7380" s="120">
        <v>101311</v>
      </c>
      <c r="B7380" s="119" t="s">
        <v>8902</v>
      </c>
      <c r="C7380" s="120" t="s">
        <v>955</v>
      </c>
      <c r="D7380" s="441">
        <v>38.51</v>
      </c>
    </row>
    <row r="7381" spans="1:4" ht="31.5" customHeight="1">
      <c r="A7381" s="120">
        <v>101312</v>
      </c>
      <c r="B7381" s="119" t="s">
        <v>8903</v>
      </c>
      <c r="C7381" s="120" t="s">
        <v>955</v>
      </c>
      <c r="D7381" s="441">
        <v>25.25</v>
      </c>
    </row>
    <row r="7382" spans="1:4" ht="15.75" customHeight="1">
      <c r="A7382" s="120">
        <v>101313</v>
      </c>
      <c r="B7382" s="119" t="s">
        <v>8904</v>
      </c>
      <c r="C7382" s="120" t="s">
        <v>955</v>
      </c>
      <c r="D7382" s="441">
        <v>124.6</v>
      </c>
    </row>
    <row r="7383" spans="1:4" ht="31.5" customHeight="1">
      <c r="A7383" s="120">
        <v>101314</v>
      </c>
      <c r="B7383" s="119" t="s">
        <v>8905</v>
      </c>
      <c r="C7383" s="120" t="s">
        <v>955</v>
      </c>
      <c r="D7383" s="441">
        <v>136.71</v>
      </c>
    </row>
    <row r="7384" spans="1:4" ht="15.75" customHeight="1">
      <c r="A7384" s="120">
        <v>101315</v>
      </c>
      <c r="B7384" s="119" t="s">
        <v>8906</v>
      </c>
      <c r="C7384" s="120" t="s">
        <v>955</v>
      </c>
      <c r="D7384" s="441">
        <v>129.69</v>
      </c>
    </row>
    <row r="7385" spans="1:4" ht="31.5" customHeight="1">
      <c r="A7385" s="120">
        <v>101316</v>
      </c>
      <c r="B7385" s="119" t="s">
        <v>8907</v>
      </c>
      <c r="C7385" s="120" t="s">
        <v>955</v>
      </c>
      <c r="D7385" s="441">
        <v>60.04</v>
      </c>
    </row>
    <row r="7386" spans="1:4" ht="15.75" customHeight="1">
      <c r="A7386" s="120">
        <v>101317</v>
      </c>
      <c r="B7386" s="119" t="s">
        <v>8908</v>
      </c>
      <c r="C7386" s="120" t="s">
        <v>955</v>
      </c>
      <c r="D7386" s="441">
        <v>273.12</v>
      </c>
    </row>
    <row r="7387" spans="1:4" ht="15.75" customHeight="1">
      <c r="A7387" s="120">
        <v>101318</v>
      </c>
      <c r="B7387" s="119" t="s">
        <v>8909</v>
      </c>
      <c r="C7387" s="120" t="s">
        <v>955</v>
      </c>
      <c r="D7387" s="441">
        <v>507.4</v>
      </c>
    </row>
    <row r="7388" spans="1:4" ht="15.75" customHeight="1">
      <c r="A7388" s="120">
        <v>101319</v>
      </c>
      <c r="B7388" s="119" t="s">
        <v>8910</v>
      </c>
      <c r="C7388" s="120" t="s">
        <v>955</v>
      </c>
      <c r="D7388" s="441">
        <v>52.51</v>
      </c>
    </row>
    <row r="7389" spans="1:4" ht="15.75" customHeight="1">
      <c r="A7389" s="120">
        <v>101320</v>
      </c>
      <c r="B7389" s="119" t="s">
        <v>8911</v>
      </c>
      <c r="C7389" s="120" t="s">
        <v>955</v>
      </c>
      <c r="D7389" s="441">
        <v>35.159999999999997</v>
      </c>
    </row>
    <row r="7390" spans="1:4" ht="15.75" customHeight="1">
      <c r="A7390" s="120">
        <v>101322</v>
      </c>
      <c r="B7390" s="119" t="s">
        <v>8912</v>
      </c>
      <c r="C7390" s="120" t="s">
        <v>955</v>
      </c>
      <c r="D7390" s="441">
        <v>36.72</v>
      </c>
    </row>
    <row r="7391" spans="1:4" ht="15.75" customHeight="1">
      <c r="A7391" s="120">
        <v>101323</v>
      </c>
      <c r="B7391" s="119" t="s">
        <v>8913</v>
      </c>
      <c r="C7391" s="120" t="s">
        <v>955</v>
      </c>
      <c r="D7391" s="441">
        <v>70.819999999999993</v>
      </c>
    </row>
    <row r="7392" spans="1:4" ht="31.5" customHeight="1">
      <c r="A7392" s="120">
        <v>101324</v>
      </c>
      <c r="B7392" s="119" t="s">
        <v>8914</v>
      </c>
      <c r="C7392" s="120" t="s">
        <v>955</v>
      </c>
      <c r="D7392" s="441">
        <v>13.55</v>
      </c>
    </row>
    <row r="7393" spans="1:4" ht="15.75" customHeight="1">
      <c r="A7393" s="120">
        <v>101325</v>
      </c>
      <c r="B7393" s="119" t="s">
        <v>8915</v>
      </c>
      <c r="C7393" s="120" t="s">
        <v>955</v>
      </c>
      <c r="D7393" s="441">
        <v>57.25</v>
      </c>
    </row>
    <row r="7394" spans="1:4" ht="15.75" customHeight="1">
      <c r="A7394" s="120">
        <v>101326</v>
      </c>
      <c r="B7394" s="119" t="s">
        <v>8916</v>
      </c>
      <c r="C7394" s="120" t="s">
        <v>955</v>
      </c>
      <c r="D7394" s="441">
        <v>12.81</v>
      </c>
    </row>
    <row r="7395" spans="1:4" ht="31.5" customHeight="1">
      <c r="A7395" s="120">
        <v>101327</v>
      </c>
      <c r="B7395" s="119" t="s">
        <v>8917</v>
      </c>
      <c r="C7395" s="120" t="s">
        <v>955</v>
      </c>
      <c r="D7395" s="441">
        <v>13.7</v>
      </c>
    </row>
    <row r="7396" spans="1:4" ht="15.75" customHeight="1">
      <c r="A7396" s="120">
        <v>101328</v>
      </c>
      <c r="B7396" s="119" t="s">
        <v>8918</v>
      </c>
      <c r="C7396" s="120" t="s">
        <v>955</v>
      </c>
      <c r="D7396" s="441">
        <v>19.190000000000001</v>
      </c>
    </row>
    <row r="7397" spans="1:4" ht="15.75" customHeight="1">
      <c r="A7397" s="120">
        <v>101329</v>
      </c>
      <c r="B7397" s="119" t="s">
        <v>8919</v>
      </c>
      <c r="C7397" s="120" t="s">
        <v>955</v>
      </c>
      <c r="D7397" s="441">
        <v>60.16</v>
      </c>
    </row>
    <row r="7398" spans="1:4" ht="15.75" customHeight="1">
      <c r="A7398" s="120">
        <v>101330</v>
      </c>
      <c r="B7398" s="119" t="s">
        <v>8920</v>
      </c>
      <c r="C7398" s="120" t="s">
        <v>955</v>
      </c>
      <c r="D7398" s="441">
        <v>45.22</v>
      </c>
    </row>
    <row r="7399" spans="1:4" ht="15.75" customHeight="1">
      <c r="A7399" s="120">
        <v>101331</v>
      </c>
      <c r="B7399" s="119" t="s">
        <v>8921</v>
      </c>
      <c r="C7399" s="120" t="s">
        <v>955</v>
      </c>
      <c r="D7399" s="441">
        <v>56.03</v>
      </c>
    </row>
    <row r="7400" spans="1:4" ht="15.75" customHeight="1">
      <c r="A7400" s="120">
        <v>101332</v>
      </c>
      <c r="B7400" s="119" t="s">
        <v>8922</v>
      </c>
      <c r="C7400" s="120" t="s">
        <v>955</v>
      </c>
      <c r="D7400" s="441">
        <v>15.67</v>
      </c>
    </row>
    <row r="7401" spans="1:4" ht="31.5" customHeight="1">
      <c r="A7401" s="120">
        <v>101333</v>
      </c>
      <c r="B7401" s="119" t="s">
        <v>8923</v>
      </c>
      <c r="C7401" s="120" t="s">
        <v>955</v>
      </c>
      <c r="D7401" s="441">
        <v>32.35</v>
      </c>
    </row>
    <row r="7402" spans="1:4" ht="15.75" customHeight="1">
      <c r="A7402" s="120">
        <v>101334</v>
      </c>
      <c r="B7402" s="119" t="s">
        <v>8924</v>
      </c>
      <c r="C7402" s="120" t="s">
        <v>955</v>
      </c>
      <c r="D7402" s="441">
        <v>102.6</v>
      </c>
    </row>
    <row r="7403" spans="1:4" ht="31.5" customHeight="1">
      <c r="A7403" s="120">
        <v>101335</v>
      </c>
      <c r="B7403" s="119" t="s">
        <v>8925</v>
      </c>
      <c r="C7403" s="120" t="s">
        <v>955</v>
      </c>
      <c r="D7403" s="441">
        <v>16.25</v>
      </c>
    </row>
    <row r="7404" spans="1:4" ht="31.5" customHeight="1">
      <c r="A7404" s="120">
        <v>101336</v>
      </c>
      <c r="B7404" s="119" t="s">
        <v>8926</v>
      </c>
      <c r="C7404" s="120" t="s">
        <v>955</v>
      </c>
      <c r="D7404" s="441">
        <v>53.65</v>
      </c>
    </row>
    <row r="7405" spans="1:4" ht="15.75" customHeight="1">
      <c r="A7405" s="120">
        <v>101337</v>
      </c>
      <c r="B7405" s="119" t="s">
        <v>8927</v>
      </c>
      <c r="C7405" s="120" t="s">
        <v>955</v>
      </c>
      <c r="D7405" s="441">
        <v>15.95</v>
      </c>
    </row>
    <row r="7406" spans="1:4" ht="15.75" customHeight="1">
      <c r="A7406" s="120">
        <v>101338</v>
      </c>
      <c r="B7406" s="119" t="s">
        <v>8928</v>
      </c>
      <c r="C7406" s="120" t="s">
        <v>955</v>
      </c>
      <c r="D7406" s="441">
        <v>25.59</v>
      </c>
    </row>
    <row r="7407" spans="1:4" ht="15.75" customHeight="1">
      <c r="A7407" s="120">
        <v>101339</v>
      </c>
      <c r="B7407" s="119" t="s">
        <v>8929</v>
      </c>
      <c r="C7407" s="120" t="s">
        <v>955</v>
      </c>
      <c r="D7407" s="441">
        <v>21.17</v>
      </c>
    </row>
    <row r="7408" spans="1:4" ht="31.5" customHeight="1">
      <c r="A7408" s="120">
        <v>101340</v>
      </c>
      <c r="B7408" s="119" t="s">
        <v>8930</v>
      </c>
      <c r="C7408" s="120" t="s">
        <v>955</v>
      </c>
      <c r="D7408" s="441">
        <v>20.43</v>
      </c>
    </row>
    <row r="7409" spans="1:4" ht="31.5" customHeight="1">
      <c r="A7409" s="120">
        <v>101341</v>
      </c>
      <c r="B7409" s="119" t="s">
        <v>8931</v>
      </c>
      <c r="C7409" s="120" t="s">
        <v>955</v>
      </c>
      <c r="D7409" s="441">
        <v>23.08</v>
      </c>
    </row>
    <row r="7410" spans="1:4" ht="31.5" customHeight="1">
      <c r="A7410" s="120">
        <v>101342</v>
      </c>
      <c r="B7410" s="119" t="s">
        <v>8932</v>
      </c>
      <c r="C7410" s="120" t="s">
        <v>955</v>
      </c>
      <c r="D7410" s="441">
        <v>26.06</v>
      </c>
    </row>
    <row r="7411" spans="1:4" ht="15.75" customHeight="1">
      <c r="A7411" s="120">
        <v>101343</v>
      </c>
      <c r="B7411" s="119" t="s">
        <v>8933</v>
      </c>
      <c r="C7411" s="120" t="s">
        <v>955</v>
      </c>
      <c r="D7411" s="441">
        <v>39.590000000000003</v>
      </c>
    </row>
    <row r="7412" spans="1:4" ht="31.5" customHeight="1">
      <c r="A7412" s="120">
        <v>101344</v>
      </c>
      <c r="B7412" s="119" t="s">
        <v>8934</v>
      </c>
      <c r="C7412" s="120" t="s">
        <v>955</v>
      </c>
      <c r="D7412" s="441">
        <v>51.62</v>
      </c>
    </row>
    <row r="7413" spans="1:4" ht="15.75" customHeight="1">
      <c r="A7413" s="120">
        <v>101345</v>
      </c>
      <c r="B7413" s="119" t="s">
        <v>8935</v>
      </c>
      <c r="C7413" s="120" t="s">
        <v>955</v>
      </c>
      <c r="D7413" s="441">
        <v>127.23</v>
      </c>
    </row>
    <row r="7414" spans="1:4" ht="31.5" customHeight="1">
      <c r="A7414" s="120">
        <v>101346</v>
      </c>
      <c r="B7414" s="119" t="s">
        <v>8936</v>
      </c>
      <c r="C7414" s="120" t="s">
        <v>955</v>
      </c>
      <c r="D7414" s="441">
        <v>35.44</v>
      </c>
    </row>
    <row r="7415" spans="1:4" ht="31.5" customHeight="1">
      <c r="A7415" s="120">
        <v>101347</v>
      </c>
      <c r="B7415" s="119" t="s">
        <v>8937</v>
      </c>
      <c r="C7415" s="120" t="s">
        <v>955</v>
      </c>
      <c r="D7415" s="441">
        <v>38.94</v>
      </c>
    </row>
    <row r="7416" spans="1:4" ht="31.5" customHeight="1">
      <c r="A7416" s="120">
        <v>101348</v>
      </c>
      <c r="B7416" s="119" t="s">
        <v>8938</v>
      </c>
      <c r="C7416" s="120" t="s">
        <v>955</v>
      </c>
      <c r="D7416" s="441">
        <v>22.6</v>
      </c>
    </row>
    <row r="7417" spans="1:4" ht="15.75" customHeight="1">
      <c r="A7417" s="120">
        <v>101349</v>
      </c>
      <c r="B7417" s="119" t="s">
        <v>8939</v>
      </c>
      <c r="C7417" s="120" t="s">
        <v>955</v>
      </c>
      <c r="D7417" s="441">
        <v>26.5</v>
      </c>
    </row>
    <row r="7418" spans="1:4" ht="15.75" customHeight="1">
      <c r="A7418" s="120">
        <v>101350</v>
      </c>
      <c r="B7418" s="119" t="s">
        <v>8940</v>
      </c>
      <c r="C7418" s="120" t="s">
        <v>955</v>
      </c>
      <c r="D7418" s="441">
        <v>32.520000000000003</v>
      </c>
    </row>
    <row r="7419" spans="1:4" ht="15.75" customHeight="1">
      <c r="A7419" s="120">
        <v>101351</v>
      </c>
      <c r="B7419" s="119" t="s">
        <v>8941</v>
      </c>
      <c r="C7419" s="120" t="s">
        <v>955</v>
      </c>
      <c r="D7419" s="441">
        <v>26.88</v>
      </c>
    </row>
    <row r="7420" spans="1:4" ht="31.5" customHeight="1">
      <c r="A7420" s="120">
        <v>101352</v>
      </c>
      <c r="B7420" s="119" t="s">
        <v>8942</v>
      </c>
      <c r="C7420" s="120" t="s">
        <v>955</v>
      </c>
      <c r="D7420" s="441">
        <v>27.36</v>
      </c>
    </row>
    <row r="7421" spans="1:4" ht="15.75" customHeight="1">
      <c r="A7421" s="120">
        <v>101353</v>
      </c>
      <c r="B7421" s="119" t="s">
        <v>8943</v>
      </c>
      <c r="C7421" s="120" t="s">
        <v>955</v>
      </c>
      <c r="D7421" s="441">
        <v>23.85</v>
      </c>
    </row>
    <row r="7422" spans="1:4" ht="31.5" customHeight="1">
      <c r="A7422" s="120">
        <v>101354</v>
      </c>
      <c r="B7422" s="119" t="s">
        <v>8944</v>
      </c>
      <c r="C7422" s="120" t="s">
        <v>955</v>
      </c>
      <c r="D7422" s="441">
        <v>41.76</v>
      </c>
    </row>
    <row r="7423" spans="1:4" ht="31.5" customHeight="1">
      <c r="A7423" s="120">
        <v>101355</v>
      </c>
      <c r="B7423" s="119" t="s">
        <v>8945</v>
      </c>
      <c r="C7423" s="120" t="s">
        <v>955</v>
      </c>
      <c r="D7423" s="441">
        <v>23.5</v>
      </c>
    </row>
    <row r="7424" spans="1:4" ht="15.75" customHeight="1">
      <c r="A7424" s="120">
        <v>101356</v>
      </c>
      <c r="B7424" s="119" t="s">
        <v>8946</v>
      </c>
      <c r="C7424" s="120" t="s">
        <v>955</v>
      </c>
      <c r="D7424" s="441">
        <v>49.3</v>
      </c>
    </row>
    <row r="7425" spans="1:4" ht="15.75" customHeight="1">
      <c r="A7425" s="120">
        <v>101357</v>
      </c>
      <c r="B7425" s="119" t="s">
        <v>8947</v>
      </c>
      <c r="C7425" s="120" t="s">
        <v>955</v>
      </c>
      <c r="D7425" s="441">
        <v>70.819999999999993</v>
      </c>
    </row>
    <row r="7426" spans="1:4" ht="15.75" customHeight="1">
      <c r="A7426" s="120">
        <v>101358</v>
      </c>
      <c r="B7426" s="119" t="s">
        <v>8948</v>
      </c>
      <c r="C7426" s="120" t="s">
        <v>955</v>
      </c>
      <c r="D7426" s="441">
        <v>49.3</v>
      </c>
    </row>
    <row r="7427" spans="1:4" ht="15.75" customHeight="1">
      <c r="A7427" s="120">
        <v>101359</v>
      </c>
      <c r="B7427" s="119" t="s">
        <v>8949</v>
      </c>
      <c r="C7427" s="120" t="s">
        <v>955</v>
      </c>
      <c r="D7427" s="441">
        <v>47.87</v>
      </c>
    </row>
    <row r="7428" spans="1:4" ht="15.75" customHeight="1">
      <c r="A7428" s="120">
        <v>101360</v>
      </c>
      <c r="B7428" s="119" t="s">
        <v>8950</v>
      </c>
      <c r="C7428" s="120" t="s">
        <v>955</v>
      </c>
      <c r="D7428" s="441">
        <v>49.3</v>
      </c>
    </row>
    <row r="7429" spans="1:4" ht="31.5" customHeight="1">
      <c r="A7429" s="120">
        <v>101361</v>
      </c>
      <c r="B7429" s="119" t="s">
        <v>8951</v>
      </c>
      <c r="C7429" s="120" t="s">
        <v>955</v>
      </c>
      <c r="D7429" s="441">
        <v>52.46</v>
      </c>
    </row>
    <row r="7430" spans="1:4" ht="15.75" customHeight="1">
      <c r="A7430" s="120">
        <v>101362</v>
      </c>
      <c r="B7430" s="119" t="s">
        <v>8952</v>
      </c>
      <c r="C7430" s="120" t="s">
        <v>955</v>
      </c>
      <c r="D7430" s="441">
        <v>11.32</v>
      </c>
    </row>
    <row r="7431" spans="1:4" ht="15.75" customHeight="1">
      <c r="A7431" s="120">
        <v>101363</v>
      </c>
      <c r="B7431" s="119" t="s">
        <v>8953</v>
      </c>
      <c r="C7431" s="120" t="s">
        <v>955</v>
      </c>
      <c r="D7431" s="441">
        <v>38.51</v>
      </c>
    </row>
    <row r="7432" spans="1:4" ht="15.75" customHeight="1">
      <c r="A7432" s="120">
        <v>101364</v>
      </c>
      <c r="B7432" s="119" t="s">
        <v>8954</v>
      </c>
      <c r="C7432" s="120" t="s">
        <v>955</v>
      </c>
      <c r="D7432" s="441">
        <v>50.01</v>
      </c>
    </row>
    <row r="7433" spans="1:4" ht="15.75" customHeight="1">
      <c r="A7433" s="120">
        <v>101365</v>
      </c>
      <c r="B7433" s="119" t="s">
        <v>8955</v>
      </c>
      <c r="C7433" s="120" t="s">
        <v>955</v>
      </c>
      <c r="D7433" s="441">
        <v>39.590000000000003</v>
      </c>
    </row>
    <row r="7434" spans="1:4" ht="15.75" customHeight="1">
      <c r="A7434" s="120">
        <v>101366</v>
      </c>
      <c r="B7434" s="119" t="s">
        <v>8956</v>
      </c>
      <c r="C7434" s="120" t="s">
        <v>955</v>
      </c>
      <c r="D7434" s="441">
        <v>32.04</v>
      </c>
    </row>
    <row r="7435" spans="1:4" ht="15.75" customHeight="1">
      <c r="A7435" s="120">
        <v>101367</v>
      </c>
      <c r="B7435" s="119" t="s">
        <v>8957</v>
      </c>
      <c r="C7435" s="120" t="s">
        <v>955</v>
      </c>
      <c r="D7435" s="441">
        <v>38.51</v>
      </c>
    </row>
    <row r="7436" spans="1:4" ht="31.5" customHeight="1">
      <c r="A7436" s="120">
        <v>101368</v>
      </c>
      <c r="B7436" s="119" t="s">
        <v>8958</v>
      </c>
      <c r="C7436" s="120" t="s">
        <v>955</v>
      </c>
      <c r="D7436" s="441">
        <v>40.630000000000003</v>
      </c>
    </row>
    <row r="7437" spans="1:4" ht="15.75" customHeight="1">
      <c r="A7437" s="120">
        <v>101369</v>
      </c>
      <c r="B7437" s="119" t="s">
        <v>8959</v>
      </c>
      <c r="C7437" s="120" t="s">
        <v>955</v>
      </c>
      <c r="D7437" s="441">
        <v>41.05</v>
      </c>
    </row>
    <row r="7438" spans="1:4" ht="15.75" customHeight="1">
      <c r="A7438" s="120">
        <v>101370</v>
      </c>
      <c r="B7438" s="119" t="s">
        <v>8960</v>
      </c>
      <c r="C7438" s="120" t="s">
        <v>955</v>
      </c>
      <c r="D7438" s="441">
        <v>38.06</v>
      </c>
    </row>
    <row r="7439" spans="1:4" ht="15.75" customHeight="1">
      <c r="A7439" s="120">
        <v>101371</v>
      </c>
      <c r="B7439" s="119" t="s">
        <v>8961</v>
      </c>
      <c r="C7439" s="120" t="s">
        <v>955</v>
      </c>
      <c r="D7439" s="441">
        <v>50.05</v>
      </c>
    </row>
    <row r="7440" spans="1:4" ht="15.75" customHeight="1">
      <c r="A7440" s="120">
        <v>101372</v>
      </c>
      <c r="B7440" s="119" t="s">
        <v>8962</v>
      </c>
      <c r="C7440" s="120" t="s">
        <v>955</v>
      </c>
      <c r="D7440" s="441">
        <v>12.27</v>
      </c>
    </row>
    <row r="7441" spans="1:4" ht="15.75" customHeight="1">
      <c r="A7441" s="120">
        <v>101373</v>
      </c>
      <c r="B7441" s="119" t="s">
        <v>8963</v>
      </c>
      <c r="C7441" s="120" t="s">
        <v>324</v>
      </c>
      <c r="D7441" s="441">
        <v>175.23</v>
      </c>
    </row>
    <row r="7442" spans="1:4" ht="15.75" customHeight="1">
      <c r="A7442" s="120">
        <v>101374</v>
      </c>
      <c r="B7442" s="119" t="s">
        <v>8633</v>
      </c>
      <c r="C7442" s="120" t="s">
        <v>955</v>
      </c>
      <c r="D7442" s="442">
        <v>4497</v>
      </c>
    </row>
    <row r="7443" spans="1:4" ht="15.75" customHeight="1">
      <c r="A7443" s="120">
        <v>101375</v>
      </c>
      <c r="B7443" s="119" t="s">
        <v>8964</v>
      </c>
      <c r="C7443" s="120" t="s">
        <v>955</v>
      </c>
      <c r="D7443" s="442">
        <v>4813.96</v>
      </c>
    </row>
    <row r="7444" spans="1:4" ht="15.75" customHeight="1">
      <c r="A7444" s="120">
        <v>101376</v>
      </c>
      <c r="B7444" s="119" t="s">
        <v>8965</v>
      </c>
      <c r="C7444" s="120" t="s">
        <v>955</v>
      </c>
      <c r="D7444" s="442">
        <v>4113.8900000000003</v>
      </c>
    </row>
    <row r="7445" spans="1:4" ht="15.75" customHeight="1">
      <c r="A7445" s="120">
        <v>101377</v>
      </c>
      <c r="B7445" s="119" t="s">
        <v>8636</v>
      </c>
      <c r="C7445" s="120" t="s">
        <v>955</v>
      </c>
      <c r="D7445" s="442">
        <v>4751.5</v>
      </c>
    </row>
    <row r="7446" spans="1:4" ht="15.75" customHeight="1">
      <c r="A7446" s="120">
        <v>101378</v>
      </c>
      <c r="B7446" s="119" t="s">
        <v>8858</v>
      </c>
      <c r="C7446" s="120" t="s">
        <v>955</v>
      </c>
      <c r="D7446" s="442">
        <v>5012.25</v>
      </c>
    </row>
    <row r="7447" spans="1:4" ht="15.75" customHeight="1">
      <c r="A7447" s="120">
        <v>101379</v>
      </c>
      <c r="B7447" s="119" t="s">
        <v>8966</v>
      </c>
      <c r="C7447" s="120" t="s">
        <v>955</v>
      </c>
      <c r="D7447" s="442">
        <v>4751.5</v>
      </c>
    </row>
    <row r="7448" spans="1:4" ht="15.75" customHeight="1">
      <c r="A7448" s="120">
        <v>101380</v>
      </c>
      <c r="B7448" s="119" t="s">
        <v>8638</v>
      </c>
      <c r="C7448" s="120" t="s">
        <v>955</v>
      </c>
      <c r="D7448" s="442">
        <v>4717.82</v>
      </c>
    </row>
    <row r="7449" spans="1:4" ht="15.75" customHeight="1">
      <c r="A7449" s="120">
        <v>101381</v>
      </c>
      <c r="B7449" s="119" t="s">
        <v>8639</v>
      </c>
      <c r="C7449" s="120" t="s">
        <v>955</v>
      </c>
      <c r="D7449" s="442">
        <v>5751.65</v>
      </c>
    </row>
    <row r="7450" spans="1:4" ht="15.75" customHeight="1">
      <c r="A7450" s="120">
        <v>101382</v>
      </c>
      <c r="B7450" s="119" t="s">
        <v>8967</v>
      </c>
      <c r="C7450" s="120" t="s">
        <v>955</v>
      </c>
      <c r="D7450" s="442">
        <v>5217.57</v>
      </c>
    </row>
    <row r="7451" spans="1:4" ht="15.75" customHeight="1">
      <c r="A7451" s="120">
        <v>101383</v>
      </c>
      <c r="B7451" s="119" t="s">
        <v>8860</v>
      </c>
      <c r="C7451" s="120" t="s">
        <v>955</v>
      </c>
      <c r="D7451" s="442">
        <v>4504.6099999999997</v>
      </c>
    </row>
    <row r="7452" spans="1:4" ht="15.75" customHeight="1">
      <c r="A7452" s="120">
        <v>101384</v>
      </c>
      <c r="B7452" s="119" t="s">
        <v>8642</v>
      </c>
      <c r="C7452" s="120" t="s">
        <v>955</v>
      </c>
      <c r="D7452" s="442">
        <v>4638.62</v>
      </c>
    </row>
    <row r="7453" spans="1:4" ht="15.75" customHeight="1">
      <c r="A7453" s="120">
        <v>101385</v>
      </c>
      <c r="B7453" s="119" t="s">
        <v>8968</v>
      </c>
      <c r="C7453" s="120" t="s">
        <v>955</v>
      </c>
      <c r="D7453" s="442">
        <v>4926.26</v>
      </c>
    </row>
    <row r="7454" spans="1:4" ht="15.75" customHeight="1">
      <c r="A7454" s="120">
        <v>101386</v>
      </c>
      <c r="B7454" s="119" t="s">
        <v>8644</v>
      </c>
      <c r="C7454" s="120" t="s">
        <v>955</v>
      </c>
      <c r="D7454" s="442">
        <v>4103.1499999999996</v>
      </c>
    </row>
    <row r="7455" spans="1:4" ht="15.75" customHeight="1">
      <c r="A7455" s="120">
        <v>101387</v>
      </c>
      <c r="B7455" s="119" t="s">
        <v>8969</v>
      </c>
      <c r="C7455" s="120" t="s">
        <v>955</v>
      </c>
      <c r="D7455" s="442">
        <v>4504.6099999999997</v>
      </c>
    </row>
    <row r="7456" spans="1:4" ht="15.75" customHeight="1">
      <c r="A7456" s="120">
        <v>101388</v>
      </c>
      <c r="B7456" s="119" t="s">
        <v>8646</v>
      </c>
      <c r="C7456" s="120" t="s">
        <v>955</v>
      </c>
      <c r="D7456" s="442">
        <v>4464.59</v>
      </c>
    </row>
    <row r="7457" spans="1:4" ht="15.75" customHeight="1">
      <c r="A7457" s="120">
        <v>101389</v>
      </c>
      <c r="B7457" s="119" t="s">
        <v>197</v>
      </c>
      <c r="C7457" s="120" t="s">
        <v>955</v>
      </c>
      <c r="D7457" s="442">
        <v>2285.65</v>
      </c>
    </row>
    <row r="7458" spans="1:4" ht="15.75" customHeight="1">
      <c r="A7458" s="120">
        <v>101390</v>
      </c>
      <c r="B7458" s="119" t="s">
        <v>8970</v>
      </c>
      <c r="C7458" s="120" t="s">
        <v>955</v>
      </c>
      <c r="D7458" s="442">
        <v>7036.5</v>
      </c>
    </row>
    <row r="7459" spans="1:4" ht="15.75" customHeight="1">
      <c r="A7459" s="120">
        <v>101391</v>
      </c>
      <c r="B7459" s="119" t="s">
        <v>8971</v>
      </c>
      <c r="C7459" s="120" t="s">
        <v>955</v>
      </c>
      <c r="D7459" s="442">
        <v>5762.44</v>
      </c>
    </row>
    <row r="7460" spans="1:4" ht="15.75" customHeight="1">
      <c r="A7460" s="120">
        <v>101392</v>
      </c>
      <c r="B7460" s="119" t="s">
        <v>8972</v>
      </c>
      <c r="C7460" s="120" t="s">
        <v>955</v>
      </c>
      <c r="D7460" s="442">
        <v>5064.72</v>
      </c>
    </row>
    <row r="7461" spans="1:4" ht="15.75" customHeight="1">
      <c r="A7461" s="120">
        <v>101394</v>
      </c>
      <c r="B7461" s="119" t="s">
        <v>8651</v>
      </c>
      <c r="C7461" s="120" t="s">
        <v>955</v>
      </c>
      <c r="D7461" s="442">
        <v>5109.95</v>
      </c>
    </row>
    <row r="7462" spans="1:4" ht="15.75" customHeight="1">
      <c r="A7462" s="120">
        <v>101395</v>
      </c>
      <c r="B7462" s="119" t="s">
        <v>8973</v>
      </c>
      <c r="C7462" s="120" t="s">
        <v>955</v>
      </c>
      <c r="D7462" s="442">
        <v>4726.4799999999996</v>
      </c>
    </row>
    <row r="7463" spans="1:4" ht="15.75" customHeight="1">
      <c r="A7463" s="120">
        <v>101396</v>
      </c>
      <c r="B7463" s="119" t="s">
        <v>8974</v>
      </c>
      <c r="C7463" s="120" t="s">
        <v>955</v>
      </c>
      <c r="D7463" s="442">
        <v>5479.56</v>
      </c>
    </row>
    <row r="7464" spans="1:4" ht="15.75" customHeight="1">
      <c r="A7464" s="120">
        <v>101397</v>
      </c>
      <c r="B7464" s="119" t="s">
        <v>8653</v>
      </c>
      <c r="C7464" s="120" t="s">
        <v>955</v>
      </c>
      <c r="D7464" s="442">
        <v>5718.38</v>
      </c>
    </row>
    <row r="7465" spans="1:4" ht="15.75" customHeight="1">
      <c r="A7465" s="120">
        <v>101398</v>
      </c>
      <c r="B7465" s="119" t="s">
        <v>8975</v>
      </c>
      <c r="C7465" s="120" t="s">
        <v>955</v>
      </c>
      <c r="D7465" s="442">
        <v>4057.26</v>
      </c>
    </row>
    <row r="7466" spans="1:4" ht="15.75" customHeight="1">
      <c r="A7466" s="120">
        <v>101399</v>
      </c>
      <c r="B7466" s="119" t="s">
        <v>8655</v>
      </c>
      <c r="C7466" s="120" t="s">
        <v>955</v>
      </c>
      <c r="D7466" s="442">
        <v>5834.3</v>
      </c>
    </row>
    <row r="7467" spans="1:4" ht="15.75" customHeight="1">
      <c r="A7467" s="120">
        <v>101400</v>
      </c>
      <c r="B7467" s="119" t="s">
        <v>8976</v>
      </c>
      <c r="C7467" s="120" t="s">
        <v>955</v>
      </c>
      <c r="D7467" s="442">
        <v>6257.27</v>
      </c>
    </row>
    <row r="7468" spans="1:4" ht="15.75" customHeight="1">
      <c r="A7468" s="120">
        <v>101401</v>
      </c>
      <c r="B7468" s="119" t="s">
        <v>8657</v>
      </c>
      <c r="C7468" s="120" t="s">
        <v>955</v>
      </c>
      <c r="D7468" s="442">
        <v>6931.02</v>
      </c>
    </row>
    <row r="7469" spans="1:4" ht="15.75" customHeight="1">
      <c r="A7469" s="120">
        <v>101402</v>
      </c>
      <c r="B7469" s="119" t="s">
        <v>8658</v>
      </c>
      <c r="C7469" s="120" t="s">
        <v>955</v>
      </c>
      <c r="D7469" s="442">
        <v>5643.83</v>
      </c>
    </row>
    <row r="7470" spans="1:4" ht="15.75" customHeight="1">
      <c r="A7470" s="120">
        <v>101403</v>
      </c>
      <c r="B7470" s="119" t="s">
        <v>8963</v>
      </c>
      <c r="C7470" s="120" t="s">
        <v>955</v>
      </c>
      <c r="D7470" s="442">
        <v>30618.33</v>
      </c>
    </row>
    <row r="7471" spans="1:4" ht="15.75" customHeight="1">
      <c r="A7471" s="120">
        <v>101404</v>
      </c>
      <c r="B7471" s="119" t="s">
        <v>8726</v>
      </c>
      <c r="C7471" s="120" t="s">
        <v>955</v>
      </c>
      <c r="D7471" s="442">
        <v>19713.64</v>
      </c>
    </row>
    <row r="7472" spans="1:4" ht="15.75" customHeight="1">
      <c r="A7472" s="120">
        <v>101405</v>
      </c>
      <c r="B7472" s="119" t="s">
        <v>8727</v>
      </c>
      <c r="C7472" s="120" t="s">
        <v>955</v>
      </c>
      <c r="D7472" s="442">
        <v>13479.7</v>
      </c>
    </row>
    <row r="7473" spans="1:4" ht="15.75" customHeight="1">
      <c r="A7473" s="120">
        <v>101407</v>
      </c>
      <c r="B7473" s="119" t="s">
        <v>8659</v>
      </c>
      <c r="C7473" s="120" t="s">
        <v>955</v>
      </c>
      <c r="D7473" s="442">
        <v>5553.45</v>
      </c>
    </row>
    <row r="7474" spans="1:4" ht="15.75" customHeight="1">
      <c r="A7474" s="120">
        <v>101408</v>
      </c>
      <c r="B7474" s="119" t="s">
        <v>8660</v>
      </c>
      <c r="C7474" s="120" t="s">
        <v>955</v>
      </c>
      <c r="D7474" s="442">
        <v>5783.96</v>
      </c>
    </row>
    <row r="7475" spans="1:4" ht="15.75" customHeight="1">
      <c r="A7475" s="120">
        <v>101409</v>
      </c>
      <c r="B7475" s="119" t="s">
        <v>8977</v>
      </c>
      <c r="C7475" s="120" t="s">
        <v>955</v>
      </c>
      <c r="D7475" s="442">
        <v>6227.31</v>
      </c>
    </row>
    <row r="7476" spans="1:4" ht="15.75" customHeight="1">
      <c r="A7476" s="120">
        <v>101410</v>
      </c>
      <c r="B7476" s="119" t="s">
        <v>8709</v>
      </c>
      <c r="C7476" s="120" t="s">
        <v>955</v>
      </c>
      <c r="D7476" s="442">
        <v>4686.67</v>
      </c>
    </row>
    <row r="7477" spans="1:4" ht="15.75" customHeight="1">
      <c r="A7477" s="120">
        <v>101411</v>
      </c>
      <c r="B7477" s="119" t="s">
        <v>8978</v>
      </c>
      <c r="C7477" s="120" t="s">
        <v>955</v>
      </c>
      <c r="D7477" s="442">
        <v>3802.55</v>
      </c>
    </row>
    <row r="7478" spans="1:4" ht="15.75" customHeight="1">
      <c r="A7478" s="120">
        <v>101412</v>
      </c>
      <c r="B7478" s="119" t="s">
        <v>8979</v>
      </c>
      <c r="C7478" s="120" t="s">
        <v>955</v>
      </c>
      <c r="D7478" s="442">
        <v>5940.5</v>
      </c>
    </row>
    <row r="7479" spans="1:4" ht="15.75" customHeight="1">
      <c r="A7479" s="120">
        <v>101413</v>
      </c>
      <c r="B7479" s="119" t="s">
        <v>8662</v>
      </c>
      <c r="C7479" s="120" t="s">
        <v>955</v>
      </c>
      <c r="D7479" s="442">
        <v>5375.53</v>
      </c>
    </row>
    <row r="7480" spans="1:4" ht="15.75" customHeight="1">
      <c r="A7480" s="120">
        <v>101414</v>
      </c>
      <c r="B7480" s="119" t="s">
        <v>8980</v>
      </c>
      <c r="C7480" s="120" t="s">
        <v>955</v>
      </c>
      <c r="D7480" s="442">
        <v>6346.49</v>
      </c>
    </row>
    <row r="7481" spans="1:4" ht="15.75" customHeight="1">
      <c r="A7481" s="120">
        <v>101415</v>
      </c>
      <c r="B7481" s="119" t="s">
        <v>8981</v>
      </c>
      <c r="C7481" s="120" t="s">
        <v>955</v>
      </c>
      <c r="D7481" s="442">
        <v>6217.47</v>
      </c>
    </row>
    <row r="7482" spans="1:4" ht="15.75" customHeight="1">
      <c r="A7482" s="120">
        <v>101416</v>
      </c>
      <c r="B7482" s="119" t="s">
        <v>8865</v>
      </c>
      <c r="C7482" s="120" t="s">
        <v>955</v>
      </c>
      <c r="D7482" s="442">
        <v>6281.94</v>
      </c>
    </row>
    <row r="7483" spans="1:4" ht="15.75" customHeight="1">
      <c r="A7483" s="120">
        <v>101417</v>
      </c>
      <c r="B7483" s="119" t="s">
        <v>8982</v>
      </c>
      <c r="C7483" s="120" t="s">
        <v>955</v>
      </c>
      <c r="D7483" s="442">
        <v>5149.67</v>
      </c>
    </row>
    <row r="7484" spans="1:4" ht="15.75" customHeight="1">
      <c r="A7484" s="120">
        <v>101418</v>
      </c>
      <c r="B7484" s="119" t="s">
        <v>8983</v>
      </c>
      <c r="C7484" s="120" t="s">
        <v>955</v>
      </c>
      <c r="D7484" s="442">
        <v>5277.44</v>
      </c>
    </row>
    <row r="7485" spans="1:4" ht="15.75" customHeight="1">
      <c r="A7485" s="120">
        <v>101419</v>
      </c>
      <c r="B7485" s="119" t="s">
        <v>8984</v>
      </c>
      <c r="C7485" s="120" t="s">
        <v>955</v>
      </c>
      <c r="D7485" s="442">
        <v>6868.23</v>
      </c>
    </row>
    <row r="7486" spans="1:4" ht="15.75" customHeight="1">
      <c r="A7486" s="120">
        <v>101420</v>
      </c>
      <c r="B7486" s="119" t="s">
        <v>8985</v>
      </c>
      <c r="C7486" s="120" t="s">
        <v>955</v>
      </c>
      <c r="D7486" s="442">
        <v>4645.55</v>
      </c>
    </row>
    <row r="7487" spans="1:4" ht="15.75" customHeight="1">
      <c r="A7487" s="120">
        <v>101421</v>
      </c>
      <c r="B7487" s="119" t="s">
        <v>8986</v>
      </c>
      <c r="C7487" s="120" t="s">
        <v>955</v>
      </c>
      <c r="D7487" s="442">
        <v>6053.29</v>
      </c>
    </row>
    <row r="7488" spans="1:4" ht="15.75" customHeight="1">
      <c r="A7488" s="120">
        <v>101422</v>
      </c>
      <c r="B7488" s="119" t="s">
        <v>8987</v>
      </c>
      <c r="C7488" s="120" t="s">
        <v>955</v>
      </c>
      <c r="D7488" s="442">
        <v>5173.95</v>
      </c>
    </row>
    <row r="7489" spans="1:4" ht="15.75" customHeight="1">
      <c r="A7489" s="120">
        <v>101423</v>
      </c>
      <c r="B7489" s="119" t="s">
        <v>8988</v>
      </c>
      <c r="C7489" s="120" t="s">
        <v>955</v>
      </c>
      <c r="D7489" s="442">
        <v>5318.61</v>
      </c>
    </row>
    <row r="7490" spans="1:4" ht="15.75" customHeight="1">
      <c r="A7490" s="120">
        <v>101424</v>
      </c>
      <c r="B7490" s="119" t="s">
        <v>8989</v>
      </c>
      <c r="C7490" s="120" t="s">
        <v>955</v>
      </c>
      <c r="D7490" s="442">
        <v>5462.92</v>
      </c>
    </row>
    <row r="7491" spans="1:4" ht="15.75" customHeight="1">
      <c r="A7491" s="120">
        <v>101425</v>
      </c>
      <c r="B7491" s="119" t="s">
        <v>8990</v>
      </c>
      <c r="C7491" s="120" t="s">
        <v>955</v>
      </c>
      <c r="D7491" s="442">
        <v>2814.1</v>
      </c>
    </row>
    <row r="7492" spans="1:4" ht="15.75" customHeight="1">
      <c r="A7492" s="120">
        <v>101426</v>
      </c>
      <c r="B7492" s="119" t="s">
        <v>8991</v>
      </c>
      <c r="C7492" s="120" t="s">
        <v>955</v>
      </c>
      <c r="D7492" s="442">
        <v>5181</v>
      </c>
    </row>
    <row r="7493" spans="1:4" ht="15.75" customHeight="1">
      <c r="A7493" s="120">
        <v>101427</v>
      </c>
      <c r="B7493" s="119" t="s">
        <v>8675</v>
      </c>
      <c r="C7493" s="120" t="s">
        <v>955</v>
      </c>
      <c r="D7493" s="442">
        <v>4504.41</v>
      </c>
    </row>
    <row r="7494" spans="1:4" ht="15.75" customHeight="1">
      <c r="A7494" s="120">
        <v>101428</v>
      </c>
      <c r="B7494" s="119" t="s">
        <v>8992</v>
      </c>
      <c r="C7494" s="120" t="s">
        <v>955</v>
      </c>
      <c r="D7494" s="442">
        <v>4390.96</v>
      </c>
    </row>
    <row r="7495" spans="1:4" ht="15.75" customHeight="1">
      <c r="A7495" s="120">
        <v>101429</v>
      </c>
      <c r="B7495" s="119" t="s">
        <v>8993</v>
      </c>
      <c r="C7495" s="120" t="s">
        <v>955</v>
      </c>
      <c r="D7495" s="442">
        <v>4796.72</v>
      </c>
    </row>
    <row r="7496" spans="1:4" ht="15.75" customHeight="1">
      <c r="A7496" s="120">
        <v>101430</v>
      </c>
      <c r="B7496" s="119" t="s">
        <v>8994</v>
      </c>
      <c r="C7496" s="120" t="s">
        <v>955</v>
      </c>
      <c r="D7496" s="442">
        <v>5253.17</v>
      </c>
    </row>
    <row r="7497" spans="1:4" ht="15.75" customHeight="1">
      <c r="A7497" s="120">
        <v>101431</v>
      </c>
      <c r="B7497" s="119" t="s">
        <v>8678</v>
      </c>
      <c r="C7497" s="120" t="s">
        <v>955</v>
      </c>
      <c r="D7497" s="442">
        <v>5645.41</v>
      </c>
    </row>
    <row r="7498" spans="1:4" ht="15.75" customHeight="1">
      <c r="A7498" s="120">
        <v>101432</v>
      </c>
      <c r="B7498" s="119" t="s">
        <v>8995</v>
      </c>
      <c r="C7498" s="120" t="s">
        <v>955</v>
      </c>
      <c r="D7498" s="442">
        <v>5303.82</v>
      </c>
    </row>
    <row r="7499" spans="1:4" ht="15.75" customHeight="1">
      <c r="A7499" s="120">
        <v>101433</v>
      </c>
      <c r="B7499" s="119" t="s">
        <v>8680</v>
      </c>
      <c r="C7499" s="120" t="s">
        <v>955</v>
      </c>
      <c r="D7499" s="442">
        <v>11227.62</v>
      </c>
    </row>
    <row r="7500" spans="1:4" ht="15.75" customHeight="1">
      <c r="A7500" s="120">
        <v>101434</v>
      </c>
      <c r="B7500" s="119" t="s">
        <v>8996</v>
      </c>
      <c r="C7500" s="120" t="s">
        <v>955</v>
      </c>
      <c r="D7500" s="442">
        <v>5185.92</v>
      </c>
    </row>
    <row r="7501" spans="1:4" ht="15.75" customHeight="1">
      <c r="A7501" s="120">
        <v>101435</v>
      </c>
      <c r="B7501" s="119" t="s">
        <v>8997</v>
      </c>
      <c r="C7501" s="120" t="s">
        <v>955</v>
      </c>
      <c r="D7501" s="442">
        <v>5573.87</v>
      </c>
    </row>
    <row r="7502" spans="1:4" ht="15.75" customHeight="1">
      <c r="A7502" s="120">
        <v>101436</v>
      </c>
      <c r="B7502" s="119" t="s">
        <v>8682</v>
      </c>
      <c r="C7502" s="120" t="s">
        <v>955</v>
      </c>
      <c r="D7502" s="442">
        <v>4723.05</v>
      </c>
    </row>
    <row r="7503" spans="1:4" ht="15.75" customHeight="1">
      <c r="A7503" s="120">
        <v>101437</v>
      </c>
      <c r="B7503" s="119" t="s">
        <v>8998</v>
      </c>
      <c r="C7503" s="120" t="s">
        <v>955</v>
      </c>
      <c r="D7503" s="442">
        <v>5321.23</v>
      </c>
    </row>
    <row r="7504" spans="1:4" ht="15.75" customHeight="1">
      <c r="A7504" s="120">
        <v>101438</v>
      </c>
      <c r="B7504" s="119" t="s">
        <v>8684</v>
      </c>
      <c r="C7504" s="120" t="s">
        <v>955</v>
      </c>
      <c r="D7504" s="442">
        <v>6242.44</v>
      </c>
    </row>
    <row r="7505" spans="1:4" ht="15.75" customHeight="1">
      <c r="A7505" s="120">
        <v>101439</v>
      </c>
      <c r="B7505" s="119" t="s">
        <v>8685</v>
      </c>
      <c r="C7505" s="120" t="s">
        <v>955</v>
      </c>
      <c r="D7505" s="442">
        <v>5379.39</v>
      </c>
    </row>
    <row r="7506" spans="1:4" ht="15.75" customHeight="1">
      <c r="A7506" s="120">
        <v>101440</v>
      </c>
      <c r="B7506" s="119" t="s">
        <v>8999</v>
      </c>
      <c r="C7506" s="120" t="s">
        <v>955</v>
      </c>
      <c r="D7506" s="442">
        <v>5452.83</v>
      </c>
    </row>
    <row r="7507" spans="1:4" ht="15.75" customHeight="1">
      <c r="A7507" s="120">
        <v>101441</v>
      </c>
      <c r="B7507" s="119" t="s">
        <v>8687</v>
      </c>
      <c r="C7507" s="120" t="s">
        <v>955</v>
      </c>
      <c r="D7507" s="442">
        <v>4914.9399999999996</v>
      </c>
    </row>
    <row r="7508" spans="1:4" ht="15.75" customHeight="1">
      <c r="A7508" s="120">
        <v>101442</v>
      </c>
      <c r="B7508" s="119" t="s">
        <v>9000</v>
      </c>
      <c r="C7508" s="120" t="s">
        <v>955</v>
      </c>
      <c r="D7508" s="442">
        <v>5885.8</v>
      </c>
    </row>
    <row r="7509" spans="1:4" ht="15.75" customHeight="1">
      <c r="A7509" s="120">
        <v>101443</v>
      </c>
      <c r="B7509" s="119" t="s">
        <v>8688</v>
      </c>
      <c r="C7509" s="120" t="s">
        <v>955</v>
      </c>
      <c r="D7509" s="442">
        <v>4860.6499999999996</v>
      </c>
    </row>
    <row r="7510" spans="1:4" ht="15.75" customHeight="1">
      <c r="A7510" s="120">
        <v>101444</v>
      </c>
      <c r="B7510" s="119" t="s">
        <v>8691</v>
      </c>
      <c r="C7510" s="120" t="s">
        <v>955</v>
      </c>
      <c r="D7510" s="442">
        <v>5762.44</v>
      </c>
    </row>
    <row r="7511" spans="1:4" ht="15.75" customHeight="1">
      <c r="A7511" s="120">
        <v>101445</v>
      </c>
      <c r="B7511" s="119" t="s">
        <v>8692</v>
      </c>
      <c r="C7511" s="120" t="s">
        <v>955</v>
      </c>
      <c r="D7511" s="442">
        <v>5783.96</v>
      </c>
    </row>
    <row r="7512" spans="1:4" ht="15.75" customHeight="1">
      <c r="A7512" s="120">
        <v>101446</v>
      </c>
      <c r="B7512" s="119" t="s">
        <v>8693</v>
      </c>
      <c r="C7512" s="120" t="s">
        <v>955</v>
      </c>
      <c r="D7512" s="442">
        <v>6014.94</v>
      </c>
    </row>
    <row r="7513" spans="1:4" ht="15.75" customHeight="1">
      <c r="A7513" s="120">
        <v>101447</v>
      </c>
      <c r="B7513" s="119" t="s">
        <v>8694</v>
      </c>
      <c r="C7513" s="120" t="s">
        <v>955</v>
      </c>
      <c r="D7513" s="442">
        <v>5891.16</v>
      </c>
    </row>
    <row r="7514" spans="1:4" ht="15.75" customHeight="1">
      <c r="A7514" s="120">
        <v>101448</v>
      </c>
      <c r="B7514" s="119" t="s">
        <v>8695</v>
      </c>
      <c r="C7514" s="120" t="s">
        <v>955</v>
      </c>
      <c r="D7514" s="442">
        <v>6014.94</v>
      </c>
    </row>
    <row r="7515" spans="1:4" ht="15.75" customHeight="1">
      <c r="A7515" s="120">
        <v>101449</v>
      </c>
      <c r="B7515" s="119" t="s">
        <v>9001</v>
      </c>
      <c r="C7515" s="120" t="s">
        <v>955</v>
      </c>
      <c r="D7515" s="442">
        <v>4444.7</v>
      </c>
    </row>
    <row r="7516" spans="1:4" ht="15.75" customHeight="1">
      <c r="A7516" s="120">
        <v>101450</v>
      </c>
      <c r="B7516" s="119" t="s">
        <v>8697</v>
      </c>
      <c r="C7516" s="120" t="s">
        <v>955</v>
      </c>
      <c r="D7516" s="442">
        <v>4088.81</v>
      </c>
    </row>
    <row r="7517" spans="1:4" ht="15.75" customHeight="1">
      <c r="A7517" s="120">
        <v>101451</v>
      </c>
      <c r="B7517" s="119" t="s">
        <v>8698</v>
      </c>
      <c r="C7517" s="120" t="s">
        <v>955</v>
      </c>
      <c r="D7517" s="442">
        <v>5751.65</v>
      </c>
    </row>
    <row r="7518" spans="1:4" ht="15.75" customHeight="1">
      <c r="A7518" s="120">
        <v>101452</v>
      </c>
      <c r="B7518" s="119" t="s">
        <v>9002</v>
      </c>
      <c r="C7518" s="120" t="s">
        <v>955</v>
      </c>
      <c r="D7518" s="442">
        <v>4487.3999999999996</v>
      </c>
    </row>
    <row r="7519" spans="1:4" ht="15.75" customHeight="1">
      <c r="A7519" s="120">
        <v>101453</v>
      </c>
      <c r="B7519" s="119" t="s">
        <v>8700</v>
      </c>
      <c r="C7519" s="120" t="s">
        <v>955</v>
      </c>
      <c r="D7519" s="442">
        <v>6029.29</v>
      </c>
    </row>
    <row r="7520" spans="1:4" ht="15.75" customHeight="1">
      <c r="A7520" s="120">
        <v>101454</v>
      </c>
      <c r="B7520" s="119" t="s">
        <v>9003</v>
      </c>
      <c r="C7520" s="120" t="s">
        <v>955</v>
      </c>
      <c r="D7520" s="442">
        <v>5193.84</v>
      </c>
    </row>
    <row r="7521" spans="1:4" ht="15.75" customHeight="1">
      <c r="A7521" s="120">
        <v>101455</v>
      </c>
      <c r="B7521" s="119" t="s">
        <v>8702</v>
      </c>
      <c r="C7521" s="120" t="s">
        <v>955</v>
      </c>
      <c r="D7521" s="442">
        <v>5718.38</v>
      </c>
    </row>
    <row r="7522" spans="1:4" ht="15.75" customHeight="1">
      <c r="A7522" s="120">
        <v>101456</v>
      </c>
      <c r="B7522" s="119" t="s">
        <v>9004</v>
      </c>
      <c r="C7522" s="120" t="s">
        <v>955</v>
      </c>
      <c r="D7522" s="442">
        <v>6606.06</v>
      </c>
    </row>
    <row r="7523" spans="1:4" ht="15.75" customHeight="1">
      <c r="A7523" s="120">
        <v>101457</v>
      </c>
      <c r="B7523" s="119" t="s">
        <v>9005</v>
      </c>
      <c r="C7523" s="120" t="s">
        <v>955</v>
      </c>
      <c r="D7523" s="442">
        <v>5806.91</v>
      </c>
    </row>
    <row r="7524" spans="1:4" ht="15.75" customHeight="1">
      <c r="A7524" s="120">
        <v>101458</v>
      </c>
      <c r="B7524" s="119" t="s">
        <v>9006</v>
      </c>
      <c r="C7524" s="120" t="s">
        <v>955</v>
      </c>
      <c r="D7524" s="442">
        <v>5667.66</v>
      </c>
    </row>
    <row r="7525" spans="1:4" ht="15.75" customHeight="1">
      <c r="A7525" s="120">
        <v>101459</v>
      </c>
      <c r="B7525" s="119" t="s">
        <v>8706</v>
      </c>
      <c r="C7525" s="120" t="s">
        <v>955</v>
      </c>
      <c r="D7525" s="442">
        <v>5827.46</v>
      </c>
    </row>
    <row r="7526" spans="1:4" ht="15.75" customHeight="1">
      <c r="A7526" s="120">
        <v>101460</v>
      </c>
      <c r="B7526" s="119" t="s">
        <v>8846</v>
      </c>
      <c r="C7526" s="120" t="s">
        <v>955</v>
      </c>
      <c r="D7526" s="442">
        <v>4516.1000000000004</v>
      </c>
    </row>
  </sheetData>
  <autoFilter ref="A1:D7526"/>
  <mergeCells count="6">
    <mergeCell ref="A8:D8"/>
    <mergeCell ref="A2:D2"/>
    <mergeCell ref="A3:D3"/>
    <mergeCell ref="A4:D4"/>
    <mergeCell ref="A5:D5"/>
    <mergeCell ref="A6:C6"/>
  </mergeCells>
  <printOptions horizontalCentered="1"/>
  <pageMargins left="0.78740157480314965" right="0.78740157480314965" top="0.98425196850393704" bottom="0.98425196850393704" header="0.51181102362204722" footer="0.51181102362204722"/>
  <pageSetup scale="65" orientation="landscape" horizontalDpi="300" verticalDpi="300" r:id="rId1"/>
  <headerFooter alignWithMargins="0">
    <oddFooter>&amp;LAGÊNCIA DE ASSUNTOS METROPOLITANOS DO PARANÁ - AMEP
DIRETORIA DE OBRAS&amp;CENGª CIBELE CRISTINE MELLO FRANCZAK
DIRETORA DE OBRAS&amp;RPágina &amp;P de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2:Q4948"/>
  <sheetViews>
    <sheetView showGridLines="0" zoomScaleNormal="100" zoomScaleSheetLayoutView="100" workbookViewId="0">
      <selection activeCell="B30" sqref="B30"/>
    </sheetView>
  </sheetViews>
  <sheetFormatPr defaultRowHeight="15.75"/>
  <cols>
    <col min="1" max="1" width="10.5703125" style="237" customWidth="1"/>
    <col min="2" max="2" width="115.85546875" style="267" customWidth="1"/>
    <col min="3" max="3" width="21.140625" style="237" customWidth="1"/>
    <col min="4" max="4" width="22.28515625" style="269" customWidth="1"/>
    <col min="5" max="255" width="9.140625" style="234"/>
    <col min="256" max="256" width="10.5703125" style="234" customWidth="1"/>
    <col min="257" max="257" width="78.140625" style="234" customWidth="1"/>
    <col min="258" max="258" width="21.140625" style="234" customWidth="1"/>
    <col min="259" max="259" width="18.7109375" style="234" customWidth="1"/>
    <col min="260" max="260" width="22.28515625" style="234" customWidth="1"/>
    <col min="261" max="511" width="9.140625" style="234"/>
    <col min="512" max="512" width="10.5703125" style="234" customWidth="1"/>
    <col min="513" max="513" width="78.140625" style="234" customWidth="1"/>
    <col min="514" max="514" width="21.140625" style="234" customWidth="1"/>
    <col min="515" max="515" width="18.7109375" style="234" customWidth="1"/>
    <col min="516" max="516" width="22.28515625" style="234" customWidth="1"/>
    <col min="517" max="767" width="9.140625" style="234"/>
    <col min="768" max="768" width="10.5703125" style="234" customWidth="1"/>
    <col min="769" max="769" width="78.140625" style="234" customWidth="1"/>
    <col min="770" max="770" width="21.140625" style="234" customWidth="1"/>
    <col min="771" max="771" width="18.7109375" style="234" customWidth="1"/>
    <col min="772" max="772" width="22.28515625" style="234" customWidth="1"/>
    <col min="773" max="1023" width="9.140625" style="234"/>
    <col min="1024" max="1024" width="10.5703125" style="234" customWidth="1"/>
    <col min="1025" max="1025" width="78.140625" style="234" customWidth="1"/>
    <col min="1026" max="1026" width="21.140625" style="234" customWidth="1"/>
    <col min="1027" max="1027" width="18.7109375" style="234" customWidth="1"/>
    <col min="1028" max="1028" width="22.28515625" style="234" customWidth="1"/>
    <col min="1029" max="1279" width="9.140625" style="234"/>
    <col min="1280" max="1280" width="10.5703125" style="234" customWidth="1"/>
    <col min="1281" max="1281" width="78.140625" style="234" customWidth="1"/>
    <col min="1282" max="1282" width="21.140625" style="234" customWidth="1"/>
    <col min="1283" max="1283" width="18.7109375" style="234" customWidth="1"/>
    <col min="1284" max="1284" width="22.28515625" style="234" customWidth="1"/>
    <col min="1285" max="1535" width="9.140625" style="234"/>
    <col min="1536" max="1536" width="10.5703125" style="234" customWidth="1"/>
    <col min="1537" max="1537" width="78.140625" style="234" customWidth="1"/>
    <col min="1538" max="1538" width="21.140625" style="234" customWidth="1"/>
    <col min="1539" max="1539" width="18.7109375" style="234" customWidth="1"/>
    <col min="1540" max="1540" width="22.28515625" style="234" customWidth="1"/>
    <col min="1541" max="1791" width="9.140625" style="234"/>
    <col min="1792" max="1792" width="10.5703125" style="234" customWidth="1"/>
    <col min="1793" max="1793" width="78.140625" style="234" customWidth="1"/>
    <col min="1794" max="1794" width="21.140625" style="234" customWidth="1"/>
    <col min="1795" max="1795" width="18.7109375" style="234" customWidth="1"/>
    <col min="1796" max="1796" width="22.28515625" style="234" customWidth="1"/>
    <col min="1797" max="2047" width="9.140625" style="234"/>
    <col min="2048" max="2048" width="10.5703125" style="234" customWidth="1"/>
    <col min="2049" max="2049" width="78.140625" style="234" customWidth="1"/>
    <col min="2050" max="2050" width="21.140625" style="234" customWidth="1"/>
    <col min="2051" max="2051" width="18.7109375" style="234" customWidth="1"/>
    <col min="2052" max="2052" width="22.28515625" style="234" customWidth="1"/>
    <col min="2053" max="2303" width="9.140625" style="234"/>
    <col min="2304" max="2304" width="10.5703125" style="234" customWidth="1"/>
    <col min="2305" max="2305" width="78.140625" style="234" customWidth="1"/>
    <col min="2306" max="2306" width="21.140625" style="234" customWidth="1"/>
    <col min="2307" max="2307" width="18.7109375" style="234" customWidth="1"/>
    <col min="2308" max="2308" width="22.28515625" style="234" customWidth="1"/>
    <col min="2309" max="2559" width="9.140625" style="234"/>
    <col min="2560" max="2560" width="10.5703125" style="234" customWidth="1"/>
    <col min="2561" max="2561" width="78.140625" style="234" customWidth="1"/>
    <col min="2562" max="2562" width="21.140625" style="234" customWidth="1"/>
    <col min="2563" max="2563" width="18.7109375" style="234" customWidth="1"/>
    <col min="2564" max="2564" width="22.28515625" style="234" customWidth="1"/>
    <col min="2565" max="2815" width="9.140625" style="234"/>
    <col min="2816" max="2816" width="10.5703125" style="234" customWidth="1"/>
    <col min="2817" max="2817" width="78.140625" style="234" customWidth="1"/>
    <col min="2818" max="2818" width="21.140625" style="234" customWidth="1"/>
    <col min="2819" max="2819" width="18.7109375" style="234" customWidth="1"/>
    <col min="2820" max="2820" width="22.28515625" style="234" customWidth="1"/>
    <col min="2821" max="3071" width="9.140625" style="234"/>
    <col min="3072" max="3072" width="10.5703125" style="234" customWidth="1"/>
    <col min="3073" max="3073" width="78.140625" style="234" customWidth="1"/>
    <col min="3074" max="3074" width="21.140625" style="234" customWidth="1"/>
    <col min="3075" max="3075" width="18.7109375" style="234" customWidth="1"/>
    <col min="3076" max="3076" width="22.28515625" style="234" customWidth="1"/>
    <col min="3077" max="3327" width="9.140625" style="234"/>
    <col min="3328" max="3328" width="10.5703125" style="234" customWidth="1"/>
    <col min="3329" max="3329" width="78.140625" style="234" customWidth="1"/>
    <col min="3330" max="3330" width="21.140625" style="234" customWidth="1"/>
    <col min="3331" max="3331" width="18.7109375" style="234" customWidth="1"/>
    <col min="3332" max="3332" width="22.28515625" style="234" customWidth="1"/>
    <col min="3333" max="3583" width="9.140625" style="234"/>
    <col min="3584" max="3584" width="10.5703125" style="234" customWidth="1"/>
    <col min="3585" max="3585" width="78.140625" style="234" customWidth="1"/>
    <col min="3586" max="3586" width="21.140625" style="234" customWidth="1"/>
    <col min="3587" max="3587" width="18.7109375" style="234" customWidth="1"/>
    <col min="3588" max="3588" width="22.28515625" style="234" customWidth="1"/>
    <col min="3589" max="3839" width="9.140625" style="234"/>
    <col min="3840" max="3840" width="10.5703125" style="234" customWidth="1"/>
    <col min="3841" max="3841" width="78.140625" style="234" customWidth="1"/>
    <col min="3842" max="3842" width="21.140625" style="234" customWidth="1"/>
    <col min="3843" max="3843" width="18.7109375" style="234" customWidth="1"/>
    <col min="3844" max="3844" width="22.28515625" style="234" customWidth="1"/>
    <col min="3845" max="4095" width="9.140625" style="234"/>
    <col min="4096" max="4096" width="10.5703125" style="234" customWidth="1"/>
    <col min="4097" max="4097" width="78.140625" style="234" customWidth="1"/>
    <col min="4098" max="4098" width="21.140625" style="234" customWidth="1"/>
    <col min="4099" max="4099" width="18.7109375" style="234" customWidth="1"/>
    <col min="4100" max="4100" width="22.28515625" style="234" customWidth="1"/>
    <col min="4101" max="4351" width="9.140625" style="234"/>
    <col min="4352" max="4352" width="10.5703125" style="234" customWidth="1"/>
    <col min="4353" max="4353" width="78.140625" style="234" customWidth="1"/>
    <col min="4354" max="4354" width="21.140625" style="234" customWidth="1"/>
    <col min="4355" max="4355" width="18.7109375" style="234" customWidth="1"/>
    <col min="4356" max="4356" width="22.28515625" style="234" customWidth="1"/>
    <col min="4357" max="4607" width="9.140625" style="234"/>
    <col min="4608" max="4608" width="10.5703125" style="234" customWidth="1"/>
    <col min="4609" max="4609" width="78.140625" style="234" customWidth="1"/>
    <col min="4610" max="4610" width="21.140625" style="234" customWidth="1"/>
    <col min="4611" max="4611" width="18.7109375" style="234" customWidth="1"/>
    <col min="4612" max="4612" width="22.28515625" style="234" customWidth="1"/>
    <col min="4613" max="4863" width="9.140625" style="234"/>
    <col min="4864" max="4864" width="10.5703125" style="234" customWidth="1"/>
    <col min="4865" max="4865" width="78.140625" style="234" customWidth="1"/>
    <col min="4866" max="4866" width="21.140625" style="234" customWidth="1"/>
    <col min="4867" max="4867" width="18.7109375" style="234" customWidth="1"/>
    <col min="4868" max="4868" width="22.28515625" style="234" customWidth="1"/>
    <col min="4869" max="5119" width="9.140625" style="234"/>
    <col min="5120" max="5120" width="10.5703125" style="234" customWidth="1"/>
    <col min="5121" max="5121" width="78.140625" style="234" customWidth="1"/>
    <col min="5122" max="5122" width="21.140625" style="234" customWidth="1"/>
    <col min="5123" max="5123" width="18.7109375" style="234" customWidth="1"/>
    <col min="5124" max="5124" width="22.28515625" style="234" customWidth="1"/>
    <col min="5125" max="5375" width="9.140625" style="234"/>
    <col min="5376" max="5376" width="10.5703125" style="234" customWidth="1"/>
    <col min="5377" max="5377" width="78.140625" style="234" customWidth="1"/>
    <col min="5378" max="5378" width="21.140625" style="234" customWidth="1"/>
    <col min="5379" max="5379" width="18.7109375" style="234" customWidth="1"/>
    <col min="5380" max="5380" width="22.28515625" style="234" customWidth="1"/>
    <col min="5381" max="5631" width="9.140625" style="234"/>
    <col min="5632" max="5632" width="10.5703125" style="234" customWidth="1"/>
    <col min="5633" max="5633" width="78.140625" style="234" customWidth="1"/>
    <col min="5634" max="5634" width="21.140625" style="234" customWidth="1"/>
    <col min="5635" max="5635" width="18.7109375" style="234" customWidth="1"/>
    <col min="5636" max="5636" width="22.28515625" style="234" customWidth="1"/>
    <col min="5637" max="5887" width="9.140625" style="234"/>
    <col min="5888" max="5888" width="10.5703125" style="234" customWidth="1"/>
    <col min="5889" max="5889" width="78.140625" style="234" customWidth="1"/>
    <col min="5890" max="5890" width="21.140625" style="234" customWidth="1"/>
    <col min="5891" max="5891" width="18.7109375" style="234" customWidth="1"/>
    <col min="5892" max="5892" width="22.28515625" style="234" customWidth="1"/>
    <col min="5893" max="6143" width="9.140625" style="234"/>
    <col min="6144" max="6144" width="10.5703125" style="234" customWidth="1"/>
    <col min="6145" max="6145" width="78.140625" style="234" customWidth="1"/>
    <col min="6146" max="6146" width="21.140625" style="234" customWidth="1"/>
    <col min="6147" max="6147" width="18.7109375" style="234" customWidth="1"/>
    <col min="6148" max="6148" width="22.28515625" style="234" customWidth="1"/>
    <col min="6149" max="6399" width="9.140625" style="234"/>
    <col min="6400" max="6400" width="10.5703125" style="234" customWidth="1"/>
    <col min="6401" max="6401" width="78.140625" style="234" customWidth="1"/>
    <col min="6402" max="6402" width="21.140625" style="234" customWidth="1"/>
    <col min="6403" max="6403" width="18.7109375" style="234" customWidth="1"/>
    <col min="6404" max="6404" width="22.28515625" style="234" customWidth="1"/>
    <col min="6405" max="6655" width="9.140625" style="234"/>
    <col min="6656" max="6656" width="10.5703125" style="234" customWidth="1"/>
    <col min="6657" max="6657" width="78.140625" style="234" customWidth="1"/>
    <col min="6658" max="6658" width="21.140625" style="234" customWidth="1"/>
    <col min="6659" max="6659" width="18.7109375" style="234" customWidth="1"/>
    <col min="6660" max="6660" width="22.28515625" style="234" customWidth="1"/>
    <col min="6661" max="6911" width="9.140625" style="234"/>
    <col min="6912" max="6912" width="10.5703125" style="234" customWidth="1"/>
    <col min="6913" max="6913" width="78.140625" style="234" customWidth="1"/>
    <col min="6914" max="6914" width="21.140625" style="234" customWidth="1"/>
    <col min="6915" max="6915" width="18.7109375" style="234" customWidth="1"/>
    <col min="6916" max="6916" width="22.28515625" style="234" customWidth="1"/>
    <col min="6917" max="7167" width="9.140625" style="234"/>
    <col min="7168" max="7168" width="10.5703125" style="234" customWidth="1"/>
    <col min="7169" max="7169" width="78.140625" style="234" customWidth="1"/>
    <col min="7170" max="7170" width="21.140625" style="234" customWidth="1"/>
    <col min="7171" max="7171" width="18.7109375" style="234" customWidth="1"/>
    <col min="7172" max="7172" width="22.28515625" style="234" customWidth="1"/>
    <col min="7173" max="7423" width="9.140625" style="234"/>
    <col min="7424" max="7424" width="10.5703125" style="234" customWidth="1"/>
    <col min="7425" max="7425" width="78.140625" style="234" customWidth="1"/>
    <col min="7426" max="7426" width="21.140625" style="234" customWidth="1"/>
    <col min="7427" max="7427" width="18.7109375" style="234" customWidth="1"/>
    <col min="7428" max="7428" width="22.28515625" style="234" customWidth="1"/>
    <col min="7429" max="7679" width="9.140625" style="234"/>
    <col min="7680" max="7680" width="10.5703125" style="234" customWidth="1"/>
    <col min="7681" max="7681" width="78.140625" style="234" customWidth="1"/>
    <col min="7682" max="7682" width="21.140625" style="234" customWidth="1"/>
    <col min="7683" max="7683" width="18.7109375" style="234" customWidth="1"/>
    <col min="7684" max="7684" width="22.28515625" style="234" customWidth="1"/>
    <col min="7685" max="7935" width="9.140625" style="234"/>
    <col min="7936" max="7936" width="10.5703125" style="234" customWidth="1"/>
    <col min="7937" max="7937" width="78.140625" style="234" customWidth="1"/>
    <col min="7938" max="7938" width="21.140625" style="234" customWidth="1"/>
    <col min="7939" max="7939" width="18.7109375" style="234" customWidth="1"/>
    <col min="7940" max="7940" width="22.28515625" style="234" customWidth="1"/>
    <col min="7941" max="8191" width="9.140625" style="234"/>
    <col min="8192" max="8192" width="10.5703125" style="234" customWidth="1"/>
    <col min="8193" max="8193" width="78.140625" style="234" customWidth="1"/>
    <col min="8194" max="8194" width="21.140625" style="234" customWidth="1"/>
    <col min="8195" max="8195" width="18.7109375" style="234" customWidth="1"/>
    <col min="8196" max="8196" width="22.28515625" style="234" customWidth="1"/>
    <col min="8197" max="8447" width="9.140625" style="234"/>
    <col min="8448" max="8448" width="10.5703125" style="234" customWidth="1"/>
    <col min="8449" max="8449" width="78.140625" style="234" customWidth="1"/>
    <col min="8450" max="8450" width="21.140625" style="234" customWidth="1"/>
    <col min="8451" max="8451" width="18.7109375" style="234" customWidth="1"/>
    <col min="8452" max="8452" width="22.28515625" style="234" customWidth="1"/>
    <col min="8453" max="8703" width="9.140625" style="234"/>
    <col min="8704" max="8704" width="10.5703125" style="234" customWidth="1"/>
    <col min="8705" max="8705" width="78.140625" style="234" customWidth="1"/>
    <col min="8706" max="8706" width="21.140625" style="234" customWidth="1"/>
    <col min="8707" max="8707" width="18.7109375" style="234" customWidth="1"/>
    <col min="8708" max="8708" width="22.28515625" style="234" customWidth="1"/>
    <col min="8709" max="8959" width="9.140625" style="234"/>
    <col min="8960" max="8960" width="10.5703125" style="234" customWidth="1"/>
    <col min="8961" max="8961" width="78.140625" style="234" customWidth="1"/>
    <col min="8962" max="8962" width="21.140625" style="234" customWidth="1"/>
    <col min="8963" max="8963" width="18.7109375" style="234" customWidth="1"/>
    <col min="8964" max="8964" width="22.28515625" style="234" customWidth="1"/>
    <col min="8965" max="9215" width="9.140625" style="234"/>
    <col min="9216" max="9216" width="10.5703125" style="234" customWidth="1"/>
    <col min="9217" max="9217" width="78.140625" style="234" customWidth="1"/>
    <col min="9218" max="9218" width="21.140625" style="234" customWidth="1"/>
    <col min="9219" max="9219" width="18.7109375" style="234" customWidth="1"/>
    <col min="9220" max="9220" width="22.28515625" style="234" customWidth="1"/>
    <col min="9221" max="9471" width="9.140625" style="234"/>
    <col min="9472" max="9472" width="10.5703125" style="234" customWidth="1"/>
    <col min="9473" max="9473" width="78.140625" style="234" customWidth="1"/>
    <col min="9474" max="9474" width="21.140625" style="234" customWidth="1"/>
    <col min="9475" max="9475" width="18.7109375" style="234" customWidth="1"/>
    <col min="9476" max="9476" width="22.28515625" style="234" customWidth="1"/>
    <col min="9477" max="9727" width="9.140625" style="234"/>
    <col min="9728" max="9728" width="10.5703125" style="234" customWidth="1"/>
    <col min="9729" max="9729" width="78.140625" style="234" customWidth="1"/>
    <col min="9730" max="9730" width="21.140625" style="234" customWidth="1"/>
    <col min="9731" max="9731" width="18.7109375" style="234" customWidth="1"/>
    <col min="9732" max="9732" width="22.28515625" style="234" customWidth="1"/>
    <col min="9733" max="9983" width="9.140625" style="234"/>
    <col min="9984" max="9984" width="10.5703125" style="234" customWidth="1"/>
    <col min="9985" max="9985" width="78.140625" style="234" customWidth="1"/>
    <col min="9986" max="9986" width="21.140625" style="234" customWidth="1"/>
    <col min="9987" max="9987" width="18.7109375" style="234" customWidth="1"/>
    <col min="9988" max="9988" width="22.28515625" style="234" customWidth="1"/>
    <col min="9989" max="10239" width="9.140625" style="234"/>
    <col min="10240" max="10240" width="10.5703125" style="234" customWidth="1"/>
    <col min="10241" max="10241" width="78.140625" style="234" customWidth="1"/>
    <col min="10242" max="10242" width="21.140625" style="234" customWidth="1"/>
    <col min="10243" max="10243" width="18.7109375" style="234" customWidth="1"/>
    <col min="10244" max="10244" width="22.28515625" style="234" customWidth="1"/>
    <col min="10245" max="10495" width="9.140625" style="234"/>
    <col min="10496" max="10496" width="10.5703125" style="234" customWidth="1"/>
    <col min="10497" max="10497" width="78.140625" style="234" customWidth="1"/>
    <col min="10498" max="10498" width="21.140625" style="234" customWidth="1"/>
    <col min="10499" max="10499" width="18.7109375" style="234" customWidth="1"/>
    <col min="10500" max="10500" width="22.28515625" style="234" customWidth="1"/>
    <col min="10501" max="10751" width="9.140625" style="234"/>
    <col min="10752" max="10752" width="10.5703125" style="234" customWidth="1"/>
    <col min="10753" max="10753" width="78.140625" style="234" customWidth="1"/>
    <col min="10754" max="10754" width="21.140625" style="234" customWidth="1"/>
    <col min="10755" max="10755" width="18.7109375" style="234" customWidth="1"/>
    <col min="10756" max="10756" width="22.28515625" style="234" customWidth="1"/>
    <col min="10757" max="11007" width="9.140625" style="234"/>
    <col min="11008" max="11008" width="10.5703125" style="234" customWidth="1"/>
    <col min="11009" max="11009" width="78.140625" style="234" customWidth="1"/>
    <col min="11010" max="11010" width="21.140625" style="234" customWidth="1"/>
    <col min="11011" max="11011" width="18.7109375" style="234" customWidth="1"/>
    <col min="11012" max="11012" width="22.28515625" style="234" customWidth="1"/>
    <col min="11013" max="11263" width="9.140625" style="234"/>
    <col min="11264" max="11264" width="10.5703125" style="234" customWidth="1"/>
    <col min="11265" max="11265" width="78.140625" style="234" customWidth="1"/>
    <col min="11266" max="11266" width="21.140625" style="234" customWidth="1"/>
    <col min="11267" max="11267" width="18.7109375" style="234" customWidth="1"/>
    <col min="11268" max="11268" width="22.28515625" style="234" customWidth="1"/>
    <col min="11269" max="11519" width="9.140625" style="234"/>
    <col min="11520" max="11520" width="10.5703125" style="234" customWidth="1"/>
    <col min="11521" max="11521" width="78.140625" style="234" customWidth="1"/>
    <col min="11522" max="11522" width="21.140625" style="234" customWidth="1"/>
    <col min="11523" max="11523" width="18.7109375" style="234" customWidth="1"/>
    <col min="11524" max="11524" width="22.28515625" style="234" customWidth="1"/>
    <col min="11525" max="11775" width="9.140625" style="234"/>
    <col min="11776" max="11776" width="10.5703125" style="234" customWidth="1"/>
    <col min="11777" max="11777" width="78.140625" style="234" customWidth="1"/>
    <col min="11778" max="11778" width="21.140625" style="234" customWidth="1"/>
    <col min="11779" max="11779" width="18.7109375" style="234" customWidth="1"/>
    <col min="11780" max="11780" width="22.28515625" style="234" customWidth="1"/>
    <col min="11781" max="12031" width="9.140625" style="234"/>
    <col min="12032" max="12032" width="10.5703125" style="234" customWidth="1"/>
    <col min="12033" max="12033" width="78.140625" style="234" customWidth="1"/>
    <col min="12034" max="12034" width="21.140625" style="234" customWidth="1"/>
    <col min="12035" max="12035" width="18.7109375" style="234" customWidth="1"/>
    <col min="12036" max="12036" width="22.28515625" style="234" customWidth="1"/>
    <col min="12037" max="12287" width="9.140625" style="234"/>
    <col min="12288" max="12288" width="10.5703125" style="234" customWidth="1"/>
    <col min="12289" max="12289" width="78.140625" style="234" customWidth="1"/>
    <col min="12290" max="12290" width="21.140625" style="234" customWidth="1"/>
    <col min="12291" max="12291" width="18.7109375" style="234" customWidth="1"/>
    <col min="12292" max="12292" width="22.28515625" style="234" customWidth="1"/>
    <col min="12293" max="12543" width="9.140625" style="234"/>
    <col min="12544" max="12544" width="10.5703125" style="234" customWidth="1"/>
    <col min="12545" max="12545" width="78.140625" style="234" customWidth="1"/>
    <col min="12546" max="12546" width="21.140625" style="234" customWidth="1"/>
    <col min="12547" max="12547" width="18.7109375" style="234" customWidth="1"/>
    <col min="12548" max="12548" width="22.28515625" style="234" customWidth="1"/>
    <col min="12549" max="12799" width="9.140625" style="234"/>
    <col min="12800" max="12800" width="10.5703125" style="234" customWidth="1"/>
    <col min="12801" max="12801" width="78.140625" style="234" customWidth="1"/>
    <col min="12802" max="12802" width="21.140625" style="234" customWidth="1"/>
    <col min="12803" max="12803" width="18.7109375" style="234" customWidth="1"/>
    <col min="12804" max="12804" width="22.28515625" style="234" customWidth="1"/>
    <col min="12805" max="13055" width="9.140625" style="234"/>
    <col min="13056" max="13056" width="10.5703125" style="234" customWidth="1"/>
    <col min="13057" max="13057" width="78.140625" style="234" customWidth="1"/>
    <col min="13058" max="13058" width="21.140625" style="234" customWidth="1"/>
    <col min="13059" max="13059" width="18.7109375" style="234" customWidth="1"/>
    <col min="13060" max="13060" width="22.28515625" style="234" customWidth="1"/>
    <col min="13061" max="13311" width="9.140625" style="234"/>
    <col min="13312" max="13312" width="10.5703125" style="234" customWidth="1"/>
    <col min="13313" max="13313" width="78.140625" style="234" customWidth="1"/>
    <col min="13314" max="13314" width="21.140625" style="234" customWidth="1"/>
    <col min="13315" max="13315" width="18.7109375" style="234" customWidth="1"/>
    <col min="13316" max="13316" width="22.28515625" style="234" customWidth="1"/>
    <col min="13317" max="13567" width="9.140625" style="234"/>
    <col min="13568" max="13568" width="10.5703125" style="234" customWidth="1"/>
    <col min="13569" max="13569" width="78.140625" style="234" customWidth="1"/>
    <col min="13570" max="13570" width="21.140625" style="234" customWidth="1"/>
    <col min="13571" max="13571" width="18.7109375" style="234" customWidth="1"/>
    <col min="13572" max="13572" width="22.28515625" style="234" customWidth="1"/>
    <col min="13573" max="13823" width="9.140625" style="234"/>
    <col min="13824" max="13824" width="10.5703125" style="234" customWidth="1"/>
    <col min="13825" max="13825" width="78.140625" style="234" customWidth="1"/>
    <col min="13826" max="13826" width="21.140625" style="234" customWidth="1"/>
    <col min="13827" max="13827" width="18.7109375" style="234" customWidth="1"/>
    <col min="13828" max="13828" width="22.28515625" style="234" customWidth="1"/>
    <col min="13829" max="14079" width="9.140625" style="234"/>
    <col min="14080" max="14080" width="10.5703125" style="234" customWidth="1"/>
    <col min="14081" max="14081" width="78.140625" style="234" customWidth="1"/>
    <col min="14082" max="14082" width="21.140625" style="234" customWidth="1"/>
    <col min="14083" max="14083" width="18.7109375" style="234" customWidth="1"/>
    <col min="14084" max="14084" width="22.28515625" style="234" customWidth="1"/>
    <col min="14085" max="14335" width="9.140625" style="234"/>
    <col min="14336" max="14336" width="10.5703125" style="234" customWidth="1"/>
    <col min="14337" max="14337" width="78.140625" style="234" customWidth="1"/>
    <col min="14338" max="14338" width="21.140625" style="234" customWidth="1"/>
    <col min="14339" max="14339" width="18.7109375" style="234" customWidth="1"/>
    <col min="14340" max="14340" width="22.28515625" style="234" customWidth="1"/>
    <col min="14341" max="14591" width="9.140625" style="234"/>
    <col min="14592" max="14592" width="10.5703125" style="234" customWidth="1"/>
    <col min="14593" max="14593" width="78.140625" style="234" customWidth="1"/>
    <col min="14594" max="14594" width="21.140625" style="234" customWidth="1"/>
    <col min="14595" max="14595" width="18.7109375" style="234" customWidth="1"/>
    <col min="14596" max="14596" width="22.28515625" style="234" customWidth="1"/>
    <col min="14597" max="14847" width="9.140625" style="234"/>
    <col min="14848" max="14848" width="10.5703125" style="234" customWidth="1"/>
    <col min="14849" max="14849" width="78.140625" style="234" customWidth="1"/>
    <col min="14850" max="14850" width="21.140625" style="234" customWidth="1"/>
    <col min="14851" max="14851" width="18.7109375" style="234" customWidth="1"/>
    <col min="14852" max="14852" width="22.28515625" style="234" customWidth="1"/>
    <col min="14853" max="15103" width="9.140625" style="234"/>
    <col min="15104" max="15104" width="10.5703125" style="234" customWidth="1"/>
    <col min="15105" max="15105" width="78.140625" style="234" customWidth="1"/>
    <col min="15106" max="15106" width="21.140625" style="234" customWidth="1"/>
    <col min="15107" max="15107" width="18.7109375" style="234" customWidth="1"/>
    <col min="15108" max="15108" width="22.28515625" style="234" customWidth="1"/>
    <col min="15109" max="15359" width="9.140625" style="234"/>
    <col min="15360" max="15360" width="10.5703125" style="234" customWidth="1"/>
    <col min="15361" max="15361" width="78.140625" style="234" customWidth="1"/>
    <col min="15362" max="15362" width="21.140625" style="234" customWidth="1"/>
    <col min="15363" max="15363" width="18.7109375" style="234" customWidth="1"/>
    <col min="15364" max="15364" width="22.28515625" style="234" customWidth="1"/>
    <col min="15365" max="15615" width="9.140625" style="234"/>
    <col min="15616" max="15616" width="10.5703125" style="234" customWidth="1"/>
    <col min="15617" max="15617" width="78.140625" style="234" customWidth="1"/>
    <col min="15618" max="15618" width="21.140625" style="234" customWidth="1"/>
    <col min="15619" max="15619" width="18.7109375" style="234" customWidth="1"/>
    <col min="15620" max="15620" width="22.28515625" style="234" customWidth="1"/>
    <col min="15621" max="15871" width="9.140625" style="234"/>
    <col min="15872" max="15872" width="10.5703125" style="234" customWidth="1"/>
    <col min="15873" max="15873" width="78.140625" style="234" customWidth="1"/>
    <col min="15874" max="15874" width="21.140625" style="234" customWidth="1"/>
    <col min="15875" max="15875" width="18.7109375" style="234" customWidth="1"/>
    <col min="15876" max="15876" width="22.28515625" style="234" customWidth="1"/>
    <col min="15877" max="16127" width="9.140625" style="234"/>
    <col min="16128" max="16128" width="10.5703125" style="234" customWidth="1"/>
    <col min="16129" max="16129" width="78.140625" style="234" customWidth="1"/>
    <col min="16130" max="16130" width="21.140625" style="234" customWidth="1"/>
    <col min="16131" max="16131" width="18.7109375" style="234" customWidth="1"/>
    <col min="16132" max="16132" width="22.28515625" style="234" customWidth="1"/>
    <col min="16133" max="16384" width="9.140625" style="234"/>
  </cols>
  <sheetData>
    <row r="2" spans="1:17" s="45" customFormat="1">
      <c r="A2" s="495" t="s">
        <v>167</v>
      </c>
      <c r="B2" s="495"/>
      <c r="C2" s="495"/>
      <c r="D2" s="495"/>
      <c r="E2" s="60"/>
      <c r="F2" s="60"/>
      <c r="G2" s="60"/>
      <c r="H2" s="60"/>
    </row>
    <row r="3" spans="1:17" s="45" customFormat="1">
      <c r="A3" s="541" t="s">
        <v>165</v>
      </c>
      <c r="B3" s="541"/>
      <c r="C3" s="541"/>
      <c r="D3" s="541"/>
      <c r="E3" s="62"/>
      <c r="F3" s="62"/>
      <c r="G3" s="62"/>
      <c r="H3" s="62"/>
    </row>
    <row r="4" spans="1:17" s="45" customFormat="1">
      <c r="A4" s="541"/>
      <c r="B4" s="541"/>
      <c r="C4" s="541"/>
      <c r="D4" s="541"/>
      <c r="E4" s="62"/>
      <c r="F4" s="62"/>
      <c r="G4" s="62"/>
      <c r="H4" s="62"/>
    </row>
    <row r="5" spans="1:17" s="45" customFormat="1">
      <c r="A5" s="541" t="s">
        <v>25931</v>
      </c>
      <c r="B5" s="541"/>
      <c r="C5" s="541"/>
      <c r="D5" s="541"/>
      <c r="E5" s="62"/>
      <c r="F5" s="62"/>
      <c r="G5" s="62"/>
      <c r="H5" s="62"/>
    </row>
    <row r="6" spans="1:17" s="117" customFormat="1">
      <c r="A6" s="583"/>
      <c r="B6" s="583"/>
      <c r="C6" s="583"/>
      <c r="D6" s="115"/>
      <c r="E6" s="115"/>
      <c r="F6" s="115"/>
      <c r="G6" s="115"/>
      <c r="H6" s="115"/>
      <c r="I6" s="116"/>
      <c r="J6" s="115"/>
      <c r="K6" s="115"/>
      <c r="L6" s="115"/>
      <c r="M6" s="115"/>
      <c r="N6" s="115"/>
      <c r="O6" s="115"/>
      <c r="P6" s="115"/>
      <c r="Q6" s="45"/>
    </row>
    <row r="7" spans="1:17" s="117" customFormat="1">
      <c r="A7" s="112"/>
      <c r="B7" s="106"/>
      <c r="C7" s="112"/>
      <c r="D7" s="122"/>
      <c r="E7" s="106"/>
      <c r="F7" s="106"/>
      <c r="G7" s="106"/>
      <c r="H7" s="106"/>
      <c r="I7" s="116"/>
      <c r="J7" s="115"/>
      <c r="K7" s="115"/>
      <c r="L7" s="115"/>
      <c r="M7" s="115"/>
      <c r="N7" s="115"/>
      <c r="O7" s="115"/>
      <c r="P7" s="115"/>
      <c r="Q7" s="45"/>
    </row>
    <row r="8" spans="1:17" s="229" customFormat="1">
      <c r="A8" s="228"/>
      <c r="B8" s="587"/>
      <c r="C8" s="587"/>
      <c r="D8" s="268"/>
    </row>
    <row r="9" spans="1:17" s="229" customFormat="1">
      <c r="A9" s="586" t="s">
        <v>23732</v>
      </c>
      <c r="B9" s="586"/>
      <c r="C9" s="586"/>
      <c r="D9" s="586"/>
    </row>
    <row r="10" spans="1:17">
      <c r="A10" s="303" t="s">
        <v>156</v>
      </c>
      <c r="B10" s="304" t="s">
        <v>1186</v>
      </c>
      <c r="C10" s="303" t="s">
        <v>371</v>
      </c>
      <c r="D10" s="305" t="s">
        <v>1187</v>
      </c>
    </row>
    <row r="11" spans="1:17" ht="31.5">
      <c r="A11" s="216">
        <v>38605</v>
      </c>
      <c r="B11" s="222" t="s">
        <v>17677</v>
      </c>
      <c r="C11" s="216" t="s">
        <v>17678</v>
      </c>
      <c r="D11" s="443">
        <v>177.68</v>
      </c>
    </row>
    <row r="12" spans="1:17">
      <c r="A12" s="216">
        <v>11270</v>
      </c>
      <c r="B12" s="222" t="s">
        <v>17679</v>
      </c>
      <c r="C12" s="216" t="s">
        <v>17678</v>
      </c>
      <c r="D12" s="443">
        <v>2.4</v>
      </c>
    </row>
    <row r="13" spans="1:17">
      <c r="A13" s="216">
        <v>412</v>
      </c>
      <c r="B13" s="222" t="s">
        <v>17680</v>
      </c>
      <c r="C13" s="216" t="s">
        <v>17678</v>
      </c>
      <c r="D13" s="443">
        <v>1.33</v>
      </c>
    </row>
    <row r="14" spans="1:17">
      <c r="A14" s="216">
        <v>414</v>
      </c>
      <c r="B14" s="222" t="s">
        <v>17681</v>
      </c>
      <c r="C14" s="216" t="s">
        <v>17678</v>
      </c>
      <c r="D14" s="443">
        <v>0.08</v>
      </c>
    </row>
    <row r="15" spans="1:17">
      <c r="A15" s="216">
        <v>410</v>
      </c>
      <c r="B15" s="222" t="s">
        <v>17682</v>
      </c>
      <c r="C15" s="216" t="s">
        <v>17678</v>
      </c>
      <c r="D15" s="443">
        <v>0.2</v>
      </c>
    </row>
    <row r="16" spans="1:17">
      <c r="A16" s="216">
        <v>411</v>
      </c>
      <c r="B16" s="222" t="s">
        <v>17683</v>
      </c>
      <c r="C16" s="216" t="s">
        <v>17678</v>
      </c>
      <c r="D16" s="443">
        <v>0.26</v>
      </c>
    </row>
    <row r="17" spans="1:4">
      <c r="A17" s="216">
        <v>408</v>
      </c>
      <c r="B17" s="222" t="s">
        <v>17684</v>
      </c>
      <c r="C17" s="216" t="s">
        <v>17678</v>
      </c>
      <c r="D17" s="443">
        <v>1.29</v>
      </c>
    </row>
    <row r="18" spans="1:4">
      <c r="A18" s="216">
        <v>39131</v>
      </c>
      <c r="B18" s="222" t="s">
        <v>17685</v>
      </c>
      <c r="C18" s="216" t="s">
        <v>17678</v>
      </c>
      <c r="D18" s="443">
        <v>3.91</v>
      </c>
    </row>
    <row r="19" spans="1:4">
      <c r="A19" s="216">
        <v>394</v>
      </c>
      <c r="B19" s="222" t="s">
        <v>17686</v>
      </c>
      <c r="C19" s="216" t="s">
        <v>17678</v>
      </c>
      <c r="D19" s="443">
        <v>3.96</v>
      </c>
    </row>
    <row r="20" spans="1:4">
      <c r="A20" s="216">
        <v>39130</v>
      </c>
      <c r="B20" s="222" t="s">
        <v>17687</v>
      </c>
      <c r="C20" s="216" t="s">
        <v>17678</v>
      </c>
      <c r="D20" s="443">
        <v>3.57</v>
      </c>
    </row>
    <row r="21" spans="1:4">
      <c r="A21" s="216">
        <v>395</v>
      </c>
      <c r="B21" s="222" t="s">
        <v>17688</v>
      </c>
      <c r="C21" s="216" t="s">
        <v>17678</v>
      </c>
      <c r="D21" s="443">
        <v>3.81</v>
      </c>
    </row>
    <row r="22" spans="1:4">
      <c r="A22" s="216">
        <v>39127</v>
      </c>
      <c r="B22" s="222" t="s">
        <v>17689</v>
      </c>
      <c r="C22" s="216" t="s">
        <v>17678</v>
      </c>
      <c r="D22" s="443">
        <v>1.88</v>
      </c>
    </row>
    <row r="23" spans="1:4">
      <c r="A23" s="216">
        <v>392</v>
      </c>
      <c r="B23" s="222" t="s">
        <v>17690</v>
      </c>
      <c r="C23" s="216" t="s">
        <v>17678</v>
      </c>
      <c r="D23" s="443">
        <v>1.93</v>
      </c>
    </row>
    <row r="24" spans="1:4">
      <c r="A24" s="216">
        <v>39129</v>
      </c>
      <c r="B24" s="222" t="s">
        <v>17691</v>
      </c>
      <c r="C24" s="216" t="s">
        <v>17678</v>
      </c>
      <c r="D24" s="443">
        <v>2.2000000000000002</v>
      </c>
    </row>
    <row r="25" spans="1:4">
      <c r="A25" s="216">
        <v>393</v>
      </c>
      <c r="B25" s="222" t="s">
        <v>17692</v>
      </c>
      <c r="C25" s="216" t="s">
        <v>17678</v>
      </c>
      <c r="D25" s="443">
        <v>2.2999999999999998</v>
      </c>
    </row>
    <row r="26" spans="1:4">
      <c r="A26" s="216">
        <v>39133</v>
      </c>
      <c r="B26" s="222" t="s">
        <v>17693</v>
      </c>
      <c r="C26" s="216" t="s">
        <v>17678</v>
      </c>
      <c r="D26" s="443">
        <v>5.13</v>
      </c>
    </row>
    <row r="27" spans="1:4">
      <c r="A27" s="216">
        <v>397</v>
      </c>
      <c r="B27" s="222" t="s">
        <v>17694</v>
      </c>
      <c r="C27" s="216" t="s">
        <v>17678</v>
      </c>
      <c r="D27" s="443">
        <v>5.67</v>
      </c>
    </row>
    <row r="28" spans="1:4">
      <c r="A28" s="216">
        <v>39132</v>
      </c>
      <c r="B28" s="222" t="s">
        <v>17695</v>
      </c>
      <c r="C28" s="216" t="s">
        <v>17678</v>
      </c>
      <c r="D28" s="443">
        <v>4.1100000000000003</v>
      </c>
    </row>
    <row r="29" spans="1:4">
      <c r="A29" s="216">
        <v>396</v>
      </c>
      <c r="B29" s="222" t="s">
        <v>17696</v>
      </c>
      <c r="C29" s="216" t="s">
        <v>17678</v>
      </c>
      <c r="D29" s="443">
        <v>4.4000000000000004</v>
      </c>
    </row>
    <row r="30" spans="1:4">
      <c r="A30" s="216">
        <v>39135</v>
      </c>
      <c r="B30" s="222" t="s">
        <v>17697</v>
      </c>
      <c r="C30" s="216" t="s">
        <v>17678</v>
      </c>
      <c r="D30" s="443">
        <v>8.2200000000000006</v>
      </c>
    </row>
    <row r="31" spans="1:4">
      <c r="A31" s="216">
        <v>39128</v>
      </c>
      <c r="B31" s="222" t="s">
        <v>17698</v>
      </c>
      <c r="C31" s="216" t="s">
        <v>17678</v>
      </c>
      <c r="D31" s="443">
        <v>2.0499999999999998</v>
      </c>
    </row>
    <row r="32" spans="1:4">
      <c r="A32" s="216">
        <v>400</v>
      </c>
      <c r="B32" s="222" t="s">
        <v>17699</v>
      </c>
      <c r="C32" s="216" t="s">
        <v>17678</v>
      </c>
      <c r="D32" s="443">
        <v>2</v>
      </c>
    </row>
    <row r="33" spans="1:4">
      <c r="A33" s="216">
        <v>39125</v>
      </c>
      <c r="B33" s="222" t="s">
        <v>17700</v>
      </c>
      <c r="C33" s="216" t="s">
        <v>17678</v>
      </c>
      <c r="D33" s="443">
        <v>2.0499999999999998</v>
      </c>
    </row>
    <row r="34" spans="1:4">
      <c r="A34" s="216">
        <v>39134</v>
      </c>
      <c r="B34" s="222" t="s">
        <v>17701</v>
      </c>
      <c r="C34" s="216" t="s">
        <v>17678</v>
      </c>
      <c r="D34" s="443">
        <v>6.85</v>
      </c>
    </row>
    <row r="35" spans="1:4">
      <c r="A35" s="216">
        <v>398</v>
      </c>
      <c r="B35" s="222" t="s">
        <v>17702</v>
      </c>
      <c r="C35" s="216" t="s">
        <v>17678</v>
      </c>
      <c r="D35" s="443">
        <v>6.31</v>
      </c>
    </row>
    <row r="36" spans="1:4">
      <c r="A36" s="216">
        <v>39126</v>
      </c>
      <c r="B36" s="222" t="s">
        <v>17703</v>
      </c>
      <c r="C36" s="216" t="s">
        <v>17678</v>
      </c>
      <c r="D36" s="443">
        <v>9.24</v>
      </c>
    </row>
    <row r="37" spans="1:4">
      <c r="A37" s="216">
        <v>399</v>
      </c>
      <c r="B37" s="222" t="s">
        <v>17704</v>
      </c>
      <c r="C37" s="216" t="s">
        <v>17678</v>
      </c>
      <c r="D37" s="443">
        <v>8.14</v>
      </c>
    </row>
    <row r="38" spans="1:4">
      <c r="A38" s="216">
        <v>39158</v>
      </c>
      <c r="B38" s="222" t="s">
        <v>17705</v>
      </c>
      <c r="C38" s="216" t="s">
        <v>17678</v>
      </c>
      <c r="D38" s="443">
        <v>21.87</v>
      </c>
    </row>
    <row r="39" spans="1:4">
      <c r="A39" s="216">
        <v>39141</v>
      </c>
      <c r="B39" s="222" t="s">
        <v>17706</v>
      </c>
      <c r="C39" s="216" t="s">
        <v>17678</v>
      </c>
      <c r="D39" s="443">
        <v>1.59</v>
      </c>
    </row>
    <row r="40" spans="1:4">
      <c r="A40" s="216">
        <v>39140</v>
      </c>
      <c r="B40" s="222" t="s">
        <v>17707</v>
      </c>
      <c r="C40" s="216" t="s">
        <v>17678</v>
      </c>
      <c r="D40" s="443">
        <v>1.44</v>
      </c>
    </row>
    <row r="41" spans="1:4">
      <c r="A41" s="216">
        <v>39137</v>
      </c>
      <c r="B41" s="222" t="s">
        <v>17708</v>
      </c>
      <c r="C41" s="216" t="s">
        <v>17678</v>
      </c>
      <c r="D41" s="443">
        <v>0.83</v>
      </c>
    </row>
    <row r="42" spans="1:4">
      <c r="A42" s="216">
        <v>39139</v>
      </c>
      <c r="B42" s="222" t="s">
        <v>17709</v>
      </c>
      <c r="C42" s="216" t="s">
        <v>17678</v>
      </c>
      <c r="D42" s="443">
        <v>1.19</v>
      </c>
    </row>
    <row r="43" spans="1:4">
      <c r="A43" s="216">
        <v>39143</v>
      </c>
      <c r="B43" s="222" t="s">
        <v>17710</v>
      </c>
      <c r="C43" s="216" t="s">
        <v>17678</v>
      </c>
      <c r="D43" s="443">
        <v>3.27</v>
      </c>
    </row>
    <row r="44" spans="1:4">
      <c r="A44" s="216">
        <v>39142</v>
      </c>
      <c r="B44" s="222" t="s">
        <v>17711</v>
      </c>
      <c r="C44" s="216" t="s">
        <v>17678</v>
      </c>
      <c r="D44" s="443">
        <v>2.34</v>
      </c>
    </row>
    <row r="45" spans="1:4">
      <c r="A45" s="216">
        <v>39138</v>
      </c>
      <c r="B45" s="222" t="s">
        <v>17712</v>
      </c>
      <c r="C45" s="216" t="s">
        <v>17678</v>
      </c>
      <c r="D45" s="443">
        <v>0.88</v>
      </c>
    </row>
    <row r="46" spans="1:4">
      <c r="A46" s="216">
        <v>39136</v>
      </c>
      <c r="B46" s="222" t="s">
        <v>17713</v>
      </c>
      <c r="C46" s="216" t="s">
        <v>17678</v>
      </c>
      <c r="D46" s="443">
        <v>0.57999999999999996</v>
      </c>
    </row>
    <row r="47" spans="1:4">
      <c r="A47" s="216">
        <v>39144</v>
      </c>
      <c r="B47" s="222" t="s">
        <v>17714</v>
      </c>
      <c r="C47" s="216" t="s">
        <v>17678</v>
      </c>
      <c r="D47" s="443">
        <v>3.81</v>
      </c>
    </row>
    <row r="48" spans="1:4">
      <c r="A48" s="216">
        <v>39145</v>
      </c>
      <c r="B48" s="222" t="s">
        <v>17715</v>
      </c>
      <c r="C48" s="216" t="s">
        <v>17678</v>
      </c>
      <c r="D48" s="443">
        <v>6.28</v>
      </c>
    </row>
    <row r="49" spans="1:4">
      <c r="A49" s="216">
        <v>12615</v>
      </c>
      <c r="B49" s="222" t="s">
        <v>17716</v>
      </c>
      <c r="C49" s="216" t="s">
        <v>17678</v>
      </c>
      <c r="D49" s="443">
        <v>12.77</v>
      </c>
    </row>
    <row r="50" spans="1:4" ht="31.5">
      <c r="A50" s="216">
        <v>11927</v>
      </c>
      <c r="B50" s="222" t="s">
        <v>17717</v>
      </c>
      <c r="C50" s="216" t="s">
        <v>17678</v>
      </c>
      <c r="D50" s="443">
        <v>7.16</v>
      </c>
    </row>
    <row r="51" spans="1:4" ht="31.5">
      <c r="A51" s="216">
        <v>11928</v>
      </c>
      <c r="B51" s="222" t="s">
        <v>17718</v>
      </c>
      <c r="C51" s="216" t="s">
        <v>17678</v>
      </c>
      <c r="D51" s="443">
        <v>8.1999999999999993</v>
      </c>
    </row>
    <row r="52" spans="1:4" ht="31.5">
      <c r="A52" s="216">
        <v>11929</v>
      </c>
      <c r="B52" s="222" t="s">
        <v>17719</v>
      </c>
      <c r="C52" s="216" t="s">
        <v>17678</v>
      </c>
      <c r="D52" s="443">
        <v>12.69</v>
      </c>
    </row>
    <row r="53" spans="1:4">
      <c r="A53" s="216">
        <v>36801</v>
      </c>
      <c r="B53" s="222" t="s">
        <v>17720</v>
      </c>
      <c r="C53" s="216" t="s">
        <v>17678</v>
      </c>
      <c r="D53" s="443">
        <v>27.73</v>
      </c>
    </row>
    <row r="54" spans="1:4">
      <c r="A54" s="216">
        <v>36246</v>
      </c>
      <c r="B54" s="222" t="s">
        <v>17721</v>
      </c>
      <c r="C54" s="216" t="s">
        <v>17722</v>
      </c>
      <c r="D54" s="443">
        <v>4.91</v>
      </c>
    </row>
    <row r="55" spans="1:4">
      <c r="A55" s="216">
        <v>37600</v>
      </c>
      <c r="B55" s="222" t="s">
        <v>17723</v>
      </c>
      <c r="C55" s="216" t="s">
        <v>17678</v>
      </c>
      <c r="D55" s="443">
        <v>112.99</v>
      </c>
    </row>
    <row r="56" spans="1:4">
      <c r="A56" s="216">
        <v>37599</v>
      </c>
      <c r="B56" s="222" t="s">
        <v>17724</v>
      </c>
      <c r="C56" s="216" t="s">
        <v>17678</v>
      </c>
      <c r="D56" s="443">
        <v>105.16</v>
      </c>
    </row>
    <row r="57" spans="1:4" ht="31.5">
      <c r="A57" s="216">
        <v>1</v>
      </c>
      <c r="B57" s="222" t="s">
        <v>17725</v>
      </c>
      <c r="C57" s="216" t="s">
        <v>17726</v>
      </c>
      <c r="D57" s="443">
        <v>73.569999999999993</v>
      </c>
    </row>
    <row r="58" spans="1:4">
      <c r="A58" s="216">
        <v>3</v>
      </c>
      <c r="B58" s="222" t="s">
        <v>17727</v>
      </c>
      <c r="C58" s="216" t="s">
        <v>17728</v>
      </c>
      <c r="D58" s="443">
        <v>14.5</v>
      </c>
    </row>
    <row r="59" spans="1:4">
      <c r="A59" s="216">
        <v>43054</v>
      </c>
      <c r="B59" s="222" t="s">
        <v>17729</v>
      </c>
      <c r="C59" s="216" t="s">
        <v>17726</v>
      </c>
      <c r="D59" s="443">
        <v>9.08</v>
      </c>
    </row>
    <row r="60" spans="1:4">
      <c r="A60" s="216">
        <v>42402</v>
      </c>
      <c r="B60" s="222" t="s">
        <v>17730</v>
      </c>
      <c r="C60" s="216" t="s">
        <v>17726</v>
      </c>
      <c r="D60" s="443">
        <v>8.68</v>
      </c>
    </row>
    <row r="61" spans="1:4">
      <c r="A61" s="216">
        <v>42403</v>
      </c>
      <c r="B61" s="222" t="s">
        <v>17731</v>
      </c>
      <c r="C61" s="216" t="s">
        <v>17726</v>
      </c>
      <c r="D61" s="443">
        <v>11.13</v>
      </c>
    </row>
    <row r="62" spans="1:4">
      <c r="A62" s="216">
        <v>42404</v>
      </c>
      <c r="B62" s="222" t="s">
        <v>17732</v>
      </c>
      <c r="C62" s="216" t="s">
        <v>17726</v>
      </c>
      <c r="D62" s="443">
        <v>11.07</v>
      </c>
    </row>
    <row r="63" spans="1:4">
      <c r="A63" s="216">
        <v>42405</v>
      </c>
      <c r="B63" s="222" t="s">
        <v>17733</v>
      </c>
      <c r="C63" s="216" t="s">
        <v>17726</v>
      </c>
      <c r="D63" s="443">
        <v>11.79</v>
      </c>
    </row>
    <row r="64" spans="1:4">
      <c r="A64" s="216">
        <v>34341</v>
      </c>
      <c r="B64" s="222" t="s">
        <v>17734</v>
      </c>
      <c r="C64" s="216" t="s">
        <v>17726</v>
      </c>
      <c r="D64" s="443">
        <v>10.23</v>
      </c>
    </row>
    <row r="65" spans="1:4">
      <c r="A65" s="216">
        <v>43053</v>
      </c>
      <c r="B65" s="222" t="s">
        <v>17735</v>
      </c>
      <c r="C65" s="216" t="s">
        <v>17726</v>
      </c>
      <c r="D65" s="443">
        <v>8.11</v>
      </c>
    </row>
    <row r="66" spans="1:4">
      <c r="A66" s="216">
        <v>43058</v>
      </c>
      <c r="B66" s="222" t="s">
        <v>17736</v>
      </c>
      <c r="C66" s="216" t="s">
        <v>17726</v>
      </c>
      <c r="D66" s="443">
        <v>8.41</v>
      </c>
    </row>
    <row r="67" spans="1:4">
      <c r="A67" s="216">
        <v>34</v>
      </c>
      <c r="B67" s="222" t="s">
        <v>17737</v>
      </c>
      <c r="C67" s="216" t="s">
        <v>17726</v>
      </c>
      <c r="D67" s="443">
        <v>8.4499999999999993</v>
      </c>
    </row>
    <row r="68" spans="1:4">
      <c r="A68" s="216">
        <v>43055</v>
      </c>
      <c r="B68" s="222" t="s">
        <v>17738</v>
      </c>
      <c r="C68" s="216" t="s">
        <v>17726</v>
      </c>
      <c r="D68" s="443">
        <v>7.32</v>
      </c>
    </row>
    <row r="69" spans="1:4">
      <c r="A69" s="216">
        <v>43056</v>
      </c>
      <c r="B69" s="222" t="s">
        <v>17739</v>
      </c>
      <c r="C69" s="216" t="s">
        <v>17726</v>
      </c>
      <c r="D69" s="443">
        <v>8.44</v>
      </c>
    </row>
    <row r="70" spans="1:4">
      <c r="A70" s="216">
        <v>43057</v>
      </c>
      <c r="B70" s="222" t="s">
        <v>17740</v>
      </c>
      <c r="C70" s="216" t="s">
        <v>17726</v>
      </c>
      <c r="D70" s="443">
        <v>9.27</v>
      </c>
    </row>
    <row r="71" spans="1:4">
      <c r="A71" s="216">
        <v>34449</v>
      </c>
      <c r="B71" s="222" t="s">
        <v>17741</v>
      </c>
      <c r="C71" s="216" t="s">
        <v>17726</v>
      </c>
      <c r="D71" s="443">
        <v>9.91</v>
      </c>
    </row>
    <row r="72" spans="1:4">
      <c r="A72" s="216">
        <v>32</v>
      </c>
      <c r="B72" s="222" t="s">
        <v>17742</v>
      </c>
      <c r="C72" s="216" t="s">
        <v>17726</v>
      </c>
      <c r="D72" s="443">
        <v>8.91</v>
      </c>
    </row>
    <row r="73" spans="1:4">
      <c r="A73" s="216">
        <v>33</v>
      </c>
      <c r="B73" s="222" t="s">
        <v>17743</v>
      </c>
      <c r="C73" s="216" t="s">
        <v>17726</v>
      </c>
      <c r="D73" s="443">
        <v>8.9600000000000009</v>
      </c>
    </row>
    <row r="74" spans="1:4">
      <c r="A74" s="216">
        <v>43061</v>
      </c>
      <c r="B74" s="222" t="s">
        <v>17744</v>
      </c>
      <c r="C74" s="216" t="s">
        <v>17726</v>
      </c>
      <c r="D74" s="443">
        <v>8.3800000000000008</v>
      </c>
    </row>
    <row r="75" spans="1:4">
      <c r="A75" s="216">
        <v>43059</v>
      </c>
      <c r="B75" s="222" t="s">
        <v>17745</v>
      </c>
      <c r="C75" s="216" t="s">
        <v>17726</v>
      </c>
      <c r="D75" s="443">
        <v>8</v>
      </c>
    </row>
    <row r="76" spans="1:4">
      <c r="A76" s="216">
        <v>43062</v>
      </c>
      <c r="B76" s="222" t="s">
        <v>17746</v>
      </c>
      <c r="C76" s="216" t="s">
        <v>17726</v>
      </c>
      <c r="D76" s="443">
        <v>8.86</v>
      </c>
    </row>
    <row r="77" spans="1:4">
      <c r="A77" s="216">
        <v>43060</v>
      </c>
      <c r="B77" s="222" t="s">
        <v>17747</v>
      </c>
      <c r="C77" s="216" t="s">
        <v>17726</v>
      </c>
      <c r="D77" s="443">
        <v>6.96</v>
      </c>
    </row>
    <row r="78" spans="1:4">
      <c r="A78" s="216">
        <v>40410</v>
      </c>
      <c r="B78" s="222" t="s">
        <v>17748</v>
      </c>
      <c r="C78" s="216" t="s">
        <v>17678</v>
      </c>
      <c r="D78" s="443">
        <v>26.72</v>
      </c>
    </row>
    <row r="79" spans="1:4">
      <c r="A79" s="216">
        <v>40411</v>
      </c>
      <c r="B79" s="222" t="s">
        <v>17749</v>
      </c>
      <c r="C79" s="216" t="s">
        <v>17678</v>
      </c>
      <c r="D79" s="443">
        <v>29</v>
      </c>
    </row>
    <row r="80" spans="1:4">
      <c r="A80" s="216">
        <v>40412</v>
      </c>
      <c r="B80" s="222" t="s">
        <v>17750</v>
      </c>
      <c r="C80" s="216" t="s">
        <v>17678</v>
      </c>
      <c r="D80" s="443">
        <v>32.54</v>
      </c>
    </row>
    <row r="81" spans="1:4">
      <c r="A81" s="216">
        <v>44254</v>
      </c>
      <c r="B81" s="222" t="s">
        <v>17751</v>
      </c>
      <c r="C81" s="216" t="s">
        <v>17678</v>
      </c>
      <c r="D81" s="443">
        <v>28.83</v>
      </c>
    </row>
    <row r="82" spans="1:4">
      <c r="A82" s="216">
        <v>44255</v>
      </c>
      <c r="B82" s="222" t="s">
        <v>17752</v>
      </c>
      <c r="C82" s="216" t="s">
        <v>17678</v>
      </c>
      <c r="D82" s="443">
        <v>31.95</v>
      </c>
    </row>
    <row r="83" spans="1:4">
      <c r="A83" s="216">
        <v>44256</v>
      </c>
      <c r="B83" s="222" t="s">
        <v>17753</v>
      </c>
      <c r="C83" s="216" t="s">
        <v>17678</v>
      </c>
      <c r="D83" s="443">
        <v>36.090000000000003</v>
      </c>
    </row>
    <row r="84" spans="1:4">
      <c r="A84" s="216">
        <v>44257</v>
      </c>
      <c r="B84" s="222" t="s">
        <v>17754</v>
      </c>
      <c r="C84" s="216" t="s">
        <v>17678</v>
      </c>
      <c r="D84" s="443">
        <v>57.1</v>
      </c>
    </row>
    <row r="85" spans="1:4">
      <c r="A85" s="216">
        <v>44258</v>
      </c>
      <c r="B85" s="222" t="s">
        <v>17755</v>
      </c>
      <c r="C85" s="216" t="s">
        <v>17678</v>
      </c>
      <c r="D85" s="443">
        <v>65.260000000000005</v>
      </c>
    </row>
    <row r="86" spans="1:4">
      <c r="A86" s="216">
        <v>44259</v>
      </c>
      <c r="B86" s="222" t="s">
        <v>17756</v>
      </c>
      <c r="C86" s="216" t="s">
        <v>17678</v>
      </c>
      <c r="D86" s="443">
        <v>89.57</v>
      </c>
    </row>
    <row r="87" spans="1:4" ht="31.5">
      <c r="A87" s="216">
        <v>55</v>
      </c>
      <c r="B87" s="222" t="s">
        <v>17757</v>
      </c>
      <c r="C87" s="216" t="s">
        <v>17678</v>
      </c>
      <c r="D87" s="443">
        <v>4.8600000000000003</v>
      </c>
    </row>
    <row r="88" spans="1:4" ht="31.5">
      <c r="A88" s="216">
        <v>61</v>
      </c>
      <c r="B88" s="222" t="s">
        <v>17758</v>
      </c>
      <c r="C88" s="216" t="s">
        <v>17678</v>
      </c>
      <c r="D88" s="443">
        <v>4.59</v>
      </c>
    </row>
    <row r="89" spans="1:4" ht="31.5">
      <c r="A89" s="216">
        <v>62</v>
      </c>
      <c r="B89" s="222" t="s">
        <v>17759</v>
      </c>
      <c r="C89" s="216" t="s">
        <v>17678</v>
      </c>
      <c r="D89" s="443">
        <v>9.52</v>
      </c>
    </row>
    <row r="90" spans="1:4">
      <c r="A90" s="216">
        <v>103</v>
      </c>
      <c r="B90" s="222" t="s">
        <v>17760</v>
      </c>
      <c r="C90" s="216" t="s">
        <v>17678</v>
      </c>
      <c r="D90" s="443">
        <v>50.31</v>
      </c>
    </row>
    <row r="91" spans="1:4">
      <c r="A91" s="216">
        <v>107</v>
      </c>
      <c r="B91" s="222" t="s">
        <v>17761</v>
      </c>
      <c r="C91" s="216" t="s">
        <v>17678</v>
      </c>
      <c r="D91" s="443">
        <v>0.94</v>
      </c>
    </row>
    <row r="92" spans="1:4">
      <c r="A92" s="216">
        <v>65</v>
      </c>
      <c r="B92" s="222" t="s">
        <v>17762</v>
      </c>
      <c r="C92" s="216" t="s">
        <v>17678</v>
      </c>
      <c r="D92" s="443">
        <v>1.04</v>
      </c>
    </row>
    <row r="93" spans="1:4">
      <c r="A93" s="216">
        <v>108</v>
      </c>
      <c r="B93" s="222" t="s">
        <v>17763</v>
      </c>
      <c r="C93" s="216" t="s">
        <v>17678</v>
      </c>
      <c r="D93" s="443">
        <v>2.08</v>
      </c>
    </row>
    <row r="94" spans="1:4">
      <c r="A94" s="216">
        <v>110</v>
      </c>
      <c r="B94" s="222" t="s">
        <v>17764</v>
      </c>
      <c r="C94" s="216" t="s">
        <v>17678</v>
      </c>
      <c r="D94" s="443">
        <v>7.24</v>
      </c>
    </row>
    <row r="95" spans="1:4">
      <c r="A95" s="216">
        <v>109</v>
      </c>
      <c r="B95" s="222" t="s">
        <v>17765</v>
      </c>
      <c r="C95" s="216" t="s">
        <v>17678</v>
      </c>
      <c r="D95" s="443">
        <v>4.3099999999999996</v>
      </c>
    </row>
    <row r="96" spans="1:4">
      <c r="A96" s="216">
        <v>111</v>
      </c>
      <c r="B96" s="222" t="s">
        <v>17766</v>
      </c>
      <c r="C96" s="216" t="s">
        <v>17678</v>
      </c>
      <c r="D96" s="443">
        <v>9.7899999999999991</v>
      </c>
    </row>
    <row r="97" spans="1:4">
      <c r="A97" s="216">
        <v>112</v>
      </c>
      <c r="B97" s="222" t="s">
        <v>17767</v>
      </c>
      <c r="C97" s="216" t="s">
        <v>17678</v>
      </c>
      <c r="D97" s="443">
        <v>5.19</v>
      </c>
    </row>
    <row r="98" spans="1:4">
      <c r="A98" s="216">
        <v>113</v>
      </c>
      <c r="B98" s="222" t="s">
        <v>17768</v>
      </c>
      <c r="C98" s="216" t="s">
        <v>17678</v>
      </c>
      <c r="D98" s="443">
        <v>12.99</v>
      </c>
    </row>
    <row r="99" spans="1:4">
      <c r="A99" s="216">
        <v>104</v>
      </c>
      <c r="B99" s="222" t="s">
        <v>17769</v>
      </c>
      <c r="C99" s="216" t="s">
        <v>17678</v>
      </c>
      <c r="D99" s="443">
        <v>22.61</v>
      </c>
    </row>
    <row r="100" spans="1:4">
      <c r="A100" s="216">
        <v>102</v>
      </c>
      <c r="B100" s="222" t="s">
        <v>17770</v>
      </c>
      <c r="C100" s="216" t="s">
        <v>17678</v>
      </c>
      <c r="D100" s="443">
        <v>31.17</v>
      </c>
    </row>
    <row r="101" spans="1:4">
      <c r="A101" s="216">
        <v>95</v>
      </c>
      <c r="B101" s="222" t="s">
        <v>17771</v>
      </c>
      <c r="C101" s="216" t="s">
        <v>17678</v>
      </c>
      <c r="D101" s="443">
        <v>13.17</v>
      </c>
    </row>
    <row r="102" spans="1:4">
      <c r="A102" s="216">
        <v>96</v>
      </c>
      <c r="B102" s="222" t="s">
        <v>17772</v>
      </c>
      <c r="C102" s="216" t="s">
        <v>17678</v>
      </c>
      <c r="D102" s="443">
        <v>14.33</v>
      </c>
    </row>
    <row r="103" spans="1:4">
      <c r="A103" s="216">
        <v>97</v>
      </c>
      <c r="B103" s="222" t="s">
        <v>17773</v>
      </c>
      <c r="C103" s="216" t="s">
        <v>17678</v>
      </c>
      <c r="D103" s="443">
        <v>21.56</v>
      </c>
    </row>
    <row r="104" spans="1:4">
      <c r="A104" s="216">
        <v>98</v>
      </c>
      <c r="B104" s="222" t="s">
        <v>17774</v>
      </c>
      <c r="C104" s="216" t="s">
        <v>17678</v>
      </c>
      <c r="D104" s="443">
        <v>32.270000000000003</v>
      </c>
    </row>
    <row r="105" spans="1:4">
      <c r="A105" s="216">
        <v>99</v>
      </c>
      <c r="B105" s="222" t="s">
        <v>17775</v>
      </c>
      <c r="C105" s="216" t="s">
        <v>17678</v>
      </c>
      <c r="D105" s="443">
        <v>30.5</v>
      </c>
    </row>
    <row r="106" spans="1:4">
      <c r="A106" s="216">
        <v>100</v>
      </c>
      <c r="B106" s="222" t="s">
        <v>17776</v>
      </c>
      <c r="C106" s="216" t="s">
        <v>17678</v>
      </c>
      <c r="D106" s="443">
        <v>53.29</v>
      </c>
    </row>
    <row r="107" spans="1:4">
      <c r="A107" s="216">
        <v>75</v>
      </c>
      <c r="B107" s="222" t="s">
        <v>17777</v>
      </c>
      <c r="C107" s="216" t="s">
        <v>17678</v>
      </c>
      <c r="D107" s="443">
        <v>310.67</v>
      </c>
    </row>
    <row r="108" spans="1:4">
      <c r="A108" s="216">
        <v>83</v>
      </c>
      <c r="B108" s="222" t="s">
        <v>17778</v>
      </c>
      <c r="C108" s="216" t="s">
        <v>17678</v>
      </c>
      <c r="D108" s="443">
        <v>248.37</v>
      </c>
    </row>
    <row r="109" spans="1:4">
      <c r="A109" s="216">
        <v>74</v>
      </c>
      <c r="B109" s="222" t="s">
        <v>17779</v>
      </c>
      <c r="C109" s="216" t="s">
        <v>17678</v>
      </c>
      <c r="D109" s="443">
        <v>355.1</v>
      </c>
    </row>
    <row r="110" spans="1:4">
      <c r="A110" s="216">
        <v>106</v>
      </c>
      <c r="B110" s="222" t="s">
        <v>17780</v>
      </c>
      <c r="C110" s="216" t="s">
        <v>17678</v>
      </c>
      <c r="D110" s="443">
        <v>449.04</v>
      </c>
    </row>
    <row r="111" spans="1:4">
      <c r="A111" s="216">
        <v>88</v>
      </c>
      <c r="B111" s="222" t="s">
        <v>17781</v>
      </c>
      <c r="C111" s="216" t="s">
        <v>17678</v>
      </c>
      <c r="D111" s="443">
        <v>12.62</v>
      </c>
    </row>
    <row r="112" spans="1:4">
      <c r="A112" s="216">
        <v>82</v>
      </c>
      <c r="B112" s="222" t="s">
        <v>17782</v>
      </c>
      <c r="C112" s="216" t="s">
        <v>17678</v>
      </c>
      <c r="D112" s="443">
        <v>236.3</v>
      </c>
    </row>
    <row r="113" spans="1:4">
      <c r="A113" s="216">
        <v>105</v>
      </c>
      <c r="B113" s="222" t="s">
        <v>17783</v>
      </c>
      <c r="C113" s="216" t="s">
        <v>17678</v>
      </c>
      <c r="D113" s="443">
        <v>334.84</v>
      </c>
    </row>
    <row r="114" spans="1:4">
      <c r="A114" s="216">
        <v>60</v>
      </c>
      <c r="B114" s="222" t="s">
        <v>17784</v>
      </c>
      <c r="C114" s="216" t="s">
        <v>17678</v>
      </c>
      <c r="D114" s="443">
        <v>6.3</v>
      </c>
    </row>
    <row r="115" spans="1:4">
      <c r="A115" s="216">
        <v>72</v>
      </c>
      <c r="B115" s="222" t="s">
        <v>17785</v>
      </c>
      <c r="C115" s="216" t="s">
        <v>17678</v>
      </c>
      <c r="D115" s="443">
        <v>58.49</v>
      </c>
    </row>
    <row r="116" spans="1:4">
      <c r="A116" s="216">
        <v>67</v>
      </c>
      <c r="B116" s="222" t="s">
        <v>17786</v>
      </c>
      <c r="C116" s="216" t="s">
        <v>17678</v>
      </c>
      <c r="D116" s="443">
        <v>18.91</v>
      </c>
    </row>
    <row r="117" spans="1:4">
      <c r="A117" s="216">
        <v>71</v>
      </c>
      <c r="B117" s="222" t="s">
        <v>17787</v>
      </c>
      <c r="C117" s="216" t="s">
        <v>17678</v>
      </c>
      <c r="D117" s="443">
        <v>36.130000000000003</v>
      </c>
    </row>
    <row r="118" spans="1:4">
      <c r="A118" s="216">
        <v>73</v>
      </c>
      <c r="B118" s="222" t="s">
        <v>17788</v>
      </c>
      <c r="C118" s="216" t="s">
        <v>17678</v>
      </c>
      <c r="D118" s="443">
        <v>18.100000000000001</v>
      </c>
    </row>
    <row r="119" spans="1:4">
      <c r="A119" s="216">
        <v>37997</v>
      </c>
      <c r="B119" s="222" t="s">
        <v>17789</v>
      </c>
      <c r="C119" s="216" t="s">
        <v>17678</v>
      </c>
      <c r="D119" s="443">
        <v>17.18</v>
      </c>
    </row>
    <row r="120" spans="1:4">
      <c r="A120" s="216">
        <v>37998</v>
      </c>
      <c r="B120" s="222" t="s">
        <v>17790</v>
      </c>
      <c r="C120" s="216" t="s">
        <v>17678</v>
      </c>
      <c r="D120" s="443">
        <v>22.99</v>
      </c>
    </row>
    <row r="121" spans="1:4" ht="31.5">
      <c r="A121" s="216">
        <v>10899</v>
      </c>
      <c r="B121" s="222" t="s">
        <v>17791</v>
      </c>
      <c r="C121" s="216" t="s">
        <v>17678</v>
      </c>
      <c r="D121" s="443">
        <v>109.52</v>
      </c>
    </row>
    <row r="122" spans="1:4" ht="31.5">
      <c r="A122" s="216">
        <v>10900</v>
      </c>
      <c r="B122" s="222" t="s">
        <v>17792</v>
      </c>
      <c r="C122" s="216" t="s">
        <v>17678</v>
      </c>
      <c r="D122" s="443">
        <v>85.71</v>
      </c>
    </row>
    <row r="123" spans="1:4">
      <c r="A123" s="216">
        <v>46</v>
      </c>
      <c r="B123" s="222" t="s">
        <v>17793</v>
      </c>
      <c r="C123" s="216" t="s">
        <v>17678</v>
      </c>
      <c r="D123" s="443">
        <v>51.81</v>
      </c>
    </row>
    <row r="124" spans="1:4">
      <c r="A124" s="216">
        <v>47</v>
      </c>
      <c r="B124" s="222" t="s">
        <v>17794</v>
      </c>
      <c r="C124" s="216" t="s">
        <v>17678</v>
      </c>
      <c r="D124" s="443">
        <v>88.6</v>
      </c>
    </row>
    <row r="125" spans="1:4">
      <c r="A125" s="216">
        <v>48</v>
      </c>
      <c r="B125" s="222" t="s">
        <v>17795</v>
      </c>
      <c r="C125" s="216" t="s">
        <v>17678</v>
      </c>
      <c r="D125" s="443">
        <v>23.11</v>
      </c>
    </row>
    <row r="126" spans="1:4">
      <c r="A126" s="216">
        <v>52</v>
      </c>
      <c r="B126" s="222" t="s">
        <v>17796</v>
      </c>
      <c r="C126" s="216" t="s">
        <v>17678</v>
      </c>
      <c r="D126" s="443">
        <v>17.559999999999999</v>
      </c>
    </row>
    <row r="127" spans="1:4">
      <c r="A127" s="216">
        <v>43</v>
      </c>
      <c r="B127" s="222" t="s">
        <v>17797</v>
      </c>
      <c r="C127" s="216" t="s">
        <v>17678</v>
      </c>
      <c r="D127" s="443">
        <v>59.25</v>
      </c>
    </row>
    <row r="128" spans="1:4" ht="31.5">
      <c r="A128" s="216">
        <v>39719</v>
      </c>
      <c r="B128" s="222" t="s">
        <v>17798</v>
      </c>
      <c r="C128" s="216" t="s">
        <v>17728</v>
      </c>
      <c r="D128" s="443">
        <v>195.75</v>
      </c>
    </row>
    <row r="129" spans="1:4">
      <c r="A129" s="216">
        <v>3410</v>
      </c>
      <c r="B129" s="222" t="s">
        <v>17799</v>
      </c>
      <c r="C129" s="216" t="s">
        <v>17726</v>
      </c>
      <c r="D129" s="443">
        <v>44.03</v>
      </c>
    </row>
    <row r="130" spans="1:4">
      <c r="A130" s="216">
        <v>4791</v>
      </c>
      <c r="B130" s="222" t="s">
        <v>17800</v>
      </c>
      <c r="C130" s="216" t="s">
        <v>17726</v>
      </c>
      <c r="D130" s="443">
        <v>43.68</v>
      </c>
    </row>
    <row r="131" spans="1:4">
      <c r="A131" s="216">
        <v>157</v>
      </c>
      <c r="B131" s="222" t="s">
        <v>17801</v>
      </c>
      <c r="C131" s="216" t="s">
        <v>17726</v>
      </c>
      <c r="D131" s="443">
        <v>145.5</v>
      </c>
    </row>
    <row r="132" spans="1:4">
      <c r="A132" s="216">
        <v>156</v>
      </c>
      <c r="B132" s="222" t="s">
        <v>17802</v>
      </c>
      <c r="C132" s="216" t="s">
        <v>17726</v>
      </c>
      <c r="D132" s="443">
        <v>51.8</v>
      </c>
    </row>
    <row r="133" spans="1:4">
      <c r="A133" s="216">
        <v>131</v>
      </c>
      <c r="B133" s="222" t="s">
        <v>17803</v>
      </c>
      <c r="C133" s="216" t="s">
        <v>17726</v>
      </c>
      <c r="D133" s="443">
        <v>44.3</v>
      </c>
    </row>
    <row r="134" spans="1:4">
      <c r="A134" s="216">
        <v>21114</v>
      </c>
      <c r="B134" s="222" t="s">
        <v>17804</v>
      </c>
      <c r="C134" s="216" t="s">
        <v>17678</v>
      </c>
      <c r="D134" s="443">
        <v>38.590000000000003</v>
      </c>
    </row>
    <row r="135" spans="1:4">
      <c r="A135" s="216">
        <v>119</v>
      </c>
      <c r="B135" s="222" t="s">
        <v>17805</v>
      </c>
      <c r="C135" s="216" t="s">
        <v>17678</v>
      </c>
      <c r="D135" s="443">
        <v>9.7799999999999994</v>
      </c>
    </row>
    <row r="136" spans="1:4">
      <c r="A136" s="216">
        <v>122</v>
      </c>
      <c r="B136" s="222" t="s">
        <v>17806</v>
      </c>
      <c r="C136" s="216" t="s">
        <v>17678</v>
      </c>
      <c r="D136" s="443">
        <v>75.25</v>
      </c>
    </row>
    <row r="137" spans="1:4">
      <c r="A137" s="216">
        <v>20080</v>
      </c>
      <c r="B137" s="222" t="s">
        <v>17807</v>
      </c>
      <c r="C137" s="216" t="s">
        <v>17678</v>
      </c>
      <c r="D137" s="443">
        <v>24.56</v>
      </c>
    </row>
    <row r="138" spans="1:4" ht="31.5">
      <c r="A138" s="216">
        <v>124</v>
      </c>
      <c r="B138" s="222" t="s">
        <v>17808</v>
      </c>
      <c r="C138" s="216" t="s">
        <v>17728</v>
      </c>
      <c r="D138" s="443">
        <v>17.079999999999998</v>
      </c>
    </row>
    <row r="139" spans="1:4">
      <c r="A139" s="216">
        <v>7334</v>
      </c>
      <c r="B139" s="222" t="s">
        <v>17809</v>
      </c>
      <c r="C139" s="216" t="s">
        <v>17728</v>
      </c>
      <c r="D139" s="443">
        <v>16.329999999999998</v>
      </c>
    </row>
    <row r="140" spans="1:4" ht="31.5">
      <c r="A140" s="216">
        <v>123</v>
      </c>
      <c r="B140" s="222" t="s">
        <v>17810</v>
      </c>
      <c r="C140" s="216" t="s">
        <v>17728</v>
      </c>
      <c r="D140" s="443">
        <v>6.99</v>
      </c>
    </row>
    <row r="141" spans="1:4">
      <c r="A141" s="216">
        <v>127</v>
      </c>
      <c r="B141" s="222" t="s">
        <v>17811</v>
      </c>
      <c r="C141" s="216" t="s">
        <v>17728</v>
      </c>
      <c r="D141" s="443">
        <v>16.690000000000001</v>
      </c>
    </row>
    <row r="142" spans="1:4">
      <c r="A142" s="216">
        <v>41373</v>
      </c>
      <c r="B142" s="222" t="s">
        <v>17812</v>
      </c>
      <c r="C142" s="216" t="s">
        <v>17728</v>
      </c>
      <c r="D142" s="443">
        <v>23.25</v>
      </c>
    </row>
    <row r="143" spans="1:4">
      <c r="A143" s="216">
        <v>133</v>
      </c>
      <c r="B143" s="222" t="s">
        <v>17813</v>
      </c>
      <c r="C143" s="216" t="s">
        <v>17728</v>
      </c>
      <c r="D143" s="443">
        <v>6.93</v>
      </c>
    </row>
    <row r="144" spans="1:4" ht="31.5">
      <c r="A144" s="216">
        <v>43617</v>
      </c>
      <c r="B144" s="222" t="s">
        <v>17814</v>
      </c>
      <c r="C144" s="216" t="s">
        <v>17728</v>
      </c>
      <c r="D144" s="443">
        <v>7.74</v>
      </c>
    </row>
    <row r="145" spans="1:4" ht="31.5">
      <c r="A145" s="216">
        <v>132</v>
      </c>
      <c r="B145" s="222" t="s">
        <v>17815</v>
      </c>
      <c r="C145" s="216" t="s">
        <v>17728</v>
      </c>
      <c r="D145" s="443">
        <v>7.18</v>
      </c>
    </row>
    <row r="146" spans="1:4">
      <c r="A146" s="216">
        <v>43618</v>
      </c>
      <c r="B146" s="222" t="s">
        <v>17816</v>
      </c>
      <c r="C146" s="216" t="s">
        <v>17726</v>
      </c>
      <c r="D146" s="443">
        <v>18.09</v>
      </c>
    </row>
    <row r="147" spans="1:4" ht="31.5">
      <c r="A147" s="216">
        <v>37476</v>
      </c>
      <c r="B147" s="222" t="s">
        <v>17817</v>
      </c>
      <c r="C147" s="216" t="s">
        <v>17678</v>
      </c>
      <c r="D147" s="443">
        <v>2662.18</v>
      </c>
    </row>
    <row r="148" spans="1:4" ht="31.5">
      <c r="A148" s="216">
        <v>37478</v>
      </c>
      <c r="B148" s="222" t="s">
        <v>17818</v>
      </c>
      <c r="C148" s="216" t="s">
        <v>17678</v>
      </c>
      <c r="D148" s="443">
        <v>3334.45</v>
      </c>
    </row>
    <row r="149" spans="1:4" ht="31.5">
      <c r="A149" s="216">
        <v>37477</v>
      </c>
      <c r="B149" s="222" t="s">
        <v>17819</v>
      </c>
      <c r="C149" s="216" t="s">
        <v>17678</v>
      </c>
      <c r="D149" s="443">
        <v>4517.6400000000003</v>
      </c>
    </row>
    <row r="150" spans="1:4" ht="31.5">
      <c r="A150" s="216">
        <v>37479</v>
      </c>
      <c r="B150" s="222" t="s">
        <v>17820</v>
      </c>
      <c r="C150" s="216" t="s">
        <v>17678</v>
      </c>
      <c r="D150" s="443">
        <v>5357.98</v>
      </c>
    </row>
    <row r="151" spans="1:4">
      <c r="A151" s="216">
        <v>4319</v>
      </c>
      <c r="B151" s="222" t="s">
        <v>17821</v>
      </c>
      <c r="C151" s="216" t="s">
        <v>17678</v>
      </c>
      <c r="D151" s="443">
        <v>1.35</v>
      </c>
    </row>
    <row r="152" spans="1:4">
      <c r="A152" s="216">
        <v>42409</v>
      </c>
      <c r="B152" s="222" t="s">
        <v>17822</v>
      </c>
      <c r="C152" s="216" t="s">
        <v>17726</v>
      </c>
      <c r="D152" s="443">
        <v>11.39</v>
      </c>
    </row>
    <row r="153" spans="1:4">
      <c r="A153" s="216">
        <v>40553</v>
      </c>
      <c r="B153" s="222" t="s">
        <v>17823</v>
      </c>
      <c r="C153" s="216" t="s">
        <v>17824</v>
      </c>
      <c r="D153" s="443">
        <v>23</v>
      </c>
    </row>
    <row r="154" spans="1:4">
      <c r="A154" s="216">
        <v>6114</v>
      </c>
      <c r="B154" s="222" t="s">
        <v>17825</v>
      </c>
      <c r="C154" s="216" t="s">
        <v>17826</v>
      </c>
      <c r="D154" s="443">
        <v>17.03</v>
      </c>
    </row>
    <row r="155" spans="1:4">
      <c r="A155" s="216">
        <v>40912</v>
      </c>
      <c r="B155" s="222" t="s">
        <v>17827</v>
      </c>
      <c r="C155" s="216" t="s">
        <v>17828</v>
      </c>
      <c r="D155" s="443">
        <v>2984.91</v>
      </c>
    </row>
    <row r="156" spans="1:4">
      <c r="A156" s="216">
        <v>247</v>
      </c>
      <c r="B156" s="222" t="s">
        <v>17829</v>
      </c>
      <c r="C156" s="216" t="s">
        <v>17826</v>
      </c>
      <c r="D156" s="443">
        <v>18.48</v>
      </c>
    </row>
    <row r="157" spans="1:4">
      <c r="A157" s="216">
        <v>40919</v>
      </c>
      <c r="B157" s="222" t="s">
        <v>17830</v>
      </c>
      <c r="C157" s="216" t="s">
        <v>17828</v>
      </c>
      <c r="D157" s="443">
        <v>3237.11</v>
      </c>
    </row>
    <row r="158" spans="1:4">
      <c r="A158" s="216">
        <v>40984</v>
      </c>
      <c r="B158" s="222" t="s">
        <v>17831</v>
      </c>
      <c r="C158" s="216" t="s">
        <v>17828</v>
      </c>
      <c r="D158" s="443">
        <v>2828.32</v>
      </c>
    </row>
    <row r="159" spans="1:4">
      <c r="A159" s="216">
        <v>44499</v>
      </c>
      <c r="B159" s="222" t="s">
        <v>17832</v>
      </c>
      <c r="C159" s="216" t="s">
        <v>17826</v>
      </c>
      <c r="D159" s="443">
        <v>16.14</v>
      </c>
    </row>
    <row r="160" spans="1:4">
      <c r="A160" s="216">
        <v>248</v>
      </c>
      <c r="B160" s="222" t="s">
        <v>17833</v>
      </c>
      <c r="C160" s="216" t="s">
        <v>17826</v>
      </c>
      <c r="D160" s="443">
        <v>18.48</v>
      </c>
    </row>
    <row r="161" spans="1:4">
      <c r="A161" s="216">
        <v>41086</v>
      </c>
      <c r="B161" s="222" t="s">
        <v>17834</v>
      </c>
      <c r="C161" s="216" t="s">
        <v>17828</v>
      </c>
      <c r="D161" s="443">
        <v>3237.11</v>
      </c>
    </row>
    <row r="162" spans="1:4">
      <c r="A162" s="216">
        <v>34466</v>
      </c>
      <c r="B162" s="222" t="s">
        <v>17835</v>
      </c>
      <c r="C162" s="216" t="s">
        <v>17826</v>
      </c>
      <c r="D162" s="443">
        <v>18.48</v>
      </c>
    </row>
    <row r="163" spans="1:4">
      <c r="A163" s="216">
        <v>41083</v>
      </c>
      <c r="B163" s="222" t="s">
        <v>17836</v>
      </c>
      <c r="C163" s="216" t="s">
        <v>17828</v>
      </c>
      <c r="D163" s="443">
        <v>3237.11</v>
      </c>
    </row>
    <row r="164" spans="1:4">
      <c r="A164" s="216">
        <v>252</v>
      </c>
      <c r="B164" s="222" t="s">
        <v>17837</v>
      </c>
      <c r="C164" s="216" t="s">
        <v>17826</v>
      </c>
      <c r="D164" s="443">
        <v>18.48</v>
      </c>
    </row>
    <row r="165" spans="1:4">
      <c r="A165" s="216">
        <v>40909</v>
      </c>
      <c r="B165" s="222" t="s">
        <v>17838</v>
      </c>
      <c r="C165" s="216" t="s">
        <v>17828</v>
      </c>
      <c r="D165" s="443">
        <v>3237.11</v>
      </c>
    </row>
    <row r="166" spans="1:4">
      <c r="A166" s="216">
        <v>242</v>
      </c>
      <c r="B166" s="222" t="s">
        <v>17839</v>
      </c>
      <c r="C166" s="216" t="s">
        <v>17826</v>
      </c>
      <c r="D166" s="443">
        <v>18.48</v>
      </c>
    </row>
    <row r="167" spans="1:4">
      <c r="A167" s="216">
        <v>41085</v>
      </c>
      <c r="B167" s="222" t="s">
        <v>17840</v>
      </c>
      <c r="C167" s="216" t="s">
        <v>17828</v>
      </c>
      <c r="D167" s="443">
        <v>3236.93</v>
      </c>
    </row>
    <row r="168" spans="1:4">
      <c r="A168" s="216">
        <v>427</v>
      </c>
      <c r="B168" s="222" t="s">
        <v>17841</v>
      </c>
      <c r="C168" s="216" t="s">
        <v>17678</v>
      </c>
      <c r="D168" s="443">
        <v>3.9</v>
      </c>
    </row>
    <row r="169" spans="1:4">
      <c r="A169" s="216">
        <v>417</v>
      </c>
      <c r="B169" s="222" t="s">
        <v>17842</v>
      </c>
      <c r="C169" s="216" t="s">
        <v>17678</v>
      </c>
      <c r="D169" s="443">
        <v>1.84</v>
      </c>
    </row>
    <row r="170" spans="1:4" ht="31.5">
      <c r="A170" s="216">
        <v>11273</v>
      </c>
      <c r="B170" s="222" t="s">
        <v>17843</v>
      </c>
      <c r="C170" s="216" t="s">
        <v>17678</v>
      </c>
      <c r="D170" s="443">
        <v>5.71</v>
      </c>
    </row>
    <row r="171" spans="1:4" ht="31.5">
      <c r="A171" s="216">
        <v>11272</v>
      </c>
      <c r="B171" s="222" t="s">
        <v>17844</v>
      </c>
      <c r="C171" s="216" t="s">
        <v>17678</v>
      </c>
      <c r="D171" s="443">
        <v>3.45</v>
      </c>
    </row>
    <row r="172" spans="1:4">
      <c r="A172" s="216">
        <v>11275</v>
      </c>
      <c r="B172" s="222" t="s">
        <v>17845</v>
      </c>
      <c r="C172" s="216" t="s">
        <v>17678</v>
      </c>
      <c r="D172" s="443">
        <v>1.38</v>
      </c>
    </row>
    <row r="173" spans="1:4">
      <c r="A173" s="216">
        <v>11274</v>
      </c>
      <c r="B173" s="222" t="s">
        <v>17846</v>
      </c>
      <c r="C173" s="216" t="s">
        <v>17678</v>
      </c>
      <c r="D173" s="443">
        <v>1.05</v>
      </c>
    </row>
    <row r="174" spans="1:4">
      <c r="A174" s="216">
        <v>38470</v>
      </c>
      <c r="B174" s="222" t="s">
        <v>17847</v>
      </c>
      <c r="C174" s="216" t="s">
        <v>17678</v>
      </c>
      <c r="D174" s="443">
        <v>59</v>
      </c>
    </row>
    <row r="175" spans="1:4">
      <c r="A175" s="216">
        <v>38547</v>
      </c>
      <c r="B175" s="222" t="s">
        <v>17848</v>
      </c>
      <c r="C175" s="216" t="s">
        <v>17678</v>
      </c>
      <c r="D175" s="443">
        <v>161</v>
      </c>
    </row>
    <row r="176" spans="1:4">
      <c r="A176" s="216">
        <v>38469</v>
      </c>
      <c r="B176" s="222" t="s">
        <v>17849</v>
      </c>
      <c r="C176" s="216" t="s">
        <v>17678</v>
      </c>
      <c r="D176" s="443">
        <v>173.12</v>
      </c>
    </row>
    <row r="177" spans="1:4">
      <c r="A177" s="216">
        <v>38467</v>
      </c>
      <c r="B177" s="222" t="s">
        <v>17850</v>
      </c>
      <c r="C177" s="216" t="s">
        <v>17678</v>
      </c>
      <c r="D177" s="443">
        <v>97.41</v>
      </c>
    </row>
    <row r="178" spans="1:4">
      <c r="A178" s="216">
        <v>38468</v>
      </c>
      <c r="B178" s="222" t="s">
        <v>17851</v>
      </c>
      <c r="C178" s="216" t="s">
        <v>17678</v>
      </c>
      <c r="D178" s="443">
        <v>107.19</v>
      </c>
    </row>
    <row r="179" spans="1:4">
      <c r="A179" s="216">
        <v>38471</v>
      </c>
      <c r="B179" s="222" t="s">
        <v>17852</v>
      </c>
      <c r="C179" s="216" t="s">
        <v>17678</v>
      </c>
      <c r="D179" s="443">
        <v>139.19999999999999</v>
      </c>
    </row>
    <row r="180" spans="1:4">
      <c r="A180" s="216">
        <v>37370</v>
      </c>
      <c r="B180" s="222" t="s">
        <v>17853</v>
      </c>
      <c r="C180" s="216" t="s">
        <v>17826</v>
      </c>
      <c r="D180" s="443">
        <v>3.79</v>
      </c>
    </row>
    <row r="181" spans="1:4">
      <c r="A181" s="216">
        <v>40862</v>
      </c>
      <c r="B181" s="222" t="s">
        <v>17854</v>
      </c>
      <c r="C181" s="216" t="s">
        <v>17828</v>
      </c>
      <c r="D181" s="443">
        <v>714.35</v>
      </c>
    </row>
    <row r="182" spans="1:4">
      <c r="A182" s="216">
        <v>10658</v>
      </c>
      <c r="B182" s="222" t="s">
        <v>17855</v>
      </c>
      <c r="C182" s="216" t="s">
        <v>17678</v>
      </c>
      <c r="D182" s="443">
        <v>8364.5</v>
      </c>
    </row>
    <row r="183" spans="1:4">
      <c r="A183" s="216">
        <v>253</v>
      </c>
      <c r="B183" s="222" t="s">
        <v>17856</v>
      </c>
      <c r="C183" s="216" t="s">
        <v>17826</v>
      </c>
      <c r="D183" s="443">
        <v>24.15</v>
      </c>
    </row>
    <row r="184" spans="1:4">
      <c r="A184" s="216">
        <v>40809</v>
      </c>
      <c r="B184" s="222" t="s">
        <v>17857</v>
      </c>
      <c r="C184" s="216" t="s">
        <v>17828</v>
      </c>
      <c r="D184" s="443">
        <v>4228.24</v>
      </c>
    </row>
    <row r="185" spans="1:4" ht="31.5">
      <c r="A185" s="216">
        <v>42428</v>
      </c>
      <c r="B185" s="222" t="s">
        <v>17858</v>
      </c>
      <c r="C185" s="216" t="s">
        <v>17678</v>
      </c>
      <c r="D185" s="443">
        <v>2251</v>
      </c>
    </row>
    <row r="186" spans="1:4">
      <c r="A186" s="216">
        <v>583</v>
      </c>
      <c r="B186" s="222" t="s">
        <v>17859</v>
      </c>
      <c r="C186" s="216" t="s">
        <v>17726</v>
      </c>
      <c r="D186" s="443">
        <v>44.79</v>
      </c>
    </row>
    <row r="187" spans="1:4">
      <c r="A187" s="216">
        <v>301</v>
      </c>
      <c r="B187" s="222" t="s">
        <v>17860</v>
      </c>
      <c r="C187" s="216" t="s">
        <v>17678</v>
      </c>
      <c r="D187" s="443">
        <v>2.5499999999999998</v>
      </c>
    </row>
    <row r="188" spans="1:4">
      <c r="A188" s="216">
        <v>296</v>
      </c>
      <c r="B188" s="222" t="s">
        <v>17861</v>
      </c>
      <c r="C188" s="216" t="s">
        <v>17678</v>
      </c>
      <c r="D188" s="443">
        <v>1.44</v>
      </c>
    </row>
    <row r="189" spans="1:4">
      <c r="A189" s="216">
        <v>297</v>
      </c>
      <c r="B189" s="222" t="s">
        <v>17862</v>
      </c>
      <c r="C189" s="216" t="s">
        <v>17678</v>
      </c>
      <c r="D189" s="443">
        <v>2.12</v>
      </c>
    </row>
    <row r="190" spans="1:4">
      <c r="A190" s="216">
        <v>299</v>
      </c>
      <c r="B190" s="222" t="s">
        <v>17863</v>
      </c>
      <c r="C190" s="216" t="s">
        <v>17678</v>
      </c>
      <c r="D190" s="443">
        <v>2.99</v>
      </c>
    </row>
    <row r="191" spans="1:4">
      <c r="A191" s="216">
        <v>300</v>
      </c>
      <c r="B191" s="222" t="s">
        <v>17864</v>
      </c>
      <c r="C191" s="216" t="s">
        <v>17678</v>
      </c>
      <c r="D191" s="443">
        <v>10.35</v>
      </c>
    </row>
    <row r="192" spans="1:4">
      <c r="A192" s="216">
        <v>20085</v>
      </c>
      <c r="B192" s="222" t="s">
        <v>17865</v>
      </c>
      <c r="C192" s="216" t="s">
        <v>17678</v>
      </c>
      <c r="D192" s="443">
        <v>1.89</v>
      </c>
    </row>
    <row r="193" spans="1:4">
      <c r="A193" s="216">
        <v>298</v>
      </c>
      <c r="B193" s="222" t="s">
        <v>17866</v>
      </c>
      <c r="C193" s="216" t="s">
        <v>17678</v>
      </c>
      <c r="D193" s="443">
        <v>2.2999999999999998</v>
      </c>
    </row>
    <row r="194" spans="1:4">
      <c r="A194" s="216">
        <v>311</v>
      </c>
      <c r="B194" s="222" t="s">
        <v>17867</v>
      </c>
      <c r="C194" s="216" t="s">
        <v>17678</v>
      </c>
      <c r="D194" s="443">
        <v>8.5299999999999994</v>
      </c>
    </row>
    <row r="195" spans="1:4">
      <c r="A195" s="216">
        <v>318</v>
      </c>
      <c r="B195" s="222" t="s">
        <v>17868</v>
      </c>
      <c r="C195" s="216" t="s">
        <v>17678</v>
      </c>
      <c r="D195" s="443">
        <v>17.190000000000001</v>
      </c>
    </row>
    <row r="196" spans="1:4">
      <c r="A196" s="216">
        <v>319</v>
      </c>
      <c r="B196" s="222" t="s">
        <v>17869</v>
      </c>
      <c r="C196" s="216" t="s">
        <v>17678</v>
      </c>
      <c r="D196" s="443">
        <v>26.95</v>
      </c>
    </row>
    <row r="197" spans="1:4">
      <c r="A197" s="216">
        <v>303</v>
      </c>
      <c r="B197" s="222" t="s">
        <v>17870</v>
      </c>
      <c r="C197" s="216" t="s">
        <v>17678</v>
      </c>
      <c r="D197" s="443">
        <v>2.82</v>
      </c>
    </row>
    <row r="198" spans="1:4">
      <c r="A198" s="216">
        <v>305</v>
      </c>
      <c r="B198" s="222" t="s">
        <v>17871</v>
      </c>
      <c r="C198" s="216" t="s">
        <v>17678</v>
      </c>
      <c r="D198" s="443">
        <v>8.8800000000000008</v>
      </c>
    </row>
    <row r="199" spans="1:4">
      <c r="A199" s="216">
        <v>306</v>
      </c>
      <c r="B199" s="222" t="s">
        <v>17872</v>
      </c>
      <c r="C199" s="216" t="s">
        <v>17678</v>
      </c>
      <c r="D199" s="443">
        <v>13.47</v>
      </c>
    </row>
    <row r="200" spans="1:4">
      <c r="A200" s="216">
        <v>307</v>
      </c>
      <c r="B200" s="222" t="s">
        <v>17873</v>
      </c>
      <c r="C200" s="216" t="s">
        <v>17678</v>
      </c>
      <c r="D200" s="443">
        <v>34.049999999999997</v>
      </c>
    </row>
    <row r="201" spans="1:4">
      <c r="A201" s="216">
        <v>309</v>
      </c>
      <c r="B201" s="222" t="s">
        <v>17874</v>
      </c>
      <c r="C201" s="216" t="s">
        <v>17678</v>
      </c>
      <c r="D201" s="443">
        <v>55.77</v>
      </c>
    </row>
    <row r="202" spans="1:4">
      <c r="A202" s="216">
        <v>310</v>
      </c>
      <c r="B202" s="222" t="s">
        <v>17875</v>
      </c>
      <c r="C202" s="216" t="s">
        <v>17678</v>
      </c>
      <c r="D202" s="443">
        <v>77.3</v>
      </c>
    </row>
    <row r="203" spans="1:4">
      <c r="A203" s="216">
        <v>328</v>
      </c>
      <c r="B203" s="222" t="s">
        <v>17876</v>
      </c>
      <c r="C203" s="216" t="s">
        <v>17678</v>
      </c>
      <c r="D203" s="443">
        <v>6.76</v>
      </c>
    </row>
    <row r="204" spans="1:4">
      <c r="A204" s="216">
        <v>325</v>
      </c>
      <c r="B204" s="222" t="s">
        <v>17877</v>
      </c>
      <c r="C204" s="216" t="s">
        <v>17678</v>
      </c>
      <c r="D204" s="443">
        <v>1.99</v>
      </c>
    </row>
    <row r="205" spans="1:4">
      <c r="A205" s="216">
        <v>20326</v>
      </c>
      <c r="B205" s="222" t="s">
        <v>17878</v>
      </c>
      <c r="C205" s="216" t="s">
        <v>17678</v>
      </c>
      <c r="D205" s="443">
        <v>3.65</v>
      </c>
    </row>
    <row r="206" spans="1:4">
      <c r="A206" s="216">
        <v>329</v>
      </c>
      <c r="B206" s="222" t="s">
        <v>17879</v>
      </c>
      <c r="C206" s="216" t="s">
        <v>17678</v>
      </c>
      <c r="D206" s="443">
        <v>5.65</v>
      </c>
    </row>
    <row r="207" spans="1:4">
      <c r="A207" s="216">
        <v>308</v>
      </c>
      <c r="B207" s="222" t="s">
        <v>17880</v>
      </c>
      <c r="C207" s="216" t="s">
        <v>17678</v>
      </c>
      <c r="D207" s="443">
        <v>75.989999999999995</v>
      </c>
    </row>
    <row r="208" spans="1:4">
      <c r="A208" s="216">
        <v>39642</v>
      </c>
      <c r="B208" s="222" t="s">
        <v>17881</v>
      </c>
      <c r="C208" s="216" t="s">
        <v>17678</v>
      </c>
      <c r="D208" s="443">
        <v>2.5</v>
      </c>
    </row>
    <row r="209" spans="1:4">
      <c r="A209" s="216">
        <v>39641</v>
      </c>
      <c r="B209" s="222" t="s">
        <v>17882</v>
      </c>
      <c r="C209" s="216" t="s">
        <v>17678</v>
      </c>
      <c r="D209" s="443">
        <v>2.2000000000000002</v>
      </c>
    </row>
    <row r="210" spans="1:4">
      <c r="A210" s="216">
        <v>39643</v>
      </c>
      <c r="B210" s="222" t="s">
        <v>17883</v>
      </c>
      <c r="C210" s="216" t="s">
        <v>17678</v>
      </c>
      <c r="D210" s="443">
        <v>2.94</v>
      </c>
    </row>
    <row r="211" spans="1:4">
      <c r="A211" s="216">
        <v>39644</v>
      </c>
      <c r="B211" s="222" t="s">
        <v>17884</v>
      </c>
      <c r="C211" s="216" t="s">
        <v>17678</v>
      </c>
      <c r="D211" s="443">
        <v>4.5599999999999996</v>
      </c>
    </row>
    <row r="212" spans="1:4">
      <c r="A212" s="216">
        <v>39645</v>
      </c>
      <c r="B212" s="222" t="s">
        <v>17885</v>
      </c>
      <c r="C212" s="216" t="s">
        <v>17678</v>
      </c>
      <c r="D212" s="443">
        <v>4.99</v>
      </c>
    </row>
    <row r="213" spans="1:4">
      <c r="A213" s="216">
        <v>41610</v>
      </c>
      <c r="B213" s="222" t="s">
        <v>17886</v>
      </c>
      <c r="C213" s="216" t="s">
        <v>17678</v>
      </c>
      <c r="D213" s="443">
        <v>493.9</v>
      </c>
    </row>
    <row r="214" spans="1:4">
      <c r="A214" s="216">
        <v>41611</v>
      </c>
      <c r="B214" s="222" t="s">
        <v>17887</v>
      </c>
      <c r="C214" s="216" t="s">
        <v>17678</v>
      </c>
      <c r="D214" s="443">
        <v>778.48</v>
      </c>
    </row>
    <row r="215" spans="1:4">
      <c r="A215" s="216">
        <v>41612</v>
      </c>
      <c r="B215" s="222" t="s">
        <v>17888</v>
      </c>
      <c r="C215" s="216" t="s">
        <v>17678</v>
      </c>
      <c r="D215" s="443">
        <v>1093.0999999999999</v>
      </c>
    </row>
    <row r="216" spans="1:4">
      <c r="A216" s="216">
        <v>41637</v>
      </c>
      <c r="B216" s="222" t="s">
        <v>17889</v>
      </c>
      <c r="C216" s="216" t="s">
        <v>17678</v>
      </c>
      <c r="D216" s="443">
        <v>102.18</v>
      </c>
    </row>
    <row r="217" spans="1:4">
      <c r="A217" s="216">
        <v>41638</v>
      </c>
      <c r="B217" s="222" t="s">
        <v>17890</v>
      </c>
      <c r="C217" s="216" t="s">
        <v>17678</v>
      </c>
      <c r="D217" s="443">
        <v>133.1</v>
      </c>
    </row>
    <row r="218" spans="1:4">
      <c r="A218" s="216">
        <v>41639</v>
      </c>
      <c r="B218" s="222" t="s">
        <v>17891</v>
      </c>
      <c r="C218" s="216" t="s">
        <v>17678</v>
      </c>
      <c r="D218" s="443">
        <v>322.01</v>
      </c>
    </row>
    <row r="219" spans="1:4">
      <c r="A219" s="216">
        <v>11789</v>
      </c>
      <c r="B219" s="222" t="s">
        <v>17892</v>
      </c>
      <c r="C219" s="216" t="s">
        <v>17678</v>
      </c>
      <c r="D219" s="443">
        <v>0.52</v>
      </c>
    </row>
    <row r="220" spans="1:4" ht="31.5">
      <c r="A220" s="216">
        <v>20975</v>
      </c>
      <c r="B220" s="222" t="s">
        <v>17893</v>
      </c>
      <c r="C220" s="216" t="s">
        <v>17678</v>
      </c>
      <c r="D220" s="443">
        <v>17.170000000000002</v>
      </c>
    </row>
    <row r="221" spans="1:4" ht="31.5">
      <c r="A221" s="216">
        <v>20976</v>
      </c>
      <c r="B221" s="222" t="s">
        <v>17894</v>
      </c>
      <c r="C221" s="216" t="s">
        <v>17678</v>
      </c>
      <c r="D221" s="443">
        <v>25.95</v>
      </c>
    </row>
    <row r="222" spans="1:4">
      <c r="A222" s="216">
        <v>40340</v>
      </c>
      <c r="B222" s="222" t="s">
        <v>17895</v>
      </c>
      <c r="C222" s="216" t="s">
        <v>17678</v>
      </c>
      <c r="D222" s="443">
        <v>18.760000000000002</v>
      </c>
    </row>
    <row r="223" spans="1:4">
      <c r="A223" s="216">
        <v>40341</v>
      </c>
      <c r="B223" s="222" t="s">
        <v>17896</v>
      </c>
      <c r="C223" s="216" t="s">
        <v>17678</v>
      </c>
      <c r="D223" s="443">
        <v>22.38</v>
      </c>
    </row>
    <row r="224" spans="1:4">
      <c r="A224" s="216">
        <v>40342</v>
      </c>
      <c r="B224" s="222" t="s">
        <v>17897</v>
      </c>
      <c r="C224" s="216" t="s">
        <v>17678</v>
      </c>
      <c r="D224" s="443">
        <v>26.7</v>
      </c>
    </row>
    <row r="225" spans="1:4">
      <c r="A225" s="216">
        <v>40343</v>
      </c>
      <c r="B225" s="222" t="s">
        <v>17898</v>
      </c>
      <c r="C225" s="216" t="s">
        <v>17678</v>
      </c>
      <c r="D225" s="443">
        <v>31.67</v>
      </c>
    </row>
    <row r="226" spans="1:4">
      <c r="A226" s="216">
        <v>40344</v>
      </c>
      <c r="B226" s="222" t="s">
        <v>17899</v>
      </c>
      <c r="C226" s="216" t="s">
        <v>17678</v>
      </c>
      <c r="D226" s="443">
        <v>43.17</v>
      </c>
    </row>
    <row r="227" spans="1:4">
      <c r="A227" s="216">
        <v>40345</v>
      </c>
      <c r="B227" s="222" t="s">
        <v>17900</v>
      </c>
      <c r="C227" s="216" t="s">
        <v>17678</v>
      </c>
      <c r="D227" s="443">
        <v>53.2</v>
      </c>
    </row>
    <row r="228" spans="1:4">
      <c r="A228" s="216">
        <v>40346</v>
      </c>
      <c r="B228" s="222" t="s">
        <v>17901</v>
      </c>
      <c r="C228" s="216" t="s">
        <v>17678</v>
      </c>
      <c r="D228" s="443">
        <v>61.71</v>
      </c>
    </row>
    <row r="229" spans="1:4">
      <c r="A229" s="216">
        <v>40347</v>
      </c>
      <c r="B229" s="222" t="s">
        <v>17902</v>
      </c>
      <c r="C229" s="216" t="s">
        <v>17678</v>
      </c>
      <c r="D229" s="443">
        <v>77.53</v>
      </c>
    </row>
    <row r="230" spans="1:4">
      <c r="A230" s="216">
        <v>6138</v>
      </c>
      <c r="B230" s="222" t="s">
        <v>17903</v>
      </c>
      <c r="C230" s="216" t="s">
        <v>17678</v>
      </c>
      <c r="D230" s="443">
        <v>11.29</v>
      </c>
    </row>
    <row r="231" spans="1:4" ht="31.5">
      <c r="A231" s="216">
        <v>43424</v>
      </c>
      <c r="B231" s="222" t="s">
        <v>17904</v>
      </c>
      <c r="C231" s="216" t="s">
        <v>17678</v>
      </c>
      <c r="D231" s="443">
        <v>413.8</v>
      </c>
    </row>
    <row r="232" spans="1:4" ht="31.5">
      <c r="A232" s="216">
        <v>43426</v>
      </c>
      <c r="B232" s="222" t="s">
        <v>17905</v>
      </c>
      <c r="C232" s="216" t="s">
        <v>17678</v>
      </c>
      <c r="D232" s="443">
        <v>1427.22</v>
      </c>
    </row>
    <row r="233" spans="1:4" ht="31.5">
      <c r="A233" s="216">
        <v>12565</v>
      </c>
      <c r="B233" s="222" t="s">
        <v>17906</v>
      </c>
      <c r="C233" s="216" t="s">
        <v>17678</v>
      </c>
      <c r="D233" s="443">
        <v>500.51</v>
      </c>
    </row>
    <row r="234" spans="1:4" ht="31.5">
      <c r="A234" s="216">
        <v>12567</v>
      </c>
      <c r="B234" s="222" t="s">
        <v>17907</v>
      </c>
      <c r="C234" s="216" t="s">
        <v>17678</v>
      </c>
      <c r="D234" s="443">
        <v>672.26</v>
      </c>
    </row>
    <row r="235" spans="1:4" ht="31.5">
      <c r="A235" s="216">
        <v>12568</v>
      </c>
      <c r="B235" s="222" t="s">
        <v>17908</v>
      </c>
      <c r="C235" s="216" t="s">
        <v>17678</v>
      </c>
      <c r="D235" s="443">
        <v>941.17</v>
      </c>
    </row>
    <row r="236" spans="1:4" ht="31.5">
      <c r="A236" s="216">
        <v>43441</v>
      </c>
      <c r="B236" s="222" t="s">
        <v>17909</v>
      </c>
      <c r="C236" s="216" t="s">
        <v>17678</v>
      </c>
      <c r="D236" s="443">
        <v>121</v>
      </c>
    </row>
    <row r="237" spans="1:4" ht="31.5">
      <c r="A237" s="216">
        <v>43423</v>
      </c>
      <c r="B237" s="222" t="s">
        <v>17910</v>
      </c>
      <c r="C237" s="216" t="s">
        <v>17678</v>
      </c>
      <c r="D237" s="443">
        <v>56.47</v>
      </c>
    </row>
    <row r="238" spans="1:4" ht="31.5">
      <c r="A238" s="216">
        <v>12532</v>
      </c>
      <c r="B238" s="222" t="s">
        <v>17911</v>
      </c>
      <c r="C238" s="216" t="s">
        <v>17678</v>
      </c>
      <c r="D238" s="443">
        <v>87.09</v>
      </c>
    </row>
    <row r="239" spans="1:4" ht="31.5">
      <c r="A239" s="216">
        <v>43444</v>
      </c>
      <c r="B239" s="222" t="s">
        <v>17912</v>
      </c>
      <c r="C239" s="216" t="s">
        <v>17678</v>
      </c>
      <c r="D239" s="443">
        <v>292.43</v>
      </c>
    </row>
    <row r="240" spans="1:4" ht="31.5">
      <c r="A240" s="216">
        <v>12551</v>
      </c>
      <c r="B240" s="222" t="s">
        <v>17913</v>
      </c>
      <c r="C240" s="216" t="s">
        <v>17678</v>
      </c>
      <c r="D240" s="443">
        <v>208.64</v>
      </c>
    </row>
    <row r="241" spans="1:4" ht="31.5">
      <c r="A241" s="216">
        <v>43442</v>
      </c>
      <c r="B241" s="222" t="s">
        <v>17914</v>
      </c>
      <c r="C241" s="216" t="s">
        <v>17678</v>
      </c>
      <c r="D241" s="443">
        <v>161.34</v>
      </c>
    </row>
    <row r="242" spans="1:4" ht="31.5">
      <c r="A242" s="216">
        <v>43443</v>
      </c>
      <c r="B242" s="222" t="s">
        <v>17915</v>
      </c>
      <c r="C242" s="216" t="s">
        <v>17678</v>
      </c>
      <c r="D242" s="443">
        <v>211.76</v>
      </c>
    </row>
    <row r="243" spans="1:4" ht="31.5">
      <c r="A243" s="216">
        <v>12544</v>
      </c>
      <c r="B243" s="222" t="s">
        <v>17916</v>
      </c>
      <c r="C243" s="216" t="s">
        <v>17678</v>
      </c>
      <c r="D243" s="443">
        <v>114.28</v>
      </c>
    </row>
    <row r="244" spans="1:4" ht="31.5">
      <c r="A244" s="216">
        <v>12547</v>
      </c>
      <c r="B244" s="222" t="s">
        <v>17917</v>
      </c>
      <c r="C244" s="216" t="s">
        <v>17678</v>
      </c>
      <c r="D244" s="443">
        <v>153.69999999999999</v>
      </c>
    </row>
    <row r="245" spans="1:4" ht="31.5">
      <c r="A245" s="216">
        <v>43445</v>
      </c>
      <c r="B245" s="222" t="s">
        <v>17918</v>
      </c>
      <c r="C245" s="216" t="s">
        <v>17678</v>
      </c>
      <c r="D245" s="443">
        <v>403.36</v>
      </c>
    </row>
    <row r="246" spans="1:4" ht="31.5">
      <c r="A246" s="216">
        <v>12563</v>
      </c>
      <c r="B246" s="222" t="s">
        <v>17919</v>
      </c>
      <c r="C246" s="216" t="s">
        <v>17678</v>
      </c>
      <c r="D246" s="443">
        <v>288.58999999999997</v>
      </c>
    </row>
    <row r="247" spans="1:4" ht="31.5">
      <c r="A247" s="216">
        <v>43425</v>
      </c>
      <c r="B247" s="222" t="s">
        <v>17920</v>
      </c>
      <c r="C247" s="216" t="s">
        <v>17678</v>
      </c>
      <c r="D247" s="443">
        <v>181.51</v>
      </c>
    </row>
    <row r="248" spans="1:4" ht="31.5">
      <c r="A248" s="216">
        <v>43446</v>
      </c>
      <c r="B248" s="222" t="s">
        <v>17921</v>
      </c>
      <c r="C248" s="216" t="s">
        <v>17678</v>
      </c>
      <c r="D248" s="443">
        <v>383.19</v>
      </c>
    </row>
    <row r="249" spans="1:4" ht="31.5">
      <c r="A249" s="216">
        <v>43447</v>
      </c>
      <c r="B249" s="222" t="s">
        <v>17922</v>
      </c>
      <c r="C249" s="216" t="s">
        <v>17678</v>
      </c>
      <c r="D249" s="443">
        <v>470.58</v>
      </c>
    </row>
    <row r="250" spans="1:4" ht="31.5">
      <c r="A250" s="216">
        <v>43448</v>
      </c>
      <c r="B250" s="222" t="s">
        <v>17923</v>
      </c>
      <c r="C250" s="216" t="s">
        <v>17678</v>
      </c>
      <c r="D250" s="443">
        <v>658.82</v>
      </c>
    </row>
    <row r="251" spans="1:4" ht="31.5">
      <c r="A251" s="216">
        <v>13761</v>
      </c>
      <c r="B251" s="222" t="s">
        <v>17924</v>
      </c>
      <c r="C251" s="216" t="s">
        <v>17678</v>
      </c>
      <c r="D251" s="443">
        <v>2659.16</v>
      </c>
    </row>
    <row r="252" spans="1:4" ht="31.5">
      <c r="A252" s="216">
        <v>4814</v>
      </c>
      <c r="B252" s="222" t="s">
        <v>17925</v>
      </c>
      <c r="C252" s="216" t="s">
        <v>17678</v>
      </c>
      <c r="D252" s="443">
        <v>91.75</v>
      </c>
    </row>
    <row r="253" spans="1:4">
      <c r="A253" s="216">
        <v>44473</v>
      </c>
      <c r="B253" s="222" t="s">
        <v>17926</v>
      </c>
      <c r="C253" s="216" t="s">
        <v>17678</v>
      </c>
      <c r="D253" s="443">
        <v>2847.08</v>
      </c>
    </row>
    <row r="254" spans="1:4">
      <c r="A254" s="216">
        <v>6122</v>
      </c>
      <c r="B254" s="222" t="s">
        <v>17927</v>
      </c>
      <c r="C254" s="216" t="s">
        <v>17826</v>
      </c>
      <c r="D254" s="443">
        <v>21.3</v>
      </c>
    </row>
    <row r="255" spans="1:4">
      <c r="A255" s="216">
        <v>40810</v>
      </c>
      <c r="B255" s="222" t="s">
        <v>17928</v>
      </c>
      <c r="C255" s="216" t="s">
        <v>17828</v>
      </c>
      <c r="D255" s="443">
        <v>3731.37</v>
      </c>
    </row>
    <row r="256" spans="1:4">
      <c r="A256" s="216">
        <v>21100</v>
      </c>
      <c r="B256" s="222" t="s">
        <v>17929</v>
      </c>
      <c r="C256" s="216" t="s">
        <v>17678</v>
      </c>
      <c r="D256" s="443">
        <v>3845.1</v>
      </c>
    </row>
    <row r="257" spans="1:4" ht="31.5">
      <c r="A257" s="216">
        <v>11816</v>
      </c>
      <c r="B257" s="222" t="s">
        <v>17930</v>
      </c>
      <c r="C257" s="216" t="s">
        <v>17678</v>
      </c>
      <c r="D257" s="443">
        <v>4100</v>
      </c>
    </row>
    <row r="258" spans="1:4" ht="31.5">
      <c r="A258" s="216">
        <v>11814</v>
      </c>
      <c r="B258" s="222" t="s">
        <v>17931</v>
      </c>
      <c r="C258" s="216" t="s">
        <v>17678</v>
      </c>
      <c r="D258" s="443">
        <v>8924.67</v>
      </c>
    </row>
    <row r="259" spans="1:4" ht="31.5">
      <c r="A259" s="216">
        <v>14186</v>
      </c>
      <c r="B259" s="222" t="s">
        <v>17932</v>
      </c>
      <c r="C259" s="216" t="s">
        <v>17678</v>
      </c>
      <c r="D259" s="443">
        <v>11206.13</v>
      </c>
    </row>
    <row r="260" spans="1:4" ht="31.5">
      <c r="A260" s="216">
        <v>14185</v>
      </c>
      <c r="B260" s="222" t="s">
        <v>17933</v>
      </c>
      <c r="C260" s="216" t="s">
        <v>17678</v>
      </c>
      <c r="D260" s="443">
        <v>14516.3</v>
      </c>
    </row>
    <row r="261" spans="1:4" ht="31.5">
      <c r="A261" s="216">
        <v>11811</v>
      </c>
      <c r="B261" s="222" t="s">
        <v>17934</v>
      </c>
      <c r="C261" s="216" t="s">
        <v>17678</v>
      </c>
      <c r="D261" s="443">
        <v>5550.48</v>
      </c>
    </row>
    <row r="262" spans="1:4">
      <c r="A262" s="216">
        <v>44498</v>
      </c>
      <c r="B262" s="222" t="s">
        <v>17935</v>
      </c>
      <c r="C262" s="216" t="s">
        <v>17678</v>
      </c>
      <c r="D262" s="443">
        <v>291184.53000000003</v>
      </c>
    </row>
    <row r="263" spans="1:4" ht="31.5">
      <c r="A263" s="216">
        <v>34469</v>
      </c>
      <c r="B263" s="222" t="s">
        <v>17936</v>
      </c>
      <c r="C263" s="216" t="s">
        <v>17678</v>
      </c>
      <c r="D263" s="443">
        <v>10372.16</v>
      </c>
    </row>
    <row r="264" spans="1:4" ht="31.5">
      <c r="A264" s="216">
        <v>34476</v>
      </c>
      <c r="B264" s="222" t="s">
        <v>17937</v>
      </c>
      <c r="C264" s="216" t="s">
        <v>17678</v>
      </c>
      <c r="D264" s="443">
        <v>5409.52</v>
      </c>
    </row>
    <row r="265" spans="1:4" ht="31.5">
      <c r="A265" s="216">
        <v>34477</v>
      </c>
      <c r="B265" s="222" t="s">
        <v>17938</v>
      </c>
      <c r="C265" s="216" t="s">
        <v>17678</v>
      </c>
      <c r="D265" s="443">
        <v>7179.48</v>
      </c>
    </row>
    <row r="266" spans="1:4" ht="31.5">
      <c r="A266" s="216">
        <v>34482</v>
      </c>
      <c r="B266" s="222" t="s">
        <v>17939</v>
      </c>
      <c r="C266" s="216" t="s">
        <v>17678</v>
      </c>
      <c r="D266" s="443">
        <v>6705.24</v>
      </c>
    </row>
    <row r="267" spans="1:4" ht="47.25">
      <c r="A267" s="216">
        <v>34472</v>
      </c>
      <c r="B267" s="222" t="s">
        <v>17940</v>
      </c>
      <c r="C267" s="216" t="s">
        <v>17678</v>
      </c>
      <c r="D267" s="443">
        <v>3191.19</v>
      </c>
    </row>
    <row r="268" spans="1:4" ht="31.5">
      <c r="A268" s="216">
        <v>42425</v>
      </c>
      <c r="B268" s="222" t="s">
        <v>17941</v>
      </c>
      <c r="C268" s="216" t="s">
        <v>17678</v>
      </c>
      <c r="D268" s="443">
        <v>2188.5700000000002</v>
      </c>
    </row>
    <row r="269" spans="1:4" ht="31.5">
      <c r="A269" s="216">
        <v>42422</v>
      </c>
      <c r="B269" s="222" t="s">
        <v>17942</v>
      </c>
      <c r="C269" s="216" t="s">
        <v>17678</v>
      </c>
      <c r="D269" s="443">
        <v>3249</v>
      </c>
    </row>
    <row r="270" spans="1:4" ht="31.5">
      <c r="A270" s="216">
        <v>43184</v>
      </c>
      <c r="B270" s="222" t="s">
        <v>17943</v>
      </c>
      <c r="C270" s="216" t="s">
        <v>17678</v>
      </c>
      <c r="D270" s="443">
        <v>4490.43</v>
      </c>
    </row>
    <row r="271" spans="1:4" ht="31.5">
      <c r="A271" s="216">
        <v>42424</v>
      </c>
      <c r="B271" s="222" t="s">
        <v>17944</v>
      </c>
      <c r="C271" s="216" t="s">
        <v>17678</v>
      </c>
      <c r="D271" s="443">
        <v>1954.58</v>
      </c>
    </row>
    <row r="272" spans="1:4" ht="31.5">
      <c r="A272" s="216">
        <v>42421</v>
      </c>
      <c r="B272" s="222" t="s">
        <v>17945</v>
      </c>
      <c r="C272" s="216" t="s">
        <v>17678</v>
      </c>
      <c r="D272" s="443">
        <v>17796.240000000002</v>
      </c>
    </row>
    <row r="273" spans="1:4" ht="31.5">
      <c r="A273" s="216">
        <v>42416</v>
      </c>
      <c r="B273" s="222" t="s">
        <v>17946</v>
      </c>
      <c r="C273" s="216" t="s">
        <v>17678</v>
      </c>
      <c r="D273" s="443">
        <v>8425.9699999999993</v>
      </c>
    </row>
    <row r="274" spans="1:4" ht="31.5">
      <c r="A274" s="216">
        <v>42417</v>
      </c>
      <c r="B274" s="222" t="s">
        <v>17947</v>
      </c>
      <c r="C274" s="216" t="s">
        <v>17678</v>
      </c>
      <c r="D274" s="443">
        <v>9446.2000000000007</v>
      </c>
    </row>
    <row r="275" spans="1:4" ht="31.5">
      <c r="A275" s="216">
        <v>42419</v>
      </c>
      <c r="B275" s="222" t="s">
        <v>17948</v>
      </c>
      <c r="C275" s="216" t="s">
        <v>17678</v>
      </c>
      <c r="D275" s="443">
        <v>10672.2</v>
      </c>
    </row>
    <row r="276" spans="1:4" ht="31.5">
      <c r="A276" s="216">
        <v>42420</v>
      </c>
      <c r="B276" s="222" t="s">
        <v>17949</v>
      </c>
      <c r="C276" s="216" t="s">
        <v>17678</v>
      </c>
      <c r="D276" s="443">
        <v>14668.15</v>
      </c>
    </row>
    <row r="277" spans="1:4" ht="31.5">
      <c r="A277" s="216">
        <v>43195</v>
      </c>
      <c r="B277" s="222" t="s">
        <v>17950</v>
      </c>
      <c r="C277" s="216" t="s">
        <v>17678</v>
      </c>
      <c r="D277" s="443">
        <v>5164.8599999999997</v>
      </c>
    </row>
    <row r="278" spans="1:4" ht="31.5">
      <c r="A278" s="216">
        <v>43196</v>
      </c>
      <c r="B278" s="222" t="s">
        <v>17951</v>
      </c>
      <c r="C278" s="216" t="s">
        <v>17678</v>
      </c>
      <c r="D278" s="443">
        <v>6401.11</v>
      </c>
    </row>
    <row r="279" spans="1:4" ht="31.5">
      <c r="A279" s="216">
        <v>43198</v>
      </c>
      <c r="B279" s="222" t="s">
        <v>17952</v>
      </c>
      <c r="C279" s="216" t="s">
        <v>17678</v>
      </c>
      <c r="D279" s="443">
        <v>9511.89</v>
      </c>
    </row>
    <row r="280" spans="1:4" ht="31.5">
      <c r="A280" s="216">
        <v>43199</v>
      </c>
      <c r="B280" s="222" t="s">
        <v>17953</v>
      </c>
      <c r="C280" s="216" t="s">
        <v>17678</v>
      </c>
      <c r="D280" s="443">
        <v>9860.44</v>
      </c>
    </row>
    <row r="281" spans="1:4" ht="31.5">
      <c r="A281" s="216">
        <v>43200</v>
      </c>
      <c r="B281" s="222" t="s">
        <v>17954</v>
      </c>
      <c r="C281" s="216" t="s">
        <v>17678</v>
      </c>
      <c r="D281" s="443">
        <v>11315.58</v>
      </c>
    </row>
    <row r="282" spans="1:4" ht="31.5">
      <c r="A282" s="216">
        <v>39556</v>
      </c>
      <c r="B282" s="222" t="s">
        <v>17955</v>
      </c>
      <c r="C282" s="216" t="s">
        <v>17678</v>
      </c>
      <c r="D282" s="443">
        <v>6180.23</v>
      </c>
    </row>
    <row r="283" spans="1:4" ht="31.5">
      <c r="A283" s="216">
        <v>39557</v>
      </c>
      <c r="B283" s="222" t="s">
        <v>17956</v>
      </c>
      <c r="C283" s="216" t="s">
        <v>17678</v>
      </c>
      <c r="D283" s="443">
        <v>6654.76</v>
      </c>
    </row>
    <row r="284" spans="1:4" ht="31.5">
      <c r="A284" s="216">
        <v>39559</v>
      </c>
      <c r="B284" s="222" t="s">
        <v>17957</v>
      </c>
      <c r="C284" s="216" t="s">
        <v>17678</v>
      </c>
      <c r="D284" s="443">
        <v>9834.4599999999991</v>
      </c>
    </row>
    <row r="285" spans="1:4" ht="31.5">
      <c r="A285" s="216">
        <v>39560</v>
      </c>
      <c r="B285" s="222" t="s">
        <v>17958</v>
      </c>
      <c r="C285" s="216" t="s">
        <v>17678</v>
      </c>
      <c r="D285" s="443">
        <v>11377.51</v>
      </c>
    </row>
    <row r="286" spans="1:4" ht="31.5">
      <c r="A286" s="216">
        <v>39561</v>
      </c>
      <c r="B286" s="222" t="s">
        <v>17959</v>
      </c>
      <c r="C286" s="216" t="s">
        <v>17678</v>
      </c>
      <c r="D286" s="443">
        <v>11902.33</v>
      </c>
    </row>
    <row r="287" spans="1:4" ht="31.5">
      <c r="A287" s="216">
        <v>43190</v>
      </c>
      <c r="B287" s="222" t="s">
        <v>17960</v>
      </c>
      <c r="C287" s="216" t="s">
        <v>17678</v>
      </c>
      <c r="D287" s="443">
        <v>1756.47</v>
      </c>
    </row>
    <row r="288" spans="1:4" ht="31.5">
      <c r="A288" s="216">
        <v>39555</v>
      </c>
      <c r="B288" s="222" t="s">
        <v>17961</v>
      </c>
      <c r="C288" s="216" t="s">
        <v>17678</v>
      </c>
      <c r="D288" s="443">
        <v>1900.04</v>
      </c>
    </row>
    <row r="289" spans="1:4" ht="31.5">
      <c r="A289" s="216">
        <v>43191</v>
      </c>
      <c r="B289" s="222" t="s">
        <v>17962</v>
      </c>
      <c r="C289" s="216" t="s">
        <v>17678</v>
      </c>
      <c r="D289" s="443">
        <v>2527.3200000000002</v>
      </c>
    </row>
    <row r="290" spans="1:4" ht="31.5">
      <c r="A290" s="216">
        <v>39548</v>
      </c>
      <c r="B290" s="222" t="s">
        <v>17963</v>
      </c>
      <c r="C290" s="216" t="s">
        <v>17678</v>
      </c>
      <c r="D290" s="443">
        <v>2818.35</v>
      </c>
    </row>
    <row r="291" spans="1:4" ht="31.5">
      <c r="A291" s="216">
        <v>43192</v>
      </c>
      <c r="B291" s="222" t="s">
        <v>17964</v>
      </c>
      <c r="C291" s="216" t="s">
        <v>17678</v>
      </c>
      <c r="D291" s="443">
        <v>3310.57</v>
      </c>
    </row>
    <row r="292" spans="1:4" ht="31.5">
      <c r="A292" s="216">
        <v>39554</v>
      </c>
      <c r="B292" s="222" t="s">
        <v>17965</v>
      </c>
      <c r="C292" s="216" t="s">
        <v>17678</v>
      </c>
      <c r="D292" s="443">
        <v>3726.85</v>
      </c>
    </row>
    <row r="293" spans="1:4" ht="31.5">
      <c r="A293" s="216">
        <v>43194</v>
      </c>
      <c r="B293" s="222" t="s">
        <v>17966</v>
      </c>
      <c r="C293" s="216" t="s">
        <v>17678</v>
      </c>
      <c r="D293" s="443">
        <v>1504.71</v>
      </c>
    </row>
    <row r="294" spans="1:4" ht="31.5">
      <c r="A294" s="216">
        <v>39551</v>
      </c>
      <c r="B294" s="222" t="s">
        <v>17967</v>
      </c>
      <c r="C294" s="216" t="s">
        <v>17678</v>
      </c>
      <c r="D294" s="443">
        <v>1656.85</v>
      </c>
    </row>
    <row r="295" spans="1:4" ht="31.5">
      <c r="A295" s="216">
        <v>43185</v>
      </c>
      <c r="B295" s="222" t="s">
        <v>17968</v>
      </c>
      <c r="C295" s="216" t="s">
        <v>17678</v>
      </c>
      <c r="D295" s="443">
        <v>4708.47</v>
      </c>
    </row>
    <row r="296" spans="1:4" ht="31.5">
      <c r="A296" s="216">
        <v>43186</v>
      </c>
      <c r="B296" s="222" t="s">
        <v>17969</v>
      </c>
      <c r="C296" s="216" t="s">
        <v>17678</v>
      </c>
      <c r="D296" s="443">
        <v>4966.49</v>
      </c>
    </row>
    <row r="297" spans="1:4" ht="31.5">
      <c r="A297" s="216">
        <v>43187</v>
      </c>
      <c r="B297" s="222" t="s">
        <v>17970</v>
      </c>
      <c r="C297" s="216" t="s">
        <v>17678</v>
      </c>
      <c r="D297" s="443">
        <v>6590.58</v>
      </c>
    </row>
    <row r="298" spans="1:4" ht="31.5">
      <c r="A298" s="216">
        <v>43188</v>
      </c>
      <c r="B298" s="222" t="s">
        <v>17971</v>
      </c>
      <c r="C298" s="216" t="s">
        <v>17678</v>
      </c>
      <c r="D298" s="443">
        <v>7985.36</v>
      </c>
    </row>
    <row r="299" spans="1:4" ht="31.5">
      <c r="A299" s="216">
        <v>43189</v>
      </c>
      <c r="B299" s="222" t="s">
        <v>17972</v>
      </c>
      <c r="C299" s="216" t="s">
        <v>17678</v>
      </c>
      <c r="D299" s="443">
        <v>8982.2000000000007</v>
      </c>
    </row>
    <row r="300" spans="1:4">
      <c r="A300" s="216">
        <v>39580</v>
      </c>
      <c r="B300" s="222" t="s">
        <v>17973</v>
      </c>
      <c r="C300" s="216" t="s">
        <v>17678</v>
      </c>
      <c r="D300" s="443">
        <v>70783.42</v>
      </c>
    </row>
    <row r="301" spans="1:4">
      <c r="A301" s="216">
        <v>39577</v>
      </c>
      <c r="B301" s="222" t="s">
        <v>17974</v>
      </c>
      <c r="C301" s="216" t="s">
        <v>17678</v>
      </c>
      <c r="D301" s="443">
        <v>22155.06</v>
      </c>
    </row>
    <row r="302" spans="1:4">
      <c r="A302" s="216">
        <v>39578</v>
      </c>
      <c r="B302" s="222" t="s">
        <v>17975</v>
      </c>
      <c r="C302" s="216" t="s">
        <v>17678</v>
      </c>
      <c r="D302" s="443">
        <v>28591.54</v>
      </c>
    </row>
    <row r="303" spans="1:4">
      <c r="A303" s="216">
        <v>39579</v>
      </c>
      <c r="B303" s="222" t="s">
        <v>17976</v>
      </c>
      <c r="C303" s="216" t="s">
        <v>17678</v>
      </c>
      <c r="D303" s="443">
        <v>41598.46</v>
      </c>
    </row>
    <row r="304" spans="1:4" ht="31.5">
      <c r="A304" s="216">
        <v>39826</v>
      </c>
      <c r="B304" s="222" t="s">
        <v>17977</v>
      </c>
      <c r="C304" s="216" t="s">
        <v>17678</v>
      </c>
      <c r="D304" s="443">
        <v>5109.05</v>
      </c>
    </row>
    <row r="305" spans="1:4">
      <c r="A305" s="216">
        <v>10700</v>
      </c>
      <c r="B305" s="222" t="s">
        <v>17978</v>
      </c>
      <c r="C305" s="216" t="s">
        <v>17678</v>
      </c>
      <c r="D305" s="443">
        <v>27657.17</v>
      </c>
    </row>
    <row r="306" spans="1:4">
      <c r="A306" s="216">
        <v>346</v>
      </c>
      <c r="B306" s="222" t="s">
        <v>17979</v>
      </c>
      <c r="C306" s="216" t="s">
        <v>17726</v>
      </c>
      <c r="D306" s="443">
        <v>31.07</v>
      </c>
    </row>
    <row r="307" spans="1:4">
      <c r="A307" s="216">
        <v>3312</v>
      </c>
      <c r="B307" s="222" t="s">
        <v>17980</v>
      </c>
      <c r="C307" s="216" t="s">
        <v>17726</v>
      </c>
      <c r="D307" s="443">
        <v>27.52</v>
      </c>
    </row>
    <row r="308" spans="1:4">
      <c r="A308" s="216">
        <v>339</v>
      </c>
      <c r="B308" s="222" t="s">
        <v>17981</v>
      </c>
      <c r="C308" s="216" t="s">
        <v>17722</v>
      </c>
      <c r="D308" s="443">
        <v>1.6</v>
      </c>
    </row>
    <row r="309" spans="1:4">
      <c r="A309" s="216">
        <v>340</v>
      </c>
      <c r="B309" s="222" t="s">
        <v>17982</v>
      </c>
      <c r="C309" s="216" t="s">
        <v>17722</v>
      </c>
      <c r="D309" s="443">
        <v>1.44</v>
      </c>
    </row>
    <row r="310" spans="1:4">
      <c r="A310" s="216">
        <v>43130</v>
      </c>
      <c r="B310" s="222" t="s">
        <v>17983</v>
      </c>
      <c r="C310" s="216" t="s">
        <v>17726</v>
      </c>
      <c r="D310" s="443">
        <v>26.23</v>
      </c>
    </row>
    <row r="311" spans="1:4">
      <c r="A311" s="216">
        <v>344</v>
      </c>
      <c r="B311" s="222" t="s">
        <v>17984</v>
      </c>
      <c r="C311" s="216" t="s">
        <v>17726</v>
      </c>
      <c r="D311" s="443">
        <v>34.479999999999997</v>
      </c>
    </row>
    <row r="312" spans="1:4">
      <c r="A312" s="216">
        <v>345</v>
      </c>
      <c r="B312" s="222" t="s">
        <v>17985</v>
      </c>
      <c r="C312" s="216" t="s">
        <v>17726</v>
      </c>
      <c r="D312" s="443">
        <v>37.409999999999997</v>
      </c>
    </row>
    <row r="313" spans="1:4" ht="31.5">
      <c r="A313" s="216">
        <v>43131</v>
      </c>
      <c r="B313" s="222" t="s">
        <v>17986</v>
      </c>
      <c r="C313" s="216" t="s">
        <v>17726</v>
      </c>
      <c r="D313" s="443">
        <v>30.47</v>
      </c>
    </row>
    <row r="314" spans="1:4">
      <c r="A314" s="216">
        <v>3313</v>
      </c>
      <c r="B314" s="222" t="s">
        <v>17987</v>
      </c>
      <c r="C314" s="216" t="s">
        <v>17726</v>
      </c>
      <c r="D314" s="443">
        <v>35.409999999999997</v>
      </c>
    </row>
    <row r="315" spans="1:4">
      <c r="A315" s="216">
        <v>43132</v>
      </c>
      <c r="B315" s="222" t="s">
        <v>17988</v>
      </c>
      <c r="C315" s="216" t="s">
        <v>17726</v>
      </c>
      <c r="D315" s="443">
        <v>26.23</v>
      </c>
    </row>
    <row r="316" spans="1:4">
      <c r="A316" s="216">
        <v>366</v>
      </c>
      <c r="B316" s="222" t="s">
        <v>17989</v>
      </c>
      <c r="C316" s="216" t="s">
        <v>17824</v>
      </c>
      <c r="D316" s="443">
        <v>86.75</v>
      </c>
    </row>
    <row r="317" spans="1:4">
      <c r="A317" s="216">
        <v>367</v>
      </c>
      <c r="B317" s="222" t="s">
        <v>17990</v>
      </c>
      <c r="C317" s="216" t="s">
        <v>17824</v>
      </c>
      <c r="D317" s="443">
        <v>87.88</v>
      </c>
    </row>
    <row r="318" spans="1:4">
      <c r="A318" s="216">
        <v>370</v>
      </c>
      <c r="B318" s="222" t="s">
        <v>17991</v>
      </c>
      <c r="C318" s="216" t="s">
        <v>17824</v>
      </c>
      <c r="D318" s="443">
        <v>86.75</v>
      </c>
    </row>
    <row r="319" spans="1:4">
      <c r="A319" s="216">
        <v>368</v>
      </c>
      <c r="B319" s="222" t="s">
        <v>17992</v>
      </c>
      <c r="C319" s="216" t="s">
        <v>17824</v>
      </c>
      <c r="D319" s="443">
        <v>43.37</v>
      </c>
    </row>
    <row r="320" spans="1:4" ht="31.5">
      <c r="A320" s="216">
        <v>11075</v>
      </c>
      <c r="B320" s="222" t="s">
        <v>17993</v>
      </c>
      <c r="C320" s="216" t="s">
        <v>17824</v>
      </c>
      <c r="D320" s="443">
        <v>995.62</v>
      </c>
    </row>
    <row r="321" spans="1:4">
      <c r="A321" s="216">
        <v>1381</v>
      </c>
      <c r="B321" s="222" t="s">
        <v>17994</v>
      </c>
      <c r="C321" s="216" t="s">
        <v>17726</v>
      </c>
      <c r="D321" s="443">
        <v>0.73</v>
      </c>
    </row>
    <row r="322" spans="1:4">
      <c r="A322" s="216">
        <v>34353</v>
      </c>
      <c r="B322" s="222" t="s">
        <v>17995</v>
      </c>
      <c r="C322" s="216" t="s">
        <v>17726</v>
      </c>
      <c r="D322" s="443">
        <v>1.35</v>
      </c>
    </row>
    <row r="323" spans="1:4">
      <c r="A323" s="216">
        <v>37595</v>
      </c>
      <c r="B323" s="222" t="s">
        <v>17996</v>
      </c>
      <c r="C323" s="216" t="s">
        <v>17726</v>
      </c>
      <c r="D323" s="443">
        <v>2.2400000000000002</v>
      </c>
    </row>
    <row r="324" spans="1:4">
      <c r="A324" s="216">
        <v>37596</v>
      </c>
      <c r="B324" s="222" t="s">
        <v>17997</v>
      </c>
      <c r="C324" s="216" t="s">
        <v>17726</v>
      </c>
      <c r="D324" s="443">
        <v>2.57</v>
      </c>
    </row>
    <row r="325" spans="1:4" ht="31.5">
      <c r="A325" s="216">
        <v>371</v>
      </c>
      <c r="B325" s="222" t="s">
        <v>17998</v>
      </c>
      <c r="C325" s="216" t="s">
        <v>17726</v>
      </c>
      <c r="D325" s="443">
        <v>0.79</v>
      </c>
    </row>
    <row r="326" spans="1:4">
      <c r="A326" s="216">
        <v>37553</v>
      </c>
      <c r="B326" s="222" t="s">
        <v>17999</v>
      </c>
      <c r="C326" s="216" t="s">
        <v>17726</v>
      </c>
      <c r="D326" s="443">
        <v>1.49</v>
      </c>
    </row>
    <row r="327" spans="1:4">
      <c r="A327" s="216">
        <v>37552</v>
      </c>
      <c r="B327" s="222" t="s">
        <v>18000</v>
      </c>
      <c r="C327" s="216" t="s">
        <v>17726</v>
      </c>
      <c r="D327" s="443">
        <v>2.39</v>
      </c>
    </row>
    <row r="328" spans="1:4">
      <c r="A328" s="216">
        <v>36880</v>
      </c>
      <c r="B328" s="222" t="s">
        <v>18001</v>
      </c>
      <c r="C328" s="216" t="s">
        <v>17726</v>
      </c>
      <c r="D328" s="443">
        <v>2.4300000000000002</v>
      </c>
    </row>
    <row r="329" spans="1:4">
      <c r="A329" s="216">
        <v>34355</v>
      </c>
      <c r="B329" s="222" t="s">
        <v>18002</v>
      </c>
      <c r="C329" s="216" t="s">
        <v>17726</v>
      </c>
      <c r="D329" s="443">
        <v>2.09</v>
      </c>
    </row>
    <row r="330" spans="1:4">
      <c r="A330" s="216">
        <v>130</v>
      </c>
      <c r="B330" s="222" t="s">
        <v>18003</v>
      </c>
      <c r="C330" s="216" t="s">
        <v>17726</v>
      </c>
      <c r="D330" s="443">
        <v>3.98</v>
      </c>
    </row>
    <row r="331" spans="1:4" ht="31.5">
      <c r="A331" s="216">
        <v>135</v>
      </c>
      <c r="B331" s="222" t="s">
        <v>18004</v>
      </c>
      <c r="C331" s="216" t="s">
        <v>17726</v>
      </c>
      <c r="D331" s="443">
        <v>3.2</v>
      </c>
    </row>
    <row r="332" spans="1:4">
      <c r="A332" s="216">
        <v>36886</v>
      </c>
      <c r="B332" s="222" t="s">
        <v>18005</v>
      </c>
      <c r="C332" s="216" t="s">
        <v>17726</v>
      </c>
      <c r="D332" s="443">
        <v>0.75</v>
      </c>
    </row>
    <row r="333" spans="1:4">
      <c r="A333" s="216">
        <v>38546</v>
      </c>
      <c r="B333" s="222" t="s">
        <v>18006</v>
      </c>
      <c r="C333" s="216" t="s">
        <v>17824</v>
      </c>
      <c r="D333" s="443">
        <v>447.37</v>
      </c>
    </row>
    <row r="334" spans="1:4">
      <c r="A334" s="216">
        <v>34549</v>
      </c>
      <c r="B334" s="222" t="s">
        <v>18007</v>
      </c>
      <c r="C334" s="216" t="s">
        <v>17824</v>
      </c>
      <c r="D334" s="443">
        <v>748.31</v>
      </c>
    </row>
    <row r="335" spans="1:4">
      <c r="A335" s="216">
        <v>6081</v>
      </c>
      <c r="B335" s="222" t="s">
        <v>18008</v>
      </c>
      <c r="C335" s="216" t="s">
        <v>17824</v>
      </c>
      <c r="D335" s="443">
        <v>52.38</v>
      </c>
    </row>
    <row r="336" spans="1:4">
      <c r="A336" s="216">
        <v>6077</v>
      </c>
      <c r="B336" s="222" t="s">
        <v>18009</v>
      </c>
      <c r="C336" s="216" t="s">
        <v>17824</v>
      </c>
      <c r="D336" s="443">
        <v>37.409999999999997</v>
      </c>
    </row>
    <row r="337" spans="1:4">
      <c r="A337" s="216">
        <v>6079</v>
      </c>
      <c r="B337" s="222" t="s">
        <v>18010</v>
      </c>
      <c r="C337" s="216" t="s">
        <v>17824</v>
      </c>
      <c r="D337" s="443">
        <v>37.409999999999997</v>
      </c>
    </row>
    <row r="338" spans="1:4" ht="31.5">
      <c r="A338" s="216">
        <v>1091</v>
      </c>
      <c r="B338" s="222" t="s">
        <v>18011</v>
      </c>
      <c r="C338" s="216" t="s">
        <v>17678</v>
      </c>
      <c r="D338" s="443">
        <v>15.56</v>
      </c>
    </row>
    <row r="339" spans="1:4" ht="31.5">
      <c r="A339" s="216">
        <v>1094</v>
      </c>
      <c r="B339" s="222" t="s">
        <v>18012</v>
      </c>
      <c r="C339" s="216" t="s">
        <v>17678</v>
      </c>
      <c r="D339" s="443">
        <v>10.88</v>
      </c>
    </row>
    <row r="340" spans="1:4" ht="31.5">
      <c r="A340" s="216">
        <v>1095</v>
      </c>
      <c r="B340" s="222" t="s">
        <v>18013</v>
      </c>
      <c r="C340" s="216" t="s">
        <v>17678</v>
      </c>
      <c r="D340" s="443">
        <v>23.13</v>
      </c>
    </row>
    <row r="341" spans="1:4" ht="31.5">
      <c r="A341" s="216">
        <v>1092</v>
      </c>
      <c r="B341" s="222" t="s">
        <v>18014</v>
      </c>
      <c r="C341" s="216" t="s">
        <v>17678</v>
      </c>
      <c r="D341" s="443">
        <v>17.899999999999999</v>
      </c>
    </row>
    <row r="342" spans="1:4" ht="31.5">
      <c r="A342" s="216">
        <v>1093</v>
      </c>
      <c r="B342" s="222" t="s">
        <v>18015</v>
      </c>
      <c r="C342" s="216" t="s">
        <v>17678</v>
      </c>
      <c r="D342" s="443">
        <v>41.8</v>
      </c>
    </row>
    <row r="343" spans="1:4" ht="31.5">
      <c r="A343" s="216">
        <v>1090</v>
      </c>
      <c r="B343" s="222" t="s">
        <v>18016</v>
      </c>
      <c r="C343" s="216" t="s">
        <v>17678</v>
      </c>
      <c r="D343" s="443">
        <v>29.93</v>
      </c>
    </row>
    <row r="344" spans="1:4" ht="31.5">
      <c r="A344" s="216">
        <v>1096</v>
      </c>
      <c r="B344" s="222" t="s">
        <v>18017</v>
      </c>
      <c r="C344" s="216" t="s">
        <v>17678</v>
      </c>
      <c r="D344" s="443">
        <v>53.86</v>
      </c>
    </row>
    <row r="345" spans="1:4" ht="31.5">
      <c r="A345" s="216">
        <v>1097</v>
      </c>
      <c r="B345" s="222" t="s">
        <v>18018</v>
      </c>
      <c r="C345" s="216" t="s">
        <v>17678</v>
      </c>
      <c r="D345" s="443">
        <v>45.72</v>
      </c>
    </row>
    <row r="346" spans="1:4">
      <c r="A346" s="216">
        <v>378</v>
      </c>
      <c r="B346" s="222" t="s">
        <v>18019</v>
      </c>
      <c r="C346" s="216" t="s">
        <v>17826</v>
      </c>
      <c r="D346" s="443">
        <v>24.15</v>
      </c>
    </row>
    <row r="347" spans="1:4">
      <c r="A347" s="216">
        <v>40911</v>
      </c>
      <c r="B347" s="222" t="s">
        <v>18020</v>
      </c>
      <c r="C347" s="216" t="s">
        <v>17828</v>
      </c>
      <c r="D347" s="443">
        <v>4228.24</v>
      </c>
    </row>
    <row r="348" spans="1:4">
      <c r="A348" s="216">
        <v>33939</v>
      </c>
      <c r="B348" s="222" t="s">
        <v>18021</v>
      </c>
      <c r="C348" s="216" t="s">
        <v>17826</v>
      </c>
      <c r="D348" s="443">
        <v>80.459999999999994</v>
      </c>
    </row>
    <row r="349" spans="1:4">
      <c r="A349" s="216">
        <v>40815</v>
      </c>
      <c r="B349" s="222" t="s">
        <v>18022</v>
      </c>
      <c r="C349" s="216" t="s">
        <v>17828</v>
      </c>
      <c r="D349" s="443">
        <v>14087.87</v>
      </c>
    </row>
    <row r="350" spans="1:4">
      <c r="A350" s="216">
        <v>34760</v>
      </c>
      <c r="B350" s="222" t="s">
        <v>18023</v>
      </c>
      <c r="C350" s="216" t="s">
        <v>17826</v>
      </c>
      <c r="D350" s="443">
        <v>77.88</v>
      </c>
    </row>
    <row r="351" spans="1:4">
      <c r="A351" s="216">
        <v>40935</v>
      </c>
      <c r="B351" s="222" t="s">
        <v>18024</v>
      </c>
      <c r="C351" s="216" t="s">
        <v>17828</v>
      </c>
      <c r="D351" s="443">
        <v>13637.57</v>
      </c>
    </row>
    <row r="352" spans="1:4">
      <c r="A352" s="216">
        <v>33952</v>
      </c>
      <c r="B352" s="222" t="s">
        <v>18025</v>
      </c>
      <c r="C352" s="216" t="s">
        <v>17826</v>
      </c>
      <c r="D352" s="443">
        <v>114.29</v>
      </c>
    </row>
    <row r="353" spans="1:4">
      <c r="A353" s="216">
        <v>40816</v>
      </c>
      <c r="B353" s="222" t="s">
        <v>18026</v>
      </c>
      <c r="C353" s="216" t="s">
        <v>17828</v>
      </c>
      <c r="D353" s="443">
        <v>20010.650000000001</v>
      </c>
    </row>
    <row r="354" spans="1:4">
      <c r="A354" s="216">
        <v>33953</v>
      </c>
      <c r="B354" s="222" t="s">
        <v>18027</v>
      </c>
      <c r="C354" s="216" t="s">
        <v>17826</v>
      </c>
      <c r="D354" s="443">
        <v>151.09</v>
      </c>
    </row>
    <row r="355" spans="1:4">
      <c r="A355" s="216">
        <v>40817</v>
      </c>
      <c r="B355" s="222" t="s">
        <v>18028</v>
      </c>
      <c r="C355" s="216" t="s">
        <v>17828</v>
      </c>
      <c r="D355" s="443">
        <v>26455.87</v>
      </c>
    </row>
    <row r="356" spans="1:4">
      <c r="A356" s="216">
        <v>13348</v>
      </c>
      <c r="B356" s="222" t="s">
        <v>18029</v>
      </c>
      <c r="C356" s="216" t="s">
        <v>17678</v>
      </c>
      <c r="D356" s="443">
        <v>1.79</v>
      </c>
    </row>
    <row r="357" spans="1:4">
      <c r="A357" s="216">
        <v>39211</v>
      </c>
      <c r="B357" s="222" t="s">
        <v>18030</v>
      </c>
      <c r="C357" s="216" t="s">
        <v>17678</v>
      </c>
      <c r="D357" s="443">
        <v>1.87</v>
      </c>
    </row>
    <row r="358" spans="1:4">
      <c r="A358" s="216">
        <v>39212</v>
      </c>
      <c r="B358" s="222" t="s">
        <v>18031</v>
      </c>
      <c r="C358" s="216" t="s">
        <v>17678</v>
      </c>
      <c r="D358" s="443">
        <v>2.08</v>
      </c>
    </row>
    <row r="359" spans="1:4">
      <c r="A359" s="216">
        <v>39208</v>
      </c>
      <c r="B359" s="222" t="s">
        <v>18032</v>
      </c>
      <c r="C359" s="216" t="s">
        <v>17678</v>
      </c>
      <c r="D359" s="443">
        <v>0.56999999999999995</v>
      </c>
    </row>
    <row r="360" spans="1:4">
      <c r="A360" s="216">
        <v>39210</v>
      </c>
      <c r="B360" s="222" t="s">
        <v>18033</v>
      </c>
      <c r="C360" s="216" t="s">
        <v>17678</v>
      </c>
      <c r="D360" s="443">
        <v>1.04</v>
      </c>
    </row>
    <row r="361" spans="1:4">
      <c r="A361" s="216">
        <v>39214</v>
      </c>
      <c r="B361" s="222" t="s">
        <v>18034</v>
      </c>
      <c r="C361" s="216" t="s">
        <v>17678</v>
      </c>
      <c r="D361" s="443">
        <v>3.85</v>
      </c>
    </row>
    <row r="362" spans="1:4">
      <c r="A362" s="216">
        <v>39213</v>
      </c>
      <c r="B362" s="222" t="s">
        <v>18035</v>
      </c>
      <c r="C362" s="216" t="s">
        <v>17678</v>
      </c>
      <c r="D362" s="443">
        <v>2.72</v>
      </c>
    </row>
    <row r="363" spans="1:4">
      <c r="A363" s="216">
        <v>39209</v>
      </c>
      <c r="B363" s="222" t="s">
        <v>18036</v>
      </c>
      <c r="C363" s="216" t="s">
        <v>17678</v>
      </c>
      <c r="D363" s="443">
        <v>0.67</v>
      </c>
    </row>
    <row r="364" spans="1:4">
      <c r="A364" s="216">
        <v>39207</v>
      </c>
      <c r="B364" s="222" t="s">
        <v>18037</v>
      </c>
      <c r="C364" s="216" t="s">
        <v>17678</v>
      </c>
      <c r="D364" s="443">
        <v>1.04</v>
      </c>
    </row>
    <row r="365" spans="1:4">
      <c r="A365" s="216">
        <v>39215</v>
      </c>
      <c r="B365" s="222" t="s">
        <v>18038</v>
      </c>
      <c r="C365" s="216" t="s">
        <v>17678</v>
      </c>
      <c r="D365" s="443">
        <v>7.02</v>
      </c>
    </row>
    <row r="366" spans="1:4">
      <c r="A366" s="216">
        <v>39216</v>
      </c>
      <c r="B366" s="222" t="s">
        <v>18039</v>
      </c>
      <c r="C366" s="216" t="s">
        <v>17678</v>
      </c>
      <c r="D366" s="443">
        <v>9.8000000000000007</v>
      </c>
    </row>
    <row r="367" spans="1:4" ht="31.5">
      <c r="A367" s="216">
        <v>11267</v>
      </c>
      <c r="B367" s="222" t="s">
        <v>18040</v>
      </c>
      <c r="C367" s="216" t="s">
        <v>17678</v>
      </c>
      <c r="D367" s="443">
        <v>1.56</v>
      </c>
    </row>
    <row r="368" spans="1:4">
      <c r="A368" s="216">
        <v>379</v>
      </c>
      <c r="B368" s="222" t="s">
        <v>18041</v>
      </c>
      <c r="C368" s="216" t="s">
        <v>17678</v>
      </c>
      <c r="D368" s="443">
        <v>1.57</v>
      </c>
    </row>
    <row r="369" spans="1:4" ht="31.5">
      <c r="A369" s="216">
        <v>510</v>
      </c>
      <c r="B369" s="222" t="s">
        <v>18042</v>
      </c>
      <c r="C369" s="216" t="s">
        <v>17726</v>
      </c>
      <c r="D369" s="443">
        <v>11.84</v>
      </c>
    </row>
    <row r="370" spans="1:4" ht="31.5">
      <c r="A370" s="216">
        <v>516</v>
      </c>
      <c r="B370" s="222" t="s">
        <v>18043</v>
      </c>
      <c r="C370" s="216" t="s">
        <v>17726</v>
      </c>
      <c r="D370" s="443">
        <v>14.03</v>
      </c>
    </row>
    <row r="371" spans="1:4" ht="31.5">
      <c r="A371" s="216">
        <v>509</v>
      </c>
      <c r="B371" s="222" t="s">
        <v>18044</v>
      </c>
      <c r="C371" s="216" t="s">
        <v>17726</v>
      </c>
      <c r="D371" s="443">
        <v>15.74</v>
      </c>
    </row>
    <row r="372" spans="1:4">
      <c r="A372" s="216">
        <v>40331</v>
      </c>
      <c r="B372" s="222" t="s">
        <v>18045</v>
      </c>
      <c r="C372" s="216" t="s">
        <v>17826</v>
      </c>
      <c r="D372" s="443">
        <v>22.32</v>
      </c>
    </row>
    <row r="373" spans="1:4">
      <c r="A373" s="216">
        <v>40930</v>
      </c>
      <c r="B373" s="222" t="s">
        <v>18046</v>
      </c>
      <c r="C373" s="216" t="s">
        <v>17828</v>
      </c>
      <c r="D373" s="443">
        <v>3912.15</v>
      </c>
    </row>
    <row r="374" spans="1:4">
      <c r="A374" s="216">
        <v>11761</v>
      </c>
      <c r="B374" s="222" t="s">
        <v>18047</v>
      </c>
      <c r="C374" s="216" t="s">
        <v>17678</v>
      </c>
      <c r="D374" s="443">
        <v>82.78</v>
      </c>
    </row>
    <row r="375" spans="1:4">
      <c r="A375" s="216">
        <v>377</v>
      </c>
      <c r="B375" s="222" t="s">
        <v>18048</v>
      </c>
      <c r="C375" s="216" t="s">
        <v>17678</v>
      </c>
      <c r="D375" s="443">
        <v>38.9</v>
      </c>
    </row>
    <row r="376" spans="1:4">
      <c r="A376" s="216">
        <v>7588</v>
      </c>
      <c r="B376" s="222" t="s">
        <v>18049</v>
      </c>
      <c r="C376" s="216" t="s">
        <v>17678</v>
      </c>
      <c r="D376" s="443">
        <v>39.9</v>
      </c>
    </row>
    <row r="377" spans="1:4">
      <c r="A377" s="216">
        <v>34392</v>
      </c>
      <c r="B377" s="222" t="s">
        <v>18050</v>
      </c>
      <c r="C377" s="216" t="s">
        <v>17826</v>
      </c>
      <c r="D377" s="443">
        <v>18.48</v>
      </c>
    </row>
    <row r="378" spans="1:4">
      <c r="A378" s="216">
        <v>40908</v>
      </c>
      <c r="B378" s="222" t="s">
        <v>18051</v>
      </c>
      <c r="C378" s="216" t="s">
        <v>17828</v>
      </c>
      <c r="D378" s="443">
        <v>3237.11</v>
      </c>
    </row>
    <row r="379" spans="1:4">
      <c r="A379" s="216">
        <v>34551</v>
      </c>
      <c r="B379" s="222" t="s">
        <v>18052</v>
      </c>
      <c r="C379" s="216" t="s">
        <v>17826</v>
      </c>
      <c r="D379" s="443">
        <v>17.03</v>
      </c>
    </row>
    <row r="380" spans="1:4">
      <c r="A380" s="216">
        <v>41078</v>
      </c>
      <c r="B380" s="222" t="s">
        <v>18053</v>
      </c>
      <c r="C380" s="216" t="s">
        <v>17828</v>
      </c>
      <c r="D380" s="443">
        <v>2984.91</v>
      </c>
    </row>
    <row r="381" spans="1:4">
      <c r="A381" s="216">
        <v>246</v>
      </c>
      <c r="B381" s="222" t="s">
        <v>18054</v>
      </c>
      <c r="C381" s="216" t="s">
        <v>17826</v>
      </c>
      <c r="D381" s="443">
        <v>18.48</v>
      </c>
    </row>
    <row r="382" spans="1:4">
      <c r="A382" s="216">
        <v>40927</v>
      </c>
      <c r="B382" s="222" t="s">
        <v>18055</v>
      </c>
      <c r="C382" s="216" t="s">
        <v>17828</v>
      </c>
      <c r="D382" s="443">
        <v>3237.11</v>
      </c>
    </row>
    <row r="383" spans="1:4">
      <c r="A383" s="216">
        <v>2350</v>
      </c>
      <c r="B383" s="222" t="s">
        <v>18056</v>
      </c>
      <c r="C383" s="216" t="s">
        <v>17826</v>
      </c>
      <c r="D383" s="443">
        <v>19.329999999999998</v>
      </c>
    </row>
    <row r="384" spans="1:4">
      <c r="A384" s="216">
        <v>40812</v>
      </c>
      <c r="B384" s="222" t="s">
        <v>18057</v>
      </c>
      <c r="C384" s="216" t="s">
        <v>17828</v>
      </c>
      <c r="D384" s="443">
        <v>3387.63</v>
      </c>
    </row>
    <row r="385" spans="1:4">
      <c r="A385" s="216">
        <v>245</v>
      </c>
      <c r="B385" s="222" t="s">
        <v>18058</v>
      </c>
      <c r="C385" s="216" t="s">
        <v>17826</v>
      </c>
      <c r="D385" s="443">
        <v>25.77</v>
      </c>
    </row>
    <row r="386" spans="1:4">
      <c r="A386" s="216">
        <v>41090</v>
      </c>
      <c r="B386" s="222" t="s">
        <v>18059</v>
      </c>
      <c r="C386" s="216" t="s">
        <v>17828</v>
      </c>
      <c r="D386" s="443">
        <v>4516.8500000000004</v>
      </c>
    </row>
    <row r="387" spans="1:4">
      <c r="A387" s="216">
        <v>251</v>
      </c>
      <c r="B387" s="222" t="s">
        <v>18060</v>
      </c>
      <c r="C387" s="216" t="s">
        <v>17826</v>
      </c>
      <c r="D387" s="443">
        <v>16.07</v>
      </c>
    </row>
    <row r="388" spans="1:4">
      <c r="A388" s="216">
        <v>40975</v>
      </c>
      <c r="B388" s="222" t="s">
        <v>18061</v>
      </c>
      <c r="C388" s="216" t="s">
        <v>17828</v>
      </c>
      <c r="D388" s="443">
        <v>2817.68</v>
      </c>
    </row>
    <row r="389" spans="1:4">
      <c r="A389" s="216">
        <v>6127</v>
      </c>
      <c r="B389" s="222" t="s">
        <v>18062</v>
      </c>
      <c r="C389" s="216" t="s">
        <v>17826</v>
      </c>
      <c r="D389" s="443">
        <v>17.03</v>
      </c>
    </row>
    <row r="390" spans="1:4">
      <c r="A390" s="216">
        <v>41072</v>
      </c>
      <c r="B390" s="222" t="s">
        <v>18063</v>
      </c>
      <c r="C390" s="216" t="s">
        <v>17828</v>
      </c>
      <c r="D390" s="443">
        <v>2984.91</v>
      </c>
    </row>
    <row r="391" spans="1:4">
      <c r="A391" s="216">
        <v>6121</v>
      </c>
      <c r="B391" s="222" t="s">
        <v>18064</v>
      </c>
      <c r="C391" s="216" t="s">
        <v>17826</v>
      </c>
      <c r="D391" s="443">
        <v>17.05</v>
      </c>
    </row>
    <row r="392" spans="1:4">
      <c r="A392" s="216">
        <v>41071</v>
      </c>
      <c r="B392" s="222" t="s">
        <v>18065</v>
      </c>
      <c r="C392" s="216" t="s">
        <v>17828</v>
      </c>
      <c r="D392" s="443">
        <v>2985.98</v>
      </c>
    </row>
    <row r="393" spans="1:4">
      <c r="A393" s="216">
        <v>244</v>
      </c>
      <c r="B393" s="222" t="s">
        <v>18066</v>
      </c>
      <c r="C393" s="216" t="s">
        <v>17826</v>
      </c>
      <c r="D393" s="443">
        <v>10.85</v>
      </c>
    </row>
    <row r="394" spans="1:4">
      <c r="A394" s="216">
        <v>41093</v>
      </c>
      <c r="B394" s="222" t="s">
        <v>18067</v>
      </c>
      <c r="C394" s="216" t="s">
        <v>17828</v>
      </c>
      <c r="D394" s="443">
        <v>1902.82</v>
      </c>
    </row>
    <row r="395" spans="1:4">
      <c r="A395" s="216">
        <v>532</v>
      </c>
      <c r="B395" s="222" t="s">
        <v>18068</v>
      </c>
      <c r="C395" s="216" t="s">
        <v>17826</v>
      </c>
      <c r="D395" s="443">
        <v>37.840000000000003</v>
      </c>
    </row>
    <row r="396" spans="1:4">
      <c r="A396" s="216">
        <v>40931</v>
      </c>
      <c r="B396" s="222" t="s">
        <v>18069</v>
      </c>
      <c r="C396" s="216" t="s">
        <v>17828</v>
      </c>
      <c r="D396" s="443">
        <v>6628.52</v>
      </c>
    </row>
    <row r="397" spans="1:4">
      <c r="A397" s="216">
        <v>36150</v>
      </c>
      <c r="B397" s="222" t="s">
        <v>18070</v>
      </c>
      <c r="C397" s="216" t="s">
        <v>17678</v>
      </c>
      <c r="D397" s="443">
        <v>39.909999999999997</v>
      </c>
    </row>
    <row r="398" spans="1:4">
      <c r="A398" s="216">
        <v>4760</v>
      </c>
      <c r="B398" s="222" t="s">
        <v>18071</v>
      </c>
      <c r="C398" s="216" t="s">
        <v>17826</v>
      </c>
      <c r="D398" s="443">
        <v>24.15</v>
      </c>
    </row>
    <row r="399" spans="1:4">
      <c r="A399" s="216">
        <v>41069</v>
      </c>
      <c r="B399" s="222" t="s">
        <v>18072</v>
      </c>
      <c r="C399" s="216" t="s">
        <v>17828</v>
      </c>
      <c r="D399" s="443">
        <v>4228.24</v>
      </c>
    </row>
    <row r="400" spans="1:4">
      <c r="A400" s="216">
        <v>10422</v>
      </c>
      <c r="B400" s="222" t="s">
        <v>18073</v>
      </c>
      <c r="C400" s="216" t="s">
        <v>17678</v>
      </c>
      <c r="D400" s="443">
        <v>403.9</v>
      </c>
    </row>
    <row r="401" spans="1:4" ht="31.5">
      <c r="A401" s="216">
        <v>44019</v>
      </c>
      <c r="B401" s="222" t="s">
        <v>18074</v>
      </c>
      <c r="C401" s="216" t="s">
        <v>17678</v>
      </c>
      <c r="D401" s="443">
        <v>559.09</v>
      </c>
    </row>
    <row r="402" spans="1:4">
      <c r="A402" s="216">
        <v>36520</v>
      </c>
      <c r="B402" s="222" t="s">
        <v>18075</v>
      </c>
      <c r="C402" s="216" t="s">
        <v>17678</v>
      </c>
      <c r="D402" s="443">
        <v>679.79</v>
      </c>
    </row>
    <row r="403" spans="1:4" ht="31.5">
      <c r="A403" s="216">
        <v>42319</v>
      </c>
      <c r="B403" s="222" t="s">
        <v>18076</v>
      </c>
      <c r="C403" s="216" t="s">
        <v>17678</v>
      </c>
      <c r="D403" s="443">
        <v>609.13</v>
      </c>
    </row>
    <row r="404" spans="1:4">
      <c r="A404" s="216">
        <v>10420</v>
      </c>
      <c r="B404" s="222" t="s">
        <v>18077</v>
      </c>
      <c r="C404" s="216" t="s">
        <v>17678</v>
      </c>
      <c r="D404" s="443">
        <v>216.08</v>
      </c>
    </row>
    <row r="405" spans="1:4">
      <c r="A405" s="216">
        <v>10421</v>
      </c>
      <c r="B405" s="222" t="s">
        <v>18078</v>
      </c>
      <c r="C405" s="216" t="s">
        <v>17678</v>
      </c>
      <c r="D405" s="443">
        <v>237.44</v>
      </c>
    </row>
    <row r="406" spans="1:4">
      <c r="A406" s="216">
        <v>11786</v>
      </c>
      <c r="B406" s="222" t="s">
        <v>18079</v>
      </c>
      <c r="C406" s="216" t="s">
        <v>17678</v>
      </c>
      <c r="D406" s="443">
        <v>478.78</v>
      </c>
    </row>
    <row r="407" spans="1:4">
      <c r="A407" s="216">
        <v>10</v>
      </c>
      <c r="B407" s="222" t="s">
        <v>18080</v>
      </c>
      <c r="C407" s="216" t="s">
        <v>17678</v>
      </c>
      <c r="D407" s="443">
        <v>14.51</v>
      </c>
    </row>
    <row r="408" spans="1:4">
      <c r="A408" s="216">
        <v>4815</v>
      </c>
      <c r="B408" s="222" t="s">
        <v>18081</v>
      </c>
      <c r="C408" s="216" t="s">
        <v>17678</v>
      </c>
      <c r="D408" s="443">
        <v>5.64</v>
      </c>
    </row>
    <row r="409" spans="1:4">
      <c r="A409" s="216">
        <v>541</v>
      </c>
      <c r="B409" s="222" t="s">
        <v>18082</v>
      </c>
      <c r="C409" s="216" t="s">
        <v>17678</v>
      </c>
      <c r="D409" s="443">
        <v>199</v>
      </c>
    </row>
    <row r="410" spans="1:4">
      <c r="A410" s="216">
        <v>542</v>
      </c>
      <c r="B410" s="222" t="s">
        <v>18083</v>
      </c>
      <c r="C410" s="216" t="s">
        <v>17678</v>
      </c>
      <c r="D410" s="443">
        <v>249.45</v>
      </c>
    </row>
    <row r="411" spans="1:4">
      <c r="A411" s="216">
        <v>540</v>
      </c>
      <c r="B411" s="222" t="s">
        <v>18084</v>
      </c>
      <c r="C411" s="216" t="s">
        <v>17678</v>
      </c>
      <c r="D411" s="443">
        <v>562.13</v>
      </c>
    </row>
    <row r="412" spans="1:4" ht="31.5">
      <c r="A412" s="216">
        <v>38364</v>
      </c>
      <c r="B412" s="222" t="s">
        <v>18085</v>
      </c>
      <c r="C412" s="216" t="s">
        <v>17678</v>
      </c>
      <c r="D412" s="443">
        <v>859.53</v>
      </c>
    </row>
    <row r="413" spans="1:4">
      <c r="A413" s="216">
        <v>11692</v>
      </c>
      <c r="B413" s="222" t="s">
        <v>18086</v>
      </c>
      <c r="C413" s="216" t="s">
        <v>18087</v>
      </c>
      <c r="D413" s="443">
        <v>601.36</v>
      </c>
    </row>
    <row r="414" spans="1:4" ht="31.5">
      <c r="A414" s="216">
        <v>1746</v>
      </c>
      <c r="B414" s="222" t="s">
        <v>18088</v>
      </c>
      <c r="C414" s="216" t="s">
        <v>17678</v>
      </c>
      <c r="D414" s="443">
        <v>300</v>
      </c>
    </row>
    <row r="415" spans="1:4" ht="31.5">
      <c r="A415" s="216">
        <v>1748</v>
      </c>
      <c r="B415" s="222" t="s">
        <v>18089</v>
      </c>
      <c r="C415" s="216" t="s">
        <v>17678</v>
      </c>
      <c r="D415" s="443">
        <v>398.93</v>
      </c>
    </row>
    <row r="416" spans="1:4" ht="31.5">
      <c r="A416" s="216">
        <v>1749</v>
      </c>
      <c r="B416" s="222" t="s">
        <v>18090</v>
      </c>
      <c r="C416" s="216" t="s">
        <v>17678</v>
      </c>
      <c r="D416" s="443">
        <v>577.97</v>
      </c>
    </row>
    <row r="417" spans="1:4" ht="31.5">
      <c r="A417" s="216">
        <v>37412</v>
      </c>
      <c r="B417" s="222" t="s">
        <v>18091</v>
      </c>
      <c r="C417" s="216" t="s">
        <v>17678</v>
      </c>
      <c r="D417" s="443">
        <v>293.25</v>
      </c>
    </row>
    <row r="418" spans="1:4" ht="31.5">
      <c r="A418" s="216">
        <v>1745</v>
      </c>
      <c r="B418" s="222" t="s">
        <v>18092</v>
      </c>
      <c r="C418" s="216" t="s">
        <v>17678</v>
      </c>
      <c r="D418" s="443">
        <v>348.71</v>
      </c>
    </row>
    <row r="419" spans="1:4" ht="31.5">
      <c r="A419" s="216">
        <v>1750</v>
      </c>
      <c r="B419" s="222" t="s">
        <v>18093</v>
      </c>
      <c r="C419" s="216" t="s">
        <v>17678</v>
      </c>
      <c r="D419" s="443">
        <v>814.89</v>
      </c>
    </row>
    <row r="420" spans="1:4">
      <c r="A420" s="216">
        <v>11687</v>
      </c>
      <c r="B420" s="222" t="s">
        <v>18094</v>
      </c>
      <c r="C420" s="216" t="s">
        <v>17722</v>
      </c>
      <c r="D420" s="443">
        <v>1298.3699999999999</v>
      </c>
    </row>
    <row r="421" spans="1:4">
      <c r="A421" s="216">
        <v>11689</v>
      </c>
      <c r="B421" s="222" t="s">
        <v>18095</v>
      </c>
      <c r="C421" s="216" t="s">
        <v>17722</v>
      </c>
      <c r="D421" s="443">
        <v>1626.78</v>
      </c>
    </row>
    <row r="422" spans="1:4">
      <c r="A422" s="216">
        <v>11693</v>
      </c>
      <c r="B422" s="222" t="s">
        <v>18096</v>
      </c>
      <c r="C422" s="216" t="s">
        <v>18087</v>
      </c>
      <c r="D422" s="443">
        <v>220.65</v>
      </c>
    </row>
    <row r="423" spans="1:4">
      <c r="A423" s="216">
        <v>36215</v>
      </c>
      <c r="B423" s="222" t="s">
        <v>18097</v>
      </c>
      <c r="C423" s="216" t="s">
        <v>17678</v>
      </c>
      <c r="D423" s="443">
        <v>897.92</v>
      </c>
    </row>
    <row r="424" spans="1:4" ht="31.5">
      <c r="A424" s="216">
        <v>42439</v>
      </c>
      <c r="B424" s="222" t="s">
        <v>18098</v>
      </c>
      <c r="C424" s="216" t="s">
        <v>17678</v>
      </c>
      <c r="D424" s="443">
        <v>1197.21</v>
      </c>
    </row>
    <row r="425" spans="1:4">
      <c r="A425" s="216">
        <v>38381</v>
      </c>
      <c r="B425" s="222" t="s">
        <v>18099</v>
      </c>
      <c r="C425" s="216" t="s">
        <v>17678</v>
      </c>
      <c r="D425" s="443">
        <v>9.1</v>
      </c>
    </row>
    <row r="426" spans="1:4">
      <c r="A426" s="216">
        <v>39621</v>
      </c>
      <c r="B426" s="222" t="s">
        <v>18100</v>
      </c>
      <c r="C426" s="216" t="s">
        <v>18101</v>
      </c>
      <c r="D426" s="443">
        <v>1318.5</v>
      </c>
    </row>
    <row r="427" spans="1:4">
      <c r="A427" s="216">
        <v>39624</v>
      </c>
      <c r="B427" s="222" t="s">
        <v>18102</v>
      </c>
      <c r="C427" s="216" t="s">
        <v>18101</v>
      </c>
      <c r="D427" s="443">
        <v>1454.45</v>
      </c>
    </row>
    <row r="428" spans="1:4">
      <c r="A428" s="216">
        <v>39615</v>
      </c>
      <c r="B428" s="222" t="s">
        <v>18103</v>
      </c>
      <c r="C428" s="216" t="s">
        <v>17678</v>
      </c>
      <c r="D428" s="443">
        <v>587.73</v>
      </c>
    </row>
    <row r="429" spans="1:4">
      <c r="A429" s="216">
        <v>39620</v>
      </c>
      <c r="B429" s="222" t="s">
        <v>18104</v>
      </c>
      <c r="C429" s="216" t="s">
        <v>17678</v>
      </c>
      <c r="D429" s="443">
        <v>897.63</v>
      </c>
    </row>
    <row r="430" spans="1:4">
      <c r="A430" s="216">
        <v>39623</v>
      </c>
      <c r="B430" s="222" t="s">
        <v>18105</v>
      </c>
      <c r="C430" s="216" t="s">
        <v>17678</v>
      </c>
      <c r="D430" s="443">
        <v>961.43</v>
      </c>
    </row>
    <row r="431" spans="1:4">
      <c r="A431" s="216">
        <v>546</v>
      </c>
      <c r="B431" s="222" t="s">
        <v>18106</v>
      </c>
      <c r="C431" s="216" t="s">
        <v>17726</v>
      </c>
      <c r="D431" s="443">
        <v>9.4700000000000006</v>
      </c>
    </row>
    <row r="432" spans="1:4">
      <c r="A432" s="216">
        <v>566</v>
      </c>
      <c r="B432" s="222" t="s">
        <v>18107</v>
      </c>
      <c r="C432" s="216" t="s">
        <v>17722</v>
      </c>
      <c r="D432" s="443">
        <v>4.49</v>
      </c>
    </row>
    <row r="433" spans="1:4">
      <c r="A433" s="216">
        <v>565</v>
      </c>
      <c r="B433" s="222" t="s">
        <v>18108</v>
      </c>
      <c r="C433" s="216" t="s">
        <v>17722</v>
      </c>
      <c r="D433" s="443">
        <v>16.38</v>
      </c>
    </row>
    <row r="434" spans="1:4">
      <c r="A434" s="216">
        <v>555</v>
      </c>
      <c r="B434" s="222" t="s">
        <v>18109</v>
      </c>
      <c r="C434" s="216" t="s">
        <v>17722</v>
      </c>
      <c r="D434" s="443">
        <v>11.61</v>
      </c>
    </row>
    <row r="435" spans="1:4">
      <c r="A435" s="216">
        <v>557</v>
      </c>
      <c r="B435" s="222" t="s">
        <v>18110</v>
      </c>
      <c r="C435" s="216" t="s">
        <v>17722</v>
      </c>
      <c r="D435" s="443">
        <v>36.44</v>
      </c>
    </row>
    <row r="436" spans="1:4">
      <c r="A436" s="216">
        <v>552</v>
      </c>
      <c r="B436" s="222" t="s">
        <v>18111</v>
      </c>
      <c r="C436" s="216" t="s">
        <v>17722</v>
      </c>
      <c r="D436" s="443">
        <v>18.079999999999998</v>
      </c>
    </row>
    <row r="437" spans="1:4">
      <c r="A437" s="216">
        <v>563</v>
      </c>
      <c r="B437" s="222" t="s">
        <v>18112</v>
      </c>
      <c r="C437" s="216" t="s">
        <v>17722</v>
      </c>
      <c r="D437" s="443">
        <v>27.16</v>
      </c>
    </row>
    <row r="438" spans="1:4">
      <c r="A438" s="216">
        <v>549</v>
      </c>
      <c r="B438" s="222" t="s">
        <v>18113</v>
      </c>
      <c r="C438" s="216" t="s">
        <v>17722</v>
      </c>
      <c r="D438" s="443">
        <v>48.89</v>
      </c>
    </row>
    <row r="439" spans="1:4">
      <c r="A439" s="216">
        <v>551</v>
      </c>
      <c r="B439" s="222" t="s">
        <v>18114</v>
      </c>
      <c r="C439" s="216" t="s">
        <v>17722</v>
      </c>
      <c r="D439" s="443">
        <v>96.81</v>
      </c>
    </row>
    <row r="440" spans="1:4">
      <c r="A440" s="216">
        <v>559</v>
      </c>
      <c r="B440" s="222" t="s">
        <v>18115</v>
      </c>
      <c r="C440" s="216" t="s">
        <v>17722</v>
      </c>
      <c r="D440" s="443">
        <v>24.2</v>
      </c>
    </row>
    <row r="441" spans="1:4">
      <c r="A441" s="216">
        <v>560</v>
      </c>
      <c r="B441" s="222" t="s">
        <v>18116</v>
      </c>
      <c r="C441" s="216" t="s">
        <v>17722</v>
      </c>
      <c r="D441" s="443">
        <v>30.28</v>
      </c>
    </row>
    <row r="442" spans="1:4">
      <c r="A442" s="216">
        <v>547</v>
      </c>
      <c r="B442" s="222" t="s">
        <v>18117</v>
      </c>
      <c r="C442" s="216" t="s">
        <v>17722</v>
      </c>
      <c r="D442" s="443">
        <v>36.25</v>
      </c>
    </row>
    <row r="443" spans="1:4">
      <c r="A443" s="216">
        <v>36207</v>
      </c>
      <c r="B443" s="222" t="s">
        <v>18118</v>
      </c>
      <c r="C443" s="216" t="s">
        <v>17678</v>
      </c>
      <c r="D443" s="443">
        <v>397.71</v>
      </c>
    </row>
    <row r="444" spans="1:4">
      <c r="A444" s="216">
        <v>36209</v>
      </c>
      <c r="B444" s="222" t="s">
        <v>18119</v>
      </c>
      <c r="C444" s="216" t="s">
        <v>17678</v>
      </c>
      <c r="D444" s="443">
        <v>456.44</v>
      </c>
    </row>
    <row r="445" spans="1:4">
      <c r="A445" s="216">
        <v>36210</v>
      </c>
      <c r="B445" s="222" t="s">
        <v>18120</v>
      </c>
      <c r="C445" s="216" t="s">
        <v>17678</v>
      </c>
      <c r="D445" s="443">
        <v>493.85</v>
      </c>
    </row>
    <row r="446" spans="1:4">
      <c r="A446" s="216">
        <v>36204</v>
      </c>
      <c r="B446" s="222" t="s">
        <v>18121</v>
      </c>
      <c r="C446" s="216" t="s">
        <v>17678</v>
      </c>
      <c r="D446" s="443">
        <v>175.1</v>
      </c>
    </row>
    <row r="447" spans="1:4">
      <c r="A447" s="216">
        <v>36205</v>
      </c>
      <c r="B447" s="222" t="s">
        <v>18122</v>
      </c>
      <c r="C447" s="216" t="s">
        <v>17678</v>
      </c>
      <c r="D447" s="443">
        <v>194.46</v>
      </c>
    </row>
    <row r="448" spans="1:4">
      <c r="A448" s="216">
        <v>36081</v>
      </c>
      <c r="B448" s="222" t="s">
        <v>18123</v>
      </c>
      <c r="C448" s="216" t="s">
        <v>17678</v>
      </c>
      <c r="D448" s="443">
        <v>207.35</v>
      </c>
    </row>
    <row r="449" spans="1:4">
      <c r="A449" s="216">
        <v>36206</v>
      </c>
      <c r="B449" s="222" t="s">
        <v>18124</v>
      </c>
      <c r="C449" s="216" t="s">
        <v>17678</v>
      </c>
      <c r="D449" s="443">
        <v>217.23</v>
      </c>
    </row>
    <row r="450" spans="1:4">
      <c r="A450" s="216">
        <v>36218</v>
      </c>
      <c r="B450" s="222" t="s">
        <v>18125</v>
      </c>
      <c r="C450" s="216" t="s">
        <v>17678</v>
      </c>
      <c r="D450" s="443">
        <v>161.16999999999999</v>
      </c>
    </row>
    <row r="451" spans="1:4">
      <c r="A451" s="216">
        <v>36220</v>
      </c>
      <c r="B451" s="222" t="s">
        <v>18126</v>
      </c>
      <c r="C451" s="216" t="s">
        <v>17678</v>
      </c>
      <c r="D451" s="443">
        <v>184.81</v>
      </c>
    </row>
    <row r="452" spans="1:4">
      <c r="A452" s="216">
        <v>36080</v>
      </c>
      <c r="B452" s="222" t="s">
        <v>18127</v>
      </c>
      <c r="C452" s="216" t="s">
        <v>17678</v>
      </c>
      <c r="D452" s="443">
        <v>199.9</v>
      </c>
    </row>
    <row r="453" spans="1:4">
      <c r="A453" s="216">
        <v>36223</v>
      </c>
      <c r="B453" s="222" t="s">
        <v>18128</v>
      </c>
      <c r="C453" s="216" t="s">
        <v>17678</v>
      </c>
      <c r="D453" s="443">
        <v>209.32</v>
      </c>
    </row>
    <row r="454" spans="1:4">
      <c r="A454" s="216">
        <v>38127</v>
      </c>
      <c r="B454" s="222" t="s">
        <v>18129</v>
      </c>
      <c r="C454" s="216" t="s">
        <v>17678</v>
      </c>
      <c r="D454" s="443">
        <v>353.1</v>
      </c>
    </row>
    <row r="455" spans="1:4">
      <c r="A455" s="216">
        <v>38060</v>
      </c>
      <c r="B455" s="222" t="s">
        <v>18130</v>
      </c>
      <c r="C455" s="216" t="s">
        <v>17678</v>
      </c>
      <c r="D455" s="443">
        <v>50.03</v>
      </c>
    </row>
    <row r="456" spans="1:4">
      <c r="A456" s="216">
        <v>10956</v>
      </c>
      <c r="B456" s="222" t="s">
        <v>18131</v>
      </c>
      <c r="C456" s="216" t="s">
        <v>17678</v>
      </c>
      <c r="D456" s="443">
        <v>54.87</v>
      </c>
    </row>
    <row r="457" spans="1:4">
      <c r="A457" s="216">
        <v>39380</v>
      </c>
      <c r="B457" s="222" t="s">
        <v>18132</v>
      </c>
      <c r="C457" s="216" t="s">
        <v>17678</v>
      </c>
      <c r="D457" s="443">
        <v>24.11</v>
      </c>
    </row>
    <row r="458" spans="1:4">
      <c r="A458" s="216">
        <v>44172</v>
      </c>
      <c r="B458" s="222" t="s">
        <v>18133</v>
      </c>
      <c r="C458" s="216" t="s">
        <v>17678</v>
      </c>
      <c r="D458" s="443">
        <v>9.65</v>
      </c>
    </row>
    <row r="459" spans="1:4">
      <c r="A459" s="216">
        <v>37597</v>
      </c>
      <c r="B459" s="222" t="s">
        <v>18134</v>
      </c>
      <c r="C459" s="216" t="s">
        <v>17678</v>
      </c>
      <c r="D459" s="443">
        <v>632675.78</v>
      </c>
    </row>
    <row r="460" spans="1:4" ht="47.25">
      <c r="A460" s="216">
        <v>183</v>
      </c>
      <c r="B460" s="222" t="s">
        <v>18135</v>
      </c>
      <c r="C460" s="216" t="s">
        <v>18136</v>
      </c>
      <c r="D460" s="443">
        <v>217.95</v>
      </c>
    </row>
    <row r="461" spans="1:4" ht="47.25">
      <c r="A461" s="216">
        <v>184</v>
      </c>
      <c r="B461" s="222" t="s">
        <v>18137</v>
      </c>
      <c r="C461" s="216" t="s">
        <v>18136</v>
      </c>
      <c r="D461" s="443">
        <v>134.97999999999999</v>
      </c>
    </row>
    <row r="462" spans="1:4" ht="47.25">
      <c r="A462" s="216">
        <v>181</v>
      </c>
      <c r="B462" s="222" t="s">
        <v>18138</v>
      </c>
      <c r="C462" s="216" t="s">
        <v>18136</v>
      </c>
      <c r="D462" s="443">
        <v>291.06</v>
      </c>
    </row>
    <row r="463" spans="1:4" ht="47.25">
      <c r="A463" s="216">
        <v>20001</v>
      </c>
      <c r="B463" s="222" t="s">
        <v>18139</v>
      </c>
      <c r="C463" s="216" t="s">
        <v>18136</v>
      </c>
      <c r="D463" s="443">
        <v>168.73</v>
      </c>
    </row>
    <row r="464" spans="1:4" ht="31.5">
      <c r="A464" s="216">
        <v>39837</v>
      </c>
      <c r="B464" s="222" t="s">
        <v>18140</v>
      </c>
      <c r="C464" s="216" t="s">
        <v>18136</v>
      </c>
      <c r="D464" s="443">
        <v>305.35000000000002</v>
      </c>
    </row>
    <row r="465" spans="1:4">
      <c r="A465" s="216">
        <v>43366</v>
      </c>
      <c r="B465" s="222" t="s">
        <v>18141</v>
      </c>
      <c r="C465" s="216" t="s">
        <v>17726</v>
      </c>
      <c r="D465" s="443">
        <v>1.58</v>
      </c>
    </row>
    <row r="466" spans="1:4" ht="31.5">
      <c r="A466" s="216">
        <v>10535</v>
      </c>
      <c r="B466" s="222" t="s">
        <v>18142</v>
      </c>
      <c r="C466" s="216" t="s">
        <v>17678</v>
      </c>
      <c r="D466" s="443">
        <v>4785</v>
      </c>
    </row>
    <row r="467" spans="1:4" ht="31.5">
      <c r="A467" s="216">
        <v>10537</v>
      </c>
      <c r="B467" s="222" t="s">
        <v>18143</v>
      </c>
      <c r="C467" s="216" t="s">
        <v>17678</v>
      </c>
      <c r="D467" s="443">
        <v>6525.44</v>
      </c>
    </row>
    <row r="468" spans="1:4" ht="31.5">
      <c r="A468" s="216">
        <v>13891</v>
      </c>
      <c r="B468" s="222" t="s">
        <v>18144</v>
      </c>
      <c r="C468" s="216" t="s">
        <v>17678</v>
      </c>
      <c r="D468" s="443">
        <v>5985.3</v>
      </c>
    </row>
    <row r="469" spans="1:4" ht="31.5">
      <c r="A469" s="216">
        <v>44492</v>
      </c>
      <c r="B469" s="222" t="s">
        <v>18145</v>
      </c>
      <c r="C469" s="216" t="s">
        <v>17678</v>
      </c>
      <c r="D469" s="443">
        <v>26033.64</v>
      </c>
    </row>
    <row r="470" spans="1:4" ht="31.5">
      <c r="A470" s="216">
        <v>36396</v>
      </c>
      <c r="B470" s="222" t="s">
        <v>18146</v>
      </c>
      <c r="C470" s="216" t="s">
        <v>17678</v>
      </c>
      <c r="D470" s="443">
        <v>5474.36</v>
      </c>
    </row>
    <row r="471" spans="1:4" ht="31.5">
      <c r="A471" s="216">
        <v>36397</v>
      </c>
      <c r="B471" s="222" t="s">
        <v>18147</v>
      </c>
      <c r="C471" s="216" t="s">
        <v>17678</v>
      </c>
      <c r="D471" s="443">
        <v>19464.400000000001</v>
      </c>
    </row>
    <row r="472" spans="1:4" ht="31.5">
      <c r="A472" s="216">
        <v>36398</v>
      </c>
      <c r="B472" s="222" t="s">
        <v>18148</v>
      </c>
      <c r="C472" s="216" t="s">
        <v>17678</v>
      </c>
      <c r="D472" s="443">
        <v>23657.360000000001</v>
      </c>
    </row>
    <row r="473" spans="1:4">
      <c r="A473" s="216">
        <v>647</v>
      </c>
      <c r="B473" s="222" t="s">
        <v>18149</v>
      </c>
      <c r="C473" s="216" t="s">
        <v>17826</v>
      </c>
      <c r="D473" s="443">
        <v>21.41</v>
      </c>
    </row>
    <row r="474" spans="1:4">
      <c r="A474" s="216">
        <v>40920</v>
      </c>
      <c r="B474" s="222" t="s">
        <v>18150</v>
      </c>
      <c r="C474" s="216" t="s">
        <v>17828</v>
      </c>
      <c r="D474" s="443">
        <v>3751.64</v>
      </c>
    </row>
    <row r="475" spans="1:4">
      <c r="A475" s="216">
        <v>715</v>
      </c>
      <c r="B475" s="222" t="s">
        <v>18151</v>
      </c>
      <c r="C475" s="216" t="s">
        <v>17678</v>
      </c>
      <c r="D475" s="443">
        <v>19.95</v>
      </c>
    </row>
    <row r="476" spans="1:4">
      <c r="A476" s="216">
        <v>716</v>
      </c>
      <c r="B476" s="222" t="s">
        <v>18152</v>
      </c>
      <c r="C476" s="216" t="s">
        <v>17678</v>
      </c>
      <c r="D476" s="443">
        <v>22.56</v>
      </c>
    </row>
    <row r="477" spans="1:4" ht="31.5">
      <c r="A477" s="216">
        <v>38783</v>
      </c>
      <c r="B477" s="222" t="s">
        <v>18153</v>
      </c>
      <c r="C477" s="216" t="s">
        <v>17678</v>
      </c>
      <c r="D477" s="443">
        <v>1.07</v>
      </c>
    </row>
    <row r="478" spans="1:4" ht="31.5">
      <c r="A478" s="216">
        <v>37593</v>
      </c>
      <c r="B478" s="222" t="s">
        <v>18154</v>
      </c>
      <c r="C478" s="216" t="s">
        <v>17678</v>
      </c>
      <c r="D478" s="443">
        <v>2.63</v>
      </c>
    </row>
    <row r="479" spans="1:4" ht="31.5">
      <c r="A479" s="216">
        <v>37594</v>
      </c>
      <c r="B479" s="222" t="s">
        <v>18155</v>
      </c>
      <c r="C479" s="216" t="s">
        <v>17678</v>
      </c>
      <c r="D479" s="443">
        <v>3.27</v>
      </c>
    </row>
    <row r="480" spans="1:4" ht="31.5">
      <c r="A480" s="216">
        <v>37592</v>
      </c>
      <c r="B480" s="222" t="s">
        <v>18156</v>
      </c>
      <c r="C480" s="216" t="s">
        <v>17678</v>
      </c>
      <c r="D480" s="443">
        <v>2.0699999999999998</v>
      </c>
    </row>
    <row r="481" spans="1:4" ht="31.5">
      <c r="A481" s="216">
        <v>7270</v>
      </c>
      <c r="B481" s="222" t="s">
        <v>18157</v>
      </c>
      <c r="C481" s="216" t="s">
        <v>17678</v>
      </c>
      <c r="D481" s="443">
        <v>0.92</v>
      </c>
    </row>
    <row r="482" spans="1:4" ht="31.5">
      <c r="A482" s="216">
        <v>7267</v>
      </c>
      <c r="B482" s="222" t="s">
        <v>18158</v>
      </c>
      <c r="C482" s="216" t="s">
        <v>17678</v>
      </c>
      <c r="D482" s="443">
        <v>0.72</v>
      </c>
    </row>
    <row r="483" spans="1:4" ht="31.5">
      <c r="A483" s="216">
        <v>7271</v>
      </c>
      <c r="B483" s="222" t="s">
        <v>18159</v>
      </c>
      <c r="C483" s="216" t="s">
        <v>17678</v>
      </c>
      <c r="D483" s="443">
        <v>0.8</v>
      </c>
    </row>
    <row r="484" spans="1:4" ht="31.5">
      <c r="A484" s="216">
        <v>7268</v>
      </c>
      <c r="B484" s="222" t="s">
        <v>18160</v>
      </c>
      <c r="C484" s="216" t="s">
        <v>17678</v>
      </c>
      <c r="D484" s="443">
        <v>1.1100000000000001</v>
      </c>
    </row>
    <row r="485" spans="1:4">
      <c r="A485" s="216">
        <v>41372</v>
      </c>
      <c r="B485" s="222" t="s">
        <v>18161</v>
      </c>
      <c r="C485" s="216" t="s">
        <v>18087</v>
      </c>
      <c r="D485" s="443">
        <v>90.61</v>
      </c>
    </row>
    <row r="486" spans="1:4">
      <c r="A486" s="216">
        <v>41371</v>
      </c>
      <c r="B486" s="222" t="s">
        <v>18162</v>
      </c>
      <c r="C486" s="216" t="s">
        <v>18087</v>
      </c>
      <c r="D486" s="443">
        <v>53.55</v>
      </c>
    </row>
    <row r="487" spans="1:4">
      <c r="A487" s="216">
        <v>34556</v>
      </c>
      <c r="B487" s="222" t="s">
        <v>18163</v>
      </c>
      <c r="C487" s="216" t="s">
        <v>17678</v>
      </c>
      <c r="D487" s="443">
        <v>3.72</v>
      </c>
    </row>
    <row r="488" spans="1:4">
      <c r="A488" s="216">
        <v>37873</v>
      </c>
      <c r="B488" s="222" t="s">
        <v>18164</v>
      </c>
      <c r="C488" s="216" t="s">
        <v>17678</v>
      </c>
      <c r="D488" s="443">
        <v>3.78</v>
      </c>
    </row>
    <row r="489" spans="1:4">
      <c r="A489" s="216">
        <v>34564</v>
      </c>
      <c r="B489" s="222" t="s">
        <v>18165</v>
      </c>
      <c r="C489" s="216" t="s">
        <v>17678</v>
      </c>
      <c r="D489" s="443">
        <v>3.96</v>
      </c>
    </row>
    <row r="490" spans="1:4">
      <c r="A490" s="216">
        <v>34565</v>
      </c>
      <c r="B490" s="222" t="s">
        <v>18166</v>
      </c>
      <c r="C490" s="216" t="s">
        <v>17678</v>
      </c>
      <c r="D490" s="443">
        <v>4.1900000000000004</v>
      </c>
    </row>
    <row r="491" spans="1:4">
      <c r="A491" s="216">
        <v>38590</v>
      </c>
      <c r="B491" s="222" t="s">
        <v>18167</v>
      </c>
      <c r="C491" s="216" t="s">
        <v>17678</v>
      </c>
      <c r="D491" s="443">
        <v>3.1</v>
      </c>
    </row>
    <row r="492" spans="1:4">
      <c r="A492" s="216">
        <v>34566</v>
      </c>
      <c r="B492" s="222" t="s">
        <v>18168</v>
      </c>
      <c r="C492" s="216" t="s">
        <v>17678</v>
      </c>
      <c r="D492" s="443">
        <v>3.25</v>
      </c>
    </row>
    <row r="493" spans="1:4">
      <c r="A493" s="216">
        <v>34567</v>
      </c>
      <c r="B493" s="222" t="s">
        <v>18169</v>
      </c>
      <c r="C493" s="216" t="s">
        <v>17678</v>
      </c>
      <c r="D493" s="443">
        <v>3.45</v>
      </c>
    </row>
    <row r="494" spans="1:4">
      <c r="A494" s="216">
        <v>38591</v>
      </c>
      <c r="B494" s="222" t="s">
        <v>18170</v>
      </c>
      <c r="C494" s="216" t="s">
        <v>17678</v>
      </c>
      <c r="D494" s="443">
        <v>3.13</v>
      </c>
    </row>
    <row r="495" spans="1:4">
      <c r="A495" s="216">
        <v>34568</v>
      </c>
      <c r="B495" s="222" t="s">
        <v>18171</v>
      </c>
      <c r="C495" s="216" t="s">
        <v>17678</v>
      </c>
      <c r="D495" s="443">
        <v>4.08</v>
      </c>
    </row>
    <row r="496" spans="1:4">
      <c r="A496" s="216">
        <v>34569</v>
      </c>
      <c r="B496" s="222" t="s">
        <v>18172</v>
      </c>
      <c r="C496" s="216" t="s">
        <v>17678</v>
      </c>
      <c r="D496" s="443">
        <v>4.1900000000000004</v>
      </c>
    </row>
    <row r="497" spans="1:4">
      <c r="A497" s="216">
        <v>34570</v>
      </c>
      <c r="B497" s="222" t="s">
        <v>18173</v>
      </c>
      <c r="C497" s="216" t="s">
        <v>17678</v>
      </c>
      <c r="D497" s="443">
        <v>4.55</v>
      </c>
    </row>
    <row r="498" spans="1:4">
      <c r="A498" s="216">
        <v>25070</v>
      </c>
      <c r="B498" s="222" t="s">
        <v>18174</v>
      </c>
      <c r="C498" s="216" t="s">
        <v>17678</v>
      </c>
      <c r="D498" s="443">
        <v>3.42</v>
      </c>
    </row>
    <row r="499" spans="1:4">
      <c r="A499" s="216">
        <v>34571</v>
      </c>
      <c r="B499" s="222" t="s">
        <v>18175</v>
      </c>
      <c r="C499" s="216" t="s">
        <v>17678</v>
      </c>
      <c r="D499" s="443">
        <v>3.46</v>
      </c>
    </row>
    <row r="500" spans="1:4">
      <c r="A500" s="216">
        <v>34573</v>
      </c>
      <c r="B500" s="222" t="s">
        <v>18176</v>
      </c>
      <c r="C500" s="216" t="s">
        <v>17678</v>
      </c>
      <c r="D500" s="443">
        <v>3.64</v>
      </c>
    </row>
    <row r="501" spans="1:4">
      <c r="A501" s="216">
        <v>37107</v>
      </c>
      <c r="B501" s="222" t="s">
        <v>18177</v>
      </c>
      <c r="C501" s="216" t="s">
        <v>17678</v>
      </c>
      <c r="D501" s="443">
        <v>4.8</v>
      </c>
    </row>
    <row r="502" spans="1:4">
      <c r="A502" s="216">
        <v>34576</v>
      </c>
      <c r="B502" s="222" t="s">
        <v>18178</v>
      </c>
      <c r="C502" s="216" t="s">
        <v>17678</v>
      </c>
      <c r="D502" s="443">
        <v>5.3</v>
      </c>
    </row>
    <row r="503" spans="1:4">
      <c r="A503" s="216">
        <v>34577</v>
      </c>
      <c r="B503" s="222" t="s">
        <v>18179</v>
      </c>
      <c r="C503" s="216" t="s">
        <v>17678</v>
      </c>
      <c r="D503" s="443">
        <v>5.53</v>
      </c>
    </row>
    <row r="504" spans="1:4">
      <c r="A504" s="216">
        <v>34578</v>
      </c>
      <c r="B504" s="222" t="s">
        <v>18180</v>
      </c>
      <c r="C504" s="216" t="s">
        <v>17678</v>
      </c>
      <c r="D504" s="443">
        <v>6</v>
      </c>
    </row>
    <row r="505" spans="1:4">
      <c r="A505" s="216">
        <v>34579</v>
      </c>
      <c r="B505" s="222" t="s">
        <v>18181</v>
      </c>
      <c r="C505" s="216" t="s">
        <v>17678</v>
      </c>
      <c r="D505" s="443">
        <v>6.4</v>
      </c>
    </row>
    <row r="506" spans="1:4">
      <c r="A506" s="216">
        <v>25067</v>
      </c>
      <c r="B506" s="222" t="s">
        <v>18182</v>
      </c>
      <c r="C506" s="216" t="s">
        <v>17678</v>
      </c>
      <c r="D506" s="443">
        <v>4.28</v>
      </c>
    </row>
    <row r="507" spans="1:4">
      <c r="A507" s="216">
        <v>34580</v>
      </c>
      <c r="B507" s="222" t="s">
        <v>18183</v>
      </c>
      <c r="C507" s="216" t="s">
        <v>17678</v>
      </c>
      <c r="D507" s="443">
        <v>4.78</v>
      </c>
    </row>
    <row r="508" spans="1:4">
      <c r="A508" s="216">
        <v>25071</v>
      </c>
      <c r="B508" s="222" t="s">
        <v>18184</v>
      </c>
      <c r="C508" s="216" t="s">
        <v>17678</v>
      </c>
      <c r="D508" s="443">
        <v>2.38</v>
      </c>
    </row>
    <row r="509" spans="1:4">
      <c r="A509" s="216">
        <v>44171</v>
      </c>
      <c r="B509" s="222" t="s">
        <v>18185</v>
      </c>
      <c r="C509" s="216" t="s">
        <v>17678</v>
      </c>
      <c r="D509" s="443">
        <v>27.52</v>
      </c>
    </row>
    <row r="510" spans="1:4">
      <c r="A510" s="216">
        <v>38395</v>
      </c>
      <c r="B510" s="222" t="s">
        <v>18186</v>
      </c>
      <c r="C510" s="216" t="s">
        <v>17678</v>
      </c>
      <c r="D510" s="443">
        <v>7.6</v>
      </c>
    </row>
    <row r="511" spans="1:4">
      <c r="A511" s="216">
        <v>34583</v>
      </c>
      <c r="B511" s="222" t="s">
        <v>18187</v>
      </c>
      <c r="C511" s="216" t="s">
        <v>18087</v>
      </c>
      <c r="D511" s="443">
        <v>56.47</v>
      </c>
    </row>
    <row r="512" spans="1:4">
      <c r="A512" s="216">
        <v>34584</v>
      </c>
      <c r="B512" s="222" t="s">
        <v>18188</v>
      </c>
      <c r="C512" s="216" t="s">
        <v>18087</v>
      </c>
      <c r="D512" s="443">
        <v>41.41</v>
      </c>
    </row>
    <row r="513" spans="1:4" ht="31.5">
      <c r="A513" s="216">
        <v>709</v>
      </c>
      <c r="B513" s="222" t="s">
        <v>18189</v>
      </c>
      <c r="C513" s="216" t="s">
        <v>18087</v>
      </c>
      <c r="D513" s="443">
        <v>799.14</v>
      </c>
    </row>
    <row r="514" spans="1:4">
      <c r="A514" s="216">
        <v>34599</v>
      </c>
      <c r="B514" s="222" t="s">
        <v>18190</v>
      </c>
      <c r="C514" s="216" t="s">
        <v>17678</v>
      </c>
      <c r="D514" s="443">
        <v>2.44</v>
      </c>
    </row>
    <row r="515" spans="1:4">
      <c r="A515" s="216">
        <v>34592</v>
      </c>
      <c r="B515" s="222" t="s">
        <v>18191</v>
      </c>
      <c r="C515" s="216" t="s">
        <v>17678</v>
      </c>
      <c r="D515" s="443">
        <v>2.72</v>
      </c>
    </row>
    <row r="516" spans="1:4">
      <c r="A516" s="216">
        <v>37103</v>
      </c>
      <c r="B516" s="222" t="s">
        <v>18192</v>
      </c>
      <c r="C516" s="216" t="s">
        <v>17678</v>
      </c>
      <c r="D516" s="443">
        <v>3.11</v>
      </c>
    </row>
    <row r="517" spans="1:4">
      <c r="A517" s="216">
        <v>34555</v>
      </c>
      <c r="B517" s="222" t="s">
        <v>18193</v>
      </c>
      <c r="C517" s="216" t="s">
        <v>17678</v>
      </c>
      <c r="D517" s="443">
        <v>3.95</v>
      </c>
    </row>
    <row r="518" spans="1:4">
      <c r="A518" s="216">
        <v>674</v>
      </c>
      <c r="B518" s="222" t="s">
        <v>18194</v>
      </c>
      <c r="C518" s="216" t="s">
        <v>18087</v>
      </c>
      <c r="D518" s="443">
        <v>64.56</v>
      </c>
    </row>
    <row r="519" spans="1:4">
      <c r="A519" s="216">
        <v>34600</v>
      </c>
      <c r="B519" s="222" t="s">
        <v>18195</v>
      </c>
      <c r="C519" s="216" t="s">
        <v>18087</v>
      </c>
      <c r="D519" s="443">
        <v>94.83</v>
      </c>
    </row>
    <row r="520" spans="1:4">
      <c r="A520" s="216">
        <v>652</v>
      </c>
      <c r="B520" s="222" t="s">
        <v>18196</v>
      </c>
      <c r="C520" s="216" t="s">
        <v>18087</v>
      </c>
      <c r="D520" s="443">
        <v>145.27000000000001</v>
      </c>
    </row>
    <row r="521" spans="1:4">
      <c r="A521" s="216">
        <v>651</v>
      </c>
      <c r="B521" s="222" t="s">
        <v>18197</v>
      </c>
      <c r="C521" s="216" t="s">
        <v>17678</v>
      </c>
      <c r="D521" s="443">
        <v>3</v>
      </c>
    </row>
    <row r="522" spans="1:4">
      <c r="A522" s="216">
        <v>654</v>
      </c>
      <c r="B522" s="222" t="s">
        <v>18198</v>
      </c>
      <c r="C522" s="216" t="s">
        <v>17678</v>
      </c>
      <c r="D522" s="443">
        <v>3.72</v>
      </c>
    </row>
    <row r="523" spans="1:4">
      <c r="A523" s="216">
        <v>650</v>
      </c>
      <c r="B523" s="222" t="s">
        <v>18199</v>
      </c>
      <c r="C523" s="216" t="s">
        <v>17678</v>
      </c>
      <c r="D523" s="443">
        <v>2.4</v>
      </c>
    </row>
    <row r="524" spans="1:4">
      <c r="A524" s="216">
        <v>718</v>
      </c>
      <c r="B524" s="222" t="s">
        <v>18200</v>
      </c>
      <c r="C524" s="216" t="s">
        <v>17678</v>
      </c>
      <c r="D524" s="443">
        <v>19.71</v>
      </c>
    </row>
    <row r="525" spans="1:4">
      <c r="A525" s="216">
        <v>11981</v>
      </c>
      <c r="B525" s="222" t="s">
        <v>18201</v>
      </c>
      <c r="C525" s="216" t="s">
        <v>17678</v>
      </c>
      <c r="D525" s="443">
        <v>19.149999999999999</v>
      </c>
    </row>
    <row r="526" spans="1:4">
      <c r="A526" s="216">
        <v>34586</v>
      </c>
      <c r="B526" s="222" t="s">
        <v>18202</v>
      </c>
      <c r="C526" s="216" t="s">
        <v>17678</v>
      </c>
      <c r="D526" s="443">
        <v>2.2400000000000002</v>
      </c>
    </row>
    <row r="527" spans="1:4">
      <c r="A527" s="216">
        <v>38603</v>
      </c>
      <c r="B527" s="222" t="s">
        <v>18203</v>
      </c>
      <c r="C527" s="216" t="s">
        <v>17678</v>
      </c>
      <c r="D527" s="443">
        <v>2.72</v>
      </c>
    </row>
    <row r="528" spans="1:4">
      <c r="A528" s="216">
        <v>34588</v>
      </c>
      <c r="B528" s="222" t="s">
        <v>18204</v>
      </c>
      <c r="C528" s="216" t="s">
        <v>17678</v>
      </c>
      <c r="D528" s="443">
        <v>2.93</v>
      </c>
    </row>
    <row r="529" spans="1:4">
      <c r="A529" s="216">
        <v>34590</v>
      </c>
      <c r="B529" s="222" t="s">
        <v>18205</v>
      </c>
      <c r="C529" s="216" t="s">
        <v>17678</v>
      </c>
      <c r="D529" s="443">
        <v>2.68</v>
      </c>
    </row>
    <row r="530" spans="1:4">
      <c r="A530" s="216">
        <v>34591</v>
      </c>
      <c r="B530" s="222" t="s">
        <v>18206</v>
      </c>
      <c r="C530" s="216" t="s">
        <v>17678</v>
      </c>
      <c r="D530" s="443">
        <v>3.63</v>
      </c>
    </row>
    <row r="531" spans="1:4" ht="31.5">
      <c r="A531" s="216">
        <v>40517</v>
      </c>
      <c r="B531" s="222" t="s">
        <v>18207</v>
      </c>
      <c r="C531" s="216" t="s">
        <v>18087</v>
      </c>
      <c r="D531" s="443">
        <v>36.89</v>
      </c>
    </row>
    <row r="532" spans="1:4" ht="31.5">
      <c r="A532" s="216">
        <v>40515</v>
      </c>
      <c r="B532" s="222" t="s">
        <v>18208</v>
      </c>
      <c r="C532" s="216" t="s">
        <v>18087</v>
      </c>
      <c r="D532" s="443">
        <v>83</v>
      </c>
    </row>
    <row r="533" spans="1:4" ht="47.25">
      <c r="A533" s="216">
        <v>40529</v>
      </c>
      <c r="B533" s="222" t="s">
        <v>18209</v>
      </c>
      <c r="C533" s="216" t="s">
        <v>18087</v>
      </c>
      <c r="D533" s="443">
        <v>53.03</v>
      </c>
    </row>
    <row r="534" spans="1:4" ht="47.25">
      <c r="A534" s="216">
        <v>36170</v>
      </c>
      <c r="B534" s="222" t="s">
        <v>18210</v>
      </c>
      <c r="C534" s="216" t="s">
        <v>18087</v>
      </c>
      <c r="D534" s="443">
        <v>44</v>
      </c>
    </row>
    <row r="535" spans="1:4" ht="47.25">
      <c r="A535" s="216">
        <v>40524</v>
      </c>
      <c r="B535" s="222" t="s">
        <v>18211</v>
      </c>
      <c r="C535" s="216" t="s">
        <v>18087</v>
      </c>
      <c r="D535" s="443">
        <v>51.87</v>
      </c>
    </row>
    <row r="536" spans="1:4" ht="47.25">
      <c r="A536" s="216">
        <v>36156</v>
      </c>
      <c r="B536" s="222" t="s">
        <v>18212</v>
      </c>
      <c r="C536" s="216" t="s">
        <v>18087</v>
      </c>
      <c r="D536" s="443">
        <v>40.35</v>
      </c>
    </row>
    <row r="537" spans="1:4" ht="47.25">
      <c r="A537" s="216">
        <v>36155</v>
      </c>
      <c r="B537" s="222" t="s">
        <v>18213</v>
      </c>
      <c r="C537" s="216" t="s">
        <v>18087</v>
      </c>
      <c r="D537" s="443">
        <v>34.83</v>
      </c>
    </row>
    <row r="538" spans="1:4" ht="47.25">
      <c r="A538" s="216">
        <v>36154</v>
      </c>
      <c r="B538" s="222" t="s">
        <v>18214</v>
      </c>
      <c r="C538" s="216" t="s">
        <v>18087</v>
      </c>
      <c r="D538" s="443">
        <v>48.42</v>
      </c>
    </row>
    <row r="539" spans="1:4" ht="31.5">
      <c r="A539" s="216">
        <v>695</v>
      </c>
      <c r="B539" s="222" t="s">
        <v>18215</v>
      </c>
      <c r="C539" s="216" t="s">
        <v>18087</v>
      </c>
      <c r="D539" s="443">
        <v>35.56</v>
      </c>
    </row>
    <row r="540" spans="1:4" ht="31.5">
      <c r="A540" s="216">
        <v>679</v>
      </c>
      <c r="B540" s="222" t="s">
        <v>18216</v>
      </c>
      <c r="C540" s="216" t="s">
        <v>18087</v>
      </c>
      <c r="D540" s="443">
        <v>53.03</v>
      </c>
    </row>
    <row r="541" spans="1:4" ht="31.5">
      <c r="A541" s="216">
        <v>711</v>
      </c>
      <c r="B541" s="222" t="s">
        <v>18217</v>
      </c>
      <c r="C541" s="216" t="s">
        <v>18087</v>
      </c>
      <c r="D541" s="443">
        <v>35.08</v>
      </c>
    </row>
    <row r="542" spans="1:4" ht="31.5">
      <c r="A542" s="216">
        <v>712</v>
      </c>
      <c r="B542" s="222" t="s">
        <v>18218</v>
      </c>
      <c r="C542" s="216" t="s">
        <v>18087</v>
      </c>
      <c r="D542" s="443">
        <v>44.19</v>
      </c>
    </row>
    <row r="543" spans="1:4">
      <c r="A543" s="216">
        <v>12614</v>
      </c>
      <c r="B543" s="222" t="s">
        <v>18219</v>
      </c>
      <c r="C543" s="216" t="s">
        <v>17678</v>
      </c>
      <c r="D543" s="443">
        <v>55.07</v>
      </c>
    </row>
    <row r="544" spans="1:4">
      <c r="A544" s="216">
        <v>6140</v>
      </c>
      <c r="B544" s="222" t="s">
        <v>18220</v>
      </c>
      <c r="C544" s="216" t="s">
        <v>17678</v>
      </c>
      <c r="D544" s="443">
        <v>4.05</v>
      </c>
    </row>
    <row r="545" spans="1:4">
      <c r="A545" s="216">
        <v>38399</v>
      </c>
      <c r="B545" s="222" t="s">
        <v>18221</v>
      </c>
      <c r="C545" s="216" t="s">
        <v>17678</v>
      </c>
      <c r="D545" s="443">
        <v>210.06</v>
      </c>
    </row>
    <row r="546" spans="1:4" ht="31.5">
      <c r="A546" s="216">
        <v>735</v>
      </c>
      <c r="B546" s="222" t="s">
        <v>18222</v>
      </c>
      <c r="C546" s="216" t="s">
        <v>17678</v>
      </c>
      <c r="D546" s="443">
        <v>2568.27</v>
      </c>
    </row>
    <row r="547" spans="1:4" ht="31.5">
      <c r="A547" s="216">
        <v>736</v>
      </c>
      <c r="B547" s="222" t="s">
        <v>18223</v>
      </c>
      <c r="C547" s="216" t="s">
        <v>17678</v>
      </c>
      <c r="D547" s="443">
        <v>2159.4499999999998</v>
      </c>
    </row>
    <row r="548" spans="1:4" ht="31.5">
      <c r="A548" s="216">
        <v>729</v>
      </c>
      <c r="B548" s="222" t="s">
        <v>18224</v>
      </c>
      <c r="C548" s="216" t="s">
        <v>17678</v>
      </c>
      <c r="D548" s="443">
        <v>880</v>
      </c>
    </row>
    <row r="549" spans="1:4" ht="31.5">
      <c r="A549" s="216">
        <v>39925</v>
      </c>
      <c r="B549" s="222" t="s">
        <v>18225</v>
      </c>
      <c r="C549" s="216" t="s">
        <v>17678</v>
      </c>
      <c r="D549" s="443">
        <v>12715.92</v>
      </c>
    </row>
    <row r="550" spans="1:4" ht="31.5">
      <c r="A550" s="216">
        <v>731</v>
      </c>
      <c r="B550" s="222" t="s">
        <v>18226</v>
      </c>
      <c r="C550" s="216" t="s">
        <v>17678</v>
      </c>
      <c r="D550" s="443">
        <v>856.46</v>
      </c>
    </row>
    <row r="551" spans="1:4" ht="31.5">
      <c r="A551" s="216">
        <v>10575</v>
      </c>
      <c r="B551" s="222" t="s">
        <v>18227</v>
      </c>
      <c r="C551" s="216" t="s">
        <v>17678</v>
      </c>
      <c r="D551" s="443">
        <v>1336.56</v>
      </c>
    </row>
    <row r="552" spans="1:4" ht="31.5">
      <c r="A552" s="216">
        <v>733</v>
      </c>
      <c r="B552" s="222" t="s">
        <v>18228</v>
      </c>
      <c r="C552" s="216" t="s">
        <v>17678</v>
      </c>
      <c r="D552" s="443">
        <v>1463.38</v>
      </c>
    </row>
    <row r="553" spans="1:4" ht="31.5">
      <c r="A553" s="216">
        <v>732</v>
      </c>
      <c r="B553" s="222" t="s">
        <v>18229</v>
      </c>
      <c r="C553" s="216" t="s">
        <v>17678</v>
      </c>
      <c r="D553" s="443">
        <v>1443.7</v>
      </c>
    </row>
    <row r="554" spans="1:4" ht="31.5">
      <c r="A554" s="216">
        <v>737</v>
      </c>
      <c r="B554" s="222" t="s">
        <v>18230</v>
      </c>
      <c r="C554" s="216" t="s">
        <v>17678</v>
      </c>
      <c r="D554" s="443">
        <v>8095.85</v>
      </c>
    </row>
    <row r="555" spans="1:4" ht="31.5">
      <c r="A555" s="216">
        <v>738</v>
      </c>
      <c r="B555" s="222" t="s">
        <v>18231</v>
      </c>
      <c r="C555" s="216" t="s">
        <v>17678</v>
      </c>
      <c r="D555" s="443">
        <v>3753.99</v>
      </c>
    </row>
    <row r="556" spans="1:4" ht="31.5">
      <c r="A556" s="216">
        <v>740</v>
      </c>
      <c r="B556" s="222" t="s">
        <v>18232</v>
      </c>
      <c r="C556" s="216" t="s">
        <v>17678</v>
      </c>
      <c r="D556" s="443">
        <v>7616.07</v>
      </c>
    </row>
    <row r="557" spans="1:4" ht="31.5">
      <c r="A557" s="216">
        <v>734</v>
      </c>
      <c r="B557" s="222" t="s">
        <v>18233</v>
      </c>
      <c r="C557" s="216" t="s">
        <v>17678</v>
      </c>
      <c r="D557" s="443">
        <v>1547.64</v>
      </c>
    </row>
    <row r="558" spans="1:4">
      <c r="A558" s="216">
        <v>39008</v>
      </c>
      <c r="B558" s="222" t="s">
        <v>18234</v>
      </c>
      <c r="C558" s="216" t="s">
        <v>17678</v>
      </c>
      <c r="D558" s="443">
        <v>58330.61</v>
      </c>
    </row>
    <row r="559" spans="1:4">
      <c r="A559" s="216">
        <v>39009</v>
      </c>
      <c r="B559" s="222" t="s">
        <v>18235</v>
      </c>
      <c r="C559" s="216" t="s">
        <v>17678</v>
      </c>
      <c r="D559" s="443">
        <v>62494.02</v>
      </c>
    </row>
    <row r="560" spans="1:4" ht="47.25">
      <c r="A560" s="216">
        <v>10587</v>
      </c>
      <c r="B560" s="222" t="s">
        <v>18236</v>
      </c>
      <c r="C560" s="216" t="s">
        <v>17678</v>
      </c>
      <c r="D560" s="443">
        <v>4394.22</v>
      </c>
    </row>
    <row r="561" spans="1:4" ht="47.25">
      <c r="A561" s="216">
        <v>759</v>
      </c>
      <c r="B561" s="222" t="s">
        <v>18237</v>
      </c>
      <c r="C561" s="216" t="s">
        <v>17678</v>
      </c>
      <c r="D561" s="443">
        <v>6318.02</v>
      </c>
    </row>
    <row r="562" spans="1:4" ht="47.25">
      <c r="A562" s="216">
        <v>761</v>
      </c>
      <c r="B562" s="222" t="s">
        <v>18238</v>
      </c>
      <c r="C562" s="216" t="s">
        <v>17678</v>
      </c>
      <c r="D562" s="443">
        <v>10709.58</v>
      </c>
    </row>
    <row r="563" spans="1:4" ht="47.25">
      <c r="A563" s="216">
        <v>750</v>
      </c>
      <c r="B563" s="222" t="s">
        <v>18239</v>
      </c>
      <c r="C563" s="216" t="s">
        <v>17678</v>
      </c>
      <c r="D563" s="443">
        <v>10167.89</v>
      </c>
    </row>
    <row r="564" spans="1:4" ht="47.25">
      <c r="A564" s="216">
        <v>755</v>
      </c>
      <c r="B564" s="222" t="s">
        <v>18240</v>
      </c>
      <c r="C564" s="216" t="s">
        <v>17678</v>
      </c>
      <c r="D564" s="443">
        <v>41724.089999999997</v>
      </c>
    </row>
    <row r="565" spans="1:4" ht="47.25">
      <c r="A565" s="216">
        <v>749</v>
      </c>
      <c r="B565" s="222" t="s">
        <v>18241</v>
      </c>
      <c r="C565" s="216" t="s">
        <v>17678</v>
      </c>
      <c r="D565" s="443">
        <v>15345.35</v>
      </c>
    </row>
    <row r="566" spans="1:4" ht="47.25">
      <c r="A566" s="216">
        <v>756</v>
      </c>
      <c r="B566" s="222" t="s">
        <v>18242</v>
      </c>
      <c r="C566" s="216" t="s">
        <v>17678</v>
      </c>
      <c r="D566" s="443">
        <v>45505.71</v>
      </c>
    </row>
    <row r="567" spans="1:4" ht="31.5">
      <c r="A567" s="216">
        <v>757</v>
      </c>
      <c r="B567" s="222" t="s">
        <v>18243</v>
      </c>
      <c r="C567" s="216" t="s">
        <v>17678</v>
      </c>
      <c r="D567" s="443">
        <v>20662.5</v>
      </c>
    </row>
    <row r="568" spans="1:4" ht="31.5">
      <c r="A568" s="216">
        <v>10588</v>
      </c>
      <c r="B568" s="222" t="s">
        <v>18244</v>
      </c>
      <c r="C568" s="216" t="s">
        <v>17678</v>
      </c>
      <c r="D568" s="443">
        <v>4561.76</v>
      </c>
    </row>
    <row r="569" spans="1:4" ht="31.5">
      <c r="A569" s="216">
        <v>10592</v>
      </c>
      <c r="B569" s="222" t="s">
        <v>18245</v>
      </c>
      <c r="C569" s="216" t="s">
        <v>17678</v>
      </c>
      <c r="D569" s="443">
        <v>5510</v>
      </c>
    </row>
    <row r="570" spans="1:4" ht="31.5">
      <c r="A570" s="216">
        <v>10589</v>
      </c>
      <c r="B570" s="222" t="s">
        <v>18246</v>
      </c>
      <c r="C570" s="216" t="s">
        <v>17678</v>
      </c>
      <c r="D570" s="443">
        <v>7402.34</v>
      </c>
    </row>
    <row r="571" spans="1:4" ht="31.5">
      <c r="A571" s="216">
        <v>760</v>
      </c>
      <c r="B571" s="222" t="s">
        <v>18247</v>
      </c>
      <c r="C571" s="216" t="s">
        <v>17678</v>
      </c>
      <c r="D571" s="443">
        <v>41325</v>
      </c>
    </row>
    <row r="572" spans="1:4" ht="31.5">
      <c r="A572" s="216">
        <v>751</v>
      </c>
      <c r="B572" s="222" t="s">
        <v>18248</v>
      </c>
      <c r="C572" s="216" t="s">
        <v>17678</v>
      </c>
      <c r="D572" s="443">
        <v>6508.68</v>
      </c>
    </row>
    <row r="573" spans="1:4" ht="31.5">
      <c r="A573" s="216">
        <v>754</v>
      </c>
      <c r="B573" s="222" t="s">
        <v>18249</v>
      </c>
      <c r="C573" s="216" t="s">
        <v>17678</v>
      </c>
      <c r="D573" s="443">
        <v>10331.25</v>
      </c>
    </row>
    <row r="574" spans="1:4">
      <c r="A574" s="216">
        <v>44489</v>
      </c>
      <c r="B574" s="222" t="s">
        <v>18250</v>
      </c>
      <c r="C574" s="216" t="s">
        <v>17678</v>
      </c>
      <c r="D574" s="443">
        <v>218767.6</v>
      </c>
    </row>
    <row r="575" spans="1:4" ht="31.5">
      <c r="A575" s="216">
        <v>39917</v>
      </c>
      <c r="B575" s="222" t="s">
        <v>18251</v>
      </c>
      <c r="C575" s="216" t="s">
        <v>17678</v>
      </c>
      <c r="D575" s="443">
        <v>89600.02</v>
      </c>
    </row>
    <row r="576" spans="1:4">
      <c r="A576" s="216">
        <v>38167</v>
      </c>
      <c r="B576" s="222" t="s">
        <v>18252</v>
      </c>
      <c r="C576" s="216" t="s">
        <v>18101</v>
      </c>
      <c r="D576" s="443">
        <v>27.25</v>
      </c>
    </row>
    <row r="577" spans="1:4">
      <c r="A577" s="216">
        <v>36145</v>
      </c>
      <c r="B577" s="222" t="s">
        <v>18253</v>
      </c>
      <c r="C577" s="216" t="s">
        <v>18101</v>
      </c>
      <c r="D577" s="443">
        <v>38.700000000000003</v>
      </c>
    </row>
    <row r="578" spans="1:4">
      <c r="A578" s="216">
        <v>12893</v>
      </c>
      <c r="B578" s="222" t="s">
        <v>18254</v>
      </c>
      <c r="C578" s="216" t="s">
        <v>18101</v>
      </c>
      <c r="D578" s="443">
        <v>64.510000000000005</v>
      </c>
    </row>
    <row r="579" spans="1:4">
      <c r="A579" s="216">
        <v>11685</v>
      </c>
      <c r="B579" s="222" t="s">
        <v>18255</v>
      </c>
      <c r="C579" s="216" t="s">
        <v>17678</v>
      </c>
      <c r="D579" s="443">
        <v>60.64</v>
      </c>
    </row>
    <row r="580" spans="1:4">
      <c r="A580" s="216">
        <v>11680</v>
      </c>
      <c r="B580" s="222" t="s">
        <v>18256</v>
      </c>
      <c r="C580" s="216" t="s">
        <v>17678</v>
      </c>
      <c r="D580" s="443">
        <v>17.28</v>
      </c>
    </row>
    <row r="581" spans="1:4">
      <c r="A581" s="216">
        <v>11679</v>
      </c>
      <c r="B581" s="222" t="s">
        <v>18257</v>
      </c>
      <c r="C581" s="216" t="s">
        <v>17678</v>
      </c>
      <c r="D581" s="443">
        <v>23.43</v>
      </c>
    </row>
    <row r="582" spans="1:4">
      <c r="A582" s="216">
        <v>2512</v>
      </c>
      <c r="B582" s="222" t="s">
        <v>18258</v>
      </c>
      <c r="C582" s="216" t="s">
        <v>17678</v>
      </c>
      <c r="D582" s="443">
        <v>46.35</v>
      </c>
    </row>
    <row r="583" spans="1:4">
      <c r="A583" s="216">
        <v>4374</v>
      </c>
      <c r="B583" s="222" t="s">
        <v>18259</v>
      </c>
      <c r="C583" s="216" t="s">
        <v>17678</v>
      </c>
      <c r="D583" s="443">
        <v>0.62</v>
      </c>
    </row>
    <row r="584" spans="1:4" ht="31.5">
      <c r="A584" s="216">
        <v>7568</v>
      </c>
      <c r="B584" s="222" t="s">
        <v>18260</v>
      </c>
      <c r="C584" s="216" t="s">
        <v>17678</v>
      </c>
      <c r="D584" s="443">
        <v>1.04</v>
      </c>
    </row>
    <row r="585" spans="1:4" ht="31.5">
      <c r="A585" s="216">
        <v>7584</v>
      </c>
      <c r="B585" s="222" t="s">
        <v>18261</v>
      </c>
      <c r="C585" s="216" t="s">
        <v>17678</v>
      </c>
      <c r="D585" s="443">
        <v>1.59</v>
      </c>
    </row>
    <row r="586" spans="1:4">
      <c r="A586" s="216">
        <v>11945</v>
      </c>
      <c r="B586" s="222" t="s">
        <v>18262</v>
      </c>
      <c r="C586" s="216" t="s">
        <v>17678</v>
      </c>
      <c r="D586" s="443">
        <v>0.1</v>
      </c>
    </row>
    <row r="587" spans="1:4">
      <c r="A587" s="216">
        <v>11946</v>
      </c>
      <c r="B587" s="222" t="s">
        <v>18263</v>
      </c>
      <c r="C587" s="216" t="s">
        <v>17678</v>
      </c>
      <c r="D587" s="443">
        <v>0.11</v>
      </c>
    </row>
    <row r="588" spans="1:4">
      <c r="A588" s="216">
        <v>4375</v>
      </c>
      <c r="B588" s="222" t="s">
        <v>18264</v>
      </c>
      <c r="C588" s="216" t="s">
        <v>17678</v>
      </c>
      <c r="D588" s="443">
        <v>0.17</v>
      </c>
    </row>
    <row r="589" spans="1:4" ht="31.5">
      <c r="A589" s="216">
        <v>11950</v>
      </c>
      <c r="B589" s="222" t="s">
        <v>18265</v>
      </c>
      <c r="C589" s="216" t="s">
        <v>17678</v>
      </c>
      <c r="D589" s="443">
        <v>0.35</v>
      </c>
    </row>
    <row r="590" spans="1:4">
      <c r="A590" s="216">
        <v>4376</v>
      </c>
      <c r="B590" s="222" t="s">
        <v>18266</v>
      </c>
      <c r="C590" s="216" t="s">
        <v>17678</v>
      </c>
      <c r="D590" s="443">
        <v>0.33</v>
      </c>
    </row>
    <row r="591" spans="1:4" ht="31.5">
      <c r="A591" s="216">
        <v>7583</v>
      </c>
      <c r="B591" s="222" t="s">
        <v>18267</v>
      </c>
      <c r="C591" s="216" t="s">
        <v>17678</v>
      </c>
      <c r="D591" s="443">
        <v>0.71</v>
      </c>
    </row>
    <row r="592" spans="1:4" ht="31.5">
      <c r="A592" s="216">
        <v>4350</v>
      </c>
      <c r="B592" s="222" t="s">
        <v>18268</v>
      </c>
      <c r="C592" s="216" t="s">
        <v>17678</v>
      </c>
      <c r="D592" s="443">
        <v>0.59</v>
      </c>
    </row>
    <row r="593" spans="1:4">
      <c r="A593" s="216">
        <v>44400</v>
      </c>
      <c r="B593" s="222" t="s">
        <v>18269</v>
      </c>
      <c r="C593" s="216" t="s">
        <v>17678</v>
      </c>
      <c r="D593" s="443">
        <v>31.84</v>
      </c>
    </row>
    <row r="594" spans="1:4">
      <c r="A594" s="216">
        <v>39886</v>
      </c>
      <c r="B594" s="222" t="s">
        <v>18270</v>
      </c>
      <c r="C594" s="216" t="s">
        <v>17678</v>
      </c>
      <c r="D594" s="443">
        <v>5.75</v>
      </c>
    </row>
    <row r="595" spans="1:4">
      <c r="A595" s="216">
        <v>39887</v>
      </c>
      <c r="B595" s="222" t="s">
        <v>18271</v>
      </c>
      <c r="C595" s="216" t="s">
        <v>17678</v>
      </c>
      <c r="D595" s="443">
        <v>8.6199999999999992</v>
      </c>
    </row>
    <row r="596" spans="1:4">
      <c r="A596" s="216">
        <v>39888</v>
      </c>
      <c r="B596" s="222" t="s">
        <v>18272</v>
      </c>
      <c r="C596" s="216" t="s">
        <v>17678</v>
      </c>
      <c r="D596" s="443">
        <v>19.72</v>
      </c>
    </row>
    <row r="597" spans="1:4">
      <c r="A597" s="216">
        <v>39890</v>
      </c>
      <c r="B597" s="222" t="s">
        <v>18273</v>
      </c>
      <c r="C597" s="216" t="s">
        <v>17678</v>
      </c>
      <c r="D597" s="443">
        <v>33.67</v>
      </c>
    </row>
    <row r="598" spans="1:4">
      <c r="A598" s="216">
        <v>39891</v>
      </c>
      <c r="B598" s="222" t="s">
        <v>18274</v>
      </c>
      <c r="C598" s="216" t="s">
        <v>17678</v>
      </c>
      <c r="D598" s="443">
        <v>47.47</v>
      </c>
    </row>
    <row r="599" spans="1:4">
      <c r="A599" s="216">
        <v>39892</v>
      </c>
      <c r="B599" s="222" t="s">
        <v>18275</v>
      </c>
      <c r="C599" s="216" t="s">
        <v>17678</v>
      </c>
      <c r="D599" s="443">
        <v>147.97</v>
      </c>
    </row>
    <row r="600" spans="1:4">
      <c r="A600" s="216">
        <v>790</v>
      </c>
      <c r="B600" s="222" t="s">
        <v>18276</v>
      </c>
      <c r="C600" s="216" t="s">
        <v>17678</v>
      </c>
      <c r="D600" s="443">
        <v>21.7</v>
      </c>
    </row>
    <row r="601" spans="1:4">
      <c r="A601" s="216">
        <v>766</v>
      </c>
      <c r="B601" s="222" t="s">
        <v>18277</v>
      </c>
      <c r="C601" s="216" t="s">
        <v>17678</v>
      </c>
      <c r="D601" s="443">
        <v>21.7</v>
      </c>
    </row>
    <row r="602" spans="1:4">
      <c r="A602" s="216">
        <v>791</v>
      </c>
      <c r="B602" s="222" t="s">
        <v>18278</v>
      </c>
      <c r="C602" s="216" t="s">
        <v>17678</v>
      </c>
      <c r="D602" s="443">
        <v>21.7</v>
      </c>
    </row>
    <row r="603" spans="1:4">
      <c r="A603" s="216">
        <v>767</v>
      </c>
      <c r="B603" s="222" t="s">
        <v>18279</v>
      </c>
      <c r="C603" s="216" t="s">
        <v>17678</v>
      </c>
      <c r="D603" s="443">
        <v>21.7</v>
      </c>
    </row>
    <row r="604" spans="1:4">
      <c r="A604" s="216">
        <v>768</v>
      </c>
      <c r="B604" s="222" t="s">
        <v>18280</v>
      </c>
      <c r="C604" s="216" t="s">
        <v>17678</v>
      </c>
      <c r="D604" s="443">
        <v>17.04</v>
      </c>
    </row>
    <row r="605" spans="1:4">
      <c r="A605" s="216">
        <v>789</v>
      </c>
      <c r="B605" s="222" t="s">
        <v>18281</v>
      </c>
      <c r="C605" s="216" t="s">
        <v>17678</v>
      </c>
      <c r="D605" s="443">
        <v>16.68</v>
      </c>
    </row>
    <row r="606" spans="1:4">
      <c r="A606" s="216">
        <v>769</v>
      </c>
      <c r="B606" s="222" t="s">
        <v>18282</v>
      </c>
      <c r="C606" s="216" t="s">
        <v>17678</v>
      </c>
      <c r="D606" s="443">
        <v>17.04</v>
      </c>
    </row>
    <row r="607" spans="1:4">
      <c r="A607" s="216">
        <v>770</v>
      </c>
      <c r="B607" s="222" t="s">
        <v>18283</v>
      </c>
      <c r="C607" s="216" t="s">
        <v>17678</v>
      </c>
      <c r="D607" s="443">
        <v>6.01</v>
      </c>
    </row>
    <row r="608" spans="1:4">
      <c r="A608" s="216">
        <v>12394</v>
      </c>
      <c r="B608" s="222" t="s">
        <v>18284</v>
      </c>
      <c r="C608" s="216" t="s">
        <v>17678</v>
      </c>
      <c r="D608" s="443">
        <v>6.01</v>
      </c>
    </row>
    <row r="609" spans="1:4">
      <c r="A609" s="216">
        <v>764</v>
      </c>
      <c r="B609" s="222" t="s">
        <v>18285</v>
      </c>
      <c r="C609" s="216" t="s">
        <v>17678</v>
      </c>
      <c r="D609" s="443">
        <v>10.49</v>
      </c>
    </row>
    <row r="610" spans="1:4">
      <c r="A610" s="216">
        <v>765</v>
      </c>
      <c r="B610" s="222" t="s">
        <v>18286</v>
      </c>
      <c r="C610" s="216" t="s">
        <v>17678</v>
      </c>
      <c r="D610" s="443">
        <v>10.49</v>
      </c>
    </row>
    <row r="611" spans="1:4">
      <c r="A611" s="216">
        <v>787</v>
      </c>
      <c r="B611" s="222" t="s">
        <v>18287</v>
      </c>
      <c r="C611" s="216" t="s">
        <v>17678</v>
      </c>
      <c r="D611" s="443">
        <v>46.86</v>
      </c>
    </row>
    <row r="612" spans="1:4">
      <c r="A612" s="216">
        <v>774</v>
      </c>
      <c r="B612" s="222" t="s">
        <v>18288</v>
      </c>
      <c r="C612" s="216" t="s">
        <v>17678</v>
      </c>
      <c r="D612" s="443">
        <v>46.86</v>
      </c>
    </row>
    <row r="613" spans="1:4">
      <c r="A613" s="216">
        <v>773</v>
      </c>
      <c r="B613" s="222" t="s">
        <v>18289</v>
      </c>
      <c r="C613" s="216" t="s">
        <v>17678</v>
      </c>
      <c r="D613" s="443">
        <v>46.86</v>
      </c>
    </row>
    <row r="614" spans="1:4">
      <c r="A614" s="216">
        <v>775</v>
      </c>
      <c r="B614" s="222" t="s">
        <v>18290</v>
      </c>
      <c r="C614" s="216" t="s">
        <v>17678</v>
      </c>
      <c r="D614" s="443">
        <v>46.86</v>
      </c>
    </row>
    <row r="615" spans="1:4">
      <c r="A615" s="216">
        <v>788</v>
      </c>
      <c r="B615" s="222" t="s">
        <v>18291</v>
      </c>
      <c r="C615" s="216" t="s">
        <v>17678</v>
      </c>
      <c r="D615" s="443">
        <v>29.12</v>
      </c>
    </row>
    <row r="616" spans="1:4">
      <c r="A616" s="216">
        <v>772</v>
      </c>
      <c r="B616" s="222" t="s">
        <v>18292</v>
      </c>
      <c r="C616" s="216" t="s">
        <v>17678</v>
      </c>
      <c r="D616" s="443">
        <v>29.12</v>
      </c>
    </row>
    <row r="617" spans="1:4">
      <c r="A617" s="216">
        <v>771</v>
      </c>
      <c r="B617" s="222" t="s">
        <v>18293</v>
      </c>
      <c r="C617" s="216" t="s">
        <v>17678</v>
      </c>
      <c r="D617" s="443">
        <v>29.12</v>
      </c>
    </row>
    <row r="618" spans="1:4">
      <c r="A618" s="216">
        <v>779</v>
      </c>
      <c r="B618" s="222" t="s">
        <v>18294</v>
      </c>
      <c r="C618" s="216" t="s">
        <v>17678</v>
      </c>
      <c r="D618" s="443">
        <v>7.24</v>
      </c>
    </row>
    <row r="619" spans="1:4">
      <c r="A619" s="216">
        <v>776</v>
      </c>
      <c r="B619" s="222" t="s">
        <v>18295</v>
      </c>
      <c r="C619" s="216" t="s">
        <v>17678</v>
      </c>
      <c r="D619" s="443">
        <v>69.08</v>
      </c>
    </row>
    <row r="620" spans="1:4">
      <c r="A620" s="216">
        <v>777</v>
      </c>
      <c r="B620" s="222" t="s">
        <v>18296</v>
      </c>
      <c r="C620" s="216" t="s">
        <v>17678</v>
      </c>
      <c r="D620" s="443">
        <v>67.150000000000006</v>
      </c>
    </row>
    <row r="621" spans="1:4">
      <c r="A621" s="216">
        <v>780</v>
      </c>
      <c r="B621" s="222" t="s">
        <v>18297</v>
      </c>
      <c r="C621" s="216" t="s">
        <v>17678</v>
      </c>
      <c r="D621" s="443">
        <v>67.489999999999995</v>
      </c>
    </row>
    <row r="622" spans="1:4">
      <c r="A622" s="216">
        <v>778</v>
      </c>
      <c r="B622" s="222" t="s">
        <v>18298</v>
      </c>
      <c r="C622" s="216" t="s">
        <v>17678</v>
      </c>
      <c r="D622" s="443">
        <v>69.08</v>
      </c>
    </row>
    <row r="623" spans="1:4">
      <c r="A623" s="216">
        <v>781</v>
      </c>
      <c r="B623" s="222" t="s">
        <v>18299</v>
      </c>
      <c r="C623" s="216" t="s">
        <v>17678</v>
      </c>
      <c r="D623" s="443">
        <v>127.63</v>
      </c>
    </row>
    <row r="624" spans="1:4">
      <c r="A624" s="216">
        <v>786</v>
      </c>
      <c r="B624" s="222" t="s">
        <v>18300</v>
      </c>
      <c r="C624" s="216" t="s">
        <v>17678</v>
      </c>
      <c r="D624" s="443">
        <v>127.63</v>
      </c>
    </row>
    <row r="625" spans="1:4">
      <c r="A625" s="216">
        <v>782</v>
      </c>
      <c r="B625" s="222" t="s">
        <v>18301</v>
      </c>
      <c r="C625" s="216" t="s">
        <v>17678</v>
      </c>
      <c r="D625" s="443">
        <v>127.63</v>
      </c>
    </row>
    <row r="626" spans="1:4">
      <c r="A626" s="216">
        <v>783</v>
      </c>
      <c r="B626" s="222" t="s">
        <v>18302</v>
      </c>
      <c r="C626" s="216" t="s">
        <v>17678</v>
      </c>
      <c r="D626" s="443">
        <v>349.3</v>
      </c>
    </row>
    <row r="627" spans="1:4">
      <c r="A627" s="216">
        <v>785</v>
      </c>
      <c r="B627" s="222" t="s">
        <v>18303</v>
      </c>
      <c r="C627" s="216" t="s">
        <v>17678</v>
      </c>
      <c r="D627" s="443">
        <v>369.07</v>
      </c>
    </row>
    <row r="628" spans="1:4">
      <c r="A628" s="216">
        <v>784</v>
      </c>
      <c r="B628" s="222" t="s">
        <v>18304</v>
      </c>
      <c r="C628" s="216" t="s">
        <v>17678</v>
      </c>
      <c r="D628" s="443">
        <v>395.92</v>
      </c>
    </row>
    <row r="629" spans="1:4">
      <c r="A629" s="216">
        <v>828</v>
      </c>
      <c r="B629" s="222" t="s">
        <v>18305</v>
      </c>
      <c r="C629" s="216" t="s">
        <v>17678</v>
      </c>
      <c r="D629" s="443">
        <v>0.69</v>
      </c>
    </row>
    <row r="630" spans="1:4">
      <c r="A630" s="216">
        <v>829</v>
      </c>
      <c r="B630" s="222" t="s">
        <v>18306</v>
      </c>
      <c r="C630" s="216" t="s">
        <v>17678</v>
      </c>
      <c r="D630" s="443">
        <v>1.1100000000000001</v>
      </c>
    </row>
    <row r="631" spans="1:4">
      <c r="A631" s="216">
        <v>812</v>
      </c>
      <c r="B631" s="222" t="s">
        <v>18307</v>
      </c>
      <c r="C631" s="216" t="s">
        <v>17678</v>
      </c>
      <c r="D631" s="443">
        <v>2.4500000000000002</v>
      </c>
    </row>
    <row r="632" spans="1:4">
      <c r="A632" s="216">
        <v>819</v>
      </c>
      <c r="B632" s="222" t="s">
        <v>18308</v>
      </c>
      <c r="C632" s="216" t="s">
        <v>17678</v>
      </c>
      <c r="D632" s="443">
        <v>4.25</v>
      </c>
    </row>
    <row r="633" spans="1:4">
      <c r="A633" s="216">
        <v>818</v>
      </c>
      <c r="B633" s="222" t="s">
        <v>18309</v>
      </c>
      <c r="C633" s="216" t="s">
        <v>17678</v>
      </c>
      <c r="D633" s="443">
        <v>7.93</v>
      </c>
    </row>
    <row r="634" spans="1:4">
      <c r="A634" s="216">
        <v>832</v>
      </c>
      <c r="B634" s="222" t="s">
        <v>18310</v>
      </c>
      <c r="C634" s="216" t="s">
        <v>17678</v>
      </c>
      <c r="D634" s="443">
        <v>3.27</v>
      </c>
    </row>
    <row r="635" spans="1:4">
      <c r="A635" s="216">
        <v>834</v>
      </c>
      <c r="B635" s="222" t="s">
        <v>18311</v>
      </c>
      <c r="C635" s="216" t="s">
        <v>17678</v>
      </c>
      <c r="D635" s="443">
        <v>4.24</v>
      </c>
    </row>
    <row r="636" spans="1:4">
      <c r="A636" s="216">
        <v>813</v>
      </c>
      <c r="B636" s="222" t="s">
        <v>18312</v>
      </c>
      <c r="C636" s="216" t="s">
        <v>17678</v>
      </c>
      <c r="D636" s="443">
        <v>4.93</v>
      </c>
    </row>
    <row r="637" spans="1:4">
      <c r="A637" s="216">
        <v>820</v>
      </c>
      <c r="B637" s="222" t="s">
        <v>18313</v>
      </c>
      <c r="C637" s="216" t="s">
        <v>17678</v>
      </c>
      <c r="D637" s="443">
        <v>6.64</v>
      </c>
    </row>
    <row r="638" spans="1:4">
      <c r="A638" s="216">
        <v>816</v>
      </c>
      <c r="B638" s="222" t="s">
        <v>18314</v>
      </c>
      <c r="C638" s="216" t="s">
        <v>17678</v>
      </c>
      <c r="D638" s="443">
        <v>11.83</v>
      </c>
    </row>
    <row r="639" spans="1:4">
      <c r="A639" s="216">
        <v>814</v>
      </c>
      <c r="B639" s="222" t="s">
        <v>18315</v>
      </c>
      <c r="C639" s="216" t="s">
        <v>17678</v>
      </c>
      <c r="D639" s="443">
        <v>14.7</v>
      </c>
    </row>
    <row r="640" spans="1:4">
      <c r="A640" s="216">
        <v>822</v>
      </c>
      <c r="B640" s="222" t="s">
        <v>18316</v>
      </c>
      <c r="C640" s="216" t="s">
        <v>17678</v>
      </c>
      <c r="D640" s="443">
        <v>19.190000000000001</v>
      </c>
    </row>
    <row r="641" spans="1:4">
      <c r="A641" s="216">
        <v>821</v>
      </c>
      <c r="B641" s="222" t="s">
        <v>18317</v>
      </c>
      <c r="C641" s="216" t="s">
        <v>17678</v>
      </c>
      <c r="D641" s="443">
        <v>21.95</v>
      </c>
    </row>
    <row r="642" spans="1:4">
      <c r="A642" s="216">
        <v>20086</v>
      </c>
      <c r="B642" s="222" t="s">
        <v>18318</v>
      </c>
      <c r="C642" s="216" t="s">
        <v>17678</v>
      </c>
      <c r="D642" s="443">
        <v>3.15</v>
      </c>
    </row>
    <row r="643" spans="1:4">
      <c r="A643" s="216">
        <v>39191</v>
      </c>
      <c r="B643" s="222" t="s">
        <v>18319</v>
      </c>
      <c r="C643" s="216" t="s">
        <v>17678</v>
      </c>
      <c r="D643" s="443">
        <v>21.89</v>
      </c>
    </row>
    <row r="644" spans="1:4">
      <c r="A644" s="216">
        <v>39190</v>
      </c>
      <c r="B644" s="222" t="s">
        <v>18320</v>
      </c>
      <c r="C644" s="216" t="s">
        <v>17678</v>
      </c>
      <c r="D644" s="443">
        <v>22.87</v>
      </c>
    </row>
    <row r="645" spans="1:4">
      <c r="A645" s="216">
        <v>39189</v>
      </c>
      <c r="B645" s="222" t="s">
        <v>18321</v>
      </c>
      <c r="C645" s="216" t="s">
        <v>17678</v>
      </c>
      <c r="D645" s="443">
        <v>24.2</v>
      </c>
    </row>
    <row r="646" spans="1:4">
      <c r="A646" s="216">
        <v>39186</v>
      </c>
      <c r="B646" s="222" t="s">
        <v>18322</v>
      </c>
      <c r="C646" s="216" t="s">
        <v>17678</v>
      </c>
      <c r="D646" s="443">
        <v>21.65</v>
      </c>
    </row>
    <row r="647" spans="1:4">
      <c r="A647" s="216">
        <v>39188</v>
      </c>
      <c r="B647" s="222" t="s">
        <v>18323</v>
      </c>
      <c r="C647" s="216" t="s">
        <v>17678</v>
      </c>
      <c r="D647" s="443">
        <v>17.809999999999999</v>
      </c>
    </row>
    <row r="648" spans="1:4">
      <c r="A648" s="216">
        <v>39187</v>
      </c>
      <c r="B648" s="222" t="s">
        <v>18324</v>
      </c>
      <c r="C648" s="216" t="s">
        <v>17678</v>
      </c>
      <c r="D648" s="443">
        <v>18.670000000000002</v>
      </c>
    </row>
    <row r="649" spans="1:4">
      <c r="A649" s="216">
        <v>39184</v>
      </c>
      <c r="B649" s="222" t="s">
        <v>18325</v>
      </c>
      <c r="C649" s="216" t="s">
        <v>17678</v>
      </c>
      <c r="D649" s="443">
        <v>7.02</v>
      </c>
    </row>
    <row r="650" spans="1:4">
      <c r="A650" s="216">
        <v>39185</v>
      </c>
      <c r="B650" s="222" t="s">
        <v>18326</v>
      </c>
      <c r="C650" s="216" t="s">
        <v>17678</v>
      </c>
      <c r="D650" s="443">
        <v>6.4</v>
      </c>
    </row>
    <row r="651" spans="1:4">
      <c r="A651" s="216">
        <v>39198</v>
      </c>
      <c r="B651" s="222" t="s">
        <v>18327</v>
      </c>
      <c r="C651" s="216" t="s">
        <v>17678</v>
      </c>
      <c r="D651" s="443">
        <v>71.81</v>
      </c>
    </row>
    <row r="652" spans="1:4">
      <c r="A652" s="216">
        <v>39197</v>
      </c>
      <c r="B652" s="222" t="s">
        <v>18328</v>
      </c>
      <c r="C652" s="216" t="s">
        <v>17678</v>
      </c>
      <c r="D652" s="443">
        <v>75.010000000000005</v>
      </c>
    </row>
    <row r="653" spans="1:4">
      <c r="A653" s="216">
        <v>39196</v>
      </c>
      <c r="B653" s="222" t="s">
        <v>18329</v>
      </c>
      <c r="C653" s="216" t="s">
        <v>17678</v>
      </c>
      <c r="D653" s="443">
        <v>77.36</v>
      </c>
    </row>
    <row r="654" spans="1:4">
      <c r="A654" s="216">
        <v>39199</v>
      </c>
      <c r="B654" s="222" t="s">
        <v>18330</v>
      </c>
      <c r="C654" s="216" t="s">
        <v>17678</v>
      </c>
      <c r="D654" s="443">
        <v>69.11</v>
      </c>
    </row>
    <row r="655" spans="1:4">
      <c r="A655" s="216">
        <v>39195</v>
      </c>
      <c r="B655" s="222" t="s">
        <v>18331</v>
      </c>
      <c r="C655" s="216" t="s">
        <v>17678</v>
      </c>
      <c r="D655" s="443">
        <v>39.89</v>
      </c>
    </row>
    <row r="656" spans="1:4">
      <c r="A656" s="216">
        <v>39194</v>
      </c>
      <c r="B656" s="222" t="s">
        <v>18332</v>
      </c>
      <c r="C656" s="216" t="s">
        <v>17678</v>
      </c>
      <c r="D656" s="443">
        <v>42.69</v>
      </c>
    </row>
    <row r="657" spans="1:4">
      <c r="A657" s="216">
        <v>39193</v>
      </c>
      <c r="B657" s="222" t="s">
        <v>18333</v>
      </c>
      <c r="C657" s="216" t="s">
        <v>17678</v>
      </c>
      <c r="D657" s="443">
        <v>46.78</v>
      </c>
    </row>
    <row r="658" spans="1:4">
      <c r="A658" s="216">
        <v>39192</v>
      </c>
      <c r="B658" s="222" t="s">
        <v>18334</v>
      </c>
      <c r="C658" s="216" t="s">
        <v>17678</v>
      </c>
      <c r="D658" s="443">
        <v>48.67</v>
      </c>
    </row>
    <row r="659" spans="1:4">
      <c r="A659" s="216">
        <v>39920</v>
      </c>
      <c r="B659" s="222" t="s">
        <v>18335</v>
      </c>
      <c r="C659" s="216" t="s">
        <v>17678</v>
      </c>
      <c r="D659" s="443">
        <v>5.89</v>
      </c>
    </row>
    <row r="660" spans="1:4">
      <c r="A660" s="216">
        <v>39201</v>
      </c>
      <c r="B660" s="222" t="s">
        <v>18336</v>
      </c>
      <c r="C660" s="216" t="s">
        <v>17678</v>
      </c>
      <c r="D660" s="443">
        <v>85.85</v>
      </c>
    </row>
    <row r="661" spans="1:4">
      <c r="A661" s="216">
        <v>39200</v>
      </c>
      <c r="B661" s="222" t="s">
        <v>18337</v>
      </c>
      <c r="C661" s="216" t="s">
        <v>17678</v>
      </c>
      <c r="D661" s="443">
        <v>86.54</v>
      </c>
    </row>
    <row r="662" spans="1:4">
      <c r="A662" s="216">
        <v>39203</v>
      </c>
      <c r="B662" s="222" t="s">
        <v>18338</v>
      </c>
      <c r="C662" s="216" t="s">
        <v>17678</v>
      </c>
      <c r="D662" s="443">
        <v>69.88</v>
      </c>
    </row>
    <row r="663" spans="1:4">
      <c r="A663" s="216">
        <v>39202</v>
      </c>
      <c r="B663" s="222" t="s">
        <v>18339</v>
      </c>
      <c r="C663" s="216" t="s">
        <v>17678</v>
      </c>
      <c r="D663" s="443">
        <v>82.09</v>
      </c>
    </row>
    <row r="664" spans="1:4">
      <c r="A664" s="216">
        <v>39205</v>
      </c>
      <c r="B664" s="222" t="s">
        <v>18340</v>
      </c>
      <c r="C664" s="216" t="s">
        <v>17678</v>
      </c>
      <c r="D664" s="443">
        <v>136.94999999999999</v>
      </c>
    </row>
    <row r="665" spans="1:4">
      <c r="A665" s="216">
        <v>39204</v>
      </c>
      <c r="B665" s="222" t="s">
        <v>18341</v>
      </c>
      <c r="C665" s="216" t="s">
        <v>17678</v>
      </c>
      <c r="D665" s="443">
        <v>140.27000000000001</v>
      </c>
    </row>
    <row r="666" spans="1:4">
      <c r="A666" s="216">
        <v>39206</v>
      </c>
      <c r="B666" s="222" t="s">
        <v>18342</v>
      </c>
      <c r="C666" s="216" t="s">
        <v>17678</v>
      </c>
      <c r="D666" s="443">
        <v>133.07</v>
      </c>
    </row>
    <row r="667" spans="1:4">
      <c r="A667" s="216">
        <v>798</v>
      </c>
      <c r="B667" s="222" t="s">
        <v>18343</v>
      </c>
      <c r="C667" s="216" t="s">
        <v>17678</v>
      </c>
      <c r="D667" s="443">
        <v>1.37</v>
      </c>
    </row>
    <row r="668" spans="1:4">
      <c r="A668" s="216">
        <v>797</v>
      </c>
      <c r="B668" s="222" t="s">
        <v>18344</v>
      </c>
      <c r="C668" s="216" t="s">
        <v>17678</v>
      </c>
      <c r="D668" s="443">
        <v>9.94</v>
      </c>
    </row>
    <row r="669" spans="1:4">
      <c r="A669" s="216">
        <v>796</v>
      </c>
      <c r="B669" s="222" t="s">
        <v>18345</v>
      </c>
      <c r="C669" s="216" t="s">
        <v>17678</v>
      </c>
      <c r="D669" s="443">
        <v>8.44</v>
      </c>
    </row>
    <row r="670" spans="1:4">
      <c r="A670" s="216">
        <v>799</v>
      </c>
      <c r="B670" s="222" t="s">
        <v>18346</v>
      </c>
      <c r="C670" s="216" t="s">
        <v>17678</v>
      </c>
      <c r="D670" s="443">
        <v>4.08</v>
      </c>
    </row>
    <row r="671" spans="1:4">
      <c r="A671" s="216">
        <v>792</v>
      </c>
      <c r="B671" s="222" t="s">
        <v>18347</v>
      </c>
      <c r="C671" s="216" t="s">
        <v>17678</v>
      </c>
      <c r="D671" s="443">
        <v>3.95</v>
      </c>
    </row>
    <row r="672" spans="1:4">
      <c r="A672" s="216">
        <v>38001</v>
      </c>
      <c r="B672" s="222" t="s">
        <v>18348</v>
      </c>
      <c r="C672" s="216" t="s">
        <v>17678</v>
      </c>
      <c r="D672" s="443">
        <v>1.18</v>
      </c>
    </row>
    <row r="673" spans="1:4">
      <c r="A673" s="216">
        <v>38002</v>
      </c>
      <c r="B673" s="222" t="s">
        <v>18349</v>
      </c>
      <c r="C673" s="216" t="s">
        <v>17678</v>
      </c>
      <c r="D673" s="443">
        <v>4.1100000000000003</v>
      </c>
    </row>
    <row r="674" spans="1:4">
      <c r="A674" s="216">
        <v>38003</v>
      </c>
      <c r="B674" s="222" t="s">
        <v>18350</v>
      </c>
      <c r="C674" s="216" t="s">
        <v>17678</v>
      </c>
      <c r="D674" s="443">
        <v>28.07</v>
      </c>
    </row>
    <row r="675" spans="1:4">
      <c r="A675" s="216">
        <v>38004</v>
      </c>
      <c r="B675" s="222" t="s">
        <v>18351</v>
      </c>
      <c r="C675" s="216" t="s">
        <v>17678</v>
      </c>
      <c r="D675" s="443">
        <v>32.28</v>
      </c>
    </row>
    <row r="676" spans="1:4">
      <c r="A676" s="216">
        <v>44263</v>
      </c>
      <c r="B676" s="222" t="s">
        <v>18352</v>
      </c>
      <c r="C676" s="216" t="s">
        <v>17678</v>
      </c>
      <c r="D676" s="443">
        <v>57.96</v>
      </c>
    </row>
    <row r="677" spans="1:4">
      <c r="A677" s="216">
        <v>36327</v>
      </c>
      <c r="B677" s="222" t="s">
        <v>18353</v>
      </c>
      <c r="C677" s="216" t="s">
        <v>17678</v>
      </c>
      <c r="D677" s="443">
        <v>4.26</v>
      </c>
    </row>
    <row r="678" spans="1:4">
      <c r="A678" s="216">
        <v>38992</v>
      </c>
      <c r="B678" s="222" t="s">
        <v>18354</v>
      </c>
      <c r="C678" s="216" t="s">
        <v>17678</v>
      </c>
      <c r="D678" s="443">
        <v>5.17</v>
      </c>
    </row>
    <row r="679" spans="1:4">
      <c r="A679" s="216">
        <v>38993</v>
      </c>
      <c r="B679" s="222" t="s">
        <v>18355</v>
      </c>
      <c r="C679" s="216" t="s">
        <v>17678</v>
      </c>
      <c r="D679" s="443">
        <v>13.46</v>
      </c>
    </row>
    <row r="680" spans="1:4">
      <c r="A680" s="216">
        <v>44175</v>
      </c>
      <c r="B680" s="222" t="s">
        <v>18356</v>
      </c>
      <c r="C680" s="216" t="s">
        <v>17678</v>
      </c>
      <c r="D680" s="443">
        <v>23.48</v>
      </c>
    </row>
    <row r="681" spans="1:4">
      <c r="A681" s="216">
        <v>44177</v>
      </c>
      <c r="B681" s="222" t="s">
        <v>18357</v>
      </c>
      <c r="C681" s="216" t="s">
        <v>17678</v>
      </c>
      <c r="D681" s="443">
        <v>17.54</v>
      </c>
    </row>
    <row r="682" spans="1:4">
      <c r="A682" s="216">
        <v>38418</v>
      </c>
      <c r="B682" s="222" t="s">
        <v>18358</v>
      </c>
      <c r="C682" s="216" t="s">
        <v>17678</v>
      </c>
      <c r="D682" s="443">
        <v>5.41</v>
      </c>
    </row>
    <row r="683" spans="1:4">
      <c r="A683" s="216">
        <v>39178</v>
      </c>
      <c r="B683" s="222" t="s">
        <v>18359</v>
      </c>
      <c r="C683" s="216" t="s">
        <v>17678</v>
      </c>
      <c r="D683" s="443">
        <v>2.37</v>
      </c>
    </row>
    <row r="684" spans="1:4">
      <c r="A684" s="216">
        <v>39177</v>
      </c>
      <c r="B684" s="222" t="s">
        <v>18360</v>
      </c>
      <c r="C684" s="216" t="s">
        <v>17678</v>
      </c>
      <c r="D684" s="443">
        <v>2.14</v>
      </c>
    </row>
    <row r="685" spans="1:4">
      <c r="A685" s="216">
        <v>39174</v>
      </c>
      <c r="B685" s="222" t="s">
        <v>18361</v>
      </c>
      <c r="C685" s="216" t="s">
        <v>17678</v>
      </c>
      <c r="D685" s="443">
        <v>1.07</v>
      </c>
    </row>
    <row r="686" spans="1:4">
      <c r="A686" s="216">
        <v>39176</v>
      </c>
      <c r="B686" s="222" t="s">
        <v>18362</v>
      </c>
      <c r="C686" s="216" t="s">
        <v>17678</v>
      </c>
      <c r="D686" s="443">
        <v>1.4</v>
      </c>
    </row>
    <row r="687" spans="1:4">
      <c r="A687" s="216">
        <v>39180</v>
      </c>
      <c r="B687" s="222" t="s">
        <v>18363</v>
      </c>
      <c r="C687" s="216" t="s">
        <v>17678</v>
      </c>
      <c r="D687" s="443">
        <v>6.43</v>
      </c>
    </row>
    <row r="688" spans="1:4">
      <c r="A688" s="216">
        <v>39179</v>
      </c>
      <c r="B688" s="222" t="s">
        <v>18364</v>
      </c>
      <c r="C688" s="216" t="s">
        <v>17678</v>
      </c>
      <c r="D688" s="443">
        <v>5.69</v>
      </c>
    </row>
    <row r="689" spans="1:4">
      <c r="A689" s="216">
        <v>39175</v>
      </c>
      <c r="B689" s="222" t="s">
        <v>18365</v>
      </c>
      <c r="C689" s="216" t="s">
        <v>17678</v>
      </c>
      <c r="D689" s="443">
        <v>1.31</v>
      </c>
    </row>
    <row r="690" spans="1:4">
      <c r="A690" s="216">
        <v>39217</v>
      </c>
      <c r="B690" s="222" t="s">
        <v>18366</v>
      </c>
      <c r="C690" s="216" t="s">
        <v>17678</v>
      </c>
      <c r="D690" s="443">
        <v>1.01</v>
      </c>
    </row>
    <row r="691" spans="1:4">
      <c r="A691" s="216">
        <v>39181</v>
      </c>
      <c r="B691" s="222" t="s">
        <v>18367</v>
      </c>
      <c r="C691" s="216" t="s">
        <v>17678</v>
      </c>
      <c r="D691" s="443">
        <v>8.6199999999999992</v>
      </c>
    </row>
    <row r="692" spans="1:4">
      <c r="A692" s="216">
        <v>39182</v>
      </c>
      <c r="B692" s="222" t="s">
        <v>18368</v>
      </c>
      <c r="C692" s="216" t="s">
        <v>17678</v>
      </c>
      <c r="D692" s="443">
        <v>12.12</v>
      </c>
    </row>
    <row r="693" spans="1:4" ht="31.5">
      <c r="A693" s="216">
        <v>12616</v>
      </c>
      <c r="B693" s="222" t="s">
        <v>18369</v>
      </c>
      <c r="C693" s="216" t="s">
        <v>17678</v>
      </c>
      <c r="D693" s="443">
        <v>16.7</v>
      </c>
    </row>
    <row r="694" spans="1:4" ht="31.5">
      <c r="A694" s="216">
        <v>1049</v>
      </c>
      <c r="B694" s="222" t="s">
        <v>18370</v>
      </c>
      <c r="C694" s="216" t="s">
        <v>17678</v>
      </c>
      <c r="D694" s="443">
        <v>10.14</v>
      </c>
    </row>
    <row r="695" spans="1:4" ht="31.5">
      <c r="A695" s="216">
        <v>1099</v>
      </c>
      <c r="B695" s="222" t="s">
        <v>18371</v>
      </c>
      <c r="C695" s="216" t="s">
        <v>17678</v>
      </c>
      <c r="D695" s="443">
        <v>7.76</v>
      </c>
    </row>
    <row r="696" spans="1:4" ht="31.5">
      <c r="A696" s="216">
        <v>39678</v>
      </c>
      <c r="B696" s="222" t="s">
        <v>18372</v>
      </c>
      <c r="C696" s="216" t="s">
        <v>17678</v>
      </c>
      <c r="D696" s="443">
        <v>3.13</v>
      </c>
    </row>
    <row r="697" spans="1:4" ht="31.5">
      <c r="A697" s="216">
        <v>1050</v>
      </c>
      <c r="B697" s="222" t="s">
        <v>18373</v>
      </c>
      <c r="C697" s="216" t="s">
        <v>17678</v>
      </c>
      <c r="D697" s="443">
        <v>5.31</v>
      </c>
    </row>
    <row r="698" spans="1:4" ht="31.5">
      <c r="A698" s="216">
        <v>1101</v>
      </c>
      <c r="B698" s="222" t="s">
        <v>18374</v>
      </c>
      <c r="C698" s="216" t="s">
        <v>17678</v>
      </c>
      <c r="D698" s="443">
        <v>33.47</v>
      </c>
    </row>
    <row r="699" spans="1:4" ht="31.5">
      <c r="A699" s="216">
        <v>1100</v>
      </c>
      <c r="B699" s="222" t="s">
        <v>18375</v>
      </c>
      <c r="C699" s="216" t="s">
        <v>17678</v>
      </c>
      <c r="D699" s="443">
        <v>17.27</v>
      </c>
    </row>
    <row r="700" spans="1:4" ht="31.5">
      <c r="A700" s="216">
        <v>39679</v>
      </c>
      <c r="B700" s="222" t="s">
        <v>18376</v>
      </c>
      <c r="C700" s="216" t="s">
        <v>17678</v>
      </c>
      <c r="D700" s="443">
        <v>66.7</v>
      </c>
    </row>
    <row r="701" spans="1:4" ht="31.5">
      <c r="A701" s="216">
        <v>1098</v>
      </c>
      <c r="B701" s="222" t="s">
        <v>18377</v>
      </c>
      <c r="C701" s="216" t="s">
        <v>17678</v>
      </c>
      <c r="D701" s="443">
        <v>4.1399999999999997</v>
      </c>
    </row>
    <row r="702" spans="1:4" ht="31.5">
      <c r="A702" s="216">
        <v>1102</v>
      </c>
      <c r="B702" s="222" t="s">
        <v>18378</v>
      </c>
      <c r="C702" s="216" t="s">
        <v>17678</v>
      </c>
      <c r="D702" s="443">
        <v>49.9</v>
      </c>
    </row>
    <row r="703" spans="1:4" ht="31.5">
      <c r="A703" s="216">
        <v>1051</v>
      </c>
      <c r="B703" s="222" t="s">
        <v>18379</v>
      </c>
      <c r="C703" s="216" t="s">
        <v>17678</v>
      </c>
      <c r="D703" s="443">
        <v>72.540000000000006</v>
      </c>
    </row>
    <row r="704" spans="1:4">
      <c r="A704" s="216">
        <v>37399</v>
      </c>
      <c r="B704" s="222" t="s">
        <v>18380</v>
      </c>
      <c r="C704" s="216" t="s">
        <v>17678</v>
      </c>
      <c r="D704" s="443">
        <v>43.44</v>
      </c>
    </row>
    <row r="705" spans="1:4">
      <c r="A705" s="216">
        <v>43834</v>
      </c>
      <c r="B705" s="222" t="s">
        <v>18381</v>
      </c>
      <c r="C705" s="216" t="s">
        <v>17722</v>
      </c>
      <c r="D705" s="443">
        <v>25.51</v>
      </c>
    </row>
    <row r="706" spans="1:4">
      <c r="A706" s="216">
        <v>43835</v>
      </c>
      <c r="B706" s="222" t="s">
        <v>18382</v>
      </c>
      <c r="C706" s="216" t="s">
        <v>17722</v>
      </c>
      <c r="D706" s="443">
        <v>2.2799999999999998</v>
      </c>
    </row>
    <row r="707" spans="1:4">
      <c r="A707" s="216">
        <v>43833</v>
      </c>
      <c r="B707" s="222" t="s">
        <v>18383</v>
      </c>
      <c r="C707" s="216" t="s">
        <v>17722</v>
      </c>
      <c r="D707" s="443">
        <v>2.37</v>
      </c>
    </row>
    <row r="708" spans="1:4">
      <c r="A708" s="216">
        <v>41955</v>
      </c>
      <c r="B708" s="222" t="s">
        <v>18384</v>
      </c>
      <c r="C708" s="216" t="s">
        <v>17726</v>
      </c>
      <c r="D708" s="443">
        <v>87.79</v>
      </c>
    </row>
    <row r="709" spans="1:4">
      <c r="A709" s="216">
        <v>41953</v>
      </c>
      <c r="B709" s="222" t="s">
        <v>18385</v>
      </c>
      <c r="C709" s="216" t="s">
        <v>17726</v>
      </c>
      <c r="D709" s="443">
        <v>83.78</v>
      </c>
    </row>
    <row r="710" spans="1:4">
      <c r="A710" s="216">
        <v>41954</v>
      </c>
      <c r="B710" s="222" t="s">
        <v>18386</v>
      </c>
      <c r="C710" s="216" t="s">
        <v>17726</v>
      </c>
      <c r="D710" s="443">
        <v>82.98</v>
      </c>
    </row>
    <row r="711" spans="1:4">
      <c r="A711" s="216">
        <v>25004</v>
      </c>
      <c r="B711" s="222" t="s">
        <v>18387</v>
      </c>
      <c r="C711" s="216" t="s">
        <v>17726</v>
      </c>
      <c r="D711" s="443">
        <v>47.27</v>
      </c>
    </row>
    <row r="712" spans="1:4">
      <c r="A712" s="216">
        <v>25002</v>
      </c>
      <c r="B712" s="222" t="s">
        <v>18388</v>
      </c>
      <c r="C712" s="216" t="s">
        <v>17726</v>
      </c>
      <c r="D712" s="443">
        <v>47.27</v>
      </c>
    </row>
    <row r="713" spans="1:4">
      <c r="A713" s="216">
        <v>37409</v>
      </c>
      <c r="B713" s="222" t="s">
        <v>18389</v>
      </c>
      <c r="C713" s="216" t="s">
        <v>17726</v>
      </c>
      <c r="D713" s="443">
        <v>47.27</v>
      </c>
    </row>
    <row r="714" spans="1:4">
      <c r="A714" s="216">
        <v>841</v>
      </c>
      <c r="B714" s="222" t="s">
        <v>18390</v>
      </c>
      <c r="C714" s="216" t="s">
        <v>17726</v>
      </c>
      <c r="D714" s="443">
        <v>47.85</v>
      </c>
    </row>
    <row r="715" spans="1:4">
      <c r="A715" s="216">
        <v>25005</v>
      </c>
      <c r="B715" s="222" t="s">
        <v>18391</v>
      </c>
      <c r="C715" s="216" t="s">
        <v>17726</v>
      </c>
      <c r="D715" s="443">
        <v>51.87</v>
      </c>
    </row>
    <row r="716" spans="1:4">
      <c r="A716" s="216">
        <v>25003</v>
      </c>
      <c r="B716" s="222" t="s">
        <v>18392</v>
      </c>
      <c r="C716" s="216" t="s">
        <v>17726</v>
      </c>
      <c r="D716" s="443">
        <v>52.65</v>
      </c>
    </row>
    <row r="717" spans="1:4">
      <c r="A717" s="216">
        <v>37410</v>
      </c>
      <c r="B717" s="222" t="s">
        <v>18393</v>
      </c>
      <c r="C717" s="216" t="s">
        <v>17726</v>
      </c>
      <c r="D717" s="443">
        <v>51.87</v>
      </c>
    </row>
    <row r="718" spans="1:4">
      <c r="A718" s="216">
        <v>842</v>
      </c>
      <c r="B718" s="222" t="s">
        <v>18394</v>
      </c>
      <c r="C718" s="216" t="s">
        <v>17726</v>
      </c>
      <c r="D718" s="443">
        <v>52.6</v>
      </c>
    </row>
    <row r="719" spans="1:4">
      <c r="A719" s="216">
        <v>44391</v>
      </c>
      <c r="B719" s="222" t="s">
        <v>18395</v>
      </c>
      <c r="C719" s="216" t="s">
        <v>17722</v>
      </c>
      <c r="D719" s="443">
        <v>112.09</v>
      </c>
    </row>
    <row r="720" spans="1:4">
      <c r="A720" s="216">
        <v>44388</v>
      </c>
      <c r="B720" s="222" t="s">
        <v>18396</v>
      </c>
      <c r="C720" s="216" t="s">
        <v>17722</v>
      </c>
      <c r="D720" s="443">
        <v>2.4300000000000002</v>
      </c>
    </row>
    <row r="721" spans="1:4">
      <c r="A721" s="216">
        <v>44392</v>
      </c>
      <c r="B721" s="222" t="s">
        <v>18397</v>
      </c>
      <c r="C721" s="216" t="s">
        <v>17722</v>
      </c>
      <c r="D721" s="443">
        <v>223.19</v>
      </c>
    </row>
    <row r="722" spans="1:4">
      <c r="A722" s="216">
        <v>44390</v>
      </c>
      <c r="B722" s="222" t="s">
        <v>18398</v>
      </c>
      <c r="C722" s="216" t="s">
        <v>17722</v>
      </c>
      <c r="D722" s="443">
        <v>47.29</v>
      </c>
    </row>
    <row r="723" spans="1:4">
      <c r="A723" s="216">
        <v>44389</v>
      </c>
      <c r="B723" s="222" t="s">
        <v>18399</v>
      </c>
      <c r="C723" s="216" t="s">
        <v>17722</v>
      </c>
      <c r="D723" s="443">
        <v>5.58</v>
      </c>
    </row>
    <row r="724" spans="1:4">
      <c r="A724" s="216">
        <v>862</v>
      </c>
      <c r="B724" s="222" t="s">
        <v>18400</v>
      </c>
      <c r="C724" s="216" t="s">
        <v>17722</v>
      </c>
      <c r="D724" s="443">
        <v>10.23</v>
      </c>
    </row>
    <row r="725" spans="1:4">
      <c r="A725" s="216">
        <v>866</v>
      </c>
      <c r="B725" s="222" t="s">
        <v>18401</v>
      </c>
      <c r="C725" s="216" t="s">
        <v>17722</v>
      </c>
      <c r="D725" s="443">
        <v>129.96</v>
      </c>
    </row>
    <row r="726" spans="1:4">
      <c r="A726" s="216">
        <v>892</v>
      </c>
      <c r="B726" s="222" t="s">
        <v>18402</v>
      </c>
      <c r="C726" s="216" t="s">
        <v>17722</v>
      </c>
      <c r="D726" s="443">
        <v>157.32</v>
      </c>
    </row>
    <row r="727" spans="1:4">
      <c r="A727" s="216">
        <v>857</v>
      </c>
      <c r="B727" s="222" t="s">
        <v>18403</v>
      </c>
      <c r="C727" s="216" t="s">
        <v>17722</v>
      </c>
      <c r="D727" s="443">
        <v>17.11</v>
      </c>
    </row>
    <row r="728" spans="1:4">
      <c r="A728" s="216">
        <v>37404</v>
      </c>
      <c r="B728" s="222" t="s">
        <v>18404</v>
      </c>
      <c r="C728" s="216" t="s">
        <v>17722</v>
      </c>
      <c r="D728" s="443">
        <v>182.02</v>
      </c>
    </row>
    <row r="729" spans="1:4">
      <c r="A729" s="216">
        <v>868</v>
      </c>
      <c r="B729" s="222" t="s">
        <v>18405</v>
      </c>
      <c r="C729" s="216" t="s">
        <v>17722</v>
      </c>
      <c r="D729" s="443">
        <v>24.38</v>
      </c>
    </row>
    <row r="730" spans="1:4">
      <c r="A730" s="216">
        <v>863</v>
      </c>
      <c r="B730" s="222" t="s">
        <v>18406</v>
      </c>
      <c r="C730" s="216" t="s">
        <v>17722</v>
      </c>
      <c r="D730" s="443">
        <v>35.909999999999997</v>
      </c>
    </row>
    <row r="731" spans="1:4">
      <c r="A731" s="216">
        <v>867</v>
      </c>
      <c r="B731" s="222" t="s">
        <v>18407</v>
      </c>
      <c r="C731" s="216" t="s">
        <v>17722</v>
      </c>
      <c r="D731" s="443">
        <v>51.16</v>
      </c>
    </row>
    <row r="732" spans="1:4">
      <c r="A732" s="216">
        <v>864</v>
      </c>
      <c r="B732" s="222" t="s">
        <v>18408</v>
      </c>
      <c r="C732" s="216" t="s">
        <v>17722</v>
      </c>
      <c r="D732" s="443">
        <v>67.58</v>
      </c>
    </row>
    <row r="733" spans="1:4">
      <c r="A733" s="216">
        <v>865</v>
      </c>
      <c r="B733" s="222" t="s">
        <v>18409</v>
      </c>
      <c r="C733" s="216" t="s">
        <v>17722</v>
      </c>
      <c r="D733" s="443">
        <v>97.2</v>
      </c>
    </row>
    <row r="734" spans="1:4" ht="31.5">
      <c r="A734" s="216">
        <v>993</v>
      </c>
      <c r="B734" s="222" t="s">
        <v>18410</v>
      </c>
      <c r="C734" s="216" t="s">
        <v>17722</v>
      </c>
      <c r="D734" s="443">
        <v>1.85</v>
      </c>
    </row>
    <row r="735" spans="1:4" ht="31.5">
      <c r="A735" s="216">
        <v>1020</v>
      </c>
      <c r="B735" s="222" t="s">
        <v>18411</v>
      </c>
      <c r="C735" s="216" t="s">
        <v>17722</v>
      </c>
      <c r="D735" s="443">
        <v>9.43</v>
      </c>
    </row>
    <row r="736" spans="1:4" ht="31.5">
      <c r="A736" s="216">
        <v>1017</v>
      </c>
      <c r="B736" s="222" t="s">
        <v>18412</v>
      </c>
      <c r="C736" s="216" t="s">
        <v>17722</v>
      </c>
      <c r="D736" s="443">
        <v>115.57</v>
      </c>
    </row>
    <row r="737" spans="1:4" ht="31.5">
      <c r="A737" s="216">
        <v>999</v>
      </c>
      <c r="B737" s="222" t="s">
        <v>18413</v>
      </c>
      <c r="C737" s="216" t="s">
        <v>17722</v>
      </c>
      <c r="D737" s="443">
        <v>140.02000000000001</v>
      </c>
    </row>
    <row r="738" spans="1:4" ht="31.5">
      <c r="A738" s="216">
        <v>995</v>
      </c>
      <c r="B738" s="222" t="s">
        <v>18414</v>
      </c>
      <c r="C738" s="216" t="s">
        <v>17722</v>
      </c>
      <c r="D738" s="443">
        <v>15.01</v>
      </c>
    </row>
    <row r="739" spans="1:4" ht="31.5">
      <c r="A739" s="216">
        <v>1000</v>
      </c>
      <c r="B739" s="222" t="s">
        <v>18415</v>
      </c>
      <c r="C739" s="216" t="s">
        <v>17722</v>
      </c>
      <c r="D739" s="443">
        <v>171.98</v>
      </c>
    </row>
    <row r="740" spans="1:4" ht="31.5">
      <c r="A740" s="216">
        <v>1022</v>
      </c>
      <c r="B740" s="222" t="s">
        <v>18416</v>
      </c>
      <c r="C740" s="216" t="s">
        <v>17722</v>
      </c>
      <c r="D740" s="443">
        <v>2.58</v>
      </c>
    </row>
    <row r="741" spans="1:4" ht="31.5">
      <c r="A741" s="216">
        <v>1015</v>
      </c>
      <c r="B741" s="222" t="s">
        <v>18417</v>
      </c>
      <c r="C741" s="216" t="s">
        <v>17722</v>
      </c>
      <c r="D741" s="443">
        <v>228.54</v>
      </c>
    </row>
    <row r="742" spans="1:4" ht="31.5">
      <c r="A742" s="216">
        <v>996</v>
      </c>
      <c r="B742" s="222" t="s">
        <v>18418</v>
      </c>
      <c r="C742" s="216" t="s">
        <v>17722</v>
      </c>
      <c r="D742" s="443">
        <v>23.28</v>
      </c>
    </row>
    <row r="743" spans="1:4" ht="31.5">
      <c r="A743" s="216">
        <v>1001</v>
      </c>
      <c r="B743" s="222" t="s">
        <v>18419</v>
      </c>
      <c r="C743" s="216" t="s">
        <v>17722</v>
      </c>
      <c r="D743" s="443">
        <v>296.52999999999997</v>
      </c>
    </row>
    <row r="744" spans="1:4" ht="31.5">
      <c r="A744" s="216">
        <v>1019</v>
      </c>
      <c r="B744" s="222" t="s">
        <v>18420</v>
      </c>
      <c r="C744" s="216" t="s">
        <v>17722</v>
      </c>
      <c r="D744" s="443">
        <v>32.9</v>
      </c>
    </row>
    <row r="745" spans="1:4" ht="31.5">
      <c r="A745" s="216">
        <v>1021</v>
      </c>
      <c r="B745" s="222" t="s">
        <v>18421</v>
      </c>
      <c r="C745" s="216" t="s">
        <v>17722</v>
      </c>
      <c r="D745" s="443">
        <v>3.95</v>
      </c>
    </row>
    <row r="746" spans="1:4" ht="31.5">
      <c r="A746" s="216">
        <v>39249</v>
      </c>
      <c r="B746" s="222" t="s">
        <v>18422</v>
      </c>
      <c r="C746" s="216" t="s">
        <v>17722</v>
      </c>
      <c r="D746" s="443">
        <v>398.7</v>
      </c>
    </row>
    <row r="747" spans="1:4" ht="31.5">
      <c r="A747" s="216">
        <v>1018</v>
      </c>
      <c r="B747" s="222" t="s">
        <v>18423</v>
      </c>
      <c r="C747" s="216" t="s">
        <v>17722</v>
      </c>
      <c r="D747" s="443">
        <v>48.66</v>
      </c>
    </row>
    <row r="748" spans="1:4" ht="31.5">
      <c r="A748" s="216">
        <v>39250</v>
      </c>
      <c r="B748" s="222" t="s">
        <v>18424</v>
      </c>
      <c r="C748" s="216" t="s">
        <v>17722</v>
      </c>
      <c r="D748" s="443">
        <v>476.94</v>
      </c>
    </row>
    <row r="749" spans="1:4" ht="31.5">
      <c r="A749" s="216">
        <v>994</v>
      </c>
      <c r="B749" s="222" t="s">
        <v>18425</v>
      </c>
      <c r="C749" s="216" t="s">
        <v>17722</v>
      </c>
      <c r="D749" s="443">
        <v>5.75</v>
      </c>
    </row>
    <row r="750" spans="1:4" ht="31.5">
      <c r="A750" s="216">
        <v>977</v>
      </c>
      <c r="B750" s="222" t="s">
        <v>18426</v>
      </c>
      <c r="C750" s="216" t="s">
        <v>17722</v>
      </c>
      <c r="D750" s="443">
        <v>68.069999999999993</v>
      </c>
    </row>
    <row r="751" spans="1:4" ht="31.5">
      <c r="A751" s="216">
        <v>998</v>
      </c>
      <c r="B751" s="222" t="s">
        <v>18427</v>
      </c>
      <c r="C751" s="216" t="s">
        <v>17722</v>
      </c>
      <c r="D751" s="443">
        <v>88.38</v>
      </c>
    </row>
    <row r="752" spans="1:4" ht="31.5">
      <c r="A752" s="216">
        <v>39251</v>
      </c>
      <c r="B752" s="222" t="s">
        <v>18428</v>
      </c>
      <c r="C752" s="216" t="s">
        <v>17722</v>
      </c>
      <c r="D752" s="443">
        <v>0.64</v>
      </c>
    </row>
    <row r="753" spans="1:4" ht="31.5">
      <c r="A753" s="216">
        <v>1011</v>
      </c>
      <c r="B753" s="222" t="s">
        <v>18429</v>
      </c>
      <c r="C753" s="216" t="s">
        <v>17722</v>
      </c>
      <c r="D753" s="443">
        <v>0.87</v>
      </c>
    </row>
    <row r="754" spans="1:4" ht="31.5">
      <c r="A754" s="216">
        <v>39252</v>
      </c>
      <c r="B754" s="222" t="s">
        <v>18430</v>
      </c>
      <c r="C754" s="216" t="s">
        <v>17722</v>
      </c>
      <c r="D754" s="443">
        <v>1.1399999999999999</v>
      </c>
    </row>
    <row r="755" spans="1:4" ht="31.5">
      <c r="A755" s="216">
        <v>1013</v>
      </c>
      <c r="B755" s="222" t="s">
        <v>18431</v>
      </c>
      <c r="C755" s="216" t="s">
        <v>17722</v>
      </c>
      <c r="D755" s="443">
        <v>1.37</v>
      </c>
    </row>
    <row r="756" spans="1:4" ht="31.5">
      <c r="A756" s="216">
        <v>980</v>
      </c>
      <c r="B756" s="222" t="s">
        <v>18432</v>
      </c>
      <c r="C756" s="216" t="s">
        <v>17722</v>
      </c>
      <c r="D756" s="443">
        <v>9.89</v>
      </c>
    </row>
    <row r="757" spans="1:4" ht="31.5">
      <c r="A757" s="216">
        <v>39237</v>
      </c>
      <c r="B757" s="222" t="s">
        <v>18433</v>
      </c>
      <c r="C757" s="216" t="s">
        <v>17722</v>
      </c>
      <c r="D757" s="443">
        <v>105.21</v>
      </c>
    </row>
    <row r="758" spans="1:4" ht="31.5">
      <c r="A758" s="216">
        <v>39238</v>
      </c>
      <c r="B758" s="222" t="s">
        <v>18434</v>
      </c>
      <c r="C758" s="216" t="s">
        <v>17722</v>
      </c>
      <c r="D758" s="443">
        <v>132.69999999999999</v>
      </c>
    </row>
    <row r="759" spans="1:4" ht="31.5">
      <c r="A759" s="216">
        <v>979</v>
      </c>
      <c r="B759" s="222" t="s">
        <v>18435</v>
      </c>
      <c r="C759" s="216" t="s">
        <v>17722</v>
      </c>
      <c r="D759" s="443">
        <v>14.13</v>
      </c>
    </row>
    <row r="760" spans="1:4" ht="31.5">
      <c r="A760" s="216">
        <v>39239</v>
      </c>
      <c r="B760" s="222" t="s">
        <v>18436</v>
      </c>
      <c r="C760" s="216" t="s">
        <v>17722</v>
      </c>
      <c r="D760" s="443">
        <v>160.31</v>
      </c>
    </row>
    <row r="761" spans="1:4" ht="31.5">
      <c r="A761" s="216">
        <v>1014</v>
      </c>
      <c r="B761" s="222" t="s">
        <v>18437</v>
      </c>
      <c r="C761" s="216" t="s">
        <v>17722</v>
      </c>
      <c r="D761" s="443">
        <v>2.17</v>
      </c>
    </row>
    <row r="762" spans="1:4" ht="31.5">
      <c r="A762" s="216">
        <v>39240</v>
      </c>
      <c r="B762" s="222" t="s">
        <v>18438</v>
      </c>
      <c r="C762" s="216" t="s">
        <v>17722</v>
      </c>
      <c r="D762" s="443">
        <v>210.85</v>
      </c>
    </row>
    <row r="763" spans="1:4" ht="31.5">
      <c r="A763" s="216">
        <v>39232</v>
      </c>
      <c r="B763" s="222" t="s">
        <v>18439</v>
      </c>
      <c r="C763" s="216" t="s">
        <v>17722</v>
      </c>
      <c r="D763" s="443">
        <v>22.13</v>
      </c>
    </row>
    <row r="764" spans="1:4" ht="31.5">
      <c r="A764" s="216">
        <v>39233</v>
      </c>
      <c r="B764" s="222" t="s">
        <v>18440</v>
      </c>
      <c r="C764" s="216" t="s">
        <v>17722</v>
      </c>
      <c r="D764" s="443">
        <v>32.25</v>
      </c>
    </row>
    <row r="765" spans="1:4" ht="31.5">
      <c r="A765" s="216">
        <v>981</v>
      </c>
      <c r="B765" s="222" t="s">
        <v>18441</v>
      </c>
      <c r="C765" s="216" t="s">
        <v>17722</v>
      </c>
      <c r="D765" s="443">
        <v>3.6</v>
      </c>
    </row>
    <row r="766" spans="1:4" ht="31.5">
      <c r="A766" s="216">
        <v>39234</v>
      </c>
      <c r="B766" s="222" t="s">
        <v>18442</v>
      </c>
      <c r="C766" s="216" t="s">
        <v>17722</v>
      </c>
      <c r="D766" s="443">
        <v>44.89</v>
      </c>
    </row>
    <row r="767" spans="1:4" ht="31.5">
      <c r="A767" s="216">
        <v>982</v>
      </c>
      <c r="B767" s="222" t="s">
        <v>18443</v>
      </c>
      <c r="C767" s="216" t="s">
        <v>17722</v>
      </c>
      <c r="D767" s="443">
        <v>5.17</v>
      </c>
    </row>
    <row r="768" spans="1:4" ht="31.5">
      <c r="A768" s="216">
        <v>39235</v>
      </c>
      <c r="B768" s="222" t="s">
        <v>18444</v>
      </c>
      <c r="C768" s="216" t="s">
        <v>17722</v>
      </c>
      <c r="D768" s="443">
        <v>66.22</v>
      </c>
    </row>
    <row r="769" spans="1:4" ht="31.5">
      <c r="A769" s="216">
        <v>39236</v>
      </c>
      <c r="B769" s="222" t="s">
        <v>18445</v>
      </c>
      <c r="C769" s="216" t="s">
        <v>17722</v>
      </c>
      <c r="D769" s="443">
        <v>87.75</v>
      </c>
    </row>
    <row r="770" spans="1:4" ht="31.5">
      <c r="A770" s="216">
        <v>990</v>
      </c>
      <c r="B770" s="222" t="s">
        <v>18446</v>
      </c>
      <c r="C770" s="216" t="s">
        <v>17722</v>
      </c>
      <c r="D770" s="443">
        <v>155.71</v>
      </c>
    </row>
    <row r="771" spans="1:4" ht="31.5">
      <c r="A771" s="216">
        <v>39241</v>
      </c>
      <c r="B771" s="222" t="s">
        <v>18447</v>
      </c>
      <c r="C771" s="216" t="s">
        <v>17722</v>
      </c>
      <c r="D771" s="443">
        <v>15.33</v>
      </c>
    </row>
    <row r="772" spans="1:4" ht="31.5">
      <c r="A772" s="216">
        <v>1005</v>
      </c>
      <c r="B772" s="222" t="s">
        <v>18448</v>
      </c>
      <c r="C772" s="216" t="s">
        <v>17722</v>
      </c>
      <c r="D772" s="443">
        <v>193.87</v>
      </c>
    </row>
    <row r="773" spans="1:4" ht="31.5">
      <c r="A773" s="216">
        <v>991</v>
      </c>
      <c r="B773" s="222" t="s">
        <v>18449</v>
      </c>
      <c r="C773" s="216" t="s">
        <v>17722</v>
      </c>
      <c r="D773" s="443">
        <v>253.93</v>
      </c>
    </row>
    <row r="774" spans="1:4" ht="31.5">
      <c r="A774" s="216">
        <v>986</v>
      </c>
      <c r="B774" s="222" t="s">
        <v>18450</v>
      </c>
      <c r="C774" s="216" t="s">
        <v>17722</v>
      </c>
      <c r="D774" s="443">
        <v>24.22</v>
      </c>
    </row>
    <row r="775" spans="1:4" ht="31.5">
      <c r="A775" s="216">
        <v>987</v>
      </c>
      <c r="B775" s="222" t="s">
        <v>18451</v>
      </c>
      <c r="C775" s="216" t="s">
        <v>17722</v>
      </c>
      <c r="D775" s="443">
        <v>33.15</v>
      </c>
    </row>
    <row r="776" spans="1:4" ht="31.5">
      <c r="A776" s="216">
        <v>1007</v>
      </c>
      <c r="B776" s="222" t="s">
        <v>18452</v>
      </c>
      <c r="C776" s="216" t="s">
        <v>17722</v>
      </c>
      <c r="D776" s="443">
        <v>45.89</v>
      </c>
    </row>
    <row r="777" spans="1:4" ht="31.5">
      <c r="A777" s="216">
        <v>1008</v>
      </c>
      <c r="B777" s="222" t="s">
        <v>18453</v>
      </c>
      <c r="C777" s="216" t="s">
        <v>17722</v>
      </c>
      <c r="D777" s="443">
        <v>5.82</v>
      </c>
    </row>
    <row r="778" spans="1:4" ht="31.5">
      <c r="A778" s="216">
        <v>988</v>
      </c>
      <c r="B778" s="222" t="s">
        <v>18454</v>
      </c>
      <c r="C778" s="216" t="s">
        <v>17722</v>
      </c>
      <c r="D778" s="443">
        <v>63.28</v>
      </c>
    </row>
    <row r="779" spans="1:4" ht="31.5">
      <c r="A779" s="216">
        <v>989</v>
      </c>
      <c r="B779" s="222" t="s">
        <v>18455</v>
      </c>
      <c r="C779" s="216" t="s">
        <v>17722</v>
      </c>
      <c r="D779" s="443">
        <v>87.35</v>
      </c>
    </row>
    <row r="780" spans="1:4" ht="31.5">
      <c r="A780" s="216">
        <v>1006</v>
      </c>
      <c r="B780" s="222" t="s">
        <v>18456</v>
      </c>
      <c r="C780" s="216" t="s">
        <v>17722</v>
      </c>
      <c r="D780" s="443">
        <v>117.1</v>
      </c>
    </row>
    <row r="781" spans="1:4">
      <c r="A781" s="216">
        <v>43972</v>
      </c>
      <c r="B781" s="222" t="s">
        <v>18457</v>
      </c>
      <c r="C781" s="216" t="s">
        <v>17722</v>
      </c>
      <c r="D781" s="443">
        <v>4.87</v>
      </c>
    </row>
    <row r="782" spans="1:4">
      <c r="A782" s="216">
        <v>43971</v>
      </c>
      <c r="B782" s="222" t="s">
        <v>18458</v>
      </c>
      <c r="C782" s="216" t="s">
        <v>17722</v>
      </c>
      <c r="D782" s="443">
        <v>3.72</v>
      </c>
    </row>
    <row r="783" spans="1:4">
      <c r="A783" s="216">
        <v>39598</v>
      </c>
      <c r="B783" s="222" t="s">
        <v>18459</v>
      </c>
      <c r="C783" s="216" t="s">
        <v>17722</v>
      </c>
      <c r="D783" s="443">
        <v>6.9</v>
      </c>
    </row>
    <row r="784" spans="1:4">
      <c r="A784" s="216">
        <v>43973</v>
      </c>
      <c r="B784" s="222" t="s">
        <v>18460</v>
      </c>
      <c r="C784" s="216" t="s">
        <v>17722</v>
      </c>
      <c r="D784" s="443">
        <v>5.09</v>
      </c>
    </row>
    <row r="785" spans="1:4">
      <c r="A785" s="216">
        <v>39599</v>
      </c>
      <c r="B785" s="222" t="s">
        <v>18461</v>
      </c>
      <c r="C785" s="216" t="s">
        <v>17722</v>
      </c>
      <c r="D785" s="443">
        <v>9.92</v>
      </c>
    </row>
    <row r="786" spans="1:4">
      <c r="A786" s="216">
        <v>43832</v>
      </c>
      <c r="B786" s="222" t="s">
        <v>18462</v>
      </c>
      <c r="C786" s="216" t="s">
        <v>17722</v>
      </c>
      <c r="D786" s="443">
        <v>26.14</v>
      </c>
    </row>
    <row r="787" spans="1:4">
      <c r="A787" s="216">
        <v>34602</v>
      </c>
      <c r="B787" s="222" t="s">
        <v>18463</v>
      </c>
      <c r="C787" s="216" t="s">
        <v>17722</v>
      </c>
      <c r="D787" s="443">
        <v>4.01</v>
      </c>
    </row>
    <row r="788" spans="1:4">
      <c r="A788" s="216">
        <v>34607</v>
      </c>
      <c r="B788" s="222" t="s">
        <v>18464</v>
      </c>
      <c r="C788" s="216" t="s">
        <v>17722</v>
      </c>
      <c r="D788" s="443">
        <v>9.82</v>
      </c>
    </row>
    <row r="789" spans="1:4">
      <c r="A789" s="216">
        <v>34609</v>
      </c>
      <c r="B789" s="222" t="s">
        <v>18465</v>
      </c>
      <c r="C789" s="216" t="s">
        <v>17722</v>
      </c>
      <c r="D789" s="443">
        <v>14.28</v>
      </c>
    </row>
    <row r="790" spans="1:4">
      <c r="A790" s="216">
        <v>34618</v>
      </c>
      <c r="B790" s="222" t="s">
        <v>18466</v>
      </c>
      <c r="C790" s="216" t="s">
        <v>17722</v>
      </c>
      <c r="D790" s="443">
        <v>5.46</v>
      </c>
    </row>
    <row r="791" spans="1:4">
      <c r="A791" s="216">
        <v>34621</v>
      </c>
      <c r="B791" s="222" t="s">
        <v>18467</v>
      </c>
      <c r="C791" s="216" t="s">
        <v>17722</v>
      </c>
      <c r="D791" s="443">
        <v>13.54</v>
      </c>
    </row>
    <row r="792" spans="1:4">
      <c r="A792" s="216">
        <v>34622</v>
      </c>
      <c r="B792" s="222" t="s">
        <v>18468</v>
      </c>
      <c r="C792" s="216" t="s">
        <v>17722</v>
      </c>
      <c r="D792" s="443">
        <v>20.11</v>
      </c>
    </row>
    <row r="793" spans="1:4">
      <c r="A793" s="216">
        <v>34624</v>
      </c>
      <c r="B793" s="222" t="s">
        <v>18469</v>
      </c>
      <c r="C793" s="216" t="s">
        <v>17722</v>
      </c>
      <c r="D793" s="443">
        <v>7.29</v>
      </c>
    </row>
    <row r="794" spans="1:4">
      <c r="A794" s="216">
        <v>34627</v>
      </c>
      <c r="B794" s="222" t="s">
        <v>18470</v>
      </c>
      <c r="C794" s="216" t="s">
        <v>17722</v>
      </c>
      <c r="D794" s="443">
        <v>17.59</v>
      </c>
    </row>
    <row r="795" spans="1:4">
      <c r="A795" s="216">
        <v>34629</v>
      </c>
      <c r="B795" s="222" t="s">
        <v>18471</v>
      </c>
      <c r="C795" s="216" t="s">
        <v>17722</v>
      </c>
      <c r="D795" s="443">
        <v>26.87</v>
      </c>
    </row>
    <row r="796" spans="1:4" ht="31.5">
      <c r="A796" s="216">
        <v>39257</v>
      </c>
      <c r="B796" s="222" t="s">
        <v>18472</v>
      </c>
      <c r="C796" s="216" t="s">
        <v>17722</v>
      </c>
      <c r="D796" s="443">
        <v>5.47</v>
      </c>
    </row>
    <row r="797" spans="1:4" ht="31.5">
      <c r="A797" s="216">
        <v>39261</v>
      </c>
      <c r="B797" s="222" t="s">
        <v>18473</v>
      </c>
      <c r="C797" s="216" t="s">
        <v>17722</v>
      </c>
      <c r="D797" s="443">
        <v>31.3</v>
      </c>
    </row>
    <row r="798" spans="1:4" ht="31.5">
      <c r="A798" s="216">
        <v>39268</v>
      </c>
      <c r="B798" s="222" t="s">
        <v>18474</v>
      </c>
      <c r="C798" s="216" t="s">
        <v>17722</v>
      </c>
      <c r="D798" s="443">
        <v>489.31</v>
      </c>
    </row>
    <row r="799" spans="1:4" ht="31.5">
      <c r="A799" s="216">
        <v>39262</v>
      </c>
      <c r="B799" s="222" t="s">
        <v>18475</v>
      </c>
      <c r="C799" s="216" t="s">
        <v>17722</v>
      </c>
      <c r="D799" s="443">
        <v>49.85</v>
      </c>
    </row>
    <row r="800" spans="1:4" ht="31.5">
      <c r="A800" s="216">
        <v>39258</v>
      </c>
      <c r="B800" s="222" t="s">
        <v>18476</v>
      </c>
      <c r="C800" s="216" t="s">
        <v>17722</v>
      </c>
      <c r="D800" s="443">
        <v>8.24</v>
      </c>
    </row>
    <row r="801" spans="1:4" ht="31.5">
      <c r="A801" s="216">
        <v>39263</v>
      </c>
      <c r="B801" s="222" t="s">
        <v>18477</v>
      </c>
      <c r="C801" s="216" t="s">
        <v>17722</v>
      </c>
      <c r="D801" s="443">
        <v>86.2</v>
      </c>
    </row>
    <row r="802" spans="1:4" ht="31.5">
      <c r="A802" s="216">
        <v>39264</v>
      </c>
      <c r="B802" s="222" t="s">
        <v>18478</v>
      </c>
      <c r="C802" s="216" t="s">
        <v>17722</v>
      </c>
      <c r="D802" s="443">
        <v>119.41</v>
      </c>
    </row>
    <row r="803" spans="1:4" ht="31.5">
      <c r="A803" s="216">
        <v>39259</v>
      </c>
      <c r="B803" s="222" t="s">
        <v>18479</v>
      </c>
      <c r="C803" s="216" t="s">
        <v>17722</v>
      </c>
      <c r="D803" s="443">
        <v>12.69</v>
      </c>
    </row>
    <row r="804" spans="1:4" ht="31.5">
      <c r="A804" s="216">
        <v>39265</v>
      </c>
      <c r="B804" s="222" t="s">
        <v>18480</v>
      </c>
      <c r="C804" s="216" t="s">
        <v>17722</v>
      </c>
      <c r="D804" s="443">
        <v>162.12</v>
      </c>
    </row>
    <row r="805" spans="1:4" ht="31.5">
      <c r="A805" s="216">
        <v>39260</v>
      </c>
      <c r="B805" s="222" t="s">
        <v>18481</v>
      </c>
      <c r="C805" s="216" t="s">
        <v>17722</v>
      </c>
      <c r="D805" s="443">
        <v>19.43</v>
      </c>
    </row>
    <row r="806" spans="1:4" ht="31.5">
      <c r="A806" s="216">
        <v>39266</v>
      </c>
      <c r="B806" s="222" t="s">
        <v>18482</v>
      </c>
      <c r="C806" s="216" t="s">
        <v>17722</v>
      </c>
      <c r="D806" s="443">
        <v>244.64</v>
      </c>
    </row>
    <row r="807" spans="1:4" ht="31.5">
      <c r="A807" s="216">
        <v>39267</v>
      </c>
      <c r="B807" s="222" t="s">
        <v>18483</v>
      </c>
      <c r="C807" s="216" t="s">
        <v>17722</v>
      </c>
      <c r="D807" s="443">
        <v>305.86</v>
      </c>
    </row>
    <row r="808" spans="1:4">
      <c r="A808" s="216">
        <v>11901</v>
      </c>
      <c r="B808" s="222" t="s">
        <v>18484</v>
      </c>
      <c r="C808" s="216" t="s">
        <v>17722</v>
      </c>
      <c r="D808" s="443">
        <v>0.89</v>
      </c>
    </row>
    <row r="809" spans="1:4">
      <c r="A809" s="216">
        <v>11902</v>
      </c>
      <c r="B809" s="222" t="s">
        <v>18485</v>
      </c>
      <c r="C809" s="216" t="s">
        <v>17722</v>
      </c>
      <c r="D809" s="443">
        <v>1.71</v>
      </c>
    </row>
    <row r="810" spans="1:4">
      <c r="A810" s="216">
        <v>11903</v>
      </c>
      <c r="B810" s="222" t="s">
        <v>18486</v>
      </c>
      <c r="C810" s="216" t="s">
        <v>17722</v>
      </c>
      <c r="D810" s="443">
        <v>1.81</v>
      </c>
    </row>
    <row r="811" spans="1:4">
      <c r="A811" s="216">
        <v>11904</v>
      </c>
      <c r="B811" s="222" t="s">
        <v>18487</v>
      </c>
      <c r="C811" s="216" t="s">
        <v>17722</v>
      </c>
      <c r="D811" s="443">
        <v>2.75</v>
      </c>
    </row>
    <row r="812" spans="1:4">
      <c r="A812" s="216">
        <v>11905</v>
      </c>
      <c r="B812" s="222" t="s">
        <v>18488</v>
      </c>
      <c r="C812" s="216" t="s">
        <v>17722</v>
      </c>
      <c r="D812" s="443">
        <v>3.35</v>
      </c>
    </row>
    <row r="813" spans="1:4">
      <c r="A813" s="216">
        <v>11906</v>
      </c>
      <c r="B813" s="222" t="s">
        <v>18489</v>
      </c>
      <c r="C813" s="216" t="s">
        <v>17722</v>
      </c>
      <c r="D813" s="443">
        <v>4.26</v>
      </c>
    </row>
    <row r="814" spans="1:4">
      <c r="A814" s="216">
        <v>11919</v>
      </c>
      <c r="B814" s="222" t="s">
        <v>18490</v>
      </c>
      <c r="C814" s="216" t="s">
        <v>17722</v>
      </c>
      <c r="D814" s="443">
        <v>7.8</v>
      </c>
    </row>
    <row r="815" spans="1:4">
      <c r="A815" s="216">
        <v>11920</v>
      </c>
      <c r="B815" s="222" t="s">
        <v>18491</v>
      </c>
      <c r="C815" s="216" t="s">
        <v>17722</v>
      </c>
      <c r="D815" s="443">
        <v>14.82</v>
      </c>
    </row>
    <row r="816" spans="1:4">
      <c r="A816" s="216">
        <v>11924</v>
      </c>
      <c r="B816" s="222" t="s">
        <v>18492</v>
      </c>
      <c r="C816" s="216" t="s">
        <v>17722</v>
      </c>
      <c r="D816" s="443">
        <v>124.45</v>
      </c>
    </row>
    <row r="817" spans="1:4">
      <c r="A817" s="216">
        <v>11921</v>
      </c>
      <c r="B817" s="222" t="s">
        <v>18493</v>
      </c>
      <c r="C817" s="216" t="s">
        <v>17722</v>
      </c>
      <c r="D817" s="443">
        <v>21.69</v>
      </c>
    </row>
    <row r="818" spans="1:4">
      <c r="A818" s="216">
        <v>11922</v>
      </c>
      <c r="B818" s="222" t="s">
        <v>18494</v>
      </c>
      <c r="C818" s="216" t="s">
        <v>17722</v>
      </c>
      <c r="D818" s="443">
        <v>35.08</v>
      </c>
    </row>
    <row r="819" spans="1:4">
      <c r="A819" s="216">
        <v>11923</v>
      </c>
      <c r="B819" s="222" t="s">
        <v>18495</v>
      </c>
      <c r="C819" s="216" t="s">
        <v>17722</v>
      </c>
      <c r="D819" s="443">
        <v>51.35</v>
      </c>
    </row>
    <row r="820" spans="1:4">
      <c r="A820" s="216">
        <v>11916</v>
      </c>
      <c r="B820" s="222" t="s">
        <v>18496</v>
      </c>
      <c r="C820" s="216" t="s">
        <v>17722</v>
      </c>
      <c r="D820" s="443">
        <v>10.68</v>
      </c>
    </row>
    <row r="821" spans="1:4">
      <c r="A821" s="216">
        <v>11914</v>
      </c>
      <c r="B821" s="222" t="s">
        <v>18497</v>
      </c>
      <c r="C821" s="216" t="s">
        <v>17722</v>
      </c>
      <c r="D821" s="443">
        <v>76.930000000000007</v>
      </c>
    </row>
    <row r="822" spans="1:4">
      <c r="A822" s="216">
        <v>11917</v>
      </c>
      <c r="B822" s="222" t="s">
        <v>18498</v>
      </c>
      <c r="C822" s="216" t="s">
        <v>17722</v>
      </c>
      <c r="D822" s="443">
        <v>18.809999999999999</v>
      </c>
    </row>
    <row r="823" spans="1:4">
      <c r="A823" s="216">
        <v>11918</v>
      </c>
      <c r="B823" s="222" t="s">
        <v>18499</v>
      </c>
      <c r="C823" s="216" t="s">
        <v>17722</v>
      </c>
      <c r="D823" s="443">
        <v>22.31</v>
      </c>
    </row>
    <row r="824" spans="1:4">
      <c r="A824" s="216">
        <v>37734</v>
      </c>
      <c r="B824" s="222" t="s">
        <v>18500</v>
      </c>
      <c r="C824" s="216" t="s">
        <v>17678</v>
      </c>
      <c r="D824" s="443">
        <v>96529.72</v>
      </c>
    </row>
    <row r="825" spans="1:4">
      <c r="A825" s="216">
        <v>42251</v>
      </c>
      <c r="B825" s="222" t="s">
        <v>18501</v>
      </c>
      <c r="C825" s="216" t="s">
        <v>17678</v>
      </c>
      <c r="D825" s="443">
        <v>109615.38</v>
      </c>
    </row>
    <row r="826" spans="1:4">
      <c r="A826" s="216">
        <v>37733</v>
      </c>
      <c r="B826" s="222" t="s">
        <v>18502</v>
      </c>
      <c r="C826" s="216" t="s">
        <v>17678</v>
      </c>
      <c r="D826" s="443">
        <v>72377.62</v>
      </c>
    </row>
    <row r="827" spans="1:4">
      <c r="A827" s="216">
        <v>37735</v>
      </c>
      <c r="B827" s="222" t="s">
        <v>18503</v>
      </c>
      <c r="C827" s="216" t="s">
        <v>17678</v>
      </c>
      <c r="D827" s="443">
        <v>87215.03</v>
      </c>
    </row>
    <row r="828" spans="1:4" ht="31.5">
      <c r="A828" s="216">
        <v>5090</v>
      </c>
      <c r="B828" s="222" t="s">
        <v>18504</v>
      </c>
      <c r="C828" s="216" t="s">
        <v>17678</v>
      </c>
      <c r="D828" s="443">
        <v>20</v>
      </c>
    </row>
    <row r="829" spans="1:4" ht="31.5">
      <c r="A829" s="216">
        <v>5085</v>
      </c>
      <c r="B829" s="222" t="s">
        <v>18505</v>
      </c>
      <c r="C829" s="216" t="s">
        <v>17678</v>
      </c>
      <c r="D829" s="443">
        <v>29.77</v>
      </c>
    </row>
    <row r="830" spans="1:4" ht="31.5">
      <c r="A830" s="216">
        <v>43603</v>
      </c>
      <c r="B830" s="222" t="s">
        <v>18506</v>
      </c>
      <c r="C830" s="216" t="s">
        <v>17678</v>
      </c>
      <c r="D830" s="443">
        <v>42.53</v>
      </c>
    </row>
    <row r="831" spans="1:4">
      <c r="A831" s="216">
        <v>38374</v>
      </c>
      <c r="B831" s="222" t="s">
        <v>18507</v>
      </c>
      <c r="C831" s="216" t="s">
        <v>17678</v>
      </c>
      <c r="D831" s="443">
        <v>970.3</v>
      </c>
    </row>
    <row r="832" spans="1:4">
      <c r="A832" s="216">
        <v>20209</v>
      </c>
      <c r="B832" s="222" t="s">
        <v>18508</v>
      </c>
      <c r="C832" s="216" t="s">
        <v>17722</v>
      </c>
      <c r="D832" s="443">
        <v>35.82</v>
      </c>
    </row>
    <row r="833" spans="1:4">
      <c r="A833" s="216">
        <v>20212</v>
      </c>
      <c r="B833" s="222" t="s">
        <v>18509</v>
      </c>
      <c r="C833" s="216" t="s">
        <v>17722</v>
      </c>
      <c r="D833" s="443">
        <v>29.99</v>
      </c>
    </row>
    <row r="834" spans="1:4">
      <c r="A834" s="216">
        <v>4430</v>
      </c>
      <c r="B834" s="222" t="s">
        <v>18510</v>
      </c>
      <c r="C834" s="216" t="s">
        <v>17722</v>
      </c>
      <c r="D834" s="443">
        <v>17.55</v>
      </c>
    </row>
    <row r="835" spans="1:4">
      <c r="A835" s="216">
        <v>4433</v>
      </c>
      <c r="B835" s="222" t="s">
        <v>18511</v>
      </c>
      <c r="C835" s="216" t="s">
        <v>17722</v>
      </c>
      <c r="D835" s="443">
        <v>34.32</v>
      </c>
    </row>
    <row r="836" spans="1:4">
      <c r="A836" s="216">
        <v>4400</v>
      </c>
      <c r="B836" s="222" t="s">
        <v>18512</v>
      </c>
      <c r="C836" s="216" t="s">
        <v>17722</v>
      </c>
      <c r="D836" s="443">
        <v>27.93</v>
      </c>
    </row>
    <row r="837" spans="1:4">
      <c r="A837" s="216">
        <v>2729</v>
      </c>
      <c r="B837" s="222" t="s">
        <v>18513</v>
      </c>
      <c r="C837" s="216" t="s">
        <v>17678</v>
      </c>
      <c r="D837" s="443">
        <v>28.44</v>
      </c>
    </row>
    <row r="838" spans="1:4">
      <c r="A838" s="216">
        <v>4513</v>
      </c>
      <c r="B838" s="222" t="s">
        <v>18514</v>
      </c>
      <c r="C838" s="216" t="s">
        <v>17722</v>
      </c>
      <c r="D838" s="443">
        <v>4.7699999999999996</v>
      </c>
    </row>
    <row r="839" spans="1:4">
      <c r="A839" s="216">
        <v>11871</v>
      </c>
      <c r="B839" s="222" t="s">
        <v>18515</v>
      </c>
      <c r="C839" s="216" t="s">
        <v>17678</v>
      </c>
      <c r="D839" s="443">
        <v>299.89999999999998</v>
      </c>
    </row>
    <row r="840" spans="1:4">
      <c r="A840" s="216">
        <v>34636</v>
      </c>
      <c r="B840" s="222" t="s">
        <v>18516</v>
      </c>
      <c r="C840" s="216" t="s">
        <v>17678</v>
      </c>
      <c r="D840" s="443">
        <v>499</v>
      </c>
    </row>
    <row r="841" spans="1:4">
      <c r="A841" s="216">
        <v>34639</v>
      </c>
      <c r="B841" s="222" t="s">
        <v>18517</v>
      </c>
      <c r="C841" s="216" t="s">
        <v>17678</v>
      </c>
      <c r="D841" s="443">
        <v>1013.46</v>
      </c>
    </row>
    <row r="842" spans="1:4">
      <c r="A842" s="216">
        <v>34640</v>
      </c>
      <c r="B842" s="222" t="s">
        <v>18518</v>
      </c>
      <c r="C842" s="216" t="s">
        <v>17678</v>
      </c>
      <c r="D842" s="443">
        <v>1138.3800000000001</v>
      </c>
    </row>
    <row r="843" spans="1:4">
      <c r="A843" s="216">
        <v>34637</v>
      </c>
      <c r="B843" s="222" t="s">
        <v>18519</v>
      </c>
      <c r="C843" s="216" t="s">
        <v>17678</v>
      </c>
      <c r="D843" s="443">
        <v>286.5</v>
      </c>
    </row>
    <row r="844" spans="1:4">
      <c r="A844" s="216">
        <v>34638</v>
      </c>
      <c r="B844" s="222" t="s">
        <v>18520</v>
      </c>
      <c r="C844" s="216" t="s">
        <v>17678</v>
      </c>
      <c r="D844" s="443">
        <v>491.31</v>
      </c>
    </row>
    <row r="845" spans="1:4">
      <c r="A845" s="216">
        <v>11868</v>
      </c>
      <c r="B845" s="222" t="s">
        <v>18521</v>
      </c>
      <c r="C845" s="216" t="s">
        <v>17678</v>
      </c>
      <c r="D845" s="443">
        <v>412.17</v>
      </c>
    </row>
    <row r="846" spans="1:4">
      <c r="A846" s="216">
        <v>37106</v>
      </c>
      <c r="B846" s="222" t="s">
        <v>18522</v>
      </c>
      <c r="C846" s="216" t="s">
        <v>17678</v>
      </c>
      <c r="D846" s="443">
        <v>3981.11</v>
      </c>
    </row>
    <row r="847" spans="1:4">
      <c r="A847" s="216">
        <v>11869</v>
      </c>
      <c r="B847" s="222" t="s">
        <v>18523</v>
      </c>
      <c r="C847" s="216" t="s">
        <v>17678</v>
      </c>
      <c r="D847" s="443">
        <v>668.74</v>
      </c>
    </row>
    <row r="848" spans="1:4">
      <c r="A848" s="216">
        <v>37104</v>
      </c>
      <c r="B848" s="222" t="s">
        <v>18524</v>
      </c>
      <c r="C848" s="216" t="s">
        <v>17678</v>
      </c>
      <c r="D848" s="443">
        <v>862.05</v>
      </c>
    </row>
    <row r="849" spans="1:4">
      <c r="A849" s="216">
        <v>37105</v>
      </c>
      <c r="B849" s="222" t="s">
        <v>18525</v>
      </c>
      <c r="C849" s="216" t="s">
        <v>17678</v>
      </c>
      <c r="D849" s="443">
        <v>1919.92</v>
      </c>
    </row>
    <row r="850" spans="1:4" ht="31.5">
      <c r="A850" s="216">
        <v>34641</v>
      </c>
      <c r="B850" s="222" t="s">
        <v>18526</v>
      </c>
      <c r="C850" s="216" t="s">
        <v>17678</v>
      </c>
      <c r="D850" s="443">
        <v>74.61</v>
      </c>
    </row>
    <row r="851" spans="1:4">
      <c r="A851" s="216">
        <v>43434</v>
      </c>
      <c r="B851" s="222" t="s">
        <v>18527</v>
      </c>
      <c r="C851" s="216" t="s">
        <v>17678</v>
      </c>
      <c r="D851" s="443">
        <v>80.67</v>
      </c>
    </row>
    <row r="852" spans="1:4">
      <c r="A852" s="216">
        <v>43435</v>
      </c>
      <c r="B852" s="222" t="s">
        <v>18528</v>
      </c>
      <c r="C852" s="216" t="s">
        <v>17678</v>
      </c>
      <c r="D852" s="443">
        <v>147.88999999999999</v>
      </c>
    </row>
    <row r="853" spans="1:4">
      <c r="A853" s="216">
        <v>43436</v>
      </c>
      <c r="B853" s="222" t="s">
        <v>18529</v>
      </c>
      <c r="C853" s="216" t="s">
        <v>17678</v>
      </c>
      <c r="D853" s="443">
        <v>258.82</v>
      </c>
    </row>
    <row r="854" spans="1:4">
      <c r="A854" s="216">
        <v>43437</v>
      </c>
      <c r="B854" s="222" t="s">
        <v>18530</v>
      </c>
      <c r="C854" s="216" t="s">
        <v>17678</v>
      </c>
      <c r="D854" s="443">
        <v>469.24</v>
      </c>
    </row>
    <row r="855" spans="1:4">
      <c r="A855" s="216">
        <v>43438</v>
      </c>
      <c r="B855" s="222" t="s">
        <v>18531</v>
      </c>
      <c r="C855" s="216" t="s">
        <v>17678</v>
      </c>
      <c r="D855" s="443">
        <v>840.33</v>
      </c>
    </row>
    <row r="856" spans="1:4">
      <c r="A856" s="216">
        <v>41627</v>
      </c>
      <c r="B856" s="222" t="s">
        <v>18532</v>
      </c>
      <c r="C856" s="216" t="s">
        <v>17678</v>
      </c>
      <c r="D856" s="443">
        <v>124.36</v>
      </c>
    </row>
    <row r="857" spans="1:4">
      <c r="A857" s="216">
        <v>41628</v>
      </c>
      <c r="B857" s="222" t="s">
        <v>18533</v>
      </c>
      <c r="C857" s="216" t="s">
        <v>17678</v>
      </c>
      <c r="D857" s="443">
        <v>228.57</v>
      </c>
    </row>
    <row r="858" spans="1:4">
      <c r="A858" s="216">
        <v>41629</v>
      </c>
      <c r="B858" s="222" t="s">
        <v>18534</v>
      </c>
      <c r="C858" s="216" t="s">
        <v>17678</v>
      </c>
      <c r="D858" s="443">
        <v>290.42</v>
      </c>
    </row>
    <row r="859" spans="1:4">
      <c r="A859" s="216">
        <v>43429</v>
      </c>
      <c r="B859" s="222" t="s">
        <v>18535</v>
      </c>
      <c r="C859" s="216" t="s">
        <v>17678</v>
      </c>
      <c r="D859" s="443">
        <v>64.34</v>
      </c>
    </row>
    <row r="860" spans="1:4">
      <c r="A860" s="216">
        <v>43430</v>
      </c>
      <c r="B860" s="222" t="s">
        <v>18536</v>
      </c>
      <c r="C860" s="216" t="s">
        <v>17678</v>
      </c>
      <c r="D860" s="443">
        <v>106.89</v>
      </c>
    </row>
    <row r="861" spans="1:4">
      <c r="A861" s="216">
        <v>43431</v>
      </c>
      <c r="B861" s="222" t="s">
        <v>18537</v>
      </c>
      <c r="C861" s="216" t="s">
        <v>17678</v>
      </c>
      <c r="D861" s="443">
        <v>207.05</v>
      </c>
    </row>
    <row r="862" spans="1:4">
      <c r="A862" s="216">
        <v>43432</v>
      </c>
      <c r="B862" s="222" t="s">
        <v>18538</v>
      </c>
      <c r="C862" s="216" t="s">
        <v>17678</v>
      </c>
      <c r="D862" s="443">
        <v>430.25</v>
      </c>
    </row>
    <row r="863" spans="1:4">
      <c r="A863" s="216">
        <v>43433</v>
      </c>
      <c r="B863" s="222" t="s">
        <v>18539</v>
      </c>
      <c r="C863" s="216" t="s">
        <v>17678</v>
      </c>
      <c r="D863" s="443">
        <v>678.31</v>
      </c>
    </row>
    <row r="864" spans="1:4" ht="31.5">
      <c r="A864" s="216">
        <v>43094</v>
      </c>
      <c r="B864" s="222" t="s">
        <v>18540</v>
      </c>
      <c r="C864" s="216" t="s">
        <v>17678</v>
      </c>
      <c r="D864" s="443">
        <v>317.26</v>
      </c>
    </row>
    <row r="865" spans="1:4" ht="31.5">
      <c r="A865" s="216">
        <v>43093</v>
      </c>
      <c r="B865" s="222" t="s">
        <v>18541</v>
      </c>
      <c r="C865" s="216" t="s">
        <v>17678</v>
      </c>
      <c r="D865" s="443">
        <v>337.15</v>
      </c>
    </row>
    <row r="866" spans="1:4">
      <c r="A866" s="216">
        <v>1030</v>
      </c>
      <c r="B866" s="222" t="s">
        <v>18542</v>
      </c>
      <c r="C866" s="216" t="s">
        <v>17678</v>
      </c>
      <c r="D866" s="443">
        <v>46.5</v>
      </c>
    </row>
    <row r="867" spans="1:4" ht="31.5">
      <c r="A867" s="216">
        <v>11694</v>
      </c>
      <c r="B867" s="222" t="s">
        <v>18543</v>
      </c>
      <c r="C867" s="216" t="s">
        <v>17678</v>
      </c>
      <c r="D867" s="443">
        <v>1027.8900000000001</v>
      </c>
    </row>
    <row r="868" spans="1:4" ht="31.5">
      <c r="A868" s="216">
        <v>11881</v>
      </c>
      <c r="B868" s="222" t="s">
        <v>18544</v>
      </c>
      <c r="C868" s="216" t="s">
        <v>17678</v>
      </c>
      <c r="D868" s="443">
        <v>114.28</v>
      </c>
    </row>
    <row r="869" spans="1:4" ht="31.5">
      <c r="A869" s="216">
        <v>35277</v>
      </c>
      <c r="B869" s="222" t="s">
        <v>18545</v>
      </c>
      <c r="C869" s="216" t="s">
        <v>17678</v>
      </c>
      <c r="D869" s="443">
        <v>370.61</v>
      </c>
    </row>
    <row r="870" spans="1:4" ht="47.25">
      <c r="A870" s="216">
        <v>10521</v>
      </c>
      <c r="B870" s="222" t="s">
        <v>18546</v>
      </c>
      <c r="C870" s="216" t="s">
        <v>17678</v>
      </c>
      <c r="D870" s="443">
        <v>391.36</v>
      </c>
    </row>
    <row r="871" spans="1:4" ht="47.25">
      <c r="A871" s="216">
        <v>10885</v>
      </c>
      <c r="B871" s="222" t="s">
        <v>18547</v>
      </c>
      <c r="C871" s="216" t="s">
        <v>17678</v>
      </c>
      <c r="D871" s="443">
        <v>495.02</v>
      </c>
    </row>
    <row r="872" spans="1:4" ht="47.25">
      <c r="A872" s="216">
        <v>20962</v>
      </c>
      <c r="B872" s="222" t="s">
        <v>18548</v>
      </c>
      <c r="C872" s="216" t="s">
        <v>17678</v>
      </c>
      <c r="D872" s="443">
        <v>410</v>
      </c>
    </row>
    <row r="873" spans="1:4" ht="47.25">
      <c r="A873" s="216">
        <v>20963</v>
      </c>
      <c r="B873" s="222" t="s">
        <v>18549</v>
      </c>
      <c r="C873" s="216" t="s">
        <v>17678</v>
      </c>
      <c r="D873" s="443">
        <v>500.85</v>
      </c>
    </row>
    <row r="874" spans="1:4" ht="31.5">
      <c r="A874" s="216">
        <v>34643</v>
      </c>
      <c r="B874" s="222" t="s">
        <v>18550</v>
      </c>
      <c r="C874" s="216" t="s">
        <v>17678</v>
      </c>
      <c r="D874" s="443">
        <v>42.68</v>
      </c>
    </row>
    <row r="875" spans="1:4">
      <c r="A875" s="216">
        <v>41480</v>
      </c>
      <c r="B875" s="222" t="s">
        <v>18551</v>
      </c>
      <c r="C875" s="216" t="s">
        <v>17678</v>
      </c>
      <c r="D875" s="443">
        <v>49.49</v>
      </c>
    </row>
    <row r="876" spans="1:4">
      <c r="A876" s="216">
        <v>41474</v>
      </c>
      <c r="B876" s="222" t="s">
        <v>18552</v>
      </c>
      <c r="C876" s="216" t="s">
        <v>17678</v>
      </c>
      <c r="D876" s="443">
        <v>79.05</v>
      </c>
    </row>
    <row r="877" spans="1:4">
      <c r="A877" s="216">
        <v>41475</v>
      </c>
      <c r="B877" s="222" t="s">
        <v>18553</v>
      </c>
      <c r="C877" s="216" t="s">
        <v>17678</v>
      </c>
      <c r="D877" s="443">
        <v>67.45</v>
      </c>
    </row>
    <row r="878" spans="1:4">
      <c r="A878" s="216">
        <v>41476</v>
      </c>
      <c r="B878" s="222" t="s">
        <v>18554</v>
      </c>
      <c r="C878" s="216" t="s">
        <v>17678</v>
      </c>
      <c r="D878" s="443">
        <v>147.69</v>
      </c>
    </row>
    <row r="879" spans="1:4">
      <c r="A879" s="216">
        <v>2555</v>
      </c>
      <c r="B879" s="222" t="s">
        <v>18555</v>
      </c>
      <c r="C879" s="216" t="s">
        <v>17678</v>
      </c>
      <c r="D879" s="443">
        <v>2.1</v>
      </c>
    </row>
    <row r="880" spans="1:4">
      <c r="A880" s="216">
        <v>2556</v>
      </c>
      <c r="B880" s="222" t="s">
        <v>18556</v>
      </c>
      <c r="C880" s="216" t="s">
        <v>17678</v>
      </c>
      <c r="D880" s="443">
        <v>2.17</v>
      </c>
    </row>
    <row r="881" spans="1:4">
      <c r="A881" s="216">
        <v>2557</v>
      </c>
      <c r="B881" s="222" t="s">
        <v>18557</v>
      </c>
      <c r="C881" s="216" t="s">
        <v>17678</v>
      </c>
      <c r="D881" s="443">
        <v>4.58</v>
      </c>
    </row>
    <row r="882" spans="1:4" ht="31.5">
      <c r="A882" s="216">
        <v>10569</v>
      </c>
      <c r="B882" s="222" t="s">
        <v>18558</v>
      </c>
      <c r="C882" s="216" t="s">
        <v>17678</v>
      </c>
      <c r="D882" s="443">
        <v>4.58</v>
      </c>
    </row>
    <row r="883" spans="1:4" ht="31.5">
      <c r="A883" s="216">
        <v>39810</v>
      </c>
      <c r="B883" s="222" t="s">
        <v>18559</v>
      </c>
      <c r="C883" s="216" t="s">
        <v>17678</v>
      </c>
      <c r="D883" s="443">
        <v>42.81</v>
      </c>
    </row>
    <row r="884" spans="1:4" ht="31.5">
      <c r="A884" s="216">
        <v>39811</v>
      </c>
      <c r="B884" s="222" t="s">
        <v>18560</v>
      </c>
      <c r="C884" s="216" t="s">
        <v>17678</v>
      </c>
      <c r="D884" s="443">
        <v>52.37</v>
      </c>
    </row>
    <row r="885" spans="1:4" ht="31.5">
      <c r="A885" s="216">
        <v>39812</v>
      </c>
      <c r="B885" s="222" t="s">
        <v>18561</v>
      </c>
      <c r="C885" s="216" t="s">
        <v>17678</v>
      </c>
      <c r="D885" s="443">
        <v>86.11</v>
      </c>
    </row>
    <row r="886" spans="1:4" ht="31.5">
      <c r="A886" s="216">
        <v>43096</v>
      </c>
      <c r="B886" s="222" t="s">
        <v>18562</v>
      </c>
      <c r="C886" s="216" t="s">
        <v>17678</v>
      </c>
      <c r="D886" s="443">
        <v>285.43</v>
      </c>
    </row>
    <row r="887" spans="1:4" ht="31.5">
      <c r="A887" s="216">
        <v>43102</v>
      </c>
      <c r="B887" s="222" t="s">
        <v>18563</v>
      </c>
      <c r="C887" s="216" t="s">
        <v>17678</v>
      </c>
      <c r="D887" s="443">
        <v>173.56</v>
      </c>
    </row>
    <row r="888" spans="1:4" ht="31.5">
      <c r="A888" s="216">
        <v>43103</v>
      </c>
      <c r="B888" s="222" t="s">
        <v>18564</v>
      </c>
      <c r="C888" s="216" t="s">
        <v>17678</v>
      </c>
      <c r="D888" s="443">
        <v>255.57</v>
      </c>
    </row>
    <row r="889" spans="1:4" ht="31.5">
      <c r="A889" s="216">
        <v>43098</v>
      </c>
      <c r="B889" s="222" t="s">
        <v>18565</v>
      </c>
      <c r="C889" s="216" t="s">
        <v>17678</v>
      </c>
      <c r="D889" s="443">
        <v>96.68</v>
      </c>
    </row>
    <row r="890" spans="1:4" ht="31.5">
      <c r="A890" s="216">
        <v>43097</v>
      </c>
      <c r="B890" s="222" t="s">
        <v>18566</v>
      </c>
      <c r="C890" s="216" t="s">
        <v>17678</v>
      </c>
      <c r="D890" s="443">
        <v>57.28</v>
      </c>
    </row>
    <row r="891" spans="1:4">
      <c r="A891" s="216">
        <v>43104</v>
      </c>
      <c r="B891" s="222" t="s">
        <v>18567</v>
      </c>
      <c r="C891" s="216" t="s">
        <v>17678</v>
      </c>
      <c r="D891" s="443">
        <v>677.58</v>
      </c>
    </row>
    <row r="892" spans="1:4">
      <c r="A892" s="216">
        <v>39771</v>
      </c>
      <c r="B892" s="222" t="s">
        <v>18568</v>
      </c>
      <c r="C892" s="216" t="s">
        <v>17678</v>
      </c>
      <c r="D892" s="443">
        <v>44.03</v>
      </c>
    </row>
    <row r="893" spans="1:4">
      <c r="A893" s="216">
        <v>39772</v>
      </c>
      <c r="B893" s="222" t="s">
        <v>18569</v>
      </c>
      <c r="C893" s="216" t="s">
        <v>17678</v>
      </c>
      <c r="D893" s="443">
        <v>86.55</v>
      </c>
    </row>
    <row r="894" spans="1:4">
      <c r="A894" s="216">
        <v>39773</v>
      </c>
      <c r="B894" s="222" t="s">
        <v>18570</v>
      </c>
      <c r="C894" s="216" t="s">
        <v>17678</v>
      </c>
      <c r="D894" s="443">
        <v>139.11000000000001</v>
      </c>
    </row>
    <row r="895" spans="1:4">
      <c r="A895" s="216">
        <v>39774</v>
      </c>
      <c r="B895" s="222" t="s">
        <v>18571</v>
      </c>
      <c r="C895" s="216" t="s">
        <v>17678</v>
      </c>
      <c r="D895" s="443">
        <v>208.07</v>
      </c>
    </row>
    <row r="896" spans="1:4">
      <c r="A896" s="216">
        <v>39775</v>
      </c>
      <c r="B896" s="222" t="s">
        <v>18572</v>
      </c>
      <c r="C896" s="216" t="s">
        <v>17678</v>
      </c>
      <c r="D896" s="443">
        <v>277.7</v>
      </c>
    </row>
    <row r="897" spans="1:4">
      <c r="A897" s="216">
        <v>39776</v>
      </c>
      <c r="B897" s="222" t="s">
        <v>18573</v>
      </c>
      <c r="C897" s="216" t="s">
        <v>17678</v>
      </c>
      <c r="D897" s="443">
        <v>335.6</v>
      </c>
    </row>
    <row r="898" spans="1:4">
      <c r="A898" s="216">
        <v>39777</v>
      </c>
      <c r="B898" s="222" t="s">
        <v>18574</v>
      </c>
      <c r="C898" s="216" t="s">
        <v>17678</v>
      </c>
      <c r="D898" s="443">
        <v>425.37</v>
      </c>
    </row>
    <row r="899" spans="1:4">
      <c r="A899" s="216">
        <v>20254</v>
      </c>
      <c r="B899" s="222" t="s">
        <v>18575</v>
      </c>
      <c r="C899" s="216" t="s">
        <v>17678</v>
      </c>
      <c r="D899" s="443">
        <v>30.87</v>
      </c>
    </row>
    <row r="900" spans="1:4">
      <c r="A900" s="216">
        <v>20253</v>
      </c>
      <c r="B900" s="222" t="s">
        <v>18576</v>
      </c>
      <c r="C900" s="216" t="s">
        <v>17678</v>
      </c>
      <c r="D900" s="443">
        <v>101.38</v>
      </c>
    </row>
    <row r="901" spans="1:4" ht="31.5">
      <c r="A901" s="216">
        <v>11247</v>
      </c>
      <c r="B901" s="222" t="s">
        <v>18577</v>
      </c>
      <c r="C901" s="216" t="s">
        <v>17678</v>
      </c>
      <c r="D901" s="443">
        <v>1949.46</v>
      </c>
    </row>
    <row r="902" spans="1:4" ht="31.5">
      <c r="A902" s="216">
        <v>11250</v>
      </c>
      <c r="B902" s="222" t="s">
        <v>18578</v>
      </c>
      <c r="C902" s="216" t="s">
        <v>17678</v>
      </c>
      <c r="D902" s="443">
        <v>83.93</v>
      </c>
    </row>
    <row r="903" spans="1:4" ht="31.5">
      <c r="A903" s="216">
        <v>11249</v>
      </c>
      <c r="B903" s="222" t="s">
        <v>18579</v>
      </c>
      <c r="C903" s="216" t="s">
        <v>17678</v>
      </c>
      <c r="D903" s="443">
        <v>3807.98</v>
      </c>
    </row>
    <row r="904" spans="1:4" ht="31.5">
      <c r="A904" s="216">
        <v>11251</v>
      </c>
      <c r="B904" s="222" t="s">
        <v>18580</v>
      </c>
      <c r="C904" s="216" t="s">
        <v>17678</v>
      </c>
      <c r="D904" s="443">
        <v>185.9</v>
      </c>
    </row>
    <row r="905" spans="1:4" ht="31.5">
      <c r="A905" s="216">
        <v>11253</v>
      </c>
      <c r="B905" s="222" t="s">
        <v>18581</v>
      </c>
      <c r="C905" s="216" t="s">
        <v>17678</v>
      </c>
      <c r="D905" s="443">
        <v>308.06</v>
      </c>
    </row>
    <row r="906" spans="1:4" ht="31.5">
      <c r="A906" s="216">
        <v>11255</v>
      </c>
      <c r="B906" s="222" t="s">
        <v>18582</v>
      </c>
      <c r="C906" s="216" t="s">
        <v>17678</v>
      </c>
      <c r="D906" s="443">
        <v>460.54</v>
      </c>
    </row>
    <row r="907" spans="1:4" ht="31.5">
      <c r="A907" s="216">
        <v>14055</v>
      </c>
      <c r="B907" s="222" t="s">
        <v>18583</v>
      </c>
      <c r="C907" s="216" t="s">
        <v>17678</v>
      </c>
      <c r="D907" s="443">
        <v>926.45</v>
      </c>
    </row>
    <row r="908" spans="1:4" ht="31.5">
      <c r="A908" s="216">
        <v>11256</v>
      </c>
      <c r="B908" s="222" t="s">
        <v>18584</v>
      </c>
      <c r="C908" s="216" t="s">
        <v>17678</v>
      </c>
      <c r="D908" s="443">
        <v>576.88</v>
      </c>
    </row>
    <row r="909" spans="1:4">
      <c r="A909" s="216">
        <v>1872</v>
      </c>
      <c r="B909" s="222" t="s">
        <v>18585</v>
      </c>
      <c r="C909" s="216" t="s">
        <v>17678</v>
      </c>
      <c r="D909" s="443">
        <v>3.24</v>
      </c>
    </row>
    <row r="910" spans="1:4">
      <c r="A910" s="216">
        <v>1873</v>
      </c>
      <c r="B910" s="222" t="s">
        <v>18586</v>
      </c>
      <c r="C910" s="216" t="s">
        <v>17678</v>
      </c>
      <c r="D910" s="443">
        <v>6.45</v>
      </c>
    </row>
    <row r="911" spans="1:4" ht="31.5">
      <c r="A911" s="216">
        <v>39693</v>
      </c>
      <c r="B911" s="222" t="s">
        <v>18587</v>
      </c>
      <c r="C911" s="216" t="s">
        <v>17678</v>
      </c>
      <c r="D911" s="443">
        <v>3623.07</v>
      </c>
    </row>
    <row r="912" spans="1:4" ht="31.5">
      <c r="A912" s="216">
        <v>39692</v>
      </c>
      <c r="B912" s="222" t="s">
        <v>18588</v>
      </c>
      <c r="C912" s="216" t="s">
        <v>17678</v>
      </c>
      <c r="D912" s="443">
        <v>1159.3</v>
      </c>
    </row>
    <row r="913" spans="1:4" ht="31.5">
      <c r="A913" s="216">
        <v>1062</v>
      </c>
      <c r="B913" s="222" t="s">
        <v>18589</v>
      </c>
      <c r="C913" s="216" t="s">
        <v>17678</v>
      </c>
      <c r="D913" s="443">
        <v>367.4</v>
      </c>
    </row>
    <row r="914" spans="1:4" ht="31.5">
      <c r="A914" s="216">
        <v>39686</v>
      </c>
      <c r="B914" s="222" t="s">
        <v>18590</v>
      </c>
      <c r="C914" s="216" t="s">
        <v>17678</v>
      </c>
      <c r="D914" s="443">
        <v>594.9</v>
      </c>
    </row>
    <row r="915" spans="1:4" ht="31.5">
      <c r="A915" s="216">
        <v>43095</v>
      </c>
      <c r="B915" s="222" t="s">
        <v>18591</v>
      </c>
      <c r="C915" s="216" t="s">
        <v>17678</v>
      </c>
      <c r="D915" s="443">
        <v>188.09</v>
      </c>
    </row>
    <row r="916" spans="1:4">
      <c r="A916" s="216">
        <v>1871</v>
      </c>
      <c r="B916" s="222" t="s">
        <v>18592</v>
      </c>
      <c r="C916" s="216" t="s">
        <v>17678</v>
      </c>
      <c r="D916" s="443">
        <v>5.8</v>
      </c>
    </row>
    <row r="917" spans="1:4">
      <c r="A917" s="216">
        <v>12001</v>
      </c>
      <c r="B917" s="222" t="s">
        <v>18593</v>
      </c>
      <c r="C917" s="216" t="s">
        <v>17678</v>
      </c>
      <c r="D917" s="443">
        <v>8.3800000000000008</v>
      </c>
    </row>
    <row r="918" spans="1:4">
      <c r="A918" s="216">
        <v>11882</v>
      </c>
      <c r="B918" s="222" t="s">
        <v>18594</v>
      </c>
      <c r="C918" s="216" t="s">
        <v>17678</v>
      </c>
      <c r="D918" s="443">
        <v>82.01</v>
      </c>
    </row>
    <row r="919" spans="1:4" ht="31.5">
      <c r="A919" s="216">
        <v>1068</v>
      </c>
      <c r="B919" s="222" t="s">
        <v>18595</v>
      </c>
      <c r="C919" s="216" t="s">
        <v>17678</v>
      </c>
      <c r="D919" s="443">
        <v>2423.39</v>
      </c>
    </row>
    <row r="920" spans="1:4" ht="31.5">
      <c r="A920" s="216">
        <v>39690</v>
      </c>
      <c r="B920" s="222" t="s">
        <v>18596</v>
      </c>
      <c r="C920" s="216" t="s">
        <v>17678</v>
      </c>
      <c r="D920" s="443">
        <v>4065.65</v>
      </c>
    </row>
    <row r="921" spans="1:4" ht="31.5">
      <c r="A921" s="216">
        <v>39691</v>
      </c>
      <c r="B921" s="222" t="s">
        <v>18597</v>
      </c>
      <c r="C921" s="216" t="s">
        <v>17678</v>
      </c>
      <c r="D921" s="443">
        <v>5113.45</v>
      </c>
    </row>
    <row r="922" spans="1:4" ht="31.5">
      <c r="A922" s="216">
        <v>39808</v>
      </c>
      <c r="B922" s="222" t="s">
        <v>18598</v>
      </c>
      <c r="C922" s="216" t="s">
        <v>17678</v>
      </c>
      <c r="D922" s="443">
        <v>98.2</v>
      </c>
    </row>
    <row r="923" spans="1:4" ht="31.5">
      <c r="A923" s="216">
        <v>39809</v>
      </c>
      <c r="B923" s="222" t="s">
        <v>18599</v>
      </c>
      <c r="C923" s="216" t="s">
        <v>17678</v>
      </c>
      <c r="D923" s="443">
        <v>232.91</v>
      </c>
    </row>
    <row r="924" spans="1:4" ht="31.5">
      <c r="A924" s="216">
        <v>43439</v>
      </c>
      <c r="B924" s="222" t="s">
        <v>18600</v>
      </c>
      <c r="C924" s="216" t="s">
        <v>17678</v>
      </c>
      <c r="D924" s="443">
        <v>376.47</v>
      </c>
    </row>
    <row r="925" spans="1:4">
      <c r="A925" s="216">
        <v>5103</v>
      </c>
      <c r="B925" s="222" t="s">
        <v>18601</v>
      </c>
      <c r="C925" s="216" t="s">
        <v>17678</v>
      </c>
      <c r="D925" s="443">
        <v>23.46</v>
      </c>
    </row>
    <row r="926" spans="1:4">
      <c r="A926" s="216">
        <v>11880</v>
      </c>
      <c r="B926" s="222" t="s">
        <v>18602</v>
      </c>
      <c r="C926" s="216" t="s">
        <v>17678</v>
      </c>
      <c r="D926" s="443">
        <v>98.68</v>
      </c>
    </row>
    <row r="927" spans="1:4">
      <c r="A927" s="216">
        <v>11714</v>
      </c>
      <c r="B927" s="222" t="s">
        <v>18603</v>
      </c>
      <c r="C927" s="216" t="s">
        <v>17678</v>
      </c>
      <c r="D927" s="443">
        <v>67.23</v>
      </c>
    </row>
    <row r="928" spans="1:4">
      <c r="A928" s="216">
        <v>11712</v>
      </c>
      <c r="B928" s="222" t="s">
        <v>18604</v>
      </c>
      <c r="C928" s="216" t="s">
        <v>17678</v>
      </c>
      <c r="D928" s="443">
        <v>43.9</v>
      </c>
    </row>
    <row r="929" spans="1:4">
      <c r="A929" s="216">
        <v>11717</v>
      </c>
      <c r="B929" s="222" t="s">
        <v>18605</v>
      </c>
      <c r="C929" s="216" t="s">
        <v>17678</v>
      </c>
      <c r="D929" s="443">
        <v>52.92</v>
      </c>
    </row>
    <row r="930" spans="1:4">
      <c r="A930" s="216">
        <v>1106</v>
      </c>
      <c r="B930" s="222" t="s">
        <v>18606</v>
      </c>
      <c r="C930" s="216" t="s">
        <v>17726</v>
      </c>
      <c r="D930" s="443">
        <v>0.8</v>
      </c>
    </row>
    <row r="931" spans="1:4">
      <c r="A931" s="216">
        <v>11161</v>
      </c>
      <c r="B931" s="222" t="s">
        <v>18607</v>
      </c>
      <c r="C931" s="216" t="s">
        <v>17726</v>
      </c>
      <c r="D931" s="443">
        <v>1.33</v>
      </c>
    </row>
    <row r="932" spans="1:4">
      <c r="A932" s="216">
        <v>1107</v>
      </c>
      <c r="B932" s="222" t="s">
        <v>18608</v>
      </c>
      <c r="C932" s="216" t="s">
        <v>17726</v>
      </c>
      <c r="D932" s="443">
        <v>0.68</v>
      </c>
    </row>
    <row r="933" spans="1:4">
      <c r="A933" s="216">
        <v>44479</v>
      </c>
      <c r="B933" s="222" t="s">
        <v>18609</v>
      </c>
      <c r="C933" s="216" t="s">
        <v>17726</v>
      </c>
      <c r="D933" s="443">
        <v>0.09</v>
      </c>
    </row>
    <row r="934" spans="1:4">
      <c r="A934" s="216">
        <v>41068</v>
      </c>
      <c r="B934" s="222" t="s">
        <v>18610</v>
      </c>
      <c r="C934" s="216" t="s">
        <v>17828</v>
      </c>
      <c r="D934" s="443">
        <v>3592.33</v>
      </c>
    </row>
    <row r="935" spans="1:4">
      <c r="A935" s="216">
        <v>4759</v>
      </c>
      <c r="B935" s="222" t="s">
        <v>18611</v>
      </c>
      <c r="C935" s="216" t="s">
        <v>17826</v>
      </c>
      <c r="D935" s="443">
        <v>20.5</v>
      </c>
    </row>
    <row r="936" spans="1:4" ht="31.5">
      <c r="A936" s="216">
        <v>12618</v>
      </c>
      <c r="B936" s="222" t="s">
        <v>18612</v>
      </c>
      <c r="C936" s="216" t="s">
        <v>17678</v>
      </c>
      <c r="D936" s="443">
        <v>170.41</v>
      </c>
    </row>
    <row r="937" spans="1:4">
      <c r="A937" s="216">
        <v>1108</v>
      </c>
      <c r="B937" s="222" t="s">
        <v>18613</v>
      </c>
      <c r="C937" s="216" t="s">
        <v>17722</v>
      </c>
      <c r="D937" s="443">
        <v>39.520000000000003</v>
      </c>
    </row>
    <row r="938" spans="1:4">
      <c r="A938" s="216">
        <v>1117</v>
      </c>
      <c r="B938" s="222" t="s">
        <v>18614</v>
      </c>
      <c r="C938" s="216" t="s">
        <v>17722</v>
      </c>
      <c r="D938" s="443">
        <v>39.83</v>
      </c>
    </row>
    <row r="939" spans="1:4">
      <c r="A939" s="216">
        <v>1118</v>
      </c>
      <c r="B939" s="222" t="s">
        <v>18615</v>
      </c>
      <c r="C939" s="216" t="s">
        <v>17722</v>
      </c>
      <c r="D939" s="443">
        <v>47.07</v>
      </c>
    </row>
    <row r="940" spans="1:4">
      <c r="A940" s="216">
        <v>1110</v>
      </c>
      <c r="B940" s="222" t="s">
        <v>18616</v>
      </c>
      <c r="C940" s="216" t="s">
        <v>17722</v>
      </c>
      <c r="D940" s="443">
        <v>47.07</v>
      </c>
    </row>
    <row r="941" spans="1:4">
      <c r="A941" s="216">
        <v>40784</v>
      </c>
      <c r="B941" s="222" t="s">
        <v>18617</v>
      </c>
      <c r="C941" s="216" t="s">
        <v>17722</v>
      </c>
      <c r="D941" s="443">
        <v>129.85</v>
      </c>
    </row>
    <row r="942" spans="1:4">
      <c r="A942" s="216">
        <v>40782</v>
      </c>
      <c r="B942" s="222" t="s">
        <v>18618</v>
      </c>
      <c r="C942" s="216" t="s">
        <v>17722</v>
      </c>
      <c r="D942" s="443">
        <v>50.95</v>
      </c>
    </row>
    <row r="943" spans="1:4">
      <c r="A943" s="216">
        <v>40783</v>
      </c>
      <c r="B943" s="222" t="s">
        <v>18619</v>
      </c>
      <c r="C943" s="216" t="s">
        <v>17722</v>
      </c>
      <c r="D943" s="443">
        <v>66.38</v>
      </c>
    </row>
    <row r="944" spans="1:4">
      <c r="A944" s="216">
        <v>1109</v>
      </c>
      <c r="B944" s="222" t="s">
        <v>18620</v>
      </c>
      <c r="C944" s="216" t="s">
        <v>17722</v>
      </c>
      <c r="D944" s="443">
        <v>39.520000000000003</v>
      </c>
    </row>
    <row r="945" spans="1:4">
      <c r="A945" s="216">
        <v>1119</v>
      </c>
      <c r="B945" s="222" t="s">
        <v>18621</v>
      </c>
      <c r="C945" s="216" t="s">
        <v>17722</v>
      </c>
      <c r="D945" s="443">
        <v>25.47</v>
      </c>
    </row>
    <row r="946" spans="1:4">
      <c r="A946" s="216">
        <v>13115</v>
      </c>
      <c r="B946" s="222" t="s">
        <v>18622</v>
      </c>
      <c r="C946" s="216" t="s">
        <v>17722</v>
      </c>
      <c r="D946" s="443">
        <v>11.55</v>
      </c>
    </row>
    <row r="947" spans="1:4">
      <c r="A947" s="216">
        <v>10541</v>
      </c>
      <c r="B947" s="222" t="s">
        <v>18623</v>
      </c>
      <c r="C947" s="216" t="s">
        <v>17722</v>
      </c>
      <c r="D947" s="443">
        <v>14.11</v>
      </c>
    </row>
    <row r="948" spans="1:4">
      <c r="A948" s="216">
        <v>10542</v>
      </c>
      <c r="B948" s="222" t="s">
        <v>18624</v>
      </c>
      <c r="C948" s="216" t="s">
        <v>17722</v>
      </c>
      <c r="D948" s="443">
        <v>18.46</v>
      </c>
    </row>
    <row r="949" spans="1:4">
      <c r="A949" s="216">
        <v>10543</v>
      </c>
      <c r="B949" s="222" t="s">
        <v>18625</v>
      </c>
      <c r="C949" s="216" t="s">
        <v>17722</v>
      </c>
      <c r="D949" s="443">
        <v>29.95</v>
      </c>
    </row>
    <row r="950" spans="1:4">
      <c r="A950" s="216">
        <v>10544</v>
      </c>
      <c r="B950" s="222" t="s">
        <v>18626</v>
      </c>
      <c r="C950" s="216" t="s">
        <v>17722</v>
      </c>
      <c r="D950" s="443">
        <v>38.74</v>
      </c>
    </row>
    <row r="951" spans="1:4">
      <c r="A951" s="216">
        <v>10545</v>
      </c>
      <c r="B951" s="222" t="s">
        <v>18627</v>
      </c>
      <c r="C951" s="216" t="s">
        <v>17722</v>
      </c>
      <c r="D951" s="443">
        <v>72.400000000000006</v>
      </c>
    </row>
    <row r="952" spans="1:4">
      <c r="A952" s="216">
        <v>38365</v>
      </c>
      <c r="B952" s="222" t="s">
        <v>18628</v>
      </c>
      <c r="C952" s="216" t="s">
        <v>18087</v>
      </c>
      <c r="D952" s="443">
        <v>2.17</v>
      </c>
    </row>
    <row r="953" spans="1:4" ht="31.5">
      <c r="A953" s="216">
        <v>44056</v>
      </c>
      <c r="B953" s="222" t="s">
        <v>18629</v>
      </c>
      <c r="C953" s="216" t="s">
        <v>17678</v>
      </c>
      <c r="D953" s="443">
        <v>477837.81</v>
      </c>
    </row>
    <row r="954" spans="1:4" ht="31.5">
      <c r="A954" s="216">
        <v>44057</v>
      </c>
      <c r="B954" s="222" t="s">
        <v>18630</v>
      </c>
      <c r="C954" s="216" t="s">
        <v>17678</v>
      </c>
      <c r="D954" s="443">
        <v>510000</v>
      </c>
    </row>
    <row r="955" spans="1:4" ht="31.5">
      <c r="A955" s="216">
        <v>37754</v>
      </c>
      <c r="B955" s="222" t="s">
        <v>18631</v>
      </c>
      <c r="C955" s="216" t="s">
        <v>17678</v>
      </c>
      <c r="D955" s="443">
        <v>527275.68000000005</v>
      </c>
    </row>
    <row r="956" spans="1:4" ht="31.5">
      <c r="A956" s="216">
        <v>37757</v>
      </c>
      <c r="B956" s="222" t="s">
        <v>18632</v>
      </c>
      <c r="C956" s="216" t="s">
        <v>17678</v>
      </c>
      <c r="D956" s="443">
        <v>588108.13</v>
      </c>
    </row>
    <row r="957" spans="1:4" ht="31.5">
      <c r="A957" s="216">
        <v>44058</v>
      </c>
      <c r="B957" s="222" t="s">
        <v>18633</v>
      </c>
      <c r="C957" s="216" t="s">
        <v>17678</v>
      </c>
      <c r="D957" s="443">
        <v>555945.94999999995</v>
      </c>
    </row>
    <row r="958" spans="1:4" ht="31.5">
      <c r="A958" s="216">
        <v>37752</v>
      </c>
      <c r="B958" s="222" t="s">
        <v>18634</v>
      </c>
      <c r="C958" s="216" t="s">
        <v>17678</v>
      </c>
      <c r="D958" s="443">
        <v>578918.9</v>
      </c>
    </row>
    <row r="959" spans="1:4" ht="31.5">
      <c r="A959" s="216">
        <v>44059</v>
      </c>
      <c r="B959" s="222" t="s">
        <v>18635</v>
      </c>
      <c r="C959" s="216" t="s">
        <v>17678</v>
      </c>
      <c r="D959" s="443">
        <v>457621.62</v>
      </c>
    </row>
    <row r="960" spans="1:4" ht="31.5">
      <c r="A960" s="216">
        <v>37750</v>
      </c>
      <c r="B960" s="222" t="s">
        <v>18636</v>
      </c>
      <c r="C960" s="216" t="s">
        <v>17678</v>
      </c>
      <c r="D960" s="443">
        <v>458540.54</v>
      </c>
    </row>
    <row r="961" spans="1:4" ht="31.5">
      <c r="A961" s="216">
        <v>37758</v>
      </c>
      <c r="B961" s="222" t="s">
        <v>18637</v>
      </c>
      <c r="C961" s="216" t="s">
        <v>17678</v>
      </c>
      <c r="D961" s="443">
        <v>729621.6</v>
      </c>
    </row>
    <row r="962" spans="1:4" ht="31.5">
      <c r="A962" s="216">
        <v>44060</v>
      </c>
      <c r="B962" s="222" t="s">
        <v>18638</v>
      </c>
      <c r="C962" s="216" t="s">
        <v>17678</v>
      </c>
      <c r="D962" s="443">
        <v>705729.73</v>
      </c>
    </row>
    <row r="963" spans="1:4" ht="31.5">
      <c r="A963" s="216">
        <v>37749</v>
      </c>
      <c r="B963" s="222" t="s">
        <v>18639</v>
      </c>
      <c r="C963" s="216" t="s">
        <v>17678</v>
      </c>
      <c r="D963" s="443">
        <v>753513.52</v>
      </c>
    </row>
    <row r="964" spans="1:4" ht="31.5">
      <c r="A964" s="216">
        <v>44061</v>
      </c>
      <c r="B964" s="222" t="s">
        <v>18640</v>
      </c>
      <c r="C964" s="216" t="s">
        <v>17678</v>
      </c>
      <c r="D964" s="443">
        <v>691945.96</v>
      </c>
    </row>
    <row r="965" spans="1:4">
      <c r="A965" s="216">
        <v>1159</v>
      </c>
      <c r="B965" s="222" t="s">
        <v>18641</v>
      </c>
      <c r="C965" s="216" t="s">
        <v>17678</v>
      </c>
      <c r="D965" s="443">
        <v>269386.83</v>
      </c>
    </row>
    <row r="966" spans="1:4">
      <c r="A966" s="216">
        <v>12114</v>
      </c>
      <c r="B966" s="222" t="s">
        <v>18642</v>
      </c>
      <c r="C966" s="216" t="s">
        <v>17678</v>
      </c>
      <c r="D966" s="443">
        <v>157.93</v>
      </c>
    </row>
    <row r="967" spans="1:4">
      <c r="A967" s="216">
        <v>38106</v>
      </c>
      <c r="B967" s="222" t="s">
        <v>18643</v>
      </c>
      <c r="C967" s="216" t="s">
        <v>17678</v>
      </c>
      <c r="D967" s="443">
        <v>21.46</v>
      </c>
    </row>
    <row r="968" spans="1:4">
      <c r="A968" s="216">
        <v>38085</v>
      </c>
      <c r="B968" s="222" t="s">
        <v>18644</v>
      </c>
      <c r="C968" s="216" t="s">
        <v>17678</v>
      </c>
      <c r="D968" s="443">
        <v>25.35</v>
      </c>
    </row>
    <row r="969" spans="1:4">
      <c r="A969" s="216">
        <v>38599</v>
      </c>
      <c r="B969" s="222" t="s">
        <v>18645</v>
      </c>
      <c r="C969" s="216" t="s">
        <v>17678</v>
      </c>
      <c r="D969" s="443">
        <v>4.62</v>
      </c>
    </row>
    <row r="970" spans="1:4">
      <c r="A970" s="216">
        <v>38596</v>
      </c>
      <c r="B970" s="222" t="s">
        <v>18646</v>
      </c>
      <c r="C970" s="216" t="s">
        <v>17678</v>
      </c>
      <c r="D970" s="443">
        <v>3.83</v>
      </c>
    </row>
    <row r="971" spans="1:4">
      <c r="A971" s="216">
        <v>38600</v>
      </c>
      <c r="B971" s="222" t="s">
        <v>18647</v>
      </c>
      <c r="C971" s="216" t="s">
        <v>17678</v>
      </c>
      <c r="D971" s="443">
        <v>4.8899999999999997</v>
      </c>
    </row>
    <row r="972" spans="1:4">
      <c r="A972" s="216">
        <v>38597</v>
      </c>
      <c r="B972" s="222" t="s">
        <v>18648</v>
      </c>
      <c r="C972" s="216" t="s">
        <v>17678</v>
      </c>
      <c r="D972" s="443">
        <v>3.86</v>
      </c>
    </row>
    <row r="973" spans="1:4">
      <c r="A973" s="216">
        <v>659</v>
      </c>
      <c r="B973" s="222" t="s">
        <v>18649</v>
      </c>
      <c r="C973" s="216" t="s">
        <v>17678</v>
      </c>
      <c r="D973" s="443">
        <v>2.2200000000000002</v>
      </c>
    </row>
    <row r="974" spans="1:4">
      <c r="A974" s="216">
        <v>660</v>
      </c>
      <c r="B974" s="222" t="s">
        <v>18650</v>
      </c>
      <c r="C974" s="216" t="s">
        <v>17678</v>
      </c>
      <c r="D974" s="443">
        <v>2.66</v>
      </c>
    </row>
    <row r="975" spans="1:4">
      <c r="A975" s="216">
        <v>658</v>
      </c>
      <c r="B975" s="222" t="s">
        <v>18651</v>
      </c>
      <c r="C975" s="216" t="s">
        <v>17678</v>
      </c>
      <c r="D975" s="443">
        <v>1.5</v>
      </c>
    </row>
    <row r="976" spans="1:4">
      <c r="A976" s="216">
        <v>38548</v>
      </c>
      <c r="B976" s="222" t="s">
        <v>18652</v>
      </c>
      <c r="C976" s="216" t="s">
        <v>17678</v>
      </c>
      <c r="D976" s="443">
        <v>1.95</v>
      </c>
    </row>
    <row r="977" spans="1:4">
      <c r="A977" s="216">
        <v>34649</v>
      </c>
      <c r="B977" s="222" t="s">
        <v>18653</v>
      </c>
      <c r="C977" s="216" t="s">
        <v>17678</v>
      </c>
      <c r="D977" s="443">
        <v>2.64</v>
      </c>
    </row>
    <row r="978" spans="1:4">
      <c r="A978" s="216">
        <v>34655</v>
      </c>
      <c r="B978" s="222" t="s">
        <v>18654</v>
      </c>
      <c r="C978" s="216" t="s">
        <v>17678</v>
      </c>
      <c r="D978" s="443">
        <v>3.5</v>
      </c>
    </row>
    <row r="979" spans="1:4">
      <c r="A979" s="216">
        <v>40607</v>
      </c>
      <c r="B979" s="222" t="s">
        <v>18655</v>
      </c>
      <c r="C979" s="216" t="s">
        <v>17678</v>
      </c>
      <c r="D979" s="443">
        <v>7.68</v>
      </c>
    </row>
    <row r="980" spans="1:4">
      <c r="A980" s="216">
        <v>567</v>
      </c>
      <c r="B980" s="222" t="s">
        <v>18656</v>
      </c>
      <c r="C980" s="216" t="s">
        <v>17722</v>
      </c>
      <c r="D980" s="443">
        <v>12.01</v>
      </c>
    </row>
    <row r="981" spans="1:4">
      <c r="A981" s="216">
        <v>574</v>
      </c>
      <c r="B981" s="222" t="s">
        <v>18657</v>
      </c>
      <c r="C981" s="216" t="s">
        <v>17722</v>
      </c>
      <c r="D981" s="443">
        <v>31.57</v>
      </c>
    </row>
    <row r="982" spans="1:4">
      <c r="A982" s="216">
        <v>568</v>
      </c>
      <c r="B982" s="222" t="s">
        <v>18658</v>
      </c>
      <c r="C982" s="216" t="s">
        <v>17722</v>
      </c>
      <c r="D982" s="443">
        <v>66.53</v>
      </c>
    </row>
    <row r="983" spans="1:4">
      <c r="A983" s="216">
        <v>585</v>
      </c>
      <c r="B983" s="222" t="s">
        <v>18659</v>
      </c>
      <c r="C983" s="216" t="s">
        <v>17726</v>
      </c>
      <c r="D983" s="443">
        <v>36.35</v>
      </c>
    </row>
    <row r="984" spans="1:4">
      <c r="A984" s="216">
        <v>4777</v>
      </c>
      <c r="B984" s="222" t="s">
        <v>18660</v>
      </c>
      <c r="C984" s="216" t="s">
        <v>17726</v>
      </c>
      <c r="D984" s="443">
        <v>9.6300000000000008</v>
      </c>
    </row>
    <row r="985" spans="1:4">
      <c r="A985" s="216">
        <v>587</v>
      </c>
      <c r="B985" s="222" t="s">
        <v>18661</v>
      </c>
      <c r="C985" s="216" t="s">
        <v>17726</v>
      </c>
      <c r="D985" s="443">
        <v>38.950000000000003</v>
      </c>
    </row>
    <row r="986" spans="1:4">
      <c r="A986" s="216">
        <v>590</v>
      </c>
      <c r="B986" s="222" t="s">
        <v>18662</v>
      </c>
      <c r="C986" s="216" t="s">
        <v>17726</v>
      </c>
      <c r="D986" s="443">
        <v>37.65</v>
      </c>
    </row>
    <row r="987" spans="1:4">
      <c r="A987" s="216">
        <v>592</v>
      </c>
      <c r="B987" s="222" t="s">
        <v>18663</v>
      </c>
      <c r="C987" s="216" t="s">
        <v>17726</v>
      </c>
      <c r="D987" s="443">
        <v>38.950000000000003</v>
      </c>
    </row>
    <row r="988" spans="1:4">
      <c r="A988" s="216">
        <v>586</v>
      </c>
      <c r="B988" s="222" t="s">
        <v>18664</v>
      </c>
      <c r="C988" s="216" t="s">
        <v>17722</v>
      </c>
      <c r="D988" s="443">
        <v>22.9</v>
      </c>
    </row>
    <row r="989" spans="1:4">
      <c r="A989" s="216">
        <v>591</v>
      </c>
      <c r="B989" s="222" t="s">
        <v>18665</v>
      </c>
      <c r="C989" s="216" t="s">
        <v>17726</v>
      </c>
      <c r="D989" s="443">
        <v>36.35</v>
      </c>
    </row>
    <row r="990" spans="1:4">
      <c r="A990" s="216">
        <v>588</v>
      </c>
      <c r="B990" s="222" t="s">
        <v>18666</v>
      </c>
      <c r="C990" s="216" t="s">
        <v>17722</v>
      </c>
      <c r="D990" s="443">
        <v>36.22</v>
      </c>
    </row>
    <row r="991" spans="1:4">
      <c r="A991" s="216">
        <v>589</v>
      </c>
      <c r="B991" s="222" t="s">
        <v>18667</v>
      </c>
      <c r="C991" s="216" t="s">
        <v>17722</v>
      </c>
      <c r="D991" s="443">
        <v>61.22</v>
      </c>
    </row>
    <row r="992" spans="1:4">
      <c r="A992" s="216">
        <v>584</v>
      </c>
      <c r="B992" s="222" t="s">
        <v>18668</v>
      </c>
      <c r="C992" s="216" t="s">
        <v>17722</v>
      </c>
      <c r="D992" s="443">
        <v>38.69</v>
      </c>
    </row>
    <row r="993" spans="1:4">
      <c r="A993" s="216">
        <v>1165</v>
      </c>
      <c r="B993" s="222" t="s">
        <v>18669</v>
      </c>
      <c r="C993" s="216" t="s">
        <v>17678</v>
      </c>
      <c r="D993" s="443">
        <v>20.11</v>
      </c>
    </row>
    <row r="994" spans="1:4">
      <c r="A994" s="216">
        <v>1164</v>
      </c>
      <c r="B994" s="222" t="s">
        <v>18670</v>
      </c>
      <c r="C994" s="216" t="s">
        <v>17678</v>
      </c>
      <c r="D994" s="443">
        <v>16.29</v>
      </c>
    </row>
    <row r="995" spans="1:4">
      <c r="A995" s="216">
        <v>1162</v>
      </c>
      <c r="B995" s="222" t="s">
        <v>18671</v>
      </c>
      <c r="C995" s="216" t="s">
        <v>17678</v>
      </c>
      <c r="D995" s="443">
        <v>5.66</v>
      </c>
    </row>
    <row r="996" spans="1:4">
      <c r="A996" s="216">
        <v>12395</v>
      </c>
      <c r="B996" s="222" t="s">
        <v>18672</v>
      </c>
      <c r="C996" s="216" t="s">
        <v>17678</v>
      </c>
      <c r="D996" s="443">
        <v>5.5</v>
      </c>
    </row>
    <row r="997" spans="1:4">
      <c r="A997" s="216">
        <v>1170</v>
      </c>
      <c r="B997" s="222" t="s">
        <v>18673</v>
      </c>
      <c r="C997" s="216" t="s">
        <v>17678</v>
      </c>
      <c r="D997" s="443">
        <v>10.67</v>
      </c>
    </row>
    <row r="998" spans="1:4">
      <c r="A998" s="216">
        <v>1169</v>
      </c>
      <c r="B998" s="222" t="s">
        <v>18674</v>
      </c>
      <c r="C998" s="216" t="s">
        <v>17678</v>
      </c>
      <c r="D998" s="443">
        <v>52.4</v>
      </c>
    </row>
    <row r="999" spans="1:4">
      <c r="A999" s="216">
        <v>1166</v>
      </c>
      <c r="B999" s="222" t="s">
        <v>18675</v>
      </c>
      <c r="C999" s="216" t="s">
        <v>17678</v>
      </c>
      <c r="D999" s="443">
        <v>29.05</v>
      </c>
    </row>
    <row r="1000" spans="1:4">
      <c r="A1000" s="216">
        <v>1163</v>
      </c>
      <c r="B1000" s="222" t="s">
        <v>18676</v>
      </c>
      <c r="C1000" s="216" t="s">
        <v>17678</v>
      </c>
      <c r="D1000" s="443">
        <v>7.32</v>
      </c>
    </row>
    <row r="1001" spans="1:4">
      <c r="A1001" s="216">
        <v>12396</v>
      </c>
      <c r="B1001" s="222" t="s">
        <v>18677</v>
      </c>
      <c r="C1001" s="216" t="s">
        <v>17678</v>
      </c>
      <c r="D1001" s="443">
        <v>5.5</v>
      </c>
    </row>
    <row r="1002" spans="1:4">
      <c r="A1002" s="216">
        <v>1168</v>
      </c>
      <c r="B1002" s="222" t="s">
        <v>18678</v>
      </c>
      <c r="C1002" s="216" t="s">
        <v>17678</v>
      </c>
      <c r="D1002" s="443">
        <v>74.7</v>
      </c>
    </row>
    <row r="1003" spans="1:4">
      <c r="A1003" s="216">
        <v>1167</v>
      </c>
      <c r="B1003" s="222" t="s">
        <v>18679</v>
      </c>
      <c r="C1003" s="216" t="s">
        <v>17678</v>
      </c>
      <c r="D1003" s="443">
        <v>124.96</v>
      </c>
    </row>
    <row r="1004" spans="1:4">
      <c r="A1004" s="216">
        <v>36331</v>
      </c>
      <c r="B1004" s="222" t="s">
        <v>18680</v>
      </c>
      <c r="C1004" s="216" t="s">
        <v>17678</v>
      </c>
      <c r="D1004" s="443">
        <v>2.52</v>
      </c>
    </row>
    <row r="1005" spans="1:4">
      <c r="A1005" s="216">
        <v>36346</v>
      </c>
      <c r="B1005" s="222" t="s">
        <v>18681</v>
      </c>
      <c r="C1005" s="216" t="s">
        <v>17678</v>
      </c>
      <c r="D1005" s="443">
        <v>3.77</v>
      </c>
    </row>
    <row r="1006" spans="1:4">
      <c r="A1006" s="216">
        <v>1197</v>
      </c>
      <c r="B1006" s="222" t="s">
        <v>18682</v>
      </c>
      <c r="C1006" s="216" t="s">
        <v>17678</v>
      </c>
      <c r="D1006" s="443">
        <v>2.04</v>
      </c>
    </row>
    <row r="1007" spans="1:4">
      <c r="A1007" s="216">
        <v>1202</v>
      </c>
      <c r="B1007" s="222" t="s">
        <v>18683</v>
      </c>
      <c r="C1007" s="216" t="s">
        <v>17678</v>
      </c>
      <c r="D1007" s="443">
        <v>5.78</v>
      </c>
    </row>
    <row r="1008" spans="1:4">
      <c r="A1008" s="216">
        <v>1198</v>
      </c>
      <c r="B1008" s="222" t="s">
        <v>18684</v>
      </c>
      <c r="C1008" s="216" t="s">
        <v>17678</v>
      </c>
      <c r="D1008" s="443">
        <v>2.67</v>
      </c>
    </row>
    <row r="1009" spans="1:4">
      <c r="A1009" s="216">
        <v>20088</v>
      </c>
      <c r="B1009" s="222" t="s">
        <v>18685</v>
      </c>
      <c r="C1009" s="216" t="s">
        <v>17678</v>
      </c>
      <c r="D1009" s="443">
        <v>13.11</v>
      </c>
    </row>
    <row r="1010" spans="1:4">
      <c r="A1010" s="216">
        <v>20089</v>
      </c>
      <c r="B1010" s="222" t="s">
        <v>18686</v>
      </c>
      <c r="C1010" s="216" t="s">
        <v>17678</v>
      </c>
      <c r="D1010" s="443">
        <v>64.27</v>
      </c>
    </row>
    <row r="1011" spans="1:4">
      <c r="A1011" s="216">
        <v>20087</v>
      </c>
      <c r="B1011" s="222" t="s">
        <v>18687</v>
      </c>
      <c r="C1011" s="216" t="s">
        <v>17678</v>
      </c>
      <c r="D1011" s="443">
        <v>10.85</v>
      </c>
    </row>
    <row r="1012" spans="1:4">
      <c r="A1012" s="216">
        <v>1200</v>
      </c>
      <c r="B1012" s="222" t="s">
        <v>18688</v>
      </c>
      <c r="C1012" s="216" t="s">
        <v>17678</v>
      </c>
      <c r="D1012" s="443">
        <v>9.85</v>
      </c>
    </row>
    <row r="1013" spans="1:4">
      <c r="A1013" s="216">
        <v>12909</v>
      </c>
      <c r="B1013" s="222" t="s">
        <v>18689</v>
      </c>
      <c r="C1013" s="216" t="s">
        <v>17678</v>
      </c>
      <c r="D1013" s="443">
        <v>4.57</v>
      </c>
    </row>
    <row r="1014" spans="1:4">
      <c r="A1014" s="216">
        <v>12910</v>
      </c>
      <c r="B1014" s="222" t="s">
        <v>18690</v>
      </c>
      <c r="C1014" s="216" t="s">
        <v>17678</v>
      </c>
      <c r="D1014" s="443">
        <v>8.2100000000000009</v>
      </c>
    </row>
    <row r="1015" spans="1:4">
      <c r="A1015" s="216">
        <v>1191</v>
      </c>
      <c r="B1015" s="222" t="s">
        <v>18691</v>
      </c>
      <c r="C1015" s="216" t="s">
        <v>17678</v>
      </c>
      <c r="D1015" s="443">
        <v>1.45</v>
      </c>
    </row>
    <row r="1016" spans="1:4">
      <c r="A1016" s="216">
        <v>1185</v>
      </c>
      <c r="B1016" s="222" t="s">
        <v>18692</v>
      </c>
      <c r="C1016" s="216" t="s">
        <v>17678</v>
      </c>
      <c r="D1016" s="443">
        <v>1.45</v>
      </c>
    </row>
    <row r="1017" spans="1:4">
      <c r="A1017" s="216">
        <v>1189</v>
      </c>
      <c r="B1017" s="222" t="s">
        <v>18693</v>
      </c>
      <c r="C1017" s="216" t="s">
        <v>17678</v>
      </c>
      <c r="D1017" s="443">
        <v>2.38</v>
      </c>
    </row>
    <row r="1018" spans="1:4">
      <c r="A1018" s="216">
        <v>1193</v>
      </c>
      <c r="B1018" s="222" t="s">
        <v>18694</v>
      </c>
      <c r="C1018" s="216" t="s">
        <v>17678</v>
      </c>
      <c r="D1018" s="443">
        <v>4.57</v>
      </c>
    </row>
    <row r="1019" spans="1:4">
      <c r="A1019" s="216">
        <v>1194</v>
      </c>
      <c r="B1019" s="222" t="s">
        <v>18695</v>
      </c>
      <c r="C1019" s="216" t="s">
        <v>17678</v>
      </c>
      <c r="D1019" s="443">
        <v>8.25</v>
      </c>
    </row>
    <row r="1020" spans="1:4">
      <c r="A1020" s="216">
        <v>1195</v>
      </c>
      <c r="B1020" s="222" t="s">
        <v>18696</v>
      </c>
      <c r="C1020" s="216" t="s">
        <v>17678</v>
      </c>
      <c r="D1020" s="443">
        <v>13.89</v>
      </c>
    </row>
    <row r="1021" spans="1:4">
      <c r="A1021" s="216">
        <v>1204</v>
      </c>
      <c r="B1021" s="222" t="s">
        <v>18697</v>
      </c>
      <c r="C1021" s="216" t="s">
        <v>17678</v>
      </c>
      <c r="D1021" s="443">
        <v>24.29</v>
      </c>
    </row>
    <row r="1022" spans="1:4">
      <c r="A1022" s="216">
        <v>1207</v>
      </c>
      <c r="B1022" s="222" t="s">
        <v>18698</v>
      </c>
      <c r="C1022" s="216" t="s">
        <v>17678</v>
      </c>
      <c r="D1022" s="443">
        <v>36.29</v>
      </c>
    </row>
    <row r="1023" spans="1:4">
      <c r="A1023" s="216">
        <v>1206</v>
      </c>
      <c r="B1023" s="222" t="s">
        <v>18699</v>
      </c>
      <c r="C1023" s="216" t="s">
        <v>17678</v>
      </c>
      <c r="D1023" s="443">
        <v>9.1</v>
      </c>
    </row>
    <row r="1024" spans="1:4">
      <c r="A1024" s="216">
        <v>1183</v>
      </c>
      <c r="B1024" s="222" t="s">
        <v>18700</v>
      </c>
      <c r="C1024" s="216" t="s">
        <v>17678</v>
      </c>
      <c r="D1024" s="443">
        <v>23.7</v>
      </c>
    </row>
    <row r="1025" spans="1:4">
      <c r="A1025" s="216">
        <v>42685</v>
      </c>
      <c r="B1025" s="222" t="s">
        <v>18701</v>
      </c>
      <c r="C1025" s="216" t="s">
        <v>17678</v>
      </c>
      <c r="D1025" s="443">
        <v>66.61</v>
      </c>
    </row>
    <row r="1026" spans="1:4">
      <c r="A1026" s="216">
        <v>42686</v>
      </c>
      <c r="B1026" s="222" t="s">
        <v>18702</v>
      </c>
      <c r="C1026" s="216" t="s">
        <v>17678</v>
      </c>
      <c r="D1026" s="443">
        <v>73.36</v>
      </c>
    </row>
    <row r="1027" spans="1:4">
      <c r="A1027" s="216">
        <v>12894</v>
      </c>
      <c r="B1027" s="222" t="s">
        <v>18703</v>
      </c>
      <c r="C1027" s="216" t="s">
        <v>17678</v>
      </c>
      <c r="D1027" s="443">
        <v>17.47</v>
      </c>
    </row>
    <row r="1028" spans="1:4">
      <c r="A1028" s="216">
        <v>12895</v>
      </c>
      <c r="B1028" s="222" t="s">
        <v>18704</v>
      </c>
      <c r="C1028" s="216" t="s">
        <v>17678</v>
      </c>
      <c r="D1028" s="443">
        <v>13.44</v>
      </c>
    </row>
    <row r="1029" spans="1:4" ht="31.5">
      <c r="A1029" s="216">
        <v>1631</v>
      </c>
      <c r="B1029" s="222" t="s">
        <v>18705</v>
      </c>
      <c r="C1029" s="216" t="s">
        <v>17678</v>
      </c>
      <c r="D1029" s="443">
        <v>115.16</v>
      </c>
    </row>
    <row r="1030" spans="1:4" ht="31.5">
      <c r="A1030" s="216">
        <v>1633</v>
      </c>
      <c r="B1030" s="222" t="s">
        <v>18706</v>
      </c>
      <c r="C1030" s="216" t="s">
        <v>17678</v>
      </c>
      <c r="D1030" s="443">
        <v>195.66</v>
      </c>
    </row>
    <row r="1031" spans="1:4">
      <c r="A1031" s="216">
        <v>10818</v>
      </c>
      <c r="B1031" s="222" t="s">
        <v>18707</v>
      </c>
      <c r="C1031" s="216" t="s">
        <v>17726</v>
      </c>
      <c r="D1031" s="443">
        <v>27.92</v>
      </c>
    </row>
    <row r="1032" spans="1:4">
      <c r="A1032" s="216">
        <v>41410</v>
      </c>
      <c r="B1032" s="222" t="s">
        <v>18708</v>
      </c>
      <c r="C1032" s="216" t="s">
        <v>17678</v>
      </c>
      <c r="D1032" s="443">
        <v>70.72</v>
      </c>
    </row>
    <row r="1033" spans="1:4">
      <c r="A1033" s="216">
        <v>41411</v>
      </c>
      <c r="B1033" s="222" t="s">
        <v>18709</v>
      </c>
      <c r="C1033" s="216" t="s">
        <v>17678</v>
      </c>
      <c r="D1033" s="443">
        <v>64.11</v>
      </c>
    </row>
    <row r="1034" spans="1:4">
      <c r="A1034" s="216">
        <v>41412</v>
      </c>
      <c r="B1034" s="222" t="s">
        <v>18710</v>
      </c>
      <c r="C1034" s="216" t="s">
        <v>17678</v>
      </c>
      <c r="D1034" s="443">
        <v>124</v>
      </c>
    </row>
    <row r="1035" spans="1:4">
      <c r="A1035" s="216">
        <v>41413</v>
      </c>
      <c r="B1035" s="222" t="s">
        <v>18711</v>
      </c>
      <c r="C1035" s="216" t="s">
        <v>17678</v>
      </c>
      <c r="D1035" s="443">
        <v>111.58</v>
      </c>
    </row>
    <row r="1036" spans="1:4" ht="47.25">
      <c r="A1036" s="216">
        <v>39359</v>
      </c>
      <c r="B1036" s="222" t="s">
        <v>18712</v>
      </c>
      <c r="C1036" s="216" t="s">
        <v>17678</v>
      </c>
      <c r="D1036" s="443">
        <v>24.72</v>
      </c>
    </row>
    <row r="1037" spans="1:4" ht="47.25">
      <c r="A1037" s="216">
        <v>39360</v>
      </c>
      <c r="B1037" s="222" t="s">
        <v>18713</v>
      </c>
      <c r="C1037" s="216" t="s">
        <v>17678</v>
      </c>
      <c r="D1037" s="443">
        <v>22.47</v>
      </c>
    </row>
    <row r="1038" spans="1:4">
      <c r="A1038" s="216">
        <v>10710</v>
      </c>
      <c r="B1038" s="222" t="s">
        <v>18714</v>
      </c>
      <c r="C1038" s="216" t="s">
        <v>18087</v>
      </c>
      <c r="D1038" s="443">
        <v>135</v>
      </c>
    </row>
    <row r="1039" spans="1:4">
      <c r="A1039" s="216">
        <v>10709</v>
      </c>
      <c r="B1039" s="222" t="s">
        <v>18715</v>
      </c>
      <c r="C1039" s="216" t="s">
        <v>18087</v>
      </c>
      <c r="D1039" s="443">
        <v>165.85</v>
      </c>
    </row>
    <row r="1040" spans="1:4">
      <c r="A1040" s="216">
        <v>39636</v>
      </c>
      <c r="B1040" s="222" t="s">
        <v>18716</v>
      </c>
      <c r="C1040" s="216" t="s">
        <v>18087</v>
      </c>
      <c r="D1040" s="443">
        <v>169.36</v>
      </c>
    </row>
    <row r="1041" spans="1:4">
      <c r="A1041" s="216">
        <v>10708</v>
      </c>
      <c r="B1041" s="222" t="s">
        <v>18717</v>
      </c>
      <c r="C1041" s="216" t="s">
        <v>18087</v>
      </c>
      <c r="D1041" s="443">
        <v>52.26</v>
      </c>
    </row>
    <row r="1042" spans="1:4">
      <c r="A1042" s="216">
        <v>39635</v>
      </c>
      <c r="B1042" s="222" t="s">
        <v>18718</v>
      </c>
      <c r="C1042" s="216" t="s">
        <v>18087</v>
      </c>
      <c r="D1042" s="443">
        <v>88.97</v>
      </c>
    </row>
    <row r="1043" spans="1:4">
      <c r="A1043" s="216">
        <v>6117</v>
      </c>
      <c r="B1043" s="222" t="s">
        <v>18719</v>
      </c>
      <c r="C1043" s="216" t="s">
        <v>17826</v>
      </c>
      <c r="D1043" s="443">
        <v>18.48</v>
      </c>
    </row>
    <row r="1044" spans="1:4">
      <c r="A1044" s="216">
        <v>40913</v>
      </c>
      <c r="B1044" s="222" t="s">
        <v>18720</v>
      </c>
      <c r="C1044" s="216" t="s">
        <v>17828</v>
      </c>
      <c r="D1044" s="443">
        <v>3237.11</v>
      </c>
    </row>
    <row r="1045" spans="1:4">
      <c r="A1045" s="216">
        <v>1214</v>
      </c>
      <c r="B1045" s="222" t="s">
        <v>18721</v>
      </c>
      <c r="C1045" s="216" t="s">
        <v>17826</v>
      </c>
      <c r="D1045" s="443">
        <v>22.74</v>
      </c>
    </row>
    <row r="1046" spans="1:4">
      <c r="A1046" s="216">
        <v>40915</v>
      </c>
      <c r="B1046" s="222" t="s">
        <v>18722</v>
      </c>
      <c r="C1046" s="216" t="s">
        <v>17828</v>
      </c>
      <c r="D1046" s="443">
        <v>3981.51</v>
      </c>
    </row>
    <row r="1047" spans="1:4">
      <c r="A1047" s="216">
        <v>1213</v>
      </c>
      <c r="B1047" s="222" t="s">
        <v>18723</v>
      </c>
      <c r="C1047" s="216" t="s">
        <v>17826</v>
      </c>
      <c r="D1047" s="443">
        <v>24.15</v>
      </c>
    </row>
    <row r="1048" spans="1:4">
      <c r="A1048" s="216">
        <v>40914</v>
      </c>
      <c r="B1048" s="222" t="s">
        <v>18724</v>
      </c>
      <c r="C1048" s="216" t="s">
        <v>17828</v>
      </c>
      <c r="D1048" s="443">
        <v>4228.24</v>
      </c>
    </row>
    <row r="1049" spans="1:4">
      <c r="A1049" s="216">
        <v>5091</v>
      </c>
      <c r="B1049" s="222" t="s">
        <v>18725</v>
      </c>
      <c r="C1049" s="216" t="s">
        <v>17678</v>
      </c>
      <c r="D1049" s="443">
        <v>19.53</v>
      </c>
    </row>
    <row r="1050" spans="1:4" ht="31.5">
      <c r="A1050" s="216">
        <v>14615</v>
      </c>
      <c r="B1050" s="222" t="s">
        <v>18726</v>
      </c>
      <c r="C1050" s="216" t="s">
        <v>17678</v>
      </c>
      <c r="D1050" s="443">
        <v>3697.7</v>
      </c>
    </row>
    <row r="1051" spans="1:4">
      <c r="A1051" s="216">
        <v>2711</v>
      </c>
      <c r="B1051" s="222" t="s">
        <v>18727</v>
      </c>
      <c r="C1051" s="216" t="s">
        <v>17678</v>
      </c>
      <c r="D1051" s="443">
        <v>169.99</v>
      </c>
    </row>
    <row r="1052" spans="1:4" ht="31.5">
      <c r="A1052" s="216">
        <v>37727</v>
      </c>
      <c r="B1052" s="222" t="s">
        <v>18728</v>
      </c>
      <c r="C1052" s="216" t="s">
        <v>17678</v>
      </c>
      <c r="D1052" s="443">
        <v>22500</v>
      </c>
    </row>
    <row r="1053" spans="1:4" ht="31.5">
      <c r="A1053" s="216">
        <v>37728</v>
      </c>
      <c r="B1053" s="222" t="s">
        <v>18729</v>
      </c>
      <c r="C1053" s="216" t="s">
        <v>17678</v>
      </c>
      <c r="D1053" s="443">
        <v>30524.47</v>
      </c>
    </row>
    <row r="1054" spans="1:4" ht="31.5">
      <c r="A1054" s="216">
        <v>37729</v>
      </c>
      <c r="B1054" s="222" t="s">
        <v>18730</v>
      </c>
      <c r="C1054" s="216" t="s">
        <v>17678</v>
      </c>
      <c r="D1054" s="443">
        <v>33041.949999999997</v>
      </c>
    </row>
    <row r="1055" spans="1:4" ht="31.5">
      <c r="A1055" s="216">
        <v>37730</v>
      </c>
      <c r="B1055" s="222" t="s">
        <v>18731</v>
      </c>
      <c r="C1055" s="216" t="s">
        <v>17678</v>
      </c>
      <c r="D1055" s="443">
        <v>35559.440000000002</v>
      </c>
    </row>
    <row r="1056" spans="1:4" ht="31.5">
      <c r="A1056" s="216">
        <v>37731</v>
      </c>
      <c r="B1056" s="222" t="s">
        <v>18732</v>
      </c>
      <c r="C1056" s="216" t="s">
        <v>17678</v>
      </c>
      <c r="D1056" s="443">
        <v>38076.92</v>
      </c>
    </row>
    <row r="1057" spans="1:4" ht="31.5">
      <c r="A1057" s="216">
        <v>37732</v>
      </c>
      <c r="B1057" s="222" t="s">
        <v>18733</v>
      </c>
      <c r="C1057" s="216" t="s">
        <v>17678</v>
      </c>
      <c r="D1057" s="443">
        <v>43426.57</v>
      </c>
    </row>
    <row r="1058" spans="1:4" ht="31.5">
      <c r="A1058" s="216">
        <v>42256</v>
      </c>
      <c r="B1058" s="222" t="s">
        <v>18734</v>
      </c>
      <c r="C1058" s="216" t="s">
        <v>17726</v>
      </c>
      <c r="D1058" s="443">
        <v>4.6100000000000003</v>
      </c>
    </row>
    <row r="1059" spans="1:4" ht="31.5">
      <c r="A1059" s="216">
        <v>42250</v>
      </c>
      <c r="B1059" s="222" t="s">
        <v>18735</v>
      </c>
      <c r="C1059" s="216" t="s">
        <v>18736</v>
      </c>
      <c r="D1059" s="443">
        <v>2077.4699999999998</v>
      </c>
    </row>
    <row r="1060" spans="1:4">
      <c r="A1060" s="216">
        <v>4743</v>
      </c>
      <c r="B1060" s="222" t="s">
        <v>18737</v>
      </c>
      <c r="C1060" s="216" t="s">
        <v>17824</v>
      </c>
      <c r="D1060" s="443">
        <v>35.58</v>
      </c>
    </row>
    <row r="1061" spans="1:4">
      <c r="A1061" s="216">
        <v>4744</v>
      </c>
      <c r="B1061" s="222" t="s">
        <v>18738</v>
      </c>
      <c r="C1061" s="216" t="s">
        <v>17824</v>
      </c>
      <c r="D1061" s="443">
        <v>56.92</v>
      </c>
    </row>
    <row r="1062" spans="1:4">
      <c r="A1062" s="216">
        <v>4745</v>
      </c>
      <c r="B1062" s="222" t="s">
        <v>18739</v>
      </c>
      <c r="C1062" s="216" t="s">
        <v>17824</v>
      </c>
      <c r="D1062" s="443">
        <v>68.27</v>
      </c>
    </row>
    <row r="1063" spans="1:4" ht="47.25">
      <c r="A1063" s="216">
        <v>36496</v>
      </c>
      <c r="B1063" s="222" t="s">
        <v>18740</v>
      </c>
      <c r="C1063" s="216" t="s">
        <v>17678</v>
      </c>
      <c r="D1063" s="443">
        <v>9388.39</v>
      </c>
    </row>
    <row r="1064" spans="1:4" ht="31.5">
      <c r="A1064" s="216">
        <v>10630</v>
      </c>
      <c r="B1064" s="222" t="s">
        <v>18741</v>
      </c>
      <c r="C1064" s="216" t="s">
        <v>17678</v>
      </c>
      <c r="D1064" s="443">
        <v>835676.14</v>
      </c>
    </row>
    <row r="1065" spans="1:4" ht="31.5">
      <c r="A1065" s="216">
        <v>37762</v>
      </c>
      <c r="B1065" s="222" t="s">
        <v>18742</v>
      </c>
      <c r="C1065" s="216" t="s">
        <v>17678</v>
      </c>
      <c r="D1065" s="443">
        <v>716708.51</v>
      </c>
    </row>
    <row r="1066" spans="1:4" ht="31.5">
      <c r="A1066" s="216">
        <v>37763</v>
      </c>
      <c r="B1066" s="222" t="s">
        <v>18743</v>
      </c>
      <c r="C1066" s="216" t="s">
        <v>17678</v>
      </c>
      <c r="D1066" s="443">
        <v>725413.35</v>
      </c>
    </row>
    <row r="1067" spans="1:4" ht="31.5">
      <c r="A1067" s="216">
        <v>41992</v>
      </c>
      <c r="B1067" s="222" t="s">
        <v>18744</v>
      </c>
      <c r="C1067" s="216" t="s">
        <v>17678</v>
      </c>
      <c r="D1067" s="443">
        <v>824650</v>
      </c>
    </row>
    <row r="1068" spans="1:4" ht="31.5">
      <c r="A1068" s="216">
        <v>13215</v>
      </c>
      <c r="B1068" s="222" t="s">
        <v>18745</v>
      </c>
      <c r="C1068" s="216" t="s">
        <v>17678</v>
      </c>
      <c r="D1068" s="443">
        <v>1011226.23</v>
      </c>
    </row>
    <row r="1069" spans="1:4">
      <c r="A1069" s="216">
        <v>4235</v>
      </c>
      <c r="B1069" s="222" t="s">
        <v>18746</v>
      </c>
      <c r="C1069" s="216" t="s">
        <v>17826</v>
      </c>
      <c r="D1069" s="443">
        <v>15.81</v>
      </c>
    </row>
    <row r="1070" spans="1:4">
      <c r="A1070" s="216">
        <v>40976</v>
      </c>
      <c r="B1070" s="222" t="s">
        <v>18747</v>
      </c>
      <c r="C1070" s="216" t="s">
        <v>17828</v>
      </c>
      <c r="D1070" s="443">
        <v>2772.2</v>
      </c>
    </row>
    <row r="1071" spans="1:4" ht="31.5">
      <c r="A1071" s="216">
        <v>43091</v>
      </c>
      <c r="B1071" s="222" t="s">
        <v>18748</v>
      </c>
      <c r="C1071" s="216" t="s">
        <v>17678</v>
      </c>
      <c r="D1071" s="443">
        <v>7856.05</v>
      </c>
    </row>
    <row r="1072" spans="1:4" ht="31.5">
      <c r="A1072" s="216">
        <v>43092</v>
      </c>
      <c r="B1072" s="222" t="s">
        <v>18749</v>
      </c>
      <c r="C1072" s="216" t="s">
        <v>17678</v>
      </c>
      <c r="D1072" s="443">
        <v>10474.74</v>
      </c>
    </row>
    <row r="1073" spans="1:4" ht="31.5">
      <c r="A1073" s="216">
        <v>43089</v>
      </c>
      <c r="B1073" s="222" t="s">
        <v>18750</v>
      </c>
      <c r="C1073" s="216" t="s">
        <v>17678</v>
      </c>
      <c r="D1073" s="443">
        <v>1825.52</v>
      </c>
    </row>
    <row r="1074" spans="1:4" ht="31.5">
      <c r="A1074" s="216">
        <v>43090</v>
      </c>
      <c r="B1074" s="222" t="s">
        <v>18751</v>
      </c>
      <c r="C1074" s="216" t="s">
        <v>17678</v>
      </c>
      <c r="D1074" s="443">
        <v>4028.74</v>
      </c>
    </row>
    <row r="1075" spans="1:4">
      <c r="A1075" s="216">
        <v>41967</v>
      </c>
      <c r="B1075" s="222" t="s">
        <v>18752</v>
      </c>
      <c r="C1075" s="216" t="s">
        <v>17728</v>
      </c>
      <c r="D1075" s="443">
        <v>19.93</v>
      </c>
    </row>
    <row r="1076" spans="1:4">
      <c r="A1076" s="216">
        <v>12760</v>
      </c>
      <c r="B1076" s="222" t="s">
        <v>18753</v>
      </c>
      <c r="C1076" s="216" t="s">
        <v>18087</v>
      </c>
      <c r="D1076" s="443">
        <v>1744.5</v>
      </c>
    </row>
    <row r="1077" spans="1:4">
      <c r="A1077" s="216">
        <v>12759</v>
      </c>
      <c r="B1077" s="222" t="s">
        <v>18754</v>
      </c>
      <c r="C1077" s="216" t="s">
        <v>18087</v>
      </c>
      <c r="D1077" s="443">
        <v>1162.98</v>
      </c>
    </row>
    <row r="1078" spans="1:4" ht="31.5">
      <c r="A1078" s="216">
        <v>43105</v>
      </c>
      <c r="B1078" s="222" t="s">
        <v>18755</v>
      </c>
      <c r="C1078" s="216" t="s">
        <v>17726</v>
      </c>
      <c r="D1078" s="443">
        <v>51.4</v>
      </c>
    </row>
    <row r="1079" spans="1:4">
      <c r="A1079" s="216">
        <v>40424</v>
      </c>
      <c r="B1079" s="222" t="s">
        <v>18756</v>
      </c>
      <c r="C1079" s="216" t="s">
        <v>17726</v>
      </c>
      <c r="D1079" s="443">
        <v>13.06</v>
      </c>
    </row>
    <row r="1080" spans="1:4">
      <c r="A1080" s="216">
        <v>1325</v>
      </c>
      <c r="B1080" s="222" t="s">
        <v>18757</v>
      </c>
      <c r="C1080" s="216" t="s">
        <v>17726</v>
      </c>
      <c r="D1080" s="443">
        <v>14.3</v>
      </c>
    </row>
    <row r="1081" spans="1:4">
      <c r="A1081" s="216">
        <v>1327</v>
      </c>
      <c r="B1081" s="222" t="s">
        <v>18758</v>
      </c>
      <c r="C1081" s="216" t="s">
        <v>17726</v>
      </c>
      <c r="D1081" s="443">
        <v>15.23</v>
      </c>
    </row>
    <row r="1082" spans="1:4">
      <c r="A1082" s="216">
        <v>1328</v>
      </c>
      <c r="B1082" s="222" t="s">
        <v>18759</v>
      </c>
      <c r="C1082" s="216" t="s">
        <v>17726</v>
      </c>
      <c r="D1082" s="443">
        <v>14.34</v>
      </c>
    </row>
    <row r="1083" spans="1:4">
      <c r="A1083" s="216">
        <v>1321</v>
      </c>
      <c r="B1083" s="222" t="s">
        <v>18760</v>
      </c>
      <c r="C1083" s="216" t="s">
        <v>17726</v>
      </c>
      <c r="D1083" s="443">
        <v>13.27</v>
      </c>
    </row>
    <row r="1084" spans="1:4">
      <c r="A1084" s="216">
        <v>1318</v>
      </c>
      <c r="B1084" s="222" t="s">
        <v>18761</v>
      </c>
      <c r="C1084" s="216" t="s">
        <v>17726</v>
      </c>
      <c r="D1084" s="443">
        <v>13.29</v>
      </c>
    </row>
    <row r="1085" spans="1:4">
      <c r="A1085" s="216">
        <v>1322</v>
      </c>
      <c r="B1085" s="222" t="s">
        <v>18762</v>
      </c>
      <c r="C1085" s="216" t="s">
        <v>17726</v>
      </c>
      <c r="D1085" s="443">
        <v>14.03</v>
      </c>
    </row>
    <row r="1086" spans="1:4">
      <c r="A1086" s="216">
        <v>1323</v>
      </c>
      <c r="B1086" s="222" t="s">
        <v>18763</v>
      </c>
      <c r="C1086" s="216" t="s">
        <v>17726</v>
      </c>
      <c r="D1086" s="443">
        <v>14.03</v>
      </c>
    </row>
    <row r="1087" spans="1:4">
      <c r="A1087" s="216">
        <v>1319</v>
      </c>
      <c r="B1087" s="222" t="s">
        <v>18764</v>
      </c>
      <c r="C1087" s="216" t="s">
        <v>17726</v>
      </c>
      <c r="D1087" s="443">
        <v>11.83</v>
      </c>
    </row>
    <row r="1088" spans="1:4">
      <c r="A1088" s="216">
        <v>11026</v>
      </c>
      <c r="B1088" s="222" t="s">
        <v>18765</v>
      </c>
      <c r="C1088" s="216" t="s">
        <v>17726</v>
      </c>
      <c r="D1088" s="443">
        <v>16.27</v>
      </c>
    </row>
    <row r="1089" spans="1:4">
      <c r="A1089" s="216">
        <v>11027</v>
      </c>
      <c r="B1089" s="222" t="s">
        <v>18766</v>
      </c>
      <c r="C1089" s="216" t="s">
        <v>17726</v>
      </c>
      <c r="D1089" s="443">
        <v>16.93</v>
      </c>
    </row>
    <row r="1090" spans="1:4">
      <c r="A1090" s="216">
        <v>11046</v>
      </c>
      <c r="B1090" s="222" t="s">
        <v>18767</v>
      </c>
      <c r="C1090" s="216" t="s">
        <v>17726</v>
      </c>
      <c r="D1090" s="443">
        <v>16.22</v>
      </c>
    </row>
    <row r="1091" spans="1:4">
      <c r="A1091" s="216">
        <v>11047</v>
      </c>
      <c r="B1091" s="222" t="s">
        <v>18768</v>
      </c>
      <c r="C1091" s="216" t="s">
        <v>17726</v>
      </c>
      <c r="D1091" s="443">
        <v>17.68</v>
      </c>
    </row>
    <row r="1092" spans="1:4">
      <c r="A1092" s="216">
        <v>43668</v>
      </c>
      <c r="B1092" s="222" t="s">
        <v>18769</v>
      </c>
      <c r="C1092" s="216" t="s">
        <v>17726</v>
      </c>
      <c r="D1092" s="443">
        <v>15.6</v>
      </c>
    </row>
    <row r="1093" spans="1:4">
      <c r="A1093" s="216">
        <v>11049</v>
      </c>
      <c r="B1093" s="222" t="s">
        <v>18770</v>
      </c>
      <c r="C1093" s="216" t="s">
        <v>17726</v>
      </c>
      <c r="D1093" s="443">
        <v>16.899999999999999</v>
      </c>
    </row>
    <row r="1094" spans="1:4">
      <c r="A1094" s="216">
        <v>43106</v>
      </c>
      <c r="B1094" s="222" t="s">
        <v>18771</v>
      </c>
      <c r="C1094" s="216" t="s">
        <v>17726</v>
      </c>
      <c r="D1094" s="443">
        <v>17</v>
      </c>
    </row>
    <row r="1095" spans="1:4">
      <c r="A1095" s="216">
        <v>11051</v>
      </c>
      <c r="B1095" s="222" t="s">
        <v>18772</v>
      </c>
      <c r="C1095" s="216" t="s">
        <v>17726</v>
      </c>
      <c r="D1095" s="443">
        <v>17.739999999999998</v>
      </c>
    </row>
    <row r="1096" spans="1:4">
      <c r="A1096" s="216">
        <v>11061</v>
      </c>
      <c r="B1096" s="222" t="s">
        <v>18773</v>
      </c>
      <c r="C1096" s="216" t="s">
        <v>17726</v>
      </c>
      <c r="D1096" s="443">
        <v>21.29</v>
      </c>
    </row>
    <row r="1097" spans="1:4">
      <c r="A1097" s="216">
        <v>43667</v>
      </c>
      <c r="B1097" s="222" t="s">
        <v>18774</v>
      </c>
      <c r="C1097" s="216" t="s">
        <v>17726</v>
      </c>
      <c r="D1097" s="443">
        <v>15.47</v>
      </c>
    </row>
    <row r="1098" spans="1:4">
      <c r="A1098" s="216">
        <v>1333</v>
      </c>
      <c r="B1098" s="222" t="s">
        <v>18775</v>
      </c>
      <c r="C1098" s="216" t="s">
        <v>17726</v>
      </c>
      <c r="D1098" s="443">
        <v>12.89</v>
      </c>
    </row>
    <row r="1099" spans="1:4">
      <c r="A1099" s="216">
        <v>1330</v>
      </c>
      <c r="B1099" s="222" t="s">
        <v>18776</v>
      </c>
      <c r="C1099" s="216" t="s">
        <v>17726</v>
      </c>
      <c r="D1099" s="443">
        <v>12.77</v>
      </c>
    </row>
    <row r="1100" spans="1:4">
      <c r="A1100" s="216">
        <v>10957</v>
      </c>
      <c r="B1100" s="222" t="s">
        <v>18777</v>
      </c>
      <c r="C1100" s="216" t="s">
        <v>17726</v>
      </c>
      <c r="D1100" s="443">
        <v>14.72</v>
      </c>
    </row>
    <row r="1101" spans="1:4">
      <c r="A1101" s="216">
        <v>1332</v>
      </c>
      <c r="B1101" s="222" t="s">
        <v>18778</v>
      </c>
      <c r="C1101" s="216" t="s">
        <v>17726</v>
      </c>
      <c r="D1101" s="443">
        <v>13.09</v>
      </c>
    </row>
    <row r="1102" spans="1:4">
      <c r="A1102" s="216">
        <v>1334</v>
      </c>
      <c r="B1102" s="222" t="s">
        <v>18779</v>
      </c>
      <c r="C1102" s="216" t="s">
        <v>17726</v>
      </c>
      <c r="D1102" s="443">
        <v>14.52</v>
      </c>
    </row>
    <row r="1103" spans="1:4">
      <c r="A1103" s="216">
        <v>1335</v>
      </c>
      <c r="B1103" s="222" t="s">
        <v>18780</v>
      </c>
      <c r="C1103" s="216" t="s">
        <v>17726</v>
      </c>
      <c r="D1103" s="443">
        <v>15</v>
      </c>
    </row>
    <row r="1104" spans="1:4">
      <c r="A1104" s="216">
        <v>40425</v>
      </c>
      <c r="B1104" s="222" t="s">
        <v>18781</v>
      </c>
      <c r="C1104" s="216" t="s">
        <v>17726</v>
      </c>
      <c r="D1104" s="443">
        <v>12.84</v>
      </c>
    </row>
    <row r="1105" spans="1:4">
      <c r="A1105" s="216">
        <v>1337</v>
      </c>
      <c r="B1105" s="222" t="s">
        <v>18782</v>
      </c>
      <c r="C1105" s="216" t="s">
        <v>17726</v>
      </c>
      <c r="D1105" s="443">
        <v>14.72</v>
      </c>
    </row>
    <row r="1106" spans="1:4">
      <c r="A1106" s="216">
        <v>1338</v>
      </c>
      <c r="B1106" s="222" t="s">
        <v>18783</v>
      </c>
      <c r="C1106" s="216" t="s">
        <v>18087</v>
      </c>
      <c r="D1106" s="443">
        <v>53.57</v>
      </c>
    </row>
    <row r="1107" spans="1:4">
      <c r="A1107" s="216">
        <v>1340</v>
      </c>
      <c r="B1107" s="222" t="s">
        <v>18784</v>
      </c>
      <c r="C1107" s="216" t="s">
        <v>18087</v>
      </c>
      <c r="D1107" s="443">
        <v>61.93</v>
      </c>
    </row>
    <row r="1108" spans="1:4">
      <c r="A1108" s="216">
        <v>1341</v>
      </c>
      <c r="B1108" s="222" t="s">
        <v>18785</v>
      </c>
      <c r="C1108" s="216" t="s">
        <v>18087</v>
      </c>
      <c r="D1108" s="443">
        <v>59.65</v>
      </c>
    </row>
    <row r="1109" spans="1:4">
      <c r="A1109" s="216">
        <v>34659</v>
      </c>
      <c r="B1109" s="222" t="s">
        <v>18786</v>
      </c>
      <c r="C1109" s="216" t="s">
        <v>18087</v>
      </c>
      <c r="D1109" s="443">
        <v>39.380000000000003</v>
      </c>
    </row>
    <row r="1110" spans="1:4">
      <c r="A1110" s="216">
        <v>34514</v>
      </c>
      <c r="B1110" s="222" t="s">
        <v>18787</v>
      </c>
      <c r="C1110" s="216" t="s">
        <v>18087</v>
      </c>
      <c r="D1110" s="443">
        <v>43.62</v>
      </c>
    </row>
    <row r="1111" spans="1:4">
      <c r="A1111" s="216">
        <v>34660</v>
      </c>
      <c r="B1111" s="222" t="s">
        <v>18788</v>
      </c>
      <c r="C1111" s="216" t="s">
        <v>18087</v>
      </c>
      <c r="D1111" s="443">
        <v>55.36</v>
      </c>
    </row>
    <row r="1112" spans="1:4">
      <c r="A1112" s="216">
        <v>34661</v>
      </c>
      <c r="B1112" s="222" t="s">
        <v>18789</v>
      </c>
      <c r="C1112" s="216" t="s">
        <v>18087</v>
      </c>
      <c r="D1112" s="443">
        <v>79.510000000000005</v>
      </c>
    </row>
    <row r="1113" spans="1:4">
      <c r="A1113" s="216">
        <v>34667</v>
      </c>
      <c r="B1113" s="222" t="s">
        <v>18790</v>
      </c>
      <c r="C1113" s="216" t="s">
        <v>18087</v>
      </c>
      <c r="D1113" s="443">
        <v>28.79</v>
      </c>
    </row>
    <row r="1114" spans="1:4">
      <c r="A1114" s="216">
        <v>34668</v>
      </c>
      <c r="B1114" s="222" t="s">
        <v>18791</v>
      </c>
      <c r="C1114" s="216" t="s">
        <v>18087</v>
      </c>
      <c r="D1114" s="443">
        <v>37.619999999999997</v>
      </c>
    </row>
    <row r="1115" spans="1:4">
      <c r="A1115" s="216">
        <v>34741</v>
      </c>
      <c r="B1115" s="222" t="s">
        <v>18792</v>
      </c>
      <c r="C1115" s="216" t="s">
        <v>18087</v>
      </c>
      <c r="D1115" s="443">
        <v>41.4</v>
      </c>
    </row>
    <row r="1116" spans="1:4">
      <c r="A1116" s="216">
        <v>34664</v>
      </c>
      <c r="B1116" s="222" t="s">
        <v>18793</v>
      </c>
      <c r="C1116" s="216" t="s">
        <v>18087</v>
      </c>
      <c r="D1116" s="443">
        <v>45.18</v>
      </c>
    </row>
    <row r="1117" spans="1:4">
      <c r="A1117" s="216">
        <v>34665</v>
      </c>
      <c r="B1117" s="222" t="s">
        <v>18794</v>
      </c>
      <c r="C1117" s="216" t="s">
        <v>18087</v>
      </c>
      <c r="D1117" s="443">
        <v>56.08</v>
      </c>
    </row>
    <row r="1118" spans="1:4">
      <c r="A1118" s="216">
        <v>34666</v>
      </c>
      <c r="B1118" s="222" t="s">
        <v>18795</v>
      </c>
      <c r="C1118" s="216" t="s">
        <v>18087</v>
      </c>
      <c r="D1118" s="443">
        <v>84.71</v>
      </c>
    </row>
    <row r="1119" spans="1:4">
      <c r="A1119" s="216">
        <v>34669</v>
      </c>
      <c r="B1119" s="222" t="s">
        <v>18796</v>
      </c>
      <c r="C1119" s="216" t="s">
        <v>18087</v>
      </c>
      <c r="D1119" s="443">
        <v>31.06</v>
      </c>
    </row>
    <row r="1120" spans="1:4">
      <c r="A1120" s="216">
        <v>34670</v>
      </c>
      <c r="B1120" s="222" t="s">
        <v>18797</v>
      </c>
      <c r="C1120" s="216" t="s">
        <v>18087</v>
      </c>
      <c r="D1120" s="443">
        <v>37.99</v>
      </c>
    </row>
    <row r="1121" spans="1:4">
      <c r="A1121" s="216">
        <v>34671</v>
      </c>
      <c r="B1121" s="222" t="s">
        <v>18798</v>
      </c>
      <c r="C1121" s="216" t="s">
        <v>18087</v>
      </c>
      <c r="D1121" s="443">
        <v>31.71</v>
      </c>
    </row>
    <row r="1122" spans="1:4">
      <c r="A1122" s="216">
        <v>34672</v>
      </c>
      <c r="B1122" s="222" t="s">
        <v>18799</v>
      </c>
      <c r="C1122" s="216" t="s">
        <v>18087</v>
      </c>
      <c r="D1122" s="443">
        <v>33.43</v>
      </c>
    </row>
    <row r="1123" spans="1:4">
      <c r="A1123" s="216">
        <v>34673</v>
      </c>
      <c r="B1123" s="222" t="s">
        <v>18800</v>
      </c>
      <c r="C1123" s="216" t="s">
        <v>18087</v>
      </c>
      <c r="D1123" s="443">
        <v>40.799999999999997</v>
      </c>
    </row>
    <row r="1124" spans="1:4">
      <c r="A1124" s="216">
        <v>34674</v>
      </c>
      <c r="B1124" s="222" t="s">
        <v>18801</v>
      </c>
      <c r="C1124" s="216" t="s">
        <v>18087</v>
      </c>
      <c r="D1124" s="443">
        <v>54.24</v>
      </c>
    </row>
    <row r="1125" spans="1:4">
      <c r="A1125" s="216">
        <v>34675</v>
      </c>
      <c r="B1125" s="222" t="s">
        <v>18802</v>
      </c>
      <c r="C1125" s="216" t="s">
        <v>18087</v>
      </c>
      <c r="D1125" s="443">
        <v>66.13</v>
      </c>
    </row>
    <row r="1126" spans="1:4">
      <c r="A1126" s="216">
        <v>34676</v>
      </c>
      <c r="B1126" s="222" t="s">
        <v>18803</v>
      </c>
      <c r="C1126" s="216" t="s">
        <v>18087</v>
      </c>
      <c r="D1126" s="443">
        <v>19.04</v>
      </c>
    </row>
    <row r="1127" spans="1:4">
      <c r="A1127" s="216">
        <v>34677</v>
      </c>
      <c r="B1127" s="222" t="s">
        <v>18804</v>
      </c>
      <c r="C1127" s="216" t="s">
        <v>18087</v>
      </c>
      <c r="D1127" s="443">
        <v>25.59</v>
      </c>
    </row>
    <row r="1128" spans="1:4" ht="31.5">
      <c r="A1128" s="216">
        <v>43126</v>
      </c>
      <c r="B1128" s="222" t="s">
        <v>18805</v>
      </c>
      <c r="C1128" s="216" t="s">
        <v>18087</v>
      </c>
      <c r="D1128" s="443">
        <v>123.59</v>
      </c>
    </row>
    <row r="1129" spans="1:4" ht="31.5">
      <c r="A1129" s="216">
        <v>43124</v>
      </c>
      <c r="B1129" s="222" t="s">
        <v>18806</v>
      </c>
      <c r="C1129" s="216" t="s">
        <v>18087</v>
      </c>
      <c r="D1129" s="443">
        <v>144.31</v>
      </c>
    </row>
    <row r="1130" spans="1:4" ht="31.5">
      <c r="A1130" s="216">
        <v>43125</v>
      </c>
      <c r="B1130" s="222" t="s">
        <v>18807</v>
      </c>
      <c r="C1130" s="216" t="s">
        <v>18087</v>
      </c>
      <c r="D1130" s="443">
        <v>187.15</v>
      </c>
    </row>
    <row r="1131" spans="1:4" ht="31.5">
      <c r="A1131" s="216">
        <v>40623</v>
      </c>
      <c r="B1131" s="222" t="s">
        <v>18808</v>
      </c>
      <c r="C1131" s="216" t="s">
        <v>18101</v>
      </c>
      <c r="D1131" s="443">
        <v>143.34</v>
      </c>
    </row>
    <row r="1132" spans="1:4">
      <c r="A1132" s="216">
        <v>43701</v>
      </c>
      <c r="B1132" s="222" t="s">
        <v>18809</v>
      </c>
      <c r="C1132" s="216" t="s">
        <v>17726</v>
      </c>
      <c r="D1132" s="443">
        <v>46.93</v>
      </c>
    </row>
    <row r="1133" spans="1:4" ht="31.5">
      <c r="A1133" s="216">
        <v>1345</v>
      </c>
      <c r="B1133" s="222" t="s">
        <v>18810</v>
      </c>
      <c r="C1133" s="216" t="s">
        <v>18087</v>
      </c>
      <c r="D1133" s="443">
        <v>80.23</v>
      </c>
    </row>
    <row r="1134" spans="1:4" ht="31.5">
      <c r="A1134" s="216">
        <v>1346</v>
      </c>
      <c r="B1134" s="222" t="s">
        <v>18811</v>
      </c>
      <c r="C1134" s="216" t="s">
        <v>18087</v>
      </c>
      <c r="D1134" s="443">
        <v>46.67</v>
      </c>
    </row>
    <row r="1135" spans="1:4" ht="31.5">
      <c r="A1135" s="216">
        <v>1347</v>
      </c>
      <c r="B1135" s="222" t="s">
        <v>18812</v>
      </c>
      <c r="C1135" s="216" t="s">
        <v>18087</v>
      </c>
      <c r="D1135" s="443">
        <v>57.83</v>
      </c>
    </row>
    <row r="1136" spans="1:4" ht="31.5">
      <c r="A1136" s="216">
        <v>43678</v>
      </c>
      <c r="B1136" s="222" t="s">
        <v>18813</v>
      </c>
      <c r="C1136" s="216" t="s">
        <v>18087</v>
      </c>
      <c r="D1136" s="443">
        <v>67.08</v>
      </c>
    </row>
    <row r="1137" spans="1:4" ht="31.5">
      <c r="A1137" s="216">
        <v>43680</v>
      </c>
      <c r="B1137" s="222" t="s">
        <v>18814</v>
      </c>
      <c r="C1137" s="216" t="s">
        <v>18087</v>
      </c>
      <c r="D1137" s="443">
        <v>96.63</v>
      </c>
    </row>
    <row r="1138" spans="1:4" ht="31.5">
      <c r="A1138" s="216">
        <v>43679</v>
      </c>
      <c r="B1138" s="222" t="s">
        <v>18815</v>
      </c>
      <c r="C1138" s="216" t="s">
        <v>18087</v>
      </c>
      <c r="D1138" s="443">
        <v>33.909999999999997</v>
      </c>
    </row>
    <row r="1139" spans="1:4" ht="31.5">
      <c r="A1139" s="216">
        <v>1355</v>
      </c>
      <c r="B1139" s="222" t="s">
        <v>18816</v>
      </c>
      <c r="C1139" s="216" t="s">
        <v>18087</v>
      </c>
      <c r="D1139" s="443">
        <v>38.590000000000003</v>
      </c>
    </row>
    <row r="1140" spans="1:4" ht="31.5">
      <c r="A1140" s="216">
        <v>1358</v>
      </c>
      <c r="B1140" s="222" t="s">
        <v>18817</v>
      </c>
      <c r="C1140" s="216" t="s">
        <v>18087</v>
      </c>
      <c r="D1140" s="443">
        <v>47.38</v>
      </c>
    </row>
    <row r="1141" spans="1:4" ht="31.5">
      <c r="A1141" s="216">
        <v>43681</v>
      </c>
      <c r="B1141" s="222" t="s">
        <v>18818</v>
      </c>
      <c r="C1141" s="216" t="s">
        <v>18087</v>
      </c>
      <c r="D1141" s="443">
        <v>29.85</v>
      </c>
    </row>
    <row r="1142" spans="1:4" ht="31.5">
      <c r="A1142" s="216">
        <v>43677</v>
      </c>
      <c r="B1142" s="222" t="s">
        <v>18819</v>
      </c>
      <c r="C1142" s="216" t="s">
        <v>18087</v>
      </c>
      <c r="D1142" s="443">
        <v>58.78</v>
      </c>
    </row>
    <row r="1143" spans="1:4" ht="31.5">
      <c r="A1143" s="216">
        <v>43682</v>
      </c>
      <c r="B1143" s="222" t="s">
        <v>18820</v>
      </c>
      <c r="C1143" s="216" t="s">
        <v>18087</v>
      </c>
      <c r="D1143" s="443">
        <v>18.02</v>
      </c>
    </row>
    <row r="1144" spans="1:4" ht="31.5">
      <c r="A1144" s="216">
        <v>20971</v>
      </c>
      <c r="B1144" s="222" t="s">
        <v>18821</v>
      </c>
      <c r="C1144" s="216" t="s">
        <v>17678</v>
      </c>
      <c r="D1144" s="443">
        <v>23.8</v>
      </c>
    </row>
    <row r="1145" spans="1:4">
      <c r="A1145" s="216">
        <v>13279</v>
      </c>
      <c r="B1145" s="222" t="s">
        <v>18822</v>
      </c>
      <c r="C1145" s="216" t="s">
        <v>17726</v>
      </c>
      <c r="D1145" s="443">
        <v>19.13</v>
      </c>
    </row>
    <row r="1146" spans="1:4">
      <c r="A1146" s="216">
        <v>11977</v>
      </c>
      <c r="B1146" s="222" t="s">
        <v>18823</v>
      </c>
      <c r="C1146" s="216" t="s">
        <v>17678</v>
      </c>
      <c r="D1146" s="443">
        <v>9.91</v>
      </c>
    </row>
    <row r="1147" spans="1:4">
      <c r="A1147" s="216">
        <v>11975</v>
      </c>
      <c r="B1147" s="222" t="s">
        <v>18824</v>
      </c>
      <c r="C1147" s="216" t="s">
        <v>17678</v>
      </c>
      <c r="D1147" s="443">
        <v>21.72</v>
      </c>
    </row>
    <row r="1148" spans="1:4">
      <c r="A1148" s="216">
        <v>39746</v>
      </c>
      <c r="B1148" s="222" t="s">
        <v>18825</v>
      </c>
      <c r="C1148" s="216" t="s">
        <v>17678</v>
      </c>
      <c r="D1148" s="443">
        <v>241.69</v>
      </c>
    </row>
    <row r="1149" spans="1:4">
      <c r="A1149" s="216">
        <v>11976</v>
      </c>
      <c r="B1149" s="222" t="s">
        <v>18826</v>
      </c>
      <c r="C1149" s="216" t="s">
        <v>17678</v>
      </c>
      <c r="D1149" s="443">
        <v>1.1100000000000001</v>
      </c>
    </row>
    <row r="1150" spans="1:4">
      <c r="A1150" s="216">
        <v>1368</v>
      </c>
      <c r="B1150" s="222" t="s">
        <v>18827</v>
      </c>
      <c r="C1150" s="216" t="s">
        <v>17678</v>
      </c>
      <c r="D1150" s="443">
        <v>78.180000000000007</v>
      </c>
    </row>
    <row r="1151" spans="1:4">
      <c r="A1151" s="216">
        <v>1367</v>
      </c>
      <c r="B1151" s="222" t="s">
        <v>18828</v>
      </c>
      <c r="C1151" s="216" t="s">
        <v>17678</v>
      </c>
      <c r="D1151" s="443">
        <v>252.89</v>
      </c>
    </row>
    <row r="1152" spans="1:4">
      <c r="A1152" s="216">
        <v>1380</v>
      </c>
      <c r="B1152" s="222" t="s">
        <v>18829</v>
      </c>
      <c r="C1152" s="216" t="s">
        <v>17726</v>
      </c>
      <c r="D1152" s="443">
        <v>2.0699999999999998</v>
      </c>
    </row>
    <row r="1153" spans="1:4">
      <c r="A1153" s="216">
        <v>1375</v>
      </c>
      <c r="B1153" s="222" t="s">
        <v>18830</v>
      </c>
      <c r="C1153" s="216" t="s">
        <v>17726</v>
      </c>
      <c r="D1153" s="443">
        <v>16.46</v>
      </c>
    </row>
    <row r="1154" spans="1:4">
      <c r="A1154" s="216">
        <v>1379</v>
      </c>
      <c r="B1154" s="222" t="s">
        <v>18831</v>
      </c>
      <c r="C1154" s="216" t="s">
        <v>17726</v>
      </c>
      <c r="D1154" s="443">
        <v>0.66</v>
      </c>
    </row>
    <row r="1155" spans="1:4">
      <c r="A1155" s="216">
        <v>13284</v>
      </c>
      <c r="B1155" s="222" t="s">
        <v>18832</v>
      </c>
      <c r="C1155" s="216" t="s">
        <v>17726</v>
      </c>
      <c r="D1155" s="443">
        <v>0.66</v>
      </c>
    </row>
    <row r="1156" spans="1:4">
      <c r="A1156" s="216">
        <v>44528</v>
      </c>
      <c r="B1156" s="222" t="s">
        <v>18833</v>
      </c>
      <c r="C1156" s="216" t="s">
        <v>17726</v>
      </c>
      <c r="D1156" s="443">
        <v>2.4900000000000002</v>
      </c>
    </row>
    <row r="1157" spans="1:4">
      <c r="A1157" s="216">
        <v>34753</v>
      </c>
      <c r="B1157" s="222" t="s">
        <v>18834</v>
      </c>
      <c r="C1157" s="216" t="s">
        <v>17726</v>
      </c>
      <c r="D1157" s="443">
        <v>0.72</v>
      </c>
    </row>
    <row r="1158" spans="1:4" ht="31.5">
      <c r="A1158" s="216">
        <v>420</v>
      </c>
      <c r="B1158" s="222" t="s">
        <v>18835</v>
      </c>
      <c r="C1158" s="216" t="s">
        <v>17678</v>
      </c>
      <c r="D1158" s="443">
        <v>16.23</v>
      </c>
    </row>
    <row r="1159" spans="1:4" ht="31.5">
      <c r="A1159" s="216">
        <v>12327</v>
      </c>
      <c r="B1159" s="222" t="s">
        <v>18836</v>
      </c>
      <c r="C1159" s="216" t="s">
        <v>17678</v>
      </c>
      <c r="D1159" s="443">
        <v>19.329999999999998</v>
      </c>
    </row>
    <row r="1160" spans="1:4">
      <c r="A1160" s="216">
        <v>36148</v>
      </c>
      <c r="B1160" s="222" t="s">
        <v>18837</v>
      </c>
      <c r="C1160" s="216" t="s">
        <v>17678</v>
      </c>
      <c r="D1160" s="443">
        <v>64.510000000000005</v>
      </c>
    </row>
    <row r="1161" spans="1:4">
      <c r="A1161" s="216">
        <v>12329</v>
      </c>
      <c r="B1161" s="222" t="s">
        <v>18838</v>
      </c>
      <c r="C1161" s="216" t="s">
        <v>17726</v>
      </c>
      <c r="D1161" s="443">
        <v>123.67</v>
      </c>
    </row>
    <row r="1162" spans="1:4">
      <c r="A1162" s="216">
        <v>1339</v>
      </c>
      <c r="B1162" s="222" t="s">
        <v>18839</v>
      </c>
      <c r="C1162" s="216" t="s">
        <v>17726</v>
      </c>
      <c r="D1162" s="443">
        <v>53.71</v>
      </c>
    </row>
    <row r="1163" spans="1:4">
      <c r="A1163" s="216">
        <v>44396</v>
      </c>
      <c r="B1163" s="222" t="s">
        <v>18840</v>
      </c>
      <c r="C1163" s="216" t="s">
        <v>17726</v>
      </c>
      <c r="D1163" s="443">
        <v>39.479999999999997</v>
      </c>
    </row>
    <row r="1164" spans="1:4">
      <c r="A1164" s="216">
        <v>44327</v>
      </c>
      <c r="B1164" s="222" t="s">
        <v>18841</v>
      </c>
      <c r="C1164" s="216" t="s">
        <v>17728</v>
      </c>
      <c r="D1164" s="443">
        <v>134.29</v>
      </c>
    </row>
    <row r="1165" spans="1:4">
      <c r="A1165" s="216">
        <v>37418</v>
      </c>
      <c r="B1165" s="222" t="s">
        <v>18842</v>
      </c>
      <c r="C1165" s="216" t="s">
        <v>17678</v>
      </c>
      <c r="D1165" s="443">
        <v>19.34</v>
      </c>
    </row>
    <row r="1166" spans="1:4">
      <c r="A1166" s="216">
        <v>37419</v>
      </c>
      <c r="B1166" s="222" t="s">
        <v>18843</v>
      </c>
      <c r="C1166" s="216" t="s">
        <v>17678</v>
      </c>
      <c r="D1166" s="443">
        <v>19.86</v>
      </c>
    </row>
    <row r="1167" spans="1:4" ht="31.5">
      <c r="A1167" s="216">
        <v>1427</v>
      </c>
      <c r="B1167" s="222" t="s">
        <v>18844</v>
      </c>
      <c r="C1167" s="216" t="s">
        <v>17678</v>
      </c>
      <c r="D1167" s="443">
        <v>21.34</v>
      </c>
    </row>
    <row r="1168" spans="1:4" ht="31.5">
      <c r="A1168" s="216">
        <v>1402</v>
      </c>
      <c r="B1168" s="222" t="s">
        <v>18845</v>
      </c>
      <c r="C1168" s="216" t="s">
        <v>17678</v>
      </c>
      <c r="D1168" s="443">
        <v>7.39</v>
      </c>
    </row>
    <row r="1169" spans="1:4" ht="31.5">
      <c r="A1169" s="216">
        <v>1420</v>
      </c>
      <c r="B1169" s="222" t="s">
        <v>18846</v>
      </c>
      <c r="C1169" s="216" t="s">
        <v>17678</v>
      </c>
      <c r="D1169" s="443">
        <v>9.5</v>
      </c>
    </row>
    <row r="1170" spans="1:4" ht="31.5">
      <c r="A1170" s="216">
        <v>1419</v>
      </c>
      <c r="B1170" s="222" t="s">
        <v>18847</v>
      </c>
      <c r="C1170" s="216" t="s">
        <v>17678</v>
      </c>
      <c r="D1170" s="443">
        <v>11.47</v>
      </c>
    </row>
    <row r="1171" spans="1:4" ht="31.5">
      <c r="A1171" s="216">
        <v>1414</v>
      </c>
      <c r="B1171" s="222" t="s">
        <v>18848</v>
      </c>
      <c r="C1171" s="216" t="s">
        <v>17678</v>
      </c>
      <c r="D1171" s="443">
        <v>11.22</v>
      </c>
    </row>
    <row r="1172" spans="1:4" ht="31.5">
      <c r="A1172" s="216">
        <v>1413</v>
      </c>
      <c r="B1172" s="222" t="s">
        <v>18849</v>
      </c>
      <c r="C1172" s="216" t="s">
        <v>17678</v>
      </c>
      <c r="D1172" s="443">
        <v>16.579999999999998</v>
      </c>
    </row>
    <row r="1173" spans="1:4" ht="31.5">
      <c r="A1173" s="216">
        <v>1412</v>
      </c>
      <c r="B1173" s="222" t="s">
        <v>18850</v>
      </c>
      <c r="C1173" s="216" t="s">
        <v>17678</v>
      </c>
      <c r="D1173" s="443">
        <v>14.05</v>
      </c>
    </row>
    <row r="1174" spans="1:4" ht="31.5">
      <c r="A1174" s="216">
        <v>1406</v>
      </c>
      <c r="B1174" s="222" t="s">
        <v>18851</v>
      </c>
      <c r="C1174" s="216" t="s">
        <v>17678</v>
      </c>
      <c r="D1174" s="443">
        <v>16.95</v>
      </c>
    </row>
    <row r="1175" spans="1:4" ht="47.25">
      <c r="A1175" s="216">
        <v>11281</v>
      </c>
      <c r="B1175" s="222" t="s">
        <v>18852</v>
      </c>
      <c r="C1175" s="216" t="s">
        <v>17678</v>
      </c>
      <c r="D1175" s="443">
        <v>11299.9</v>
      </c>
    </row>
    <row r="1176" spans="1:4" ht="47.25">
      <c r="A1176" s="216">
        <v>1442</v>
      </c>
      <c r="B1176" s="222" t="s">
        <v>18853</v>
      </c>
      <c r="C1176" s="216" t="s">
        <v>17678</v>
      </c>
      <c r="D1176" s="443">
        <v>9486.18</v>
      </c>
    </row>
    <row r="1177" spans="1:4" ht="47.25">
      <c r="A1177" s="216">
        <v>13457</v>
      </c>
      <c r="B1177" s="222" t="s">
        <v>18854</v>
      </c>
      <c r="C1177" s="216" t="s">
        <v>17678</v>
      </c>
      <c r="D1177" s="443">
        <v>8188.33</v>
      </c>
    </row>
    <row r="1178" spans="1:4" ht="63">
      <c r="A1178" s="216">
        <v>40699</v>
      </c>
      <c r="B1178" s="222" t="s">
        <v>18855</v>
      </c>
      <c r="C1178" s="216" t="s">
        <v>17678</v>
      </c>
      <c r="D1178" s="443">
        <v>6329.89</v>
      </c>
    </row>
    <row r="1179" spans="1:4" ht="63">
      <c r="A1179" s="216">
        <v>40701</v>
      </c>
      <c r="B1179" s="222" t="s">
        <v>18856</v>
      </c>
      <c r="C1179" s="216" t="s">
        <v>17678</v>
      </c>
      <c r="D1179" s="443">
        <v>111921.16</v>
      </c>
    </row>
    <row r="1180" spans="1:4" ht="63">
      <c r="A1180" s="216">
        <v>40700</v>
      </c>
      <c r="B1180" s="222" t="s">
        <v>18857</v>
      </c>
      <c r="C1180" s="216" t="s">
        <v>17678</v>
      </c>
      <c r="D1180" s="443">
        <v>14735.16</v>
      </c>
    </row>
    <row r="1181" spans="1:4">
      <c r="A1181" s="216">
        <v>13458</v>
      </c>
      <c r="B1181" s="222" t="s">
        <v>18858</v>
      </c>
      <c r="C1181" s="216" t="s">
        <v>17678</v>
      </c>
      <c r="D1181" s="443">
        <v>14002.04</v>
      </c>
    </row>
    <row r="1182" spans="1:4">
      <c r="A1182" s="216">
        <v>11134</v>
      </c>
      <c r="B1182" s="222" t="s">
        <v>18859</v>
      </c>
      <c r="C1182" s="216" t="s">
        <v>18087</v>
      </c>
      <c r="D1182" s="443">
        <v>66.48</v>
      </c>
    </row>
    <row r="1183" spans="1:4">
      <c r="A1183" s="216">
        <v>11135</v>
      </c>
      <c r="B1183" s="222" t="s">
        <v>18860</v>
      </c>
      <c r="C1183" s="216" t="s">
        <v>18087</v>
      </c>
      <c r="D1183" s="443">
        <v>71.78</v>
      </c>
    </row>
    <row r="1184" spans="1:4">
      <c r="A1184" s="216">
        <v>11136</v>
      </c>
      <c r="B1184" s="222" t="s">
        <v>18861</v>
      </c>
      <c r="C1184" s="216" t="s">
        <v>18087</v>
      </c>
      <c r="D1184" s="443">
        <v>82.19</v>
      </c>
    </row>
    <row r="1185" spans="1:4">
      <c r="A1185" s="216">
        <v>34743</v>
      </c>
      <c r="B1185" s="222" t="s">
        <v>18862</v>
      </c>
      <c r="C1185" s="216" t="s">
        <v>18087</v>
      </c>
      <c r="D1185" s="443">
        <v>99.17</v>
      </c>
    </row>
    <row r="1186" spans="1:4">
      <c r="A1186" s="216">
        <v>11137</v>
      </c>
      <c r="B1186" s="222" t="s">
        <v>18863</v>
      </c>
      <c r="C1186" s="216" t="s">
        <v>18087</v>
      </c>
      <c r="D1186" s="443">
        <v>112.64</v>
      </c>
    </row>
    <row r="1187" spans="1:4">
      <c r="A1187" s="216">
        <v>34745</v>
      </c>
      <c r="B1187" s="222" t="s">
        <v>18864</v>
      </c>
      <c r="C1187" s="216" t="s">
        <v>18087</v>
      </c>
      <c r="D1187" s="443">
        <v>133.94999999999999</v>
      </c>
    </row>
    <row r="1188" spans="1:4">
      <c r="A1188" s="216">
        <v>34746</v>
      </c>
      <c r="B1188" s="222" t="s">
        <v>18865</v>
      </c>
      <c r="C1188" s="216" t="s">
        <v>18087</v>
      </c>
      <c r="D1188" s="443">
        <v>36.53</v>
      </c>
    </row>
    <row r="1189" spans="1:4">
      <c r="A1189" s="216">
        <v>1360</v>
      </c>
      <c r="B1189" s="222" t="s">
        <v>18866</v>
      </c>
      <c r="C1189" s="216" t="s">
        <v>18087</v>
      </c>
      <c r="D1189" s="443">
        <v>42.62</v>
      </c>
    </row>
    <row r="1190" spans="1:4" ht="31.5">
      <c r="A1190" s="216">
        <v>36524</v>
      </c>
      <c r="B1190" s="222" t="s">
        <v>18867</v>
      </c>
      <c r="C1190" s="216" t="s">
        <v>17678</v>
      </c>
      <c r="D1190" s="443">
        <v>187749.54</v>
      </c>
    </row>
    <row r="1191" spans="1:4" ht="31.5">
      <c r="A1191" s="216">
        <v>36526</v>
      </c>
      <c r="B1191" s="222" t="s">
        <v>18868</v>
      </c>
      <c r="C1191" s="216" t="s">
        <v>17678</v>
      </c>
      <c r="D1191" s="443">
        <v>151296.23000000001</v>
      </c>
    </row>
    <row r="1192" spans="1:4" ht="31.5">
      <c r="A1192" s="216">
        <v>36523</v>
      </c>
      <c r="B1192" s="222" t="s">
        <v>18869</v>
      </c>
      <c r="C1192" s="216" t="s">
        <v>17678</v>
      </c>
      <c r="D1192" s="443">
        <v>323904.81</v>
      </c>
    </row>
    <row r="1193" spans="1:4" ht="31.5">
      <c r="A1193" s="216">
        <v>36527</v>
      </c>
      <c r="B1193" s="222" t="s">
        <v>18870</v>
      </c>
      <c r="C1193" s="216" t="s">
        <v>17678</v>
      </c>
      <c r="D1193" s="443">
        <v>351827.34</v>
      </c>
    </row>
    <row r="1194" spans="1:4" ht="31.5">
      <c r="A1194" s="216">
        <v>13803</v>
      </c>
      <c r="B1194" s="222" t="s">
        <v>18871</v>
      </c>
      <c r="C1194" s="216" t="s">
        <v>17678</v>
      </c>
      <c r="D1194" s="443">
        <v>127217.7</v>
      </c>
    </row>
    <row r="1195" spans="1:4" ht="31.5">
      <c r="A1195" s="216">
        <v>38642</v>
      </c>
      <c r="B1195" s="222" t="s">
        <v>18872</v>
      </c>
      <c r="C1195" s="216" t="s">
        <v>17678</v>
      </c>
      <c r="D1195" s="443">
        <v>81914.429999999993</v>
      </c>
    </row>
    <row r="1196" spans="1:4" ht="31.5">
      <c r="A1196" s="216">
        <v>36522</v>
      </c>
      <c r="B1196" s="222" t="s">
        <v>18873</v>
      </c>
      <c r="C1196" s="216" t="s">
        <v>17678</v>
      </c>
      <c r="D1196" s="443">
        <v>95265.51</v>
      </c>
    </row>
    <row r="1197" spans="1:4" ht="31.5">
      <c r="A1197" s="216">
        <v>36525</v>
      </c>
      <c r="B1197" s="222" t="s">
        <v>18874</v>
      </c>
      <c r="C1197" s="216" t="s">
        <v>17678</v>
      </c>
      <c r="D1197" s="443">
        <v>127582.76</v>
      </c>
    </row>
    <row r="1198" spans="1:4">
      <c r="A1198" s="216">
        <v>34348</v>
      </c>
      <c r="B1198" s="222" t="s">
        <v>18875</v>
      </c>
      <c r="C1198" s="216" t="s">
        <v>17722</v>
      </c>
      <c r="D1198" s="443">
        <v>27.47</v>
      </c>
    </row>
    <row r="1199" spans="1:4">
      <c r="A1199" s="216">
        <v>34347</v>
      </c>
      <c r="B1199" s="222" t="s">
        <v>18876</v>
      </c>
      <c r="C1199" s="216" t="s">
        <v>17722</v>
      </c>
      <c r="D1199" s="443">
        <v>19.64</v>
      </c>
    </row>
    <row r="1200" spans="1:4" ht="31.5">
      <c r="A1200" s="216">
        <v>11146</v>
      </c>
      <c r="B1200" s="222" t="s">
        <v>18877</v>
      </c>
      <c r="C1200" s="216" t="s">
        <v>17824</v>
      </c>
      <c r="D1200" s="443">
        <v>461.35</v>
      </c>
    </row>
    <row r="1201" spans="1:4" ht="31.5">
      <c r="A1201" s="216">
        <v>11147</v>
      </c>
      <c r="B1201" s="222" t="s">
        <v>18878</v>
      </c>
      <c r="C1201" s="216" t="s">
        <v>17824</v>
      </c>
      <c r="D1201" s="443">
        <v>479.4</v>
      </c>
    </row>
    <row r="1202" spans="1:4" ht="31.5">
      <c r="A1202" s="216">
        <v>34872</v>
      </c>
      <c r="B1202" s="222" t="s">
        <v>18879</v>
      </c>
      <c r="C1202" s="216" t="s">
        <v>17824</v>
      </c>
      <c r="D1202" s="443">
        <v>484.79</v>
      </c>
    </row>
    <row r="1203" spans="1:4" ht="31.5">
      <c r="A1203" s="216">
        <v>34491</v>
      </c>
      <c r="B1203" s="222" t="s">
        <v>18880</v>
      </c>
      <c r="C1203" s="216" t="s">
        <v>17824</v>
      </c>
      <c r="D1203" s="443">
        <v>498.84</v>
      </c>
    </row>
    <row r="1204" spans="1:4" ht="31.5">
      <c r="A1204" s="216">
        <v>34770</v>
      </c>
      <c r="B1204" s="222" t="s">
        <v>18881</v>
      </c>
      <c r="C1204" s="216" t="s">
        <v>18736</v>
      </c>
      <c r="D1204" s="443">
        <v>470.82</v>
      </c>
    </row>
    <row r="1205" spans="1:4" ht="31.5">
      <c r="A1205" s="216">
        <v>1518</v>
      </c>
      <c r="B1205" s="222" t="s">
        <v>18882</v>
      </c>
      <c r="C1205" s="216" t="s">
        <v>18736</v>
      </c>
      <c r="D1205" s="443">
        <v>480</v>
      </c>
    </row>
    <row r="1206" spans="1:4" ht="31.5">
      <c r="A1206" s="216">
        <v>41965</v>
      </c>
      <c r="B1206" s="222" t="s">
        <v>18883</v>
      </c>
      <c r="C1206" s="216" t="s">
        <v>18736</v>
      </c>
      <c r="D1206" s="443">
        <v>420.88</v>
      </c>
    </row>
    <row r="1207" spans="1:4" ht="31.5">
      <c r="A1207" s="216">
        <v>34492</v>
      </c>
      <c r="B1207" s="222" t="s">
        <v>18884</v>
      </c>
      <c r="C1207" s="216" t="s">
        <v>17824</v>
      </c>
      <c r="D1207" s="443">
        <v>410</v>
      </c>
    </row>
    <row r="1208" spans="1:4" ht="31.5">
      <c r="A1208" s="216">
        <v>1524</v>
      </c>
      <c r="B1208" s="222" t="s">
        <v>18885</v>
      </c>
      <c r="C1208" s="216" t="s">
        <v>17824</v>
      </c>
      <c r="D1208" s="443">
        <v>442.63</v>
      </c>
    </row>
    <row r="1209" spans="1:4" ht="31.5">
      <c r="A1209" s="216">
        <v>38404</v>
      </c>
      <c r="B1209" s="222" t="s">
        <v>18886</v>
      </c>
      <c r="C1209" s="216" t="s">
        <v>17824</v>
      </c>
      <c r="D1209" s="443">
        <v>424.68</v>
      </c>
    </row>
    <row r="1210" spans="1:4" ht="31.5">
      <c r="A1210" s="216">
        <v>39849</v>
      </c>
      <c r="B1210" s="222" t="s">
        <v>18887</v>
      </c>
      <c r="C1210" s="216" t="s">
        <v>17824</v>
      </c>
      <c r="D1210" s="443">
        <v>486.68</v>
      </c>
    </row>
    <row r="1211" spans="1:4" ht="31.5">
      <c r="A1211" s="216">
        <v>38464</v>
      </c>
      <c r="B1211" s="222" t="s">
        <v>18888</v>
      </c>
      <c r="C1211" s="216" t="s">
        <v>17824</v>
      </c>
      <c r="D1211" s="443">
        <v>493.75</v>
      </c>
    </row>
    <row r="1212" spans="1:4" ht="31.5">
      <c r="A1212" s="216">
        <v>34493</v>
      </c>
      <c r="B1212" s="222" t="s">
        <v>18889</v>
      </c>
      <c r="C1212" s="216" t="s">
        <v>17824</v>
      </c>
      <c r="D1212" s="443">
        <v>421.55</v>
      </c>
    </row>
    <row r="1213" spans="1:4" ht="31.5">
      <c r="A1213" s="216">
        <v>1527</v>
      </c>
      <c r="B1213" s="222" t="s">
        <v>18890</v>
      </c>
      <c r="C1213" s="216" t="s">
        <v>17824</v>
      </c>
      <c r="D1213" s="443">
        <v>456.68</v>
      </c>
    </row>
    <row r="1214" spans="1:4" ht="31.5">
      <c r="A1214" s="216">
        <v>38405</v>
      </c>
      <c r="B1214" s="222" t="s">
        <v>18891</v>
      </c>
      <c r="C1214" s="216" t="s">
        <v>17824</v>
      </c>
      <c r="D1214" s="443">
        <v>437.77</v>
      </c>
    </row>
    <row r="1215" spans="1:4" ht="31.5">
      <c r="A1215" s="216">
        <v>38408</v>
      </c>
      <c r="B1215" s="222" t="s">
        <v>18892</v>
      </c>
      <c r="C1215" s="216" t="s">
        <v>17824</v>
      </c>
      <c r="D1215" s="443">
        <v>484.57</v>
      </c>
    </row>
    <row r="1216" spans="1:4" ht="31.5">
      <c r="A1216" s="216">
        <v>34494</v>
      </c>
      <c r="B1216" s="222" t="s">
        <v>18893</v>
      </c>
      <c r="C1216" s="216" t="s">
        <v>17824</v>
      </c>
      <c r="D1216" s="443">
        <v>435.61</v>
      </c>
    </row>
    <row r="1217" spans="1:4" ht="31.5">
      <c r="A1217" s="216">
        <v>1525</v>
      </c>
      <c r="B1217" s="222" t="s">
        <v>18894</v>
      </c>
      <c r="C1217" s="216" t="s">
        <v>17824</v>
      </c>
      <c r="D1217" s="443">
        <v>470.73</v>
      </c>
    </row>
    <row r="1218" spans="1:4" ht="31.5">
      <c r="A1218" s="216">
        <v>38406</v>
      </c>
      <c r="B1218" s="222" t="s">
        <v>18895</v>
      </c>
      <c r="C1218" s="216" t="s">
        <v>17824</v>
      </c>
      <c r="D1218" s="443">
        <v>462.26</v>
      </c>
    </row>
    <row r="1219" spans="1:4" ht="31.5">
      <c r="A1219" s="216">
        <v>38409</v>
      </c>
      <c r="B1219" s="222" t="s">
        <v>18896</v>
      </c>
      <c r="C1219" s="216" t="s">
        <v>17824</v>
      </c>
      <c r="D1219" s="443">
        <v>487.88</v>
      </c>
    </row>
    <row r="1220" spans="1:4" ht="31.5">
      <c r="A1220" s="216">
        <v>43360</v>
      </c>
      <c r="B1220" s="222" t="s">
        <v>18897</v>
      </c>
      <c r="C1220" s="216" t="s">
        <v>17824</v>
      </c>
      <c r="D1220" s="443">
        <v>508.72</v>
      </c>
    </row>
    <row r="1221" spans="1:4" ht="31.5">
      <c r="A1221" s="216">
        <v>34495</v>
      </c>
      <c r="B1221" s="222" t="s">
        <v>18898</v>
      </c>
      <c r="C1221" s="216" t="s">
        <v>17824</v>
      </c>
      <c r="D1221" s="443">
        <v>449.66</v>
      </c>
    </row>
    <row r="1222" spans="1:4" ht="31.5">
      <c r="A1222" s="216">
        <v>11145</v>
      </c>
      <c r="B1222" s="222" t="s">
        <v>18899</v>
      </c>
      <c r="C1222" s="216" t="s">
        <v>17824</v>
      </c>
      <c r="D1222" s="443">
        <v>484.79</v>
      </c>
    </row>
    <row r="1223" spans="1:4" ht="31.5">
      <c r="A1223" s="216">
        <v>34496</v>
      </c>
      <c r="B1223" s="222" t="s">
        <v>18900</v>
      </c>
      <c r="C1223" s="216" t="s">
        <v>17824</v>
      </c>
      <c r="D1223" s="443">
        <v>469.07</v>
      </c>
    </row>
    <row r="1224" spans="1:4" ht="31.5">
      <c r="A1224" s="216">
        <v>34479</v>
      </c>
      <c r="B1224" s="222" t="s">
        <v>18901</v>
      </c>
      <c r="C1224" s="216" t="s">
        <v>17824</v>
      </c>
      <c r="D1224" s="443">
        <v>498.84</v>
      </c>
    </row>
    <row r="1225" spans="1:4" ht="31.5">
      <c r="A1225" s="216">
        <v>34481</v>
      </c>
      <c r="B1225" s="222" t="s">
        <v>18902</v>
      </c>
      <c r="C1225" s="216" t="s">
        <v>17824</v>
      </c>
      <c r="D1225" s="443">
        <v>521.22</v>
      </c>
    </row>
    <row r="1226" spans="1:4" ht="31.5">
      <c r="A1226" s="216">
        <v>34483</v>
      </c>
      <c r="B1226" s="222" t="s">
        <v>18903</v>
      </c>
      <c r="C1226" s="216" t="s">
        <v>17824</v>
      </c>
      <c r="D1226" s="443">
        <v>556.89</v>
      </c>
    </row>
    <row r="1227" spans="1:4" ht="31.5">
      <c r="A1227" s="216">
        <v>34485</v>
      </c>
      <c r="B1227" s="222" t="s">
        <v>18904</v>
      </c>
      <c r="C1227" s="216" t="s">
        <v>17824</v>
      </c>
      <c r="D1227" s="443">
        <v>595.53</v>
      </c>
    </row>
    <row r="1228" spans="1:4" ht="31.5">
      <c r="A1228" s="216">
        <v>14041</v>
      </c>
      <c r="B1228" s="222" t="s">
        <v>18905</v>
      </c>
      <c r="C1228" s="216" t="s">
        <v>17824</v>
      </c>
      <c r="D1228" s="443">
        <v>387.12</v>
      </c>
    </row>
    <row r="1229" spans="1:4" ht="31.5">
      <c r="A1229" s="216">
        <v>1523</v>
      </c>
      <c r="B1229" s="222" t="s">
        <v>18906</v>
      </c>
      <c r="C1229" s="216" t="s">
        <v>17824</v>
      </c>
      <c r="D1229" s="443">
        <v>393.45</v>
      </c>
    </row>
    <row r="1230" spans="1:4">
      <c r="A1230" s="216">
        <v>14052</v>
      </c>
      <c r="B1230" s="222" t="s">
        <v>18907</v>
      </c>
      <c r="C1230" s="216" t="s">
        <v>17678</v>
      </c>
      <c r="D1230" s="443">
        <v>14.02</v>
      </c>
    </row>
    <row r="1231" spans="1:4">
      <c r="A1231" s="216">
        <v>14054</v>
      </c>
      <c r="B1231" s="222" t="s">
        <v>18908</v>
      </c>
      <c r="C1231" s="216" t="s">
        <v>17678</v>
      </c>
      <c r="D1231" s="443">
        <v>18.22</v>
      </c>
    </row>
    <row r="1232" spans="1:4">
      <c r="A1232" s="216">
        <v>14053</v>
      </c>
      <c r="B1232" s="222" t="s">
        <v>18909</v>
      </c>
      <c r="C1232" s="216" t="s">
        <v>17678</v>
      </c>
      <c r="D1232" s="443">
        <v>14.23</v>
      </c>
    </row>
    <row r="1233" spans="1:4">
      <c r="A1233" s="216">
        <v>2558</v>
      </c>
      <c r="B1233" s="222" t="s">
        <v>18910</v>
      </c>
      <c r="C1233" s="216" t="s">
        <v>17678</v>
      </c>
      <c r="D1233" s="443">
        <v>10.71</v>
      </c>
    </row>
    <row r="1234" spans="1:4">
      <c r="A1234" s="216">
        <v>2560</v>
      </c>
      <c r="B1234" s="222" t="s">
        <v>18911</v>
      </c>
      <c r="C1234" s="216" t="s">
        <v>17678</v>
      </c>
      <c r="D1234" s="443">
        <v>18.86</v>
      </c>
    </row>
    <row r="1235" spans="1:4">
      <c r="A1235" s="216">
        <v>2559</v>
      </c>
      <c r="B1235" s="222" t="s">
        <v>18912</v>
      </c>
      <c r="C1235" s="216" t="s">
        <v>17678</v>
      </c>
      <c r="D1235" s="443">
        <v>15.08</v>
      </c>
    </row>
    <row r="1236" spans="1:4">
      <c r="A1236" s="216">
        <v>2592</v>
      </c>
      <c r="B1236" s="222" t="s">
        <v>18913</v>
      </c>
      <c r="C1236" s="216" t="s">
        <v>17678</v>
      </c>
      <c r="D1236" s="443">
        <v>249.99</v>
      </c>
    </row>
    <row r="1237" spans="1:4">
      <c r="A1237" s="216">
        <v>2566</v>
      </c>
      <c r="B1237" s="222" t="s">
        <v>18914</v>
      </c>
      <c r="C1237" s="216" t="s">
        <v>17678</v>
      </c>
      <c r="D1237" s="443">
        <v>25.16</v>
      </c>
    </row>
    <row r="1238" spans="1:4">
      <c r="A1238" s="216">
        <v>2589</v>
      </c>
      <c r="B1238" s="222" t="s">
        <v>18915</v>
      </c>
      <c r="C1238" s="216" t="s">
        <v>17678</v>
      </c>
      <c r="D1238" s="443">
        <v>33.44</v>
      </c>
    </row>
    <row r="1239" spans="1:4">
      <c r="A1239" s="216">
        <v>2591</v>
      </c>
      <c r="B1239" s="222" t="s">
        <v>18916</v>
      </c>
      <c r="C1239" s="216" t="s">
        <v>17678</v>
      </c>
      <c r="D1239" s="443">
        <v>12.19</v>
      </c>
    </row>
    <row r="1240" spans="1:4">
      <c r="A1240" s="216">
        <v>2590</v>
      </c>
      <c r="B1240" s="222" t="s">
        <v>18917</v>
      </c>
      <c r="C1240" s="216" t="s">
        <v>17678</v>
      </c>
      <c r="D1240" s="443">
        <v>20.52</v>
      </c>
    </row>
    <row r="1241" spans="1:4">
      <c r="A1241" s="216">
        <v>2567</v>
      </c>
      <c r="B1241" s="222" t="s">
        <v>18918</v>
      </c>
      <c r="C1241" s="216" t="s">
        <v>17678</v>
      </c>
      <c r="D1241" s="443">
        <v>49.05</v>
      </c>
    </row>
    <row r="1242" spans="1:4">
      <c r="A1242" s="216">
        <v>2565</v>
      </c>
      <c r="B1242" s="222" t="s">
        <v>18919</v>
      </c>
      <c r="C1242" s="216" t="s">
        <v>17678</v>
      </c>
      <c r="D1242" s="443">
        <v>12.22</v>
      </c>
    </row>
    <row r="1243" spans="1:4">
      <c r="A1243" s="216">
        <v>2568</v>
      </c>
      <c r="B1243" s="222" t="s">
        <v>18920</v>
      </c>
      <c r="C1243" s="216" t="s">
        <v>17678</v>
      </c>
      <c r="D1243" s="443">
        <v>136.19999999999999</v>
      </c>
    </row>
    <row r="1244" spans="1:4">
      <c r="A1244" s="216">
        <v>2594</v>
      </c>
      <c r="B1244" s="222" t="s">
        <v>18921</v>
      </c>
      <c r="C1244" s="216" t="s">
        <v>17678</v>
      </c>
      <c r="D1244" s="443">
        <v>226.9</v>
      </c>
    </row>
    <row r="1245" spans="1:4">
      <c r="A1245" s="216">
        <v>2587</v>
      </c>
      <c r="B1245" s="222" t="s">
        <v>18922</v>
      </c>
      <c r="C1245" s="216" t="s">
        <v>17678</v>
      </c>
      <c r="D1245" s="443">
        <v>38.67</v>
      </c>
    </row>
    <row r="1246" spans="1:4">
      <c r="A1246" s="216">
        <v>2588</v>
      </c>
      <c r="B1246" s="222" t="s">
        <v>18923</v>
      </c>
      <c r="C1246" s="216" t="s">
        <v>17678</v>
      </c>
      <c r="D1246" s="443">
        <v>30.72</v>
      </c>
    </row>
    <row r="1247" spans="1:4">
      <c r="A1247" s="216">
        <v>2569</v>
      </c>
      <c r="B1247" s="222" t="s">
        <v>18924</v>
      </c>
      <c r="C1247" s="216" t="s">
        <v>17678</v>
      </c>
      <c r="D1247" s="443">
        <v>11.83</v>
      </c>
    </row>
    <row r="1248" spans="1:4">
      <c r="A1248" s="216">
        <v>2570</v>
      </c>
      <c r="B1248" s="222" t="s">
        <v>18925</v>
      </c>
      <c r="C1248" s="216" t="s">
        <v>17678</v>
      </c>
      <c r="D1248" s="443">
        <v>19.84</v>
      </c>
    </row>
    <row r="1249" spans="1:4">
      <c r="A1249" s="216">
        <v>2571</v>
      </c>
      <c r="B1249" s="222" t="s">
        <v>18926</v>
      </c>
      <c r="C1249" s="216" t="s">
        <v>17678</v>
      </c>
      <c r="D1249" s="443">
        <v>58.9</v>
      </c>
    </row>
    <row r="1250" spans="1:4">
      <c r="A1250" s="216">
        <v>2593</v>
      </c>
      <c r="B1250" s="222" t="s">
        <v>18927</v>
      </c>
      <c r="C1250" s="216" t="s">
        <v>17678</v>
      </c>
      <c r="D1250" s="443">
        <v>12.62</v>
      </c>
    </row>
    <row r="1251" spans="1:4">
      <c r="A1251" s="216">
        <v>2572</v>
      </c>
      <c r="B1251" s="222" t="s">
        <v>18928</v>
      </c>
      <c r="C1251" s="216" t="s">
        <v>17678</v>
      </c>
      <c r="D1251" s="443">
        <v>174.18</v>
      </c>
    </row>
    <row r="1252" spans="1:4">
      <c r="A1252" s="216">
        <v>2595</v>
      </c>
      <c r="B1252" s="222" t="s">
        <v>18929</v>
      </c>
      <c r="C1252" s="216" t="s">
        <v>17678</v>
      </c>
      <c r="D1252" s="443">
        <v>271.75</v>
      </c>
    </row>
    <row r="1253" spans="1:4">
      <c r="A1253" s="216">
        <v>2576</v>
      </c>
      <c r="B1253" s="222" t="s">
        <v>18930</v>
      </c>
      <c r="C1253" s="216" t="s">
        <v>17678</v>
      </c>
      <c r="D1253" s="443">
        <v>46.33</v>
      </c>
    </row>
    <row r="1254" spans="1:4">
      <c r="A1254" s="216">
        <v>2575</v>
      </c>
      <c r="B1254" s="222" t="s">
        <v>18931</v>
      </c>
      <c r="C1254" s="216" t="s">
        <v>17678</v>
      </c>
      <c r="D1254" s="443">
        <v>34.83</v>
      </c>
    </row>
    <row r="1255" spans="1:4">
      <c r="A1255" s="216">
        <v>2573</v>
      </c>
      <c r="B1255" s="222" t="s">
        <v>18932</v>
      </c>
      <c r="C1255" s="216" t="s">
        <v>17678</v>
      </c>
      <c r="D1255" s="443">
        <v>14.46</v>
      </c>
    </row>
    <row r="1256" spans="1:4">
      <c r="A1256" s="216">
        <v>2586</v>
      </c>
      <c r="B1256" s="222" t="s">
        <v>18933</v>
      </c>
      <c r="C1256" s="216" t="s">
        <v>17678</v>
      </c>
      <c r="D1256" s="443">
        <v>23.44</v>
      </c>
    </row>
    <row r="1257" spans="1:4">
      <c r="A1257" s="216">
        <v>2577</v>
      </c>
      <c r="B1257" s="222" t="s">
        <v>18934</v>
      </c>
      <c r="C1257" s="216" t="s">
        <v>17678</v>
      </c>
      <c r="D1257" s="443">
        <v>62.77</v>
      </c>
    </row>
    <row r="1258" spans="1:4">
      <c r="A1258" s="216">
        <v>2574</v>
      </c>
      <c r="B1258" s="222" t="s">
        <v>18935</v>
      </c>
      <c r="C1258" s="216" t="s">
        <v>17678</v>
      </c>
      <c r="D1258" s="443">
        <v>14.56</v>
      </c>
    </row>
    <row r="1259" spans="1:4">
      <c r="A1259" s="216">
        <v>2578</v>
      </c>
      <c r="B1259" s="222" t="s">
        <v>18936</v>
      </c>
      <c r="C1259" s="216" t="s">
        <v>17678</v>
      </c>
      <c r="D1259" s="443">
        <v>195.98</v>
      </c>
    </row>
    <row r="1260" spans="1:4">
      <c r="A1260" s="216">
        <v>2585</v>
      </c>
      <c r="B1260" s="222" t="s">
        <v>18937</v>
      </c>
      <c r="C1260" s="216" t="s">
        <v>17678</v>
      </c>
      <c r="D1260" s="443">
        <v>268.94</v>
      </c>
    </row>
    <row r="1261" spans="1:4">
      <c r="A1261" s="216">
        <v>12008</v>
      </c>
      <c r="B1261" s="222" t="s">
        <v>18938</v>
      </c>
      <c r="C1261" s="216" t="s">
        <v>17678</v>
      </c>
      <c r="D1261" s="443">
        <v>144.29</v>
      </c>
    </row>
    <row r="1262" spans="1:4">
      <c r="A1262" s="216">
        <v>2582</v>
      </c>
      <c r="B1262" s="222" t="s">
        <v>18939</v>
      </c>
      <c r="C1262" s="216" t="s">
        <v>17678</v>
      </c>
      <c r="D1262" s="443">
        <v>42.97</v>
      </c>
    </row>
    <row r="1263" spans="1:4">
      <c r="A1263" s="216">
        <v>2597</v>
      </c>
      <c r="B1263" s="222" t="s">
        <v>18940</v>
      </c>
      <c r="C1263" s="216" t="s">
        <v>17678</v>
      </c>
      <c r="D1263" s="443">
        <v>36.83</v>
      </c>
    </row>
    <row r="1264" spans="1:4">
      <c r="A1264" s="216">
        <v>2579</v>
      </c>
      <c r="B1264" s="222" t="s">
        <v>18941</v>
      </c>
      <c r="C1264" s="216" t="s">
        <v>17678</v>
      </c>
      <c r="D1264" s="443">
        <v>17.53</v>
      </c>
    </row>
    <row r="1265" spans="1:4">
      <c r="A1265" s="216">
        <v>2581</v>
      </c>
      <c r="B1265" s="222" t="s">
        <v>18942</v>
      </c>
      <c r="C1265" s="216" t="s">
        <v>17678</v>
      </c>
      <c r="D1265" s="443">
        <v>22.43</v>
      </c>
    </row>
    <row r="1266" spans="1:4">
      <c r="A1266" s="216">
        <v>2596</v>
      </c>
      <c r="B1266" s="222" t="s">
        <v>18943</v>
      </c>
      <c r="C1266" s="216" t="s">
        <v>17678</v>
      </c>
      <c r="D1266" s="443">
        <v>66.349999999999994</v>
      </c>
    </row>
    <row r="1267" spans="1:4">
      <c r="A1267" s="216">
        <v>2580</v>
      </c>
      <c r="B1267" s="222" t="s">
        <v>18944</v>
      </c>
      <c r="C1267" s="216" t="s">
        <v>17678</v>
      </c>
      <c r="D1267" s="443">
        <v>19.22</v>
      </c>
    </row>
    <row r="1268" spans="1:4">
      <c r="A1268" s="216">
        <v>2583</v>
      </c>
      <c r="B1268" s="222" t="s">
        <v>18945</v>
      </c>
      <c r="C1268" s="216" t="s">
        <v>17678</v>
      </c>
      <c r="D1268" s="443">
        <v>161.38</v>
      </c>
    </row>
    <row r="1269" spans="1:4">
      <c r="A1269" s="216">
        <v>2584</v>
      </c>
      <c r="B1269" s="222" t="s">
        <v>18946</v>
      </c>
      <c r="C1269" s="216" t="s">
        <v>17678</v>
      </c>
      <c r="D1269" s="443">
        <v>268.66000000000003</v>
      </c>
    </row>
    <row r="1270" spans="1:4">
      <c r="A1270" s="216">
        <v>12010</v>
      </c>
      <c r="B1270" s="222" t="s">
        <v>18947</v>
      </c>
      <c r="C1270" s="216" t="s">
        <v>17678</v>
      </c>
      <c r="D1270" s="443">
        <v>13.63</v>
      </c>
    </row>
    <row r="1271" spans="1:4">
      <c r="A1271" s="216">
        <v>39329</v>
      </c>
      <c r="B1271" s="222" t="s">
        <v>18948</v>
      </c>
      <c r="C1271" s="216" t="s">
        <v>17678</v>
      </c>
      <c r="D1271" s="443">
        <v>14.25</v>
      </c>
    </row>
    <row r="1272" spans="1:4">
      <c r="A1272" s="216">
        <v>39330</v>
      </c>
      <c r="B1272" s="222" t="s">
        <v>18949</v>
      </c>
      <c r="C1272" s="216" t="s">
        <v>17678</v>
      </c>
      <c r="D1272" s="443">
        <v>15</v>
      </c>
    </row>
    <row r="1273" spans="1:4">
      <c r="A1273" s="216">
        <v>39332</v>
      </c>
      <c r="B1273" s="222" t="s">
        <v>18950</v>
      </c>
      <c r="C1273" s="216" t="s">
        <v>17678</v>
      </c>
      <c r="D1273" s="443">
        <v>16.760000000000002</v>
      </c>
    </row>
    <row r="1274" spans="1:4">
      <c r="A1274" s="216">
        <v>39331</v>
      </c>
      <c r="B1274" s="222" t="s">
        <v>18951</v>
      </c>
      <c r="C1274" s="216" t="s">
        <v>17678</v>
      </c>
      <c r="D1274" s="443">
        <v>13.34</v>
      </c>
    </row>
    <row r="1275" spans="1:4">
      <c r="A1275" s="216">
        <v>39333</v>
      </c>
      <c r="B1275" s="222" t="s">
        <v>18952</v>
      </c>
      <c r="C1275" s="216" t="s">
        <v>17678</v>
      </c>
      <c r="D1275" s="443">
        <v>13.01</v>
      </c>
    </row>
    <row r="1276" spans="1:4">
      <c r="A1276" s="216">
        <v>39335</v>
      </c>
      <c r="B1276" s="222" t="s">
        <v>18953</v>
      </c>
      <c r="C1276" s="216" t="s">
        <v>17678</v>
      </c>
      <c r="D1276" s="443">
        <v>15.05</v>
      </c>
    </row>
    <row r="1277" spans="1:4">
      <c r="A1277" s="216">
        <v>39334</v>
      </c>
      <c r="B1277" s="222" t="s">
        <v>18954</v>
      </c>
      <c r="C1277" s="216" t="s">
        <v>17678</v>
      </c>
      <c r="D1277" s="443">
        <v>11.96</v>
      </c>
    </row>
    <row r="1278" spans="1:4">
      <c r="A1278" s="216">
        <v>12016</v>
      </c>
      <c r="B1278" s="222" t="s">
        <v>18955</v>
      </c>
      <c r="C1278" s="216" t="s">
        <v>17678</v>
      </c>
      <c r="D1278" s="443">
        <v>15.02</v>
      </c>
    </row>
    <row r="1279" spans="1:4">
      <c r="A1279" s="216">
        <v>12015</v>
      </c>
      <c r="B1279" s="222" t="s">
        <v>18956</v>
      </c>
      <c r="C1279" s="216" t="s">
        <v>17678</v>
      </c>
      <c r="D1279" s="443">
        <v>17.48</v>
      </c>
    </row>
    <row r="1280" spans="1:4">
      <c r="A1280" s="216">
        <v>12020</v>
      </c>
      <c r="B1280" s="222" t="s">
        <v>18957</v>
      </c>
      <c r="C1280" s="216" t="s">
        <v>17678</v>
      </c>
      <c r="D1280" s="443">
        <v>15.02</v>
      </c>
    </row>
    <row r="1281" spans="1:4">
      <c r="A1281" s="216">
        <v>12019</v>
      </c>
      <c r="B1281" s="222" t="s">
        <v>18958</v>
      </c>
      <c r="C1281" s="216" t="s">
        <v>17678</v>
      </c>
      <c r="D1281" s="443">
        <v>17.48</v>
      </c>
    </row>
    <row r="1282" spans="1:4">
      <c r="A1282" s="216">
        <v>39336</v>
      </c>
      <c r="B1282" s="222" t="s">
        <v>18959</v>
      </c>
      <c r="C1282" s="216" t="s">
        <v>17678</v>
      </c>
      <c r="D1282" s="443">
        <v>15</v>
      </c>
    </row>
    <row r="1283" spans="1:4">
      <c r="A1283" s="216">
        <v>39338</v>
      </c>
      <c r="B1283" s="222" t="s">
        <v>18960</v>
      </c>
      <c r="C1283" s="216" t="s">
        <v>17678</v>
      </c>
      <c r="D1283" s="443">
        <v>16.760000000000002</v>
      </c>
    </row>
    <row r="1284" spans="1:4">
      <c r="A1284" s="216">
        <v>39337</v>
      </c>
      <c r="B1284" s="222" t="s">
        <v>18961</v>
      </c>
      <c r="C1284" s="216" t="s">
        <v>17678</v>
      </c>
      <c r="D1284" s="443">
        <v>13.34</v>
      </c>
    </row>
    <row r="1285" spans="1:4">
      <c r="A1285" s="216">
        <v>39341</v>
      </c>
      <c r="B1285" s="222" t="s">
        <v>18962</v>
      </c>
      <c r="C1285" s="216" t="s">
        <v>17678</v>
      </c>
      <c r="D1285" s="443">
        <v>21.85</v>
      </c>
    </row>
    <row r="1286" spans="1:4">
      <c r="A1286" s="216">
        <v>39340</v>
      </c>
      <c r="B1286" s="222" t="s">
        <v>18963</v>
      </c>
      <c r="C1286" s="216" t="s">
        <v>17678</v>
      </c>
      <c r="D1286" s="443">
        <v>16.04</v>
      </c>
    </row>
    <row r="1287" spans="1:4">
      <c r="A1287" s="216">
        <v>12025</v>
      </c>
      <c r="B1287" s="222" t="s">
        <v>18964</v>
      </c>
      <c r="C1287" s="216" t="s">
        <v>17678</v>
      </c>
      <c r="D1287" s="443">
        <v>16.57</v>
      </c>
    </row>
    <row r="1288" spans="1:4">
      <c r="A1288" s="216">
        <v>39342</v>
      </c>
      <c r="B1288" s="222" t="s">
        <v>18965</v>
      </c>
      <c r="C1288" s="216" t="s">
        <v>17678</v>
      </c>
      <c r="D1288" s="443">
        <v>21.85</v>
      </c>
    </row>
    <row r="1289" spans="1:4">
      <c r="A1289" s="216">
        <v>39343</v>
      </c>
      <c r="B1289" s="222" t="s">
        <v>18966</v>
      </c>
      <c r="C1289" s="216" t="s">
        <v>17678</v>
      </c>
      <c r="D1289" s="443">
        <v>18.45</v>
      </c>
    </row>
    <row r="1290" spans="1:4">
      <c r="A1290" s="216">
        <v>39345</v>
      </c>
      <c r="B1290" s="222" t="s">
        <v>18967</v>
      </c>
      <c r="C1290" s="216" t="s">
        <v>17678</v>
      </c>
      <c r="D1290" s="443">
        <v>24.96</v>
      </c>
    </row>
    <row r="1291" spans="1:4">
      <c r="A1291" s="216">
        <v>39344</v>
      </c>
      <c r="B1291" s="222" t="s">
        <v>18968</v>
      </c>
      <c r="C1291" s="216" t="s">
        <v>17678</v>
      </c>
      <c r="D1291" s="443">
        <v>17.84</v>
      </c>
    </row>
    <row r="1292" spans="1:4">
      <c r="A1292" s="216">
        <v>12623</v>
      </c>
      <c r="B1292" s="222" t="s">
        <v>18969</v>
      </c>
      <c r="C1292" s="216" t="s">
        <v>17722</v>
      </c>
      <c r="D1292" s="443">
        <v>44.93</v>
      </c>
    </row>
    <row r="1293" spans="1:4">
      <c r="A1293" s="216">
        <v>34498</v>
      </c>
      <c r="B1293" s="222" t="s">
        <v>18970</v>
      </c>
      <c r="C1293" s="216" t="s">
        <v>17678</v>
      </c>
      <c r="D1293" s="443">
        <v>90.03</v>
      </c>
    </row>
    <row r="1294" spans="1:4">
      <c r="A1294" s="216">
        <v>13244</v>
      </c>
      <c r="B1294" s="222" t="s">
        <v>18971</v>
      </c>
      <c r="C1294" s="216" t="s">
        <v>17678</v>
      </c>
      <c r="D1294" s="443">
        <v>37.9</v>
      </c>
    </row>
    <row r="1295" spans="1:4">
      <c r="A1295" s="216">
        <v>38998</v>
      </c>
      <c r="B1295" s="222" t="s">
        <v>18972</v>
      </c>
      <c r="C1295" s="216" t="s">
        <v>17678</v>
      </c>
      <c r="D1295" s="443">
        <v>11.32</v>
      </c>
    </row>
    <row r="1296" spans="1:4">
      <c r="A1296" s="216">
        <v>38999</v>
      </c>
      <c r="B1296" s="222" t="s">
        <v>18973</v>
      </c>
      <c r="C1296" s="216" t="s">
        <v>17678</v>
      </c>
      <c r="D1296" s="443">
        <v>28.62</v>
      </c>
    </row>
    <row r="1297" spans="1:4">
      <c r="A1297" s="216">
        <v>38996</v>
      </c>
      <c r="B1297" s="222" t="s">
        <v>18974</v>
      </c>
      <c r="C1297" s="216" t="s">
        <v>17678</v>
      </c>
      <c r="D1297" s="443">
        <v>20.23</v>
      </c>
    </row>
    <row r="1298" spans="1:4">
      <c r="A1298" s="216">
        <v>44173</v>
      </c>
      <c r="B1298" s="222" t="s">
        <v>18975</v>
      </c>
      <c r="C1298" s="216" t="s">
        <v>17678</v>
      </c>
      <c r="D1298" s="443">
        <v>19.670000000000002</v>
      </c>
    </row>
    <row r="1299" spans="1:4">
      <c r="A1299" s="216">
        <v>44174</v>
      </c>
      <c r="B1299" s="222" t="s">
        <v>18976</v>
      </c>
      <c r="C1299" s="216" t="s">
        <v>17678</v>
      </c>
      <c r="D1299" s="443">
        <v>32.19</v>
      </c>
    </row>
    <row r="1300" spans="1:4">
      <c r="A1300" s="216">
        <v>38997</v>
      </c>
      <c r="B1300" s="222" t="s">
        <v>18977</v>
      </c>
      <c r="C1300" s="216" t="s">
        <v>17678</v>
      </c>
      <c r="D1300" s="443">
        <v>28.93</v>
      </c>
    </row>
    <row r="1301" spans="1:4">
      <c r="A1301" s="216">
        <v>39600</v>
      </c>
      <c r="B1301" s="222" t="s">
        <v>18978</v>
      </c>
      <c r="C1301" s="216" t="s">
        <v>17678</v>
      </c>
      <c r="D1301" s="443">
        <v>19.5</v>
      </c>
    </row>
    <row r="1302" spans="1:4">
      <c r="A1302" s="216">
        <v>39601</v>
      </c>
      <c r="B1302" s="222" t="s">
        <v>18979</v>
      </c>
      <c r="C1302" s="216" t="s">
        <v>17678</v>
      </c>
      <c r="D1302" s="443">
        <v>41.37</v>
      </c>
    </row>
    <row r="1303" spans="1:4">
      <c r="A1303" s="216">
        <v>39862</v>
      </c>
      <c r="B1303" s="222" t="s">
        <v>18980</v>
      </c>
      <c r="C1303" s="216" t="s">
        <v>17678</v>
      </c>
      <c r="D1303" s="443">
        <v>13.44</v>
      </c>
    </row>
    <row r="1304" spans="1:4">
      <c r="A1304" s="216">
        <v>39863</v>
      </c>
      <c r="B1304" s="222" t="s">
        <v>18981</v>
      </c>
      <c r="C1304" s="216" t="s">
        <v>17678</v>
      </c>
      <c r="D1304" s="443">
        <v>13.63</v>
      </c>
    </row>
    <row r="1305" spans="1:4">
      <c r="A1305" s="216">
        <v>39864</v>
      </c>
      <c r="B1305" s="222" t="s">
        <v>18982</v>
      </c>
      <c r="C1305" s="216" t="s">
        <v>17678</v>
      </c>
      <c r="D1305" s="443">
        <v>16.91</v>
      </c>
    </row>
    <row r="1306" spans="1:4">
      <c r="A1306" s="216">
        <v>39865</v>
      </c>
      <c r="B1306" s="222" t="s">
        <v>18983</v>
      </c>
      <c r="C1306" s="216" t="s">
        <v>17678</v>
      </c>
      <c r="D1306" s="443">
        <v>23.83</v>
      </c>
    </row>
    <row r="1307" spans="1:4" ht="31.5">
      <c r="A1307" s="216">
        <v>2517</v>
      </c>
      <c r="B1307" s="222" t="s">
        <v>18984</v>
      </c>
      <c r="C1307" s="216" t="s">
        <v>17678</v>
      </c>
      <c r="D1307" s="443">
        <v>26.77</v>
      </c>
    </row>
    <row r="1308" spans="1:4" ht="31.5">
      <c r="A1308" s="216">
        <v>2522</v>
      </c>
      <c r="B1308" s="222" t="s">
        <v>18985</v>
      </c>
      <c r="C1308" s="216" t="s">
        <v>17678</v>
      </c>
      <c r="D1308" s="443">
        <v>17.3</v>
      </c>
    </row>
    <row r="1309" spans="1:4" ht="31.5">
      <c r="A1309" s="216">
        <v>2548</v>
      </c>
      <c r="B1309" s="222" t="s">
        <v>18986</v>
      </c>
      <c r="C1309" s="216" t="s">
        <v>17678</v>
      </c>
      <c r="D1309" s="443">
        <v>10.64</v>
      </c>
    </row>
    <row r="1310" spans="1:4" ht="31.5">
      <c r="A1310" s="216">
        <v>2516</v>
      </c>
      <c r="B1310" s="222" t="s">
        <v>18987</v>
      </c>
      <c r="C1310" s="216" t="s">
        <v>17678</v>
      </c>
      <c r="D1310" s="443">
        <v>13.89</v>
      </c>
    </row>
    <row r="1311" spans="1:4" ht="31.5">
      <c r="A1311" s="216">
        <v>2518</v>
      </c>
      <c r="B1311" s="222" t="s">
        <v>18988</v>
      </c>
      <c r="C1311" s="216" t="s">
        <v>17678</v>
      </c>
      <c r="D1311" s="443">
        <v>127.41</v>
      </c>
    </row>
    <row r="1312" spans="1:4" ht="31.5">
      <c r="A1312" s="216">
        <v>2521</v>
      </c>
      <c r="B1312" s="222" t="s">
        <v>18989</v>
      </c>
      <c r="C1312" s="216" t="s">
        <v>17678</v>
      </c>
      <c r="D1312" s="443">
        <v>54.24</v>
      </c>
    </row>
    <row r="1313" spans="1:4" ht="31.5">
      <c r="A1313" s="216">
        <v>2515</v>
      </c>
      <c r="B1313" s="222" t="s">
        <v>18990</v>
      </c>
      <c r="C1313" s="216" t="s">
        <v>17678</v>
      </c>
      <c r="D1313" s="443">
        <v>11.56</v>
      </c>
    </row>
    <row r="1314" spans="1:4" ht="31.5">
      <c r="A1314" s="216">
        <v>2519</v>
      </c>
      <c r="B1314" s="222" t="s">
        <v>18991</v>
      </c>
      <c r="C1314" s="216" t="s">
        <v>17678</v>
      </c>
      <c r="D1314" s="443">
        <v>153.63</v>
      </c>
    </row>
    <row r="1315" spans="1:4" ht="31.5">
      <c r="A1315" s="216">
        <v>2520</v>
      </c>
      <c r="B1315" s="222" t="s">
        <v>18992</v>
      </c>
      <c r="C1315" s="216" t="s">
        <v>17678</v>
      </c>
      <c r="D1315" s="443">
        <v>282.77</v>
      </c>
    </row>
    <row r="1316" spans="1:4">
      <c r="A1316" s="216">
        <v>1602</v>
      </c>
      <c r="B1316" s="222" t="s">
        <v>18993</v>
      </c>
      <c r="C1316" s="216" t="s">
        <v>17678</v>
      </c>
      <c r="D1316" s="443">
        <v>42.71</v>
      </c>
    </row>
    <row r="1317" spans="1:4">
      <c r="A1317" s="216">
        <v>1601</v>
      </c>
      <c r="B1317" s="222" t="s">
        <v>18994</v>
      </c>
      <c r="C1317" s="216" t="s">
        <v>17678</v>
      </c>
      <c r="D1317" s="443">
        <v>38.07</v>
      </c>
    </row>
    <row r="1318" spans="1:4">
      <c r="A1318" s="216">
        <v>1598</v>
      </c>
      <c r="B1318" s="222" t="s">
        <v>18995</v>
      </c>
      <c r="C1318" s="216" t="s">
        <v>17678</v>
      </c>
      <c r="D1318" s="443">
        <v>11.26</v>
      </c>
    </row>
    <row r="1319" spans="1:4">
      <c r="A1319" s="216">
        <v>1600</v>
      </c>
      <c r="B1319" s="222" t="s">
        <v>18996</v>
      </c>
      <c r="C1319" s="216" t="s">
        <v>17678</v>
      </c>
      <c r="D1319" s="443">
        <v>16.63</v>
      </c>
    </row>
    <row r="1320" spans="1:4">
      <c r="A1320" s="216">
        <v>1603</v>
      </c>
      <c r="B1320" s="222" t="s">
        <v>18997</v>
      </c>
      <c r="C1320" s="216" t="s">
        <v>17678</v>
      </c>
      <c r="D1320" s="443">
        <v>64.489999999999995</v>
      </c>
    </row>
    <row r="1321" spans="1:4">
      <c r="A1321" s="216">
        <v>1599</v>
      </c>
      <c r="B1321" s="222" t="s">
        <v>18998</v>
      </c>
      <c r="C1321" s="216" t="s">
        <v>17678</v>
      </c>
      <c r="D1321" s="443">
        <v>13.07</v>
      </c>
    </row>
    <row r="1322" spans="1:4">
      <c r="A1322" s="216">
        <v>1597</v>
      </c>
      <c r="B1322" s="222" t="s">
        <v>18999</v>
      </c>
      <c r="C1322" s="216" t="s">
        <v>17678</v>
      </c>
      <c r="D1322" s="443">
        <v>10.59</v>
      </c>
    </row>
    <row r="1323" spans="1:4">
      <c r="A1323" s="216">
        <v>39602</v>
      </c>
      <c r="B1323" s="222" t="s">
        <v>19000</v>
      </c>
      <c r="C1323" s="216" t="s">
        <v>17678</v>
      </c>
      <c r="D1323" s="443">
        <v>2.0699999999999998</v>
      </c>
    </row>
    <row r="1324" spans="1:4">
      <c r="A1324" s="216">
        <v>39603</v>
      </c>
      <c r="B1324" s="222" t="s">
        <v>19001</v>
      </c>
      <c r="C1324" s="216" t="s">
        <v>17678</v>
      </c>
      <c r="D1324" s="443">
        <v>4.41</v>
      </c>
    </row>
    <row r="1325" spans="1:4" ht="31.5">
      <c r="A1325" s="216">
        <v>11821</v>
      </c>
      <c r="B1325" s="222" t="s">
        <v>19002</v>
      </c>
      <c r="C1325" s="216" t="s">
        <v>17678</v>
      </c>
      <c r="D1325" s="443">
        <v>8.6999999999999993</v>
      </c>
    </row>
    <row r="1326" spans="1:4" ht="31.5">
      <c r="A1326" s="216">
        <v>1562</v>
      </c>
      <c r="B1326" s="222" t="s">
        <v>19003</v>
      </c>
      <c r="C1326" s="216" t="s">
        <v>17678</v>
      </c>
      <c r="D1326" s="443">
        <v>14.25</v>
      </c>
    </row>
    <row r="1327" spans="1:4" ht="31.5">
      <c r="A1327" s="216">
        <v>1563</v>
      </c>
      <c r="B1327" s="222" t="s">
        <v>19004</v>
      </c>
      <c r="C1327" s="216" t="s">
        <v>17678</v>
      </c>
      <c r="D1327" s="443">
        <v>19.12</v>
      </c>
    </row>
    <row r="1328" spans="1:4">
      <c r="A1328" s="216">
        <v>11856</v>
      </c>
      <c r="B1328" s="222" t="s">
        <v>19005</v>
      </c>
      <c r="C1328" s="216" t="s">
        <v>17678</v>
      </c>
      <c r="D1328" s="443">
        <v>5.7</v>
      </c>
    </row>
    <row r="1329" spans="1:4">
      <c r="A1329" s="216">
        <v>11857</v>
      </c>
      <c r="B1329" s="222" t="s">
        <v>19006</v>
      </c>
      <c r="C1329" s="216" t="s">
        <v>17678</v>
      </c>
      <c r="D1329" s="443">
        <v>30</v>
      </c>
    </row>
    <row r="1330" spans="1:4">
      <c r="A1330" s="216">
        <v>11858</v>
      </c>
      <c r="B1330" s="222" t="s">
        <v>19007</v>
      </c>
      <c r="C1330" s="216" t="s">
        <v>17678</v>
      </c>
      <c r="D1330" s="443">
        <v>37.229999999999997</v>
      </c>
    </row>
    <row r="1331" spans="1:4">
      <c r="A1331" s="216">
        <v>1539</v>
      </c>
      <c r="B1331" s="222" t="s">
        <v>19008</v>
      </c>
      <c r="C1331" s="216" t="s">
        <v>17678</v>
      </c>
      <c r="D1331" s="443">
        <v>6.7</v>
      </c>
    </row>
    <row r="1332" spans="1:4">
      <c r="A1332" s="216">
        <v>11859</v>
      </c>
      <c r="B1332" s="222" t="s">
        <v>19009</v>
      </c>
      <c r="C1332" s="216" t="s">
        <v>17678</v>
      </c>
      <c r="D1332" s="443">
        <v>50.65</v>
      </c>
    </row>
    <row r="1333" spans="1:4">
      <c r="A1333" s="216">
        <v>1550</v>
      </c>
      <c r="B1333" s="222" t="s">
        <v>19010</v>
      </c>
      <c r="C1333" s="216" t="s">
        <v>17678</v>
      </c>
      <c r="D1333" s="443">
        <v>7.07</v>
      </c>
    </row>
    <row r="1334" spans="1:4">
      <c r="A1334" s="216">
        <v>11854</v>
      </c>
      <c r="B1334" s="222" t="s">
        <v>19011</v>
      </c>
      <c r="C1334" s="216" t="s">
        <v>17678</v>
      </c>
      <c r="D1334" s="443">
        <v>8.83</v>
      </c>
    </row>
    <row r="1335" spans="1:4">
      <c r="A1335" s="216">
        <v>11862</v>
      </c>
      <c r="B1335" s="222" t="s">
        <v>19012</v>
      </c>
      <c r="C1335" s="216" t="s">
        <v>17678</v>
      </c>
      <c r="D1335" s="443">
        <v>12.38</v>
      </c>
    </row>
    <row r="1336" spans="1:4">
      <c r="A1336" s="216">
        <v>11863</v>
      </c>
      <c r="B1336" s="222" t="s">
        <v>19013</v>
      </c>
      <c r="C1336" s="216" t="s">
        <v>17678</v>
      </c>
      <c r="D1336" s="443">
        <v>5</v>
      </c>
    </row>
    <row r="1337" spans="1:4">
      <c r="A1337" s="216">
        <v>11855</v>
      </c>
      <c r="B1337" s="222" t="s">
        <v>19014</v>
      </c>
      <c r="C1337" s="216" t="s">
        <v>17678</v>
      </c>
      <c r="D1337" s="443">
        <v>18.489999999999998</v>
      </c>
    </row>
    <row r="1338" spans="1:4">
      <c r="A1338" s="216">
        <v>11864</v>
      </c>
      <c r="B1338" s="222" t="s">
        <v>19015</v>
      </c>
      <c r="C1338" s="216" t="s">
        <v>17678</v>
      </c>
      <c r="D1338" s="443">
        <v>27.95</v>
      </c>
    </row>
    <row r="1339" spans="1:4" ht="31.5">
      <c r="A1339" s="216">
        <v>2527</v>
      </c>
      <c r="B1339" s="222" t="s">
        <v>19016</v>
      </c>
      <c r="C1339" s="216" t="s">
        <v>17678</v>
      </c>
      <c r="D1339" s="443">
        <v>9.58</v>
      </c>
    </row>
    <row r="1340" spans="1:4" ht="31.5">
      <c r="A1340" s="216">
        <v>2526</v>
      </c>
      <c r="B1340" s="222" t="s">
        <v>19017</v>
      </c>
      <c r="C1340" s="216" t="s">
        <v>17678</v>
      </c>
      <c r="D1340" s="443">
        <v>6.14</v>
      </c>
    </row>
    <row r="1341" spans="1:4" ht="31.5">
      <c r="A1341" s="216">
        <v>2487</v>
      </c>
      <c r="B1341" s="222" t="s">
        <v>19018</v>
      </c>
      <c r="C1341" s="216" t="s">
        <v>17678</v>
      </c>
      <c r="D1341" s="443">
        <v>2.09</v>
      </c>
    </row>
    <row r="1342" spans="1:4" ht="31.5">
      <c r="A1342" s="216">
        <v>2483</v>
      </c>
      <c r="B1342" s="222" t="s">
        <v>19019</v>
      </c>
      <c r="C1342" s="216" t="s">
        <v>17678</v>
      </c>
      <c r="D1342" s="443">
        <v>4.37</v>
      </c>
    </row>
    <row r="1343" spans="1:4" ht="31.5">
      <c r="A1343" s="216">
        <v>2528</v>
      </c>
      <c r="B1343" s="222" t="s">
        <v>19020</v>
      </c>
      <c r="C1343" s="216" t="s">
        <v>17678</v>
      </c>
      <c r="D1343" s="443">
        <v>24.11</v>
      </c>
    </row>
    <row r="1344" spans="1:4" ht="31.5">
      <c r="A1344" s="216">
        <v>2489</v>
      </c>
      <c r="B1344" s="222" t="s">
        <v>19021</v>
      </c>
      <c r="C1344" s="216" t="s">
        <v>17678</v>
      </c>
      <c r="D1344" s="443">
        <v>10.62</v>
      </c>
    </row>
    <row r="1345" spans="1:4" ht="31.5">
      <c r="A1345" s="216">
        <v>2488</v>
      </c>
      <c r="B1345" s="222" t="s">
        <v>19022</v>
      </c>
      <c r="C1345" s="216" t="s">
        <v>17678</v>
      </c>
      <c r="D1345" s="443">
        <v>2.4500000000000002</v>
      </c>
    </row>
    <row r="1346" spans="1:4" ht="31.5">
      <c r="A1346" s="216">
        <v>2484</v>
      </c>
      <c r="B1346" s="222" t="s">
        <v>19023</v>
      </c>
      <c r="C1346" s="216" t="s">
        <v>17678</v>
      </c>
      <c r="D1346" s="443">
        <v>35.020000000000003</v>
      </c>
    </row>
    <row r="1347" spans="1:4" ht="31.5">
      <c r="A1347" s="216">
        <v>2485</v>
      </c>
      <c r="B1347" s="222" t="s">
        <v>19024</v>
      </c>
      <c r="C1347" s="216" t="s">
        <v>17678</v>
      </c>
      <c r="D1347" s="443">
        <v>54.88</v>
      </c>
    </row>
    <row r="1348" spans="1:4" ht="31.5">
      <c r="A1348" s="216">
        <v>39279</v>
      </c>
      <c r="B1348" s="222" t="s">
        <v>19025</v>
      </c>
      <c r="C1348" s="216" t="s">
        <v>17678</v>
      </c>
      <c r="D1348" s="443">
        <v>7.92</v>
      </c>
    </row>
    <row r="1349" spans="1:4" ht="31.5">
      <c r="A1349" s="216">
        <v>39280</v>
      </c>
      <c r="B1349" s="222" t="s">
        <v>19026</v>
      </c>
      <c r="C1349" s="216" t="s">
        <v>17678</v>
      </c>
      <c r="D1349" s="443">
        <v>8.8699999999999992</v>
      </c>
    </row>
    <row r="1350" spans="1:4" ht="31.5">
      <c r="A1350" s="216">
        <v>39281</v>
      </c>
      <c r="B1350" s="222" t="s">
        <v>19027</v>
      </c>
      <c r="C1350" s="216" t="s">
        <v>17678</v>
      </c>
      <c r="D1350" s="443">
        <v>11.72</v>
      </c>
    </row>
    <row r="1351" spans="1:4" ht="31.5">
      <c r="A1351" s="216">
        <v>39282</v>
      </c>
      <c r="B1351" s="222" t="s">
        <v>19028</v>
      </c>
      <c r="C1351" s="216" t="s">
        <v>17678</v>
      </c>
      <c r="D1351" s="443">
        <v>16.37</v>
      </c>
    </row>
    <row r="1352" spans="1:4" ht="31.5">
      <c r="A1352" s="216">
        <v>38844</v>
      </c>
      <c r="B1352" s="222" t="s">
        <v>19029</v>
      </c>
      <c r="C1352" s="216" t="s">
        <v>17678</v>
      </c>
      <c r="D1352" s="443">
        <v>8.0299999999999994</v>
      </c>
    </row>
    <row r="1353" spans="1:4" ht="31.5">
      <c r="A1353" s="216">
        <v>38846</v>
      </c>
      <c r="B1353" s="222" t="s">
        <v>19030</v>
      </c>
      <c r="C1353" s="216" t="s">
        <v>17678</v>
      </c>
      <c r="D1353" s="443">
        <v>8.17</v>
      </c>
    </row>
    <row r="1354" spans="1:4" ht="31.5">
      <c r="A1354" s="216">
        <v>38847</v>
      </c>
      <c r="B1354" s="222" t="s">
        <v>19031</v>
      </c>
      <c r="C1354" s="216" t="s">
        <v>17678</v>
      </c>
      <c r="D1354" s="443">
        <v>9.57</v>
      </c>
    </row>
    <row r="1355" spans="1:4" ht="31.5">
      <c r="A1355" s="216">
        <v>38850</v>
      </c>
      <c r="B1355" s="222" t="s">
        <v>19032</v>
      </c>
      <c r="C1355" s="216" t="s">
        <v>17678</v>
      </c>
      <c r="D1355" s="443">
        <v>17.28</v>
      </c>
    </row>
    <row r="1356" spans="1:4" ht="31.5">
      <c r="A1356" s="216">
        <v>38848</v>
      </c>
      <c r="B1356" s="222" t="s">
        <v>19033</v>
      </c>
      <c r="C1356" s="216" t="s">
        <v>17678</v>
      </c>
      <c r="D1356" s="443">
        <v>11.33</v>
      </c>
    </row>
    <row r="1357" spans="1:4" ht="31.5">
      <c r="A1357" s="216">
        <v>38851</v>
      </c>
      <c r="B1357" s="222" t="s">
        <v>19034</v>
      </c>
      <c r="C1357" s="216" t="s">
        <v>17678</v>
      </c>
      <c r="D1357" s="443">
        <v>19.54</v>
      </c>
    </row>
    <row r="1358" spans="1:4" ht="31.5">
      <c r="A1358" s="216">
        <v>38854</v>
      </c>
      <c r="B1358" s="222" t="s">
        <v>19035</v>
      </c>
      <c r="C1358" s="216" t="s">
        <v>17678</v>
      </c>
      <c r="D1358" s="443">
        <v>8.49</v>
      </c>
    </row>
    <row r="1359" spans="1:4">
      <c r="A1359" s="216">
        <v>44247</v>
      </c>
      <c r="B1359" s="222" t="s">
        <v>19036</v>
      </c>
      <c r="C1359" s="216" t="s">
        <v>17678</v>
      </c>
      <c r="D1359" s="443">
        <v>1583.42</v>
      </c>
    </row>
    <row r="1360" spans="1:4">
      <c r="A1360" s="216">
        <v>38005</v>
      </c>
      <c r="B1360" s="222" t="s">
        <v>19037</v>
      </c>
      <c r="C1360" s="216" t="s">
        <v>17678</v>
      </c>
      <c r="D1360" s="443">
        <v>18.829999999999998</v>
      </c>
    </row>
    <row r="1361" spans="1:4">
      <c r="A1361" s="216">
        <v>38006</v>
      </c>
      <c r="B1361" s="222" t="s">
        <v>19038</v>
      </c>
      <c r="C1361" s="216" t="s">
        <v>17678</v>
      </c>
      <c r="D1361" s="443">
        <v>25.02</v>
      </c>
    </row>
    <row r="1362" spans="1:4">
      <c r="A1362" s="216">
        <v>38428</v>
      </c>
      <c r="B1362" s="222" t="s">
        <v>19039</v>
      </c>
      <c r="C1362" s="216" t="s">
        <v>17678</v>
      </c>
      <c r="D1362" s="443">
        <v>22.4</v>
      </c>
    </row>
    <row r="1363" spans="1:4">
      <c r="A1363" s="216">
        <v>38007</v>
      </c>
      <c r="B1363" s="222" t="s">
        <v>19040</v>
      </c>
      <c r="C1363" s="216" t="s">
        <v>17678</v>
      </c>
      <c r="D1363" s="443">
        <v>28.87</v>
      </c>
    </row>
    <row r="1364" spans="1:4">
      <c r="A1364" s="216">
        <v>38008</v>
      </c>
      <c r="B1364" s="222" t="s">
        <v>19041</v>
      </c>
      <c r="C1364" s="216" t="s">
        <v>17678</v>
      </c>
      <c r="D1364" s="443">
        <v>46.19</v>
      </c>
    </row>
    <row r="1365" spans="1:4">
      <c r="A1365" s="216">
        <v>38009</v>
      </c>
      <c r="B1365" s="222" t="s">
        <v>19042</v>
      </c>
      <c r="C1365" s="216" t="s">
        <v>17678</v>
      </c>
      <c r="D1365" s="443">
        <v>56.55</v>
      </c>
    </row>
    <row r="1366" spans="1:4">
      <c r="A1366" s="216">
        <v>44248</v>
      </c>
      <c r="B1366" s="222" t="s">
        <v>19043</v>
      </c>
      <c r="C1366" s="216" t="s">
        <v>17678</v>
      </c>
      <c r="D1366" s="443">
        <v>92.17</v>
      </c>
    </row>
    <row r="1367" spans="1:4">
      <c r="A1367" s="216">
        <v>44249</v>
      </c>
      <c r="B1367" s="222" t="s">
        <v>19044</v>
      </c>
      <c r="C1367" s="216" t="s">
        <v>17678</v>
      </c>
      <c r="D1367" s="443">
        <v>355.62</v>
      </c>
    </row>
    <row r="1368" spans="1:4">
      <c r="A1368" s="216">
        <v>44250</v>
      </c>
      <c r="B1368" s="222" t="s">
        <v>19045</v>
      </c>
      <c r="C1368" s="216" t="s">
        <v>17678</v>
      </c>
      <c r="D1368" s="443">
        <v>516.42999999999995</v>
      </c>
    </row>
    <row r="1369" spans="1:4" ht="47.25">
      <c r="A1369" s="216">
        <v>3104</v>
      </c>
      <c r="B1369" s="222" t="s">
        <v>19046</v>
      </c>
      <c r="C1369" s="216" t="s">
        <v>19047</v>
      </c>
      <c r="D1369" s="443">
        <v>174.94</v>
      </c>
    </row>
    <row r="1370" spans="1:4" ht="31.5">
      <c r="A1370" s="216">
        <v>1607</v>
      </c>
      <c r="B1370" s="222" t="s">
        <v>19048</v>
      </c>
      <c r="C1370" s="216" t="s">
        <v>19047</v>
      </c>
      <c r="D1370" s="443">
        <v>0.2</v>
      </c>
    </row>
    <row r="1371" spans="1:4" ht="31.5">
      <c r="A1371" s="216">
        <v>38169</v>
      </c>
      <c r="B1371" s="222" t="s">
        <v>19049</v>
      </c>
      <c r="C1371" s="216" t="s">
        <v>19047</v>
      </c>
      <c r="D1371" s="443">
        <v>79.040000000000006</v>
      </c>
    </row>
    <row r="1372" spans="1:4">
      <c r="A1372" s="216">
        <v>6142</v>
      </c>
      <c r="B1372" s="222" t="s">
        <v>19050</v>
      </c>
      <c r="C1372" s="216" t="s">
        <v>17678</v>
      </c>
      <c r="D1372" s="443">
        <v>8.7899999999999991</v>
      </c>
    </row>
    <row r="1373" spans="1:4" ht="31.5">
      <c r="A1373" s="216">
        <v>11686</v>
      </c>
      <c r="B1373" s="222" t="s">
        <v>19051</v>
      </c>
      <c r="C1373" s="216" t="s">
        <v>17678</v>
      </c>
      <c r="D1373" s="443">
        <v>12.21</v>
      </c>
    </row>
    <row r="1374" spans="1:4">
      <c r="A1374" s="216">
        <v>37598</v>
      </c>
      <c r="B1374" s="222" t="s">
        <v>19052</v>
      </c>
      <c r="C1374" s="216" t="s">
        <v>17678</v>
      </c>
      <c r="D1374" s="443">
        <v>41.06</v>
      </c>
    </row>
    <row r="1375" spans="1:4" ht="47.25">
      <c r="A1375" s="216">
        <v>25398</v>
      </c>
      <c r="B1375" s="222" t="s">
        <v>19053</v>
      </c>
      <c r="C1375" s="216" t="s">
        <v>17678</v>
      </c>
      <c r="D1375" s="443">
        <v>4529.58</v>
      </c>
    </row>
    <row r="1376" spans="1:4" ht="31.5">
      <c r="A1376" s="216">
        <v>25399</v>
      </c>
      <c r="B1376" s="222" t="s">
        <v>19054</v>
      </c>
      <c r="C1376" s="216" t="s">
        <v>17678</v>
      </c>
      <c r="D1376" s="443">
        <v>2749.85</v>
      </c>
    </row>
    <row r="1377" spans="1:4" ht="31.5">
      <c r="A1377" s="216">
        <v>43440</v>
      </c>
      <c r="B1377" s="222" t="s">
        <v>19055</v>
      </c>
      <c r="C1377" s="216" t="s">
        <v>17678</v>
      </c>
      <c r="D1377" s="443">
        <v>324.7</v>
      </c>
    </row>
    <row r="1378" spans="1:4" ht="31.5">
      <c r="A1378" s="216">
        <v>10667</v>
      </c>
      <c r="B1378" s="222" t="s">
        <v>19056</v>
      </c>
      <c r="C1378" s="216" t="s">
        <v>17678</v>
      </c>
      <c r="D1378" s="443">
        <v>24500</v>
      </c>
    </row>
    <row r="1379" spans="1:4">
      <c r="A1379" s="216">
        <v>1613</v>
      </c>
      <c r="B1379" s="222" t="s">
        <v>19057</v>
      </c>
      <c r="C1379" s="216" t="s">
        <v>17678</v>
      </c>
      <c r="D1379" s="443">
        <v>1155.81</v>
      </c>
    </row>
    <row r="1380" spans="1:4">
      <c r="A1380" s="216">
        <v>1626</v>
      </c>
      <c r="B1380" s="222" t="s">
        <v>19058</v>
      </c>
      <c r="C1380" s="216" t="s">
        <v>17678</v>
      </c>
      <c r="D1380" s="443">
        <v>1728.65</v>
      </c>
    </row>
    <row r="1381" spans="1:4">
      <c r="A1381" s="216">
        <v>1625</v>
      </c>
      <c r="B1381" s="222" t="s">
        <v>19059</v>
      </c>
      <c r="C1381" s="216" t="s">
        <v>17678</v>
      </c>
      <c r="D1381" s="443">
        <v>120.74</v>
      </c>
    </row>
    <row r="1382" spans="1:4">
      <c r="A1382" s="216">
        <v>1622</v>
      </c>
      <c r="B1382" s="222" t="s">
        <v>19060</v>
      </c>
      <c r="C1382" s="216" t="s">
        <v>17678</v>
      </c>
      <c r="D1382" s="443">
        <v>3900.86</v>
      </c>
    </row>
    <row r="1383" spans="1:4">
      <c r="A1383" s="216">
        <v>1620</v>
      </c>
      <c r="B1383" s="222" t="s">
        <v>19061</v>
      </c>
      <c r="C1383" s="216" t="s">
        <v>17678</v>
      </c>
      <c r="D1383" s="443">
        <v>254.34</v>
      </c>
    </row>
    <row r="1384" spans="1:4">
      <c r="A1384" s="216">
        <v>1629</v>
      </c>
      <c r="B1384" s="222" t="s">
        <v>19062</v>
      </c>
      <c r="C1384" s="216" t="s">
        <v>17678</v>
      </c>
      <c r="D1384" s="443">
        <v>9493.7800000000007</v>
      </c>
    </row>
    <row r="1385" spans="1:4">
      <c r="A1385" s="216">
        <v>1627</v>
      </c>
      <c r="B1385" s="222" t="s">
        <v>19063</v>
      </c>
      <c r="C1385" s="216" t="s">
        <v>17678</v>
      </c>
      <c r="D1385" s="443">
        <v>486.17</v>
      </c>
    </row>
    <row r="1386" spans="1:4">
      <c r="A1386" s="216">
        <v>1623</v>
      </c>
      <c r="B1386" s="222" t="s">
        <v>19064</v>
      </c>
      <c r="C1386" s="216" t="s">
        <v>17678</v>
      </c>
      <c r="D1386" s="443">
        <v>98.47</v>
      </c>
    </row>
    <row r="1387" spans="1:4">
      <c r="A1387" s="216">
        <v>1619</v>
      </c>
      <c r="B1387" s="222" t="s">
        <v>19065</v>
      </c>
      <c r="C1387" s="216" t="s">
        <v>17678</v>
      </c>
      <c r="D1387" s="443">
        <v>135.44999999999999</v>
      </c>
    </row>
    <row r="1388" spans="1:4">
      <c r="A1388" s="216">
        <v>1630</v>
      </c>
      <c r="B1388" s="222" t="s">
        <v>19066</v>
      </c>
      <c r="C1388" s="216" t="s">
        <v>17678</v>
      </c>
      <c r="D1388" s="443">
        <v>2982.29</v>
      </c>
    </row>
    <row r="1389" spans="1:4">
      <c r="A1389" s="216">
        <v>1616</v>
      </c>
      <c r="B1389" s="222" t="s">
        <v>19067</v>
      </c>
      <c r="C1389" s="216" t="s">
        <v>17678</v>
      </c>
      <c r="D1389" s="443">
        <v>4586.82</v>
      </c>
    </row>
    <row r="1390" spans="1:4">
      <c r="A1390" s="216">
        <v>1614</v>
      </c>
      <c r="B1390" s="222" t="s">
        <v>19068</v>
      </c>
      <c r="C1390" s="216" t="s">
        <v>17678</v>
      </c>
      <c r="D1390" s="443">
        <v>209.63</v>
      </c>
    </row>
    <row r="1391" spans="1:4">
      <c r="A1391" s="216">
        <v>1617</v>
      </c>
      <c r="B1391" s="222" t="s">
        <v>19069</v>
      </c>
      <c r="C1391" s="216" t="s">
        <v>17678</v>
      </c>
      <c r="D1391" s="443">
        <v>5475.67</v>
      </c>
    </row>
    <row r="1392" spans="1:4">
      <c r="A1392" s="216">
        <v>1621</v>
      </c>
      <c r="B1392" s="222" t="s">
        <v>19070</v>
      </c>
      <c r="C1392" s="216" t="s">
        <v>17678</v>
      </c>
      <c r="D1392" s="443">
        <v>374.92</v>
      </c>
    </row>
    <row r="1393" spans="1:4">
      <c r="A1393" s="216">
        <v>1624</v>
      </c>
      <c r="B1393" s="222" t="s">
        <v>19071</v>
      </c>
      <c r="C1393" s="216" t="s">
        <v>17678</v>
      </c>
      <c r="D1393" s="443">
        <v>13459.46</v>
      </c>
    </row>
    <row r="1394" spans="1:4">
      <c r="A1394" s="216">
        <v>1615</v>
      </c>
      <c r="B1394" s="222" t="s">
        <v>19072</v>
      </c>
      <c r="C1394" s="216" t="s">
        <v>17678</v>
      </c>
      <c r="D1394" s="443">
        <v>704.05</v>
      </c>
    </row>
    <row r="1395" spans="1:4">
      <c r="A1395" s="216">
        <v>1612</v>
      </c>
      <c r="B1395" s="222" t="s">
        <v>19073</v>
      </c>
      <c r="C1395" s="216" t="s">
        <v>17678</v>
      </c>
      <c r="D1395" s="443">
        <v>92.73</v>
      </c>
    </row>
    <row r="1396" spans="1:4">
      <c r="A1396" s="216">
        <v>1618</v>
      </c>
      <c r="B1396" s="222" t="s">
        <v>19074</v>
      </c>
      <c r="C1396" s="216" t="s">
        <v>17678</v>
      </c>
      <c r="D1396" s="443">
        <v>967.47</v>
      </c>
    </row>
    <row r="1397" spans="1:4">
      <c r="A1397" s="216">
        <v>14211</v>
      </c>
      <c r="B1397" s="222" t="s">
        <v>19075</v>
      </c>
      <c r="C1397" s="216" t="s">
        <v>17678</v>
      </c>
      <c r="D1397" s="443">
        <v>41.39</v>
      </c>
    </row>
    <row r="1398" spans="1:4" ht="31.5">
      <c r="A1398" s="216">
        <v>43657</v>
      </c>
      <c r="B1398" s="222" t="s">
        <v>19076</v>
      </c>
      <c r="C1398" s="216" t="s">
        <v>17722</v>
      </c>
      <c r="D1398" s="443">
        <v>13.76</v>
      </c>
    </row>
    <row r="1399" spans="1:4">
      <c r="A1399" s="216">
        <v>34500</v>
      </c>
      <c r="B1399" s="222" t="s">
        <v>19077</v>
      </c>
      <c r="C1399" s="216" t="s">
        <v>17826</v>
      </c>
      <c r="D1399" s="443">
        <v>160.01</v>
      </c>
    </row>
    <row r="1400" spans="1:4">
      <c r="A1400" s="216">
        <v>40934</v>
      </c>
      <c r="B1400" s="222" t="s">
        <v>19078</v>
      </c>
      <c r="C1400" s="216" t="s">
        <v>17828</v>
      </c>
      <c r="D1400" s="443">
        <v>28017.27</v>
      </c>
    </row>
    <row r="1401" spans="1:4">
      <c r="A1401" s="216">
        <v>38200</v>
      </c>
      <c r="B1401" s="222" t="s">
        <v>19079</v>
      </c>
      <c r="C1401" s="216" t="s">
        <v>19080</v>
      </c>
      <c r="D1401" s="443">
        <v>573.65</v>
      </c>
    </row>
    <row r="1402" spans="1:4">
      <c r="A1402" s="216">
        <v>39269</v>
      </c>
      <c r="B1402" s="222" t="s">
        <v>19081</v>
      </c>
      <c r="C1402" s="216" t="s">
        <v>17722</v>
      </c>
      <c r="D1402" s="443">
        <v>1.3</v>
      </c>
    </row>
    <row r="1403" spans="1:4">
      <c r="A1403" s="216">
        <v>11889</v>
      </c>
      <c r="B1403" s="222" t="s">
        <v>19082</v>
      </c>
      <c r="C1403" s="216" t="s">
        <v>17722</v>
      </c>
      <c r="D1403" s="443">
        <v>1.79</v>
      </c>
    </row>
    <row r="1404" spans="1:4">
      <c r="A1404" s="216">
        <v>39270</v>
      </c>
      <c r="B1404" s="222" t="s">
        <v>19083</v>
      </c>
      <c r="C1404" s="216" t="s">
        <v>17722</v>
      </c>
      <c r="D1404" s="443">
        <v>2.3199999999999998</v>
      </c>
    </row>
    <row r="1405" spans="1:4">
      <c r="A1405" s="216">
        <v>11890</v>
      </c>
      <c r="B1405" s="222" t="s">
        <v>19084</v>
      </c>
      <c r="C1405" s="216" t="s">
        <v>17722</v>
      </c>
      <c r="D1405" s="443">
        <v>3.16</v>
      </c>
    </row>
    <row r="1406" spans="1:4">
      <c r="A1406" s="216">
        <v>11891</v>
      </c>
      <c r="B1406" s="222" t="s">
        <v>19085</v>
      </c>
      <c r="C1406" s="216" t="s">
        <v>17722</v>
      </c>
      <c r="D1406" s="443">
        <v>5.13</v>
      </c>
    </row>
    <row r="1407" spans="1:4">
      <c r="A1407" s="216">
        <v>11892</v>
      </c>
      <c r="B1407" s="222" t="s">
        <v>19086</v>
      </c>
      <c r="C1407" s="216" t="s">
        <v>17722</v>
      </c>
      <c r="D1407" s="443">
        <v>8.39</v>
      </c>
    </row>
    <row r="1408" spans="1:4">
      <c r="A1408" s="216">
        <v>37601</v>
      </c>
      <c r="B1408" s="222" t="s">
        <v>19087</v>
      </c>
      <c r="C1408" s="216" t="s">
        <v>17722</v>
      </c>
      <c r="D1408" s="443">
        <v>9.1199999999999992</v>
      </c>
    </row>
    <row r="1409" spans="1:4">
      <c r="A1409" s="216">
        <v>1634</v>
      </c>
      <c r="B1409" s="222" t="s">
        <v>19088</v>
      </c>
      <c r="C1409" s="216" t="s">
        <v>17722</v>
      </c>
      <c r="D1409" s="443">
        <v>9.43</v>
      </c>
    </row>
    <row r="1410" spans="1:4">
      <c r="A1410" s="216">
        <v>5086</v>
      </c>
      <c r="B1410" s="222" t="s">
        <v>19089</v>
      </c>
      <c r="C1410" s="216" t="s">
        <v>17726</v>
      </c>
      <c r="D1410" s="443">
        <v>32.72</v>
      </c>
    </row>
    <row r="1411" spans="1:4" ht="31.5">
      <c r="A1411" s="216">
        <v>11280</v>
      </c>
      <c r="B1411" s="222" t="s">
        <v>19090</v>
      </c>
      <c r="C1411" s="216" t="s">
        <v>17678</v>
      </c>
      <c r="D1411" s="443">
        <v>11051.06</v>
      </c>
    </row>
    <row r="1412" spans="1:4" ht="31.5">
      <c r="A1412" s="216">
        <v>40519</v>
      </c>
      <c r="B1412" s="222" t="s">
        <v>19091</v>
      </c>
      <c r="C1412" s="216" t="s">
        <v>17678</v>
      </c>
      <c r="D1412" s="443">
        <v>91101.21</v>
      </c>
    </row>
    <row r="1413" spans="1:4">
      <c r="A1413" s="216">
        <v>39869</v>
      </c>
      <c r="B1413" s="222" t="s">
        <v>19092</v>
      </c>
      <c r="C1413" s="216" t="s">
        <v>17678</v>
      </c>
      <c r="D1413" s="443">
        <v>13.34</v>
      </c>
    </row>
    <row r="1414" spans="1:4">
      <c r="A1414" s="216">
        <v>39870</v>
      </c>
      <c r="B1414" s="222" t="s">
        <v>19093</v>
      </c>
      <c r="C1414" s="216" t="s">
        <v>17678</v>
      </c>
      <c r="D1414" s="443">
        <v>20.41</v>
      </c>
    </row>
    <row r="1415" spans="1:4">
      <c r="A1415" s="216">
        <v>39871</v>
      </c>
      <c r="B1415" s="222" t="s">
        <v>19094</v>
      </c>
      <c r="C1415" s="216" t="s">
        <v>17678</v>
      </c>
      <c r="D1415" s="443">
        <v>22.88</v>
      </c>
    </row>
    <row r="1416" spans="1:4">
      <c r="A1416" s="216">
        <v>12722</v>
      </c>
      <c r="B1416" s="222" t="s">
        <v>19095</v>
      </c>
      <c r="C1416" s="216" t="s">
        <v>17678</v>
      </c>
      <c r="D1416" s="443">
        <v>765.68</v>
      </c>
    </row>
    <row r="1417" spans="1:4">
      <c r="A1417" s="216">
        <v>12714</v>
      </c>
      <c r="B1417" s="222" t="s">
        <v>19096</v>
      </c>
      <c r="C1417" s="216" t="s">
        <v>17678</v>
      </c>
      <c r="D1417" s="443">
        <v>5</v>
      </c>
    </row>
    <row r="1418" spans="1:4">
      <c r="A1418" s="216">
        <v>12715</v>
      </c>
      <c r="B1418" s="222" t="s">
        <v>19097</v>
      </c>
      <c r="C1418" s="216" t="s">
        <v>17678</v>
      </c>
      <c r="D1418" s="443">
        <v>11.28</v>
      </c>
    </row>
    <row r="1419" spans="1:4">
      <c r="A1419" s="216">
        <v>12716</v>
      </c>
      <c r="B1419" s="222" t="s">
        <v>19098</v>
      </c>
      <c r="C1419" s="216" t="s">
        <v>17678</v>
      </c>
      <c r="D1419" s="443">
        <v>19.38</v>
      </c>
    </row>
    <row r="1420" spans="1:4">
      <c r="A1420" s="216">
        <v>12717</v>
      </c>
      <c r="B1420" s="222" t="s">
        <v>19099</v>
      </c>
      <c r="C1420" s="216" t="s">
        <v>17678</v>
      </c>
      <c r="D1420" s="443">
        <v>38.090000000000003</v>
      </c>
    </row>
    <row r="1421" spans="1:4">
      <c r="A1421" s="216">
        <v>12718</v>
      </c>
      <c r="B1421" s="222" t="s">
        <v>19100</v>
      </c>
      <c r="C1421" s="216" t="s">
        <v>17678</v>
      </c>
      <c r="D1421" s="443">
        <v>58.46</v>
      </c>
    </row>
    <row r="1422" spans="1:4">
      <c r="A1422" s="216">
        <v>12719</v>
      </c>
      <c r="B1422" s="222" t="s">
        <v>19101</v>
      </c>
      <c r="C1422" s="216" t="s">
        <v>17678</v>
      </c>
      <c r="D1422" s="443">
        <v>92.8</v>
      </c>
    </row>
    <row r="1423" spans="1:4">
      <c r="A1423" s="216">
        <v>12720</v>
      </c>
      <c r="B1423" s="222" t="s">
        <v>19102</v>
      </c>
      <c r="C1423" s="216" t="s">
        <v>17678</v>
      </c>
      <c r="D1423" s="443">
        <v>323.14</v>
      </c>
    </row>
    <row r="1424" spans="1:4">
      <c r="A1424" s="216">
        <v>12721</v>
      </c>
      <c r="B1424" s="222" t="s">
        <v>19103</v>
      </c>
      <c r="C1424" s="216" t="s">
        <v>17678</v>
      </c>
      <c r="D1424" s="443">
        <v>309.87</v>
      </c>
    </row>
    <row r="1425" spans="1:4">
      <c r="A1425" s="216">
        <v>3468</v>
      </c>
      <c r="B1425" s="222" t="s">
        <v>19104</v>
      </c>
      <c r="C1425" s="216" t="s">
        <v>17678</v>
      </c>
      <c r="D1425" s="443">
        <v>44.5</v>
      </c>
    </row>
    <row r="1426" spans="1:4">
      <c r="A1426" s="216">
        <v>3465</v>
      </c>
      <c r="B1426" s="222" t="s">
        <v>19105</v>
      </c>
      <c r="C1426" s="216" t="s">
        <v>17678</v>
      </c>
      <c r="D1426" s="443">
        <v>44.49</v>
      </c>
    </row>
    <row r="1427" spans="1:4">
      <c r="A1427" s="216">
        <v>12403</v>
      </c>
      <c r="B1427" s="222" t="s">
        <v>19106</v>
      </c>
      <c r="C1427" s="216" t="s">
        <v>17678</v>
      </c>
      <c r="D1427" s="443">
        <v>31.71</v>
      </c>
    </row>
    <row r="1428" spans="1:4">
      <c r="A1428" s="216">
        <v>3463</v>
      </c>
      <c r="B1428" s="222" t="s">
        <v>19107</v>
      </c>
      <c r="C1428" s="216" t="s">
        <v>17678</v>
      </c>
      <c r="D1428" s="443">
        <v>18.52</v>
      </c>
    </row>
    <row r="1429" spans="1:4">
      <c r="A1429" s="216">
        <v>3464</v>
      </c>
      <c r="B1429" s="222" t="s">
        <v>19108</v>
      </c>
      <c r="C1429" s="216" t="s">
        <v>17678</v>
      </c>
      <c r="D1429" s="443">
        <v>18.52</v>
      </c>
    </row>
    <row r="1430" spans="1:4">
      <c r="A1430" s="216">
        <v>3466</v>
      </c>
      <c r="B1430" s="222" t="s">
        <v>19109</v>
      </c>
      <c r="C1430" s="216" t="s">
        <v>17678</v>
      </c>
      <c r="D1430" s="443">
        <v>112.99</v>
      </c>
    </row>
    <row r="1431" spans="1:4">
      <c r="A1431" s="216">
        <v>3467</v>
      </c>
      <c r="B1431" s="222" t="s">
        <v>19110</v>
      </c>
      <c r="C1431" s="216" t="s">
        <v>17678</v>
      </c>
      <c r="D1431" s="443">
        <v>63.81</v>
      </c>
    </row>
    <row r="1432" spans="1:4">
      <c r="A1432" s="216">
        <v>3462</v>
      </c>
      <c r="B1432" s="222" t="s">
        <v>19111</v>
      </c>
      <c r="C1432" s="216" t="s">
        <v>17678</v>
      </c>
      <c r="D1432" s="443">
        <v>12.22</v>
      </c>
    </row>
    <row r="1433" spans="1:4">
      <c r="A1433" s="216">
        <v>3446</v>
      </c>
      <c r="B1433" s="222" t="s">
        <v>19112</v>
      </c>
      <c r="C1433" s="216" t="s">
        <v>17678</v>
      </c>
      <c r="D1433" s="443">
        <v>37.619999999999997</v>
      </c>
    </row>
    <row r="1434" spans="1:4">
      <c r="A1434" s="216">
        <v>3445</v>
      </c>
      <c r="B1434" s="222" t="s">
        <v>19113</v>
      </c>
      <c r="C1434" s="216" t="s">
        <v>17678</v>
      </c>
      <c r="D1434" s="443">
        <v>30.71</v>
      </c>
    </row>
    <row r="1435" spans="1:4">
      <c r="A1435" s="216">
        <v>3441</v>
      </c>
      <c r="B1435" s="222" t="s">
        <v>19114</v>
      </c>
      <c r="C1435" s="216" t="s">
        <v>17678</v>
      </c>
      <c r="D1435" s="443">
        <v>8.67</v>
      </c>
    </row>
    <row r="1436" spans="1:4">
      <c r="A1436" s="216">
        <v>3444</v>
      </c>
      <c r="B1436" s="222" t="s">
        <v>19115</v>
      </c>
      <c r="C1436" s="216" t="s">
        <v>17678</v>
      </c>
      <c r="D1436" s="443">
        <v>18.899999999999999</v>
      </c>
    </row>
    <row r="1437" spans="1:4">
      <c r="A1437" s="216">
        <v>12402</v>
      </c>
      <c r="B1437" s="222" t="s">
        <v>19116</v>
      </c>
      <c r="C1437" s="216" t="s">
        <v>17678</v>
      </c>
      <c r="D1437" s="443">
        <v>105.74</v>
      </c>
    </row>
    <row r="1438" spans="1:4">
      <c r="A1438" s="216">
        <v>3447</v>
      </c>
      <c r="B1438" s="222" t="s">
        <v>19117</v>
      </c>
      <c r="C1438" s="216" t="s">
        <v>17678</v>
      </c>
      <c r="D1438" s="443">
        <v>54.71</v>
      </c>
    </row>
    <row r="1439" spans="1:4">
      <c r="A1439" s="216">
        <v>3442</v>
      </c>
      <c r="B1439" s="222" t="s">
        <v>19118</v>
      </c>
      <c r="C1439" s="216" t="s">
        <v>17678</v>
      </c>
      <c r="D1439" s="443">
        <v>12.96</v>
      </c>
    </row>
    <row r="1440" spans="1:4">
      <c r="A1440" s="216">
        <v>3448</v>
      </c>
      <c r="B1440" s="222" t="s">
        <v>19119</v>
      </c>
      <c r="C1440" s="216" t="s">
        <v>17678</v>
      </c>
      <c r="D1440" s="443">
        <v>154.6</v>
      </c>
    </row>
    <row r="1441" spans="1:4">
      <c r="A1441" s="216">
        <v>3449</v>
      </c>
      <c r="B1441" s="222" t="s">
        <v>19120</v>
      </c>
      <c r="C1441" s="216" t="s">
        <v>17678</v>
      </c>
      <c r="D1441" s="443">
        <v>270.89</v>
      </c>
    </row>
    <row r="1442" spans="1:4">
      <c r="A1442" s="216">
        <v>37438</v>
      </c>
      <c r="B1442" s="222" t="s">
        <v>19121</v>
      </c>
      <c r="C1442" s="216" t="s">
        <v>17678</v>
      </c>
      <c r="D1442" s="443">
        <v>250.54</v>
      </c>
    </row>
    <row r="1443" spans="1:4">
      <c r="A1443" s="216">
        <v>37439</v>
      </c>
      <c r="B1443" s="222" t="s">
        <v>19122</v>
      </c>
      <c r="C1443" s="216" t="s">
        <v>17678</v>
      </c>
      <c r="D1443" s="443">
        <v>1638.04</v>
      </c>
    </row>
    <row r="1444" spans="1:4">
      <c r="A1444" s="216">
        <v>37435</v>
      </c>
      <c r="B1444" s="222" t="s">
        <v>19123</v>
      </c>
      <c r="C1444" s="216" t="s">
        <v>17678</v>
      </c>
      <c r="D1444" s="443">
        <v>29.44</v>
      </c>
    </row>
    <row r="1445" spans="1:4">
      <c r="A1445" s="216">
        <v>37436</v>
      </c>
      <c r="B1445" s="222" t="s">
        <v>19124</v>
      </c>
      <c r="C1445" s="216" t="s">
        <v>17678</v>
      </c>
      <c r="D1445" s="443">
        <v>34.75</v>
      </c>
    </row>
    <row r="1446" spans="1:4">
      <c r="A1446" s="216">
        <v>37437</v>
      </c>
      <c r="B1446" s="222" t="s">
        <v>19125</v>
      </c>
      <c r="C1446" s="216" t="s">
        <v>17678</v>
      </c>
      <c r="D1446" s="443">
        <v>50.26</v>
      </c>
    </row>
    <row r="1447" spans="1:4">
      <c r="A1447" s="216">
        <v>3473</v>
      </c>
      <c r="B1447" s="222" t="s">
        <v>19126</v>
      </c>
      <c r="C1447" s="216" t="s">
        <v>17678</v>
      </c>
      <c r="D1447" s="443">
        <v>42.53</v>
      </c>
    </row>
    <row r="1448" spans="1:4">
      <c r="A1448" s="216">
        <v>3474</v>
      </c>
      <c r="B1448" s="222" t="s">
        <v>19127</v>
      </c>
      <c r="C1448" s="216" t="s">
        <v>17678</v>
      </c>
      <c r="D1448" s="443">
        <v>35.06</v>
      </c>
    </row>
    <row r="1449" spans="1:4">
      <c r="A1449" s="216">
        <v>3450</v>
      </c>
      <c r="B1449" s="222" t="s">
        <v>19128</v>
      </c>
      <c r="C1449" s="216" t="s">
        <v>17678</v>
      </c>
      <c r="D1449" s="443">
        <v>10.16</v>
      </c>
    </row>
    <row r="1450" spans="1:4">
      <c r="A1450" s="216">
        <v>3443</v>
      </c>
      <c r="B1450" s="222" t="s">
        <v>19129</v>
      </c>
      <c r="C1450" s="216" t="s">
        <v>17678</v>
      </c>
      <c r="D1450" s="443">
        <v>21.81</v>
      </c>
    </row>
    <row r="1451" spans="1:4">
      <c r="A1451" s="216">
        <v>3453</v>
      </c>
      <c r="B1451" s="222" t="s">
        <v>19130</v>
      </c>
      <c r="C1451" s="216" t="s">
        <v>17678</v>
      </c>
      <c r="D1451" s="443">
        <v>124.15</v>
      </c>
    </row>
    <row r="1452" spans="1:4">
      <c r="A1452" s="216">
        <v>3452</v>
      </c>
      <c r="B1452" s="222" t="s">
        <v>19131</v>
      </c>
      <c r="C1452" s="216" t="s">
        <v>17678</v>
      </c>
      <c r="D1452" s="443">
        <v>61.28</v>
      </c>
    </row>
    <row r="1453" spans="1:4">
      <c r="A1453" s="216">
        <v>3451</v>
      </c>
      <c r="B1453" s="222" t="s">
        <v>19132</v>
      </c>
      <c r="C1453" s="216" t="s">
        <v>17678</v>
      </c>
      <c r="D1453" s="443">
        <v>12.15</v>
      </c>
    </row>
    <row r="1454" spans="1:4">
      <c r="A1454" s="216">
        <v>3454</v>
      </c>
      <c r="B1454" s="222" t="s">
        <v>19133</v>
      </c>
      <c r="C1454" s="216" t="s">
        <v>17678</v>
      </c>
      <c r="D1454" s="443">
        <v>188.83</v>
      </c>
    </row>
    <row r="1455" spans="1:4">
      <c r="A1455" s="216">
        <v>3458</v>
      </c>
      <c r="B1455" s="222" t="s">
        <v>19134</v>
      </c>
      <c r="C1455" s="216" t="s">
        <v>17678</v>
      </c>
      <c r="D1455" s="443">
        <v>34.090000000000003</v>
      </c>
    </row>
    <row r="1456" spans="1:4">
      <c r="A1456" s="216">
        <v>3457</v>
      </c>
      <c r="B1456" s="222" t="s">
        <v>19135</v>
      </c>
      <c r="C1456" s="216" t="s">
        <v>17678</v>
      </c>
      <c r="D1456" s="443">
        <v>25.59</v>
      </c>
    </row>
    <row r="1457" spans="1:4">
      <c r="A1457" s="216">
        <v>3455</v>
      </c>
      <c r="B1457" s="222" t="s">
        <v>19136</v>
      </c>
      <c r="C1457" s="216" t="s">
        <v>17678</v>
      </c>
      <c r="D1457" s="443">
        <v>7.27</v>
      </c>
    </row>
    <row r="1458" spans="1:4">
      <c r="A1458" s="216">
        <v>3472</v>
      </c>
      <c r="B1458" s="222" t="s">
        <v>19137</v>
      </c>
      <c r="C1458" s="216" t="s">
        <v>17678</v>
      </c>
      <c r="D1458" s="443">
        <v>16.329999999999998</v>
      </c>
    </row>
    <row r="1459" spans="1:4">
      <c r="A1459" s="216">
        <v>3470</v>
      </c>
      <c r="B1459" s="222" t="s">
        <v>19138</v>
      </c>
      <c r="C1459" s="216" t="s">
        <v>17678</v>
      </c>
      <c r="D1459" s="443">
        <v>95.2</v>
      </c>
    </row>
    <row r="1460" spans="1:4">
      <c r="A1460" s="216">
        <v>3471</v>
      </c>
      <c r="B1460" s="222" t="s">
        <v>19139</v>
      </c>
      <c r="C1460" s="216" t="s">
        <v>17678</v>
      </c>
      <c r="D1460" s="443">
        <v>52.31</v>
      </c>
    </row>
    <row r="1461" spans="1:4">
      <c r="A1461" s="216">
        <v>3456</v>
      </c>
      <c r="B1461" s="222" t="s">
        <v>19140</v>
      </c>
      <c r="C1461" s="216" t="s">
        <v>17678</v>
      </c>
      <c r="D1461" s="443">
        <v>10.88</v>
      </c>
    </row>
    <row r="1462" spans="1:4">
      <c r="A1462" s="216">
        <v>3459</v>
      </c>
      <c r="B1462" s="222" t="s">
        <v>19141</v>
      </c>
      <c r="C1462" s="216" t="s">
        <v>17678</v>
      </c>
      <c r="D1462" s="443">
        <v>134.28</v>
      </c>
    </row>
    <row r="1463" spans="1:4">
      <c r="A1463" s="216">
        <v>3469</v>
      </c>
      <c r="B1463" s="222" t="s">
        <v>19142</v>
      </c>
      <c r="C1463" s="216" t="s">
        <v>17678</v>
      </c>
      <c r="D1463" s="443">
        <v>255.36</v>
      </c>
    </row>
    <row r="1464" spans="1:4">
      <c r="A1464" s="216">
        <v>3460</v>
      </c>
      <c r="B1464" s="222" t="s">
        <v>19143</v>
      </c>
      <c r="C1464" s="216" t="s">
        <v>17678</v>
      </c>
      <c r="D1464" s="443">
        <v>372.61</v>
      </c>
    </row>
    <row r="1465" spans="1:4">
      <c r="A1465" s="216">
        <v>3461</v>
      </c>
      <c r="B1465" s="222" t="s">
        <v>19144</v>
      </c>
      <c r="C1465" s="216" t="s">
        <v>17678</v>
      </c>
      <c r="D1465" s="443">
        <v>952.38</v>
      </c>
    </row>
    <row r="1466" spans="1:4">
      <c r="A1466" s="216">
        <v>37433</v>
      </c>
      <c r="B1466" s="222" t="s">
        <v>19145</v>
      </c>
      <c r="C1466" s="216" t="s">
        <v>17678</v>
      </c>
      <c r="D1466" s="443">
        <v>250.54</v>
      </c>
    </row>
    <row r="1467" spans="1:4">
      <c r="A1467" s="216">
        <v>37430</v>
      </c>
      <c r="B1467" s="222" t="s">
        <v>19146</v>
      </c>
      <c r="C1467" s="216" t="s">
        <v>17678</v>
      </c>
      <c r="D1467" s="443">
        <v>31.4</v>
      </c>
    </row>
    <row r="1468" spans="1:4">
      <c r="A1468" s="216">
        <v>37434</v>
      </c>
      <c r="B1468" s="222" t="s">
        <v>19147</v>
      </c>
      <c r="C1468" s="216" t="s">
        <v>17678</v>
      </c>
      <c r="D1468" s="443">
        <v>2336.06</v>
      </c>
    </row>
    <row r="1469" spans="1:4">
      <c r="A1469" s="216">
        <v>37431</v>
      </c>
      <c r="B1469" s="222" t="s">
        <v>19148</v>
      </c>
      <c r="C1469" s="216" t="s">
        <v>17678</v>
      </c>
      <c r="D1469" s="443">
        <v>42.59</v>
      </c>
    </row>
    <row r="1470" spans="1:4">
      <c r="A1470" s="216">
        <v>37432</v>
      </c>
      <c r="B1470" s="222" t="s">
        <v>19149</v>
      </c>
      <c r="C1470" s="216" t="s">
        <v>17678</v>
      </c>
      <c r="D1470" s="443">
        <v>78.56</v>
      </c>
    </row>
    <row r="1471" spans="1:4" ht="31.5">
      <c r="A1471" s="216">
        <v>37413</v>
      </c>
      <c r="B1471" s="222" t="s">
        <v>19150</v>
      </c>
      <c r="C1471" s="216" t="s">
        <v>17678</v>
      </c>
      <c r="D1471" s="443">
        <v>4.43</v>
      </c>
    </row>
    <row r="1472" spans="1:4" ht="31.5">
      <c r="A1472" s="216">
        <v>37414</v>
      </c>
      <c r="B1472" s="222" t="s">
        <v>19151</v>
      </c>
      <c r="C1472" s="216" t="s">
        <v>17678</v>
      </c>
      <c r="D1472" s="443">
        <v>5.03</v>
      </c>
    </row>
    <row r="1473" spans="1:4" ht="31.5">
      <c r="A1473" s="216">
        <v>37415</v>
      </c>
      <c r="B1473" s="222" t="s">
        <v>19152</v>
      </c>
      <c r="C1473" s="216" t="s">
        <v>17678</v>
      </c>
      <c r="D1473" s="443">
        <v>9.14</v>
      </c>
    </row>
    <row r="1474" spans="1:4" ht="31.5">
      <c r="A1474" s="216">
        <v>37416</v>
      </c>
      <c r="B1474" s="222" t="s">
        <v>19153</v>
      </c>
      <c r="C1474" s="216" t="s">
        <v>17678</v>
      </c>
      <c r="D1474" s="443">
        <v>4.1399999999999997</v>
      </c>
    </row>
    <row r="1475" spans="1:4" ht="31.5">
      <c r="A1475" s="216">
        <v>37417</v>
      </c>
      <c r="B1475" s="222" t="s">
        <v>19154</v>
      </c>
      <c r="C1475" s="216" t="s">
        <v>17678</v>
      </c>
      <c r="D1475" s="443">
        <v>5.96</v>
      </c>
    </row>
    <row r="1476" spans="1:4" ht="31.5">
      <c r="A1476" s="216">
        <v>43590</v>
      </c>
      <c r="B1476" s="222" t="s">
        <v>19155</v>
      </c>
      <c r="C1476" s="216" t="s">
        <v>17678</v>
      </c>
      <c r="D1476" s="443">
        <v>152.13</v>
      </c>
    </row>
    <row r="1477" spans="1:4" ht="31.5">
      <c r="A1477" s="216">
        <v>43589</v>
      </c>
      <c r="B1477" s="222" t="s">
        <v>19156</v>
      </c>
      <c r="C1477" s="216" t="s">
        <v>17678</v>
      </c>
      <c r="D1477" s="443">
        <v>27.52</v>
      </c>
    </row>
    <row r="1478" spans="1:4">
      <c r="A1478" s="216">
        <v>34519</v>
      </c>
      <c r="B1478" s="222" t="s">
        <v>19157</v>
      </c>
      <c r="C1478" s="216" t="s">
        <v>17678</v>
      </c>
      <c r="D1478" s="443">
        <v>80.41</v>
      </c>
    </row>
    <row r="1479" spans="1:4">
      <c r="A1479" s="216">
        <v>1649</v>
      </c>
      <c r="B1479" s="222" t="s">
        <v>19158</v>
      </c>
      <c r="C1479" s="216" t="s">
        <v>17678</v>
      </c>
      <c r="D1479" s="443">
        <v>80.400000000000006</v>
      </c>
    </row>
    <row r="1480" spans="1:4">
      <c r="A1480" s="216">
        <v>1653</v>
      </c>
      <c r="B1480" s="222" t="s">
        <v>19159</v>
      </c>
      <c r="C1480" s="216" t="s">
        <v>17678</v>
      </c>
      <c r="D1480" s="443">
        <v>62.98</v>
      </c>
    </row>
    <row r="1481" spans="1:4">
      <c r="A1481" s="216">
        <v>1647</v>
      </c>
      <c r="B1481" s="222" t="s">
        <v>19160</v>
      </c>
      <c r="C1481" s="216" t="s">
        <v>17678</v>
      </c>
      <c r="D1481" s="443">
        <v>22.55</v>
      </c>
    </row>
    <row r="1482" spans="1:4">
      <c r="A1482" s="216">
        <v>1648</v>
      </c>
      <c r="B1482" s="222" t="s">
        <v>19161</v>
      </c>
      <c r="C1482" s="216" t="s">
        <v>17678</v>
      </c>
      <c r="D1482" s="443">
        <v>43.3</v>
      </c>
    </row>
    <row r="1483" spans="1:4">
      <c r="A1483" s="216">
        <v>1651</v>
      </c>
      <c r="B1483" s="222" t="s">
        <v>19162</v>
      </c>
      <c r="C1483" s="216" t="s">
        <v>17678</v>
      </c>
      <c r="D1483" s="443">
        <v>200.88</v>
      </c>
    </row>
    <row r="1484" spans="1:4">
      <c r="A1484" s="216">
        <v>1650</v>
      </c>
      <c r="B1484" s="222" t="s">
        <v>19163</v>
      </c>
      <c r="C1484" s="216" t="s">
        <v>17678</v>
      </c>
      <c r="D1484" s="443">
        <v>111.04</v>
      </c>
    </row>
    <row r="1485" spans="1:4">
      <c r="A1485" s="216">
        <v>1654</v>
      </c>
      <c r="B1485" s="222" t="s">
        <v>19164</v>
      </c>
      <c r="C1485" s="216" t="s">
        <v>17678</v>
      </c>
      <c r="D1485" s="443">
        <v>30.95</v>
      </c>
    </row>
    <row r="1486" spans="1:4">
      <c r="A1486" s="216">
        <v>1652</v>
      </c>
      <c r="B1486" s="222" t="s">
        <v>19165</v>
      </c>
      <c r="C1486" s="216" t="s">
        <v>17678</v>
      </c>
      <c r="D1486" s="443">
        <v>288.32</v>
      </c>
    </row>
    <row r="1487" spans="1:4">
      <c r="A1487" s="216">
        <v>10510</v>
      </c>
      <c r="B1487" s="222" t="s">
        <v>19166</v>
      </c>
      <c r="C1487" s="216" t="s">
        <v>17678</v>
      </c>
      <c r="D1487" s="443">
        <v>147.28</v>
      </c>
    </row>
    <row r="1488" spans="1:4">
      <c r="A1488" s="216">
        <v>1747</v>
      </c>
      <c r="B1488" s="222" t="s">
        <v>19167</v>
      </c>
      <c r="C1488" s="216" t="s">
        <v>17678</v>
      </c>
      <c r="D1488" s="443">
        <v>239.3</v>
      </c>
    </row>
    <row r="1489" spans="1:4">
      <c r="A1489" s="216">
        <v>1744</v>
      </c>
      <c r="B1489" s="222" t="s">
        <v>19168</v>
      </c>
      <c r="C1489" s="216" t="s">
        <v>17678</v>
      </c>
      <c r="D1489" s="443">
        <v>165.75</v>
      </c>
    </row>
    <row r="1490" spans="1:4">
      <c r="A1490" s="216">
        <v>1743</v>
      </c>
      <c r="B1490" s="222" t="s">
        <v>19169</v>
      </c>
      <c r="C1490" s="216" t="s">
        <v>17678</v>
      </c>
      <c r="D1490" s="443">
        <v>217.66</v>
      </c>
    </row>
    <row r="1491" spans="1:4" ht="31.5">
      <c r="A1491" s="216">
        <v>39640</v>
      </c>
      <c r="B1491" s="222" t="s">
        <v>19170</v>
      </c>
      <c r="C1491" s="216" t="s">
        <v>17678</v>
      </c>
      <c r="D1491" s="443">
        <v>12.76</v>
      </c>
    </row>
    <row r="1492" spans="1:4" ht="31.5">
      <c r="A1492" s="216">
        <v>7216</v>
      </c>
      <c r="B1492" s="222" t="s">
        <v>19171</v>
      </c>
      <c r="C1492" s="216" t="s">
        <v>17678</v>
      </c>
      <c r="D1492" s="443">
        <v>68.53</v>
      </c>
    </row>
    <row r="1493" spans="1:4" ht="31.5">
      <c r="A1493" s="216">
        <v>20235</v>
      </c>
      <c r="B1493" s="222" t="s">
        <v>19172</v>
      </c>
      <c r="C1493" s="216" t="s">
        <v>17678</v>
      </c>
      <c r="D1493" s="443">
        <v>55.1</v>
      </c>
    </row>
    <row r="1494" spans="1:4">
      <c r="A1494" s="216">
        <v>7181</v>
      </c>
      <c r="B1494" s="222" t="s">
        <v>19173</v>
      </c>
      <c r="C1494" s="216" t="s">
        <v>17678</v>
      </c>
      <c r="D1494" s="443">
        <v>3.64</v>
      </c>
    </row>
    <row r="1495" spans="1:4">
      <c r="A1495" s="216">
        <v>40742</v>
      </c>
      <c r="B1495" s="222" t="s">
        <v>19174</v>
      </c>
      <c r="C1495" s="216" t="s">
        <v>17678</v>
      </c>
      <c r="D1495" s="443">
        <v>8.9700000000000006</v>
      </c>
    </row>
    <row r="1496" spans="1:4" ht="31.5">
      <c r="A1496" s="216">
        <v>7214</v>
      </c>
      <c r="B1496" s="222" t="s">
        <v>19175</v>
      </c>
      <c r="C1496" s="216" t="s">
        <v>17678</v>
      </c>
      <c r="D1496" s="443">
        <v>66.92</v>
      </c>
    </row>
    <row r="1497" spans="1:4" ht="31.5">
      <c r="A1497" s="216">
        <v>7219</v>
      </c>
      <c r="B1497" s="222" t="s">
        <v>19176</v>
      </c>
      <c r="C1497" s="216" t="s">
        <v>17678</v>
      </c>
      <c r="D1497" s="443">
        <v>59.36</v>
      </c>
    </row>
    <row r="1498" spans="1:4">
      <c r="A1498" s="216">
        <v>37971</v>
      </c>
      <c r="B1498" s="222" t="s">
        <v>19177</v>
      </c>
      <c r="C1498" s="216" t="s">
        <v>17678</v>
      </c>
      <c r="D1498" s="443">
        <v>5.1100000000000003</v>
      </c>
    </row>
    <row r="1499" spans="1:4">
      <c r="A1499" s="216">
        <v>37972</v>
      </c>
      <c r="B1499" s="222" t="s">
        <v>19178</v>
      </c>
      <c r="C1499" s="216" t="s">
        <v>17678</v>
      </c>
      <c r="D1499" s="443">
        <v>7.26</v>
      </c>
    </row>
    <row r="1500" spans="1:4">
      <c r="A1500" s="216">
        <v>37973</v>
      </c>
      <c r="B1500" s="222" t="s">
        <v>19179</v>
      </c>
      <c r="C1500" s="216" t="s">
        <v>17678</v>
      </c>
      <c r="D1500" s="443">
        <v>13.64</v>
      </c>
    </row>
    <row r="1501" spans="1:4">
      <c r="A1501" s="216">
        <v>1926</v>
      </c>
      <c r="B1501" s="222" t="s">
        <v>19180</v>
      </c>
      <c r="C1501" s="216" t="s">
        <v>17678</v>
      </c>
      <c r="D1501" s="443">
        <v>2.54</v>
      </c>
    </row>
    <row r="1502" spans="1:4">
      <c r="A1502" s="216">
        <v>1927</v>
      </c>
      <c r="B1502" s="222" t="s">
        <v>19181</v>
      </c>
      <c r="C1502" s="216" t="s">
        <v>17678</v>
      </c>
      <c r="D1502" s="443">
        <v>2.85</v>
      </c>
    </row>
    <row r="1503" spans="1:4">
      <c r="A1503" s="216">
        <v>1923</v>
      </c>
      <c r="B1503" s="222" t="s">
        <v>19182</v>
      </c>
      <c r="C1503" s="216" t="s">
        <v>17678</v>
      </c>
      <c r="D1503" s="443">
        <v>5.2</v>
      </c>
    </row>
    <row r="1504" spans="1:4">
      <c r="A1504" s="216">
        <v>1929</v>
      </c>
      <c r="B1504" s="222" t="s">
        <v>19183</v>
      </c>
      <c r="C1504" s="216" t="s">
        <v>17678</v>
      </c>
      <c r="D1504" s="443">
        <v>6.3</v>
      </c>
    </row>
    <row r="1505" spans="1:4">
      <c r="A1505" s="216">
        <v>1930</v>
      </c>
      <c r="B1505" s="222" t="s">
        <v>19184</v>
      </c>
      <c r="C1505" s="216" t="s">
        <v>17678</v>
      </c>
      <c r="D1505" s="443">
        <v>10.79</v>
      </c>
    </row>
    <row r="1506" spans="1:4">
      <c r="A1506" s="216">
        <v>1924</v>
      </c>
      <c r="B1506" s="222" t="s">
        <v>19185</v>
      </c>
      <c r="C1506" s="216" t="s">
        <v>17678</v>
      </c>
      <c r="D1506" s="443">
        <v>17.41</v>
      </c>
    </row>
    <row r="1507" spans="1:4">
      <c r="A1507" s="216">
        <v>1922</v>
      </c>
      <c r="B1507" s="222" t="s">
        <v>19186</v>
      </c>
      <c r="C1507" s="216" t="s">
        <v>17678</v>
      </c>
      <c r="D1507" s="443">
        <v>36</v>
      </c>
    </row>
    <row r="1508" spans="1:4">
      <c r="A1508" s="216">
        <v>1953</v>
      </c>
      <c r="B1508" s="222" t="s">
        <v>19187</v>
      </c>
      <c r="C1508" s="216" t="s">
        <v>17678</v>
      </c>
      <c r="D1508" s="443">
        <v>43.95</v>
      </c>
    </row>
    <row r="1509" spans="1:4">
      <c r="A1509" s="216">
        <v>1962</v>
      </c>
      <c r="B1509" s="222" t="s">
        <v>19188</v>
      </c>
      <c r="C1509" s="216" t="s">
        <v>17678</v>
      </c>
      <c r="D1509" s="443">
        <v>213.51</v>
      </c>
    </row>
    <row r="1510" spans="1:4">
      <c r="A1510" s="216">
        <v>1955</v>
      </c>
      <c r="B1510" s="222" t="s">
        <v>19189</v>
      </c>
      <c r="C1510" s="216" t="s">
        <v>17678</v>
      </c>
      <c r="D1510" s="443">
        <v>2.46</v>
      </c>
    </row>
    <row r="1511" spans="1:4">
      <c r="A1511" s="216">
        <v>1956</v>
      </c>
      <c r="B1511" s="222" t="s">
        <v>19190</v>
      </c>
      <c r="C1511" s="216" t="s">
        <v>17678</v>
      </c>
      <c r="D1511" s="443">
        <v>3.47</v>
      </c>
    </row>
    <row r="1512" spans="1:4">
      <c r="A1512" s="216">
        <v>1957</v>
      </c>
      <c r="B1512" s="222" t="s">
        <v>19191</v>
      </c>
      <c r="C1512" s="216" t="s">
        <v>17678</v>
      </c>
      <c r="D1512" s="443">
        <v>7.51</v>
      </c>
    </row>
    <row r="1513" spans="1:4">
      <c r="A1513" s="216">
        <v>1958</v>
      </c>
      <c r="B1513" s="222" t="s">
        <v>19192</v>
      </c>
      <c r="C1513" s="216" t="s">
        <v>17678</v>
      </c>
      <c r="D1513" s="443">
        <v>13.98</v>
      </c>
    </row>
    <row r="1514" spans="1:4">
      <c r="A1514" s="216">
        <v>1959</v>
      </c>
      <c r="B1514" s="222" t="s">
        <v>19193</v>
      </c>
      <c r="C1514" s="216" t="s">
        <v>17678</v>
      </c>
      <c r="D1514" s="443">
        <v>15.17</v>
      </c>
    </row>
    <row r="1515" spans="1:4">
      <c r="A1515" s="216">
        <v>1925</v>
      </c>
      <c r="B1515" s="222" t="s">
        <v>19194</v>
      </c>
      <c r="C1515" s="216" t="s">
        <v>17678</v>
      </c>
      <c r="D1515" s="443">
        <v>39.65</v>
      </c>
    </row>
    <row r="1516" spans="1:4">
      <c r="A1516" s="216">
        <v>1960</v>
      </c>
      <c r="B1516" s="222" t="s">
        <v>19195</v>
      </c>
      <c r="C1516" s="216" t="s">
        <v>17678</v>
      </c>
      <c r="D1516" s="443">
        <v>60.89</v>
      </c>
    </row>
    <row r="1517" spans="1:4">
      <c r="A1517" s="216">
        <v>1961</v>
      </c>
      <c r="B1517" s="222" t="s">
        <v>19196</v>
      </c>
      <c r="C1517" s="216" t="s">
        <v>17678</v>
      </c>
      <c r="D1517" s="443">
        <v>78</v>
      </c>
    </row>
    <row r="1518" spans="1:4">
      <c r="A1518" s="216">
        <v>38423</v>
      </c>
      <c r="B1518" s="222" t="s">
        <v>19197</v>
      </c>
      <c r="C1518" s="216" t="s">
        <v>17678</v>
      </c>
      <c r="D1518" s="443">
        <v>36.19</v>
      </c>
    </row>
    <row r="1519" spans="1:4">
      <c r="A1519" s="216">
        <v>39866</v>
      </c>
      <c r="B1519" s="222" t="s">
        <v>19198</v>
      </c>
      <c r="C1519" s="216" t="s">
        <v>17678</v>
      </c>
      <c r="D1519" s="443">
        <v>17.670000000000002</v>
      </c>
    </row>
    <row r="1520" spans="1:4">
      <c r="A1520" s="216">
        <v>39867</v>
      </c>
      <c r="B1520" s="222" t="s">
        <v>19199</v>
      </c>
      <c r="C1520" s="216" t="s">
        <v>17678</v>
      </c>
      <c r="D1520" s="443">
        <v>39.29</v>
      </c>
    </row>
    <row r="1521" spans="1:4">
      <c r="A1521" s="216">
        <v>39868</v>
      </c>
      <c r="B1521" s="222" t="s">
        <v>19200</v>
      </c>
      <c r="C1521" s="216" t="s">
        <v>17678</v>
      </c>
      <c r="D1521" s="443">
        <v>70.790000000000006</v>
      </c>
    </row>
    <row r="1522" spans="1:4">
      <c r="A1522" s="216">
        <v>37999</v>
      </c>
      <c r="B1522" s="222" t="s">
        <v>19201</v>
      </c>
      <c r="C1522" s="216" t="s">
        <v>17678</v>
      </c>
      <c r="D1522" s="443">
        <v>8.6199999999999992</v>
      </c>
    </row>
    <row r="1523" spans="1:4">
      <c r="A1523" s="216">
        <v>38000</v>
      </c>
      <c r="B1523" s="222" t="s">
        <v>19202</v>
      </c>
      <c r="C1523" s="216" t="s">
        <v>17678</v>
      </c>
      <c r="D1523" s="443">
        <v>10.07</v>
      </c>
    </row>
    <row r="1524" spans="1:4">
      <c r="A1524" s="216">
        <v>38129</v>
      </c>
      <c r="B1524" s="222" t="s">
        <v>19203</v>
      </c>
      <c r="C1524" s="216" t="s">
        <v>17678</v>
      </c>
      <c r="D1524" s="443">
        <v>5.72</v>
      </c>
    </row>
    <row r="1525" spans="1:4">
      <c r="A1525" s="216">
        <v>38025</v>
      </c>
      <c r="B1525" s="222" t="s">
        <v>19204</v>
      </c>
      <c r="C1525" s="216" t="s">
        <v>17678</v>
      </c>
      <c r="D1525" s="443">
        <v>7.77</v>
      </c>
    </row>
    <row r="1526" spans="1:4">
      <c r="A1526" s="216">
        <v>38026</v>
      </c>
      <c r="B1526" s="222" t="s">
        <v>19205</v>
      </c>
      <c r="C1526" s="216" t="s">
        <v>17678</v>
      </c>
      <c r="D1526" s="443">
        <v>19.190000000000001</v>
      </c>
    </row>
    <row r="1527" spans="1:4">
      <c r="A1527" s="216">
        <v>1858</v>
      </c>
      <c r="B1527" s="222" t="s">
        <v>19206</v>
      </c>
      <c r="C1527" s="216" t="s">
        <v>17678</v>
      </c>
      <c r="D1527" s="443">
        <v>56.08</v>
      </c>
    </row>
    <row r="1528" spans="1:4">
      <c r="A1528" s="216">
        <v>1844</v>
      </c>
      <c r="B1528" s="222" t="s">
        <v>19207</v>
      </c>
      <c r="C1528" s="216" t="s">
        <v>17678</v>
      </c>
      <c r="D1528" s="443">
        <v>128.43</v>
      </c>
    </row>
    <row r="1529" spans="1:4">
      <c r="A1529" s="216">
        <v>1863</v>
      </c>
      <c r="B1529" s="222" t="s">
        <v>19208</v>
      </c>
      <c r="C1529" s="216" t="s">
        <v>17678</v>
      </c>
      <c r="D1529" s="443">
        <v>59.68</v>
      </c>
    </row>
    <row r="1530" spans="1:4">
      <c r="A1530" s="216">
        <v>1865</v>
      </c>
      <c r="B1530" s="222" t="s">
        <v>19209</v>
      </c>
      <c r="C1530" s="216" t="s">
        <v>17678</v>
      </c>
      <c r="D1530" s="443">
        <v>155.49</v>
      </c>
    </row>
    <row r="1531" spans="1:4">
      <c r="A1531" s="216">
        <v>36355</v>
      </c>
      <c r="B1531" s="222" t="s">
        <v>19210</v>
      </c>
      <c r="C1531" s="216" t="s">
        <v>17678</v>
      </c>
      <c r="D1531" s="443">
        <v>10.74</v>
      </c>
    </row>
    <row r="1532" spans="1:4">
      <c r="A1532" s="216">
        <v>36356</v>
      </c>
      <c r="B1532" s="222" t="s">
        <v>19211</v>
      </c>
      <c r="C1532" s="216" t="s">
        <v>17678</v>
      </c>
      <c r="D1532" s="443">
        <v>17.28</v>
      </c>
    </row>
    <row r="1533" spans="1:4">
      <c r="A1533" s="216">
        <v>1966</v>
      </c>
      <c r="B1533" s="222" t="s">
        <v>19212</v>
      </c>
      <c r="C1533" s="216" t="s">
        <v>17678</v>
      </c>
      <c r="D1533" s="443">
        <v>23.8</v>
      </c>
    </row>
    <row r="1534" spans="1:4">
      <c r="A1534" s="216">
        <v>1933</v>
      </c>
      <c r="B1534" s="222" t="s">
        <v>19213</v>
      </c>
      <c r="C1534" s="216" t="s">
        <v>17678</v>
      </c>
      <c r="D1534" s="443">
        <v>5.13</v>
      </c>
    </row>
    <row r="1535" spans="1:4">
      <c r="A1535" s="216">
        <v>1932</v>
      </c>
      <c r="B1535" s="222" t="s">
        <v>19214</v>
      </c>
      <c r="C1535" s="216" t="s">
        <v>17678</v>
      </c>
      <c r="D1535" s="443">
        <v>11.74</v>
      </c>
    </row>
    <row r="1536" spans="1:4">
      <c r="A1536" s="216">
        <v>1951</v>
      </c>
      <c r="B1536" s="222" t="s">
        <v>19215</v>
      </c>
      <c r="C1536" s="216" t="s">
        <v>17678</v>
      </c>
      <c r="D1536" s="443">
        <v>24.48</v>
      </c>
    </row>
    <row r="1537" spans="1:4">
      <c r="A1537" s="216">
        <v>1970</v>
      </c>
      <c r="B1537" s="222" t="s">
        <v>19216</v>
      </c>
      <c r="C1537" s="216" t="s">
        <v>17678</v>
      </c>
      <c r="D1537" s="443">
        <v>59.49</v>
      </c>
    </row>
    <row r="1538" spans="1:4">
      <c r="A1538" s="216">
        <v>1967</v>
      </c>
      <c r="B1538" s="222" t="s">
        <v>19217</v>
      </c>
      <c r="C1538" s="216" t="s">
        <v>17678</v>
      </c>
      <c r="D1538" s="443">
        <v>7.06</v>
      </c>
    </row>
    <row r="1539" spans="1:4">
      <c r="A1539" s="216">
        <v>1968</v>
      </c>
      <c r="B1539" s="222" t="s">
        <v>19218</v>
      </c>
      <c r="C1539" s="216" t="s">
        <v>17678</v>
      </c>
      <c r="D1539" s="443">
        <v>13.96</v>
      </c>
    </row>
    <row r="1540" spans="1:4">
      <c r="A1540" s="216">
        <v>1969</v>
      </c>
      <c r="B1540" s="222" t="s">
        <v>19219</v>
      </c>
      <c r="C1540" s="216" t="s">
        <v>17678</v>
      </c>
      <c r="D1540" s="443">
        <v>45.45</v>
      </c>
    </row>
    <row r="1541" spans="1:4">
      <c r="A1541" s="216">
        <v>1827</v>
      </c>
      <c r="B1541" s="222" t="s">
        <v>19220</v>
      </c>
      <c r="C1541" s="216" t="s">
        <v>17678</v>
      </c>
      <c r="D1541" s="443">
        <v>151.46</v>
      </c>
    </row>
    <row r="1542" spans="1:4">
      <c r="A1542" s="216">
        <v>1831</v>
      </c>
      <c r="B1542" s="222" t="s">
        <v>19221</v>
      </c>
      <c r="C1542" s="216" t="s">
        <v>17678</v>
      </c>
      <c r="D1542" s="443">
        <v>33.06</v>
      </c>
    </row>
    <row r="1543" spans="1:4">
      <c r="A1543" s="216">
        <v>1825</v>
      </c>
      <c r="B1543" s="222" t="s">
        <v>19222</v>
      </c>
      <c r="C1543" s="216" t="s">
        <v>17678</v>
      </c>
      <c r="D1543" s="443">
        <v>81.599999999999994</v>
      </c>
    </row>
    <row r="1544" spans="1:4">
      <c r="A1544" s="216">
        <v>1828</v>
      </c>
      <c r="B1544" s="222" t="s">
        <v>19223</v>
      </c>
      <c r="C1544" s="216" t="s">
        <v>17678</v>
      </c>
      <c r="D1544" s="443">
        <v>184.83</v>
      </c>
    </row>
    <row r="1545" spans="1:4">
      <c r="A1545" s="216">
        <v>1845</v>
      </c>
      <c r="B1545" s="222" t="s">
        <v>19224</v>
      </c>
      <c r="C1545" s="216" t="s">
        <v>17678</v>
      </c>
      <c r="D1545" s="443">
        <v>41.44</v>
      </c>
    </row>
    <row r="1546" spans="1:4">
      <c r="A1546" s="216">
        <v>1824</v>
      </c>
      <c r="B1546" s="222" t="s">
        <v>19225</v>
      </c>
      <c r="C1546" s="216" t="s">
        <v>17678</v>
      </c>
      <c r="D1546" s="443">
        <v>97.82</v>
      </c>
    </row>
    <row r="1547" spans="1:4">
      <c r="A1547" s="216">
        <v>1940</v>
      </c>
      <c r="B1547" s="222" t="s">
        <v>19226</v>
      </c>
      <c r="C1547" s="216" t="s">
        <v>17678</v>
      </c>
      <c r="D1547" s="443">
        <v>38.74</v>
      </c>
    </row>
    <row r="1548" spans="1:4">
      <c r="A1548" s="216">
        <v>1937</v>
      </c>
      <c r="B1548" s="222" t="s">
        <v>19227</v>
      </c>
      <c r="C1548" s="216" t="s">
        <v>17678</v>
      </c>
      <c r="D1548" s="443">
        <v>6.54</v>
      </c>
    </row>
    <row r="1549" spans="1:4">
      <c r="A1549" s="216">
        <v>1939</v>
      </c>
      <c r="B1549" s="222" t="s">
        <v>19228</v>
      </c>
      <c r="C1549" s="216" t="s">
        <v>17678</v>
      </c>
      <c r="D1549" s="443">
        <v>10.63</v>
      </c>
    </row>
    <row r="1550" spans="1:4">
      <c r="A1550" s="216">
        <v>1938</v>
      </c>
      <c r="B1550" s="222" t="s">
        <v>19229</v>
      </c>
      <c r="C1550" s="216" t="s">
        <v>17678</v>
      </c>
      <c r="D1550" s="443">
        <v>7.43</v>
      </c>
    </row>
    <row r="1551" spans="1:4">
      <c r="A1551" s="216">
        <v>42693</v>
      </c>
      <c r="B1551" s="222" t="s">
        <v>19230</v>
      </c>
      <c r="C1551" s="216" t="s">
        <v>17678</v>
      </c>
      <c r="D1551" s="443">
        <v>436.8</v>
      </c>
    </row>
    <row r="1552" spans="1:4">
      <c r="A1552" s="216">
        <v>42695</v>
      </c>
      <c r="B1552" s="222" t="s">
        <v>19231</v>
      </c>
      <c r="C1552" s="216" t="s">
        <v>17678</v>
      </c>
      <c r="D1552" s="443">
        <v>305.17</v>
      </c>
    </row>
    <row r="1553" spans="1:4">
      <c r="A1553" s="216">
        <v>42694</v>
      </c>
      <c r="B1553" s="222" t="s">
        <v>19232</v>
      </c>
      <c r="C1553" s="216" t="s">
        <v>17678</v>
      </c>
      <c r="D1553" s="443">
        <v>584.53</v>
      </c>
    </row>
    <row r="1554" spans="1:4">
      <c r="A1554" s="216">
        <v>20097</v>
      </c>
      <c r="B1554" s="222" t="s">
        <v>19233</v>
      </c>
      <c r="C1554" s="216" t="s">
        <v>17678</v>
      </c>
      <c r="D1554" s="443">
        <v>25.34</v>
      </c>
    </row>
    <row r="1555" spans="1:4">
      <c r="A1555" s="216">
        <v>20098</v>
      </c>
      <c r="B1555" s="222" t="s">
        <v>19234</v>
      </c>
      <c r="C1555" s="216" t="s">
        <v>17678</v>
      </c>
      <c r="D1555" s="443">
        <v>103.58</v>
      </c>
    </row>
    <row r="1556" spans="1:4">
      <c r="A1556" s="216">
        <v>20096</v>
      </c>
      <c r="B1556" s="222" t="s">
        <v>19235</v>
      </c>
      <c r="C1556" s="216" t="s">
        <v>17678</v>
      </c>
      <c r="D1556" s="443">
        <v>26.23</v>
      </c>
    </row>
    <row r="1557" spans="1:4">
      <c r="A1557" s="216">
        <v>1880</v>
      </c>
      <c r="B1557" s="222" t="s">
        <v>19236</v>
      </c>
      <c r="C1557" s="216" t="s">
        <v>17678</v>
      </c>
      <c r="D1557" s="443">
        <v>4.46</v>
      </c>
    </row>
    <row r="1558" spans="1:4">
      <c r="A1558" s="216">
        <v>39274</v>
      </c>
      <c r="B1558" s="222" t="s">
        <v>19237</v>
      </c>
      <c r="C1558" s="216" t="s">
        <v>17678</v>
      </c>
      <c r="D1558" s="443">
        <v>3.46</v>
      </c>
    </row>
    <row r="1559" spans="1:4">
      <c r="A1559" s="216">
        <v>2628</v>
      </c>
      <c r="B1559" s="222" t="s">
        <v>19238</v>
      </c>
      <c r="C1559" s="216" t="s">
        <v>17678</v>
      </c>
      <c r="D1559" s="443">
        <v>263.36</v>
      </c>
    </row>
    <row r="1560" spans="1:4">
      <c r="A1560" s="216">
        <v>2622</v>
      </c>
      <c r="B1560" s="222" t="s">
        <v>19239</v>
      </c>
      <c r="C1560" s="216" t="s">
        <v>17678</v>
      </c>
      <c r="D1560" s="443">
        <v>6.25</v>
      </c>
    </row>
    <row r="1561" spans="1:4">
      <c r="A1561" s="216">
        <v>2623</v>
      </c>
      <c r="B1561" s="222" t="s">
        <v>19240</v>
      </c>
      <c r="C1561" s="216" t="s">
        <v>17678</v>
      </c>
      <c r="D1561" s="443">
        <v>7.53</v>
      </c>
    </row>
    <row r="1562" spans="1:4">
      <c r="A1562" s="216">
        <v>2624</v>
      </c>
      <c r="B1562" s="222" t="s">
        <v>19241</v>
      </c>
      <c r="C1562" s="216" t="s">
        <v>17678</v>
      </c>
      <c r="D1562" s="443">
        <v>11.97</v>
      </c>
    </row>
    <row r="1563" spans="1:4">
      <c r="A1563" s="216">
        <v>2625</v>
      </c>
      <c r="B1563" s="222" t="s">
        <v>19242</v>
      </c>
      <c r="C1563" s="216" t="s">
        <v>17678</v>
      </c>
      <c r="D1563" s="443">
        <v>25.27</v>
      </c>
    </row>
    <row r="1564" spans="1:4">
      <c r="A1564" s="216">
        <v>2626</v>
      </c>
      <c r="B1564" s="222" t="s">
        <v>19243</v>
      </c>
      <c r="C1564" s="216" t="s">
        <v>17678</v>
      </c>
      <c r="D1564" s="443">
        <v>37.03</v>
      </c>
    </row>
    <row r="1565" spans="1:4">
      <c r="A1565" s="216">
        <v>2630</v>
      </c>
      <c r="B1565" s="222" t="s">
        <v>19244</v>
      </c>
      <c r="C1565" s="216" t="s">
        <v>17678</v>
      </c>
      <c r="D1565" s="443">
        <v>56.31</v>
      </c>
    </row>
    <row r="1566" spans="1:4">
      <c r="A1566" s="216">
        <v>2627</v>
      </c>
      <c r="B1566" s="222" t="s">
        <v>19245</v>
      </c>
      <c r="C1566" s="216" t="s">
        <v>17678</v>
      </c>
      <c r="D1566" s="443">
        <v>99.2</v>
      </c>
    </row>
    <row r="1567" spans="1:4">
      <c r="A1567" s="216">
        <v>2629</v>
      </c>
      <c r="B1567" s="222" t="s">
        <v>19246</v>
      </c>
      <c r="C1567" s="216" t="s">
        <v>17678</v>
      </c>
      <c r="D1567" s="443">
        <v>134.16999999999999</v>
      </c>
    </row>
    <row r="1568" spans="1:4">
      <c r="A1568" s="216">
        <v>12033</v>
      </c>
      <c r="B1568" s="222" t="s">
        <v>19247</v>
      </c>
      <c r="C1568" s="216" t="s">
        <v>17678</v>
      </c>
      <c r="D1568" s="443">
        <v>14.23</v>
      </c>
    </row>
    <row r="1569" spans="1:4">
      <c r="A1569" s="216">
        <v>40408</v>
      </c>
      <c r="B1569" s="222" t="s">
        <v>19248</v>
      </c>
      <c r="C1569" s="216" t="s">
        <v>17678</v>
      </c>
      <c r="D1569" s="443">
        <v>9.35</v>
      </c>
    </row>
    <row r="1570" spans="1:4">
      <c r="A1570" s="216">
        <v>40409</v>
      </c>
      <c r="B1570" s="222" t="s">
        <v>19249</v>
      </c>
      <c r="C1570" s="216" t="s">
        <v>17678</v>
      </c>
      <c r="D1570" s="443">
        <v>3.31</v>
      </c>
    </row>
    <row r="1571" spans="1:4">
      <c r="A1571" s="216">
        <v>39276</v>
      </c>
      <c r="B1571" s="222" t="s">
        <v>19250</v>
      </c>
      <c r="C1571" s="216" t="s">
        <v>17678</v>
      </c>
      <c r="D1571" s="443">
        <v>8.43</v>
      </c>
    </row>
    <row r="1572" spans="1:4">
      <c r="A1572" s="216">
        <v>39277</v>
      </c>
      <c r="B1572" s="222" t="s">
        <v>19251</v>
      </c>
      <c r="C1572" s="216" t="s">
        <v>17678</v>
      </c>
      <c r="D1572" s="443">
        <v>22.75</v>
      </c>
    </row>
    <row r="1573" spans="1:4">
      <c r="A1573" s="216">
        <v>12034</v>
      </c>
      <c r="B1573" s="222" t="s">
        <v>19252</v>
      </c>
      <c r="C1573" s="216" t="s">
        <v>17678</v>
      </c>
      <c r="D1573" s="443">
        <v>6.45</v>
      </c>
    </row>
    <row r="1574" spans="1:4">
      <c r="A1574" s="216">
        <v>39879</v>
      </c>
      <c r="B1574" s="222" t="s">
        <v>19253</v>
      </c>
      <c r="C1574" s="216" t="s">
        <v>17678</v>
      </c>
      <c r="D1574" s="443">
        <v>4.97</v>
      </c>
    </row>
    <row r="1575" spans="1:4">
      <c r="A1575" s="216">
        <v>39880</v>
      </c>
      <c r="B1575" s="222" t="s">
        <v>19254</v>
      </c>
      <c r="C1575" s="216" t="s">
        <v>17678</v>
      </c>
      <c r="D1575" s="443">
        <v>11</v>
      </c>
    </row>
    <row r="1576" spans="1:4">
      <c r="A1576" s="216">
        <v>39881</v>
      </c>
      <c r="B1576" s="222" t="s">
        <v>19255</v>
      </c>
      <c r="C1576" s="216" t="s">
        <v>17678</v>
      </c>
      <c r="D1576" s="443">
        <v>17.66</v>
      </c>
    </row>
    <row r="1577" spans="1:4">
      <c r="A1577" s="216">
        <v>39882</v>
      </c>
      <c r="B1577" s="222" t="s">
        <v>19256</v>
      </c>
      <c r="C1577" s="216" t="s">
        <v>17678</v>
      </c>
      <c r="D1577" s="443">
        <v>46.52</v>
      </c>
    </row>
    <row r="1578" spans="1:4">
      <c r="A1578" s="216">
        <v>39883</v>
      </c>
      <c r="B1578" s="222" t="s">
        <v>19257</v>
      </c>
      <c r="C1578" s="216" t="s">
        <v>17678</v>
      </c>
      <c r="D1578" s="443">
        <v>74.28</v>
      </c>
    </row>
    <row r="1579" spans="1:4">
      <c r="A1579" s="216">
        <v>39884</v>
      </c>
      <c r="B1579" s="222" t="s">
        <v>19258</v>
      </c>
      <c r="C1579" s="216" t="s">
        <v>17678</v>
      </c>
      <c r="D1579" s="443">
        <v>110.32</v>
      </c>
    </row>
    <row r="1580" spans="1:4">
      <c r="A1580" s="216">
        <v>39885</v>
      </c>
      <c r="B1580" s="222" t="s">
        <v>19259</v>
      </c>
      <c r="C1580" s="216" t="s">
        <v>17678</v>
      </c>
      <c r="D1580" s="443">
        <v>262.2</v>
      </c>
    </row>
    <row r="1581" spans="1:4">
      <c r="A1581" s="216">
        <v>1777</v>
      </c>
      <c r="B1581" s="222" t="s">
        <v>19260</v>
      </c>
      <c r="C1581" s="216" t="s">
        <v>17678</v>
      </c>
      <c r="D1581" s="443">
        <v>86.69</v>
      </c>
    </row>
    <row r="1582" spans="1:4">
      <c r="A1582" s="216">
        <v>1819</v>
      </c>
      <c r="B1582" s="222" t="s">
        <v>19261</v>
      </c>
      <c r="C1582" s="216" t="s">
        <v>17678</v>
      </c>
      <c r="D1582" s="443">
        <v>63.07</v>
      </c>
    </row>
    <row r="1583" spans="1:4">
      <c r="A1583" s="216">
        <v>1775</v>
      </c>
      <c r="B1583" s="222" t="s">
        <v>19262</v>
      </c>
      <c r="C1583" s="216" t="s">
        <v>17678</v>
      </c>
      <c r="D1583" s="443">
        <v>18.86</v>
      </c>
    </row>
    <row r="1584" spans="1:4">
      <c r="A1584" s="216">
        <v>1776</v>
      </c>
      <c r="B1584" s="222" t="s">
        <v>19263</v>
      </c>
      <c r="C1584" s="216" t="s">
        <v>17678</v>
      </c>
      <c r="D1584" s="443">
        <v>51.31</v>
      </c>
    </row>
    <row r="1585" spans="1:4">
      <c r="A1585" s="216">
        <v>1778</v>
      </c>
      <c r="B1585" s="222" t="s">
        <v>19264</v>
      </c>
      <c r="C1585" s="216" t="s">
        <v>17678</v>
      </c>
      <c r="D1585" s="443">
        <v>209.84</v>
      </c>
    </row>
    <row r="1586" spans="1:4">
      <c r="A1586" s="216">
        <v>1818</v>
      </c>
      <c r="B1586" s="222" t="s">
        <v>19265</v>
      </c>
      <c r="C1586" s="216" t="s">
        <v>17678</v>
      </c>
      <c r="D1586" s="443">
        <v>139.29</v>
      </c>
    </row>
    <row r="1587" spans="1:4">
      <c r="A1587" s="216">
        <v>1820</v>
      </c>
      <c r="B1587" s="222" t="s">
        <v>19266</v>
      </c>
      <c r="C1587" s="216" t="s">
        <v>17678</v>
      </c>
      <c r="D1587" s="443">
        <v>27.24</v>
      </c>
    </row>
    <row r="1588" spans="1:4">
      <c r="A1588" s="216">
        <v>1779</v>
      </c>
      <c r="B1588" s="222" t="s">
        <v>19267</v>
      </c>
      <c r="C1588" s="216" t="s">
        <v>17678</v>
      </c>
      <c r="D1588" s="443">
        <v>305.17</v>
      </c>
    </row>
    <row r="1589" spans="1:4">
      <c r="A1589" s="216">
        <v>1780</v>
      </c>
      <c r="B1589" s="222" t="s">
        <v>19268</v>
      </c>
      <c r="C1589" s="216" t="s">
        <v>17678</v>
      </c>
      <c r="D1589" s="443">
        <v>629.13</v>
      </c>
    </row>
    <row r="1590" spans="1:4">
      <c r="A1590" s="216">
        <v>1783</v>
      </c>
      <c r="B1590" s="222" t="s">
        <v>19269</v>
      </c>
      <c r="C1590" s="216" t="s">
        <v>17678</v>
      </c>
      <c r="D1590" s="443">
        <v>66.52</v>
      </c>
    </row>
    <row r="1591" spans="1:4">
      <c r="A1591" s="216">
        <v>1782</v>
      </c>
      <c r="B1591" s="222" t="s">
        <v>19270</v>
      </c>
      <c r="C1591" s="216" t="s">
        <v>17678</v>
      </c>
      <c r="D1591" s="443">
        <v>52.59</v>
      </c>
    </row>
    <row r="1592" spans="1:4">
      <c r="A1592" s="216">
        <v>1817</v>
      </c>
      <c r="B1592" s="222" t="s">
        <v>19271</v>
      </c>
      <c r="C1592" s="216" t="s">
        <v>17678</v>
      </c>
      <c r="D1592" s="443">
        <v>15.67</v>
      </c>
    </row>
    <row r="1593" spans="1:4">
      <c r="A1593" s="216">
        <v>1781</v>
      </c>
      <c r="B1593" s="222" t="s">
        <v>19272</v>
      </c>
      <c r="C1593" s="216" t="s">
        <v>17678</v>
      </c>
      <c r="D1593" s="443">
        <v>34.270000000000003</v>
      </c>
    </row>
    <row r="1594" spans="1:4">
      <c r="A1594" s="216">
        <v>1784</v>
      </c>
      <c r="B1594" s="222" t="s">
        <v>19273</v>
      </c>
      <c r="C1594" s="216" t="s">
        <v>17678</v>
      </c>
      <c r="D1594" s="443">
        <v>187.83</v>
      </c>
    </row>
    <row r="1595" spans="1:4">
      <c r="A1595" s="216">
        <v>1810</v>
      </c>
      <c r="B1595" s="222" t="s">
        <v>19274</v>
      </c>
      <c r="C1595" s="216" t="s">
        <v>17678</v>
      </c>
      <c r="D1595" s="443">
        <v>104.18</v>
      </c>
    </row>
    <row r="1596" spans="1:4">
      <c r="A1596" s="216">
        <v>1811</v>
      </c>
      <c r="B1596" s="222" t="s">
        <v>19275</v>
      </c>
      <c r="C1596" s="216" t="s">
        <v>17678</v>
      </c>
      <c r="D1596" s="443">
        <v>22.54</v>
      </c>
    </row>
    <row r="1597" spans="1:4">
      <c r="A1597" s="216">
        <v>1812</v>
      </c>
      <c r="B1597" s="222" t="s">
        <v>19276</v>
      </c>
      <c r="C1597" s="216" t="s">
        <v>17678</v>
      </c>
      <c r="D1597" s="443">
        <v>263</v>
      </c>
    </row>
    <row r="1598" spans="1:4">
      <c r="A1598" s="216">
        <v>40386</v>
      </c>
      <c r="B1598" s="222" t="s">
        <v>19277</v>
      </c>
      <c r="C1598" s="216" t="s">
        <v>17678</v>
      </c>
      <c r="D1598" s="443">
        <v>98.8</v>
      </c>
    </row>
    <row r="1599" spans="1:4">
      <c r="A1599" s="216">
        <v>40384</v>
      </c>
      <c r="B1599" s="222" t="s">
        <v>19278</v>
      </c>
      <c r="C1599" s="216" t="s">
        <v>17678</v>
      </c>
      <c r="D1599" s="443">
        <v>67.64</v>
      </c>
    </row>
    <row r="1600" spans="1:4">
      <c r="A1600" s="216">
        <v>40379</v>
      </c>
      <c r="B1600" s="222" t="s">
        <v>19279</v>
      </c>
      <c r="C1600" s="216" t="s">
        <v>17678</v>
      </c>
      <c r="D1600" s="443">
        <v>23.38</v>
      </c>
    </row>
    <row r="1601" spans="1:4">
      <c r="A1601" s="216">
        <v>40423</v>
      </c>
      <c r="B1601" s="222" t="s">
        <v>19280</v>
      </c>
      <c r="C1601" s="216" t="s">
        <v>17678</v>
      </c>
      <c r="D1601" s="443">
        <v>44.25</v>
      </c>
    </row>
    <row r="1602" spans="1:4">
      <c r="A1602" s="216">
        <v>40389</v>
      </c>
      <c r="B1602" s="222" t="s">
        <v>19281</v>
      </c>
      <c r="C1602" s="216" t="s">
        <v>17678</v>
      </c>
      <c r="D1602" s="443">
        <v>280.64</v>
      </c>
    </row>
    <row r="1603" spans="1:4">
      <c r="A1603" s="216">
        <v>40388</v>
      </c>
      <c r="B1603" s="222" t="s">
        <v>19282</v>
      </c>
      <c r="C1603" s="216" t="s">
        <v>17678</v>
      </c>
      <c r="D1603" s="443">
        <v>140.47</v>
      </c>
    </row>
    <row r="1604" spans="1:4">
      <c r="A1604" s="216">
        <v>40381</v>
      </c>
      <c r="B1604" s="222" t="s">
        <v>19283</v>
      </c>
      <c r="C1604" s="216" t="s">
        <v>17678</v>
      </c>
      <c r="D1604" s="443">
        <v>31.18</v>
      </c>
    </row>
    <row r="1605" spans="1:4">
      <c r="A1605" s="216">
        <v>40391</v>
      </c>
      <c r="B1605" s="222" t="s">
        <v>19284</v>
      </c>
      <c r="C1605" s="216" t="s">
        <v>17678</v>
      </c>
      <c r="D1605" s="443">
        <v>728.4</v>
      </c>
    </row>
    <row r="1606" spans="1:4">
      <c r="A1606" s="216">
        <v>40414</v>
      </c>
      <c r="B1606" s="222" t="s">
        <v>19285</v>
      </c>
      <c r="C1606" s="216" t="s">
        <v>17678</v>
      </c>
      <c r="D1606" s="443">
        <v>23.39</v>
      </c>
    </row>
    <row r="1607" spans="1:4">
      <c r="A1607" s="216">
        <v>40416</v>
      </c>
      <c r="B1607" s="222" t="s">
        <v>19286</v>
      </c>
      <c r="C1607" s="216" t="s">
        <v>17678</v>
      </c>
      <c r="D1607" s="443">
        <v>32.33</v>
      </c>
    </row>
    <row r="1608" spans="1:4">
      <c r="A1608" s="216">
        <v>40418</v>
      </c>
      <c r="B1608" s="222" t="s">
        <v>19287</v>
      </c>
      <c r="C1608" s="216" t="s">
        <v>17678</v>
      </c>
      <c r="D1608" s="443">
        <v>38.57</v>
      </c>
    </row>
    <row r="1609" spans="1:4">
      <c r="A1609" s="216">
        <v>2609</v>
      </c>
      <c r="B1609" s="222" t="s">
        <v>19288</v>
      </c>
      <c r="C1609" s="216" t="s">
        <v>17678</v>
      </c>
      <c r="D1609" s="443">
        <v>5.87</v>
      </c>
    </row>
    <row r="1610" spans="1:4">
      <c r="A1610" s="216">
        <v>2634</v>
      </c>
      <c r="B1610" s="222" t="s">
        <v>19289</v>
      </c>
      <c r="C1610" s="216" t="s">
        <v>17678</v>
      </c>
      <c r="D1610" s="443">
        <v>7.72</v>
      </c>
    </row>
    <row r="1611" spans="1:4">
      <c r="A1611" s="216">
        <v>2611</v>
      </c>
      <c r="B1611" s="222" t="s">
        <v>19290</v>
      </c>
      <c r="C1611" s="216" t="s">
        <v>17678</v>
      </c>
      <c r="D1611" s="443">
        <v>21.75</v>
      </c>
    </row>
    <row r="1612" spans="1:4">
      <c r="A1612" s="216">
        <v>34359</v>
      </c>
      <c r="B1612" s="222" t="s">
        <v>19291</v>
      </c>
      <c r="C1612" s="216" t="s">
        <v>17678</v>
      </c>
      <c r="D1612" s="443">
        <v>11.55</v>
      </c>
    </row>
    <row r="1613" spans="1:4">
      <c r="A1613" s="216">
        <v>1789</v>
      </c>
      <c r="B1613" s="222" t="s">
        <v>19292</v>
      </c>
      <c r="C1613" s="216" t="s">
        <v>17678</v>
      </c>
      <c r="D1613" s="443">
        <v>83.2</v>
      </c>
    </row>
    <row r="1614" spans="1:4">
      <c r="A1614" s="216">
        <v>1788</v>
      </c>
      <c r="B1614" s="222" t="s">
        <v>19293</v>
      </c>
      <c r="C1614" s="216" t="s">
        <v>17678</v>
      </c>
      <c r="D1614" s="443">
        <v>66.69</v>
      </c>
    </row>
    <row r="1615" spans="1:4">
      <c r="A1615" s="216">
        <v>1786</v>
      </c>
      <c r="B1615" s="222" t="s">
        <v>19294</v>
      </c>
      <c r="C1615" s="216" t="s">
        <v>17678</v>
      </c>
      <c r="D1615" s="443">
        <v>16.559999999999999</v>
      </c>
    </row>
    <row r="1616" spans="1:4">
      <c r="A1616" s="216">
        <v>1787</v>
      </c>
      <c r="B1616" s="222" t="s">
        <v>19295</v>
      </c>
      <c r="C1616" s="216" t="s">
        <v>17678</v>
      </c>
      <c r="D1616" s="443">
        <v>39.65</v>
      </c>
    </row>
    <row r="1617" spans="1:4">
      <c r="A1617" s="216">
        <v>1791</v>
      </c>
      <c r="B1617" s="222" t="s">
        <v>19296</v>
      </c>
      <c r="C1617" s="216" t="s">
        <v>17678</v>
      </c>
      <c r="D1617" s="443">
        <v>240.46</v>
      </c>
    </row>
    <row r="1618" spans="1:4">
      <c r="A1618" s="216">
        <v>1790</v>
      </c>
      <c r="B1618" s="222" t="s">
        <v>19297</v>
      </c>
      <c r="C1618" s="216" t="s">
        <v>17678</v>
      </c>
      <c r="D1618" s="443">
        <v>138.56</v>
      </c>
    </row>
    <row r="1619" spans="1:4">
      <c r="A1619" s="216">
        <v>1813</v>
      </c>
      <c r="B1619" s="222" t="s">
        <v>19298</v>
      </c>
      <c r="C1619" s="216" t="s">
        <v>17678</v>
      </c>
      <c r="D1619" s="443">
        <v>26.28</v>
      </c>
    </row>
    <row r="1620" spans="1:4">
      <c r="A1620" s="216">
        <v>1792</v>
      </c>
      <c r="B1620" s="222" t="s">
        <v>19299</v>
      </c>
      <c r="C1620" s="216" t="s">
        <v>17678</v>
      </c>
      <c r="D1620" s="443">
        <v>324.58</v>
      </c>
    </row>
    <row r="1621" spans="1:4">
      <c r="A1621" s="216">
        <v>1793</v>
      </c>
      <c r="B1621" s="222" t="s">
        <v>19300</v>
      </c>
      <c r="C1621" s="216" t="s">
        <v>17678</v>
      </c>
      <c r="D1621" s="443">
        <v>655.87</v>
      </c>
    </row>
    <row r="1622" spans="1:4">
      <c r="A1622" s="216">
        <v>1809</v>
      </c>
      <c r="B1622" s="222" t="s">
        <v>19301</v>
      </c>
      <c r="C1622" s="216" t="s">
        <v>17678</v>
      </c>
      <c r="D1622" s="443">
        <v>78</v>
      </c>
    </row>
    <row r="1623" spans="1:4">
      <c r="A1623" s="216">
        <v>1814</v>
      </c>
      <c r="B1623" s="222" t="s">
        <v>19302</v>
      </c>
      <c r="C1623" s="216" t="s">
        <v>17678</v>
      </c>
      <c r="D1623" s="443">
        <v>64.08</v>
      </c>
    </row>
    <row r="1624" spans="1:4">
      <c r="A1624" s="216">
        <v>1803</v>
      </c>
      <c r="B1624" s="222" t="s">
        <v>19303</v>
      </c>
      <c r="C1624" s="216" t="s">
        <v>17678</v>
      </c>
      <c r="D1624" s="443">
        <v>16.190000000000001</v>
      </c>
    </row>
    <row r="1625" spans="1:4">
      <c r="A1625" s="216">
        <v>1805</v>
      </c>
      <c r="B1625" s="222" t="s">
        <v>19304</v>
      </c>
      <c r="C1625" s="216" t="s">
        <v>17678</v>
      </c>
      <c r="D1625" s="443">
        <v>37.19</v>
      </c>
    </row>
    <row r="1626" spans="1:4">
      <c r="A1626" s="216">
        <v>1821</v>
      </c>
      <c r="B1626" s="222" t="s">
        <v>19305</v>
      </c>
      <c r="C1626" s="216" t="s">
        <v>17678</v>
      </c>
      <c r="D1626" s="443">
        <v>219.69</v>
      </c>
    </row>
    <row r="1627" spans="1:4">
      <c r="A1627" s="216">
        <v>1806</v>
      </c>
      <c r="B1627" s="222" t="s">
        <v>19306</v>
      </c>
      <c r="C1627" s="216" t="s">
        <v>17678</v>
      </c>
      <c r="D1627" s="443">
        <v>130.76</v>
      </c>
    </row>
    <row r="1628" spans="1:4">
      <c r="A1628" s="216">
        <v>1804</v>
      </c>
      <c r="B1628" s="222" t="s">
        <v>19307</v>
      </c>
      <c r="C1628" s="216" t="s">
        <v>17678</v>
      </c>
      <c r="D1628" s="443">
        <v>23.05</v>
      </c>
    </row>
    <row r="1629" spans="1:4">
      <c r="A1629" s="216">
        <v>1807</v>
      </c>
      <c r="B1629" s="222" t="s">
        <v>19308</v>
      </c>
      <c r="C1629" s="216" t="s">
        <v>17678</v>
      </c>
      <c r="D1629" s="443">
        <v>314.2</v>
      </c>
    </row>
    <row r="1630" spans="1:4">
      <c r="A1630" s="216">
        <v>1808</v>
      </c>
      <c r="B1630" s="222" t="s">
        <v>19309</v>
      </c>
      <c r="C1630" s="216" t="s">
        <v>17678</v>
      </c>
      <c r="D1630" s="443">
        <v>629.91</v>
      </c>
    </row>
    <row r="1631" spans="1:4">
      <c r="A1631" s="216">
        <v>1797</v>
      </c>
      <c r="B1631" s="222" t="s">
        <v>19310</v>
      </c>
      <c r="C1631" s="216" t="s">
        <v>17678</v>
      </c>
      <c r="D1631" s="443">
        <v>94.47</v>
      </c>
    </row>
    <row r="1632" spans="1:4">
      <c r="A1632" s="216">
        <v>1796</v>
      </c>
      <c r="B1632" s="222" t="s">
        <v>19311</v>
      </c>
      <c r="C1632" s="216" t="s">
        <v>17678</v>
      </c>
      <c r="D1632" s="443">
        <v>72.47</v>
      </c>
    </row>
    <row r="1633" spans="1:4">
      <c r="A1633" s="216">
        <v>1794</v>
      </c>
      <c r="B1633" s="222" t="s">
        <v>19312</v>
      </c>
      <c r="C1633" s="216" t="s">
        <v>17678</v>
      </c>
      <c r="D1633" s="443">
        <v>17.3</v>
      </c>
    </row>
    <row r="1634" spans="1:4">
      <c r="A1634" s="216">
        <v>1816</v>
      </c>
      <c r="B1634" s="222" t="s">
        <v>19313</v>
      </c>
      <c r="C1634" s="216" t="s">
        <v>17678</v>
      </c>
      <c r="D1634" s="443">
        <v>39.01</v>
      </c>
    </row>
    <row r="1635" spans="1:4">
      <c r="A1635" s="216">
        <v>1815</v>
      </c>
      <c r="B1635" s="222" t="s">
        <v>19314</v>
      </c>
      <c r="C1635" s="216" t="s">
        <v>17678</v>
      </c>
      <c r="D1635" s="443">
        <v>299.55</v>
      </c>
    </row>
    <row r="1636" spans="1:4">
      <c r="A1636" s="216">
        <v>1798</v>
      </c>
      <c r="B1636" s="222" t="s">
        <v>19315</v>
      </c>
      <c r="C1636" s="216" t="s">
        <v>17678</v>
      </c>
      <c r="D1636" s="443">
        <v>134.04</v>
      </c>
    </row>
    <row r="1637" spans="1:4">
      <c r="A1637" s="216">
        <v>1795</v>
      </c>
      <c r="B1637" s="222" t="s">
        <v>19316</v>
      </c>
      <c r="C1637" s="216" t="s">
        <v>17678</v>
      </c>
      <c r="D1637" s="443">
        <v>23.96</v>
      </c>
    </row>
    <row r="1638" spans="1:4">
      <c r="A1638" s="216">
        <v>1799</v>
      </c>
      <c r="B1638" s="222" t="s">
        <v>19317</v>
      </c>
      <c r="C1638" s="216" t="s">
        <v>17678</v>
      </c>
      <c r="D1638" s="443">
        <v>390.13</v>
      </c>
    </row>
    <row r="1639" spans="1:4">
      <c r="A1639" s="216">
        <v>1800</v>
      </c>
      <c r="B1639" s="222" t="s">
        <v>19318</v>
      </c>
      <c r="C1639" s="216" t="s">
        <v>17678</v>
      </c>
      <c r="D1639" s="443">
        <v>744.83</v>
      </c>
    </row>
    <row r="1640" spans="1:4">
      <c r="A1640" s="216">
        <v>1802</v>
      </c>
      <c r="B1640" s="222" t="s">
        <v>19319</v>
      </c>
      <c r="C1640" s="216" t="s">
        <v>17678</v>
      </c>
      <c r="D1640" s="443">
        <v>1863.11</v>
      </c>
    </row>
    <row r="1641" spans="1:4">
      <c r="A1641" s="216">
        <v>40385</v>
      </c>
      <c r="B1641" s="222" t="s">
        <v>19320</v>
      </c>
      <c r="C1641" s="216" t="s">
        <v>17678</v>
      </c>
      <c r="D1641" s="443">
        <v>98.8</v>
      </c>
    </row>
    <row r="1642" spans="1:4">
      <c r="A1642" s="216">
        <v>40383</v>
      </c>
      <c r="B1642" s="222" t="s">
        <v>19321</v>
      </c>
      <c r="C1642" s="216" t="s">
        <v>17678</v>
      </c>
      <c r="D1642" s="443">
        <v>67.64</v>
      </c>
    </row>
    <row r="1643" spans="1:4">
      <c r="A1643" s="216">
        <v>40378</v>
      </c>
      <c r="B1643" s="222" t="s">
        <v>19322</v>
      </c>
      <c r="C1643" s="216" t="s">
        <v>17678</v>
      </c>
      <c r="D1643" s="443">
        <v>23.38</v>
      </c>
    </row>
    <row r="1644" spans="1:4">
      <c r="A1644" s="216">
        <v>40382</v>
      </c>
      <c r="B1644" s="222" t="s">
        <v>19323</v>
      </c>
      <c r="C1644" s="216" t="s">
        <v>17678</v>
      </c>
      <c r="D1644" s="443">
        <v>44.25</v>
      </c>
    </row>
    <row r="1645" spans="1:4">
      <c r="A1645" s="216">
        <v>40422</v>
      </c>
      <c r="B1645" s="222" t="s">
        <v>19324</v>
      </c>
      <c r="C1645" s="216" t="s">
        <v>17678</v>
      </c>
      <c r="D1645" s="443">
        <v>301.47000000000003</v>
      </c>
    </row>
    <row r="1646" spans="1:4">
      <c r="A1646" s="216">
        <v>40387</v>
      </c>
      <c r="B1646" s="222" t="s">
        <v>19325</v>
      </c>
      <c r="C1646" s="216" t="s">
        <v>17678</v>
      </c>
      <c r="D1646" s="443">
        <v>153.5</v>
      </c>
    </row>
    <row r="1647" spans="1:4">
      <c r="A1647" s="216">
        <v>40380</v>
      </c>
      <c r="B1647" s="222" t="s">
        <v>19326</v>
      </c>
      <c r="C1647" s="216" t="s">
        <v>17678</v>
      </c>
      <c r="D1647" s="443">
        <v>31.18</v>
      </c>
    </row>
    <row r="1648" spans="1:4">
      <c r="A1648" s="216">
        <v>40390</v>
      </c>
      <c r="B1648" s="222" t="s">
        <v>19327</v>
      </c>
      <c r="C1648" s="216" t="s">
        <v>17678</v>
      </c>
      <c r="D1648" s="443">
        <v>634.94000000000005</v>
      </c>
    </row>
    <row r="1649" spans="1:4">
      <c r="A1649" s="216">
        <v>40413</v>
      </c>
      <c r="B1649" s="222" t="s">
        <v>19328</v>
      </c>
      <c r="C1649" s="216" t="s">
        <v>17678</v>
      </c>
      <c r="D1649" s="443">
        <v>25.41</v>
      </c>
    </row>
    <row r="1650" spans="1:4">
      <c r="A1650" s="216">
        <v>40415</v>
      </c>
      <c r="B1650" s="222" t="s">
        <v>19329</v>
      </c>
      <c r="C1650" s="216" t="s">
        <v>17678</v>
      </c>
      <c r="D1650" s="443">
        <v>36.21</v>
      </c>
    </row>
    <row r="1651" spans="1:4">
      <c r="A1651" s="216">
        <v>40417</v>
      </c>
      <c r="B1651" s="222" t="s">
        <v>19330</v>
      </c>
      <c r="C1651" s="216" t="s">
        <v>17678</v>
      </c>
      <c r="D1651" s="443">
        <v>42.72</v>
      </c>
    </row>
    <row r="1652" spans="1:4">
      <c r="A1652" s="216">
        <v>39271</v>
      </c>
      <c r="B1652" s="222" t="s">
        <v>19331</v>
      </c>
      <c r="C1652" s="216" t="s">
        <v>17678</v>
      </c>
      <c r="D1652" s="443">
        <v>2.87</v>
      </c>
    </row>
    <row r="1653" spans="1:4">
      <c r="A1653" s="216">
        <v>39273</v>
      </c>
      <c r="B1653" s="222" t="s">
        <v>19332</v>
      </c>
      <c r="C1653" s="216" t="s">
        <v>17678</v>
      </c>
      <c r="D1653" s="443">
        <v>4.87</v>
      </c>
    </row>
    <row r="1654" spans="1:4">
      <c r="A1654" s="216">
        <v>39272</v>
      </c>
      <c r="B1654" s="222" t="s">
        <v>19333</v>
      </c>
      <c r="C1654" s="216" t="s">
        <v>17678</v>
      </c>
      <c r="D1654" s="443">
        <v>3.52</v>
      </c>
    </row>
    <row r="1655" spans="1:4">
      <c r="A1655" s="216">
        <v>1875</v>
      </c>
      <c r="B1655" s="222" t="s">
        <v>19334</v>
      </c>
      <c r="C1655" s="216" t="s">
        <v>17678</v>
      </c>
      <c r="D1655" s="443">
        <v>7.78</v>
      </c>
    </row>
    <row r="1656" spans="1:4">
      <c r="A1656" s="216">
        <v>1874</v>
      </c>
      <c r="B1656" s="222" t="s">
        <v>19335</v>
      </c>
      <c r="C1656" s="216" t="s">
        <v>17678</v>
      </c>
      <c r="D1656" s="443">
        <v>6.43</v>
      </c>
    </row>
    <row r="1657" spans="1:4">
      <c r="A1657" s="216">
        <v>1870</v>
      </c>
      <c r="B1657" s="222" t="s">
        <v>19336</v>
      </c>
      <c r="C1657" s="216" t="s">
        <v>17678</v>
      </c>
      <c r="D1657" s="443">
        <v>3.71</v>
      </c>
    </row>
    <row r="1658" spans="1:4">
      <c r="A1658" s="216">
        <v>1884</v>
      </c>
      <c r="B1658" s="222" t="s">
        <v>19337</v>
      </c>
      <c r="C1658" s="216" t="s">
        <v>17678</v>
      </c>
      <c r="D1658" s="443">
        <v>5.69</v>
      </c>
    </row>
    <row r="1659" spans="1:4">
      <c r="A1659" s="216">
        <v>1887</v>
      </c>
      <c r="B1659" s="222" t="s">
        <v>19338</v>
      </c>
      <c r="C1659" s="216" t="s">
        <v>17678</v>
      </c>
      <c r="D1659" s="443">
        <v>32.26</v>
      </c>
    </row>
    <row r="1660" spans="1:4">
      <c r="A1660" s="216">
        <v>1876</v>
      </c>
      <c r="B1660" s="222" t="s">
        <v>19339</v>
      </c>
      <c r="C1660" s="216" t="s">
        <v>17678</v>
      </c>
      <c r="D1660" s="443">
        <v>12.64</v>
      </c>
    </row>
    <row r="1661" spans="1:4">
      <c r="A1661" s="216">
        <v>1879</v>
      </c>
      <c r="B1661" s="222" t="s">
        <v>19340</v>
      </c>
      <c r="C1661" s="216" t="s">
        <v>17678</v>
      </c>
      <c r="D1661" s="443">
        <v>3.76</v>
      </c>
    </row>
    <row r="1662" spans="1:4">
      <c r="A1662" s="216">
        <v>1877</v>
      </c>
      <c r="B1662" s="222" t="s">
        <v>19341</v>
      </c>
      <c r="C1662" s="216" t="s">
        <v>17678</v>
      </c>
      <c r="D1662" s="443">
        <v>32.299999999999997</v>
      </c>
    </row>
    <row r="1663" spans="1:4">
      <c r="A1663" s="216">
        <v>1878</v>
      </c>
      <c r="B1663" s="222" t="s">
        <v>19342</v>
      </c>
      <c r="C1663" s="216" t="s">
        <v>17678</v>
      </c>
      <c r="D1663" s="443">
        <v>64.89</v>
      </c>
    </row>
    <row r="1664" spans="1:4">
      <c r="A1664" s="216">
        <v>2621</v>
      </c>
      <c r="B1664" s="222" t="s">
        <v>19343</v>
      </c>
      <c r="C1664" s="216" t="s">
        <v>17678</v>
      </c>
      <c r="D1664" s="443">
        <v>186.07</v>
      </c>
    </row>
    <row r="1665" spans="1:4">
      <c r="A1665" s="216">
        <v>2616</v>
      </c>
      <c r="B1665" s="222" t="s">
        <v>19344</v>
      </c>
      <c r="C1665" s="216" t="s">
        <v>17678</v>
      </c>
      <c r="D1665" s="443">
        <v>5.26</v>
      </c>
    </row>
    <row r="1666" spans="1:4">
      <c r="A1666" s="216">
        <v>2633</v>
      </c>
      <c r="B1666" s="222" t="s">
        <v>19345</v>
      </c>
      <c r="C1666" s="216" t="s">
        <v>17678</v>
      </c>
      <c r="D1666" s="443">
        <v>5.95</v>
      </c>
    </row>
    <row r="1667" spans="1:4">
      <c r="A1667" s="216">
        <v>2617</v>
      </c>
      <c r="B1667" s="222" t="s">
        <v>19346</v>
      </c>
      <c r="C1667" s="216" t="s">
        <v>17678</v>
      </c>
      <c r="D1667" s="443">
        <v>8.09</v>
      </c>
    </row>
    <row r="1668" spans="1:4">
      <c r="A1668" s="216">
        <v>2618</v>
      </c>
      <c r="B1668" s="222" t="s">
        <v>19347</v>
      </c>
      <c r="C1668" s="216" t="s">
        <v>17678</v>
      </c>
      <c r="D1668" s="443">
        <v>18.43</v>
      </c>
    </row>
    <row r="1669" spans="1:4">
      <c r="A1669" s="216">
        <v>2632</v>
      </c>
      <c r="B1669" s="222" t="s">
        <v>19348</v>
      </c>
      <c r="C1669" s="216" t="s">
        <v>17678</v>
      </c>
      <c r="D1669" s="443">
        <v>22.48</v>
      </c>
    </row>
    <row r="1670" spans="1:4">
      <c r="A1670" s="216">
        <v>2631</v>
      </c>
      <c r="B1670" s="222" t="s">
        <v>19349</v>
      </c>
      <c r="C1670" s="216" t="s">
        <v>17678</v>
      </c>
      <c r="D1670" s="443">
        <v>33</v>
      </c>
    </row>
    <row r="1671" spans="1:4">
      <c r="A1671" s="216">
        <v>2619</v>
      </c>
      <c r="B1671" s="222" t="s">
        <v>19350</v>
      </c>
      <c r="C1671" s="216" t="s">
        <v>17678</v>
      </c>
      <c r="D1671" s="443">
        <v>83.57</v>
      </c>
    </row>
    <row r="1672" spans="1:4">
      <c r="A1672" s="216">
        <v>2620</v>
      </c>
      <c r="B1672" s="222" t="s">
        <v>19351</v>
      </c>
      <c r="C1672" s="216" t="s">
        <v>17678</v>
      </c>
      <c r="D1672" s="443">
        <v>109.71</v>
      </c>
    </row>
    <row r="1673" spans="1:4">
      <c r="A1673" s="216">
        <v>44472</v>
      </c>
      <c r="B1673" s="222" t="s">
        <v>19352</v>
      </c>
      <c r="C1673" s="216" t="s">
        <v>17678</v>
      </c>
      <c r="D1673" s="443">
        <v>64.36</v>
      </c>
    </row>
    <row r="1674" spans="1:4">
      <c r="A1674" s="216">
        <v>38369</v>
      </c>
      <c r="B1674" s="222" t="s">
        <v>19353</v>
      </c>
      <c r="C1674" s="216" t="s">
        <v>17678</v>
      </c>
      <c r="D1674" s="443">
        <v>17.010000000000002</v>
      </c>
    </row>
    <row r="1675" spans="1:4">
      <c r="A1675" s="216">
        <v>38370</v>
      </c>
      <c r="B1675" s="222" t="s">
        <v>19354</v>
      </c>
      <c r="C1675" s="216" t="s">
        <v>17678</v>
      </c>
      <c r="D1675" s="443">
        <v>17.010000000000002</v>
      </c>
    </row>
    <row r="1676" spans="1:4">
      <c r="A1676" s="216">
        <v>38372</v>
      </c>
      <c r="B1676" s="222" t="s">
        <v>19355</v>
      </c>
      <c r="C1676" s="216" t="s">
        <v>17678</v>
      </c>
      <c r="D1676" s="443">
        <v>18.440000000000001</v>
      </c>
    </row>
    <row r="1677" spans="1:4">
      <c r="A1677" s="216">
        <v>2357</v>
      </c>
      <c r="B1677" s="222" t="s">
        <v>19356</v>
      </c>
      <c r="C1677" s="216" t="s">
        <v>17826</v>
      </c>
      <c r="D1677" s="443">
        <v>12.3</v>
      </c>
    </row>
    <row r="1678" spans="1:4">
      <c r="A1678" s="216">
        <v>40806</v>
      </c>
      <c r="B1678" s="222" t="s">
        <v>19357</v>
      </c>
      <c r="C1678" s="216" t="s">
        <v>17828</v>
      </c>
      <c r="D1678" s="443">
        <v>2155.89</v>
      </c>
    </row>
    <row r="1679" spans="1:4">
      <c r="A1679" s="216">
        <v>2355</v>
      </c>
      <c r="B1679" s="222" t="s">
        <v>19358</v>
      </c>
      <c r="C1679" s="216" t="s">
        <v>17826</v>
      </c>
      <c r="D1679" s="443">
        <v>37.36</v>
      </c>
    </row>
    <row r="1680" spans="1:4">
      <c r="A1680" s="216">
        <v>40805</v>
      </c>
      <c r="B1680" s="222" t="s">
        <v>19359</v>
      </c>
      <c r="C1680" s="216" t="s">
        <v>17828</v>
      </c>
      <c r="D1680" s="443">
        <v>6544.19</v>
      </c>
    </row>
    <row r="1681" spans="1:4">
      <c r="A1681" s="216">
        <v>2358</v>
      </c>
      <c r="B1681" s="222" t="s">
        <v>19360</v>
      </c>
      <c r="C1681" s="216" t="s">
        <v>17826</v>
      </c>
      <c r="D1681" s="443">
        <v>19.79</v>
      </c>
    </row>
    <row r="1682" spans="1:4">
      <c r="A1682" s="216">
        <v>40807</v>
      </c>
      <c r="B1682" s="222" t="s">
        <v>19361</v>
      </c>
      <c r="C1682" s="216" t="s">
        <v>17828</v>
      </c>
      <c r="D1682" s="443">
        <v>3466.56</v>
      </c>
    </row>
    <row r="1683" spans="1:4">
      <c r="A1683" s="216">
        <v>2359</v>
      </c>
      <c r="B1683" s="222" t="s">
        <v>19362</v>
      </c>
      <c r="C1683" s="216" t="s">
        <v>17826</v>
      </c>
      <c r="D1683" s="443">
        <v>16.7</v>
      </c>
    </row>
    <row r="1684" spans="1:4">
      <c r="A1684" s="216">
        <v>40808</v>
      </c>
      <c r="B1684" s="222" t="s">
        <v>19363</v>
      </c>
      <c r="C1684" s="216" t="s">
        <v>17828</v>
      </c>
      <c r="D1684" s="443">
        <v>2927.42</v>
      </c>
    </row>
    <row r="1685" spans="1:4">
      <c r="A1685" s="216">
        <v>44330</v>
      </c>
      <c r="B1685" s="222" t="s">
        <v>19364</v>
      </c>
      <c r="C1685" s="216" t="s">
        <v>17728</v>
      </c>
      <c r="D1685" s="443">
        <v>9.01</v>
      </c>
    </row>
    <row r="1686" spans="1:4">
      <c r="A1686" s="216">
        <v>43144</v>
      </c>
      <c r="B1686" s="222" t="s">
        <v>19365</v>
      </c>
      <c r="C1686" s="216" t="s">
        <v>17726</v>
      </c>
      <c r="D1686" s="443">
        <v>36.53</v>
      </c>
    </row>
    <row r="1687" spans="1:4">
      <c r="A1687" s="216">
        <v>39397</v>
      </c>
      <c r="B1687" s="222" t="s">
        <v>19366</v>
      </c>
      <c r="C1687" s="216" t="s">
        <v>17728</v>
      </c>
      <c r="D1687" s="443">
        <v>16.649999999999999</v>
      </c>
    </row>
    <row r="1688" spans="1:4">
      <c r="A1688" s="216">
        <v>2692</v>
      </c>
      <c r="B1688" s="222" t="s">
        <v>19367</v>
      </c>
      <c r="C1688" s="216" t="s">
        <v>17728</v>
      </c>
      <c r="D1688" s="443">
        <v>6.71</v>
      </c>
    </row>
    <row r="1689" spans="1:4">
      <c r="A1689" s="216">
        <v>44329</v>
      </c>
      <c r="B1689" s="222" t="s">
        <v>19368</v>
      </c>
      <c r="C1689" s="216" t="s">
        <v>17728</v>
      </c>
      <c r="D1689" s="443">
        <v>11.81</v>
      </c>
    </row>
    <row r="1690" spans="1:4">
      <c r="A1690" s="216">
        <v>5318</v>
      </c>
      <c r="B1690" s="222" t="s">
        <v>19369</v>
      </c>
      <c r="C1690" s="216" t="s">
        <v>17728</v>
      </c>
      <c r="D1690" s="443">
        <v>19.100000000000001</v>
      </c>
    </row>
    <row r="1691" spans="1:4">
      <c r="A1691" s="216">
        <v>5330</v>
      </c>
      <c r="B1691" s="222" t="s">
        <v>19370</v>
      </c>
      <c r="C1691" s="216" t="s">
        <v>17728</v>
      </c>
      <c r="D1691" s="443">
        <v>43.53</v>
      </c>
    </row>
    <row r="1692" spans="1:4">
      <c r="A1692" s="216">
        <v>44532</v>
      </c>
      <c r="B1692" s="222" t="s">
        <v>19371</v>
      </c>
      <c r="C1692" s="216" t="s">
        <v>17678</v>
      </c>
      <c r="D1692" s="443">
        <v>36.979999999999997</v>
      </c>
    </row>
    <row r="1693" spans="1:4">
      <c r="A1693" s="216">
        <v>44531</v>
      </c>
      <c r="B1693" s="222" t="s">
        <v>19372</v>
      </c>
      <c r="C1693" s="216" t="s">
        <v>17678</v>
      </c>
      <c r="D1693" s="443">
        <v>117.52</v>
      </c>
    </row>
    <row r="1694" spans="1:4">
      <c r="A1694" s="216">
        <v>38140</v>
      </c>
      <c r="B1694" s="222" t="s">
        <v>19373</v>
      </c>
      <c r="C1694" s="216" t="s">
        <v>17678</v>
      </c>
      <c r="D1694" s="443">
        <v>28.5</v>
      </c>
    </row>
    <row r="1695" spans="1:4">
      <c r="A1695" s="216">
        <v>13887</v>
      </c>
      <c r="B1695" s="222" t="s">
        <v>19374</v>
      </c>
      <c r="C1695" s="216" t="s">
        <v>17678</v>
      </c>
      <c r="D1695" s="443">
        <v>674.76</v>
      </c>
    </row>
    <row r="1696" spans="1:4">
      <c r="A1696" s="216">
        <v>44495</v>
      </c>
      <c r="B1696" s="222" t="s">
        <v>19375</v>
      </c>
      <c r="C1696" s="216" t="s">
        <v>17678</v>
      </c>
      <c r="D1696" s="443">
        <v>30.03</v>
      </c>
    </row>
    <row r="1697" spans="1:4">
      <c r="A1697" s="216">
        <v>44533</v>
      </c>
      <c r="B1697" s="222" t="s">
        <v>19376</v>
      </c>
      <c r="C1697" s="216" t="s">
        <v>17678</v>
      </c>
      <c r="D1697" s="443">
        <v>28.36</v>
      </c>
    </row>
    <row r="1698" spans="1:4">
      <c r="A1698" s="216">
        <v>44534</v>
      </c>
      <c r="B1698" s="222" t="s">
        <v>19377</v>
      </c>
      <c r="C1698" s="216" t="s">
        <v>17678</v>
      </c>
      <c r="D1698" s="443">
        <v>7.39</v>
      </c>
    </row>
    <row r="1699" spans="1:4">
      <c r="A1699" s="216">
        <v>34544</v>
      </c>
      <c r="B1699" s="222" t="s">
        <v>19378</v>
      </c>
      <c r="C1699" s="216" t="s">
        <v>17678</v>
      </c>
      <c r="D1699" s="443">
        <v>1520.79</v>
      </c>
    </row>
    <row r="1700" spans="1:4">
      <c r="A1700" s="216">
        <v>34729</v>
      </c>
      <c r="B1700" s="222" t="s">
        <v>19379</v>
      </c>
      <c r="C1700" s="216" t="s">
        <v>17678</v>
      </c>
      <c r="D1700" s="443">
        <v>1196.33</v>
      </c>
    </row>
    <row r="1701" spans="1:4">
      <c r="A1701" s="216">
        <v>34734</v>
      </c>
      <c r="B1701" s="222" t="s">
        <v>19380</v>
      </c>
      <c r="C1701" s="216" t="s">
        <v>17678</v>
      </c>
      <c r="D1701" s="443">
        <v>1852.31</v>
      </c>
    </row>
    <row r="1702" spans="1:4">
      <c r="A1702" s="216">
        <v>34738</v>
      </c>
      <c r="B1702" s="222" t="s">
        <v>19381</v>
      </c>
      <c r="C1702" s="216" t="s">
        <v>17678</v>
      </c>
      <c r="D1702" s="443">
        <v>4327.57</v>
      </c>
    </row>
    <row r="1703" spans="1:4">
      <c r="A1703" s="216">
        <v>2391</v>
      </c>
      <c r="B1703" s="222" t="s">
        <v>19382</v>
      </c>
      <c r="C1703" s="216" t="s">
        <v>17678</v>
      </c>
      <c r="D1703" s="443">
        <v>351.97</v>
      </c>
    </row>
    <row r="1704" spans="1:4">
      <c r="A1704" s="216">
        <v>2374</v>
      </c>
      <c r="B1704" s="222" t="s">
        <v>19383</v>
      </c>
      <c r="C1704" s="216" t="s">
        <v>17678</v>
      </c>
      <c r="D1704" s="443">
        <v>399.3</v>
      </c>
    </row>
    <row r="1705" spans="1:4">
      <c r="A1705" s="216">
        <v>2377</v>
      </c>
      <c r="B1705" s="222" t="s">
        <v>19384</v>
      </c>
      <c r="C1705" s="216" t="s">
        <v>17678</v>
      </c>
      <c r="D1705" s="443">
        <v>560.38</v>
      </c>
    </row>
    <row r="1706" spans="1:4">
      <c r="A1706" s="216">
        <v>2393</v>
      </c>
      <c r="B1706" s="222" t="s">
        <v>19385</v>
      </c>
      <c r="C1706" s="216" t="s">
        <v>17678</v>
      </c>
      <c r="D1706" s="443">
        <v>938.43</v>
      </c>
    </row>
    <row r="1707" spans="1:4">
      <c r="A1707" s="216">
        <v>34705</v>
      </c>
      <c r="B1707" s="222" t="s">
        <v>19386</v>
      </c>
      <c r="C1707" s="216" t="s">
        <v>17678</v>
      </c>
      <c r="D1707" s="443">
        <v>820.79</v>
      </c>
    </row>
    <row r="1708" spans="1:4">
      <c r="A1708" s="216">
        <v>34707</v>
      </c>
      <c r="B1708" s="222" t="s">
        <v>19387</v>
      </c>
      <c r="C1708" s="216" t="s">
        <v>17678</v>
      </c>
      <c r="D1708" s="443">
        <v>1520.94</v>
      </c>
    </row>
    <row r="1709" spans="1:4">
      <c r="A1709" s="216">
        <v>2378</v>
      </c>
      <c r="B1709" s="222" t="s">
        <v>19388</v>
      </c>
      <c r="C1709" s="216" t="s">
        <v>17678</v>
      </c>
      <c r="D1709" s="443">
        <v>1289.06</v>
      </c>
    </row>
    <row r="1710" spans="1:4">
      <c r="A1710" s="216">
        <v>2379</v>
      </c>
      <c r="B1710" s="222" t="s">
        <v>19389</v>
      </c>
      <c r="C1710" s="216" t="s">
        <v>17678</v>
      </c>
      <c r="D1710" s="443">
        <v>1289.06</v>
      </c>
    </row>
    <row r="1711" spans="1:4">
      <c r="A1711" s="216">
        <v>2376</v>
      </c>
      <c r="B1711" s="222" t="s">
        <v>19390</v>
      </c>
      <c r="C1711" s="216" t="s">
        <v>17678</v>
      </c>
      <c r="D1711" s="443">
        <v>2123.08</v>
      </c>
    </row>
    <row r="1712" spans="1:4">
      <c r="A1712" s="216">
        <v>2394</v>
      </c>
      <c r="B1712" s="222" t="s">
        <v>19391</v>
      </c>
      <c r="C1712" s="216" t="s">
        <v>17678</v>
      </c>
      <c r="D1712" s="443">
        <v>4538.75</v>
      </c>
    </row>
    <row r="1713" spans="1:4">
      <c r="A1713" s="216">
        <v>34686</v>
      </c>
      <c r="B1713" s="222" t="s">
        <v>19392</v>
      </c>
      <c r="C1713" s="216" t="s">
        <v>17678</v>
      </c>
      <c r="D1713" s="443">
        <v>13.62</v>
      </c>
    </row>
    <row r="1714" spans="1:4">
      <c r="A1714" s="216">
        <v>34616</v>
      </c>
      <c r="B1714" s="222" t="s">
        <v>19393</v>
      </c>
      <c r="C1714" s="216" t="s">
        <v>17678</v>
      </c>
      <c r="D1714" s="443">
        <v>52.67</v>
      </c>
    </row>
    <row r="1715" spans="1:4">
      <c r="A1715" s="216">
        <v>34623</v>
      </c>
      <c r="B1715" s="222" t="s">
        <v>19394</v>
      </c>
      <c r="C1715" s="216" t="s">
        <v>17678</v>
      </c>
      <c r="D1715" s="443">
        <v>51.86</v>
      </c>
    </row>
    <row r="1716" spans="1:4">
      <c r="A1716" s="216">
        <v>34628</v>
      </c>
      <c r="B1716" s="222" t="s">
        <v>19395</v>
      </c>
      <c r="C1716" s="216" t="s">
        <v>17678</v>
      </c>
      <c r="D1716" s="443">
        <v>74.28</v>
      </c>
    </row>
    <row r="1717" spans="1:4">
      <c r="A1717" s="216">
        <v>34653</v>
      </c>
      <c r="B1717" s="222" t="s">
        <v>19396</v>
      </c>
      <c r="C1717" s="216" t="s">
        <v>17678</v>
      </c>
      <c r="D1717" s="443">
        <v>9.19</v>
      </c>
    </row>
    <row r="1718" spans="1:4">
      <c r="A1718" s="216">
        <v>34688</v>
      </c>
      <c r="B1718" s="222" t="s">
        <v>19397</v>
      </c>
      <c r="C1718" s="216" t="s">
        <v>17678</v>
      </c>
      <c r="D1718" s="443">
        <v>16.649999999999999</v>
      </c>
    </row>
    <row r="1719" spans="1:4">
      <c r="A1719" s="216">
        <v>34709</v>
      </c>
      <c r="B1719" s="222" t="s">
        <v>19398</v>
      </c>
      <c r="C1719" s="216" t="s">
        <v>17678</v>
      </c>
      <c r="D1719" s="443">
        <v>64.53</v>
      </c>
    </row>
    <row r="1720" spans="1:4">
      <c r="A1720" s="216">
        <v>34714</v>
      </c>
      <c r="B1720" s="222" t="s">
        <v>19399</v>
      </c>
      <c r="C1720" s="216" t="s">
        <v>17678</v>
      </c>
      <c r="D1720" s="443">
        <v>77.069999999999993</v>
      </c>
    </row>
    <row r="1721" spans="1:4">
      <c r="A1721" s="216">
        <v>2388</v>
      </c>
      <c r="B1721" s="222" t="s">
        <v>19400</v>
      </c>
      <c r="C1721" s="216" t="s">
        <v>17678</v>
      </c>
      <c r="D1721" s="443">
        <v>64.040000000000006</v>
      </c>
    </row>
    <row r="1722" spans="1:4">
      <c r="A1722" s="216">
        <v>34606</v>
      </c>
      <c r="B1722" s="222" t="s">
        <v>19401</v>
      </c>
      <c r="C1722" s="216" t="s">
        <v>17678</v>
      </c>
      <c r="D1722" s="443">
        <v>98.24</v>
      </c>
    </row>
    <row r="1723" spans="1:4">
      <c r="A1723" s="216">
        <v>34689</v>
      </c>
      <c r="B1723" s="222" t="s">
        <v>19402</v>
      </c>
      <c r="C1723" s="216" t="s">
        <v>17678</v>
      </c>
      <c r="D1723" s="443">
        <v>31.27</v>
      </c>
    </row>
    <row r="1724" spans="1:4">
      <c r="A1724" s="216">
        <v>2370</v>
      </c>
      <c r="B1724" s="222" t="s">
        <v>19403</v>
      </c>
      <c r="C1724" s="216" t="s">
        <v>17678</v>
      </c>
      <c r="D1724" s="443">
        <v>11.9</v>
      </c>
    </row>
    <row r="1725" spans="1:4">
      <c r="A1725" s="216">
        <v>2386</v>
      </c>
      <c r="B1725" s="222" t="s">
        <v>19404</v>
      </c>
      <c r="C1725" s="216" t="s">
        <v>17678</v>
      </c>
      <c r="D1725" s="443">
        <v>19.96</v>
      </c>
    </row>
    <row r="1726" spans="1:4">
      <c r="A1726" s="216">
        <v>2392</v>
      </c>
      <c r="B1726" s="222" t="s">
        <v>19405</v>
      </c>
      <c r="C1726" s="216" t="s">
        <v>17678</v>
      </c>
      <c r="D1726" s="443">
        <v>79.88</v>
      </c>
    </row>
    <row r="1727" spans="1:4">
      <c r="A1727" s="216">
        <v>2373</v>
      </c>
      <c r="B1727" s="222" t="s">
        <v>19406</v>
      </c>
      <c r="C1727" s="216" t="s">
        <v>17678</v>
      </c>
      <c r="D1727" s="443">
        <v>112.55</v>
      </c>
    </row>
    <row r="1728" spans="1:4">
      <c r="A1728" s="216">
        <v>39465</v>
      </c>
      <c r="B1728" s="222" t="s">
        <v>19407</v>
      </c>
      <c r="C1728" s="216" t="s">
        <v>17678</v>
      </c>
      <c r="D1728" s="443">
        <v>68.75</v>
      </c>
    </row>
    <row r="1729" spans="1:4">
      <c r="A1729" s="216">
        <v>39466</v>
      </c>
      <c r="B1729" s="222" t="s">
        <v>19408</v>
      </c>
      <c r="C1729" s="216" t="s">
        <v>17678</v>
      </c>
      <c r="D1729" s="443">
        <v>77.349999999999994</v>
      </c>
    </row>
    <row r="1730" spans="1:4">
      <c r="A1730" s="216">
        <v>39467</v>
      </c>
      <c r="B1730" s="222" t="s">
        <v>19409</v>
      </c>
      <c r="C1730" s="216" t="s">
        <v>17678</v>
      </c>
      <c r="D1730" s="443">
        <v>98.94</v>
      </c>
    </row>
    <row r="1731" spans="1:4">
      <c r="A1731" s="216">
        <v>39468</v>
      </c>
      <c r="B1731" s="222" t="s">
        <v>19410</v>
      </c>
      <c r="C1731" s="216" t="s">
        <v>17678</v>
      </c>
      <c r="D1731" s="443">
        <v>175.86</v>
      </c>
    </row>
    <row r="1732" spans="1:4">
      <c r="A1732" s="216">
        <v>39469</v>
      </c>
      <c r="B1732" s="222" t="s">
        <v>19411</v>
      </c>
      <c r="C1732" s="216" t="s">
        <v>17678</v>
      </c>
      <c r="D1732" s="443">
        <v>71.63</v>
      </c>
    </row>
    <row r="1733" spans="1:4">
      <c r="A1733" s="216">
        <v>39470</v>
      </c>
      <c r="B1733" s="222" t="s">
        <v>19412</v>
      </c>
      <c r="C1733" s="216" t="s">
        <v>17678</v>
      </c>
      <c r="D1733" s="443">
        <v>88.02</v>
      </c>
    </row>
    <row r="1734" spans="1:4">
      <c r="A1734" s="216">
        <v>39471</v>
      </c>
      <c r="B1734" s="222" t="s">
        <v>19413</v>
      </c>
      <c r="C1734" s="216" t="s">
        <v>17678</v>
      </c>
      <c r="D1734" s="443">
        <v>105.77</v>
      </c>
    </row>
    <row r="1735" spans="1:4">
      <c r="A1735" s="216">
        <v>39472</v>
      </c>
      <c r="B1735" s="222" t="s">
        <v>19414</v>
      </c>
      <c r="C1735" s="216" t="s">
        <v>17678</v>
      </c>
      <c r="D1735" s="443">
        <v>183.78</v>
      </c>
    </row>
    <row r="1736" spans="1:4">
      <c r="A1736" s="216">
        <v>39473</v>
      </c>
      <c r="B1736" s="222" t="s">
        <v>19415</v>
      </c>
      <c r="C1736" s="216" t="s">
        <v>17678</v>
      </c>
      <c r="D1736" s="443">
        <v>118.72</v>
      </c>
    </row>
    <row r="1737" spans="1:4">
      <c r="A1737" s="216">
        <v>39474</v>
      </c>
      <c r="B1737" s="222" t="s">
        <v>19416</v>
      </c>
      <c r="C1737" s="216" t="s">
        <v>17678</v>
      </c>
      <c r="D1737" s="443">
        <v>126.56</v>
      </c>
    </row>
    <row r="1738" spans="1:4">
      <c r="A1738" s="216">
        <v>39475</v>
      </c>
      <c r="B1738" s="222" t="s">
        <v>19417</v>
      </c>
      <c r="C1738" s="216" t="s">
        <v>17678</v>
      </c>
      <c r="D1738" s="443">
        <v>143.6</v>
      </c>
    </row>
    <row r="1739" spans="1:4">
      <c r="A1739" s="216">
        <v>39476</v>
      </c>
      <c r="B1739" s="222" t="s">
        <v>19418</v>
      </c>
      <c r="C1739" s="216" t="s">
        <v>17678</v>
      </c>
      <c r="D1739" s="443">
        <v>270.32</v>
      </c>
    </row>
    <row r="1740" spans="1:4">
      <c r="A1740" s="216">
        <v>39477</v>
      </c>
      <c r="B1740" s="222" t="s">
        <v>19419</v>
      </c>
      <c r="C1740" s="216" t="s">
        <v>17678</v>
      </c>
      <c r="D1740" s="443">
        <v>132.44999999999999</v>
      </c>
    </row>
    <row r="1741" spans="1:4">
      <c r="A1741" s="216">
        <v>39478</v>
      </c>
      <c r="B1741" s="222" t="s">
        <v>19420</v>
      </c>
      <c r="C1741" s="216" t="s">
        <v>17678</v>
      </c>
      <c r="D1741" s="443">
        <v>136.55000000000001</v>
      </c>
    </row>
    <row r="1742" spans="1:4">
      <c r="A1742" s="216">
        <v>39479</v>
      </c>
      <c r="B1742" s="222" t="s">
        <v>19421</v>
      </c>
      <c r="C1742" s="216" t="s">
        <v>17678</v>
      </c>
      <c r="D1742" s="443">
        <v>160.88</v>
      </c>
    </row>
    <row r="1743" spans="1:4">
      <c r="A1743" s="216">
        <v>39480</v>
      </c>
      <c r="B1743" s="222" t="s">
        <v>19422</v>
      </c>
      <c r="C1743" s="216" t="s">
        <v>17678</v>
      </c>
      <c r="D1743" s="443">
        <v>331.98</v>
      </c>
    </row>
    <row r="1744" spans="1:4">
      <c r="A1744" s="216">
        <v>39459</v>
      </c>
      <c r="B1744" s="222" t="s">
        <v>19423</v>
      </c>
      <c r="C1744" s="216" t="s">
        <v>17678</v>
      </c>
      <c r="D1744" s="443">
        <v>281.77</v>
      </c>
    </row>
    <row r="1745" spans="1:4">
      <c r="A1745" s="216">
        <v>39445</v>
      </c>
      <c r="B1745" s="222" t="s">
        <v>19424</v>
      </c>
      <c r="C1745" s="216" t="s">
        <v>17678</v>
      </c>
      <c r="D1745" s="443">
        <v>141.47</v>
      </c>
    </row>
    <row r="1746" spans="1:4">
      <c r="A1746" s="216">
        <v>39446</v>
      </c>
      <c r="B1746" s="222" t="s">
        <v>19425</v>
      </c>
      <c r="C1746" s="216" t="s">
        <v>17678</v>
      </c>
      <c r="D1746" s="443">
        <v>143.99</v>
      </c>
    </row>
    <row r="1747" spans="1:4">
      <c r="A1747" s="216">
        <v>39447</v>
      </c>
      <c r="B1747" s="222" t="s">
        <v>19426</v>
      </c>
      <c r="C1747" s="216" t="s">
        <v>17678</v>
      </c>
      <c r="D1747" s="443">
        <v>153.97999999999999</v>
      </c>
    </row>
    <row r="1748" spans="1:4">
      <c r="A1748" s="216">
        <v>39448</v>
      </c>
      <c r="B1748" s="222" t="s">
        <v>19427</v>
      </c>
      <c r="C1748" s="216" t="s">
        <v>17678</v>
      </c>
      <c r="D1748" s="443">
        <v>262.57</v>
      </c>
    </row>
    <row r="1749" spans="1:4">
      <c r="A1749" s="216">
        <v>39450</v>
      </c>
      <c r="B1749" s="222" t="s">
        <v>19428</v>
      </c>
      <c r="C1749" s="216" t="s">
        <v>17678</v>
      </c>
      <c r="D1749" s="443">
        <v>160.19999999999999</v>
      </c>
    </row>
    <row r="1750" spans="1:4">
      <c r="A1750" s="216">
        <v>39451</v>
      </c>
      <c r="B1750" s="222" t="s">
        <v>19429</v>
      </c>
      <c r="C1750" s="216" t="s">
        <v>17678</v>
      </c>
      <c r="D1750" s="443">
        <v>174.73</v>
      </c>
    </row>
    <row r="1751" spans="1:4">
      <c r="A1751" s="216">
        <v>39452</v>
      </c>
      <c r="B1751" s="222" t="s">
        <v>19430</v>
      </c>
      <c r="C1751" s="216" t="s">
        <v>17678</v>
      </c>
      <c r="D1751" s="443">
        <v>175.77</v>
      </c>
    </row>
    <row r="1752" spans="1:4">
      <c r="A1752" s="216">
        <v>39523</v>
      </c>
      <c r="B1752" s="222" t="s">
        <v>19431</v>
      </c>
      <c r="C1752" s="216" t="s">
        <v>17678</v>
      </c>
      <c r="D1752" s="443">
        <v>294.14999999999998</v>
      </c>
    </row>
    <row r="1753" spans="1:4">
      <c r="A1753" s="216">
        <v>39449</v>
      </c>
      <c r="B1753" s="222" t="s">
        <v>19432</v>
      </c>
      <c r="C1753" s="216" t="s">
        <v>17678</v>
      </c>
      <c r="D1753" s="443">
        <v>325.75</v>
      </c>
    </row>
    <row r="1754" spans="1:4">
      <c r="A1754" s="216">
        <v>39455</v>
      </c>
      <c r="B1754" s="222" t="s">
        <v>19433</v>
      </c>
      <c r="C1754" s="216" t="s">
        <v>17678</v>
      </c>
      <c r="D1754" s="443">
        <v>161.19</v>
      </c>
    </row>
    <row r="1755" spans="1:4">
      <c r="A1755" s="216">
        <v>39456</v>
      </c>
      <c r="B1755" s="222" t="s">
        <v>19434</v>
      </c>
      <c r="C1755" s="216" t="s">
        <v>17678</v>
      </c>
      <c r="D1755" s="443">
        <v>161.31</v>
      </c>
    </row>
    <row r="1756" spans="1:4">
      <c r="A1756" s="216">
        <v>39457</v>
      </c>
      <c r="B1756" s="222" t="s">
        <v>19435</v>
      </c>
      <c r="C1756" s="216" t="s">
        <v>17678</v>
      </c>
      <c r="D1756" s="443">
        <v>175.85</v>
      </c>
    </row>
    <row r="1757" spans="1:4">
      <c r="A1757" s="216">
        <v>39458</v>
      </c>
      <c r="B1757" s="222" t="s">
        <v>19436</v>
      </c>
      <c r="C1757" s="216" t="s">
        <v>17678</v>
      </c>
      <c r="D1757" s="443">
        <v>328.15</v>
      </c>
    </row>
    <row r="1758" spans="1:4">
      <c r="A1758" s="216">
        <v>39464</v>
      </c>
      <c r="B1758" s="222" t="s">
        <v>19437</v>
      </c>
      <c r="C1758" s="216" t="s">
        <v>17678</v>
      </c>
      <c r="D1758" s="443">
        <v>527.69000000000005</v>
      </c>
    </row>
    <row r="1759" spans="1:4">
      <c r="A1759" s="216">
        <v>39460</v>
      </c>
      <c r="B1759" s="222" t="s">
        <v>19438</v>
      </c>
      <c r="C1759" s="216" t="s">
        <v>17678</v>
      </c>
      <c r="D1759" s="443">
        <v>200.14</v>
      </c>
    </row>
    <row r="1760" spans="1:4">
      <c r="A1760" s="216">
        <v>39461</v>
      </c>
      <c r="B1760" s="222" t="s">
        <v>19439</v>
      </c>
      <c r="C1760" s="216" t="s">
        <v>17678</v>
      </c>
      <c r="D1760" s="443">
        <v>234.52</v>
      </c>
    </row>
    <row r="1761" spans="1:4">
      <c r="A1761" s="216">
        <v>39462</v>
      </c>
      <c r="B1761" s="222" t="s">
        <v>19440</v>
      </c>
      <c r="C1761" s="216" t="s">
        <v>17678</v>
      </c>
      <c r="D1761" s="443">
        <v>226.02</v>
      </c>
    </row>
    <row r="1762" spans="1:4">
      <c r="A1762" s="216">
        <v>39463</v>
      </c>
      <c r="B1762" s="222" t="s">
        <v>19441</v>
      </c>
      <c r="C1762" s="216" t="s">
        <v>17678</v>
      </c>
      <c r="D1762" s="443">
        <v>523.6</v>
      </c>
    </row>
    <row r="1763" spans="1:4">
      <c r="A1763" s="216">
        <v>26039</v>
      </c>
      <c r="B1763" s="222" t="s">
        <v>19442</v>
      </c>
      <c r="C1763" s="216" t="s">
        <v>17678</v>
      </c>
      <c r="D1763" s="443">
        <v>358024.62</v>
      </c>
    </row>
    <row r="1764" spans="1:4">
      <c r="A1764" s="216">
        <v>2401</v>
      </c>
      <c r="B1764" s="222" t="s">
        <v>19443</v>
      </c>
      <c r="C1764" s="216" t="s">
        <v>17678</v>
      </c>
      <c r="D1764" s="443">
        <v>82349.63</v>
      </c>
    </row>
    <row r="1765" spans="1:4" ht="31.5">
      <c r="A1765" s="216">
        <v>38870</v>
      </c>
      <c r="B1765" s="222" t="s">
        <v>19444</v>
      </c>
      <c r="C1765" s="216" t="s">
        <v>17678</v>
      </c>
      <c r="D1765" s="443">
        <v>27.97</v>
      </c>
    </row>
    <row r="1766" spans="1:4" ht="31.5">
      <c r="A1766" s="216">
        <v>38869</v>
      </c>
      <c r="B1766" s="222" t="s">
        <v>19445</v>
      </c>
      <c r="C1766" s="216" t="s">
        <v>17678</v>
      </c>
      <c r="D1766" s="443">
        <v>18.88</v>
      </c>
    </row>
    <row r="1767" spans="1:4" ht="31.5">
      <c r="A1767" s="216">
        <v>38872</v>
      </c>
      <c r="B1767" s="222" t="s">
        <v>19446</v>
      </c>
      <c r="C1767" s="216" t="s">
        <v>17678</v>
      </c>
      <c r="D1767" s="443">
        <v>35.64</v>
      </c>
    </row>
    <row r="1768" spans="1:4" ht="31.5">
      <c r="A1768" s="216">
        <v>38871</v>
      </c>
      <c r="B1768" s="222" t="s">
        <v>19447</v>
      </c>
      <c r="C1768" s="216" t="s">
        <v>17678</v>
      </c>
      <c r="D1768" s="443">
        <v>24.64</v>
      </c>
    </row>
    <row r="1769" spans="1:4" ht="31.5">
      <c r="A1769" s="216">
        <v>39283</v>
      </c>
      <c r="B1769" s="222" t="s">
        <v>19448</v>
      </c>
      <c r="C1769" s="216" t="s">
        <v>17678</v>
      </c>
      <c r="D1769" s="443">
        <v>115.44</v>
      </c>
    </row>
    <row r="1770" spans="1:4" ht="31.5">
      <c r="A1770" s="216">
        <v>39285</v>
      </c>
      <c r="B1770" s="222" t="s">
        <v>19449</v>
      </c>
      <c r="C1770" s="216" t="s">
        <v>17678</v>
      </c>
      <c r="D1770" s="443">
        <v>131.93</v>
      </c>
    </row>
    <row r="1771" spans="1:4" ht="31.5">
      <c r="A1771" s="216">
        <v>39286</v>
      </c>
      <c r="B1771" s="222" t="s">
        <v>19450</v>
      </c>
      <c r="C1771" s="216" t="s">
        <v>17678</v>
      </c>
      <c r="D1771" s="443">
        <v>126.44</v>
      </c>
    </row>
    <row r="1772" spans="1:4" ht="31.5">
      <c r="A1772" s="216">
        <v>39288</v>
      </c>
      <c r="B1772" s="222" t="s">
        <v>19451</v>
      </c>
      <c r="C1772" s="216" t="s">
        <v>17678</v>
      </c>
      <c r="D1772" s="443">
        <v>153.91</v>
      </c>
    </row>
    <row r="1773" spans="1:4" ht="31.5">
      <c r="A1773" s="216">
        <v>44476</v>
      </c>
      <c r="B1773" s="222" t="s">
        <v>19452</v>
      </c>
      <c r="C1773" s="216" t="s">
        <v>18087</v>
      </c>
      <c r="D1773" s="443">
        <v>685.91</v>
      </c>
    </row>
    <row r="1774" spans="1:4">
      <c r="A1774" s="216">
        <v>10629</v>
      </c>
      <c r="B1774" s="222" t="s">
        <v>19453</v>
      </c>
      <c r="C1774" s="216" t="s">
        <v>18087</v>
      </c>
      <c r="D1774" s="443">
        <v>762.07</v>
      </c>
    </row>
    <row r="1775" spans="1:4">
      <c r="A1775" s="216">
        <v>10698</v>
      </c>
      <c r="B1775" s="222" t="s">
        <v>19454</v>
      </c>
      <c r="C1775" s="216" t="s">
        <v>18087</v>
      </c>
      <c r="D1775" s="443">
        <v>207.56</v>
      </c>
    </row>
    <row r="1776" spans="1:4" ht="31.5">
      <c r="A1776" s="216">
        <v>40521</v>
      </c>
      <c r="B1776" s="222" t="s">
        <v>19455</v>
      </c>
      <c r="C1776" s="216" t="s">
        <v>17678</v>
      </c>
      <c r="D1776" s="443">
        <v>96552.63</v>
      </c>
    </row>
    <row r="1777" spans="1:4" ht="31.5">
      <c r="A1777" s="216">
        <v>2432</v>
      </c>
      <c r="B1777" s="222" t="s">
        <v>19456</v>
      </c>
      <c r="C1777" s="216" t="s">
        <v>17678</v>
      </c>
      <c r="D1777" s="443">
        <v>24.4</v>
      </c>
    </row>
    <row r="1778" spans="1:4" ht="31.5">
      <c r="A1778" s="216">
        <v>2433</v>
      </c>
      <c r="B1778" s="222" t="s">
        <v>19457</v>
      </c>
      <c r="C1778" s="216" t="s">
        <v>17678</v>
      </c>
      <c r="D1778" s="443">
        <v>8.26</v>
      </c>
    </row>
    <row r="1779" spans="1:4" ht="31.5">
      <c r="A1779" s="216">
        <v>2418</v>
      </c>
      <c r="B1779" s="222" t="s">
        <v>19458</v>
      </c>
      <c r="C1779" s="216" t="s">
        <v>17678</v>
      </c>
      <c r="D1779" s="443">
        <v>11.32</v>
      </c>
    </row>
    <row r="1780" spans="1:4" ht="31.5">
      <c r="A1780" s="216">
        <v>2420</v>
      </c>
      <c r="B1780" s="222" t="s">
        <v>19459</v>
      </c>
      <c r="C1780" s="216" t="s">
        <v>17678</v>
      </c>
      <c r="D1780" s="443">
        <v>14.2</v>
      </c>
    </row>
    <row r="1781" spans="1:4">
      <c r="A1781" s="216">
        <v>11447</v>
      </c>
      <c r="B1781" s="222" t="s">
        <v>19460</v>
      </c>
      <c r="C1781" s="216" t="s">
        <v>17678</v>
      </c>
      <c r="D1781" s="443">
        <v>28.06</v>
      </c>
    </row>
    <row r="1782" spans="1:4">
      <c r="A1782" s="216">
        <v>11451</v>
      </c>
      <c r="B1782" s="222" t="s">
        <v>19461</v>
      </c>
      <c r="C1782" s="216" t="s">
        <v>17678</v>
      </c>
      <c r="D1782" s="443">
        <v>75.22</v>
      </c>
    </row>
    <row r="1783" spans="1:4">
      <c r="A1783" s="216">
        <v>11116</v>
      </c>
      <c r="B1783" s="222" t="s">
        <v>19462</v>
      </c>
      <c r="C1783" s="216" t="s">
        <v>17678</v>
      </c>
      <c r="D1783" s="443">
        <v>692.49</v>
      </c>
    </row>
    <row r="1784" spans="1:4">
      <c r="A1784" s="216">
        <v>38411</v>
      </c>
      <c r="B1784" s="222" t="s">
        <v>19463</v>
      </c>
      <c r="C1784" s="216" t="s">
        <v>17678</v>
      </c>
      <c r="D1784" s="443">
        <v>1585.31</v>
      </c>
    </row>
    <row r="1785" spans="1:4">
      <c r="A1785" s="216">
        <v>38189</v>
      </c>
      <c r="B1785" s="222" t="s">
        <v>19464</v>
      </c>
      <c r="C1785" s="216" t="s">
        <v>17678</v>
      </c>
      <c r="D1785" s="443">
        <v>137.63999999999999</v>
      </c>
    </row>
    <row r="1786" spans="1:4">
      <c r="A1786" s="216">
        <v>38190</v>
      </c>
      <c r="B1786" s="222" t="s">
        <v>19465</v>
      </c>
      <c r="C1786" s="216" t="s">
        <v>17678</v>
      </c>
      <c r="D1786" s="443">
        <v>289.98</v>
      </c>
    </row>
    <row r="1787" spans="1:4">
      <c r="A1787" s="216">
        <v>7608</v>
      </c>
      <c r="B1787" s="222" t="s">
        <v>19466</v>
      </c>
      <c r="C1787" s="216" t="s">
        <v>17678</v>
      </c>
      <c r="D1787" s="443">
        <v>12.01</v>
      </c>
    </row>
    <row r="1788" spans="1:4">
      <c r="A1788" s="216">
        <v>1370</v>
      </c>
      <c r="B1788" s="222" t="s">
        <v>19467</v>
      </c>
      <c r="C1788" s="216" t="s">
        <v>17678</v>
      </c>
      <c r="D1788" s="443">
        <v>106.46</v>
      </c>
    </row>
    <row r="1789" spans="1:4">
      <c r="A1789" s="216">
        <v>36516</v>
      </c>
      <c r="B1789" s="222" t="s">
        <v>19468</v>
      </c>
      <c r="C1789" s="216" t="s">
        <v>17678</v>
      </c>
      <c r="D1789" s="443">
        <v>143626.14000000001</v>
      </c>
    </row>
    <row r="1790" spans="1:4">
      <c r="A1790" s="216">
        <v>34777</v>
      </c>
      <c r="B1790" s="222" t="s">
        <v>19469</v>
      </c>
      <c r="C1790" s="216" t="s">
        <v>17678</v>
      </c>
      <c r="D1790" s="443">
        <v>2.98</v>
      </c>
    </row>
    <row r="1791" spans="1:4">
      <c r="A1791" s="216">
        <v>7272</v>
      </c>
      <c r="B1791" s="222" t="s">
        <v>19470</v>
      </c>
      <c r="C1791" s="216" t="s">
        <v>17678</v>
      </c>
      <c r="D1791" s="443">
        <v>2.52</v>
      </c>
    </row>
    <row r="1792" spans="1:4">
      <c r="A1792" s="216">
        <v>10605</v>
      </c>
      <c r="B1792" s="222" t="s">
        <v>19471</v>
      </c>
      <c r="C1792" s="216" t="s">
        <v>17678</v>
      </c>
      <c r="D1792" s="443">
        <v>4.2</v>
      </c>
    </row>
    <row r="1793" spans="1:4">
      <c r="A1793" s="216">
        <v>10604</v>
      </c>
      <c r="B1793" s="222" t="s">
        <v>19472</v>
      </c>
      <c r="C1793" s="216" t="s">
        <v>17678</v>
      </c>
      <c r="D1793" s="443">
        <v>9.7899999999999991</v>
      </c>
    </row>
    <row r="1794" spans="1:4">
      <c r="A1794" s="216">
        <v>672</v>
      </c>
      <c r="B1794" s="222" t="s">
        <v>19473</v>
      </c>
      <c r="C1794" s="216" t="s">
        <v>17678</v>
      </c>
      <c r="D1794" s="443">
        <v>13.46</v>
      </c>
    </row>
    <row r="1795" spans="1:4">
      <c r="A1795" s="216">
        <v>668</v>
      </c>
      <c r="B1795" s="222" t="s">
        <v>19474</v>
      </c>
      <c r="C1795" s="216" t="s">
        <v>17678</v>
      </c>
      <c r="D1795" s="443">
        <v>16.260000000000002</v>
      </c>
    </row>
    <row r="1796" spans="1:4">
      <c r="A1796" s="216">
        <v>10578</v>
      </c>
      <c r="B1796" s="222" t="s">
        <v>19475</v>
      </c>
      <c r="C1796" s="216" t="s">
        <v>17678</v>
      </c>
      <c r="D1796" s="443">
        <v>18.93</v>
      </c>
    </row>
    <row r="1797" spans="1:4">
      <c r="A1797" s="216">
        <v>666</v>
      </c>
      <c r="B1797" s="222" t="s">
        <v>19476</v>
      </c>
      <c r="C1797" s="216" t="s">
        <v>17678</v>
      </c>
      <c r="D1797" s="443">
        <v>21.06</v>
      </c>
    </row>
    <row r="1798" spans="1:4">
      <c r="A1798" s="216">
        <v>665</v>
      </c>
      <c r="B1798" s="222" t="s">
        <v>19477</v>
      </c>
      <c r="C1798" s="216" t="s">
        <v>17678</v>
      </c>
      <c r="D1798" s="443">
        <v>28.16</v>
      </c>
    </row>
    <row r="1799" spans="1:4">
      <c r="A1799" s="216">
        <v>10577</v>
      </c>
      <c r="B1799" s="222" t="s">
        <v>19478</v>
      </c>
      <c r="C1799" s="216" t="s">
        <v>17678</v>
      </c>
      <c r="D1799" s="443">
        <v>24.97</v>
      </c>
    </row>
    <row r="1800" spans="1:4">
      <c r="A1800" s="216">
        <v>10583</v>
      </c>
      <c r="B1800" s="222" t="s">
        <v>19479</v>
      </c>
      <c r="C1800" s="216" t="s">
        <v>17678</v>
      </c>
      <c r="D1800" s="443">
        <v>12.97</v>
      </c>
    </row>
    <row r="1801" spans="1:4">
      <c r="A1801" s="216">
        <v>10579</v>
      </c>
      <c r="B1801" s="222" t="s">
        <v>19480</v>
      </c>
      <c r="C1801" s="216" t="s">
        <v>17678</v>
      </c>
      <c r="D1801" s="443">
        <v>22.62</v>
      </c>
    </row>
    <row r="1802" spans="1:4">
      <c r="A1802" s="216">
        <v>10582</v>
      </c>
      <c r="B1802" s="222" t="s">
        <v>19481</v>
      </c>
      <c r="C1802" s="216" t="s">
        <v>17678</v>
      </c>
      <c r="D1802" s="443">
        <v>11.42</v>
      </c>
    </row>
    <row r="1803" spans="1:4">
      <c r="A1803" s="216">
        <v>2436</v>
      </c>
      <c r="B1803" s="222" t="s">
        <v>19482</v>
      </c>
      <c r="C1803" s="216" t="s">
        <v>17826</v>
      </c>
      <c r="D1803" s="443">
        <v>24.15</v>
      </c>
    </row>
    <row r="1804" spans="1:4">
      <c r="A1804" s="216">
        <v>40918</v>
      </c>
      <c r="B1804" s="222" t="s">
        <v>19483</v>
      </c>
      <c r="C1804" s="216" t="s">
        <v>17828</v>
      </c>
      <c r="D1804" s="443">
        <v>4228.24</v>
      </c>
    </row>
    <row r="1805" spans="1:4">
      <c r="A1805" s="216">
        <v>2439</v>
      </c>
      <c r="B1805" s="222" t="s">
        <v>19484</v>
      </c>
      <c r="C1805" s="216" t="s">
        <v>17826</v>
      </c>
      <c r="D1805" s="443">
        <v>26.49</v>
      </c>
    </row>
    <row r="1806" spans="1:4">
      <c r="A1806" s="216">
        <v>40923</v>
      </c>
      <c r="B1806" s="222" t="s">
        <v>19485</v>
      </c>
      <c r="C1806" s="216" t="s">
        <v>17828</v>
      </c>
      <c r="D1806" s="443">
        <v>4639.1000000000004</v>
      </c>
    </row>
    <row r="1807" spans="1:4">
      <c r="A1807" s="216">
        <v>10998</v>
      </c>
      <c r="B1807" s="222" t="s">
        <v>19486</v>
      </c>
      <c r="C1807" s="216" t="s">
        <v>17726</v>
      </c>
      <c r="D1807" s="443">
        <v>36.69</v>
      </c>
    </row>
    <row r="1808" spans="1:4">
      <c r="A1808" s="216">
        <v>11002</v>
      </c>
      <c r="B1808" s="222" t="s">
        <v>19487</v>
      </c>
      <c r="C1808" s="216" t="s">
        <v>17726</v>
      </c>
      <c r="D1808" s="443">
        <v>33.61</v>
      </c>
    </row>
    <row r="1809" spans="1:4">
      <c r="A1809" s="216">
        <v>10999</v>
      </c>
      <c r="B1809" s="222" t="s">
        <v>19488</v>
      </c>
      <c r="C1809" s="216" t="s">
        <v>17726</v>
      </c>
      <c r="D1809" s="443">
        <v>32.29</v>
      </c>
    </row>
    <row r="1810" spans="1:4">
      <c r="A1810" s="216">
        <v>10997</v>
      </c>
      <c r="B1810" s="222" t="s">
        <v>19489</v>
      </c>
      <c r="C1810" s="216" t="s">
        <v>17726</v>
      </c>
      <c r="D1810" s="443">
        <v>35</v>
      </c>
    </row>
    <row r="1811" spans="1:4">
      <c r="A1811" s="216">
        <v>2685</v>
      </c>
      <c r="B1811" s="222" t="s">
        <v>19490</v>
      </c>
      <c r="C1811" s="216" t="s">
        <v>17722</v>
      </c>
      <c r="D1811" s="443">
        <v>10.86</v>
      </c>
    </row>
    <row r="1812" spans="1:4">
      <c r="A1812" s="216">
        <v>2680</v>
      </c>
      <c r="B1812" s="222" t="s">
        <v>19491</v>
      </c>
      <c r="C1812" s="216" t="s">
        <v>17722</v>
      </c>
      <c r="D1812" s="443">
        <v>15.89</v>
      </c>
    </row>
    <row r="1813" spans="1:4">
      <c r="A1813" s="216">
        <v>2684</v>
      </c>
      <c r="B1813" s="222" t="s">
        <v>19492</v>
      </c>
      <c r="C1813" s="216" t="s">
        <v>17722</v>
      </c>
      <c r="D1813" s="443">
        <v>14.46</v>
      </c>
    </row>
    <row r="1814" spans="1:4">
      <c r="A1814" s="216">
        <v>2673</v>
      </c>
      <c r="B1814" s="222" t="s">
        <v>19493</v>
      </c>
      <c r="C1814" s="216" t="s">
        <v>17722</v>
      </c>
      <c r="D1814" s="443">
        <v>5.58</v>
      </c>
    </row>
    <row r="1815" spans="1:4">
      <c r="A1815" s="216">
        <v>2681</v>
      </c>
      <c r="B1815" s="222" t="s">
        <v>19494</v>
      </c>
      <c r="C1815" s="216" t="s">
        <v>17722</v>
      </c>
      <c r="D1815" s="443">
        <v>25.97</v>
      </c>
    </row>
    <row r="1816" spans="1:4">
      <c r="A1816" s="216">
        <v>2682</v>
      </c>
      <c r="B1816" s="222" t="s">
        <v>19495</v>
      </c>
      <c r="C1816" s="216" t="s">
        <v>17722</v>
      </c>
      <c r="D1816" s="443">
        <v>37.880000000000003</v>
      </c>
    </row>
    <row r="1817" spans="1:4">
      <c r="A1817" s="216">
        <v>2686</v>
      </c>
      <c r="B1817" s="222" t="s">
        <v>19496</v>
      </c>
      <c r="C1817" s="216" t="s">
        <v>17722</v>
      </c>
      <c r="D1817" s="443">
        <v>47.51</v>
      </c>
    </row>
    <row r="1818" spans="1:4">
      <c r="A1818" s="216">
        <v>2674</v>
      </c>
      <c r="B1818" s="222" t="s">
        <v>19497</v>
      </c>
      <c r="C1818" s="216" t="s">
        <v>17722</v>
      </c>
      <c r="D1818" s="443">
        <v>6.95</v>
      </c>
    </row>
    <row r="1819" spans="1:4">
      <c r="A1819" s="216">
        <v>2683</v>
      </c>
      <c r="B1819" s="222" t="s">
        <v>19498</v>
      </c>
      <c r="C1819" s="216" t="s">
        <v>17722</v>
      </c>
      <c r="D1819" s="443">
        <v>74.86</v>
      </c>
    </row>
    <row r="1820" spans="1:4">
      <c r="A1820" s="216">
        <v>2676</v>
      </c>
      <c r="B1820" s="222" t="s">
        <v>19499</v>
      </c>
      <c r="C1820" s="216" t="s">
        <v>17722</v>
      </c>
      <c r="D1820" s="443">
        <v>3.24</v>
      </c>
    </row>
    <row r="1821" spans="1:4">
      <c r="A1821" s="216">
        <v>2678</v>
      </c>
      <c r="B1821" s="222" t="s">
        <v>19500</v>
      </c>
      <c r="C1821" s="216" t="s">
        <v>17722</v>
      </c>
      <c r="D1821" s="443">
        <v>4.0599999999999996</v>
      </c>
    </row>
    <row r="1822" spans="1:4">
      <c r="A1822" s="216">
        <v>2679</v>
      </c>
      <c r="B1822" s="222" t="s">
        <v>19501</v>
      </c>
      <c r="C1822" s="216" t="s">
        <v>17722</v>
      </c>
      <c r="D1822" s="443">
        <v>6.27</v>
      </c>
    </row>
    <row r="1823" spans="1:4">
      <c r="A1823" s="216">
        <v>12070</v>
      </c>
      <c r="B1823" s="222" t="s">
        <v>19502</v>
      </c>
      <c r="C1823" s="216" t="s">
        <v>17722</v>
      </c>
      <c r="D1823" s="443">
        <v>8.7200000000000006</v>
      </c>
    </row>
    <row r="1824" spans="1:4">
      <c r="A1824" s="216">
        <v>2675</v>
      </c>
      <c r="B1824" s="222" t="s">
        <v>19503</v>
      </c>
      <c r="C1824" s="216" t="s">
        <v>17722</v>
      </c>
      <c r="D1824" s="443">
        <v>11.33</v>
      </c>
    </row>
    <row r="1825" spans="1:4">
      <c r="A1825" s="216">
        <v>12067</v>
      </c>
      <c r="B1825" s="222" t="s">
        <v>19504</v>
      </c>
      <c r="C1825" s="216" t="s">
        <v>17722</v>
      </c>
      <c r="D1825" s="443">
        <v>15.38</v>
      </c>
    </row>
    <row r="1826" spans="1:4">
      <c r="A1826" s="216">
        <v>21136</v>
      </c>
      <c r="B1826" s="222" t="s">
        <v>19505</v>
      </c>
      <c r="C1826" s="216" t="s">
        <v>17722</v>
      </c>
      <c r="D1826" s="443">
        <v>15.75</v>
      </c>
    </row>
    <row r="1827" spans="1:4">
      <c r="A1827" s="216">
        <v>21128</v>
      </c>
      <c r="B1827" s="222" t="s">
        <v>19506</v>
      </c>
      <c r="C1827" s="216" t="s">
        <v>17722</v>
      </c>
      <c r="D1827" s="443">
        <v>12.19</v>
      </c>
    </row>
    <row r="1828" spans="1:4">
      <c r="A1828" s="216">
        <v>21130</v>
      </c>
      <c r="B1828" s="222" t="s">
        <v>19507</v>
      </c>
      <c r="C1828" s="216" t="s">
        <v>17722</v>
      </c>
      <c r="D1828" s="443">
        <v>30.79</v>
      </c>
    </row>
    <row r="1829" spans="1:4">
      <c r="A1829" s="216">
        <v>21135</v>
      </c>
      <c r="B1829" s="222" t="s">
        <v>19508</v>
      </c>
      <c r="C1829" s="216" t="s">
        <v>17722</v>
      </c>
      <c r="D1829" s="443">
        <v>30.31</v>
      </c>
    </row>
    <row r="1830" spans="1:4">
      <c r="A1830" s="216">
        <v>40401</v>
      </c>
      <c r="B1830" s="222" t="s">
        <v>19509</v>
      </c>
      <c r="C1830" s="216" t="s">
        <v>17722</v>
      </c>
      <c r="D1830" s="443">
        <v>2.76</v>
      </c>
    </row>
    <row r="1831" spans="1:4">
      <c r="A1831" s="216">
        <v>40402</v>
      </c>
      <c r="B1831" s="222" t="s">
        <v>19510</v>
      </c>
      <c r="C1831" s="216" t="s">
        <v>17722</v>
      </c>
      <c r="D1831" s="443">
        <v>3.55</v>
      </c>
    </row>
    <row r="1832" spans="1:4">
      <c r="A1832" s="216">
        <v>40400</v>
      </c>
      <c r="B1832" s="222" t="s">
        <v>19511</v>
      </c>
      <c r="C1832" s="216" t="s">
        <v>17722</v>
      </c>
      <c r="D1832" s="443">
        <v>1.88</v>
      </c>
    </row>
    <row r="1833" spans="1:4" ht="31.5">
      <c r="A1833" s="216">
        <v>2504</v>
      </c>
      <c r="B1833" s="222" t="s">
        <v>19512</v>
      </c>
      <c r="C1833" s="216" t="s">
        <v>17722</v>
      </c>
      <c r="D1833" s="443">
        <v>13.52</v>
      </c>
    </row>
    <row r="1834" spans="1:4" ht="31.5">
      <c r="A1834" s="216">
        <v>2501</v>
      </c>
      <c r="B1834" s="222" t="s">
        <v>19513</v>
      </c>
      <c r="C1834" s="216" t="s">
        <v>17722</v>
      </c>
      <c r="D1834" s="443">
        <v>17.739999999999998</v>
      </c>
    </row>
    <row r="1835" spans="1:4" ht="31.5">
      <c r="A1835" s="216">
        <v>2502</v>
      </c>
      <c r="B1835" s="222" t="s">
        <v>19514</v>
      </c>
      <c r="C1835" s="216" t="s">
        <v>17722</v>
      </c>
      <c r="D1835" s="443">
        <v>26.76</v>
      </c>
    </row>
    <row r="1836" spans="1:4" ht="31.5">
      <c r="A1836" s="216">
        <v>2503</v>
      </c>
      <c r="B1836" s="222" t="s">
        <v>19515</v>
      </c>
      <c r="C1836" s="216" t="s">
        <v>17722</v>
      </c>
      <c r="D1836" s="443">
        <v>34.44</v>
      </c>
    </row>
    <row r="1837" spans="1:4" ht="31.5">
      <c r="A1837" s="216">
        <v>2500</v>
      </c>
      <c r="B1837" s="222" t="s">
        <v>19516</v>
      </c>
      <c r="C1837" s="216" t="s">
        <v>17722</v>
      </c>
      <c r="D1837" s="443">
        <v>45.88</v>
      </c>
    </row>
    <row r="1838" spans="1:4" ht="31.5">
      <c r="A1838" s="216">
        <v>2505</v>
      </c>
      <c r="B1838" s="222" t="s">
        <v>19517</v>
      </c>
      <c r="C1838" s="216" t="s">
        <v>17722</v>
      </c>
      <c r="D1838" s="443">
        <v>71.5</v>
      </c>
    </row>
    <row r="1839" spans="1:4">
      <c r="A1839" s="216">
        <v>12056</v>
      </c>
      <c r="B1839" s="222" t="s">
        <v>19518</v>
      </c>
      <c r="C1839" s="216" t="s">
        <v>17722</v>
      </c>
      <c r="D1839" s="443">
        <v>28.89</v>
      </c>
    </row>
    <row r="1840" spans="1:4">
      <c r="A1840" s="216">
        <v>12057</v>
      </c>
      <c r="B1840" s="222" t="s">
        <v>19519</v>
      </c>
      <c r="C1840" s="216" t="s">
        <v>17722</v>
      </c>
      <c r="D1840" s="443">
        <v>24.54</v>
      </c>
    </row>
    <row r="1841" spans="1:4">
      <c r="A1841" s="216">
        <v>12059</v>
      </c>
      <c r="B1841" s="222" t="s">
        <v>19520</v>
      </c>
      <c r="C1841" s="216" t="s">
        <v>17722</v>
      </c>
      <c r="D1841" s="443">
        <v>8.61</v>
      </c>
    </row>
    <row r="1842" spans="1:4">
      <c r="A1842" s="216">
        <v>12058</v>
      </c>
      <c r="B1842" s="222" t="s">
        <v>19521</v>
      </c>
      <c r="C1842" s="216" t="s">
        <v>17722</v>
      </c>
      <c r="D1842" s="443">
        <v>15.3</v>
      </c>
    </row>
    <row r="1843" spans="1:4">
      <c r="A1843" s="216">
        <v>12060</v>
      </c>
      <c r="B1843" s="222" t="s">
        <v>19522</v>
      </c>
      <c r="C1843" s="216" t="s">
        <v>17722</v>
      </c>
      <c r="D1843" s="443">
        <v>63.76</v>
      </c>
    </row>
    <row r="1844" spans="1:4">
      <c r="A1844" s="216">
        <v>12061</v>
      </c>
      <c r="B1844" s="222" t="s">
        <v>19523</v>
      </c>
      <c r="C1844" s="216" t="s">
        <v>17722</v>
      </c>
      <c r="D1844" s="443">
        <v>38.93</v>
      </c>
    </row>
    <row r="1845" spans="1:4">
      <c r="A1845" s="216">
        <v>12062</v>
      </c>
      <c r="B1845" s="222" t="s">
        <v>19524</v>
      </c>
      <c r="C1845" s="216" t="s">
        <v>17722</v>
      </c>
      <c r="D1845" s="443">
        <v>71.8</v>
      </c>
    </row>
    <row r="1846" spans="1:4">
      <c r="A1846" s="216">
        <v>21137</v>
      </c>
      <c r="B1846" s="222" t="s">
        <v>19525</v>
      </c>
      <c r="C1846" s="216" t="s">
        <v>17722</v>
      </c>
      <c r="D1846" s="443">
        <v>12.48</v>
      </c>
    </row>
    <row r="1847" spans="1:4">
      <c r="A1847" s="216">
        <v>2687</v>
      </c>
      <c r="B1847" s="222" t="s">
        <v>19526</v>
      </c>
      <c r="C1847" s="216" t="s">
        <v>17722</v>
      </c>
      <c r="D1847" s="443">
        <v>2.83</v>
      </c>
    </row>
    <row r="1848" spans="1:4">
      <c r="A1848" s="216">
        <v>2689</v>
      </c>
      <c r="B1848" s="222" t="s">
        <v>19527</v>
      </c>
      <c r="C1848" s="216" t="s">
        <v>17722</v>
      </c>
      <c r="D1848" s="443">
        <v>3.37</v>
      </c>
    </row>
    <row r="1849" spans="1:4">
      <c r="A1849" s="216">
        <v>2688</v>
      </c>
      <c r="B1849" s="222" t="s">
        <v>19528</v>
      </c>
      <c r="C1849" s="216" t="s">
        <v>17722</v>
      </c>
      <c r="D1849" s="443">
        <v>3.65</v>
      </c>
    </row>
    <row r="1850" spans="1:4">
      <c r="A1850" s="216">
        <v>2690</v>
      </c>
      <c r="B1850" s="222" t="s">
        <v>19529</v>
      </c>
      <c r="C1850" s="216" t="s">
        <v>17722</v>
      </c>
      <c r="D1850" s="443">
        <v>6.25</v>
      </c>
    </row>
    <row r="1851" spans="1:4">
      <c r="A1851" s="216">
        <v>39243</v>
      </c>
      <c r="B1851" s="222" t="s">
        <v>19530</v>
      </c>
      <c r="C1851" s="216" t="s">
        <v>17722</v>
      </c>
      <c r="D1851" s="443">
        <v>4.12</v>
      </c>
    </row>
    <row r="1852" spans="1:4">
      <c r="A1852" s="216">
        <v>39244</v>
      </c>
      <c r="B1852" s="222" t="s">
        <v>19531</v>
      </c>
      <c r="C1852" s="216" t="s">
        <v>17722</v>
      </c>
      <c r="D1852" s="443">
        <v>5.57</v>
      </c>
    </row>
    <row r="1853" spans="1:4">
      <c r="A1853" s="216">
        <v>39245</v>
      </c>
      <c r="B1853" s="222" t="s">
        <v>19532</v>
      </c>
      <c r="C1853" s="216" t="s">
        <v>17722</v>
      </c>
      <c r="D1853" s="443">
        <v>10.71</v>
      </c>
    </row>
    <row r="1854" spans="1:4">
      <c r="A1854" s="216">
        <v>39254</v>
      </c>
      <c r="B1854" s="222" t="s">
        <v>19533</v>
      </c>
      <c r="C1854" s="216" t="s">
        <v>17722</v>
      </c>
      <c r="D1854" s="443">
        <v>16.03</v>
      </c>
    </row>
    <row r="1855" spans="1:4">
      <c r="A1855" s="216">
        <v>39255</v>
      </c>
      <c r="B1855" s="222" t="s">
        <v>19534</v>
      </c>
      <c r="C1855" s="216" t="s">
        <v>17722</v>
      </c>
      <c r="D1855" s="443">
        <v>29.65</v>
      </c>
    </row>
    <row r="1856" spans="1:4">
      <c r="A1856" s="216">
        <v>39253</v>
      </c>
      <c r="B1856" s="222" t="s">
        <v>19535</v>
      </c>
      <c r="C1856" s="216" t="s">
        <v>17722</v>
      </c>
      <c r="D1856" s="443">
        <v>20.420000000000002</v>
      </c>
    </row>
    <row r="1857" spans="1:4" ht="31.5">
      <c r="A1857" s="216">
        <v>39246</v>
      </c>
      <c r="B1857" s="222" t="s">
        <v>19536</v>
      </c>
      <c r="C1857" s="216" t="s">
        <v>17722</v>
      </c>
      <c r="D1857" s="443">
        <v>4.8</v>
      </c>
    </row>
    <row r="1858" spans="1:4" ht="31.5">
      <c r="A1858" s="216">
        <v>39247</v>
      </c>
      <c r="B1858" s="222" t="s">
        <v>19537</v>
      </c>
      <c r="C1858" s="216" t="s">
        <v>17722</v>
      </c>
      <c r="D1858" s="443">
        <v>4.1900000000000004</v>
      </c>
    </row>
    <row r="1859" spans="1:4" ht="31.5">
      <c r="A1859" s="216">
        <v>2446</v>
      </c>
      <c r="B1859" s="222" t="s">
        <v>19538</v>
      </c>
      <c r="C1859" s="216" t="s">
        <v>17722</v>
      </c>
      <c r="D1859" s="443">
        <v>6.9</v>
      </c>
    </row>
    <row r="1860" spans="1:4" ht="31.5">
      <c r="A1860" s="216">
        <v>2442</v>
      </c>
      <c r="B1860" s="222" t="s">
        <v>19539</v>
      </c>
      <c r="C1860" s="216" t="s">
        <v>17722</v>
      </c>
      <c r="D1860" s="443">
        <v>9.66</v>
      </c>
    </row>
    <row r="1861" spans="1:4" ht="31.5">
      <c r="A1861" s="216">
        <v>39248</v>
      </c>
      <c r="B1861" s="222" t="s">
        <v>19540</v>
      </c>
      <c r="C1861" s="216" t="s">
        <v>17722</v>
      </c>
      <c r="D1861" s="443">
        <v>13.47</v>
      </c>
    </row>
    <row r="1862" spans="1:4">
      <c r="A1862" s="216">
        <v>2438</v>
      </c>
      <c r="B1862" s="222" t="s">
        <v>19541</v>
      </c>
      <c r="C1862" s="216" t="s">
        <v>17826</v>
      </c>
      <c r="D1862" s="443">
        <v>30.38</v>
      </c>
    </row>
    <row r="1863" spans="1:4">
      <c r="A1863" s="216">
        <v>40922</v>
      </c>
      <c r="B1863" s="222" t="s">
        <v>19542</v>
      </c>
      <c r="C1863" s="216" t="s">
        <v>17828</v>
      </c>
      <c r="D1863" s="443">
        <v>5319.87</v>
      </c>
    </row>
    <row r="1864" spans="1:4" ht="31.5">
      <c r="A1864" s="216">
        <v>36486</v>
      </c>
      <c r="B1864" s="222" t="s">
        <v>19543</v>
      </c>
      <c r="C1864" s="216" t="s">
        <v>17678</v>
      </c>
      <c r="D1864" s="443">
        <v>70127.199999999997</v>
      </c>
    </row>
    <row r="1865" spans="1:4" ht="31.5">
      <c r="A1865" s="216">
        <v>37777</v>
      </c>
      <c r="B1865" s="222" t="s">
        <v>19544</v>
      </c>
      <c r="C1865" s="216" t="s">
        <v>17678</v>
      </c>
      <c r="D1865" s="443">
        <v>330157.49</v>
      </c>
    </row>
    <row r="1866" spans="1:4">
      <c r="A1866" s="216">
        <v>12624</v>
      </c>
      <c r="B1866" s="222" t="s">
        <v>19545</v>
      </c>
      <c r="C1866" s="216" t="s">
        <v>17678</v>
      </c>
      <c r="D1866" s="443">
        <v>32.72</v>
      </c>
    </row>
    <row r="1867" spans="1:4">
      <c r="A1867" s="216">
        <v>517</v>
      </c>
      <c r="B1867" s="222" t="s">
        <v>19546</v>
      </c>
      <c r="C1867" s="216" t="s">
        <v>17728</v>
      </c>
      <c r="D1867" s="443">
        <v>8.17</v>
      </c>
    </row>
    <row r="1868" spans="1:4">
      <c r="A1868" s="216">
        <v>37534</v>
      </c>
      <c r="B1868" s="222" t="s">
        <v>19547</v>
      </c>
      <c r="C1868" s="216" t="s">
        <v>17726</v>
      </c>
      <c r="D1868" s="443">
        <v>21.97</v>
      </c>
    </row>
    <row r="1869" spans="1:4">
      <c r="A1869" s="216">
        <v>37535</v>
      </c>
      <c r="B1869" s="222" t="s">
        <v>19548</v>
      </c>
      <c r="C1869" s="216" t="s">
        <v>17726</v>
      </c>
      <c r="D1869" s="443">
        <v>21.97</v>
      </c>
    </row>
    <row r="1870" spans="1:4">
      <c r="A1870" s="216">
        <v>37533</v>
      </c>
      <c r="B1870" s="222" t="s">
        <v>19549</v>
      </c>
      <c r="C1870" s="216" t="s">
        <v>17726</v>
      </c>
      <c r="D1870" s="443">
        <v>21.97</v>
      </c>
    </row>
    <row r="1871" spans="1:4">
      <c r="A1871" s="216">
        <v>37537</v>
      </c>
      <c r="B1871" s="222" t="s">
        <v>19550</v>
      </c>
      <c r="C1871" s="216" t="s">
        <v>17726</v>
      </c>
      <c r="D1871" s="443">
        <v>16.63</v>
      </c>
    </row>
    <row r="1872" spans="1:4">
      <c r="A1872" s="216">
        <v>37536</v>
      </c>
      <c r="B1872" s="222" t="s">
        <v>19551</v>
      </c>
      <c r="C1872" s="216" t="s">
        <v>17726</v>
      </c>
      <c r="D1872" s="443">
        <v>16.63</v>
      </c>
    </row>
    <row r="1873" spans="1:4">
      <c r="A1873" s="216">
        <v>37532</v>
      </c>
      <c r="B1873" s="222" t="s">
        <v>19552</v>
      </c>
      <c r="C1873" s="216" t="s">
        <v>17726</v>
      </c>
      <c r="D1873" s="443">
        <v>16.63</v>
      </c>
    </row>
    <row r="1874" spans="1:4">
      <c r="A1874" s="216">
        <v>2696</v>
      </c>
      <c r="B1874" s="222" t="s">
        <v>19553</v>
      </c>
      <c r="C1874" s="216" t="s">
        <v>17826</v>
      </c>
      <c r="D1874" s="443">
        <v>24.15</v>
      </c>
    </row>
    <row r="1875" spans="1:4">
      <c r="A1875" s="216">
        <v>40928</v>
      </c>
      <c r="B1875" s="222" t="s">
        <v>19554</v>
      </c>
      <c r="C1875" s="216" t="s">
        <v>17828</v>
      </c>
      <c r="D1875" s="443">
        <v>4228.24</v>
      </c>
    </row>
    <row r="1876" spans="1:4">
      <c r="A1876" s="216">
        <v>4083</v>
      </c>
      <c r="B1876" s="222" t="s">
        <v>19555</v>
      </c>
      <c r="C1876" s="216" t="s">
        <v>17826</v>
      </c>
      <c r="D1876" s="443">
        <v>36.6</v>
      </c>
    </row>
    <row r="1877" spans="1:4">
      <c r="A1877" s="216">
        <v>40818</v>
      </c>
      <c r="B1877" s="222" t="s">
        <v>19556</v>
      </c>
      <c r="C1877" s="216" t="s">
        <v>17828</v>
      </c>
      <c r="D1877" s="443">
        <v>6408.84</v>
      </c>
    </row>
    <row r="1878" spans="1:4">
      <c r="A1878" s="216">
        <v>43146</v>
      </c>
      <c r="B1878" s="222" t="s">
        <v>19557</v>
      </c>
      <c r="C1878" s="216" t="s">
        <v>17726</v>
      </c>
      <c r="D1878" s="443">
        <v>8.6</v>
      </c>
    </row>
    <row r="1879" spans="1:4">
      <c r="A1879" s="216">
        <v>2705</v>
      </c>
      <c r="B1879" s="222" t="s">
        <v>19558</v>
      </c>
      <c r="C1879" s="216" t="s">
        <v>19559</v>
      </c>
      <c r="D1879" s="443">
        <v>0.64</v>
      </c>
    </row>
    <row r="1880" spans="1:4" ht="31.5">
      <c r="A1880" s="216">
        <v>14250</v>
      </c>
      <c r="B1880" s="222" t="s">
        <v>19560</v>
      </c>
      <c r="C1880" s="216" t="s">
        <v>19559</v>
      </c>
      <c r="D1880" s="443">
        <v>0.65</v>
      </c>
    </row>
    <row r="1881" spans="1:4">
      <c r="A1881" s="216">
        <v>11683</v>
      </c>
      <c r="B1881" s="222" t="s">
        <v>19561</v>
      </c>
      <c r="C1881" s="216" t="s">
        <v>17678</v>
      </c>
      <c r="D1881" s="443">
        <v>86</v>
      </c>
    </row>
    <row r="1882" spans="1:4">
      <c r="A1882" s="216">
        <v>11684</v>
      </c>
      <c r="B1882" s="222" t="s">
        <v>19562</v>
      </c>
      <c r="C1882" s="216" t="s">
        <v>17678</v>
      </c>
      <c r="D1882" s="443">
        <v>94.13</v>
      </c>
    </row>
    <row r="1883" spans="1:4">
      <c r="A1883" s="216">
        <v>6141</v>
      </c>
      <c r="B1883" s="222" t="s">
        <v>19563</v>
      </c>
      <c r="C1883" s="216" t="s">
        <v>17678</v>
      </c>
      <c r="D1883" s="443">
        <v>5.53</v>
      </c>
    </row>
    <row r="1884" spans="1:4">
      <c r="A1884" s="216">
        <v>11681</v>
      </c>
      <c r="B1884" s="222" t="s">
        <v>19564</v>
      </c>
      <c r="C1884" s="216" t="s">
        <v>17678</v>
      </c>
      <c r="D1884" s="443">
        <v>6.98</v>
      </c>
    </row>
    <row r="1885" spans="1:4">
      <c r="A1885" s="216">
        <v>2706</v>
      </c>
      <c r="B1885" s="222" t="s">
        <v>19565</v>
      </c>
      <c r="C1885" s="216" t="s">
        <v>17826</v>
      </c>
      <c r="D1885" s="443">
        <v>109.17</v>
      </c>
    </row>
    <row r="1886" spans="1:4">
      <c r="A1886" s="216">
        <v>40811</v>
      </c>
      <c r="B1886" s="222" t="s">
        <v>19566</v>
      </c>
      <c r="C1886" s="216" t="s">
        <v>17828</v>
      </c>
      <c r="D1886" s="443">
        <v>19112.560000000001</v>
      </c>
    </row>
    <row r="1887" spans="1:4">
      <c r="A1887" s="216">
        <v>2707</v>
      </c>
      <c r="B1887" s="222" t="s">
        <v>19567</v>
      </c>
      <c r="C1887" s="216" t="s">
        <v>17826</v>
      </c>
      <c r="D1887" s="443">
        <v>124.25</v>
      </c>
    </row>
    <row r="1888" spans="1:4">
      <c r="A1888" s="216">
        <v>40813</v>
      </c>
      <c r="B1888" s="222" t="s">
        <v>19568</v>
      </c>
      <c r="C1888" s="216" t="s">
        <v>17828</v>
      </c>
      <c r="D1888" s="443">
        <v>21754.03</v>
      </c>
    </row>
    <row r="1889" spans="1:4">
      <c r="A1889" s="216">
        <v>2708</v>
      </c>
      <c r="B1889" s="222" t="s">
        <v>19569</v>
      </c>
      <c r="C1889" s="216" t="s">
        <v>17826</v>
      </c>
      <c r="D1889" s="443">
        <v>169.84</v>
      </c>
    </row>
    <row r="1890" spans="1:4">
      <c r="A1890" s="216">
        <v>40814</v>
      </c>
      <c r="B1890" s="222" t="s">
        <v>19570</v>
      </c>
      <c r="C1890" s="216" t="s">
        <v>17828</v>
      </c>
      <c r="D1890" s="443">
        <v>29737.17</v>
      </c>
    </row>
    <row r="1891" spans="1:4">
      <c r="A1891" s="216">
        <v>34779</v>
      </c>
      <c r="B1891" s="222" t="s">
        <v>19571</v>
      </c>
      <c r="C1891" s="216" t="s">
        <v>17826</v>
      </c>
      <c r="D1891" s="443">
        <v>110.75</v>
      </c>
    </row>
    <row r="1892" spans="1:4">
      <c r="A1892" s="216">
        <v>40936</v>
      </c>
      <c r="B1892" s="222" t="s">
        <v>19572</v>
      </c>
      <c r="C1892" s="216" t="s">
        <v>17828</v>
      </c>
      <c r="D1892" s="443">
        <v>19391.37</v>
      </c>
    </row>
    <row r="1893" spans="1:4">
      <c r="A1893" s="216">
        <v>34780</v>
      </c>
      <c r="B1893" s="222" t="s">
        <v>19573</v>
      </c>
      <c r="C1893" s="216" t="s">
        <v>17826</v>
      </c>
      <c r="D1893" s="443">
        <v>124.94</v>
      </c>
    </row>
    <row r="1894" spans="1:4">
      <c r="A1894" s="216">
        <v>40937</v>
      </c>
      <c r="B1894" s="222" t="s">
        <v>19574</v>
      </c>
      <c r="C1894" s="216" t="s">
        <v>17828</v>
      </c>
      <c r="D1894" s="443">
        <v>21877.31</v>
      </c>
    </row>
    <row r="1895" spans="1:4">
      <c r="A1895" s="216">
        <v>34782</v>
      </c>
      <c r="B1895" s="222" t="s">
        <v>19575</v>
      </c>
      <c r="C1895" s="216" t="s">
        <v>17826</v>
      </c>
      <c r="D1895" s="443">
        <v>171.23</v>
      </c>
    </row>
    <row r="1896" spans="1:4">
      <c r="A1896" s="216">
        <v>40938</v>
      </c>
      <c r="B1896" s="222" t="s">
        <v>19576</v>
      </c>
      <c r="C1896" s="216" t="s">
        <v>17828</v>
      </c>
      <c r="D1896" s="443">
        <v>29980.77</v>
      </c>
    </row>
    <row r="1897" spans="1:4">
      <c r="A1897" s="216">
        <v>34783</v>
      </c>
      <c r="B1897" s="222" t="s">
        <v>19577</v>
      </c>
      <c r="C1897" s="216" t="s">
        <v>17826</v>
      </c>
      <c r="D1897" s="443">
        <v>107.61</v>
      </c>
    </row>
    <row r="1898" spans="1:4">
      <c r="A1898" s="216">
        <v>40939</v>
      </c>
      <c r="B1898" s="222" t="s">
        <v>19578</v>
      </c>
      <c r="C1898" s="216" t="s">
        <v>17828</v>
      </c>
      <c r="D1898" s="443">
        <v>18841.8</v>
      </c>
    </row>
    <row r="1899" spans="1:4">
      <c r="A1899" s="216">
        <v>34785</v>
      </c>
      <c r="B1899" s="222" t="s">
        <v>19579</v>
      </c>
      <c r="C1899" s="216" t="s">
        <v>17826</v>
      </c>
      <c r="D1899" s="443">
        <v>74.599999999999994</v>
      </c>
    </row>
    <row r="1900" spans="1:4">
      <c r="A1900" s="216">
        <v>40940</v>
      </c>
      <c r="B1900" s="222" t="s">
        <v>19580</v>
      </c>
      <c r="C1900" s="216" t="s">
        <v>17828</v>
      </c>
      <c r="D1900" s="443">
        <v>13062.75</v>
      </c>
    </row>
    <row r="1901" spans="1:4">
      <c r="A1901" s="216">
        <v>38403</v>
      </c>
      <c r="B1901" s="222" t="s">
        <v>19581</v>
      </c>
      <c r="C1901" s="216" t="s">
        <v>17678</v>
      </c>
      <c r="D1901" s="443">
        <v>42.11</v>
      </c>
    </row>
    <row r="1902" spans="1:4">
      <c r="A1902" s="216">
        <v>43482</v>
      </c>
      <c r="B1902" s="222" t="s">
        <v>19582</v>
      </c>
      <c r="C1902" s="216" t="s">
        <v>17826</v>
      </c>
      <c r="D1902" s="443">
        <v>0.75</v>
      </c>
    </row>
    <row r="1903" spans="1:4">
      <c r="A1903" s="216">
        <v>43494</v>
      </c>
      <c r="B1903" s="222" t="s">
        <v>19583</v>
      </c>
      <c r="C1903" s="216" t="s">
        <v>17828</v>
      </c>
      <c r="D1903" s="443">
        <v>140.69</v>
      </c>
    </row>
    <row r="1904" spans="1:4">
      <c r="A1904" s="216">
        <v>43483</v>
      </c>
      <c r="B1904" s="222" t="s">
        <v>19584</v>
      </c>
      <c r="C1904" s="216" t="s">
        <v>17826</v>
      </c>
      <c r="D1904" s="443">
        <v>1.34</v>
      </c>
    </row>
    <row r="1905" spans="1:4">
      <c r="A1905" s="216">
        <v>43495</v>
      </c>
      <c r="B1905" s="222" t="s">
        <v>19585</v>
      </c>
      <c r="C1905" s="216" t="s">
        <v>17828</v>
      </c>
      <c r="D1905" s="443">
        <v>253.46</v>
      </c>
    </row>
    <row r="1906" spans="1:4">
      <c r="A1906" s="216">
        <v>43484</v>
      </c>
      <c r="B1906" s="222" t="s">
        <v>19586</v>
      </c>
      <c r="C1906" s="216" t="s">
        <v>17826</v>
      </c>
      <c r="D1906" s="443">
        <v>1.1399999999999999</v>
      </c>
    </row>
    <row r="1907" spans="1:4">
      <c r="A1907" s="216">
        <v>43496</v>
      </c>
      <c r="B1907" s="222" t="s">
        <v>19587</v>
      </c>
      <c r="C1907" s="216" t="s">
        <v>17828</v>
      </c>
      <c r="D1907" s="443">
        <v>214.4</v>
      </c>
    </row>
    <row r="1908" spans="1:4">
      <c r="A1908" s="216">
        <v>43485</v>
      </c>
      <c r="B1908" s="222" t="s">
        <v>19588</v>
      </c>
      <c r="C1908" s="216" t="s">
        <v>17826</v>
      </c>
      <c r="D1908" s="443">
        <v>1.01</v>
      </c>
    </row>
    <row r="1909" spans="1:4">
      <c r="A1909" s="216">
        <v>43497</v>
      </c>
      <c r="B1909" s="222" t="s">
        <v>19589</v>
      </c>
      <c r="C1909" s="216" t="s">
        <v>17828</v>
      </c>
      <c r="D1909" s="443">
        <v>189.52</v>
      </c>
    </row>
    <row r="1910" spans="1:4">
      <c r="A1910" s="216">
        <v>43487</v>
      </c>
      <c r="B1910" s="222" t="s">
        <v>19590</v>
      </c>
      <c r="C1910" s="216" t="s">
        <v>17826</v>
      </c>
      <c r="D1910" s="443">
        <v>1.17</v>
      </c>
    </row>
    <row r="1911" spans="1:4">
      <c r="A1911" s="216">
        <v>43499</v>
      </c>
      <c r="B1911" s="222" t="s">
        <v>19591</v>
      </c>
      <c r="C1911" s="216" t="s">
        <v>17828</v>
      </c>
      <c r="D1911" s="443">
        <v>221.51</v>
      </c>
    </row>
    <row r="1912" spans="1:4">
      <c r="A1912" s="216">
        <v>43486</v>
      </c>
      <c r="B1912" s="222" t="s">
        <v>19592</v>
      </c>
      <c r="C1912" s="216" t="s">
        <v>17826</v>
      </c>
      <c r="D1912" s="443">
        <v>0.71</v>
      </c>
    </row>
    <row r="1913" spans="1:4">
      <c r="A1913" s="216">
        <v>43498</v>
      </c>
      <c r="B1913" s="222" t="s">
        <v>19593</v>
      </c>
      <c r="C1913" s="216" t="s">
        <v>17828</v>
      </c>
      <c r="D1913" s="443">
        <v>133.44999999999999</v>
      </c>
    </row>
    <row r="1914" spans="1:4">
      <c r="A1914" s="216">
        <v>43488</v>
      </c>
      <c r="B1914" s="222" t="s">
        <v>19594</v>
      </c>
      <c r="C1914" s="216" t="s">
        <v>17826</v>
      </c>
      <c r="D1914" s="443">
        <v>0.82</v>
      </c>
    </row>
    <row r="1915" spans="1:4">
      <c r="A1915" s="216">
        <v>43500</v>
      </c>
      <c r="B1915" s="222" t="s">
        <v>19595</v>
      </c>
      <c r="C1915" s="216" t="s">
        <v>17828</v>
      </c>
      <c r="D1915" s="443">
        <v>154.53</v>
      </c>
    </row>
    <row r="1916" spans="1:4">
      <c r="A1916" s="216">
        <v>43489</v>
      </c>
      <c r="B1916" s="222" t="s">
        <v>19596</v>
      </c>
      <c r="C1916" s="216" t="s">
        <v>17826</v>
      </c>
      <c r="D1916" s="443">
        <v>1.17</v>
      </c>
    </row>
    <row r="1917" spans="1:4">
      <c r="A1917" s="216">
        <v>43501</v>
      </c>
      <c r="B1917" s="222" t="s">
        <v>19597</v>
      </c>
      <c r="C1917" s="216" t="s">
        <v>17828</v>
      </c>
      <c r="D1917" s="443">
        <v>220.75</v>
      </c>
    </row>
    <row r="1918" spans="1:4">
      <c r="A1918" s="216">
        <v>43490</v>
      </c>
      <c r="B1918" s="222" t="s">
        <v>19598</v>
      </c>
      <c r="C1918" s="216" t="s">
        <v>17826</v>
      </c>
      <c r="D1918" s="443">
        <v>1.68</v>
      </c>
    </row>
    <row r="1919" spans="1:4">
      <c r="A1919" s="216">
        <v>43502</v>
      </c>
      <c r="B1919" s="222" t="s">
        <v>19599</v>
      </c>
      <c r="C1919" s="216" t="s">
        <v>17828</v>
      </c>
      <c r="D1919" s="443">
        <v>316.25</v>
      </c>
    </row>
    <row r="1920" spans="1:4">
      <c r="A1920" s="216">
        <v>43491</v>
      </c>
      <c r="B1920" s="222" t="s">
        <v>19600</v>
      </c>
      <c r="C1920" s="216" t="s">
        <v>17826</v>
      </c>
      <c r="D1920" s="443">
        <v>1.25</v>
      </c>
    </row>
    <row r="1921" spans="1:4">
      <c r="A1921" s="216">
        <v>43503</v>
      </c>
      <c r="B1921" s="222" t="s">
        <v>19601</v>
      </c>
      <c r="C1921" s="216" t="s">
        <v>17828</v>
      </c>
      <c r="D1921" s="443">
        <v>235.5</v>
      </c>
    </row>
    <row r="1922" spans="1:4">
      <c r="A1922" s="216">
        <v>43492</v>
      </c>
      <c r="B1922" s="222" t="s">
        <v>19602</v>
      </c>
      <c r="C1922" s="216" t="s">
        <v>17826</v>
      </c>
      <c r="D1922" s="443">
        <v>1.68</v>
      </c>
    </row>
    <row r="1923" spans="1:4">
      <c r="A1923" s="216">
        <v>43504</v>
      </c>
      <c r="B1923" s="222" t="s">
        <v>19603</v>
      </c>
      <c r="C1923" s="216" t="s">
        <v>17828</v>
      </c>
      <c r="D1923" s="443">
        <v>317.67</v>
      </c>
    </row>
    <row r="1924" spans="1:4">
      <c r="A1924" s="216">
        <v>43493</v>
      </c>
      <c r="B1924" s="222" t="s">
        <v>19604</v>
      </c>
      <c r="C1924" s="216" t="s">
        <v>17826</v>
      </c>
      <c r="D1924" s="443">
        <v>0.67</v>
      </c>
    </row>
    <row r="1925" spans="1:4">
      <c r="A1925" s="216">
        <v>43505</v>
      </c>
      <c r="B1925" s="222" t="s">
        <v>19605</v>
      </c>
      <c r="C1925" s="216" t="s">
        <v>17828</v>
      </c>
      <c r="D1925" s="443">
        <v>126.7</v>
      </c>
    </row>
    <row r="1926" spans="1:4" ht="31.5">
      <c r="A1926" s="216">
        <v>37774</v>
      </c>
      <c r="B1926" s="222" t="s">
        <v>19606</v>
      </c>
      <c r="C1926" s="216" t="s">
        <v>17678</v>
      </c>
      <c r="D1926" s="443">
        <v>450184.09</v>
      </c>
    </row>
    <row r="1927" spans="1:4" ht="47.25">
      <c r="A1927" s="216">
        <v>38630</v>
      </c>
      <c r="B1927" s="222" t="s">
        <v>19607</v>
      </c>
      <c r="C1927" s="216" t="s">
        <v>17678</v>
      </c>
      <c r="D1927" s="443">
        <v>2302734.37</v>
      </c>
    </row>
    <row r="1928" spans="1:4" ht="47.25">
      <c r="A1928" s="216">
        <v>38629</v>
      </c>
      <c r="B1928" s="222" t="s">
        <v>19608</v>
      </c>
      <c r="C1928" s="216" t="s">
        <v>17678</v>
      </c>
      <c r="D1928" s="443">
        <v>3427734.37</v>
      </c>
    </row>
    <row r="1929" spans="1:4">
      <c r="A1929" s="216">
        <v>38476</v>
      </c>
      <c r="B1929" s="222" t="s">
        <v>19609</v>
      </c>
      <c r="C1929" s="216" t="s">
        <v>17678</v>
      </c>
      <c r="D1929" s="443">
        <v>316.49</v>
      </c>
    </row>
    <row r="1930" spans="1:4">
      <c r="A1930" s="216">
        <v>38477</v>
      </c>
      <c r="B1930" s="222" t="s">
        <v>19610</v>
      </c>
      <c r="C1930" s="216" t="s">
        <v>17678</v>
      </c>
      <c r="D1930" s="443">
        <v>896.31</v>
      </c>
    </row>
    <row r="1931" spans="1:4" ht="31.5">
      <c r="A1931" s="216">
        <v>40635</v>
      </c>
      <c r="B1931" s="222" t="s">
        <v>19611</v>
      </c>
      <c r="C1931" s="216" t="s">
        <v>17678</v>
      </c>
      <c r="D1931" s="443">
        <v>1124163.1299999999</v>
      </c>
    </row>
    <row r="1932" spans="1:4" ht="31.5">
      <c r="A1932" s="216">
        <v>36483</v>
      </c>
      <c r="B1932" s="222" t="s">
        <v>19612</v>
      </c>
      <c r="C1932" s="216" t="s">
        <v>17678</v>
      </c>
      <c r="D1932" s="443">
        <v>1018671.87</v>
      </c>
    </row>
    <row r="1933" spans="1:4" ht="31.5">
      <c r="A1933" s="216">
        <v>14525</v>
      </c>
      <c r="B1933" s="222" t="s">
        <v>19613</v>
      </c>
      <c r="C1933" s="216" t="s">
        <v>17678</v>
      </c>
      <c r="D1933" s="443">
        <v>1066609.3700000001</v>
      </c>
    </row>
    <row r="1934" spans="1:4" ht="31.5">
      <c r="A1934" s="216">
        <v>36482</v>
      </c>
      <c r="B1934" s="222" t="s">
        <v>19614</v>
      </c>
      <c r="C1934" s="216" t="s">
        <v>17678</v>
      </c>
      <c r="D1934" s="443">
        <v>914766.09</v>
      </c>
    </row>
    <row r="1935" spans="1:4" ht="31.5">
      <c r="A1935" s="216">
        <v>36408</v>
      </c>
      <c r="B1935" s="222" t="s">
        <v>19615</v>
      </c>
      <c r="C1935" s="216" t="s">
        <v>17678</v>
      </c>
      <c r="D1935" s="443">
        <v>1092975</v>
      </c>
    </row>
    <row r="1936" spans="1:4">
      <c r="A1936" s="216">
        <v>2723</v>
      </c>
      <c r="B1936" s="222" t="s">
        <v>19616</v>
      </c>
      <c r="C1936" s="216" t="s">
        <v>17678</v>
      </c>
      <c r="D1936" s="443">
        <v>838906.25</v>
      </c>
    </row>
    <row r="1937" spans="1:4" ht="31.5">
      <c r="A1937" s="216">
        <v>36481</v>
      </c>
      <c r="B1937" s="222" t="s">
        <v>19617</v>
      </c>
      <c r="C1937" s="216" t="s">
        <v>17678</v>
      </c>
      <c r="D1937" s="443">
        <v>1000695.31</v>
      </c>
    </row>
    <row r="1938" spans="1:4">
      <c r="A1938" s="216">
        <v>10685</v>
      </c>
      <c r="B1938" s="222" t="s">
        <v>19618</v>
      </c>
      <c r="C1938" s="216" t="s">
        <v>17678</v>
      </c>
      <c r="D1938" s="443">
        <v>958750</v>
      </c>
    </row>
    <row r="1939" spans="1:4" ht="31.5">
      <c r="A1939" s="216">
        <v>40636</v>
      </c>
      <c r="B1939" s="222" t="s">
        <v>19619</v>
      </c>
      <c r="C1939" s="216" t="s">
        <v>17678</v>
      </c>
      <c r="D1939" s="443">
        <v>1082217.82</v>
      </c>
    </row>
    <row r="1940" spans="1:4">
      <c r="A1940" s="216">
        <v>4111</v>
      </c>
      <c r="B1940" s="222" t="s">
        <v>19620</v>
      </c>
      <c r="C1940" s="216" t="s">
        <v>17678</v>
      </c>
      <c r="D1940" s="443">
        <v>51.18</v>
      </c>
    </row>
    <row r="1941" spans="1:4" ht="31.5">
      <c r="A1941" s="216">
        <v>44538</v>
      </c>
      <c r="B1941" s="222" t="s">
        <v>19621</v>
      </c>
      <c r="C1941" s="216" t="s">
        <v>17678</v>
      </c>
      <c r="D1941" s="443">
        <v>68.28</v>
      </c>
    </row>
    <row r="1942" spans="1:4">
      <c r="A1942" s="216">
        <v>12</v>
      </c>
      <c r="B1942" s="222" t="s">
        <v>19622</v>
      </c>
      <c r="C1942" s="216" t="s">
        <v>17678</v>
      </c>
      <c r="D1942" s="443">
        <v>14.2</v>
      </c>
    </row>
    <row r="1943" spans="1:4">
      <c r="A1943" s="216">
        <v>37554</v>
      </c>
      <c r="B1943" s="222" t="s">
        <v>19623</v>
      </c>
      <c r="C1943" s="216" t="s">
        <v>17678</v>
      </c>
      <c r="D1943" s="443">
        <v>293.58999999999997</v>
      </c>
    </row>
    <row r="1944" spans="1:4">
      <c r="A1944" s="216">
        <v>37555</v>
      </c>
      <c r="B1944" s="222" t="s">
        <v>19624</v>
      </c>
      <c r="C1944" s="216" t="s">
        <v>17678</v>
      </c>
      <c r="D1944" s="443">
        <v>357.14</v>
      </c>
    </row>
    <row r="1945" spans="1:4" ht="31.5">
      <c r="A1945" s="216">
        <v>10902</v>
      </c>
      <c r="B1945" s="222" t="s">
        <v>19625</v>
      </c>
      <c r="C1945" s="216" t="s">
        <v>17678</v>
      </c>
      <c r="D1945" s="443">
        <v>89.61</v>
      </c>
    </row>
    <row r="1946" spans="1:4" ht="31.5">
      <c r="A1946" s="216">
        <v>20965</v>
      </c>
      <c r="B1946" s="222" t="s">
        <v>19626</v>
      </c>
      <c r="C1946" s="216" t="s">
        <v>17678</v>
      </c>
      <c r="D1946" s="443">
        <v>90.45</v>
      </c>
    </row>
    <row r="1947" spans="1:4" ht="31.5">
      <c r="A1947" s="216">
        <v>20966</v>
      </c>
      <c r="B1947" s="222" t="s">
        <v>19627</v>
      </c>
      <c r="C1947" s="216" t="s">
        <v>17678</v>
      </c>
      <c r="D1947" s="443">
        <v>97.39</v>
      </c>
    </row>
    <row r="1948" spans="1:4" ht="31.5">
      <c r="A1948" s="216">
        <v>10903</v>
      </c>
      <c r="B1948" s="222" t="s">
        <v>19628</v>
      </c>
      <c r="C1948" s="216" t="s">
        <v>17678</v>
      </c>
      <c r="D1948" s="443">
        <v>147.61000000000001</v>
      </c>
    </row>
    <row r="1949" spans="1:4" ht="31.5">
      <c r="A1949" s="216">
        <v>20967</v>
      </c>
      <c r="B1949" s="222" t="s">
        <v>19629</v>
      </c>
      <c r="C1949" s="216" t="s">
        <v>17678</v>
      </c>
      <c r="D1949" s="443">
        <v>147.61000000000001</v>
      </c>
    </row>
    <row r="1950" spans="1:4" ht="31.5">
      <c r="A1950" s="216">
        <v>20968</v>
      </c>
      <c r="B1950" s="222" t="s">
        <v>19630</v>
      </c>
      <c r="C1950" s="216" t="s">
        <v>17678</v>
      </c>
      <c r="D1950" s="443">
        <v>161.9</v>
      </c>
    </row>
    <row r="1951" spans="1:4">
      <c r="A1951" s="216">
        <v>11359</v>
      </c>
      <c r="B1951" s="222" t="s">
        <v>19631</v>
      </c>
      <c r="C1951" s="216" t="s">
        <v>17678</v>
      </c>
      <c r="D1951" s="443">
        <v>799.9</v>
      </c>
    </row>
    <row r="1952" spans="1:4" ht="31.5">
      <c r="A1952" s="216">
        <v>39017</v>
      </c>
      <c r="B1952" s="222" t="s">
        <v>19632</v>
      </c>
      <c r="C1952" s="216" t="s">
        <v>17678</v>
      </c>
      <c r="D1952" s="443">
        <v>0.22</v>
      </c>
    </row>
    <row r="1953" spans="1:4" ht="31.5">
      <c r="A1953" s="216">
        <v>39315</v>
      </c>
      <c r="B1953" s="222" t="s">
        <v>19633</v>
      </c>
      <c r="C1953" s="216" t="s">
        <v>17678</v>
      </c>
      <c r="D1953" s="443">
        <v>0.35</v>
      </c>
    </row>
    <row r="1954" spans="1:4">
      <c r="A1954" s="216">
        <v>39016</v>
      </c>
      <c r="B1954" s="222" t="s">
        <v>19634</v>
      </c>
      <c r="C1954" s="216" t="s">
        <v>17678</v>
      </c>
      <c r="D1954" s="443">
        <v>0.36</v>
      </c>
    </row>
    <row r="1955" spans="1:4" ht="31.5">
      <c r="A1955" s="216">
        <v>39481</v>
      </c>
      <c r="B1955" s="222" t="s">
        <v>19635</v>
      </c>
      <c r="C1955" s="216" t="s">
        <v>17678</v>
      </c>
      <c r="D1955" s="443">
        <v>1.74</v>
      </c>
    </row>
    <row r="1956" spans="1:4" ht="31.5">
      <c r="A1956" s="216">
        <v>39013</v>
      </c>
      <c r="B1956" s="222" t="s">
        <v>19636</v>
      </c>
      <c r="C1956" s="216" t="s">
        <v>17678</v>
      </c>
      <c r="D1956" s="443">
        <v>1.48</v>
      </c>
    </row>
    <row r="1957" spans="1:4" ht="31.5">
      <c r="A1957" s="216">
        <v>44919</v>
      </c>
      <c r="B1957" s="222" t="s">
        <v>19637</v>
      </c>
      <c r="C1957" s="216" t="s">
        <v>17678</v>
      </c>
      <c r="D1957" s="443">
        <v>2.77</v>
      </c>
    </row>
    <row r="1958" spans="1:4">
      <c r="A1958" s="216">
        <v>40433</v>
      </c>
      <c r="B1958" s="222" t="s">
        <v>19638</v>
      </c>
      <c r="C1958" s="216" t="s">
        <v>17678</v>
      </c>
      <c r="D1958" s="443">
        <v>1.53</v>
      </c>
    </row>
    <row r="1959" spans="1:4" ht="31.5">
      <c r="A1959" s="216">
        <v>20219</v>
      </c>
      <c r="B1959" s="222" t="s">
        <v>19639</v>
      </c>
      <c r="C1959" s="216" t="s">
        <v>17678</v>
      </c>
      <c r="D1959" s="443">
        <v>106150</v>
      </c>
    </row>
    <row r="1960" spans="1:4" ht="31.5">
      <c r="A1960" s="216">
        <v>36484</v>
      </c>
      <c r="B1960" s="222" t="s">
        <v>19640</v>
      </c>
      <c r="C1960" s="216" t="s">
        <v>17678</v>
      </c>
      <c r="D1960" s="443">
        <v>225337.12</v>
      </c>
    </row>
    <row r="1961" spans="1:4">
      <c r="A1961" s="216">
        <v>38367</v>
      </c>
      <c r="B1961" s="222" t="s">
        <v>19641</v>
      </c>
      <c r="C1961" s="216" t="s">
        <v>17678</v>
      </c>
      <c r="D1961" s="443">
        <v>17</v>
      </c>
    </row>
    <row r="1962" spans="1:4">
      <c r="A1962" s="216">
        <v>38368</v>
      </c>
      <c r="B1962" s="222" t="s">
        <v>19642</v>
      </c>
      <c r="C1962" s="216" t="s">
        <v>17678</v>
      </c>
      <c r="D1962" s="443">
        <v>7.17</v>
      </c>
    </row>
    <row r="1963" spans="1:4">
      <c r="A1963" s="216">
        <v>38091</v>
      </c>
      <c r="B1963" s="222" t="s">
        <v>19643</v>
      </c>
      <c r="C1963" s="216" t="s">
        <v>17678</v>
      </c>
      <c r="D1963" s="443">
        <v>2.82</v>
      </c>
    </row>
    <row r="1964" spans="1:4">
      <c r="A1964" s="216">
        <v>38095</v>
      </c>
      <c r="B1964" s="222" t="s">
        <v>19644</v>
      </c>
      <c r="C1964" s="216" t="s">
        <v>17678</v>
      </c>
      <c r="D1964" s="443">
        <v>5.98</v>
      </c>
    </row>
    <row r="1965" spans="1:4">
      <c r="A1965" s="216">
        <v>38092</v>
      </c>
      <c r="B1965" s="222" t="s">
        <v>19645</v>
      </c>
      <c r="C1965" s="216" t="s">
        <v>17678</v>
      </c>
      <c r="D1965" s="443">
        <v>2.68</v>
      </c>
    </row>
    <row r="1966" spans="1:4">
      <c r="A1966" s="216">
        <v>38093</v>
      </c>
      <c r="B1966" s="222" t="s">
        <v>19646</v>
      </c>
      <c r="C1966" s="216" t="s">
        <v>17678</v>
      </c>
      <c r="D1966" s="443">
        <v>2.77</v>
      </c>
    </row>
    <row r="1967" spans="1:4">
      <c r="A1967" s="216">
        <v>38096</v>
      </c>
      <c r="B1967" s="222" t="s">
        <v>19647</v>
      </c>
      <c r="C1967" s="216" t="s">
        <v>17678</v>
      </c>
      <c r="D1967" s="443">
        <v>6.43</v>
      </c>
    </row>
    <row r="1968" spans="1:4">
      <c r="A1968" s="216">
        <v>38094</v>
      </c>
      <c r="B1968" s="222" t="s">
        <v>19648</v>
      </c>
      <c r="C1968" s="216" t="s">
        <v>17678</v>
      </c>
      <c r="D1968" s="443">
        <v>3.39</v>
      </c>
    </row>
    <row r="1969" spans="1:4">
      <c r="A1969" s="216">
        <v>38097</v>
      </c>
      <c r="B1969" s="222" t="s">
        <v>19649</v>
      </c>
      <c r="C1969" s="216" t="s">
        <v>17678</v>
      </c>
      <c r="D1969" s="443">
        <v>6.89</v>
      </c>
    </row>
    <row r="1970" spans="1:4">
      <c r="A1970" s="216">
        <v>38098</v>
      </c>
      <c r="B1970" s="222" t="s">
        <v>19650</v>
      </c>
      <c r="C1970" s="216" t="s">
        <v>17678</v>
      </c>
      <c r="D1970" s="443">
        <v>6.89</v>
      </c>
    </row>
    <row r="1971" spans="1:4">
      <c r="A1971" s="216">
        <v>11186</v>
      </c>
      <c r="B1971" s="222" t="s">
        <v>19651</v>
      </c>
      <c r="C1971" s="216" t="s">
        <v>18087</v>
      </c>
      <c r="D1971" s="443">
        <v>401.33</v>
      </c>
    </row>
    <row r="1972" spans="1:4" ht="31.5">
      <c r="A1972" s="216">
        <v>11558</v>
      </c>
      <c r="B1972" s="222" t="s">
        <v>19652</v>
      </c>
      <c r="C1972" s="216" t="s">
        <v>18101</v>
      </c>
      <c r="D1972" s="443">
        <v>14.34</v>
      </c>
    </row>
    <row r="1973" spans="1:4" ht="31.5">
      <c r="A1973" s="216">
        <v>11557</v>
      </c>
      <c r="B1973" s="222" t="s">
        <v>19653</v>
      </c>
      <c r="C1973" s="216" t="s">
        <v>18101</v>
      </c>
      <c r="D1973" s="443">
        <v>36.29</v>
      </c>
    </row>
    <row r="1974" spans="1:4">
      <c r="A1974" s="216">
        <v>2759</v>
      </c>
      <c r="B1974" s="222" t="s">
        <v>19654</v>
      </c>
      <c r="C1974" s="216" t="s">
        <v>17678</v>
      </c>
      <c r="D1974" s="443">
        <v>10.43</v>
      </c>
    </row>
    <row r="1975" spans="1:4">
      <c r="A1975" s="216">
        <v>38124</v>
      </c>
      <c r="B1975" s="222" t="s">
        <v>19655</v>
      </c>
      <c r="C1975" s="216" t="s">
        <v>17678</v>
      </c>
      <c r="D1975" s="443">
        <v>30.9</v>
      </c>
    </row>
    <row r="1976" spans="1:4">
      <c r="A1976" s="216">
        <v>38380</v>
      </c>
      <c r="B1976" s="222" t="s">
        <v>19656</v>
      </c>
      <c r="C1976" s="216" t="s">
        <v>17678</v>
      </c>
      <c r="D1976" s="443">
        <v>27.02</v>
      </c>
    </row>
    <row r="1977" spans="1:4" ht="31.5">
      <c r="A1977" s="216">
        <v>42429</v>
      </c>
      <c r="B1977" s="222" t="s">
        <v>19657</v>
      </c>
      <c r="C1977" s="216" t="s">
        <v>17678</v>
      </c>
      <c r="D1977" s="443">
        <v>5972.04</v>
      </c>
    </row>
    <row r="1978" spans="1:4">
      <c r="A1978" s="216">
        <v>39616</v>
      </c>
      <c r="B1978" s="222" t="s">
        <v>19658</v>
      </c>
      <c r="C1978" s="216" t="s">
        <v>17678</v>
      </c>
      <c r="D1978" s="443">
        <v>554.53</v>
      </c>
    </row>
    <row r="1979" spans="1:4">
      <c r="A1979" s="216">
        <v>39618</v>
      </c>
      <c r="B1979" s="222" t="s">
        <v>19659</v>
      </c>
      <c r="C1979" s="216" t="s">
        <v>17678</v>
      </c>
      <c r="D1979" s="443">
        <v>1005.82</v>
      </c>
    </row>
    <row r="1980" spans="1:4">
      <c r="A1980" s="216">
        <v>39619</v>
      </c>
      <c r="B1980" s="222" t="s">
        <v>19660</v>
      </c>
      <c r="C1980" s="216" t="s">
        <v>17678</v>
      </c>
      <c r="D1980" s="443">
        <v>1377.57</v>
      </c>
    </row>
    <row r="1981" spans="1:4">
      <c r="A1981" s="216">
        <v>39613</v>
      </c>
      <c r="B1981" s="222" t="s">
        <v>19661</v>
      </c>
      <c r="C1981" s="216" t="s">
        <v>17678</v>
      </c>
      <c r="D1981" s="443">
        <v>220.27</v>
      </c>
    </row>
    <row r="1982" spans="1:4">
      <c r="A1982" s="216">
        <v>39614</v>
      </c>
      <c r="B1982" s="222" t="s">
        <v>19662</v>
      </c>
      <c r="C1982" s="216" t="s">
        <v>17678</v>
      </c>
      <c r="D1982" s="443">
        <v>321.36</v>
      </c>
    </row>
    <row r="1983" spans="1:4" ht="31.5">
      <c r="A1983" s="216">
        <v>38538</v>
      </c>
      <c r="B1983" s="222" t="s">
        <v>19663</v>
      </c>
      <c r="C1983" s="216" t="s">
        <v>17722</v>
      </c>
      <c r="D1983" s="443">
        <v>71.8</v>
      </c>
    </row>
    <row r="1984" spans="1:4" ht="31.5">
      <c r="A1984" s="216">
        <v>38539</v>
      </c>
      <c r="B1984" s="222" t="s">
        <v>19664</v>
      </c>
      <c r="C1984" s="216" t="s">
        <v>17722</v>
      </c>
      <c r="D1984" s="443">
        <v>97.63</v>
      </c>
    </row>
    <row r="1985" spans="1:4" ht="31.5">
      <c r="A1985" s="216">
        <v>38540</v>
      </c>
      <c r="B1985" s="222" t="s">
        <v>19665</v>
      </c>
      <c r="C1985" s="216" t="s">
        <v>17722</v>
      </c>
      <c r="D1985" s="443">
        <v>250.22</v>
      </c>
    </row>
    <row r="1986" spans="1:4">
      <c r="A1986" s="216">
        <v>38384</v>
      </c>
      <c r="B1986" s="222" t="s">
        <v>19666</v>
      </c>
      <c r="C1986" s="216" t="s">
        <v>17678</v>
      </c>
      <c r="D1986" s="443">
        <v>18.579999999999998</v>
      </c>
    </row>
    <row r="1987" spans="1:4">
      <c r="A1987" s="216">
        <v>13</v>
      </c>
      <c r="B1987" s="222" t="s">
        <v>19667</v>
      </c>
      <c r="C1987" s="216" t="s">
        <v>17726</v>
      </c>
      <c r="D1987" s="443">
        <v>21.86</v>
      </c>
    </row>
    <row r="1988" spans="1:4">
      <c r="A1988" s="216">
        <v>2762</v>
      </c>
      <c r="B1988" s="222" t="s">
        <v>19668</v>
      </c>
      <c r="C1988" s="216" t="s">
        <v>17722</v>
      </c>
      <c r="D1988" s="443">
        <v>13.03</v>
      </c>
    </row>
    <row r="1989" spans="1:4" ht="31.5">
      <c r="A1989" s="216">
        <v>21142</v>
      </c>
      <c r="B1989" s="222" t="s">
        <v>19669</v>
      </c>
      <c r="C1989" s="216" t="s">
        <v>17678</v>
      </c>
      <c r="D1989" s="443">
        <v>24.75</v>
      </c>
    </row>
    <row r="1990" spans="1:4">
      <c r="A1990" s="216">
        <v>4223</v>
      </c>
      <c r="B1990" s="222" t="s">
        <v>19670</v>
      </c>
      <c r="C1990" s="216" t="s">
        <v>17728</v>
      </c>
      <c r="D1990" s="443">
        <v>4.12</v>
      </c>
    </row>
    <row r="1991" spans="1:4">
      <c r="A1991" s="216">
        <v>37372</v>
      </c>
      <c r="B1991" s="222" t="s">
        <v>19671</v>
      </c>
      <c r="C1991" s="216" t="s">
        <v>17826</v>
      </c>
      <c r="D1991" s="443">
        <v>1.1399999999999999</v>
      </c>
    </row>
    <row r="1992" spans="1:4">
      <c r="A1992" s="216">
        <v>40863</v>
      </c>
      <c r="B1992" s="222" t="s">
        <v>19672</v>
      </c>
      <c r="C1992" s="216" t="s">
        <v>17828</v>
      </c>
      <c r="D1992" s="443">
        <v>215.56</v>
      </c>
    </row>
    <row r="1993" spans="1:4">
      <c r="A1993" s="216">
        <v>38475</v>
      </c>
      <c r="B1993" s="222" t="s">
        <v>19673</v>
      </c>
      <c r="C1993" s="216" t="s">
        <v>17678</v>
      </c>
      <c r="D1993" s="443">
        <v>44.48</v>
      </c>
    </row>
    <row r="1994" spans="1:4">
      <c r="A1994" s="216">
        <v>38474</v>
      </c>
      <c r="B1994" s="222" t="s">
        <v>19674</v>
      </c>
      <c r="C1994" s="216" t="s">
        <v>17678</v>
      </c>
      <c r="D1994" s="443">
        <v>54.99</v>
      </c>
    </row>
    <row r="1995" spans="1:4">
      <c r="A1995" s="216">
        <v>10886</v>
      </c>
      <c r="B1995" s="222" t="s">
        <v>19675</v>
      </c>
      <c r="C1995" s="216" t="s">
        <v>17678</v>
      </c>
      <c r="D1995" s="443">
        <v>173.25</v>
      </c>
    </row>
    <row r="1996" spans="1:4">
      <c r="A1996" s="216">
        <v>10888</v>
      </c>
      <c r="B1996" s="222" t="s">
        <v>19676</v>
      </c>
      <c r="C1996" s="216" t="s">
        <v>17678</v>
      </c>
      <c r="D1996" s="443">
        <v>548.29999999999995</v>
      </c>
    </row>
    <row r="1997" spans="1:4">
      <c r="A1997" s="216">
        <v>10889</v>
      </c>
      <c r="B1997" s="222" t="s">
        <v>19677</v>
      </c>
      <c r="C1997" s="216" t="s">
        <v>17678</v>
      </c>
      <c r="D1997" s="443">
        <v>594</v>
      </c>
    </row>
    <row r="1998" spans="1:4">
      <c r="A1998" s="216">
        <v>10890</v>
      </c>
      <c r="B1998" s="222" t="s">
        <v>19678</v>
      </c>
      <c r="C1998" s="216" t="s">
        <v>17678</v>
      </c>
      <c r="D1998" s="443">
        <v>274.14999999999998</v>
      </c>
    </row>
    <row r="1999" spans="1:4">
      <c r="A1999" s="216">
        <v>10891</v>
      </c>
      <c r="B1999" s="222" t="s">
        <v>19679</v>
      </c>
      <c r="C1999" s="216" t="s">
        <v>17678</v>
      </c>
      <c r="D1999" s="443">
        <v>167.53</v>
      </c>
    </row>
    <row r="2000" spans="1:4">
      <c r="A2000" s="216">
        <v>10892</v>
      </c>
      <c r="B2000" s="222" t="s">
        <v>19680</v>
      </c>
      <c r="C2000" s="216" t="s">
        <v>17678</v>
      </c>
      <c r="D2000" s="443">
        <v>198</v>
      </c>
    </row>
    <row r="2001" spans="1:4">
      <c r="A2001" s="216">
        <v>20977</v>
      </c>
      <c r="B2001" s="222" t="s">
        <v>19681</v>
      </c>
      <c r="C2001" s="216" t="s">
        <v>17678</v>
      </c>
      <c r="D2001" s="443">
        <v>236.07</v>
      </c>
    </row>
    <row r="2002" spans="1:4">
      <c r="A2002" s="216">
        <v>3073</v>
      </c>
      <c r="B2002" s="222" t="s">
        <v>19682</v>
      </c>
      <c r="C2002" s="216" t="s">
        <v>17678</v>
      </c>
      <c r="D2002" s="443">
        <v>222.77</v>
      </c>
    </row>
    <row r="2003" spans="1:4">
      <c r="A2003" s="216">
        <v>3074</v>
      </c>
      <c r="B2003" s="222" t="s">
        <v>19683</v>
      </c>
      <c r="C2003" s="216" t="s">
        <v>17678</v>
      </c>
      <c r="D2003" s="443">
        <v>140.63999999999999</v>
      </c>
    </row>
    <row r="2004" spans="1:4">
      <c r="A2004" s="216">
        <v>3076</v>
      </c>
      <c r="B2004" s="222" t="s">
        <v>19684</v>
      </c>
      <c r="C2004" s="216" t="s">
        <v>17678</v>
      </c>
      <c r="D2004" s="443">
        <v>183.14</v>
      </c>
    </row>
    <row r="2005" spans="1:4">
      <c r="A2005" s="216">
        <v>3075</v>
      </c>
      <c r="B2005" s="222" t="s">
        <v>19685</v>
      </c>
      <c r="C2005" s="216" t="s">
        <v>17678</v>
      </c>
      <c r="D2005" s="443">
        <v>115.73</v>
      </c>
    </row>
    <row r="2006" spans="1:4">
      <c r="A2006" s="216">
        <v>10781</v>
      </c>
      <c r="B2006" s="222" t="s">
        <v>19686</v>
      </c>
      <c r="C2006" s="216" t="s">
        <v>17678</v>
      </c>
      <c r="D2006" s="443">
        <v>15.69</v>
      </c>
    </row>
    <row r="2007" spans="1:4" ht="31.5">
      <c r="A2007" s="216">
        <v>43612</v>
      </c>
      <c r="B2007" s="222" t="s">
        <v>19687</v>
      </c>
      <c r="C2007" s="216" t="s">
        <v>19047</v>
      </c>
      <c r="D2007" s="443">
        <v>110.49</v>
      </c>
    </row>
    <row r="2008" spans="1:4" ht="31.5">
      <c r="A2008" s="216">
        <v>43613</v>
      </c>
      <c r="B2008" s="222" t="s">
        <v>19688</v>
      </c>
      <c r="C2008" s="216" t="s">
        <v>19047</v>
      </c>
      <c r="D2008" s="443">
        <v>91.47</v>
      </c>
    </row>
    <row r="2009" spans="1:4" ht="31.5">
      <c r="A2009" s="216">
        <v>11480</v>
      </c>
      <c r="B2009" s="222" t="s">
        <v>19689</v>
      </c>
      <c r="C2009" s="216" t="s">
        <v>19047</v>
      </c>
      <c r="D2009" s="443">
        <v>140.38</v>
      </c>
    </row>
    <row r="2010" spans="1:4" ht="47.25">
      <c r="A2010" s="216">
        <v>11469</v>
      </c>
      <c r="B2010" s="222" t="s">
        <v>19690</v>
      </c>
      <c r="C2010" s="216" t="s">
        <v>17678</v>
      </c>
      <c r="D2010" s="443">
        <v>14.98</v>
      </c>
    </row>
    <row r="2011" spans="1:4" ht="31.5">
      <c r="A2011" s="216">
        <v>11468</v>
      </c>
      <c r="B2011" s="222" t="s">
        <v>19691</v>
      </c>
      <c r="C2011" s="216" t="s">
        <v>17678</v>
      </c>
      <c r="D2011" s="443">
        <v>14.99</v>
      </c>
    </row>
    <row r="2012" spans="1:4" ht="31.5">
      <c r="A2012" s="216">
        <v>11484</v>
      </c>
      <c r="B2012" s="222" t="s">
        <v>19692</v>
      </c>
      <c r="C2012" s="216" t="s">
        <v>17678</v>
      </c>
      <c r="D2012" s="443">
        <v>65.86</v>
      </c>
    </row>
    <row r="2013" spans="1:4" ht="31.5">
      <c r="A2013" s="216">
        <v>38155</v>
      </c>
      <c r="B2013" s="222" t="s">
        <v>19693</v>
      </c>
      <c r="C2013" s="216" t="s">
        <v>17678</v>
      </c>
      <c r="D2013" s="443">
        <v>102.25</v>
      </c>
    </row>
    <row r="2014" spans="1:4" ht="31.5">
      <c r="A2014" s="216">
        <v>11467</v>
      </c>
      <c r="B2014" s="222" t="s">
        <v>19694</v>
      </c>
      <c r="C2014" s="216" t="s">
        <v>17678</v>
      </c>
      <c r="D2014" s="443">
        <v>23.36</v>
      </c>
    </row>
    <row r="2015" spans="1:4" ht="47.25">
      <c r="A2015" s="216">
        <v>38153</v>
      </c>
      <c r="B2015" s="222" t="s">
        <v>19695</v>
      </c>
      <c r="C2015" s="216" t="s">
        <v>19047</v>
      </c>
      <c r="D2015" s="443">
        <v>59.68</v>
      </c>
    </row>
    <row r="2016" spans="1:4" ht="47.25">
      <c r="A2016" s="216">
        <v>43607</v>
      </c>
      <c r="B2016" s="222" t="s">
        <v>19696</v>
      </c>
      <c r="C2016" s="216" t="s">
        <v>19047</v>
      </c>
      <c r="D2016" s="443">
        <v>112.88</v>
      </c>
    </row>
    <row r="2017" spans="1:4" ht="47.25">
      <c r="A2017" s="216">
        <v>3080</v>
      </c>
      <c r="B2017" s="222" t="s">
        <v>19697</v>
      </c>
      <c r="C2017" s="216" t="s">
        <v>19047</v>
      </c>
      <c r="D2017" s="443">
        <v>75.900000000000006</v>
      </c>
    </row>
    <row r="2018" spans="1:4" ht="47.25">
      <c r="A2018" s="216">
        <v>3081</v>
      </c>
      <c r="B2018" s="222" t="s">
        <v>19698</v>
      </c>
      <c r="C2018" s="216" t="s">
        <v>19047</v>
      </c>
      <c r="D2018" s="443">
        <v>150.16</v>
      </c>
    </row>
    <row r="2019" spans="1:4" ht="47.25">
      <c r="A2019" s="216">
        <v>3090</v>
      </c>
      <c r="B2019" s="222" t="s">
        <v>19699</v>
      </c>
      <c r="C2019" s="216" t="s">
        <v>19047</v>
      </c>
      <c r="D2019" s="443">
        <v>67.739999999999995</v>
      </c>
    </row>
    <row r="2020" spans="1:4" ht="47.25">
      <c r="A2020" s="216">
        <v>43611</v>
      </c>
      <c r="B2020" s="222" t="s">
        <v>19700</v>
      </c>
      <c r="C2020" s="216" t="s">
        <v>19047</v>
      </c>
      <c r="D2020" s="443">
        <v>112.41</v>
      </c>
    </row>
    <row r="2021" spans="1:4" ht="31.5">
      <c r="A2021" s="216">
        <v>3103</v>
      </c>
      <c r="B2021" s="222" t="s">
        <v>19701</v>
      </c>
      <c r="C2021" s="216" t="s">
        <v>17678</v>
      </c>
      <c r="D2021" s="443">
        <v>56.17</v>
      </c>
    </row>
    <row r="2022" spans="1:4" ht="47.25">
      <c r="A2022" s="216">
        <v>3097</v>
      </c>
      <c r="B2022" s="222" t="s">
        <v>19702</v>
      </c>
      <c r="C2022" s="216" t="s">
        <v>19047</v>
      </c>
      <c r="D2022" s="443">
        <v>84.98</v>
      </c>
    </row>
    <row r="2023" spans="1:4" ht="47.25">
      <c r="A2023" s="216">
        <v>3099</v>
      </c>
      <c r="B2023" s="222" t="s">
        <v>19703</v>
      </c>
      <c r="C2023" s="216" t="s">
        <v>19047</v>
      </c>
      <c r="D2023" s="443">
        <v>136.07</v>
      </c>
    </row>
    <row r="2024" spans="1:4" ht="47.25">
      <c r="A2024" s="216">
        <v>38151</v>
      </c>
      <c r="B2024" s="222" t="s">
        <v>19704</v>
      </c>
      <c r="C2024" s="216" t="s">
        <v>19047</v>
      </c>
      <c r="D2024" s="443">
        <v>98.65</v>
      </c>
    </row>
    <row r="2025" spans="1:4" ht="47.25">
      <c r="A2025" s="216">
        <v>38152</v>
      </c>
      <c r="B2025" s="222" t="s">
        <v>19705</v>
      </c>
      <c r="C2025" s="216" t="s">
        <v>19047</v>
      </c>
      <c r="D2025" s="443">
        <v>159.13</v>
      </c>
    </row>
    <row r="2026" spans="1:4" ht="47.25">
      <c r="A2026" s="216">
        <v>43610</v>
      </c>
      <c r="B2026" s="222" t="s">
        <v>19706</v>
      </c>
      <c r="C2026" s="216" t="s">
        <v>19047</v>
      </c>
      <c r="D2026" s="443">
        <v>84.32</v>
      </c>
    </row>
    <row r="2027" spans="1:4" ht="47.25">
      <c r="A2027" s="216">
        <v>3093</v>
      </c>
      <c r="B2027" s="222" t="s">
        <v>19707</v>
      </c>
      <c r="C2027" s="216" t="s">
        <v>19047</v>
      </c>
      <c r="D2027" s="443">
        <v>136.07</v>
      </c>
    </row>
    <row r="2028" spans="1:4" ht="31.5">
      <c r="A2028" s="216">
        <v>38165</v>
      </c>
      <c r="B2028" s="222" t="s">
        <v>19708</v>
      </c>
      <c r="C2028" s="216" t="s">
        <v>19047</v>
      </c>
      <c r="D2028" s="443">
        <v>68.97</v>
      </c>
    </row>
    <row r="2029" spans="1:4">
      <c r="A2029" s="216">
        <v>38177</v>
      </c>
      <c r="B2029" s="222" t="s">
        <v>19709</v>
      </c>
      <c r="C2029" s="216" t="s">
        <v>17678</v>
      </c>
      <c r="D2029" s="443">
        <v>20.49</v>
      </c>
    </row>
    <row r="2030" spans="1:4">
      <c r="A2030" s="216">
        <v>11458</v>
      </c>
      <c r="B2030" s="222" t="s">
        <v>19710</v>
      </c>
      <c r="C2030" s="216" t="s">
        <v>17678</v>
      </c>
      <c r="D2030" s="443">
        <v>24.47</v>
      </c>
    </row>
    <row r="2031" spans="1:4" ht="47.25">
      <c r="A2031" s="216">
        <v>3108</v>
      </c>
      <c r="B2031" s="222" t="s">
        <v>19711</v>
      </c>
      <c r="C2031" s="216" t="s">
        <v>17678</v>
      </c>
      <c r="D2031" s="443">
        <v>104.01</v>
      </c>
    </row>
    <row r="2032" spans="1:4" ht="47.25">
      <c r="A2032" s="216">
        <v>3105</v>
      </c>
      <c r="B2032" s="222" t="s">
        <v>19712</v>
      </c>
      <c r="C2032" s="216" t="s">
        <v>17678</v>
      </c>
      <c r="D2032" s="443">
        <v>136.04</v>
      </c>
    </row>
    <row r="2033" spans="1:4" ht="31.5">
      <c r="A2033" s="216">
        <v>38178</v>
      </c>
      <c r="B2033" s="222" t="s">
        <v>19713</v>
      </c>
      <c r="C2033" s="216" t="s">
        <v>17678</v>
      </c>
      <c r="D2033" s="443">
        <v>22.55</v>
      </c>
    </row>
    <row r="2034" spans="1:4" ht="31.5">
      <c r="A2034" s="216">
        <v>43575</v>
      </c>
      <c r="B2034" s="222" t="s">
        <v>19714</v>
      </c>
      <c r="C2034" s="216" t="s">
        <v>17678</v>
      </c>
      <c r="D2034" s="443">
        <v>48.86</v>
      </c>
    </row>
    <row r="2035" spans="1:4" ht="31.5">
      <c r="A2035" s="216">
        <v>43577</v>
      </c>
      <c r="B2035" s="222" t="s">
        <v>19715</v>
      </c>
      <c r="C2035" s="216" t="s">
        <v>17678</v>
      </c>
      <c r="D2035" s="443">
        <v>84.94</v>
      </c>
    </row>
    <row r="2036" spans="1:4">
      <c r="A2036" s="216">
        <v>43458</v>
      </c>
      <c r="B2036" s="222" t="s">
        <v>19716</v>
      </c>
      <c r="C2036" s="216" t="s">
        <v>17826</v>
      </c>
      <c r="D2036" s="443">
        <v>0.06</v>
      </c>
    </row>
    <row r="2037" spans="1:4">
      <c r="A2037" s="216">
        <v>43470</v>
      </c>
      <c r="B2037" s="222" t="s">
        <v>19717</v>
      </c>
      <c r="C2037" s="216" t="s">
        <v>17828</v>
      </c>
      <c r="D2037" s="443">
        <v>10.6</v>
      </c>
    </row>
    <row r="2038" spans="1:4">
      <c r="A2038" s="216">
        <v>43459</v>
      </c>
      <c r="B2038" s="222" t="s">
        <v>19718</v>
      </c>
      <c r="C2038" s="216" t="s">
        <v>17826</v>
      </c>
      <c r="D2038" s="443">
        <v>0.49</v>
      </c>
    </row>
    <row r="2039" spans="1:4" ht="31.5">
      <c r="A2039" s="216">
        <v>43471</v>
      </c>
      <c r="B2039" s="222" t="s">
        <v>19719</v>
      </c>
      <c r="C2039" s="216" t="s">
        <v>17828</v>
      </c>
      <c r="D2039" s="443">
        <v>92.9</v>
      </c>
    </row>
    <row r="2040" spans="1:4">
      <c r="A2040" s="216">
        <v>43460</v>
      </c>
      <c r="B2040" s="222" t="s">
        <v>19720</v>
      </c>
      <c r="C2040" s="216" t="s">
        <v>17826</v>
      </c>
      <c r="D2040" s="443">
        <v>0.86</v>
      </c>
    </row>
    <row r="2041" spans="1:4">
      <c r="A2041" s="216">
        <v>43472</v>
      </c>
      <c r="B2041" s="222" t="s">
        <v>19721</v>
      </c>
      <c r="C2041" s="216" t="s">
        <v>17828</v>
      </c>
      <c r="D2041" s="443">
        <v>161.79</v>
      </c>
    </row>
    <row r="2042" spans="1:4">
      <c r="A2042" s="216">
        <v>43461</v>
      </c>
      <c r="B2042" s="222" t="s">
        <v>19722</v>
      </c>
      <c r="C2042" s="216" t="s">
        <v>17826</v>
      </c>
      <c r="D2042" s="443">
        <v>0.32</v>
      </c>
    </row>
    <row r="2043" spans="1:4">
      <c r="A2043" s="216">
        <v>43473</v>
      </c>
      <c r="B2043" s="222" t="s">
        <v>19723</v>
      </c>
      <c r="C2043" s="216" t="s">
        <v>17828</v>
      </c>
      <c r="D2043" s="443">
        <v>60.76</v>
      </c>
    </row>
    <row r="2044" spans="1:4">
      <c r="A2044" s="216">
        <v>43463</v>
      </c>
      <c r="B2044" s="222" t="s">
        <v>19724</v>
      </c>
      <c r="C2044" s="216" t="s">
        <v>17826</v>
      </c>
      <c r="D2044" s="443">
        <v>0.11</v>
      </c>
    </row>
    <row r="2045" spans="1:4">
      <c r="A2045" s="216">
        <v>43475</v>
      </c>
      <c r="B2045" s="222" t="s">
        <v>19725</v>
      </c>
      <c r="C2045" s="216" t="s">
        <v>17828</v>
      </c>
      <c r="D2045" s="443">
        <v>21.49</v>
      </c>
    </row>
    <row r="2046" spans="1:4">
      <c r="A2046" s="216">
        <v>43462</v>
      </c>
      <c r="B2046" s="222" t="s">
        <v>19726</v>
      </c>
      <c r="C2046" s="216" t="s">
        <v>17826</v>
      </c>
      <c r="D2046" s="443">
        <v>0.01</v>
      </c>
    </row>
    <row r="2047" spans="1:4">
      <c r="A2047" s="216">
        <v>43474</v>
      </c>
      <c r="B2047" s="222" t="s">
        <v>19727</v>
      </c>
      <c r="C2047" s="216" t="s">
        <v>17828</v>
      </c>
      <c r="D2047" s="443">
        <v>2.54</v>
      </c>
    </row>
    <row r="2048" spans="1:4">
      <c r="A2048" s="216">
        <v>43464</v>
      </c>
      <c r="B2048" s="222" t="s">
        <v>19728</v>
      </c>
      <c r="C2048" s="216" t="s">
        <v>17826</v>
      </c>
      <c r="D2048" s="443">
        <v>0.01</v>
      </c>
    </row>
    <row r="2049" spans="1:4">
      <c r="A2049" s="216">
        <v>43476</v>
      </c>
      <c r="B2049" s="222" t="s">
        <v>19729</v>
      </c>
      <c r="C2049" s="216" t="s">
        <v>17828</v>
      </c>
      <c r="D2049" s="443">
        <v>0.01</v>
      </c>
    </row>
    <row r="2050" spans="1:4">
      <c r="A2050" s="216">
        <v>43465</v>
      </c>
      <c r="B2050" s="222" t="s">
        <v>19730</v>
      </c>
      <c r="C2050" s="216" t="s">
        <v>17826</v>
      </c>
      <c r="D2050" s="443">
        <v>0.84</v>
      </c>
    </row>
    <row r="2051" spans="1:4">
      <c r="A2051" s="216">
        <v>43477</v>
      </c>
      <c r="B2051" s="222" t="s">
        <v>19731</v>
      </c>
      <c r="C2051" s="216" t="s">
        <v>17828</v>
      </c>
      <c r="D2051" s="443">
        <v>158.88</v>
      </c>
    </row>
    <row r="2052" spans="1:4">
      <c r="A2052" s="216">
        <v>43466</v>
      </c>
      <c r="B2052" s="222" t="s">
        <v>19732</v>
      </c>
      <c r="C2052" s="216" t="s">
        <v>17826</v>
      </c>
      <c r="D2052" s="443">
        <v>1.68</v>
      </c>
    </row>
    <row r="2053" spans="1:4">
      <c r="A2053" s="216">
        <v>43478</v>
      </c>
      <c r="B2053" s="222" t="s">
        <v>19733</v>
      </c>
      <c r="C2053" s="216" t="s">
        <v>17828</v>
      </c>
      <c r="D2053" s="443">
        <v>315.88</v>
      </c>
    </row>
    <row r="2054" spans="1:4">
      <c r="A2054" s="216">
        <v>43467</v>
      </c>
      <c r="B2054" s="222" t="s">
        <v>19734</v>
      </c>
      <c r="C2054" s="216" t="s">
        <v>17826</v>
      </c>
      <c r="D2054" s="443">
        <v>0.59</v>
      </c>
    </row>
    <row r="2055" spans="1:4">
      <c r="A2055" s="216">
        <v>43479</v>
      </c>
      <c r="B2055" s="222" t="s">
        <v>19735</v>
      </c>
      <c r="C2055" s="216" t="s">
        <v>17828</v>
      </c>
      <c r="D2055" s="443">
        <v>110.64</v>
      </c>
    </row>
    <row r="2056" spans="1:4">
      <c r="A2056" s="216">
        <v>43468</v>
      </c>
      <c r="B2056" s="222" t="s">
        <v>19736</v>
      </c>
      <c r="C2056" s="216" t="s">
        <v>17826</v>
      </c>
      <c r="D2056" s="443">
        <v>1.17</v>
      </c>
    </row>
    <row r="2057" spans="1:4">
      <c r="A2057" s="216">
        <v>43480</v>
      </c>
      <c r="B2057" s="222" t="s">
        <v>19737</v>
      </c>
      <c r="C2057" s="216" t="s">
        <v>17828</v>
      </c>
      <c r="D2057" s="443">
        <v>220.75</v>
      </c>
    </row>
    <row r="2058" spans="1:4">
      <c r="A2058" s="216">
        <v>43469</v>
      </c>
      <c r="B2058" s="222" t="s">
        <v>19738</v>
      </c>
      <c r="C2058" s="216" t="s">
        <v>17826</v>
      </c>
      <c r="D2058" s="443">
        <v>0.08</v>
      </c>
    </row>
    <row r="2059" spans="1:4">
      <c r="A2059" s="216">
        <v>43481</v>
      </c>
      <c r="B2059" s="222" t="s">
        <v>19739</v>
      </c>
      <c r="C2059" s="216" t="s">
        <v>17828</v>
      </c>
      <c r="D2059" s="443">
        <v>15.18</v>
      </c>
    </row>
    <row r="2060" spans="1:4" ht="31.5">
      <c r="A2060" s="216">
        <v>3119</v>
      </c>
      <c r="B2060" s="222" t="s">
        <v>19740</v>
      </c>
      <c r="C2060" s="216" t="s">
        <v>17678</v>
      </c>
      <c r="D2060" s="443">
        <v>2.65</v>
      </c>
    </row>
    <row r="2061" spans="1:4" ht="31.5">
      <c r="A2061" s="216">
        <v>3122</v>
      </c>
      <c r="B2061" s="222" t="s">
        <v>19741</v>
      </c>
      <c r="C2061" s="216" t="s">
        <v>17678</v>
      </c>
      <c r="D2061" s="443">
        <v>5.39</v>
      </c>
    </row>
    <row r="2062" spans="1:4" ht="31.5">
      <c r="A2062" s="216">
        <v>3121</v>
      </c>
      <c r="B2062" s="222" t="s">
        <v>19742</v>
      </c>
      <c r="C2062" s="216" t="s">
        <v>17678</v>
      </c>
      <c r="D2062" s="443">
        <v>6.11</v>
      </c>
    </row>
    <row r="2063" spans="1:4" ht="31.5">
      <c r="A2063" s="216">
        <v>3120</v>
      </c>
      <c r="B2063" s="222" t="s">
        <v>19743</v>
      </c>
      <c r="C2063" s="216" t="s">
        <v>17678</v>
      </c>
      <c r="D2063" s="443">
        <v>11.58</v>
      </c>
    </row>
    <row r="2064" spans="1:4" ht="31.5">
      <c r="A2064" s="216">
        <v>11455</v>
      </c>
      <c r="B2064" s="222" t="s">
        <v>19744</v>
      </c>
      <c r="C2064" s="216" t="s">
        <v>17678</v>
      </c>
      <c r="D2064" s="443">
        <v>16.75</v>
      </c>
    </row>
    <row r="2065" spans="1:4" ht="31.5">
      <c r="A2065" s="216">
        <v>11456</v>
      </c>
      <c r="B2065" s="222" t="s">
        <v>19745</v>
      </c>
      <c r="C2065" s="216" t="s">
        <v>17678</v>
      </c>
      <c r="D2065" s="443">
        <v>20.02</v>
      </c>
    </row>
    <row r="2066" spans="1:4" ht="47.25">
      <c r="A2066" s="216">
        <v>3107</v>
      </c>
      <c r="B2066" s="222" t="s">
        <v>19746</v>
      </c>
      <c r="C2066" s="216" t="s">
        <v>17678</v>
      </c>
      <c r="D2066" s="443">
        <v>8.44</v>
      </c>
    </row>
    <row r="2067" spans="1:4" ht="47.25">
      <c r="A2067" s="216">
        <v>43583</v>
      </c>
      <c r="B2067" s="222" t="s">
        <v>19747</v>
      </c>
      <c r="C2067" s="216" t="s">
        <v>17678</v>
      </c>
      <c r="D2067" s="443">
        <v>9.52</v>
      </c>
    </row>
    <row r="2068" spans="1:4" ht="47.25">
      <c r="A2068" s="216">
        <v>43586</v>
      </c>
      <c r="B2068" s="222" t="s">
        <v>19748</v>
      </c>
      <c r="C2068" s="216" t="s">
        <v>17678</v>
      </c>
      <c r="D2068" s="443">
        <v>9.76</v>
      </c>
    </row>
    <row r="2069" spans="1:4" ht="47.25">
      <c r="A2069" s="216">
        <v>11461</v>
      </c>
      <c r="B2069" s="222" t="s">
        <v>19749</v>
      </c>
      <c r="C2069" s="216" t="s">
        <v>17678</v>
      </c>
      <c r="D2069" s="443">
        <v>10.64</v>
      </c>
    </row>
    <row r="2070" spans="1:4" ht="47.25">
      <c r="A2070" s="216">
        <v>43587</v>
      </c>
      <c r="B2070" s="222" t="s">
        <v>19750</v>
      </c>
      <c r="C2070" s="216" t="s">
        <v>17678</v>
      </c>
      <c r="D2070" s="443">
        <v>12.27</v>
      </c>
    </row>
    <row r="2071" spans="1:4" ht="47.25">
      <c r="A2071" s="216">
        <v>3106</v>
      </c>
      <c r="B2071" s="222" t="s">
        <v>19751</v>
      </c>
      <c r="C2071" s="216" t="s">
        <v>17678</v>
      </c>
      <c r="D2071" s="443">
        <v>15.57</v>
      </c>
    </row>
    <row r="2072" spans="1:4">
      <c r="A2072" s="216">
        <v>44539</v>
      </c>
      <c r="B2072" s="222" t="s">
        <v>19752</v>
      </c>
      <c r="C2072" s="216" t="s">
        <v>17726</v>
      </c>
      <c r="D2072" s="443">
        <v>3.86</v>
      </c>
    </row>
    <row r="2073" spans="1:4">
      <c r="A2073" s="216">
        <v>3123</v>
      </c>
      <c r="B2073" s="222" t="s">
        <v>19753</v>
      </c>
      <c r="C2073" s="216" t="s">
        <v>17726</v>
      </c>
      <c r="D2073" s="443">
        <v>3.6</v>
      </c>
    </row>
    <row r="2074" spans="1:4">
      <c r="A2074" s="216">
        <v>38125</v>
      </c>
      <c r="B2074" s="222" t="s">
        <v>19754</v>
      </c>
      <c r="C2074" s="216" t="s">
        <v>17726</v>
      </c>
      <c r="D2074" s="443">
        <v>1.85</v>
      </c>
    </row>
    <row r="2075" spans="1:4" ht="31.5">
      <c r="A2075" s="216">
        <v>39014</v>
      </c>
      <c r="B2075" s="222" t="s">
        <v>19755</v>
      </c>
      <c r="C2075" s="216" t="s">
        <v>17726</v>
      </c>
      <c r="D2075" s="443">
        <v>10.68</v>
      </c>
    </row>
    <row r="2076" spans="1:4">
      <c r="A2076" s="216">
        <v>39365</v>
      </c>
      <c r="B2076" s="222" t="s">
        <v>19756</v>
      </c>
      <c r="C2076" s="216" t="s">
        <v>17678</v>
      </c>
      <c r="D2076" s="443">
        <v>1341.5</v>
      </c>
    </row>
    <row r="2077" spans="1:4">
      <c r="A2077" s="216">
        <v>39366</v>
      </c>
      <c r="B2077" s="222" t="s">
        <v>19757</v>
      </c>
      <c r="C2077" s="216" t="s">
        <v>17678</v>
      </c>
      <c r="D2077" s="443">
        <v>3434.81</v>
      </c>
    </row>
    <row r="2078" spans="1:4">
      <c r="A2078" s="216">
        <v>39367</v>
      </c>
      <c r="B2078" s="222" t="s">
        <v>19758</v>
      </c>
      <c r="C2078" s="216" t="s">
        <v>17678</v>
      </c>
      <c r="D2078" s="443">
        <v>4694.76</v>
      </c>
    </row>
    <row r="2079" spans="1:4">
      <c r="A2079" s="216">
        <v>37394</v>
      </c>
      <c r="B2079" s="222" t="s">
        <v>19759</v>
      </c>
      <c r="C2079" s="216" t="s">
        <v>19760</v>
      </c>
      <c r="D2079" s="443">
        <v>42.47</v>
      </c>
    </row>
    <row r="2080" spans="1:4">
      <c r="A2080" s="216">
        <v>14146</v>
      </c>
      <c r="B2080" s="222" t="s">
        <v>19761</v>
      </c>
      <c r="C2080" s="216" t="s">
        <v>19760</v>
      </c>
      <c r="D2080" s="443">
        <v>68.3</v>
      </c>
    </row>
    <row r="2081" spans="1:4">
      <c r="A2081" s="216">
        <v>938</v>
      </c>
      <c r="B2081" s="222" t="s">
        <v>19762</v>
      </c>
      <c r="C2081" s="216" t="s">
        <v>17722</v>
      </c>
      <c r="D2081" s="443">
        <v>1.5</v>
      </c>
    </row>
    <row r="2082" spans="1:4">
      <c r="A2082" s="216">
        <v>937</v>
      </c>
      <c r="B2082" s="222" t="s">
        <v>19763</v>
      </c>
      <c r="C2082" s="216" t="s">
        <v>17722</v>
      </c>
      <c r="D2082" s="443">
        <v>8.74</v>
      </c>
    </row>
    <row r="2083" spans="1:4">
      <c r="A2083" s="216">
        <v>939</v>
      </c>
      <c r="B2083" s="222" t="s">
        <v>19764</v>
      </c>
      <c r="C2083" s="216" t="s">
        <v>17722</v>
      </c>
      <c r="D2083" s="443">
        <v>2.42</v>
      </c>
    </row>
    <row r="2084" spans="1:4">
      <c r="A2084" s="216">
        <v>944</v>
      </c>
      <c r="B2084" s="222" t="s">
        <v>19765</v>
      </c>
      <c r="C2084" s="216" t="s">
        <v>17722</v>
      </c>
      <c r="D2084" s="443">
        <v>3.83</v>
      </c>
    </row>
    <row r="2085" spans="1:4">
      <c r="A2085" s="216">
        <v>940</v>
      </c>
      <c r="B2085" s="222" t="s">
        <v>19766</v>
      </c>
      <c r="C2085" s="216" t="s">
        <v>17722</v>
      </c>
      <c r="D2085" s="443">
        <v>5.53</v>
      </c>
    </row>
    <row r="2086" spans="1:4">
      <c r="A2086" s="216">
        <v>44397</v>
      </c>
      <c r="B2086" s="222" t="s">
        <v>19767</v>
      </c>
      <c r="C2086" s="216" t="s">
        <v>17722</v>
      </c>
      <c r="D2086" s="443">
        <v>3.47</v>
      </c>
    </row>
    <row r="2087" spans="1:4">
      <c r="A2087" s="216">
        <v>406</v>
      </c>
      <c r="B2087" s="222" t="s">
        <v>19768</v>
      </c>
      <c r="C2087" s="216" t="s">
        <v>17678</v>
      </c>
      <c r="D2087" s="443">
        <v>103.41</v>
      </c>
    </row>
    <row r="2088" spans="1:4">
      <c r="A2088" s="216">
        <v>42529</v>
      </c>
      <c r="B2088" s="222" t="s">
        <v>19769</v>
      </c>
      <c r="C2088" s="216" t="s">
        <v>17722</v>
      </c>
      <c r="D2088" s="443">
        <v>1.0900000000000001</v>
      </c>
    </row>
    <row r="2089" spans="1:4" ht="31.5">
      <c r="A2089" s="216">
        <v>39634</v>
      </c>
      <c r="B2089" s="222" t="s">
        <v>19770</v>
      </c>
      <c r="C2089" s="216" t="s">
        <v>17722</v>
      </c>
      <c r="D2089" s="443">
        <v>9.39</v>
      </c>
    </row>
    <row r="2090" spans="1:4">
      <c r="A2090" s="216">
        <v>39701</v>
      </c>
      <c r="B2090" s="222" t="s">
        <v>19771</v>
      </c>
      <c r="C2090" s="216" t="s">
        <v>17678</v>
      </c>
      <c r="D2090" s="443">
        <v>100.74</v>
      </c>
    </row>
    <row r="2091" spans="1:4">
      <c r="A2091" s="216">
        <v>12815</v>
      </c>
      <c r="B2091" s="222" t="s">
        <v>19772</v>
      </c>
      <c r="C2091" s="216" t="s">
        <v>17678</v>
      </c>
      <c r="D2091" s="443">
        <v>8.18</v>
      </c>
    </row>
    <row r="2092" spans="1:4">
      <c r="A2092" s="216">
        <v>407</v>
      </c>
      <c r="B2092" s="222" t="s">
        <v>19773</v>
      </c>
      <c r="C2092" s="216" t="s">
        <v>17726</v>
      </c>
      <c r="D2092" s="443">
        <v>62.32</v>
      </c>
    </row>
    <row r="2093" spans="1:4" ht="31.5">
      <c r="A2093" s="216">
        <v>39431</v>
      </c>
      <c r="B2093" s="222" t="s">
        <v>19774</v>
      </c>
      <c r="C2093" s="216" t="s">
        <v>17722</v>
      </c>
      <c r="D2093" s="443">
        <v>0.31</v>
      </c>
    </row>
    <row r="2094" spans="1:4">
      <c r="A2094" s="216">
        <v>39432</v>
      </c>
      <c r="B2094" s="222" t="s">
        <v>19775</v>
      </c>
      <c r="C2094" s="216" t="s">
        <v>17722</v>
      </c>
      <c r="D2094" s="443">
        <v>2.73</v>
      </c>
    </row>
    <row r="2095" spans="1:4">
      <c r="A2095" s="216">
        <v>20111</v>
      </c>
      <c r="B2095" s="222" t="s">
        <v>19776</v>
      </c>
      <c r="C2095" s="216" t="s">
        <v>17678</v>
      </c>
      <c r="D2095" s="443">
        <v>15.8</v>
      </c>
    </row>
    <row r="2096" spans="1:4">
      <c r="A2096" s="216">
        <v>21127</v>
      </c>
      <c r="B2096" s="222" t="s">
        <v>19777</v>
      </c>
      <c r="C2096" s="216" t="s">
        <v>17678</v>
      </c>
      <c r="D2096" s="443">
        <v>5.97</v>
      </c>
    </row>
    <row r="2097" spans="1:4">
      <c r="A2097" s="216">
        <v>404</v>
      </c>
      <c r="B2097" s="222" t="s">
        <v>19778</v>
      </c>
      <c r="C2097" s="216" t="s">
        <v>17722</v>
      </c>
      <c r="D2097" s="443">
        <v>2.15</v>
      </c>
    </row>
    <row r="2098" spans="1:4">
      <c r="A2098" s="216">
        <v>14151</v>
      </c>
      <c r="B2098" s="222" t="s">
        <v>19779</v>
      </c>
      <c r="C2098" s="216" t="s">
        <v>17678</v>
      </c>
      <c r="D2098" s="443">
        <v>49.09</v>
      </c>
    </row>
    <row r="2099" spans="1:4">
      <c r="A2099" s="216">
        <v>14153</v>
      </c>
      <c r="B2099" s="222" t="s">
        <v>19780</v>
      </c>
      <c r="C2099" s="216" t="s">
        <v>17678</v>
      </c>
      <c r="D2099" s="443">
        <v>55.49</v>
      </c>
    </row>
    <row r="2100" spans="1:4">
      <c r="A2100" s="216">
        <v>14152</v>
      </c>
      <c r="B2100" s="222" t="s">
        <v>19781</v>
      </c>
      <c r="C2100" s="216" t="s">
        <v>17678</v>
      </c>
      <c r="D2100" s="443">
        <v>42.6</v>
      </c>
    </row>
    <row r="2101" spans="1:4">
      <c r="A2101" s="216">
        <v>14154</v>
      </c>
      <c r="B2101" s="222" t="s">
        <v>19782</v>
      </c>
      <c r="C2101" s="216" t="s">
        <v>17678</v>
      </c>
      <c r="D2101" s="443">
        <v>149.1</v>
      </c>
    </row>
    <row r="2102" spans="1:4">
      <c r="A2102" s="216">
        <v>3146</v>
      </c>
      <c r="B2102" s="222" t="s">
        <v>19783</v>
      </c>
      <c r="C2102" s="216" t="s">
        <v>17678</v>
      </c>
      <c r="D2102" s="443">
        <v>4.82</v>
      </c>
    </row>
    <row r="2103" spans="1:4">
      <c r="A2103" s="216">
        <v>3143</v>
      </c>
      <c r="B2103" s="222" t="s">
        <v>19784</v>
      </c>
      <c r="C2103" s="216" t="s">
        <v>17678</v>
      </c>
      <c r="D2103" s="443">
        <v>10.96</v>
      </c>
    </row>
    <row r="2104" spans="1:4">
      <c r="A2104" s="216">
        <v>3148</v>
      </c>
      <c r="B2104" s="222" t="s">
        <v>19785</v>
      </c>
      <c r="C2104" s="216" t="s">
        <v>17678</v>
      </c>
      <c r="D2104" s="443">
        <v>17.77</v>
      </c>
    </row>
    <row r="2105" spans="1:4">
      <c r="A2105" s="216">
        <v>4310</v>
      </c>
      <c r="B2105" s="222" t="s">
        <v>19786</v>
      </c>
      <c r="C2105" s="216" t="s">
        <v>17678</v>
      </c>
      <c r="D2105" s="443">
        <v>2.36</v>
      </c>
    </row>
    <row r="2106" spans="1:4">
      <c r="A2106" s="216">
        <v>4311</v>
      </c>
      <c r="B2106" s="222" t="s">
        <v>19787</v>
      </c>
      <c r="C2106" s="216" t="s">
        <v>17678</v>
      </c>
      <c r="D2106" s="443">
        <v>1.66</v>
      </c>
    </row>
    <row r="2107" spans="1:4">
      <c r="A2107" s="216">
        <v>4312</v>
      </c>
      <c r="B2107" s="222" t="s">
        <v>19788</v>
      </c>
      <c r="C2107" s="216" t="s">
        <v>17678</v>
      </c>
      <c r="D2107" s="443">
        <v>2.33</v>
      </c>
    </row>
    <row r="2108" spans="1:4">
      <c r="A2108" s="216">
        <v>13261</v>
      </c>
      <c r="B2108" s="222" t="s">
        <v>19789</v>
      </c>
      <c r="C2108" s="216" t="s">
        <v>17678</v>
      </c>
      <c r="D2108" s="443">
        <v>3.36</v>
      </c>
    </row>
    <row r="2109" spans="1:4">
      <c r="A2109" s="216">
        <v>3272</v>
      </c>
      <c r="B2109" s="222" t="s">
        <v>19790</v>
      </c>
      <c r="C2109" s="216" t="s">
        <v>17678</v>
      </c>
      <c r="D2109" s="443">
        <v>55.43</v>
      </c>
    </row>
    <row r="2110" spans="1:4">
      <c r="A2110" s="216">
        <v>3265</v>
      </c>
      <c r="B2110" s="222" t="s">
        <v>19791</v>
      </c>
      <c r="C2110" s="216" t="s">
        <v>17678</v>
      </c>
      <c r="D2110" s="443">
        <v>44.04</v>
      </c>
    </row>
    <row r="2111" spans="1:4">
      <c r="A2111" s="216">
        <v>3262</v>
      </c>
      <c r="B2111" s="222" t="s">
        <v>19792</v>
      </c>
      <c r="C2111" s="216" t="s">
        <v>17678</v>
      </c>
      <c r="D2111" s="443">
        <v>19.28</v>
      </c>
    </row>
    <row r="2112" spans="1:4">
      <c r="A2112" s="216">
        <v>3264</v>
      </c>
      <c r="B2112" s="222" t="s">
        <v>19793</v>
      </c>
      <c r="C2112" s="216" t="s">
        <v>17678</v>
      </c>
      <c r="D2112" s="443">
        <v>31.67</v>
      </c>
    </row>
    <row r="2113" spans="1:4">
      <c r="A2113" s="216">
        <v>3267</v>
      </c>
      <c r="B2113" s="222" t="s">
        <v>19794</v>
      </c>
      <c r="C2113" s="216" t="s">
        <v>17678</v>
      </c>
      <c r="D2113" s="443">
        <v>103.43</v>
      </c>
    </row>
    <row r="2114" spans="1:4">
      <c r="A2114" s="216">
        <v>3266</v>
      </c>
      <c r="B2114" s="222" t="s">
        <v>19795</v>
      </c>
      <c r="C2114" s="216" t="s">
        <v>17678</v>
      </c>
      <c r="D2114" s="443">
        <v>65.8</v>
      </c>
    </row>
    <row r="2115" spans="1:4">
      <c r="A2115" s="216">
        <v>3263</v>
      </c>
      <c r="B2115" s="222" t="s">
        <v>19796</v>
      </c>
      <c r="C2115" s="216" t="s">
        <v>17678</v>
      </c>
      <c r="D2115" s="443">
        <v>26.33</v>
      </c>
    </row>
    <row r="2116" spans="1:4">
      <c r="A2116" s="216">
        <v>3268</v>
      </c>
      <c r="B2116" s="222" t="s">
        <v>19797</v>
      </c>
      <c r="C2116" s="216" t="s">
        <v>17678</v>
      </c>
      <c r="D2116" s="443">
        <v>139.84</v>
      </c>
    </row>
    <row r="2117" spans="1:4">
      <c r="A2117" s="216">
        <v>3271</v>
      </c>
      <c r="B2117" s="222" t="s">
        <v>19798</v>
      </c>
      <c r="C2117" s="216" t="s">
        <v>17678</v>
      </c>
      <c r="D2117" s="443">
        <v>206.74</v>
      </c>
    </row>
    <row r="2118" spans="1:4">
      <c r="A2118" s="216">
        <v>3270</v>
      </c>
      <c r="B2118" s="222" t="s">
        <v>19799</v>
      </c>
      <c r="C2118" s="216" t="s">
        <v>17678</v>
      </c>
      <c r="D2118" s="443">
        <v>347.34</v>
      </c>
    </row>
    <row r="2119" spans="1:4" ht="31.5">
      <c r="A2119" s="216">
        <v>3275</v>
      </c>
      <c r="B2119" s="222" t="s">
        <v>19800</v>
      </c>
      <c r="C2119" s="216" t="s">
        <v>18087</v>
      </c>
      <c r="D2119" s="443">
        <v>146.59</v>
      </c>
    </row>
    <row r="2120" spans="1:4" ht="31.5">
      <c r="A2120" s="216">
        <v>39512</v>
      </c>
      <c r="B2120" s="222" t="s">
        <v>19801</v>
      </c>
      <c r="C2120" s="216" t="s">
        <v>18087</v>
      </c>
      <c r="D2120" s="443">
        <v>93.3</v>
      </c>
    </row>
    <row r="2121" spans="1:4" ht="31.5">
      <c r="A2121" s="216">
        <v>39511</v>
      </c>
      <c r="B2121" s="222" t="s">
        <v>19802</v>
      </c>
      <c r="C2121" s="216" t="s">
        <v>18087</v>
      </c>
      <c r="D2121" s="443">
        <v>101.77</v>
      </c>
    </row>
    <row r="2122" spans="1:4" ht="31.5">
      <c r="A2122" s="216">
        <v>39513</v>
      </c>
      <c r="B2122" s="222" t="s">
        <v>19803</v>
      </c>
      <c r="C2122" s="216" t="s">
        <v>18087</v>
      </c>
      <c r="D2122" s="443">
        <v>109.15</v>
      </c>
    </row>
    <row r="2123" spans="1:4" ht="31.5">
      <c r="A2123" s="216">
        <v>3286</v>
      </c>
      <c r="B2123" s="222" t="s">
        <v>19804</v>
      </c>
      <c r="C2123" s="216" t="s">
        <v>18087</v>
      </c>
      <c r="D2123" s="443">
        <v>119.11</v>
      </c>
    </row>
    <row r="2124" spans="1:4" ht="31.5">
      <c r="A2124" s="216">
        <v>3287</v>
      </c>
      <c r="B2124" s="222" t="s">
        <v>19805</v>
      </c>
      <c r="C2124" s="216" t="s">
        <v>18087</v>
      </c>
      <c r="D2124" s="443">
        <v>180</v>
      </c>
    </row>
    <row r="2125" spans="1:4" ht="31.5">
      <c r="A2125" s="216">
        <v>3283</v>
      </c>
      <c r="B2125" s="222" t="s">
        <v>19806</v>
      </c>
      <c r="C2125" s="216" t="s">
        <v>18087</v>
      </c>
      <c r="D2125" s="443">
        <v>37.81</v>
      </c>
    </row>
    <row r="2126" spans="1:4" ht="31.5">
      <c r="A2126" s="216">
        <v>11587</v>
      </c>
      <c r="B2126" s="222" t="s">
        <v>19807</v>
      </c>
      <c r="C2126" s="216" t="s">
        <v>18087</v>
      </c>
      <c r="D2126" s="443">
        <v>100.52</v>
      </c>
    </row>
    <row r="2127" spans="1:4" ht="31.5">
      <c r="A2127" s="216">
        <v>36225</v>
      </c>
      <c r="B2127" s="222" t="s">
        <v>19808</v>
      </c>
      <c r="C2127" s="216" t="s">
        <v>18087</v>
      </c>
      <c r="D2127" s="443">
        <v>40.83</v>
      </c>
    </row>
    <row r="2128" spans="1:4" ht="31.5">
      <c r="A2128" s="216">
        <v>36230</v>
      </c>
      <c r="B2128" s="222" t="s">
        <v>19809</v>
      </c>
      <c r="C2128" s="216" t="s">
        <v>18087</v>
      </c>
      <c r="D2128" s="443">
        <v>30</v>
      </c>
    </row>
    <row r="2129" spans="1:4" ht="31.5">
      <c r="A2129" s="216">
        <v>36238</v>
      </c>
      <c r="B2129" s="222" t="s">
        <v>19810</v>
      </c>
      <c r="C2129" s="216" t="s">
        <v>18087</v>
      </c>
      <c r="D2129" s="443">
        <v>29.31</v>
      </c>
    </row>
    <row r="2130" spans="1:4" ht="31.5">
      <c r="A2130" s="216">
        <v>39363</v>
      </c>
      <c r="B2130" s="222" t="s">
        <v>19811</v>
      </c>
      <c r="C2130" s="216" t="s">
        <v>17678</v>
      </c>
      <c r="D2130" s="443">
        <v>5464.47</v>
      </c>
    </row>
    <row r="2131" spans="1:4" ht="31.5">
      <c r="A2131" s="216">
        <v>39361</v>
      </c>
      <c r="B2131" s="222" t="s">
        <v>19812</v>
      </c>
      <c r="C2131" s="216" t="s">
        <v>17678</v>
      </c>
      <c r="D2131" s="443">
        <v>1405.15</v>
      </c>
    </row>
    <row r="2132" spans="1:4" ht="31.5">
      <c r="A2132" s="216">
        <v>39362</v>
      </c>
      <c r="B2132" s="222" t="s">
        <v>19813</v>
      </c>
      <c r="C2132" s="216" t="s">
        <v>17678</v>
      </c>
      <c r="D2132" s="443">
        <v>4324</v>
      </c>
    </row>
    <row r="2133" spans="1:4" ht="31.5">
      <c r="A2133" s="216">
        <v>39364</v>
      </c>
      <c r="B2133" s="222" t="s">
        <v>19814</v>
      </c>
      <c r="C2133" s="216" t="s">
        <v>17678</v>
      </c>
      <c r="D2133" s="443">
        <v>12490.22</v>
      </c>
    </row>
    <row r="2134" spans="1:4">
      <c r="A2134" s="216">
        <v>14576</v>
      </c>
      <c r="B2134" s="222" t="s">
        <v>19815</v>
      </c>
      <c r="C2134" s="216" t="s">
        <v>17678</v>
      </c>
      <c r="D2134" s="443">
        <v>7045076.79</v>
      </c>
    </row>
    <row r="2135" spans="1:4">
      <c r="A2135" s="216">
        <v>13877</v>
      </c>
      <c r="B2135" s="222" t="s">
        <v>19816</v>
      </c>
      <c r="C2135" s="216" t="s">
        <v>17678</v>
      </c>
      <c r="D2135" s="443">
        <v>3015892.29</v>
      </c>
    </row>
    <row r="2136" spans="1:4">
      <c r="A2136" s="216">
        <v>7307</v>
      </c>
      <c r="B2136" s="222" t="s">
        <v>19817</v>
      </c>
      <c r="C2136" s="216" t="s">
        <v>17728</v>
      </c>
      <c r="D2136" s="443">
        <v>38.58</v>
      </c>
    </row>
    <row r="2137" spans="1:4">
      <c r="A2137" s="216">
        <v>38122</v>
      </c>
      <c r="B2137" s="222" t="s">
        <v>19818</v>
      </c>
      <c r="C2137" s="216" t="s">
        <v>17728</v>
      </c>
      <c r="D2137" s="443">
        <v>18.149999999999999</v>
      </c>
    </row>
    <row r="2138" spans="1:4">
      <c r="A2138" s="216">
        <v>43653</v>
      </c>
      <c r="B2138" s="222" t="s">
        <v>19819</v>
      </c>
      <c r="C2138" s="216" t="s">
        <v>17728</v>
      </c>
      <c r="D2138" s="443">
        <v>48.3</v>
      </c>
    </row>
    <row r="2139" spans="1:4" ht="31.5">
      <c r="A2139" s="216">
        <v>38633</v>
      </c>
      <c r="B2139" s="222" t="s">
        <v>19820</v>
      </c>
      <c r="C2139" s="216" t="s">
        <v>17678</v>
      </c>
      <c r="D2139" s="443">
        <v>26.65</v>
      </c>
    </row>
    <row r="2140" spans="1:4" ht="31.5">
      <c r="A2140" s="216">
        <v>12344</v>
      </c>
      <c r="B2140" s="222" t="s">
        <v>19821</v>
      </c>
      <c r="C2140" s="216" t="s">
        <v>17678</v>
      </c>
      <c r="D2140" s="443">
        <v>4.01</v>
      </c>
    </row>
    <row r="2141" spans="1:4" ht="31.5">
      <c r="A2141" s="216">
        <v>12343</v>
      </c>
      <c r="B2141" s="222" t="s">
        <v>19822</v>
      </c>
      <c r="C2141" s="216" t="s">
        <v>17678</v>
      </c>
      <c r="D2141" s="443">
        <v>6.21</v>
      </c>
    </row>
    <row r="2142" spans="1:4" ht="31.5">
      <c r="A2142" s="216">
        <v>3295</v>
      </c>
      <c r="B2142" s="222" t="s">
        <v>19823</v>
      </c>
      <c r="C2142" s="216" t="s">
        <v>17678</v>
      </c>
      <c r="D2142" s="443">
        <v>21.71</v>
      </c>
    </row>
    <row r="2143" spans="1:4">
      <c r="A2143" s="216">
        <v>3302</v>
      </c>
      <c r="B2143" s="222" t="s">
        <v>19824</v>
      </c>
      <c r="C2143" s="216" t="s">
        <v>17678</v>
      </c>
      <c r="D2143" s="443">
        <v>22.7</v>
      </c>
    </row>
    <row r="2144" spans="1:4">
      <c r="A2144" s="216">
        <v>3297</v>
      </c>
      <c r="B2144" s="222" t="s">
        <v>19825</v>
      </c>
      <c r="C2144" s="216" t="s">
        <v>17678</v>
      </c>
      <c r="D2144" s="443">
        <v>24.23</v>
      </c>
    </row>
    <row r="2145" spans="1:4">
      <c r="A2145" s="216">
        <v>3294</v>
      </c>
      <c r="B2145" s="222" t="s">
        <v>19826</v>
      </c>
      <c r="C2145" s="216" t="s">
        <v>17678</v>
      </c>
      <c r="D2145" s="443">
        <v>24.6</v>
      </c>
    </row>
    <row r="2146" spans="1:4">
      <c r="A2146" s="216">
        <v>3292</v>
      </c>
      <c r="B2146" s="222" t="s">
        <v>19827</v>
      </c>
      <c r="C2146" s="216" t="s">
        <v>17678</v>
      </c>
      <c r="D2146" s="443">
        <v>23.11</v>
      </c>
    </row>
    <row r="2147" spans="1:4" ht="31.5">
      <c r="A2147" s="216">
        <v>3298</v>
      </c>
      <c r="B2147" s="222" t="s">
        <v>19828</v>
      </c>
      <c r="C2147" s="216" t="s">
        <v>17678</v>
      </c>
      <c r="D2147" s="443">
        <v>54.16</v>
      </c>
    </row>
    <row r="2148" spans="1:4">
      <c r="A2148" s="216">
        <v>11596</v>
      </c>
      <c r="B2148" s="222" t="s">
        <v>19829</v>
      </c>
      <c r="C2148" s="216" t="s">
        <v>17678</v>
      </c>
      <c r="D2148" s="443">
        <v>556.86</v>
      </c>
    </row>
    <row r="2149" spans="1:4" ht="31.5">
      <c r="A2149" s="216">
        <v>34802</v>
      </c>
      <c r="B2149" s="222" t="s">
        <v>19830</v>
      </c>
      <c r="C2149" s="216" t="s">
        <v>17678</v>
      </c>
      <c r="D2149" s="443">
        <v>1529.32</v>
      </c>
    </row>
    <row r="2150" spans="1:4" ht="31.5">
      <c r="A2150" s="216">
        <v>11588</v>
      </c>
      <c r="B2150" s="222" t="s">
        <v>19831</v>
      </c>
      <c r="C2150" s="216" t="s">
        <v>17678</v>
      </c>
      <c r="D2150" s="443">
        <v>1649.89</v>
      </c>
    </row>
    <row r="2151" spans="1:4" ht="31.5">
      <c r="A2151" s="216">
        <v>34383</v>
      </c>
      <c r="B2151" s="222" t="s">
        <v>19832</v>
      </c>
      <c r="C2151" s="216" t="s">
        <v>17678</v>
      </c>
      <c r="D2151" s="443">
        <v>1815</v>
      </c>
    </row>
    <row r="2152" spans="1:4" ht="31.5">
      <c r="A2152" s="216">
        <v>40451</v>
      </c>
      <c r="B2152" s="222" t="s">
        <v>19833</v>
      </c>
      <c r="C2152" s="216" t="s">
        <v>18087</v>
      </c>
      <c r="D2152" s="443">
        <v>146.71</v>
      </c>
    </row>
    <row r="2153" spans="1:4" ht="31.5">
      <c r="A2153" s="216">
        <v>40453</v>
      </c>
      <c r="B2153" s="222" t="s">
        <v>19834</v>
      </c>
      <c r="C2153" s="216" t="s">
        <v>18087</v>
      </c>
      <c r="D2153" s="443">
        <v>158.74</v>
      </c>
    </row>
    <row r="2154" spans="1:4" ht="31.5">
      <c r="A2154" s="216">
        <v>40452</v>
      </c>
      <c r="B2154" s="222" t="s">
        <v>19835</v>
      </c>
      <c r="C2154" s="216" t="s">
        <v>18087</v>
      </c>
      <c r="D2154" s="443">
        <v>174.12</v>
      </c>
    </row>
    <row r="2155" spans="1:4" ht="31.5">
      <c r="A2155" s="216">
        <v>11594</v>
      </c>
      <c r="B2155" s="222" t="s">
        <v>19836</v>
      </c>
      <c r="C2155" s="216" t="s">
        <v>17678</v>
      </c>
      <c r="D2155" s="443">
        <v>525.87</v>
      </c>
    </row>
    <row r="2156" spans="1:4">
      <c r="A2156" s="216">
        <v>3311</v>
      </c>
      <c r="B2156" s="222" t="s">
        <v>19837</v>
      </c>
      <c r="C2156" s="216" t="s">
        <v>17824</v>
      </c>
      <c r="D2156" s="443">
        <v>525.87</v>
      </c>
    </row>
    <row r="2157" spans="1:4">
      <c r="A2157" s="216">
        <v>11599</v>
      </c>
      <c r="B2157" s="222" t="s">
        <v>19838</v>
      </c>
      <c r="C2157" s="216" t="s">
        <v>17678</v>
      </c>
      <c r="D2157" s="443">
        <v>699.34</v>
      </c>
    </row>
    <row r="2158" spans="1:4" ht="31.5">
      <c r="A2158" s="216">
        <v>11593</v>
      </c>
      <c r="B2158" s="222" t="s">
        <v>19839</v>
      </c>
      <c r="C2158" s="216" t="s">
        <v>17678</v>
      </c>
      <c r="D2158" s="443">
        <v>980.44</v>
      </c>
    </row>
    <row r="2159" spans="1:4">
      <c r="A2159" s="216">
        <v>3314</v>
      </c>
      <c r="B2159" s="222" t="s">
        <v>19840</v>
      </c>
      <c r="C2159" s="216" t="s">
        <v>17824</v>
      </c>
      <c r="D2159" s="443">
        <v>701.21</v>
      </c>
    </row>
    <row r="2160" spans="1:4">
      <c r="A2160" s="216">
        <v>11597</v>
      </c>
      <c r="B2160" s="222" t="s">
        <v>19841</v>
      </c>
      <c r="C2160" s="216" t="s">
        <v>17678</v>
      </c>
      <c r="D2160" s="443">
        <v>815.42</v>
      </c>
    </row>
    <row r="2161" spans="1:4">
      <c r="A2161" s="216">
        <v>3309</v>
      </c>
      <c r="B2161" s="222" t="s">
        <v>19842</v>
      </c>
      <c r="C2161" s="216" t="s">
        <v>17824</v>
      </c>
      <c r="D2161" s="443">
        <v>556.86</v>
      </c>
    </row>
    <row r="2162" spans="1:4" ht="31.5">
      <c r="A2162" s="216">
        <v>34612</v>
      </c>
      <c r="B2162" s="222" t="s">
        <v>19843</v>
      </c>
      <c r="C2162" s="216" t="s">
        <v>17678</v>
      </c>
      <c r="D2162" s="443">
        <v>1008.53</v>
      </c>
    </row>
    <row r="2163" spans="1:4" ht="31.5">
      <c r="A2163" s="216">
        <v>34635</v>
      </c>
      <c r="B2163" s="222" t="s">
        <v>19844</v>
      </c>
      <c r="C2163" s="216" t="s">
        <v>17678</v>
      </c>
      <c r="D2163" s="443">
        <v>1296.93</v>
      </c>
    </row>
    <row r="2164" spans="1:4" ht="31.5">
      <c r="A2164" s="216">
        <v>34633</v>
      </c>
      <c r="B2164" s="222" t="s">
        <v>19845</v>
      </c>
      <c r="C2164" s="216" t="s">
        <v>17678</v>
      </c>
      <c r="D2164" s="443">
        <v>1429.56</v>
      </c>
    </row>
    <row r="2165" spans="1:4" ht="31.5">
      <c r="A2165" s="216">
        <v>40440</v>
      </c>
      <c r="B2165" s="222" t="s">
        <v>19846</v>
      </c>
      <c r="C2165" s="216" t="s">
        <v>17824</v>
      </c>
      <c r="D2165" s="443">
        <v>730.38</v>
      </c>
    </row>
    <row r="2166" spans="1:4" ht="31.5">
      <c r="A2166" s="216">
        <v>40441</v>
      </c>
      <c r="B2166" s="222" t="s">
        <v>19847</v>
      </c>
      <c r="C2166" s="216" t="s">
        <v>17824</v>
      </c>
      <c r="D2166" s="443">
        <v>466.31</v>
      </c>
    </row>
    <row r="2167" spans="1:4" ht="31.5">
      <c r="A2167" s="216">
        <v>40449</v>
      </c>
      <c r="B2167" s="222" t="s">
        <v>19848</v>
      </c>
      <c r="C2167" s="216" t="s">
        <v>17824</v>
      </c>
      <c r="D2167" s="443">
        <v>392.01</v>
      </c>
    </row>
    <row r="2168" spans="1:4" ht="31.5">
      <c r="A2168" s="216">
        <v>34800</v>
      </c>
      <c r="B2168" s="222" t="s">
        <v>19849</v>
      </c>
      <c r="C2168" s="216" t="s">
        <v>17824</v>
      </c>
      <c r="D2168" s="443">
        <v>490.21</v>
      </c>
    </row>
    <row r="2169" spans="1:4" ht="31.5">
      <c r="A2169" s="216">
        <v>11592</v>
      </c>
      <c r="B2169" s="222" t="s">
        <v>19850</v>
      </c>
      <c r="C2169" s="216" t="s">
        <v>17678</v>
      </c>
      <c r="D2169" s="443">
        <v>701.21</v>
      </c>
    </row>
    <row r="2170" spans="1:4">
      <c r="A2170" s="216">
        <v>40438</v>
      </c>
      <c r="B2170" s="222" t="s">
        <v>19851</v>
      </c>
      <c r="C2170" s="216" t="s">
        <v>17824</v>
      </c>
      <c r="D2170" s="443">
        <v>326.58999999999997</v>
      </c>
    </row>
    <row r="2171" spans="1:4">
      <c r="A2171" s="216">
        <v>40436</v>
      </c>
      <c r="B2171" s="222" t="s">
        <v>19852</v>
      </c>
      <c r="C2171" s="216" t="s">
        <v>17824</v>
      </c>
      <c r="D2171" s="443">
        <v>407.23</v>
      </c>
    </row>
    <row r="2172" spans="1:4" ht="31.5">
      <c r="A2172" s="216">
        <v>4315</v>
      </c>
      <c r="B2172" s="222" t="s">
        <v>19853</v>
      </c>
      <c r="C2172" s="216" t="s">
        <v>17678</v>
      </c>
      <c r="D2172" s="443">
        <v>1.71</v>
      </c>
    </row>
    <row r="2173" spans="1:4">
      <c r="A2173" s="216">
        <v>402</v>
      </c>
      <c r="B2173" s="222" t="s">
        <v>19854</v>
      </c>
      <c r="C2173" s="216" t="s">
        <v>17678</v>
      </c>
      <c r="D2173" s="443">
        <v>7.23</v>
      </c>
    </row>
    <row r="2174" spans="1:4">
      <c r="A2174" s="216">
        <v>4226</v>
      </c>
      <c r="B2174" s="222" t="s">
        <v>19855</v>
      </c>
      <c r="C2174" s="216" t="s">
        <v>17726</v>
      </c>
      <c r="D2174" s="443">
        <v>7.81</v>
      </c>
    </row>
    <row r="2175" spans="1:4">
      <c r="A2175" s="216">
        <v>4222</v>
      </c>
      <c r="B2175" s="222" t="s">
        <v>19856</v>
      </c>
      <c r="C2175" s="216" t="s">
        <v>17728</v>
      </c>
      <c r="D2175" s="443">
        <v>5.34</v>
      </c>
    </row>
    <row r="2176" spans="1:4" ht="31.5">
      <c r="A2176" s="216">
        <v>34804</v>
      </c>
      <c r="B2176" s="222" t="s">
        <v>19857</v>
      </c>
      <c r="C2176" s="216" t="s">
        <v>18087</v>
      </c>
      <c r="D2176" s="443">
        <v>59.2</v>
      </c>
    </row>
    <row r="2177" spans="1:4">
      <c r="A2177" s="216">
        <v>4013</v>
      </c>
      <c r="B2177" s="222" t="s">
        <v>19858</v>
      </c>
      <c r="C2177" s="216" t="s">
        <v>18087</v>
      </c>
      <c r="D2177" s="443">
        <v>7.1</v>
      </c>
    </row>
    <row r="2178" spans="1:4">
      <c r="A2178" s="216">
        <v>4011</v>
      </c>
      <c r="B2178" s="222" t="s">
        <v>19859</v>
      </c>
      <c r="C2178" s="216" t="s">
        <v>18087</v>
      </c>
      <c r="D2178" s="443">
        <v>7.93</v>
      </c>
    </row>
    <row r="2179" spans="1:4">
      <c r="A2179" s="216">
        <v>4021</v>
      </c>
      <c r="B2179" s="222" t="s">
        <v>19860</v>
      </c>
      <c r="C2179" s="216" t="s">
        <v>18087</v>
      </c>
      <c r="D2179" s="443">
        <v>9.9</v>
      </c>
    </row>
    <row r="2180" spans="1:4">
      <c r="A2180" s="216">
        <v>4019</v>
      </c>
      <c r="B2180" s="222" t="s">
        <v>19861</v>
      </c>
      <c r="C2180" s="216" t="s">
        <v>18087</v>
      </c>
      <c r="D2180" s="443">
        <v>11.88</v>
      </c>
    </row>
    <row r="2181" spans="1:4">
      <c r="A2181" s="216">
        <v>4012</v>
      </c>
      <c r="B2181" s="222" t="s">
        <v>19862</v>
      </c>
      <c r="C2181" s="216" t="s">
        <v>18087</v>
      </c>
      <c r="D2181" s="443">
        <v>15.92</v>
      </c>
    </row>
    <row r="2182" spans="1:4">
      <c r="A2182" s="216">
        <v>4020</v>
      </c>
      <c r="B2182" s="222" t="s">
        <v>19863</v>
      </c>
      <c r="C2182" s="216" t="s">
        <v>18087</v>
      </c>
      <c r="D2182" s="443">
        <v>19.940000000000001</v>
      </c>
    </row>
    <row r="2183" spans="1:4">
      <c r="A2183" s="216">
        <v>4018</v>
      </c>
      <c r="B2183" s="222" t="s">
        <v>19864</v>
      </c>
      <c r="C2183" s="216" t="s">
        <v>18087</v>
      </c>
      <c r="D2183" s="443">
        <v>23.88</v>
      </c>
    </row>
    <row r="2184" spans="1:4">
      <c r="A2184" s="216">
        <v>36498</v>
      </c>
      <c r="B2184" s="222" t="s">
        <v>19865</v>
      </c>
      <c r="C2184" s="216" t="s">
        <v>17678</v>
      </c>
      <c r="D2184" s="443">
        <v>7920.19</v>
      </c>
    </row>
    <row r="2185" spans="1:4">
      <c r="A2185" s="216">
        <v>12872</v>
      </c>
      <c r="B2185" s="222" t="s">
        <v>19866</v>
      </c>
      <c r="C2185" s="216" t="s">
        <v>17826</v>
      </c>
      <c r="D2185" s="443">
        <v>23.02</v>
      </c>
    </row>
    <row r="2186" spans="1:4">
      <c r="A2186" s="216">
        <v>41075</v>
      </c>
      <c r="B2186" s="222" t="s">
        <v>19867</v>
      </c>
      <c r="C2186" s="216" t="s">
        <v>17828</v>
      </c>
      <c r="D2186" s="443">
        <v>4031.83</v>
      </c>
    </row>
    <row r="2187" spans="1:4">
      <c r="A2187" s="216">
        <v>44324</v>
      </c>
      <c r="B2187" s="222" t="s">
        <v>19868</v>
      </c>
      <c r="C2187" s="216" t="s">
        <v>17726</v>
      </c>
      <c r="D2187" s="443">
        <v>2.71</v>
      </c>
    </row>
    <row r="2188" spans="1:4">
      <c r="A2188" s="216">
        <v>3315</v>
      </c>
      <c r="B2188" s="222" t="s">
        <v>19869</v>
      </c>
      <c r="C2188" s="216" t="s">
        <v>17726</v>
      </c>
      <c r="D2188" s="443">
        <v>0.78</v>
      </c>
    </row>
    <row r="2189" spans="1:4">
      <c r="A2189" s="216">
        <v>36870</v>
      </c>
      <c r="B2189" s="222" t="s">
        <v>19870</v>
      </c>
      <c r="C2189" s="216" t="s">
        <v>17726</v>
      </c>
      <c r="D2189" s="443">
        <v>0.6</v>
      </c>
    </row>
    <row r="2190" spans="1:4" ht="31.5">
      <c r="A2190" s="216">
        <v>5092</v>
      </c>
      <c r="B2190" s="222" t="s">
        <v>19871</v>
      </c>
      <c r="C2190" s="216" t="s">
        <v>18101</v>
      </c>
      <c r="D2190" s="443">
        <v>17.55</v>
      </c>
    </row>
    <row r="2191" spans="1:4">
      <c r="A2191" s="216">
        <v>11462</v>
      </c>
      <c r="B2191" s="222" t="s">
        <v>19872</v>
      </c>
      <c r="C2191" s="216" t="s">
        <v>18101</v>
      </c>
      <c r="D2191" s="443">
        <v>17.940000000000001</v>
      </c>
    </row>
    <row r="2192" spans="1:4" ht="31.5">
      <c r="A2192" s="216">
        <v>36529</v>
      </c>
      <c r="B2192" s="222" t="s">
        <v>19873</v>
      </c>
      <c r="C2192" s="216" t="s">
        <v>17678</v>
      </c>
      <c r="D2192" s="443">
        <v>76198.97</v>
      </c>
    </row>
    <row r="2193" spans="1:4">
      <c r="A2193" s="216">
        <v>3318</v>
      </c>
      <c r="B2193" s="222" t="s">
        <v>19874</v>
      </c>
      <c r="C2193" s="216" t="s">
        <v>17678</v>
      </c>
      <c r="D2193" s="443">
        <v>59740</v>
      </c>
    </row>
    <row r="2194" spans="1:4">
      <c r="A2194" s="216">
        <v>3324</v>
      </c>
      <c r="B2194" s="222" t="s">
        <v>19875</v>
      </c>
      <c r="C2194" s="216" t="s">
        <v>18087</v>
      </c>
      <c r="D2194" s="443">
        <v>6.07</v>
      </c>
    </row>
    <row r="2195" spans="1:4">
      <c r="A2195" s="216">
        <v>3322</v>
      </c>
      <c r="B2195" s="222" t="s">
        <v>19876</v>
      </c>
      <c r="C2195" s="216" t="s">
        <v>18087</v>
      </c>
      <c r="D2195" s="443">
        <v>8.5</v>
      </c>
    </row>
    <row r="2196" spans="1:4">
      <c r="A2196" s="216">
        <v>5076</v>
      </c>
      <c r="B2196" s="222" t="s">
        <v>19877</v>
      </c>
      <c r="C2196" s="216" t="s">
        <v>17726</v>
      </c>
      <c r="D2196" s="443">
        <v>20.55</v>
      </c>
    </row>
    <row r="2197" spans="1:4">
      <c r="A2197" s="216">
        <v>5077</v>
      </c>
      <c r="B2197" s="222" t="s">
        <v>19878</v>
      </c>
      <c r="C2197" s="216" t="s">
        <v>17726</v>
      </c>
      <c r="D2197" s="443">
        <v>22.71</v>
      </c>
    </row>
    <row r="2198" spans="1:4" ht="31.5">
      <c r="A2198" s="216">
        <v>11837</v>
      </c>
      <c r="B2198" s="222" t="s">
        <v>19879</v>
      </c>
      <c r="C2198" s="216" t="s">
        <v>17678</v>
      </c>
      <c r="D2198" s="443">
        <v>78.239999999999995</v>
      </c>
    </row>
    <row r="2199" spans="1:4">
      <c r="A2199" s="216">
        <v>38055</v>
      </c>
      <c r="B2199" s="222" t="s">
        <v>19880</v>
      </c>
      <c r="C2199" s="216" t="s">
        <v>17678</v>
      </c>
      <c r="D2199" s="443">
        <v>7.1</v>
      </c>
    </row>
    <row r="2200" spans="1:4">
      <c r="A2200" s="216">
        <v>415</v>
      </c>
      <c r="B2200" s="222" t="s">
        <v>19881</v>
      </c>
      <c r="C2200" s="216" t="s">
        <v>17678</v>
      </c>
      <c r="D2200" s="443">
        <v>32.08</v>
      </c>
    </row>
    <row r="2201" spans="1:4">
      <c r="A2201" s="216">
        <v>416</v>
      </c>
      <c r="B2201" s="222" t="s">
        <v>19882</v>
      </c>
      <c r="C2201" s="216" t="s">
        <v>17678</v>
      </c>
      <c r="D2201" s="443">
        <v>11.74</v>
      </c>
    </row>
    <row r="2202" spans="1:4">
      <c r="A2202" s="216">
        <v>425</v>
      </c>
      <c r="B2202" s="222" t="s">
        <v>19883</v>
      </c>
      <c r="C2202" s="216" t="s">
        <v>17678</v>
      </c>
      <c r="D2202" s="443">
        <v>7.28</v>
      </c>
    </row>
    <row r="2203" spans="1:4">
      <c r="A2203" s="216">
        <v>426</v>
      </c>
      <c r="B2203" s="222" t="s">
        <v>19884</v>
      </c>
      <c r="C2203" s="216" t="s">
        <v>17678</v>
      </c>
      <c r="D2203" s="443">
        <v>40.1</v>
      </c>
    </row>
    <row r="2204" spans="1:4">
      <c r="A2204" s="216">
        <v>38056</v>
      </c>
      <c r="B2204" s="222" t="s">
        <v>19885</v>
      </c>
      <c r="C2204" s="216" t="s">
        <v>17678</v>
      </c>
      <c r="D2204" s="443">
        <v>39.159999999999997</v>
      </c>
    </row>
    <row r="2205" spans="1:4">
      <c r="A2205" s="216">
        <v>1564</v>
      </c>
      <c r="B2205" s="222" t="s">
        <v>19886</v>
      </c>
      <c r="C2205" s="216" t="s">
        <v>17678</v>
      </c>
      <c r="D2205" s="443">
        <v>14.94</v>
      </c>
    </row>
    <row r="2206" spans="1:4">
      <c r="A2206" s="216">
        <v>11032</v>
      </c>
      <c r="B2206" s="222" t="s">
        <v>19887</v>
      </c>
      <c r="C2206" s="216" t="s">
        <v>17678</v>
      </c>
      <c r="D2206" s="443">
        <v>9.66</v>
      </c>
    </row>
    <row r="2207" spans="1:4">
      <c r="A2207" s="216">
        <v>36786</v>
      </c>
      <c r="B2207" s="222" t="s">
        <v>19888</v>
      </c>
      <c r="C2207" s="216" t="s">
        <v>19889</v>
      </c>
      <c r="D2207" s="443">
        <v>159.07</v>
      </c>
    </row>
    <row r="2208" spans="1:4">
      <c r="A2208" s="216">
        <v>36785</v>
      </c>
      <c r="B2208" s="222" t="s">
        <v>19890</v>
      </c>
      <c r="C2208" s="216" t="s">
        <v>19889</v>
      </c>
      <c r="D2208" s="443">
        <v>138.22</v>
      </c>
    </row>
    <row r="2209" spans="1:4">
      <c r="A2209" s="216">
        <v>36782</v>
      </c>
      <c r="B2209" s="222" t="s">
        <v>19891</v>
      </c>
      <c r="C2209" s="216" t="s">
        <v>19889</v>
      </c>
      <c r="D2209" s="443">
        <v>164.99</v>
      </c>
    </row>
    <row r="2210" spans="1:4">
      <c r="A2210" s="216">
        <v>44481</v>
      </c>
      <c r="B2210" s="222" t="s">
        <v>19892</v>
      </c>
      <c r="C2210" s="216" t="s">
        <v>19889</v>
      </c>
      <c r="D2210" s="443">
        <v>185.85</v>
      </c>
    </row>
    <row r="2211" spans="1:4" ht="31.5">
      <c r="A2211" s="216">
        <v>4824</v>
      </c>
      <c r="B2211" s="222" t="s">
        <v>19893</v>
      </c>
      <c r="C2211" s="216" t="s">
        <v>17726</v>
      </c>
      <c r="D2211" s="443">
        <v>0.71</v>
      </c>
    </row>
    <row r="2212" spans="1:4" ht="31.5">
      <c r="A2212" s="216">
        <v>11795</v>
      </c>
      <c r="B2212" s="222" t="s">
        <v>19894</v>
      </c>
      <c r="C2212" s="216" t="s">
        <v>18087</v>
      </c>
      <c r="D2212" s="443">
        <v>618.86</v>
      </c>
    </row>
    <row r="2213" spans="1:4">
      <c r="A2213" s="216">
        <v>134</v>
      </c>
      <c r="B2213" s="222" t="s">
        <v>19895</v>
      </c>
      <c r="C2213" s="216" t="s">
        <v>17726</v>
      </c>
      <c r="D2213" s="443">
        <v>1.64</v>
      </c>
    </row>
    <row r="2214" spans="1:4">
      <c r="A2214" s="216">
        <v>4229</v>
      </c>
      <c r="B2214" s="222" t="s">
        <v>19896</v>
      </c>
      <c r="C2214" s="216" t="s">
        <v>17726</v>
      </c>
      <c r="D2214" s="443">
        <v>30.42</v>
      </c>
    </row>
    <row r="2215" spans="1:4">
      <c r="A2215" s="216">
        <v>11731</v>
      </c>
      <c r="B2215" s="222" t="s">
        <v>19897</v>
      </c>
      <c r="C2215" s="216" t="s">
        <v>17678</v>
      </c>
      <c r="D2215" s="443">
        <v>10.02</v>
      </c>
    </row>
    <row r="2216" spans="1:4">
      <c r="A2216" s="216">
        <v>11732</v>
      </c>
      <c r="B2216" s="222" t="s">
        <v>19898</v>
      </c>
      <c r="C2216" s="216" t="s">
        <v>17678</v>
      </c>
      <c r="D2216" s="443">
        <v>26.27</v>
      </c>
    </row>
    <row r="2217" spans="1:4">
      <c r="A2217" s="216">
        <v>11244</v>
      </c>
      <c r="B2217" s="222" t="s">
        <v>19899</v>
      </c>
      <c r="C2217" s="216" t="s">
        <v>17678</v>
      </c>
      <c r="D2217" s="443">
        <v>299.2</v>
      </c>
    </row>
    <row r="2218" spans="1:4" ht="31.5">
      <c r="A2218" s="216">
        <v>11245</v>
      </c>
      <c r="B2218" s="222" t="s">
        <v>19900</v>
      </c>
      <c r="C2218" s="216" t="s">
        <v>17678</v>
      </c>
      <c r="D2218" s="443">
        <v>413.85</v>
      </c>
    </row>
    <row r="2219" spans="1:4">
      <c r="A2219" s="216">
        <v>11235</v>
      </c>
      <c r="B2219" s="222" t="s">
        <v>19901</v>
      </c>
      <c r="C2219" s="216" t="s">
        <v>17678</v>
      </c>
      <c r="D2219" s="443">
        <v>228.33</v>
      </c>
    </row>
    <row r="2220" spans="1:4">
      <c r="A2220" s="216">
        <v>11236</v>
      </c>
      <c r="B2220" s="222" t="s">
        <v>19902</v>
      </c>
      <c r="C2220" s="216" t="s">
        <v>17678</v>
      </c>
      <c r="D2220" s="443">
        <v>290.17</v>
      </c>
    </row>
    <row r="2221" spans="1:4">
      <c r="A2221" s="216">
        <v>36494</v>
      </c>
      <c r="B2221" s="222" t="s">
        <v>19903</v>
      </c>
      <c r="C2221" s="216" t="s">
        <v>17678</v>
      </c>
      <c r="D2221" s="443">
        <v>719505.07</v>
      </c>
    </row>
    <row r="2222" spans="1:4">
      <c r="A2222" s="216">
        <v>36493</v>
      </c>
      <c r="B2222" s="222" t="s">
        <v>19904</v>
      </c>
      <c r="C2222" s="216" t="s">
        <v>17678</v>
      </c>
      <c r="D2222" s="443">
        <v>815170.02</v>
      </c>
    </row>
    <row r="2223" spans="1:4">
      <c r="A2223" s="216">
        <v>36492</v>
      </c>
      <c r="B2223" s="222" t="s">
        <v>19905</v>
      </c>
      <c r="C2223" s="216" t="s">
        <v>17678</v>
      </c>
      <c r="D2223" s="443">
        <v>1514276.75</v>
      </c>
    </row>
    <row r="2224" spans="1:4">
      <c r="A2224" s="216">
        <v>36499</v>
      </c>
      <c r="B2224" s="222" t="s">
        <v>19906</v>
      </c>
      <c r="C2224" s="216" t="s">
        <v>17678</v>
      </c>
      <c r="D2224" s="443">
        <v>4276.8999999999996</v>
      </c>
    </row>
    <row r="2225" spans="1:4" ht="31.5">
      <c r="A2225" s="216">
        <v>13533</v>
      </c>
      <c r="B2225" s="222" t="s">
        <v>19907</v>
      </c>
      <c r="C2225" s="216" t="s">
        <v>17678</v>
      </c>
      <c r="D2225" s="443">
        <v>196055.26</v>
      </c>
    </row>
    <row r="2226" spans="1:4" ht="31.5">
      <c r="A2226" s="216">
        <v>13333</v>
      </c>
      <c r="B2226" s="222" t="s">
        <v>19908</v>
      </c>
      <c r="C2226" s="216" t="s">
        <v>17678</v>
      </c>
      <c r="D2226" s="443">
        <v>219328.44</v>
      </c>
    </row>
    <row r="2227" spans="1:4" ht="31.5">
      <c r="A2227" s="216">
        <v>39585</v>
      </c>
      <c r="B2227" s="222" t="s">
        <v>19909</v>
      </c>
      <c r="C2227" s="216" t="s">
        <v>17678</v>
      </c>
      <c r="D2227" s="443">
        <v>141620.37</v>
      </c>
    </row>
    <row r="2228" spans="1:4" ht="31.5">
      <c r="A2228" s="216">
        <v>39586</v>
      </c>
      <c r="B2228" s="222" t="s">
        <v>19910</v>
      </c>
      <c r="C2228" s="216" t="s">
        <v>17678</v>
      </c>
      <c r="D2228" s="443">
        <v>166111.1</v>
      </c>
    </row>
    <row r="2229" spans="1:4" ht="31.5">
      <c r="A2229" s="216">
        <v>39587</v>
      </c>
      <c r="B2229" s="222" t="s">
        <v>19911</v>
      </c>
      <c r="C2229" s="216" t="s">
        <v>17678</v>
      </c>
      <c r="D2229" s="443">
        <v>202314.81</v>
      </c>
    </row>
    <row r="2230" spans="1:4" ht="31.5">
      <c r="A2230" s="216">
        <v>39588</v>
      </c>
      <c r="B2230" s="222" t="s">
        <v>19912</v>
      </c>
      <c r="C2230" s="216" t="s">
        <v>17678</v>
      </c>
      <c r="D2230" s="443">
        <v>234259.25</v>
      </c>
    </row>
    <row r="2231" spans="1:4" ht="31.5">
      <c r="A2231" s="216">
        <v>39584</v>
      </c>
      <c r="B2231" s="222" t="s">
        <v>19913</v>
      </c>
      <c r="C2231" s="216" t="s">
        <v>17678</v>
      </c>
      <c r="D2231" s="443">
        <v>126116.67</v>
      </c>
    </row>
    <row r="2232" spans="1:4" ht="31.5">
      <c r="A2232" s="216">
        <v>39590</v>
      </c>
      <c r="B2232" s="222" t="s">
        <v>19914</v>
      </c>
      <c r="C2232" s="216" t="s">
        <v>17678</v>
      </c>
      <c r="D2232" s="443">
        <v>123092.59</v>
      </c>
    </row>
    <row r="2233" spans="1:4" ht="31.5">
      <c r="A2233" s="216">
        <v>39592</v>
      </c>
      <c r="B2233" s="222" t="s">
        <v>19915</v>
      </c>
      <c r="C2233" s="216" t="s">
        <v>17678</v>
      </c>
      <c r="D2233" s="443">
        <v>176887.03</v>
      </c>
    </row>
    <row r="2234" spans="1:4" ht="31.5">
      <c r="A2234" s="216">
        <v>39593</v>
      </c>
      <c r="B2234" s="222" t="s">
        <v>19916</v>
      </c>
      <c r="C2234" s="216" t="s">
        <v>17678</v>
      </c>
      <c r="D2234" s="443">
        <v>202314.81</v>
      </c>
    </row>
    <row r="2235" spans="1:4" ht="31.5">
      <c r="A2235" s="216">
        <v>14254</v>
      </c>
      <c r="B2235" s="222" t="s">
        <v>19917</v>
      </c>
      <c r="C2235" s="216" t="s">
        <v>17678</v>
      </c>
      <c r="D2235" s="443">
        <v>115000</v>
      </c>
    </row>
    <row r="2236" spans="1:4">
      <c r="A2236" s="216">
        <v>44494</v>
      </c>
      <c r="B2236" s="222" t="s">
        <v>19918</v>
      </c>
      <c r="C2236" s="216" t="s">
        <v>17678</v>
      </c>
      <c r="D2236" s="443">
        <v>96034.17</v>
      </c>
    </row>
    <row r="2237" spans="1:4">
      <c r="A2237" s="216">
        <v>25019</v>
      </c>
      <c r="B2237" s="222" t="s">
        <v>19919</v>
      </c>
      <c r="C2237" s="216" t="s">
        <v>17678</v>
      </c>
      <c r="D2237" s="443">
        <v>164613.31</v>
      </c>
    </row>
    <row r="2238" spans="1:4">
      <c r="A2238" s="216">
        <v>36501</v>
      </c>
      <c r="B2238" s="222" t="s">
        <v>19920</v>
      </c>
      <c r="C2238" s="216" t="s">
        <v>17678</v>
      </c>
      <c r="D2238" s="443">
        <v>146562.57</v>
      </c>
    </row>
    <row r="2239" spans="1:4">
      <c r="A2239" s="216">
        <v>44493</v>
      </c>
      <c r="B2239" s="222" t="s">
        <v>19921</v>
      </c>
      <c r="C2239" s="216" t="s">
        <v>17678</v>
      </c>
      <c r="D2239" s="443">
        <v>176196.29</v>
      </c>
    </row>
    <row r="2240" spans="1:4">
      <c r="A2240" s="216">
        <v>36500</v>
      </c>
      <c r="B2240" s="222" t="s">
        <v>19922</v>
      </c>
      <c r="C2240" s="216" t="s">
        <v>17678</v>
      </c>
      <c r="D2240" s="443">
        <v>103571.77</v>
      </c>
    </row>
    <row r="2241" spans="1:4" ht="31.5">
      <c r="A2241" s="216">
        <v>20017</v>
      </c>
      <c r="B2241" s="222" t="s">
        <v>19923</v>
      </c>
      <c r="C2241" s="216" t="s">
        <v>17722</v>
      </c>
      <c r="D2241" s="443">
        <v>7.92</v>
      </c>
    </row>
    <row r="2242" spans="1:4" ht="31.5">
      <c r="A2242" s="216">
        <v>20007</v>
      </c>
      <c r="B2242" s="222" t="s">
        <v>19924</v>
      </c>
      <c r="C2242" s="216" t="s">
        <v>17722</v>
      </c>
      <c r="D2242" s="443">
        <v>4.7300000000000004</v>
      </c>
    </row>
    <row r="2243" spans="1:4">
      <c r="A2243" s="216">
        <v>39831</v>
      </c>
      <c r="B2243" s="222" t="s">
        <v>19925</v>
      </c>
      <c r="C2243" s="216" t="s">
        <v>18136</v>
      </c>
      <c r="D2243" s="443">
        <v>238.98</v>
      </c>
    </row>
    <row r="2244" spans="1:4" ht="31.5">
      <c r="A2244" s="216">
        <v>36888</v>
      </c>
      <c r="B2244" s="222" t="s">
        <v>19926</v>
      </c>
      <c r="C2244" s="216" t="s">
        <v>17722</v>
      </c>
      <c r="D2244" s="443">
        <v>52.48</v>
      </c>
    </row>
    <row r="2245" spans="1:4" ht="31.5">
      <c r="A2245" s="216">
        <v>39836</v>
      </c>
      <c r="B2245" s="222" t="s">
        <v>19927</v>
      </c>
      <c r="C2245" s="216" t="s">
        <v>18136</v>
      </c>
      <c r="D2245" s="443">
        <v>209.99</v>
      </c>
    </row>
    <row r="2246" spans="1:4">
      <c r="A2246" s="216">
        <v>39830</v>
      </c>
      <c r="B2246" s="222" t="s">
        <v>19928</v>
      </c>
      <c r="C2246" s="216" t="s">
        <v>18136</v>
      </c>
      <c r="D2246" s="443">
        <v>239.49</v>
      </c>
    </row>
    <row r="2247" spans="1:4">
      <c r="A2247" s="216">
        <v>40527</v>
      </c>
      <c r="B2247" s="222" t="s">
        <v>19929</v>
      </c>
      <c r="C2247" s="216" t="s">
        <v>17678</v>
      </c>
      <c r="D2247" s="443">
        <v>2413.5300000000002</v>
      </c>
    </row>
    <row r="2248" spans="1:4">
      <c r="A2248" s="216">
        <v>36497</v>
      </c>
      <c r="B2248" s="222" t="s">
        <v>19930</v>
      </c>
      <c r="C2248" s="216" t="s">
        <v>17678</v>
      </c>
      <c r="D2248" s="443">
        <v>2755.3</v>
      </c>
    </row>
    <row r="2249" spans="1:4">
      <c r="A2249" s="216">
        <v>36487</v>
      </c>
      <c r="B2249" s="222" t="s">
        <v>19931</v>
      </c>
      <c r="C2249" s="216" t="s">
        <v>17678</v>
      </c>
      <c r="D2249" s="443">
        <v>4797.3999999999996</v>
      </c>
    </row>
    <row r="2250" spans="1:4" ht="31.5">
      <c r="A2250" s="216">
        <v>44475</v>
      </c>
      <c r="B2250" s="222" t="s">
        <v>19932</v>
      </c>
      <c r="C2250" s="216" t="s">
        <v>17678</v>
      </c>
      <c r="D2250" s="443">
        <v>1258165.24</v>
      </c>
    </row>
    <row r="2251" spans="1:4" ht="31.5">
      <c r="A2251" s="216">
        <v>44474</v>
      </c>
      <c r="B2251" s="222" t="s">
        <v>19933</v>
      </c>
      <c r="C2251" s="216" t="s">
        <v>17678</v>
      </c>
      <c r="D2251" s="443">
        <v>2419548.54</v>
      </c>
    </row>
    <row r="2252" spans="1:4" ht="31.5">
      <c r="A2252" s="216">
        <v>44490</v>
      </c>
      <c r="B2252" s="222" t="s">
        <v>19934</v>
      </c>
      <c r="C2252" s="216" t="s">
        <v>17678</v>
      </c>
      <c r="D2252" s="443">
        <v>4113232.5</v>
      </c>
    </row>
    <row r="2253" spans="1:4" ht="47.25">
      <c r="A2253" s="216">
        <v>37776</v>
      </c>
      <c r="B2253" s="222" t="s">
        <v>19935</v>
      </c>
      <c r="C2253" s="216" t="s">
        <v>17678</v>
      </c>
      <c r="D2253" s="443">
        <v>252088.58</v>
      </c>
    </row>
    <row r="2254" spans="1:4" ht="47.25">
      <c r="A2254" s="216">
        <v>37775</v>
      </c>
      <c r="B2254" s="222" t="s">
        <v>19936</v>
      </c>
      <c r="C2254" s="216" t="s">
        <v>17678</v>
      </c>
      <c r="D2254" s="443">
        <v>397058.59</v>
      </c>
    </row>
    <row r="2255" spans="1:4" ht="47.25">
      <c r="A2255" s="216">
        <v>36491</v>
      </c>
      <c r="B2255" s="222" t="s">
        <v>19937</v>
      </c>
      <c r="C2255" s="216" t="s">
        <v>17678</v>
      </c>
      <c r="D2255" s="443">
        <v>1470425.78</v>
      </c>
    </row>
    <row r="2256" spans="1:4" ht="47.25">
      <c r="A2256" s="216">
        <v>10712</v>
      </c>
      <c r="B2256" s="222" t="s">
        <v>19938</v>
      </c>
      <c r="C2256" s="216" t="s">
        <v>17678</v>
      </c>
      <c r="D2256" s="443">
        <v>99264.639999999999</v>
      </c>
    </row>
    <row r="2257" spans="1:4" ht="47.25">
      <c r="A2257" s="216">
        <v>3363</v>
      </c>
      <c r="B2257" s="222" t="s">
        <v>19939</v>
      </c>
      <c r="C2257" s="216" t="s">
        <v>17678</v>
      </c>
      <c r="D2257" s="443">
        <v>139625</v>
      </c>
    </row>
    <row r="2258" spans="1:4" ht="47.25">
      <c r="A2258" s="216">
        <v>3365</v>
      </c>
      <c r="B2258" s="222" t="s">
        <v>19940</v>
      </c>
      <c r="C2258" s="216" t="s">
        <v>17678</v>
      </c>
      <c r="D2258" s="443">
        <v>326373.43</v>
      </c>
    </row>
    <row r="2259" spans="1:4">
      <c r="A2259" s="216">
        <v>7569</v>
      </c>
      <c r="B2259" s="222" t="s">
        <v>19941</v>
      </c>
      <c r="C2259" s="216" t="s">
        <v>17678</v>
      </c>
      <c r="D2259" s="443">
        <v>33.76</v>
      </c>
    </row>
    <row r="2260" spans="1:4">
      <c r="A2260" s="216">
        <v>34349</v>
      </c>
      <c r="B2260" s="222" t="s">
        <v>19942</v>
      </c>
      <c r="C2260" s="216" t="s">
        <v>17678</v>
      </c>
      <c r="D2260" s="443">
        <v>33.630000000000003</v>
      </c>
    </row>
    <row r="2261" spans="1:4" ht="31.5">
      <c r="A2261" s="216">
        <v>3378</v>
      </c>
      <c r="B2261" s="222" t="s">
        <v>19943</v>
      </c>
      <c r="C2261" s="216" t="s">
        <v>17678</v>
      </c>
      <c r="D2261" s="443">
        <v>113.57</v>
      </c>
    </row>
    <row r="2262" spans="1:4" ht="31.5">
      <c r="A2262" s="216">
        <v>3380</v>
      </c>
      <c r="B2262" s="222" t="s">
        <v>19944</v>
      </c>
      <c r="C2262" s="216" t="s">
        <v>17678</v>
      </c>
      <c r="D2262" s="443">
        <v>79.5</v>
      </c>
    </row>
    <row r="2263" spans="1:4" ht="31.5">
      <c r="A2263" s="216">
        <v>3379</v>
      </c>
      <c r="B2263" s="222" t="s">
        <v>19945</v>
      </c>
      <c r="C2263" s="216" t="s">
        <v>17678</v>
      </c>
      <c r="D2263" s="443">
        <v>76.75</v>
      </c>
    </row>
    <row r="2264" spans="1:4" ht="31.5">
      <c r="A2264" s="216">
        <v>11991</v>
      </c>
      <c r="B2264" s="222" t="s">
        <v>19946</v>
      </c>
      <c r="C2264" s="216" t="s">
        <v>17678</v>
      </c>
      <c r="D2264" s="443">
        <v>89.12</v>
      </c>
    </row>
    <row r="2265" spans="1:4" ht="31.5">
      <c r="A2265" s="216">
        <v>11029</v>
      </c>
      <c r="B2265" s="222" t="s">
        <v>19947</v>
      </c>
      <c r="C2265" s="216" t="s">
        <v>19047</v>
      </c>
      <c r="D2265" s="443">
        <v>1.48</v>
      </c>
    </row>
    <row r="2266" spans="1:4" ht="31.5">
      <c r="A2266" s="216">
        <v>4316</v>
      </c>
      <c r="B2266" s="222" t="s">
        <v>19948</v>
      </c>
      <c r="C2266" s="216" t="s">
        <v>17678</v>
      </c>
      <c r="D2266" s="443">
        <v>1.49</v>
      </c>
    </row>
    <row r="2267" spans="1:4" ht="31.5">
      <c r="A2267" s="216">
        <v>4313</v>
      </c>
      <c r="B2267" s="222" t="s">
        <v>19949</v>
      </c>
      <c r="C2267" s="216" t="s">
        <v>19047</v>
      </c>
      <c r="D2267" s="443">
        <v>2.14</v>
      </c>
    </row>
    <row r="2268" spans="1:4" ht="31.5">
      <c r="A2268" s="216">
        <v>4317</v>
      </c>
      <c r="B2268" s="222" t="s">
        <v>19950</v>
      </c>
      <c r="C2268" s="216" t="s">
        <v>17678</v>
      </c>
      <c r="D2268" s="443">
        <v>2.44</v>
      </c>
    </row>
    <row r="2269" spans="1:4" ht="31.5">
      <c r="A2269" s="216">
        <v>4314</v>
      </c>
      <c r="B2269" s="222" t="s">
        <v>19951</v>
      </c>
      <c r="C2269" s="216" t="s">
        <v>19047</v>
      </c>
      <c r="D2269" s="443">
        <v>2.86</v>
      </c>
    </row>
    <row r="2270" spans="1:4" ht="31.5">
      <c r="A2270" s="216">
        <v>10921</v>
      </c>
      <c r="B2270" s="222" t="s">
        <v>19952</v>
      </c>
      <c r="C2270" s="216" t="s">
        <v>17678</v>
      </c>
      <c r="D2270" s="443">
        <v>5965</v>
      </c>
    </row>
    <row r="2271" spans="1:4" ht="31.5">
      <c r="A2271" s="216">
        <v>10922</v>
      </c>
      <c r="B2271" s="222" t="s">
        <v>19953</v>
      </c>
      <c r="C2271" s="216" t="s">
        <v>17678</v>
      </c>
      <c r="D2271" s="443">
        <v>5402.94</v>
      </c>
    </row>
    <row r="2272" spans="1:4">
      <c r="A2272" s="216">
        <v>10923</v>
      </c>
      <c r="B2272" s="222" t="s">
        <v>19954</v>
      </c>
      <c r="C2272" s="216" t="s">
        <v>17678</v>
      </c>
      <c r="D2272" s="443">
        <v>3193.37</v>
      </c>
    </row>
    <row r="2273" spans="1:4">
      <c r="A2273" s="216">
        <v>10924</v>
      </c>
      <c r="B2273" s="222" t="s">
        <v>19955</v>
      </c>
      <c r="C2273" s="216" t="s">
        <v>17678</v>
      </c>
      <c r="D2273" s="443">
        <v>3363.24</v>
      </c>
    </row>
    <row r="2274" spans="1:4" ht="31.5">
      <c r="A2274" s="216">
        <v>37772</v>
      </c>
      <c r="B2274" s="222" t="s">
        <v>19956</v>
      </c>
      <c r="C2274" s="216" t="s">
        <v>17678</v>
      </c>
      <c r="D2274" s="443">
        <v>273236.33</v>
      </c>
    </row>
    <row r="2275" spans="1:4" ht="47.25">
      <c r="A2275" s="216">
        <v>37771</v>
      </c>
      <c r="B2275" s="222" t="s">
        <v>19957</v>
      </c>
      <c r="C2275" s="216" t="s">
        <v>17678</v>
      </c>
      <c r="D2275" s="443">
        <v>290679.93</v>
      </c>
    </row>
    <row r="2276" spans="1:4" ht="31.5">
      <c r="A2276" s="216">
        <v>12772</v>
      </c>
      <c r="B2276" s="222" t="s">
        <v>19958</v>
      </c>
      <c r="C2276" s="216" t="s">
        <v>17678</v>
      </c>
      <c r="D2276" s="443">
        <v>802.57</v>
      </c>
    </row>
    <row r="2277" spans="1:4" ht="31.5">
      <c r="A2277" s="216">
        <v>12770</v>
      </c>
      <c r="B2277" s="222" t="s">
        <v>19959</v>
      </c>
      <c r="C2277" s="216" t="s">
        <v>17678</v>
      </c>
      <c r="D2277" s="443">
        <v>482.9</v>
      </c>
    </row>
    <row r="2278" spans="1:4" ht="31.5">
      <c r="A2278" s="216">
        <v>12775</v>
      </c>
      <c r="B2278" s="222" t="s">
        <v>19960</v>
      </c>
      <c r="C2278" s="216" t="s">
        <v>17678</v>
      </c>
      <c r="D2278" s="443">
        <v>353.67</v>
      </c>
    </row>
    <row r="2279" spans="1:4" ht="31.5">
      <c r="A2279" s="216">
        <v>12768</v>
      </c>
      <c r="B2279" s="222" t="s">
        <v>19961</v>
      </c>
      <c r="C2279" s="216" t="s">
        <v>17678</v>
      </c>
      <c r="D2279" s="443">
        <v>1129.04</v>
      </c>
    </row>
    <row r="2280" spans="1:4" ht="31.5">
      <c r="A2280" s="216">
        <v>12769</v>
      </c>
      <c r="B2280" s="222" t="s">
        <v>19962</v>
      </c>
      <c r="C2280" s="216" t="s">
        <v>17678</v>
      </c>
      <c r="D2280" s="443">
        <v>92.5</v>
      </c>
    </row>
    <row r="2281" spans="1:4" ht="31.5">
      <c r="A2281" s="216">
        <v>12773</v>
      </c>
      <c r="B2281" s="222" t="s">
        <v>19963</v>
      </c>
      <c r="C2281" s="216" t="s">
        <v>17678</v>
      </c>
      <c r="D2281" s="443">
        <v>99.3</v>
      </c>
    </row>
    <row r="2282" spans="1:4" ht="31.5">
      <c r="A2282" s="216">
        <v>12774</v>
      </c>
      <c r="B2282" s="222" t="s">
        <v>19964</v>
      </c>
      <c r="C2282" s="216" t="s">
        <v>17678</v>
      </c>
      <c r="D2282" s="443">
        <v>122.42</v>
      </c>
    </row>
    <row r="2283" spans="1:4" ht="31.5">
      <c r="A2283" s="216">
        <v>12776</v>
      </c>
      <c r="B2283" s="222" t="s">
        <v>19965</v>
      </c>
      <c r="C2283" s="216" t="s">
        <v>17678</v>
      </c>
      <c r="D2283" s="443">
        <v>1822.79</v>
      </c>
    </row>
    <row r="2284" spans="1:4" ht="31.5">
      <c r="A2284" s="216">
        <v>12777</v>
      </c>
      <c r="B2284" s="222" t="s">
        <v>19966</v>
      </c>
      <c r="C2284" s="216" t="s">
        <v>17678</v>
      </c>
      <c r="D2284" s="443">
        <v>2380.5100000000002</v>
      </c>
    </row>
    <row r="2285" spans="1:4">
      <c r="A2285" s="216">
        <v>3391</v>
      </c>
      <c r="B2285" s="222" t="s">
        <v>19967</v>
      </c>
      <c r="C2285" s="216" t="s">
        <v>17678</v>
      </c>
      <c r="D2285" s="443">
        <v>52.62</v>
      </c>
    </row>
    <row r="2286" spans="1:4" ht="31.5">
      <c r="A2286" s="216">
        <v>3389</v>
      </c>
      <c r="B2286" s="222" t="s">
        <v>19968</v>
      </c>
      <c r="C2286" s="216" t="s">
        <v>17678</v>
      </c>
      <c r="D2286" s="443">
        <v>27.3</v>
      </c>
    </row>
    <row r="2287" spans="1:4">
      <c r="A2287" s="216">
        <v>3390</v>
      </c>
      <c r="B2287" s="222" t="s">
        <v>19969</v>
      </c>
      <c r="C2287" s="216" t="s">
        <v>17678</v>
      </c>
      <c r="D2287" s="443">
        <v>30.72</v>
      </c>
    </row>
    <row r="2288" spans="1:4">
      <c r="A2288" s="216">
        <v>12873</v>
      </c>
      <c r="B2288" s="222" t="s">
        <v>19970</v>
      </c>
      <c r="C2288" s="216" t="s">
        <v>17826</v>
      </c>
      <c r="D2288" s="443">
        <v>24.15</v>
      </c>
    </row>
    <row r="2289" spans="1:4">
      <c r="A2289" s="216">
        <v>41076</v>
      </c>
      <c r="B2289" s="222" t="s">
        <v>19971</v>
      </c>
      <c r="C2289" s="216" t="s">
        <v>17828</v>
      </c>
      <c r="D2289" s="443">
        <v>4228.24</v>
      </c>
    </row>
    <row r="2290" spans="1:4">
      <c r="A2290" s="216">
        <v>140</v>
      </c>
      <c r="B2290" s="222" t="s">
        <v>19972</v>
      </c>
      <c r="C2290" s="216" t="s">
        <v>17726</v>
      </c>
      <c r="D2290" s="443">
        <v>18.38</v>
      </c>
    </row>
    <row r="2291" spans="1:4" ht="31.5">
      <c r="A2291" s="216">
        <v>151</v>
      </c>
      <c r="B2291" s="222" t="s">
        <v>19973</v>
      </c>
      <c r="C2291" s="216" t="s">
        <v>17728</v>
      </c>
      <c r="D2291" s="443">
        <v>27.12</v>
      </c>
    </row>
    <row r="2292" spans="1:4">
      <c r="A2292" s="216">
        <v>7340</v>
      </c>
      <c r="B2292" s="222" t="s">
        <v>19974</v>
      </c>
      <c r="C2292" s="216" t="s">
        <v>17728</v>
      </c>
      <c r="D2292" s="443">
        <v>30.48</v>
      </c>
    </row>
    <row r="2293" spans="1:4">
      <c r="A2293" s="216">
        <v>2701</v>
      </c>
      <c r="B2293" s="222" t="s">
        <v>19975</v>
      </c>
      <c r="C2293" s="216" t="s">
        <v>17826</v>
      </c>
      <c r="D2293" s="443">
        <v>28.03</v>
      </c>
    </row>
    <row r="2294" spans="1:4">
      <c r="A2294" s="216">
        <v>40929</v>
      </c>
      <c r="B2294" s="222" t="s">
        <v>19976</v>
      </c>
      <c r="C2294" s="216" t="s">
        <v>17828</v>
      </c>
      <c r="D2294" s="443">
        <v>4910.25</v>
      </c>
    </row>
    <row r="2295" spans="1:4">
      <c r="A2295" s="216">
        <v>38114</v>
      </c>
      <c r="B2295" s="222" t="s">
        <v>19977</v>
      </c>
      <c r="C2295" s="216" t="s">
        <v>17678</v>
      </c>
      <c r="D2295" s="443">
        <v>20.75</v>
      </c>
    </row>
    <row r="2296" spans="1:4">
      <c r="A2296" s="216">
        <v>38064</v>
      </c>
      <c r="B2296" s="222" t="s">
        <v>19978</v>
      </c>
      <c r="C2296" s="216" t="s">
        <v>17678</v>
      </c>
      <c r="D2296" s="443">
        <v>23.2</v>
      </c>
    </row>
    <row r="2297" spans="1:4">
      <c r="A2297" s="216">
        <v>38115</v>
      </c>
      <c r="B2297" s="222" t="s">
        <v>19979</v>
      </c>
      <c r="C2297" s="216" t="s">
        <v>17678</v>
      </c>
      <c r="D2297" s="443">
        <v>22.16</v>
      </c>
    </row>
    <row r="2298" spans="1:4" ht="31.5">
      <c r="A2298" s="216">
        <v>38065</v>
      </c>
      <c r="B2298" s="222" t="s">
        <v>19980</v>
      </c>
      <c r="C2298" s="216" t="s">
        <v>17678</v>
      </c>
      <c r="D2298" s="443">
        <v>32.92</v>
      </c>
    </row>
    <row r="2299" spans="1:4" ht="31.5">
      <c r="A2299" s="216">
        <v>38078</v>
      </c>
      <c r="B2299" s="222" t="s">
        <v>19981</v>
      </c>
      <c r="C2299" s="216" t="s">
        <v>17678</v>
      </c>
      <c r="D2299" s="443">
        <v>19.2</v>
      </c>
    </row>
    <row r="2300" spans="1:4">
      <c r="A2300" s="216">
        <v>38113</v>
      </c>
      <c r="B2300" s="222" t="s">
        <v>19982</v>
      </c>
      <c r="C2300" s="216" t="s">
        <v>17678</v>
      </c>
      <c r="D2300" s="443">
        <v>10.43</v>
      </c>
    </row>
    <row r="2301" spans="1:4">
      <c r="A2301" s="216">
        <v>38063</v>
      </c>
      <c r="B2301" s="222" t="s">
        <v>19983</v>
      </c>
      <c r="C2301" s="216" t="s">
        <v>17678</v>
      </c>
      <c r="D2301" s="443">
        <v>11.19</v>
      </c>
    </row>
    <row r="2302" spans="1:4" ht="31.5">
      <c r="A2302" s="216">
        <v>38080</v>
      </c>
      <c r="B2302" s="222" t="s">
        <v>19984</v>
      </c>
      <c r="C2302" s="216" t="s">
        <v>17678</v>
      </c>
      <c r="D2302" s="443">
        <v>33.35</v>
      </c>
    </row>
    <row r="2303" spans="1:4" ht="31.5">
      <c r="A2303" s="216">
        <v>38069</v>
      </c>
      <c r="B2303" s="222" t="s">
        <v>19985</v>
      </c>
      <c r="C2303" s="216" t="s">
        <v>17678</v>
      </c>
      <c r="D2303" s="443">
        <v>18.239999999999998</v>
      </c>
    </row>
    <row r="2304" spans="1:4" ht="31.5">
      <c r="A2304" s="216">
        <v>38077</v>
      </c>
      <c r="B2304" s="222" t="s">
        <v>19986</v>
      </c>
      <c r="C2304" s="216" t="s">
        <v>17678</v>
      </c>
      <c r="D2304" s="443">
        <v>17.82</v>
      </c>
    </row>
    <row r="2305" spans="1:4" ht="31.5">
      <c r="A2305" s="216">
        <v>38073</v>
      </c>
      <c r="B2305" s="222" t="s">
        <v>19987</v>
      </c>
      <c r="C2305" s="216" t="s">
        <v>17678</v>
      </c>
      <c r="D2305" s="443">
        <v>27.16</v>
      </c>
    </row>
    <row r="2306" spans="1:4">
      <c r="A2306" s="216">
        <v>38112</v>
      </c>
      <c r="B2306" s="222" t="s">
        <v>19988</v>
      </c>
      <c r="C2306" s="216" t="s">
        <v>17678</v>
      </c>
      <c r="D2306" s="443">
        <v>8.01</v>
      </c>
    </row>
    <row r="2307" spans="1:4">
      <c r="A2307" s="216">
        <v>38062</v>
      </c>
      <c r="B2307" s="222" t="s">
        <v>19989</v>
      </c>
      <c r="C2307" s="216" t="s">
        <v>17678</v>
      </c>
      <c r="D2307" s="443">
        <v>8.2200000000000006</v>
      </c>
    </row>
    <row r="2308" spans="1:4">
      <c r="A2308" s="216">
        <v>12128</v>
      </c>
      <c r="B2308" s="222" t="s">
        <v>19990</v>
      </c>
      <c r="C2308" s="216" t="s">
        <v>17678</v>
      </c>
      <c r="D2308" s="443">
        <v>10.99</v>
      </c>
    </row>
    <row r="2309" spans="1:4">
      <c r="A2309" s="216">
        <v>12129</v>
      </c>
      <c r="B2309" s="222" t="s">
        <v>19991</v>
      </c>
      <c r="C2309" s="216" t="s">
        <v>17678</v>
      </c>
      <c r="D2309" s="443">
        <v>14.52</v>
      </c>
    </row>
    <row r="2310" spans="1:4" ht="31.5">
      <c r="A2310" s="216">
        <v>38081</v>
      </c>
      <c r="B2310" s="222" t="s">
        <v>19992</v>
      </c>
      <c r="C2310" s="216" t="s">
        <v>17678</v>
      </c>
      <c r="D2310" s="443">
        <v>28.29</v>
      </c>
    </row>
    <row r="2311" spans="1:4" ht="31.5">
      <c r="A2311" s="216">
        <v>38070</v>
      </c>
      <c r="B2311" s="222" t="s">
        <v>19993</v>
      </c>
      <c r="C2311" s="216" t="s">
        <v>17678</v>
      </c>
      <c r="D2311" s="443">
        <v>19.489999999999998</v>
      </c>
    </row>
    <row r="2312" spans="1:4" ht="31.5">
      <c r="A2312" s="216">
        <v>38074</v>
      </c>
      <c r="B2312" s="222" t="s">
        <v>19994</v>
      </c>
      <c r="C2312" s="216" t="s">
        <v>17678</v>
      </c>
      <c r="D2312" s="443">
        <v>29.64</v>
      </c>
    </row>
    <row r="2313" spans="1:4" ht="31.5">
      <c r="A2313" s="216">
        <v>38079</v>
      </c>
      <c r="B2313" s="222" t="s">
        <v>19995</v>
      </c>
      <c r="C2313" s="216" t="s">
        <v>17678</v>
      </c>
      <c r="D2313" s="443">
        <v>25.44</v>
      </c>
    </row>
    <row r="2314" spans="1:4" ht="31.5">
      <c r="A2314" s="216">
        <v>38072</v>
      </c>
      <c r="B2314" s="222" t="s">
        <v>19996</v>
      </c>
      <c r="C2314" s="216" t="s">
        <v>17678</v>
      </c>
      <c r="D2314" s="443">
        <v>24.45</v>
      </c>
    </row>
    <row r="2315" spans="1:4" ht="31.5">
      <c r="A2315" s="216">
        <v>38068</v>
      </c>
      <c r="B2315" s="222" t="s">
        <v>19997</v>
      </c>
      <c r="C2315" s="216" t="s">
        <v>17678</v>
      </c>
      <c r="D2315" s="443">
        <v>16.88</v>
      </c>
    </row>
    <row r="2316" spans="1:4" ht="31.5">
      <c r="A2316" s="216">
        <v>38071</v>
      </c>
      <c r="B2316" s="222" t="s">
        <v>19998</v>
      </c>
      <c r="C2316" s="216" t="s">
        <v>17678</v>
      </c>
      <c r="D2316" s="443">
        <v>20.18</v>
      </c>
    </row>
    <row r="2317" spans="1:4" ht="31.5">
      <c r="A2317" s="216">
        <v>38412</v>
      </c>
      <c r="B2317" s="222" t="s">
        <v>19999</v>
      </c>
      <c r="C2317" s="216" t="s">
        <v>17678</v>
      </c>
      <c r="D2317" s="443">
        <v>1011.7</v>
      </c>
    </row>
    <row r="2318" spans="1:4">
      <c r="A2318" s="216">
        <v>3405</v>
      </c>
      <c r="B2318" s="222" t="s">
        <v>20000</v>
      </c>
      <c r="C2318" s="216" t="s">
        <v>17678</v>
      </c>
      <c r="D2318" s="443">
        <v>85.36</v>
      </c>
    </row>
    <row r="2319" spans="1:4">
      <c r="A2319" s="216">
        <v>3394</v>
      </c>
      <c r="B2319" s="222" t="s">
        <v>20001</v>
      </c>
      <c r="C2319" s="216" t="s">
        <v>17678</v>
      </c>
      <c r="D2319" s="443">
        <v>450.62</v>
      </c>
    </row>
    <row r="2320" spans="1:4">
      <c r="A2320" s="216">
        <v>3393</v>
      </c>
      <c r="B2320" s="222" t="s">
        <v>20002</v>
      </c>
      <c r="C2320" s="216" t="s">
        <v>17678</v>
      </c>
      <c r="D2320" s="443">
        <v>767.23</v>
      </c>
    </row>
    <row r="2321" spans="1:4">
      <c r="A2321" s="216">
        <v>3406</v>
      </c>
      <c r="B2321" s="222" t="s">
        <v>20003</v>
      </c>
      <c r="C2321" s="216" t="s">
        <v>17678</v>
      </c>
      <c r="D2321" s="443">
        <v>26.13</v>
      </c>
    </row>
    <row r="2322" spans="1:4">
      <c r="A2322" s="216">
        <v>3395</v>
      </c>
      <c r="B2322" s="222" t="s">
        <v>20004</v>
      </c>
      <c r="C2322" s="216" t="s">
        <v>17678</v>
      </c>
      <c r="D2322" s="443">
        <v>110.23</v>
      </c>
    </row>
    <row r="2323" spans="1:4">
      <c r="A2323" s="216">
        <v>3398</v>
      </c>
      <c r="B2323" s="222" t="s">
        <v>20005</v>
      </c>
      <c r="C2323" s="216" t="s">
        <v>17678</v>
      </c>
      <c r="D2323" s="443">
        <v>5.24</v>
      </c>
    </row>
    <row r="2324" spans="1:4" ht="47.25">
      <c r="A2324" s="216">
        <v>40662</v>
      </c>
      <c r="B2324" s="222" t="s">
        <v>20006</v>
      </c>
      <c r="C2324" s="216" t="s">
        <v>17678</v>
      </c>
      <c r="D2324" s="443">
        <v>176.58</v>
      </c>
    </row>
    <row r="2325" spans="1:4" ht="47.25">
      <c r="A2325" s="216">
        <v>3437</v>
      </c>
      <c r="B2325" s="222" t="s">
        <v>20007</v>
      </c>
      <c r="C2325" s="216" t="s">
        <v>18087</v>
      </c>
      <c r="D2325" s="443">
        <v>490.51</v>
      </c>
    </row>
    <row r="2326" spans="1:4">
      <c r="A2326" s="216">
        <v>11190</v>
      </c>
      <c r="B2326" s="222" t="s">
        <v>20008</v>
      </c>
      <c r="C2326" s="216" t="s">
        <v>17678</v>
      </c>
      <c r="D2326" s="443">
        <v>229</v>
      </c>
    </row>
    <row r="2327" spans="1:4" ht="31.5">
      <c r="A2327" s="216">
        <v>34377</v>
      </c>
      <c r="B2327" s="222" t="s">
        <v>20009</v>
      </c>
      <c r="C2327" s="216" t="s">
        <v>17678</v>
      </c>
      <c r="D2327" s="443">
        <v>369.52</v>
      </c>
    </row>
    <row r="2328" spans="1:4" ht="47.25">
      <c r="A2328" s="216">
        <v>3428</v>
      </c>
      <c r="B2328" s="222" t="s">
        <v>20010</v>
      </c>
      <c r="C2328" s="216" t="s">
        <v>18087</v>
      </c>
      <c r="D2328" s="443">
        <v>727.59</v>
      </c>
    </row>
    <row r="2329" spans="1:4" ht="47.25">
      <c r="A2329" s="216">
        <v>3429</v>
      </c>
      <c r="B2329" s="222" t="s">
        <v>20011</v>
      </c>
      <c r="C2329" s="216" t="s">
        <v>18087</v>
      </c>
      <c r="D2329" s="443">
        <v>415.7</v>
      </c>
    </row>
    <row r="2330" spans="1:4" ht="31.5">
      <c r="A2330" s="216">
        <v>11199</v>
      </c>
      <c r="B2330" s="222" t="s">
        <v>20012</v>
      </c>
      <c r="C2330" s="216" t="s">
        <v>17678</v>
      </c>
      <c r="D2330" s="443">
        <v>1264.72</v>
      </c>
    </row>
    <row r="2331" spans="1:4" ht="31.5">
      <c r="A2331" s="216">
        <v>34369</v>
      </c>
      <c r="B2331" s="222" t="s">
        <v>20013</v>
      </c>
      <c r="C2331" s="216" t="s">
        <v>17678</v>
      </c>
      <c r="D2331" s="443">
        <v>1285.23</v>
      </c>
    </row>
    <row r="2332" spans="1:4" ht="31.5">
      <c r="A2332" s="216">
        <v>36896</v>
      </c>
      <c r="B2332" s="222" t="s">
        <v>20014</v>
      </c>
      <c r="C2332" s="216" t="s">
        <v>17678</v>
      </c>
      <c r="D2332" s="443">
        <v>715.68</v>
      </c>
    </row>
    <row r="2333" spans="1:4" ht="31.5">
      <c r="A2333" s="216">
        <v>34367</v>
      </c>
      <c r="B2333" s="222" t="s">
        <v>20015</v>
      </c>
      <c r="C2333" s="216" t="s">
        <v>17678</v>
      </c>
      <c r="D2333" s="443">
        <v>922.4</v>
      </c>
    </row>
    <row r="2334" spans="1:4" ht="31.5">
      <c r="A2334" s="216">
        <v>36897</v>
      </c>
      <c r="B2334" s="222" t="s">
        <v>20016</v>
      </c>
      <c r="C2334" s="216" t="s">
        <v>17678</v>
      </c>
      <c r="D2334" s="443">
        <v>1116.8</v>
      </c>
    </row>
    <row r="2335" spans="1:4" ht="31.5">
      <c r="A2335" s="216">
        <v>34364</v>
      </c>
      <c r="B2335" s="222" t="s">
        <v>20017</v>
      </c>
      <c r="C2335" s="216" t="s">
        <v>17678</v>
      </c>
      <c r="D2335" s="443">
        <v>1212.47</v>
      </c>
    </row>
    <row r="2336" spans="1:4" ht="63">
      <c r="A2336" s="216">
        <v>40659</v>
      </c>
      <c r="B2336" s="222" t="s">
        <v>20018</v>
      </c>
      <c r="C2336" s="216" t="s">
        <v>18087</v>
      </c>
      <c r="D2336" s="443">
        <v>694</v>
      </c>
    </row>
    <row r="2337" spans="1:4" ht="47.25">
      <c r="A2337" s="216">
        <v>40660</v>
      </c>
      <c r="B2337" s="222" t="s">
        <v>20019</v>
      </c>
      <c r="C2337" s="216" t="s">
        <v>18087</v>
      </c>
      <c r="D2337" s="443">
        <v>879.56</v>
      </c>
    </row>
    <row r="2338" spans="1:4" ht="47.25">
      <c r="A2338" s="216">
        <v>40661</v>
      </c>
      <c r="B2338" s="222" t="s">
        <v>20020</v>
      </c>
      <c r="C2338" s="216" t="s">
        <v>18087</v>
      </c>
      <c r="D2338" s="443">
        <v>540.78</v>
      </c>
    </row>
    <row r="2339" spans="1:4" ht="47.25">
      <c r="A2339" s="216">
        <v>3421</v>
      </c>
      <c r="B2339" s="222" t="s">
        <v>20021</v>
      </c>
      <c r="C2339" s="216" t="s">
        <v>18087</v>
      </c>
      <c r="D2339" s="443">
        <v>544.91999999999996</v>
      </c>
    </row>
    <row r="2340" spans="1:4" ht="31.5">
      <c r="A2340" s="216">
        <v>599</v>
      </c>
      <c r="B2340" s="222" t="s">
        <v>20022</v>
      </c>
      <c r="C2340" s="216" t="s">
        <v>18087</v>
      </c>
      <c r="D2340" s="443">
        <v>1305.25</v>
      </c>
    </row>
    <row r="2341" spans="1:4" ht="47.25">
      <c r="A2341" s="216">
        <v>44053</v>
      </c>
      <c r="B2341" s="222" t="s">
        <v>20023</v>
      </c>
      <c r="C2341" s="216" t="s">
        <v>17678</v>
      </c>
      <c r="D2341" s="443">
        <v>2897.04</v>
      </c>
    </row>
    <row r="2342" spans="1:4" ht="47.25">
      <c r="A2342" s="216">
        <v>3423</v>
      </c>
      <c r="B2342" s="222" t="s">
        <v>20024</v>
      </c>
      <c r="C2342" s="216" t="s">
        <v>18087</v>
      </c>
      <c r="D2342" s="443">
        <v>768.46</v>
      </c>
    </row>
    <row r="2343" spans="1:4" ht="31.5">
      <c r="A2343" s="216">
        <v>34381</v>
      </c>
      <c r="B2343" s="222" t="s">
        <v>20025</v>
      </c>
      <c r="C2343" s="216" t="s">
        <v>17678</v>
      </c>
      <c r="D2343" s="443">
        <v>527.03</v>
      </c>
    </row>
    <row r="2344" spans="1:4" ht="31.5">
      <c r="A2344" s="216">
        <v>34797</v>
      </c>
      <c r="B2344" s="222" t="s">
        <v>20026</v>
      </c>
      <c r="C2344" s="216" t="s">
        <v>17678</v>
      </c>
      <c r="D2344" s="443">
        <v>498.8</v>
      </c>
    </row>
    <row r="2345" spans="1:4" ht="47.25">
      <c r="A2345" s="216">
        <v>44054</v>
      </c>
      <c r="B2345" s="222" t="s">
        <v>20027</v>
      </c>
      <c r="C2345" s="216" t="s">
        <v>17678</v>
      </c>
      <c r="D2345" s="443">
        <v>1039.28</v>
      </c>
    </row>
    <row r="2346" spans="1:4" ht="47.25">
      <c r="A2346" s="216">
        <v>44399</v>
      </c>
      <c r="B2346" s="222" t="s">
        <v>20028</v>
      </c>
      <c r="C2346" s="216" t="s">
        <v>17678</v>
      </c>
      <c r="D2346" s="443">
        <v>1419.99</v>
      </c>
    </row>
    <row r="2347" spans="1:4">
      <c r="A2347" s="216">
        <v>44503</v>
      </c>
      <c r="B2347" s="222" t="s">
        <v>20029</v>
      </c>
      <c r="C2347" s="216" t="s">
        <v>17826</v>
      </c>
      <c r="D2347" s="443">
        <v>18.2</v>
      </c>
    </row>
    <row r="2348" spans="1:4">
      <c r="A2348" s="216">
        <v>41077</v>
      </c>
      <c r="B2348" s="222" t="s">
        <v>20030</v>
      </c>
      <c r="C2348" s="216" t="s">
        <v>17828</v>
      </c>
      <c r="D2348" s="443">
        <v>3188.96</v>
      </c>
    </row>
    <row r="2349" spans="1:4">
      <c r="A2349" s="216">
        <v>37963</v>
      </c>
      <c r="B2349" s="222" t="s">
        <v>20031</v>
      </c>
      <c r="C2349" s="216" t="s">
        <v>17678</v>
      </c>
      <c r="D2349" s="443">
        <v>4.47</v>
      </c>
    </row>
    <row r="2350" spans="1:4">
      <c r="A2350" s="216">
        <v>37964</v>
      </c>
      <c r="B2350" s="222" t="s">
        <v>20032</v>
      </c>
      <c r="C2350" s="216" t="s">
        <v>17678</v>
      </c>
      <c r="D2350" s="443">
        <v>5.97</v>
      </c>
    </row>
    <row r="2351" spans="1:4">
      <c r="A2351" s="216">
        <v>37965</v>
      </c>
      <c r="B2351" s="222" t="s">
        <v>20033</v>
      </c>
      <c r="C2351" s="216" t="s">
        <v>17678</v>
      </c>
      <c r="D2351" s="443">
        <v>8.6199999999999992</v>
      </c>
    </row>
    <row r="2352" spans="1:4">
      <c r="A2352" s="216">
        <v>37966</v>
      </c>
      <c r="B2352" s="222" t="s">
        <v>20034</v>
      </c>
      <c r="C2352" s="216" t="s">
        <v>17678</v>
      </c>
      <c r="D2352" s="443">
        <v>15.13</v>
      </c>
    </row>
    <row r="2353" spans="1:4">
      <c r="A2353" s="216">
        <v>37967</v>
      </c>
      <c r="B2353" s="222" t="s">
        <v>20035</v>
      </c>
      <c r="C2353" s="216" t="s">
        <v>17678</v>
      </c>
      <c r="D2353" s="443">
        <v>25.42</v>
      </c>
    </row>
    <row r="2354" spans="1:4">
      <c r="A2354" s="216">
        <v>37968</v>
      </c>
      <c r="B2354" s="222" t="s">
        <v>20036</v>
      </c>
      <c r="C2354" s="216" t="s">
        <v>17678</v>
      </c>
      <c r="D2354" s="443">
        <v>53.98</v>
      </c>
    </row>
    <row r="2355" spans="1:4">
      <c r="A2355" s="216">
        <v>37969</v>
      </c>
      <c r="B2355" s="222" t="s">
        <v>20037</v>
      </c>
      <c r="C2355" s="216" t="s">
        <v>17678</v>
      </c>
      <c r="D2355" s="443">
        <v>136.4</v>
      </c>
    </row>
    <row r="2356" spans="1:4">
      <c r="A2356" s="216">
        <v>37970</v>
      </c>
      <c r="B2356" s="222" t="s">
        <v>20038</v>
      </c>
      <c r="C2356" s="216" t="s">
        <v>17678</v>
      </c>
      <c r="D2356" s="443">
        <v>197.34</v>
      </c>
    </row>
    <row r="2357" spans="1:4">
      <c r="A2357" s="216">
        <v>44251</v>
      </c>
      <c r="B2357" s="222" t="s">
        <v>20039</v>
      </c>
      <c r="C2357" s="216" t="s">
        <v>17678</v>
      </c>
      <c r="D2357" s="443">
        <v>227.94</v>
      </c>
    </row>
    <row r="2358" spans="1:4">
      <c r="A2358" s="216">
        <v>21118</v>
      </c>
      <c r="B2358" s="222" t="s">
        <v>20040</v>
      </c>
      <c r="C2358" s="216" t="s">
        <v>17678</v>
      </c>
      <c r="D2358" s="443">
        <v>3.55</v>
      </c>
    </row>
    <row r="2359" spans="1:4">
      <c r="A2359" s="216">
        <v>37956</v>
      </c>
      <c r="B2359" s="222" t="s">
        <v>20041</v>
      </c>
      <c r="C2359" s="216" t="s">
        <v>17678</v>
      </c>
      <c r="D2359" s="443">
        <v>4.3600000000000003</v>
      </c>
    </row>
    <row r="2360" spans="1:4">
      <c r="A2360" s="216">
        <v>37957</v>
      </c>
      <c r="B2360" s="222" t="s">
        <v>20042</v>
      </c>
      <c r="C2360" s="216" t="s">
        <v>17678</v>
      </c>
      <c r="D2360" s="443">
        <v>9.2799999999999994</v>
      </c>
    </row>
    <row r="2361" spans="1:4">
      <c r="A2361" s="216">
        <v>37958</v>
      </c>
      <c r="B2361" s="222" t="s">
        <v>20043</v>
      </c>
      <c r="C2361" s="216" t="s">
        <v>17678</v>
      </c>
      <c r="D2361" s="443">
        <v>16.78</v>
      </c>
    </row>
    <row r="2362" spans="1:4">
      <c r="A2362" s="216">
        <v>37959</v>
      </c>
      <c r="B2362" s="222" t="s">
        <v>20044</v>
      </c>
      <c r="C2362" s="216" t="s">
        <v>17678</v>
      </c>
      <c r="D2362" s="443">
        <v>25.83</v>
      </c>
    </row>
    <row r="2363" spans="1:4">
      <c r="A2363" s="216">
        <v>37960</v>
      </c>
      <c r="B2363" s="222" t="s">
        <v>20045</v>
      </c>
      <c r="C2363" s="216" t="s">
        <v>17678</v>
      </c>
      <c r="D2363" s="443">
        <v>66</v>
      </c>
    </row>
    <row r="2364" spans="1:4">
      <c r="A2364" s="216">
        <v>37961</v>
      </c>
      <c r="B2364" s="222" t="s">
        <v>20046</v>
      </c>
      <c r="C2364" s="216" t="s">
        <v>17678</v>
      </c>
      <c r="D2364" s="443">
        <v>141.84</v>
      </c>
    </row>
    <row r="2365" spans="1:4">
      <c r="A2365" s="216">
        <v>37962</v>
      </c>
      <c r="B2365" s="222" t="s">
        <v>20047</v>
      </c>
      <c r="C2365" s="216" t="s">
        <v>17678</v>
      </c>
      <c r="D2365" s="443">
        <v>163.52000000000001</v>
      </c>
    </row>
    <row r="2366" spans="1:4">
      <c r="A2366" s="216">
        <v>3533</v>
      </c>
      <c r="B2366" s="222" t="s">
        <v>20048</v>
      </c>
      <c r="C2366" s="216" t="s">
        <v>17678</v>
      </c>
      <c r="D2366" s="443">
        <v>3.18</v>
      </c>
    </row>
    <row r="2367" spans="1:4">
      <c r="A2367" s="216">
        <v>3538</v>
      </c>
      <c r="B2367" s="222" t="s">
        <v>20049</v>
      </c>
      <c r="C2367" s="216" t="s">
        <v>17678</v>
      </c>
      <c r="D2367" s="443">
        <v>6.02</v>
      </c>
    </row>
    <row r="2368" spans="1:4">
      <c r="A2368" s="216">
        <v>3498</v>
      </c>
      <c r="B2368" s="222" t="s">
        <v>20050</v>
      </c>
      <c r="C2368" s="216" t="s">
        <v>17678</v>
      </c>
      <c r="D2368" s="443">
        <v>5.84</v>
      </c>
    </row>
    <row r="2369" spans="1:4">
      <c r="A2369" s="216">
        <v>3496</v>
      </c>
      <c r="B2369" s="222" t="s">
        <v>20051</v>
      </c>
      <c r="C2369" s="216" t="s">
        <v>17678</v>
      </c>
      <c r="D2369" s="443">
        <v>3.91</v>
      </c>
    </row>
    <row r="2370" spans="1:4">
      <c r="A2370" s="216">
        <v>38429</v>
      </c>
      <c r="B2370" s="222" t="s">
        <v>20052</v>
      </c>
      <c r="C2370" s="216" t="s">
        <v>17678</v>
      </c>
      <c r="D2370" s="443">
        <v>12.08</v>
      </c>
    </row>
    <row r="2371" spans="1:4">
      <c r="A2371" s="216">
        <v>38431</v>
      </c>
      <c r="B2371" s="222" t="s">
        <v>20053</v>
      </c>
      <c r="C2371" s="216" t="s">
        <v>17678</v>
      </c>
      <c r="D2371" s="443">
        <v>15.15</v>
      </c>
    </row>
    <row r="2372" spans="1:4">
      <c r="A2372" s="216">
        <v>38430</v>
      </c>
      <c r="B2372" s="222" t="s">
        <v>20054</v>
      </c>
      <c r="C2372" s="216" t="s">
        <v>17678</v>
      </c>
      <c r="D2372" s="443">
        <v>23.49</v>
      </c>
    </row>
    <row r="2373" spans="1:4">
      <c r="A2373" s="216">
        <v>36348</v>
      </c>
      <c r="B2373" s="222" t="s">
        <v>20055</v>
      </c>
      <c r="C2373" s="216" t="s">
        <v>17678</v>
      </c>
      <c r="D2373" s="443">
        <v>2.2200000000000002</v>
      </c>
    </row>
    <row r="2374" spans="1:4">
      <c r="A2374" s="216">
        <v>36349</v>
      </c>
      <c r="B2374" s="222" t="s">
        <v>20056</v>
      </c>
      <c r="C2374" s="216" t="s">
        <v>17678</v>
      </c>
      <c r="D2374" s="443">
        <v>3.07</v>
      </c>
    </row>
    <row r="2375" spans="1:4">
      <c r="A2375" s="216">
        <v>38987</v>
      </c>
      <c r="B2375" s="222" t="s">
        <v>20057</v>
      </c>
      <c r="C2375" s="216" t="s">
        <v>17678</v>
      </c>
      <c r="D2375" s="443">
        <v>14.74</v>
      </c>
    </row>
    <row r="2376" spans="1:4">
      <c r="A2376" s="216">
        <v>38988</v>
      </c>
      <c r="B2376" s="222" t="s">
        <v>20058</v>
      </c>
      <c r="C2376" s="216" t="s">
        <v>17678</v>
      </c>
      <c r="D2376" s="443">
        <v>24.01</v>
      </c>
    </row>
    <row r="2377" spans="1:4">
      <c r="A2377" s="216">
        <v>38989</v>
      </c>
      <c r="B2377" s="222" t="s">
        <v>20059</v>
      </c>
      <c r="C2377" s="216" t="s">
        <v>17678</v>
      </c>
      <c r="D2377" s="443">
        <v>40.409999999999997</v>
      </c>
    </row>
    <row r="2378" spans="1:4">
      <c r="A2378" s="216">
        <v>38990</v>
      </c>
      <c r="B2378" s="222" t="s">
        <v>20060</v>
      </c>
      <c r="C2378" s="216" t="s">
        <v>17678</v>
      </c>
      <c r="D2378" s="443">
        <v>80.739999999999995</v>
      </c>
    </row>
    <row r="2379" spans="1:4">
      <c r="A2379" s="216">
        <v>38991</v>
      </c>
      <c r="B2379" s="222" t="s">
        <v>20061</v>
      </c>
      <c r="C2379" s="216" t="s">
        <v>17678</v>
      </c>
      <c r="D2379" s="443">
        <v>145.30000000000001</v>
      </c>
    </row>
    <row r="2380" spans="1:4">
      <c r="A2380" s="216">
        <v>38433</v>
      </c>
      <c r="B2380" s="222" t="s">
        <v>20062</v>
      </c>
      <c r="C2380" s="216" t="s">
        <v>17678</v>
      </c>
      <c r="D2380" s="443">
        <v>7.51</v>
      </c>
    </row>
    <row r="2381" spans="1:4">
      <c r="A2381" s="216">
        <v>38440</v>
      </c>
      <c r="B2381" s="222" t="s">
        <v>20063</v>
      </c>
      <c r="C2381" s="216" t="s">
        <v>17678</v>
      </c>
      <c r="D2381" s="443">
        <v>316.64999999999998</v>
      </c>
    </row>
    <row r="2382" spans="1:4">
      <c r="A2382" s="216">
        <v>36359</v>
      </c>
      <c r="B2382" s="222" t="s">
        <v>20064</v>
      </c>
      <c r="C2382" s="216" t="s">
        <v>17678</v>
      </c>
      <c r="D2382" s="443">
        <v>1.97</v>
      </c>
    </row>
    <row r="2383" spans="1:4">
      <c r="A2383" s="216">
        <v>36360</v>
      </c>
      <c r="B2383" s="222" t="s">
        <v>20065</v>
      </c>
      <c r="C2383" s="216" t="s">
        <v>17678</v>
      </c>
      <c r="D2383" s="443">
        <v>2.65</v>
      </c>
    </row>
    <row r="2384" spans="1:4">
      <c r="A2384" s="216">
        <v>38434</v>
      </c>
      <c r="B2384" s="222" t="s">
        <v>20066</v>
      </c>
      <c r="C2384" s="216" t="s">
        <v>17678</v>
      </c>
      <c r="D2384" s="443">
        <v>4.05</v>
      </c>
    </row>
    <row r="2385" spans="1:4">
      <c r="A2385" s="216">
        <v>38435</v>
      </c>
      <c r="B2385" s="222" t="s">
        <v>20067</v>
      </c>
      <c r="C2385" s="216" t="s">
        <v>17678</v>
      </c>
      <c r="D2385" s="443">
        <v>9.11</v>
      </c>
    </row>
    <row r="2386" spans="1:4">
      <c r="A2386" s="216">
        <v>38436</v>
      </c>
      <c r="B2386" s="222" t="s">
        <v>20068</v>
      </c>
      <c r="C2386" s="216" t="s">
        <v>17678</v>
      </c>
      <c r="D2386" s="443">
        <v>15.1</v>
      </c>
    </row>
    <row r="2387" spans="1:4">
      <c r="A2387" s="216">
        <v>38437</v>
      </c>
      <c r="B2387" s="222" t="s">
        <v>20069</v>
      </c>
      <c r="C2387" s="216" t="s">
        <v>17678</v>
      </c>
      <c r="D2387" s="443">
        <v>24.49</v>
      </c>
    </row>
    <row r="2388" spans="1:4">
      <c r="A2388" s="216">
        <v>38438</v>
      </c>
      <c r="B2388" s="222" t="s">
        <v>20070</v>
      </c>
      <c r="C2388" s="216" t="s">
        <v>17678</v>
      </c>
      <c r="D2388" s="443">
        <v>71.040000000000006</v>
      </c>
    </row>
    <row r="2389" spans="1:4">
      <c r="A2389" s="216">
        <v>38439</v>
      </c>
      <c r="B2389" s="222" t="s">
        <v>20071</v>
      </c>
      <c r="C2389" s="216" t="s">
        <v>17678</v>
      </c>
      <c r="D2389" s="443">
        <v>90.27</v>
      </c>
    </row>
    <row r="2390" spans="1:4">
      <c r="A2390" s="216">
        <v>10836</v>
      </c>
      <c r="B2390" s="222" t="s">
        <v>20072</v>
      </c>
      <c r="C2390" s="216" t="s">
        <v>17678</v>
      </c>
      <c r="D2390" s="443">
        <v>20.72</v>
      </c>
    </row>
    <row r="2391" spans="1:4">
      <c r="A2391" s="216">
        <v>10835</v>
      </c>
      <c r="B2391" s="222" t="s">
        <v>20073</v>
      </c>
      <c r="C2391" s="216" t="s">
        <v>17678</v>
      </c>
      <c r="D2391" s="443">
        <v>5.78</v>
      </c>
    </row>
    <row r="2392" spans="1:4">
      <c r="A2392" s="216">
        <v>3475</v>
      </c>
      <c r="B2392" s="222" t="s">
        <v>20074</v>
      </c>
      <c r="C2392" s="216" t="s">
        <v>17678</v>
      </c>
      <c r="D2392" s="443">
        <v>5.58</v>
      </c>
    </row>
    <row r="2393" spans="1:4">
      <c r="A2393" s="216">
        <v>3485</v>
      </c>
      <c r="B2393" s="222" t="s">
        <v>20075</v>
      </c>
      <c r="C2393" s="216" t="s">
        <v>17678</v>
      </c>
      <c r="D2393" s="443">
        <v>15.41</v>
      </c>
    </row>
    <row r="2394" spans="1:4">
      <c r="A2394" s="216">
        <v>3534</v>
      </c>
      <c r="B2394" s="222" t="s">
        <v>20076</v>
      </c>
      <c r="C2394" s="216" t="s">
        <v>17678</v>
      </c>
      <c r="D2394" s="443">
        <v>8.84</v>
      </c>
    </row>
    <row r="2395" spans="1:4">
      <c r="A2395" s="216">
        <v>3543</v>
      </c>
      <c r="B2395" s="222" t="s">
        <v>20077</v>
      </c>
      <c r="C2395" s="216" t="s">
        <v>17678</v>
      </c>
      <c r="D2395" s="443">
        <v>2.0499999999999998</v>
      </c>
    </row>
    <row r="2396" spans="1:4">
      <c r="A2396" s="216">
        <v>3482</v>
      </c>
      <c r="B2396" s="222" t="s">
        <v>20078</v>
      </c>
      <c r="C2396" s="216" t="s">
        <v>17678</v>
      </c>
      <c r="D2396" s="443">
        <v>6.32</v>
      </c>
    </row>
    <row r="2397" spans="1:4">
      <c r="A2397" s="216">
        <v>3505</v>
      </c>
      <c r="B2397" s="222" t="s">
        <v>20079</v>
      </c>
      <c r="C2397" s="216" t="s">
        <v>17678</v>
      </c>
      <c r="D2397" s="443">
        <v>3.05</v>
      </c>
    </row>
    <row r="2398" spans="1:4">
      <c r="A2398" s="216">
        <v>3521</v>
      </c>
      <c r="B2398" s="222" t="s">
        <v>20080</v>
      </c>
      <c r="C2398" s="216" t="s">
        <v>17678</v>
      </c>
      <c r="D2398" s="443">
        <v>2.2999999999999998</v>
      </c>
    </row>
    <row r="2399" spans="1:4">
      <c r="A2399" s="216">
        <v>3531</v>
      </c>
      <c r="B2399" s="222" t="s">
        <v>20081</v>
      </c>
      <c r="C2399" s="216" t="s">
        <v>17678</v>
      </c>
      <c r="D2399" s="443">
        <v>4.38</v>
      </c>
    </row>
    <row r="2400" spans="1:4">
      <c r="A2400" s="216">
        <v>3522</v>
      </c>
      <c r="B2400" s="222" t="s">
        <v>20082</v>
      </c>
      <c r="C2400" s="216" t="s">
        <v>17678</v>
      </c>
      <c r="D2400" s="443">
        <v>2.82</v>
      </c>
    </row>
    <row r="2401" spans="1:4">
      <c r="A2401" s="216">
        <v>3527</v>
      </c>
      <c r="B2401" s="222" t="s">
        <v>20083</v>
      </c>
      <c r="C2401" s="216" t="s">
        <v>17678</v>
      </c>
      <c r="D2401" s="443">
        <v>14.85</v>
      </c>
    </row>
    <row r="2402" spans="1:4">
      <c r="A2402" s="216">
        <v>3516</v>
      </c>
      <c r="B2402" s="222" t="s">
        <v>20084</v>
      </c>
      <c r="C2402" s="216" t="s">
        <v>17678</v>
      </c>
      <c r="D2402" s="443">
        <v>2.39</v>
      </c>
    </row>
    <row r="2403" spans="1:4">
      <c r="A2403" s="216">
        <v>3517</v>
      </c>
      <c r="B2403" s="222" t="s">
        <v>20085</v>
      </c>
      <c r="C2403" s="216" t="s">
        <v>17678</v>
      </c>
      <c r="D2403" s="443">
        <v>2.15</v>
      </c>
    </row>
    <row r="2404" spans="1:4">
      <c r="A2404" s="216">
        <v>3515</v>
      </c>
      <c r="B2404" s="222" t="s">
        <v>20086</v>
      </c>
      <c r="C2404" s="216" t="s">
        <v>17678</v>
      </c>
      <c r="D2404" s="443">
        <v>7.57</v>
      </c>
    </row>
    <row r="2405" spans="1:4">
      <c r="A2405" s="216">
        <v>20147</v>
      </c>
      <c r="B2405" s="222" t="s">
        <v>20087</v>
      </c>
      <c r="C2405" s="216" t="s">
        <v>17678</v>
      </c>
      <c r="D2405" s="443">
        <v>6.23</v>
      </c>
    </row>
    <row r="2406" spans="1:4">
      <c r="A2406" s="216">
        <v>3524</v>
      </c>
      <c r="B2406" s="222" t="s">
        <v>20088</v>
      </c>
      <c r="C2406" s="216" t="s">
        <v>17678</v>
      </c>
      <c r="D2406" s="443">
        <v>9.3699999999999992</v>
      </c>
    </row>
    <row r="2407" spans="1:4">
      <c r="A2407" s="216">
        <v>3532</v>
      </c>
      <c r="B2407" s="222" t="s">
        <v>20089</v>
      </c>
      <c r="C2407" s="216" t="s">
        <v>17678</v>
      </c>
      <c r="D2407" s="443">
        <v>21.66</v>
      </c>
    </row>
    <row r="2408" spans="1:4">
      <c r="A2408" s="216">
        <v>3528</v>
      </c>
      <c r="B2408" s="222" t="s">
        <v>20090</v>
      </c>
      <c r="C2408" s="216" t="s">
        <v>17678</v>
      </c>
      <c r="D2408" s="443">
        <v>9.33</v>
      </c>
    </row>
    <row r="2409" spans="1:4">
      <c r="A2409" s="216">
        <v>37952</v>
      </c>
      <c r="B2409" s="222" t="s">
        <v>20091</v>
      </c>
      <c r="C2409" s="216" t="s">
        <v>17678</v>
      </c>
      <c r="D2409" s="443">
        <v>66.87</v>
      </c>
    </row>
    <row r="2410" spans="1:4">
      <c r="A2410" s="216">
        <v>37951</v>
      </c>
      <c r="B2410" s="222" t="s">
        <v>20092</v>
      </c>
      <c r="C2410" s="216" t="s">
        <v>17678</v>
      </c>
      <c r="D2410" s="443">
        <v>2.5099999999999998</v>
      </c>
    </row>
    <row r="2411" spans="1:4">
      <c r="A2411" s="216">
        <v>3518</v>
      </c>
      <c r="B2411" s="222" t="s">
        <v>20093</v>
      </c>
      <c r="C2411" s="216" t="s">
        <v>17678</v>
      </c>
      <c r="D2411" s="443">
        <v>3.87</v>
      </c>
    </row>
    <row r="2412" spans="1:4">
      <c r="A2412" s="216">
        <v>3519</v>
      </c>
      <c r="B2412" s="222" t="s">
        <v>20094</v>
      </c>
      <c r="C2412" s="216" t="s">
        <v>17678</v>
      </c>
      <c r="D2412" s="443">
        <v>8.09</v>
      </c>
    </row>
    <row r="2413" spans="1:4">
      <c r="A2413" s="216">
        <v>3520</v>
      </c>
      <c r="B2413" s="222" t="s">
        <v>20095</v>
      </c>
      <c r="C2413" s="216" t="s">
        <v>17678</v>
      </c>
      <c r="D2413" s="443">
        <v>8.48</v>
      </c>
    </row>
    <row r="2414" spans="1:4">
      <c r="A2414" s="216">
        <v>37950</v>
      </c>
      <c r="B2414" s="222" t="s">
        <v>20096</v>
      </c>
      <c r="C2414" s="216" t="s">
        <v>17678</v>
      </c>
      <c r="D2414" s="443">
        <v>61.56</v>
      </c>
    </row>
    <row r="2415" spans="1:4">
      <c r="A2415" s="216">
        <v>37949</v>
      </c>
      <c r="B2415" s="222" t="s">
        <v>20097</v>
      </c>
      <c r="C2415" s="216" t="s">
        <v>17678</v>
      </c>
      <c r="D2415" s="443">
        <v>2.27</v>
      </c>
    </row>
    <row r="2416" spans="1:4">
      <c r="A2416" s="216">
        <v>3526</v>
      </c>
      <c r="B2416" s="222" t="s">
        <v>20098</v>
      </c>
      <c r="C2416" s="216" t="s">
        <v>17678</v>
      </c>
      <c r="D2416" s="443">
        <v>3.12</v>
      </c>
    </row>
    <row r="2417" spans="1:4">
      <c r="A2417" s="216">
        <v>3509</v>
      </c>
      <c r="B2417" s="222" t="s">
        <v>20099</v>
      </c>
      <c r="C2417" s="216" t="s">
        <v>17678</v>
      </c>
      <c r="D2417" s="443">
        <v>7.1</v>
      </c>
    </row>
    <row r="2418" spans="1:4">
      <c r="A2418" s="216">
        <v>3530</v>
      </c>
      <c r="B2418" s="222" t="s">
        <v>20100</v>
      </c>
      <c r="C2418" s="216" t="s">
        <v>17678</v>
      </c>
      <c r="D2418" s="443">
        <v>240.53</v>
      </c>
    </row>
    <row r="2419" spans="1:4">
      <c r="A2419" s="216">
        <v>3542</v>
      </c>
      <c r="B2419" s="222" t="s">
        <v>20101</v>
      </c>
      <c r="C2419" s="216" t="s">
        <v>17678</v>
      </c>
      <c r="D2419" s="443">
        <v>0.69</v>
      </c>
    </row>
    <row r="2420" spans="1:4">
      <c r="A2420" s="216">
        <v>3529</v>
      </c>
      <c r="B2420" s="222" t="s">
        <v>20102</v>
      </c>
      <c r="C2420" s="216" t="s">
        <v>17678</v>
      </c>
      <c r="D2420" s="443">
        <v>0.85</v>
      </c>
    </row>
    <row r="2421" spans="1:4">
      <c r="A2421" s="216">
        <v>3536</v>
      </c>
      <c r="B2421" s="222" t="s">
        <v>20103</v>
      </c>
      <c r="C2421" s="216" t="s">
        <v>17678</v>
      </c>
      <c r="D2421" s="443">
        <v>2.82</v>
      </c>
    </row>
    <row r="2422" spans="1:4">
      <c r="A2422" s="216">
        <v>3535</v>
      </c>
      <c r="B2422" s="222" t="s">
        <v>20104</v>
      </c>
      <c r="C2422" s="216" t="s">
        <v>17678</v>
      </c>
      <c r="D2422" s="443">
        <v>6.86</v>
      </c>
    </row>
    <row r="2423" spans="1:4">
      <c r="A2423" s="216">
        <v>3540</v>
      </c>
      <c r="B2423" s="222" t="s">
        <v>20105</v>
      </c>
      <c r="C2423" s="216" t="s">
        <v>17678</v>
      </c>
      <c r="D2423" s="443">
        <v>5.81</v>
      </c>
    </row>
    <row r="2424" spans="1:4">
      <c r="A2424" s="216">
        <v>3539</v>
      </c>
      <c r="B2424" s="222" t="s">
        <v>20106</v>
      </c>
      <c r="C2424" s="216" t="s">
        <v>17678</v>
      </c>
      <c r="D2424" s="443">
        <v>33.659999999999997</v>
      </c>
    </row>
    <row r="2425" spans="1:4">
      <c r="A2425" s="216">
        <v>3513</v>
      </c>
      <c r="B2425" s="222" t="s">
        <v>20107</v>
      </c>
      <c r="C2425" s="216" t="s">
        <v>17678</v>
      </c>
      <c r="D2425" s="443">
        <v>118.71</v>
      </c>
    </row>
    <row r="2426" spans="1:4">
      <c r="A2426" s="216">
        <v>3510</v>
      </c>
      <c r="B2426" s="222" t="s">
        <v>20108</v>
      </c>
      <c r="C2426" s="216" t="s">
        <v>17678</v>
      </c>
      <c r="D2426" s="443">
        <v>14.66</v>
      </c>
    </row>
    <row r="2427" spans="1:4" ht="31.5">
      <c r="A2427" s="216">
        <v>38913</v>
      </c>
      <c r="B2427" s="222" t="s">
        <v>20109</v>
      </c>
      <c r="C2427" s="216" t="s">
        <v>17678</v>
      </c>
      <c r="D2427" s="443">
        <v>8.93</v>
      </c>
    </row>
    <row r="2428" spans="1:4" ht="31.5">
      <c r="A2428" s="216">
        <v>38914</v>
      </c>
      <c r="B2428" s="222" t="s">
        <v>20110</v>
      </c>
      <c r="C2428" s="216" t="s">
        <v>17678</v>
      </c>
      <c r="D2428" s="443">
        <v>10.96</v>
      </c>
    </row>
    <row r="2429" spans="1:4" ht="31.5">
      <c r="A2429" s="216">
        <v>38915</v>
      </c>
      <c r="B2429" s="222" t="s">
        <v>20111</v>
      </c>
      <c r="C2429" s="216" t="s">
        <v>17678</v>
      </c>
      <c r="D2429" s="443">
        <v>21.13</v>
      </c>
    </row>
    <row r="2430" spans="1:4" ht="31.5">
      <c r="A2430" s="216">
        <v>38916</v>
      </c>
      <c r="B2430" s="222" t="s">
        <v>20112</v>
      </c>
      <c r="C2430" s="216" t="s">
        <v>17678</v>
      </c>
      <c r="D2430" s="443">
        <v>29.25</v>
      </c>
    </row>
    <row r="2431" spans="1:4" ht="31.5">
      <c r="A2431" s="216">
        <v>39300</v>
      </c>
      <c r="B2431" s="222" t="s">
        <v>20113</v>
      </c>
      <c r="C2431" s="216" t="s">
        <v>17678</v>
      </c>
      <c r="D2431" s="443">
        <v>7.97</v>
      </c>
    </row>
    <row r="2432" spans="1:4" ht="31.5">
      <c r="A2432" s="216">
        <v>39301</v>
      </c>
      <c r="B2432" s="222" t="s">
        <v>20114</v>
      </c>
      <c r="C2432" s="216" t="s">
        <v>17678</v>
      </c>
      <c r="D2432" s="443">
        <v>10.68</v>
      </c>
    </row>
    <row r="2433" spans="1:4" ht="31.5">
      <c r="A2433" s="216">
        <v>39302</v>
      </c>
      <c r="B2433" s="222" t="s">
        <v>20115</v>
      </c>
      <c r="C2433" s="216" t="s">
        <v>17678</v>
      </c>
      <c r="D2433" s="443">
        <v>19.41</v>
      </c>
    </row>
    <row r="2434" spans="1:4" ht="31.5">
      <c r="A2434" s="216">
        <v>38923</v>
      </c>
      <c r="B2434" s="222" t="s">
        <v>20116</v>
      </c>
      <c r="C2434" s="216" t="s">
        <v>17678</v>
      </c>
      <c r="D2434" s="443">
        <v>9.56</v>
      </c>
    </row>
    <row r="2435" spans="1:4" ht="31.5">
      <c r="A2435" s="216">
        <v>38925</v>
      </c>
      <c r="B2435" s="222" t="s">
        <v>20117</v>
      </c>
      <c r="C2435" s="216" t="s">
        <v>17678</v>
      </c>
      <c r="D2435" s="443">
        <v>11.09</v>
      </c>
    </row>
    <row r="2436" spans="1:4" ht="31.5">
      <c r="A2436" s="216">
        <v>38926</v>
      </c>
      <c r="B2436" s="222" t="s">
        <v>20118</v>
      </c>
      <c r="C2436" s="216" t="s">
        <v>17678</v>
      </c>
      <c r="D2436" s="443">
        <v>13.15</v>
      </c>
    </row>
    <row r="2437" spans="1:4" ht="31.5">
      <c r="A2437" s="216">
        <v>38927</v>
      </c>
      <c r="B2437" s="222" t="s">
        <v>20119</v>
      </c>
      <c r="C2437" s="216" t="s">
        <v>17678</v>
      </c>
      <c r="D2437" s="443">
        <v>16.61</v>
      </c>
    </row>
    <row r="2438" spans="1:4" ht="31.5">
      <c r="A2438" s="216">
        <v>39304</v>
      </c>
      <c r="B2438" s="222" t="s">
        <v>20120</v>
      </c>
      <c r="C2438" s="216" t="s">
        <v>17678</v>
      </c>
      <c r="D2438" s="443">
        <v>9.44</v>
      </c>
    </row>
    <row r="2439" spans="1:4" ht="31.5">
      <c r="A2439" s="216">
        <v>39305</v>
      </c>
      <c r="B2439" s="222" t="s">
        <v>20121</v>
      </c>
      <c r="C2439" s="216" t="s">
        <v>17678</v>
      </c>
      <c r="D2439" s="443">
        <v>10.35</v>
      </c>
    </row>
    <row r="2440" spans="1:4" ht="31.5">
      <c r="A2440" s="216">
        <v>39306</v>
      </c>
      <c r="B2440" s="222" t="s">
        <v>20122</v>
      </c>
      <c r="C2440" s="216" t="s">
        <v>17678</v>
      </c>
      <c r="D2440" s="443">
        <v>13.91</v>
      </c>
    </row>
    <row r="2441" spans="1:4" ht="31.5">
      <c r="A2441" s="216">
        <v>38928</v>
      </c>
      <c r="B2441" s="222" t="s">
        <v>20123</v>
      </c>
      <c r="C2441" s="216" t="s">
        <v>17678</v>
      </c>
      <c r="D2441" s="443">
        <v>18.39</v>
      </c>
    </row>
    <row r="2442" spans="1:4" ht="31.5">
      <c r="A2442" s="216">
        <v>38941</v>
      </c>
      <c r="B2442" s="222" t="s">
        <v>20124</v>
      </c>
      <c r="C2442" s="216" t="s">
        <v>17678</v>
      </c>
      <c r="D2442" s="443">
        <v>14.41</v>
      </c>
    </row>
    <row r="2443" spans="1:4" ht="31.5">
      <c r="A2443" s="216">
        <v>38917</v>
      </c>
      <c r="B2443" s="222" t="s">
        <v>20125</v>
      </c>
      <c r="C2443" s="216" t="s">
        <v>17678</v>
      </c>
      <c r="D2443" s="443">
        <v>10.27</v>
      </c>
    </row>
    <row r="2444" spans="1:4" ht="31.5">
      <c r="A2444" s="216">
        <v>38919</v>
      </c>
      <c r="B2444" s="222" t="s">
        <v>20126</v>
      </c>
      <c r="C2444" s="216" t="s">
        <v>17678</v>
      </c>
      <c r="D2444" s="443">
        <v>12.06</v>
      </c>
    </row>
    <row r="2445" spans="1:4" ht="31.5">
      <c r="A2445" s="216">
        <v>38922</v>
      </c>
      <c r="B2445" s="222" t="s">
        <v>20127</v>
      </c>
      <c r="C2445" s="216" t="s">
        <v>17678</v>
      </c>
      <c r="D2445" s="443">
        <v>16.18</v>
      </c>
    </row>
    <row r="2446" spans="1:4">
      <c r="A2446" s="216">
        <v>20151</v>
      </c>
      <c r="B2446" s="222" t="s">
        <v>20128</v>
      </c>
      <c r="C2446" s="216" t="s">
        <v>17678</v>
      </c>
      <c r="D2446" s="443">
        <v>20.85</v>
      </c>
    </row>
    <row r="2447" spans="1:4">
      <c r="A2447" s="216">
        <v>20152</v>
      </c>
      <c r="B2447" s="222" t="s">
        <v>20129</v>
      </c>
      <c r="C2447" s="216" t="s">
        <v>17678</v>
      </c>
      <c r="D2447" s="443">
        <v>75.45</v>
      </c>
    </row>
    <row r="2448" spans="1:4">
      <c r="A2448" s="216">
        <v>20148</v>
      </c>
      <c r="B2448" s="222" t="s">
        <v>20130</v>
      </c>
      <c r="C2448" s="216" t="s">
        <v>17678</v>
      </c>
      <c r="D2448" s="443">
        <v>4.0999999999999996</v>
      </c>
    </row>
    <row r="2449" spans="1:4">
      <c r="A2449" s="216">
        <v>20149</v>
      </c>
      <c r="B2449" s="222" t="s">
        <v>20131</v>
      </c>
      <c r="C2449" s="216" t="s">
        <v>17678</v>
      </c>
      <c r="D2449" s="443">
        <v>6.85</v>
      </c>
    </row>
    <row r="2450" spans="1:4">
      <c r="A2450" s="216">
        <v>20150</v>
      </c>
      <c r="B2450" s="222" t="s">
        <v>20132</v>
      </c>
      <c r="C2450" s="216" t="s">
        <v>17678</v>
      </c>
      <c r="D2450" s="443">
        <v>17.649999999999999</v>
      </c>
    </row>
    <row r="2451" spans="1:4">
      <c r="A2451" s="216">
        <v>20157</v>
      </c>
      <c r="B2451" s="222" t="s">
        <v>20133</v>
      </c>
      <c r="C2451" s="216" t="s">
        <v>17678</v>
      </c>
      <c r="D2451" s="443">
        <v>19.809999999999999</v>
      </c>
    </row>
    <row r="2452" spans="1:4">
      <c r="A2452" s="216">
        <v>20158</v>
      </c>
      <c r="B2452" s="222" t="s">
        <v>20134</v>
      </c>
      <c r="C2452" s="216" t="s">
        <v>17678</v>
      </c>
      <c r="D2452" s="443">
        <v>78.650000000000006</v>
      </c>
    </row>
    <row r="2453" spans="1:4">
      <c r="A2453" s="216">
        <v>20154</v>
      </c>
      <c r="B2453" s="222" t="s">
        <v>20135</v>
      </c>
      <c r="C2453" s="216" t="s">
        <v>17678</v>
      </c>
      <c r="D2453" s="443">
        <v>4.01</v>
      </c>
    </row>
    <row r="2454" spans="1:4">
      <c r="A2454" s="216">
        <v>20155</v>
      </c>
      <c r="B2454" s="222" t="s">
        <v>20136</v>
      </c>
      <c r="C2454" s="216" t="s">
        <v>17678</v>
      </c>
      <c r="D2454" s="443">
        <v>6.11</v>
      </c>
    </row>
    <row r="2455" spans="1:4">
      <c r="A2455" s="216">
        <v>20156</v>
      </c>
      <c r="B2455" s="222" t="s">
        <v>20137</v>
      </c>
      <c r="C2455" s="216" t="s">
        <v>17678</v>
      </c>
      <c r="D2455" s="443">
        <v>17.18</v>
      </c>
    </row>
    <row r="2456" spans="1:4">
      <c r="A2456" s="216">
        <v>3499</v>
      </c>
      <c r="B2456" s="222" t="s">
        <v>20138</v>
      </c>
      <c r="C2456" s="216" t="s">
        <v>17678</v>
      </c>
      <c r="D2456" s="443">
        <v>1.32</v>
      </c>
    </row>
    <row r="2457" spans="1:4">
      <c r="A2457" s="216">
        <v>3500</v>
      </c>
      <c r="B2457" s="222" t="s">
        <v>20139</v>
      </c>
      <c r="C2457" s="216" t="s">
        <v>17678</v>
      </c>
      <c r="D2457" s="443">
        <v>1.75</v>
      </c>
    </row>
    <row r="2458" spans="1:4">
      <c r="A2458" s="216">
        <v>3501</v>
      </c>
      <c r="B2458" s="222" t="s">
        <v>20140</v>
      </c>
      <c r="C2458" s="216" t="s">
        <v>17678</v>
      </c>
      <c r="D2458" s="443">
        <v>4.82</v>
      </c>
    </row>
    <row r="2459" spans="1:4">
      <c r="A2459" s="216">
        <v>3502</v>
      </c>
      <c r="B2459" s="222" t="s">
        <v>20141</v>
      </c>
      <c r="C2459" s="216" t="s">
        <v>17678</v>
      </c>
      <c r="D2459" s="443">
        <v>6.93</v>
      </c>
    </row>
    <row r="2460" spans="1:4">
      <c r="A2460" s="216">
        <v>3503</v>
      </c>
      <c r="B2460" s="222" t="s">
        <v>20142</v>
      </c>
      <c r="C2460" s="216" t="s">
        <v>17678</v>
      </c>
      <c r="D2460" s="443">
        <v>8.7100000000000009</v>
      </c>
    </row>
    <row r="2461" spans="1:4">
      <c r="A2461" s="216">
        <v>3477</v>
      </c>
      <c r="B2461" s="222" t="s">
        <v>20143</v>
      </c>
      <c r="C2461" s="216" t="s">
        <v>17678</v>
      </c>
      <c r="D2461" s="443">
        <v>31.63</v>
      </c>
    </row>
    <row r="2462" spans="1:4">
      <c r="A2462" s="216">
        <v>3478</v>
      </c>
      <c r="B2462" s="222" t="s">
        <v>20144</v>
      </c>
      <c r="C2462" s="216" t="s">
        <v>17678</v>
      </c>
      <c r="D2462" s="443">
        <v>75.849999999999994</v>
      </c>
    </row>
    <row r="2463" spans="1:4">
      <c r="A2463" s="216">
        <v>3525</v>
      </c>
      <c r="B2463" s="222" t="s">
        <v>20145</v>
      </c>
      <c r="C2463" s="216" t="s">
        <v>17678</v>
      </c>
      <c r="D2463" s="443">
        <v>93.61</v>
      </c>
    </row>
    <row r="2464" spans="1:4">
      <c r="A2464" s="216">
        <v>3511</v>
      </c>
      <c r="B2464" s="222" t="s">
        <v>20146</v>
      </c>
      <c r="C2464" s="216" t="s">
        <v>17678</v>
      </c>
      <c r="D2464" s="443">
        <v>99.29</v>
      </c>
    </row>
    <row r="2465" spans="1:4" ht="31.5">
      <c r="A2465" s="216">
        <v>12032</v>
      </c>
      <c r="B2465" s="222" t="s">
        <v>20147</v>
      </c>
      <c r="C2465" s="216" t="s">
        <v>18136</v>
      </c>
      <c r="D2465" s="443">
        <v>54.61</v>
      </c>
    </row>
    <row r="2466" spans="1:4" ht="31.5">
      <c r="A2466" s="216">
        <v>12030</v>
      </c>
      <c r="B2466" s="222" t="s">
        <v>20148</v>
      </c>
      <c r="C2466" s="216" t="s">
        <v>18136</v>
      </c>
      <c r="D2466" s="443">
        <v>51.31</v>
      </c>
    </row>
    <row r="2467" spans="1:4">
      <c r="A2467" s="216">
        <v>10908</v>
      </c>
      <c r="B2467" s="222" t="s">
        <v>20149</v>
      </c>
      <c r="C2467" s="216" t="s">
        <v>17678</v>
      </c>
      <c r="D2467" s="443">
        <v>19.47</v>
      </c>
    </row>
    <row r="2468" spans="1:4">
      <c r="A2468" s="216">
        <v>10909</v>
      </c>
      <c r="B2468" s="222" t="s">
        <v>20150</v>
      </c>
      <c r="C2468" s="216" t="s">
        <v>17678</v>
      </c>
      <c r="D2468" s="443">
        <v>22.65</v>
      </c>
    </row>
    <row r="2469" spans="1:4">
      <c r="A2469" s="216">
        <v>3669</v>
      </c>
      <c r="B2469" s="222" t="s">
        <v>20151</v>
      </c>
      <c r="C2469" s="216" t="s">
        <v>17678</v>
      </c>
      <c r="D2469" s="443">
        <v>13.91</v>
      </c>
    </row>
    <row r="2470" spans="1:4">
      <c r="A2470" s="216">
        <v>20139</v>
      </c>
      <c r="B2470" s="222" t="s">
        <v>20152</v>
      </c>
      <c r="C2470" s="216" t="s">
        <v>17678</v>
      </c>
      <c r="D2470" s="443">
        <v>119.66</v>
      </c>
    </row>
    <row r="2471" spans="1:4">
      <c r="A2471" s="216">
        <v>3668</v>
      </c>
      <c r="B2471" s="222" t="s">
        <v>20153</v>
      </c>
      <c r="C2471" s="216" t="s">
        <v>17678</v>
      </c>
      <c r="D2471" s="443">
        <v>42.74</v>
      </c>
    </row>
    <row r="2472" spans="1:4">
      <c r="A2472" s="216">
        <v>10911</v>
      </c>
      <c r="B2472" s="222" t="s">
        <v>20154</v>
      </c>
      <c r="C2472" s="216" t="s">
        <v>17678</v>
      </c>
      <c r="D2472" s="443">
        <v>18.739999999999998</v>
      </c>
    </row>
    <row r="2473" spans="1:4">
      <c r="A2473" s="216">
        <v>3659</v>
      </c>
      <c r="B2473" s="222" t="s">
        <v>20155</v>
      </c>
      <c r="C2473" s="216" t="s">
        <v>17678</v>
      </c>
      <c r="D2473" s="443">
        <v>19.09</v>
      </c>
    </row>
    <row r="2474" spans="1:4">
      <c r="A2474" s="216">
        <v>3660</v>
      </c>
      <c r="B2474" s="222" t="s">
        <v>20156</v>
      </c>
      <c r="C2474" s="216" t="s">
        <v>17678</v>
      </c>
      <c r="D2474" s="443">
        <v>24.69</v>
      </c>
    </row>
    <row r="2475" spans="1:4">
      <c r="A2475" s="216">
        <v>20144</v>
      </c>
      <c r="B2475" s="222" t="s">
        <v>20157</v>
      </c>
      <c r="C2475" s="216" t="s">
        <v>17678</v>
      </c>
      <c r="D2475" s="443">
        <v>55.29</v>
      </c>
    </row>
    <row r="2476" spans="1:4">
      <c r="A2476" s="216">
        <v>20143</v>
      </c>
      <c r="B2476" s="222" t="s">
        <v>20158</v>
      </c>
      <c r="C2476" s="216" t="s">
        <v>17678</v>
      </c>
      <c r="D2476" s="443">
        <v>70.739999999999995</v>
      </c>
    </row>
    <row r="2477" spans="1:4">
      <c r="A2477" s="216">
        <v>20145</v>
      </c>
      <c r="B2477" s="222" t="s">
        <v>20159</v>
      </c>
      <c r="C2477" s="216" t="s">
        <v>17678</v>
      </c>
      <c r="D2477" s="443">
        <v>136.44999999999999</v>
      </c>
    </row>
    <row r="2478" spans="1:4">
      <c r="A2478" s="216">
        <v>20146</v>
      </c>
      <c r="B2478" s="222" t="s">
        <v>20160</v>
      </c>
      <c r="C2478" s="216" t="s">
        <v>17678</v>
      </c>
      <c r="D2478" s="443">
        <v>186.52</v>
      </c>
    </row>
    <row r="2479" spans="1:4">
      <c r="A2479" s="216">
        <v>20140</v>
      </c>
      <c r="B2479" s="222" t="s">
        <v>20161</v>
      </c>
      <c r="C2479" s="216" t="s">
        <v>17678</v>
      </c>
      <c r="D2479" s="443">
        <v>8.75</v>
      </c>
    </row>
    <row r="2480" spans="1:4">
      <c r="A2480" s="216">
        <v>20141</v>
      </c>
      <c r="B2480" s="222" t="s">
        <v>20162</v>
      </c>
      <c r="C2480" s="216" t="s">
        <v>17678</v>
      </c>
      <c r="D2480" s="443">
        <v>21.43</v>
      </c>
    </row>
    <row r="2481" spans="1:4">
      <c r="A2481" s="216">
        <v>20142</v>
      </c>
      <c r="B2481" s="222" t="s">
        <v>20163</v>
      </c>
      <c r="C2481" s="216" t="s">
        <v>17678</v>
      </c>
      <c r="D2481" s="443">
        <v>37.700000000000003</v>
      </c>
    </row>
    <row r="2482" spans="1:4">
      <c r="A2482" s="216">
        <v>3670</v>
      </c>
      <c r="B2482" s="222" t="s">
        <v>20164</v>
      </c>
      <c r="C2482" s="216" t="s">
        <v>17678</v>
      </c>
      <c r="D2482" s="443">
        <v>24.51</v>
      </c>
    </row>
    <row r="2483" spans="1:4">
      <c r="A2483" s="216">
        <v>3666</v>
      </c>
      <c r="B2483" s="222" t="s">
        <v>20165</v>
      </c>
      <c r="C2483" s="216" t="s">
        <v>17678</v>
      </c>
      <c r="D2483" s="443">
        <v>3.86</v>
      </c>
    </row>
    <row r="2484" spans="1:4">
      <c r="A2484" s="216">
        <v>3662</v>
      </c>
      <c r="B2484" s="222" t="s">
        <v>20166</v>
      </c>
      <c r="C2484" s="216" t="s">
        <v>17678</v>
      </c>
      <c r="D2484" s="443">
        <v>10.06</v>
      </c>
    </row>
    <row r="2485" spans="1:4">
      <c r="A2485" s="216">
        <v>3658</v>
      </c>
      <c r="B2485" s="222" t="s">
        <v>20167</v>
      </c>
      <c r="C2485" s="216" t="s">
        <v>17678</v>
      </c>
      <c r="D2485" s="443">
        <v>19.059999999999999</v>
      </c>
    </row>
    <row r="2486" spans="1:4">
      <c r="A2486" s="216">
        <v>14157</v>
      </c>
      <c r="B2486" s="222" t="s">
        <v>20168</v>
      </c>
      <c r="C2486" s="216" t="s">
        <v>17678</v>
      </c>
      <c r="D2486" s="443">
        <v>1.27</v>
      </c>
    </row>
    <row r="2487" spans="1:4">
      <c r="A2487" s="216">
        <v>42696</v>
      </c>
      <c r="B2487" s="222" t="s">
        <v>20169</v>
      </c>
      <c r="C2487" s="216" t="s">
        <v>17678</v>
      </c>
      <c r="D2487" s="443">
        <v>151.13999999999999</v>
      </c>
    </row>
    <row r="2488" spans="1:4">
      <c r="A2488" s="216">
        <v>39875</v>
      </c>
      <c r="B2488" s="222" t="s">
        <v>20170</v>
      </c>
      <c r="C2488" s="216" t="s">
        <v>17678</v>
      </c>
      <c r="D2488" s="443">
        <v>628.51</v>
      </c>
    </row>
    <row r="2489" spans="1:4">
      <c r="A2489" s="216">
        <v>39876</v>
      </c>
      <c r="B2489" s="222" t="s">
        <v>20171</v>
      </c>
      <c r="C2489" s="216" t="s">
        <v>17678</v>
      </c>
      <c r="D2489" s="443">
        <v>786.89</v>
      </c>
    </row>
    <row r="2490" spans="1:4">
      <c r="A2490" s="216">
        <v>39877</v>
      </c>
      <c r="B2490" s="222" t="s">
        <v>20172</v>
      </c>
      <c r="C2490" s="216" t="s">
        <v>17678</v>
      </c>
      <c r="D2490" s="443">
        <v>1091.3800000000001</v>
      </c>
    </row>
    <row r="2491" spans="1:4">
      <c r="A2491" s="216">
        <v>39878</v>
      </c>
      <c r="B2491" s="222" t="s">
        <v>20173</v>
      </c>
      <c r="C2491" s="216" t="s">
        <v>17678</v>
      </c>
      <c r="D2491" s="443">
        <v>1441.54</v>
      </c>
    </row>
    <row r="2492" spans="1:4">
      <c r="A2492" s="216">
        <v>39872</v>
      </c>
      <c r="B2492" s="222" t="s">
        <v>20174</v>
      </c>
      <c r="C2492" s="216" t="s">
        <v>17678</v>
      </c>
      <c r="D2492" s="443">
        <v>431.01</v>
      </c>
    </row>
    <row r="2493" spans="1:4">
      <c r="A2493" s="216">
        <v>39873</v>
      </c>
      <c r="B2493" s="222" t="s">
        <v>20175</v>
      </c>
      <c r="C2493" s="216" t="s">
        <v>17678</v>
      </c>
      <c r="D2493" s="443">
        <v>499.95</v>
      </c>
    </row>
    <row r="2494" spans="1:4">
      <c r="A2494" s="216">
        <v>39874</v>
      </c>
      <c r="B2494" s="222" t="s">
        <v>20176</v>
      </c>
      <c r="C2494" s="216" t="s">
        <v>17678</v>
      </c>
      <c r="D2494" s="443">
        <v>549.13</v>
      </c>
    </row>
    <row r="2495" spans="1:4">
      <c r="A2495" s="216">
        <v>3674</v>
      </c>
      <c r="B2495" s="222" t="s">
        <v>20177</v>
      </c>
      <c r="C2495" s="216" t="s">
        <v>17722</v>
      </c>
      <c r="D2495" s="443">
        <v>165.74</v>
      </c>
    </row>
    <row r="2496" spans="1:4">
      <c r="A2496" s="216">
        <v>3681</v>
      </c>
      <c r="B2496" s="222" t="s">
        <v>20178</v>
      </c>
      <c r="C2496" s="216" t="s">
        <v>17722</v>
      </c>
      <c r="D2496" s="443">
        <v>246.59</v>
      </c>
    </row>
    <row r="2497" spans="1:4">
      <c r="A2497" s="216">
        <v>3676</v>
      </c>
      <c r="B2497" s="222" t="s">
        <v>20179</v>
      </c>
      <c r="C2497" s="216" t="s">
        <v>17722</v>
      </c>
      <c r="D2497" s="443">
        <v>928.01</v>
      </c>
    </row>
    <row r="2498" spans="1:4">
      <c r="A2498" s="216">
        <v>3679</v>
      </c>
      <c r="B2498" s="222" t="s">
        <v>20180</v>
      </c>
      <c r="C2498" s="216" t="s">
        <v>17722</v>
      </c>
      <c r="D2498" s="443">
        <v>767.76</v>
      </c>
    </row>
    <row r="2499" spans="1:4">
      <c r="A2499" s="216">
        <v>3672</v>
      </c>
      <c r="B2499" s="222" t="s">
        <v>20181</v>
      </c>
      <c r="C2499" s="216" t="s">
        <v>17722</v>
      </c>
      <c r="D2499" s="443">
        <v>2.62</v>
      </c>
    </row>
    <row r="2500" spans="1:4">
      <c r="A2500" s="216">
        <v>3671</v>
      </c>
      <c r="B2500" s="222" t="s">
        <v>20182</v>
      </c>
      <c r="C2500" s="216" t="s">
        <v>17722</v>
      </c>
      <c r="D2500" s="443">
        <v>2.4700000000000002</v>
      </c>
    </row>
    <row r="2501" spans="1:4">
      <c r="A2501" s="216">
        <v>3673</v>
      </c>
      <c r="B2501" s="222" t="s">
        <v>20183</v>
      </c>
      <c r="C2501" s="216" t="s">
        <v>17722</v>
      </c>
      <c r="D2501" s="443">
        <v>3.88</v>
      </c>
    </row>
    <row r="2502" spans="1:4" ht="31.5">
      <c r="A2502" s="216">
        <v>38394</v>
      </c>
      <c r="B2502" s="222" t="s">
        <v>20184</v>
      </c>
      <c r="C2502" s="216" t="s">
        <v>17678</v>
      </c>
      <c r="D2502" s="443">
        <v>293.26</v>
      </c>
    </row>
    <row r="2503" spans="1:4">
      <c r="A2503" s="216">
        <v>3729</v>
      </c>
      <c r="B2503" s="222" t="s">
        <v>20185</v>
      </c>
      <c r="C2503" s="216" t="s">
        <v>17678</v>
      </c>
      <c r="D2503" s="443">
        <v>161.28</v>
      </c>
    </row>
    <row r="2504" spans="1:4" ht="63">
      <c r="A2504" s="216">
        <v>39357</v>
      </c>
      <c r="B2504" s="222" t="s">
        <v>20186</v>
      </c>
      <c r="C2504" s="216" t="s">
        <v>17678</v>
      </c>
      <c r="D2504" s="443">
        <v>96.59</v>
      </c>
    </row>
    <row r="2505" spans="1:4" ht="63">
      <c r="A2505" s="216">
        <v>39358</v>
      </c>
      <c r="B2505" s="222" t="s">
        <v>20187</v>
      </c>
      <c r="C2505" s="216" t="s">
        <v>17678</v>
      </c>
      <c r="D2505" s="443">
        <v>105.92</v>
      </c>
    </row>
    <row r="2506" spans="1:4" ht="63">
      <c r="A2506" s="216">
        <v>39356</v>
      </c>
      <c r="B2506" s="222" t="s">
        <v>20188</v>
      </c>
      <c r="C2506" s="216" t="s">
        <v>17678</v>
      </c>
      <c r="D2506" s="443">
        <v>180.7</v>
      </c>
    </row>
    <row r="2507" spans="1:4" ht="63">
      <c r="A2507" s="216">
        <v>39355</v>
      </c>
      <c r="B2507" s="222" t="s">
        <v>20189</v>
      </c>
      <c r="C2507" s="216" t="s">
        <v>17678</v>
      </c>
      <c r="D2507" s="443">
        <v>155.5</v>
      </c>
    </row>
    <row r="2508" spans="1:4" ht="63">
      <c r="A2508" s="216">
        <v>39353</v>
      </c>
      <c r="B2508" s="222" t="s">
        <v>20190</v>
      </c>
      <c r="C2508" s="216" t="s">
        <v>17678</v>
      </c>
      <c r="D2508" s="443">
        <v>213.24</v>
      </c>
    </row>
    <row r="2509" spans="1:4" ht="63">
      <c r="A2509" s="216">
        <v>39354</v>
      </c>
      <c r="B2509" s="222" t="s">
        <v>20191</v>
      </c>
      <c r="C2509" s="216" t="s">
        <v>17678</v>
      </c>
      <c r="D2509" s="443">
        <v>212.53</v>
      </c>
    </row>
    <row r="2510" spans="1:4">
      <c r="A2510" s="216">
        <v>39398</v>
      </c>
      <c r="B2510" s="222" t="s">
        <v>20192</v>
      </c>
      <c r="C2510" s="216" t="s">
        <v>17678</v>
      </c>
      <c r="D2510" s="443">
        <v>168.59</v>
      </c>
    </row>
    <row r="2511" spans="1:4" ht="31.5">
      <c r="A2511" s="216">
        <v>13343</v>
      </c>
      <c r="B2511" s="222" t="s">
        <v>20193</v>
      </c>
      <c r="C2511" s="216" t="s">
        <v>17678</v>
      </c>
      <c r="D2511" s="443">
        <v>41.21</v>
      </c>
    </row>
    <row r="2512" spans="1:4" ht="31.5">
      <c r="A2512" s="216">
        <v>12118</v>
      </c>
      <c r="B2512" s="222" t="s">
        <v>20194</v>
      </c>
      <c r="C2512" s="216" t="s">
        <v>17678</v>
      </c>
      <c r="D2512" s="443">
        <v>26.36</v>
      </c>
    </row>
    <row r="2513" spans="1:4" ht="47.25">
      <c r="A2513" s="216">
        <v>39482</v>
      </c>
      <c r="B2513" s="222" t="s">
        <v>20195</v>
      </c>
      <c r="C2513" s="216" t="s">
        <v>17678</v>
      </c>
      <c r="D2513" s="443">
        <v>603.4</v>
      </c>
    </row>
    <row r="2514" spans="1:4" ht="47.25">
      <c r="A2514" s="216">
        <v>39486</v>
      </c>
      <c r="B2514" s="222" t="s">
        <v>20196</v>
      </c>
      <c r="C2514" s="216" t="s">
        <v>17678</v>
      </c>
      <c r="D2514" s="443">
        <v>492.46</v>
      </c>
    </row>
    <row r="2515" spans="1:4" ht="47.25">
      <c r="A2515" s="216">
        <v>39484</v>
      </c>
      <c r="B2515" s="222" t="s">
        <v>20197</v>
      </c>
      <c r="C2515" s="216" t="s">
        <v>17678</v>
      </c>
      <c r="D2515" s="443">
        <v>603.4</v>
      </c>
    </row>
    <row r="2516" spans="1:4" ht="47.25">
      <c r="A2516" s="216">
        <v>39488</v>
      </c>
      <c r="B2516" s="222" t="s">
        <v>20198</v>
      </c>
      <c r="C2516" s="216" t="s">
        <v>17678</v>
      </c>
      <c r="D2516" s="443">
        <v>500.52</v>
      </c>
    </row>
    <row r="2517" spans="1:4" ht="47.25">
      <c r="A2517" s="216">
        <v>39485</v>
      </c>
      <c r="B2517" s="222" t="s">
        <v>20199</v>
      </c>
      <c r="C2517" s="216" t="s">
        <v>17678</v>
      </c>
      <c r="D2517" s="443">
        <v>603.4</v>
      </c>
    </row>
    <row r="2518" spans="1:4" ht="47.25">
      <c r="A2518" s="216">
        <v>39489</v>
      </c>
      <c r="B2518" s="222" t="s">
        <v>20200</v>
      </c>
      <c r="C2518" s="216" t="s">
        <v>17678</v>
      </c>
      <c r="D2518" s="443">
        <v>509.01</v>
      </c>
    </row>
    <row r="2519" spans="1:4" ht="47.25">
      <c r="A2519" s="216">
        <v>39490</v>
      </c>
      <c r="B2519" s="222" t="s">
        <v>20201</v>
      </c>
      <c r="C2519" s="216" t="s">
        <v>17678</v>
      </c>
      <c r="D2519" s="443">
        <v>758.48</v>
      </c>
    </row>
    <row r="2520" spans="1:4" ht="47.25">
      <c r="A2520" s="216">
        <v>39494</v>
      </c>
      <c r="B2520" s="222" t="s">
        <v>20202</v>
      </c>
      <c r="C2520" s="216" t="s">
        <v>17678</v>
      </c>
      <c r="D2520" s="443">
        <v>544.65</v>
      </c>
    </row>
    <row r="2521" spans="1:4" ht="47.25">
      <c r="A2521" s="216">
        <v>39495</v>
      </c>
      <c r="B2521" s="222" t="s">
        <v>20203</v>
      </c>
      <c r="C2521" s="216" t="s">
        <v>17678</v>
      </c>
      <c r="D2521" s="443">
        <v>613.75</v>
      </c>
    </row>
    <row r="2522" spans="1:4" ht="47.25">
      <c r="A2522" s="216">
        <v>39496</v>
      </c>
      <c r="B2522" s="222" t="s">
        <v>20204</v>
      </c>
      <c r="C2522" s="216" t="s">
        <v>17678</v>
      </c>
      <c r="D2522" s="443">
        <v>675.13</v>
      </c>
    </row>
    <row r="2523" spans="1:4" ht="47.25">
      <c r="A2523" s="216">
        <v>39492</v>
      </c>
      <c r="B2523" s="222" t="s">
        <v>20205</v>
      </c>
      <c r="C2523" s="216" t="s">
        <v>17678</v>
      </c>
      <c r="D2523" s="443">
        <v>781.61</v>
      </c>
    </row>
    <row r="2524" spans="1:4" ht="47.25">
      <c r="A2524" s="216">
        <v>39497</v>
      </c>
      <c r="B2524" s="222" t="s">
        <v>20206</v>
      </c>
      <c r="C2524" s="216" t="s">
        <v>17678</v>
      </c>
      <c r="D2524" s="443">
        <v>706</v>
      </c>
    </row>
    <row r="2525" spans="1:4" ht="47.25">
      <c r="A2525" s="216">
        <v>39493</v>
      </c>
      <c r="B2525" s="222" t="s">
        <v>20207</v>
      </c>
      <c r="C2525" s="216" t="s">
        <v>17678</v>
      </c>
      <c r="D2525" s="443">
        <v>838.35</v>
      </c>
    </row>
    <row r="2526" spans="1:4" ht="47.25">
      <c r="A2526" s="216">
        <v>39500</v>
      </c>
      <c r="B2526" s="222" t="s">
        <v>20208</v>
      </c>
      <c r="C2526" s="216" t="s">
        <v>17678</v>
      </c>
      <c r="D2526" s="443">
        <v>914.71</v>
      </c>
    </row>
    <row r="2527" spans="1:4" ht="47.25">
      <c r="A2527" s="216">
        <v>39498</v>
      </c>
      <c r="B2527" s="222" t="s">
        <v>20209</v>
      </c>
      <c r="C2527" s="216" t="s">
        <v>17678</v>
      </c>
      <c r="D2527" s="443">
        <v>1128.1500000000001</v>
      </c>
    </row>
    <row r="2528" spans="1:4" ht="47.25">
      <c r="A2528" s="216">
        <v>43628</v>
      </c>
      <c r="B2528" s="222" t="s">
        <v>20210</v>
      </c>
      <c r="C2528" s="216" t="s">
        <v>17678</v>
      </c>
      <c r="D2528" s="443">
        <v>889.22</v>
      </c>
    </row>
    <row r="2529" spans="1:4" ht="47.25">
      <c r="A2529" s="216">
        <v>39501</v>
      </c>
      <c r="B2529" s="222" t="s">
        <v>20211</v>
      </c>
      <c r="C2529" s="216" t="s">
        <v>17678</v>
      </c>
      <c r="D2529" s="443">
        <v>939.49</v>
      </c>
    </row>
    <row r="2530" spans="1:4" ht="47.25">
      <c r="A2530" s="216">
        <v>39499</v>
      </c>
      <c r="B2530" s="222" t="s">
        <v>20212</v>
      </c>
      <c r="C2530" s="216" t="s">
        <v>17678</v>
      </c>
      <c r="D2530" s="443">
        <v>1144.17</v>
      </c>
    </row>
    <row r="2531" spans="1:4" ht="47.25">
      <c r="A2531" s="216">
        <v>43621</v>
      </c>
      <c r="B2531" s="222" t="s">
        <v>20213</v>
      </c>
      <c r="C2531" s="216" t="s">
        <v>17678</v>
      </c>
      <c r="D2531" s="443">
        <v>944.8</v>
      </c>
    </row>
    <row r="2532" spans="1:4">
      <c r="A2532" s="216">
        <v>3733</v>
      </c>
      <c r="B2532" s="222" t="s">
        <v>20214</v>
      </c>
      <c r="C2532" s="216" t="s">
        <v>18087</v>
      </c>
      <c r="D2532" s="443">
        <v>53.86</v>
      </c>
    </row>
    <row r="2533" spans="1:4">
      <c r="A2533" s="216">
        <v>3731</v>
      </c>
      <c r="B2533" s="222" t="s">
        <v>20215</v>
      </c>
      <c r="C2533" s="216" t="s">
        <v>18087</v>
      </c>
      <c r="D2533" s="443">
        <v>50</v>
      </c>
    </row>
    <row r="2534" spans="1:4">
      <c r="A2534" s="216">
        <v>38137</v>
      </c>
      <c r="B2534" s="222" t="s">
        <v>20216</v>
      </c>
      <c r="C2534" s="216" t="s">
        <v>18087</v>
      </c>
      <c r="D2534" s="443">
        <v>50.29</v>
      </c>
    </row>
    <row r="2535" spans="1:4">
      <c r="A2535" s="216">
        <v>38135</v>
      </c>
      <c r="B2535" s="222" t="s">
        <v>20217</v>
      </c>
      <c r="C2535" s="216" t="s">
        <v>18087</v>
      </c>
      <c r="D2535" s="443">
        <v>63.75</v>
      </c>
    </row>
    <row r="2536" spans="1:4">
      <c r="A2536" s="216">
        <v>38138</v>
      </c>
      <c r="B2536" s="222" t="s">
        <v>20218</v>
      </c>
      <c r="C2536" s="216" t="s">
        <v>18087</v>
      </c>
      <c r="D2536" s="443">
        <v>49.39</v>
      </c>
    </row>
    <row r="2537" spans="1:4" ht="31.5">
      <c r="A2537" s="216">
        <v>3736</v>
      </c>
      <c r="B2537" s="222" t="s">
        <v>20219</v>
      </c>
      <c r="C2537" s="216" t="s">
        <v>18087</v>
      </c>
      <c r="D2537" s="443">
        <v>48</v>
      </c>
    </row>
    <row r="2538" spans="1:4" ht="31.5">
      <c r="A2538" s="216">
        <v>3741</v>
      </c>
      <c r="B2538" s="222" t="s">
        <v>20220</v>
      </c>
      <c r="C2538" s="216" t="s">
        <v>18087</v>
      </c>
      <c r="D2538" s="443">
        <v>50.03</v>
      </c>
    </row>
    <row r="2539" spans="1:4" ht="31.5">
      <c r="A2539" s="216">
        <v>3745</v>
      </c>
      <c r="B2539" s="222" t="s">
        <v>20221</v>
      </c>
      <c r="C2539" s="216" t="s">
        <v>18087</v>
      </c>
      <c r="D2539" s="443">
        <v>53.95</v>
      </c>
    </row>
    <row r="2540" spans="1:4" ht="31.5">
      <c r="A2540" s="216">
        <v>3743</v>
      </c>
      <c r="B2540" s="222" t="s">
        <v>20222</v>
      </c>
      <c r="C2540" s="216" t="s">
        <v>18087</v>
      </c>
      <c r="D2540" s="443">
        <v>49.86</v>
      </c>
    </row>
    <row r="2541" spans="1:4" ht="31.5">
      <c r="A2541" s="216">
        <v>3744</v>
      </c>
      <c r="B2541" s="222" t="s">
        <v>20223</v>
      </c>
      <c r="C2541" s="216" t="s">
        <v>18087</v>
      </c>
      <c r="D2541" s="443">
        <v>54.88</v>
      </c>
    </row>
    <row r="2542" spans="1:4" ht="31.5">
      <c r="A2542" s="216">
        <v>3739</v>
      </c>
      <c r="B2542" s="222" t="s">
        <v>20224</v>
      </c>
      <c r="C2542" s="216" t="s">
        <v>18087</v>
      </c>
      <c r="D2542" s="443">
        <v>57.67</v>
      </c>
    </row>
    <row r="2543" spans="1:4" ht="31.5">
      <c r="A2543" s="216">
        <v>3737</v>
      </c>
      <c r="B2543" s="222" t="s">
        <v>20225</v>
      </c>
      <c r="C2543" s="216" t="s">
        <v>18087</v>
      </c>
      <c r="D2543" s="443">
        <v>60.46</v>
      </c>
    </row>
    <row r="2544" spans="1:4" ht="31.5">
      <c r="A2544" s="216">
        <v>3738</v>
      </c>
      <c r="B2544" s="222" t="s">
        <v>20226</v>
      </c>
      <c r="C2544" s="216" t="s">
        <v>18087</v>
      </c>
      <c r="D2544" s="443">
        <v>69.760000000000005</v>
      </c>
    </row>
    <row r="2545" spans="1:4" ht="31.5">
      <c r="A2545" s="216">
        <v>3747</v>
      </c>
      <c r="B2545" s="222" t="s">
        <v>20227</v>
      </c>
      <c r="C2545" s="216" t="s">
        <v>18087</v>
      </c>
      <c r="D2545" s="443">
        <v>54.88</v>
      </c>
    </row>
    <row r="2546" spans="1:4" ht="31.5">
      <c r="A2546" s="216">
        <v>11649</v>
      </c>
      <c r="B2546" s="222" t="s">
        <v>20228</v>
      </c>
      <c r="C2546" s="216" t="s">
        <v>17678</v>
      </c>
      <c r="D2546" s="443">
        <v>398.13</v>
      </c>
    </row>
    <row r="2547" spans="1:4" ht="31.5">
      <c r="A2547" s="216">
        <v>11650</v>
      </c>
      <c r="B2547" s="222" t="s">
        <v>20229</v>
      </c>
      <c r="C2547" s="216" t="s">
        <v>17678</v>
      </c>
      <c r="D2547" s="443">
        <v>678.6</v>
      </c>
    </row>
    <row r="2548" spans="1:4" ht="31.5">
      <c r="A2548" s="216">
        <v>3742</v>
      </c>
      <c r="B2548" s="222" t="s">
        <v>20230</v>
      </c>
      <c r="C2548" s="216" t="s">
        <v>18087</v>
      </c>
      <c r="D2548" s="443">
        <v>72.37</v>
      </c>
    </row>
    <row r="2549" spans="1:4" ht="31.5">
      <c r="A2549" s="216">
        <v>3746</v>
      </c>
      <c r="B2549" s="222" t="s">
        <v>20231</v>
      </c>
      <c r="C2549" s="216" t="s">
        <v>18087</v>
      </c>
      <c r="D2549" s="443">
        <v>84.5</v>
      </c>
    </row>
    <row r="2550" spans="1:4" ht="31.5">
      <c r="A2550" s="216">
        <v>21106</v>
      </c>
      <c r="B2550" s="222" t="s">
        <v>20232</v>
      </c>
      <c r="C2550" s="216" t="s">
        <v>17726</v>
      </c>
      <c r="D2550" s="443">
        <v>46.39</v>
      </c>
    </row>
    <row r="2551" spans="1:4">
      <c r="A2551" s="216">
        <v>3755</v>
      </c>
      <c r="B2551" s="222" t="s">
        <v>20233</v>
      </c>
      <c r="C2551" s="216" t="s">
        <v>17678</v>
      </c>
      <c r="D2551" s="443">
        <v>28.99</v>
      </c>
    </row>
    <row r="2552" spans="1:4">
      <c r="A2552" s="216">
        <v>3750</v>
      </c>
      <c r="B2552" s="222" t="s">
        <v>20234</v>
      </c>
      <c r="C2552" s="216" t="s">
        <v>17678</v>
      </c>
      <c r="D2552" s="443">
        <v>38.99</v>
      </c>
    </row>
    <row r="2553" spans="1:4">
      <c r="A2553" s="216">
        <v>3756</v>
      </c>
      <c r="B2553" s="222" t="s">
        <v>20235</v>
      </c>
      <c r="C2553" s="216" t="s">
        <v>17678</v>
      </c>
      <c r="D2553" s="443">
        <v>72.849999999999994</v>
      </c>
    </row>
    <row r="2554" spans="1:4">
      <c r="A2554" s="216">
        <v>39377</v>
      </c>
      <c r="B2554" s="222" t="s">
        <v>20236</v>
      </c>
      <c r="C2554" s="216" t="s">
        <v>17678</v>
      </c>
      <c r="D2554" s="443">
        <v>215.82</v>
      </c>
    </row>
    <row r="2555" spans="1:4">
      <c r="A2555" s="216">
        <v>38191</v>
      </c>
      <c r="B2555" s="222" t="s">
        <v>20237</v>
      </c>
      <c r="C2555" s="216" t="s">
        <v>17678</v>
      </c>
      <c r="D2555" s="443">
        <v>16.07</v>
      </c>
    </row>
    <row r="2556" spans="1:4">
      <c r="A2556" s="216">
        <v>39381</v>
      </c>
      <c r="B2556" s="222" t="s">
        <v>20238</v>
      </c>
      <c r="C2556" s="216" t="s">
        <v>17678</v>
      </c>
      <c r="D2556" s="443">
        <v>14.99</v>
      </c>
    </row>
    <row r="2557" spans="1:4">
      <c r="A2557" s="216">
        <v>38780</v>
      </c>
      <c r="B2557" s="222" t="s">
        <v>20239</v>
      </c>
      <c r="C2557" s="216" t="s">
        <v>17678</v>
      </c>
      <c r="D2557" s="443">
        <v>18.329999999999998</v>
      </c>
    </row>
    <row r="2558" spans="1:4">
      <c r="A2558" s="216">
        <v>38781</v>
      </c>
      <c r="B2558" s="222" t="s">
        <v>20240</v>
      </c>
      <c r="C2558" s="216" t="s">
        <v>17678</v>
      </c>
      <c r="D2558" s="443">
        <v>61.9</v>
      </c>
    </row>
    <row r="2559" spans="1:4">
      <c r="A2559" s="216">
        <v>38192</v>
      </c>
      <c r="B2559" s="222" t="s">
        <v>20241</v>
      </c>
      <c r="C2559" s="216" t="s">
        <v>17678</v>
      </c>
      <c r="D2559" s="443">
        <v>112</v>
      </c>
    </row>
    <row r="2560" spans="1:4">
      <c r="A2560" s="216">
        <v>3753</v>
      </c>
      <c r="B2560" s="222" t="s">
        <v>20242</v>
      </c>
      <c r="C2560" s="216" t="s">
        <v>17678</v>
      </c>
      <c r="D2560" s="443">
        <v>9.8000000000000007</v>
      </c>
    </row>
    <row r="2561" spans="1:4">
      <c r="A2561" s="216">
        <v>38782</v>
      </c>
      <c r="B2561" s="222" t="s">
        <v>20243</v>
      </c>
      <c r="C2561" s="216" t="s">
        <v>17678</v>
      </c>
      <c r="D2561" s="443">
        <v>12.76</v>
      </c>
    </row>
    <row r="2562" spans="1:4">
      <c r="A2562" s="216">
        <v>38778</v>
      </c>
      <c r="B2562" s="222" t="s">
        <v>20244</v>
      </c>
      <c r="C2562" s="216" t="s">
        <v>17678</v>
      </c>
      <c r="D2562" s="443">
        <v>9.58</v>
      </c>
    </row>
    <row r="2563" spans="1:4">
      <c r="A2563" s="216">
        <v>38779</v>
      </c>
      <c r="B2563" s="222" t="s">
        <v>20245</v>
      </c>
      <c r="C2563" s="216" t="s">
        <v>17678</v>
      </c>
      <c r="D2563" s="443">
        <v>10.15</v>
      </c>
    </row>
    <row r="2564" spans="1:4">
      <c r="A2564" s="216">
        <v>39388</v>
      </c>
      <c r="B2564" s="222" t="s">
        <v>20246</v>
      </c>
      <c r="C2564" s="216" t="s">
        <v>17678</v>
      </c>
      <c r="D2564" s="443">
        <v>10.210000000000001</v>
      </c>
    </row>
    <row r="2565" spans="1:4">
      <c r="A2565" s="216">
        <v>39387</v>
      </c>
      <c r="B2565" s="222" t="s">
        <v>20247</v>
      </c>
      <c r="C2565" s="216" t="s">
        <v>17678</v>
      </c>
      <c r="D2565" s="443">
        <v>15.91</v>
      </c>
    </row>
    <row r="2566" spans="1:4">
      <c r="A2566" s="216">
        <v>39386</v>
      </c>
      <c r="B2566" s="222" t="s">
        <v>20248</v>
      </c>
      <c r="C2566" s="216" t="s">
        <v>17678</v>
      </c>
      <c r="D2566" s="443">
        <v>11.09</v>
      </c>
    </row>
    <row r="2567" spans="1:4">
      <c r="A2567" s="216">
        <v>38194</v>
      </c>
      <c r="B2567" s="222" t="s">
        <v>20249</v>
      </c>
      <c r="C2567" s="216" t="s">
        <v>17678</v>
      </c>
      <c r="D2567" s="443">
        <v>8.3000000000000007</v>
      </c>
    </row>
    <row r="2568" spans="1:4">
      <c r="A2568" s="216">
        <v>38193</v>
      </c>
      <c r="B2568" s="222" t="s">
        <v>20250</v>
      </c>
      <c r="C2568" s="216" t="s">
        <v>17678</v>
      </c>
      <c r="D2568" s="443">
        <v>7.21</v>
      </c>
    </row>
    <row r="2569" spans="1:4">
      <c r="A2569" s="216">
        <v>12216</v>
      </c>
      <c r="B2569" s="222" t="s">
        <v>20251</v>
      </c>
      <c r="C2569" s="216" t="s">
        <v>17678</v>
      </c>
      <c r="D2569" s="443">
        <v>56.01</v>
      </c>
    </row>
    <row r="2570" spans="1:4">
      <c r="A2570" s="216">
        <v>3757</v>
      </c>
      <c r="B2570" s="222" t="s">
        <v>20252</v>
      </c>
      <c r="C2570" s="216" t="s">
        <v>17678</v>
      </c>
      <c r="D2570" s="443">
        <v>64.77</v>
      </c>
    </row>
    <row r="2571" spans="1:4">
      <c r="A2571" s="216">
        <v>3758</v>
      </c>
      <c r="B2571" s="222" t="s">
        <v>20253</v>
      </c>
      <c r="C2571" s="216" t="s">
        <v>17678</v>
      </c>
      <c r="D2571" s="443">
        <v>75.52</v>
      </c>
    </row>
    <row r="2572" spans="1:4">
      <c r="A2572" s="216">
        <v>12214</v>
      </c>
      <c r="B2572" s="222" t="s">
        <v>20254</v>
      </c>
      <c r="C2572" s="216" t="s">
        <v>17678</v>
      </c>
      <c r="D2572" s="443">
        <v>25.86</v>
      </c>
    </row>
    <row r="2573" spans="1:4">
      <c r="A2573" s="216">
        <v>3749</v>
      </c>
      <c r="B2573" s="222" t="s">
        <v>20255</v>
      </c>
      <c r="C2573" s="216" t="s">
        <v>17678</v>
      </c>
      <c r="D2573" s="443">
        <v>46.09</v>
      </c>
    </row>
    <row r="2574" spans="1:4">
      <c r="A2574" s="216">
        <v>3751</v>
      </c>
      <c r="B2574" s="222" t="s">
        <v>20256</v>
      </c>
      <c r="C2574" s="216" t="s">
        <v>17678</v>
      </c>
      <c r="D2574" s="443">
        <v>62.9</v>
      </c>
    </row>
    <row r="2575" spans="1:4">
      <c r="A2575" s="216">
        <v>39376</v>
      </c>
      <c r="B2575" s="222" t="s">
        <v>20257</v>
      </c>
      <c r="C2575" s="216" t="s">
        <v>17678</v>
      </c>
      <c r="D2575" s="443">
        <v>53.02</v>
      </c>
    </row>
    <row r="2576" spans="1:4">
      <c r="A2576" s="216">
        <v>3752</v>
      </c>
      <c r="B2576" s="222" t="s">
        <v>20258</v>
      </c>
      <c r="C2576" s="216" t="s">
        <v>17678</v>
      </c>
      <c r="D2576" s="443">
        <v>103.76</v>
      </c>
    </row>
    <row r="2577" spans="1:4" ht="31.5">
      <c r="A2577" s="216">
        <v>746</v>
      </c>
      <c r="B2577" s="222" t="s">
        <v>20259</v>
      </c>
      <c r="C2577" s="216" t="s">
        <v>17678</v>
      </c>
      <c r="D2577" s="443">
        <v>2577.0100000000002</v>
      </c>
    </row>
    <row r="2578" spans="1:4">
      <c r="A2578" s="216">
        <v>20269</v>
      </c>
      <c r="B2578" s="222" t="s">
        <v>20260</v>
      </c>
      <c r="C2578" s="216" t="s">
        <v>17678</v>
      </c>
      <c r="D2578" s="443">
        <v>101.66</v>
      </c>
    </row>
    <row r="2579" spans="1:4">
      <c r="A2579" s="216">
        <v>20270</v>
      </c>
      <c r="B2579" s="222" t="s">
        <v>20261</v>
      </c>
      <c r="C2579" s="216" t="s">
        <v>17678</v>
      </c>
      <c r="D2579" s="443">
        <v>112.33</v>
      </c>
    </row>
    <row r="2580" spans="1:4" ht="31.5">
      <c r="A2580" s="216">
        <v>11696</v>
      </c>
      <c r="B2580" s="222" t="s">
        <v>20262</v>
      </c>
      <c r="C2580" s="216" t="s">
        <v>17678</v>
      </c>
      <c r="D2580" s="443">
        <v>179.81</v>
      </c>
    </row>
    <row r="2581" spans="1:4">
      <c r="A2581" s="216">
        <v>10427</v>
      </c>
      <c r="B2581" s="222" t="s">
        <v>20263</v>
      </c>
      <c r="C2581" s="216" t="s">
        <v>17678</v>
      </c>
      <c r="D2581" s="443">
        <v>503.18</v>
      </c>
    </row>
    <row r="2582" spans="1:4" ht="31.5">
      <c r="A2582" s="216">
        <v>10428</v>
      </c>
      <c r="B2582" s="222" t="s">
        <v>20264</v>
      </c>
      <c r="C2582" s="216" t="s">
        <v>17678</v>
      </c>
      <c r="D2582" s="443">
        <v>518.42999999999995</v>
      </c>
    </row>
    <row r="2583" spans="1:4">
      <c r="A2583" s="216">
        <v>36521</v>
      </c>
      <c r="B2583" s="222" t="s">
        <v>20265</v>
      </c>
      <c r="C2583" s="216" t="s">
        <v>17678</v>
      </c>
      <c r="D2583" s="443">
        <v>161.76</v>
      </c>
    </row>
    <row r="2584" spans="1:4">
      <c r="A2584" s="216">
        <v>36794</v>
      </c>
      <c r="B2584" s="222" t="s">
        <v>20266</v>
      </c>
      <c r="C2584" s="216" t="s">
        <v>17678</v>
      </c>
      <c r="D2584" s="443">
        <v>172.2</v>
      </c>
    </row>
    <row r="2585" spans="1:4">
      <c r="A2585" s="216">
        <v>10426</v>
      </c>
      <c r="B2585" s="222" t="s">
        <v>20267</v>
      </c>
      <c r="C2585" s="216" t="s">
        <v>17678</v>
      </c>
      <c r="D2585" s="443">
        <v>192.83</v>
      </c>
    </row>
    <row r="2586" spans="1:4">
      <c r="A2586" s="216">
        <v>10425</v>
      </c>
      <c r="B2586" s="222" t="s">
        <v>20268</v>
      </c>
      <c r="C2586" s="216" t="s">
        <v>17678</v>
      </c>
      <c r="D2586" s="443">
        <v>97.83</v>
      </c>
    </row>
    <row r="2587" spans="1:4">
      <c r="A2587" s="216">
        <v>10431</v>
      </c>
      <c r="B2587" s="222" t="s">
        <v>20269</v>
      </c>
      <c r="C2587" s="216" t="s">
        <v>17678</v>
      </c>
      <c r="D2587" s="443">
        <v>334.93</v>
      </c>
    </row>
    <row r="2588" spans="1:4">
      <c r="A2588" s="216">
        <v>10429</v>
      </c>
      <c r="B2588" s="222" t="s">
        <v>20270</v>
      </c>
      <c r="C2588" s="216" t="s">
        <v>17678</v>
      </c>
      <c r="D2588" s="443">
        <v>165.22</v>
      </c>
    </row>
    <row r="2589" spans="1:4">
      <c r="A2589" s="216">
        <v>2354</v>
      </c>
      <c r="B2589" s="222" t="s">
        <v>20271</v>
      </c>
      <c r="C2589" s="216" t="s">
        <v>17826</v>
      </c>
      <c r="D2589" s="443">
        <v>19.46</v>
      </c>
    </row>
    <row r="2590" spans="1:4">
      <c r="A2590" s="216">
        <v>40932</v>
      </c>
      <c r="B2590" s="222" t="s">
        <v>20272</v>
      </c>
      <c r="C2590" s="216" t="s">
        <v>17828</v>
      </c>
      <c r="D2590" s="443">
        <v>3409.11</v>
      </c>
    </row>
    <row r="2591" spans="1:4">
      <c r="A2591" s="216">
        <v>10853</v>
      </c>
      <c r="B2591" s="222" t="s">
        <v>20273</v>
      </c>
      <c r="C2591" s="216" t="s">
        <v>17678</v>
      </c>
      <c r="D2591" s="443">
        <v>122.19</v>
      </c>
    </row>
    <row r="2592" spans="1:4">
      <c r="A2592" s="216">
        <v>5093</v>
      </c>
      <c r="B2592" s="222" t="s">
        <v>20274</v>
      </c>
      <c r="C2592" s="216" t="s">
        <v>18101</v>
      </c>
      <c r="D2592" s="443">
        <v>17.36</v>
      </c>
    </row>
    <row r="2593" spans="1:4">
      <c r="A2593" s="216">
        <v>44331</v>
      </c>
      <c r="B2593" s="222" t="s">
        <v>20275</v>
      </c>
      <c r="C2593" s="216" t="s">
        <v>17728</v>
      </c>
      <c r="D2593" s="443">
        <v>47.05</v>
      </c>
    </row>
    <row r="2594" spans="1:4" ht="31.5">
      <c r="A2594" s="216">
        <v>37768</v>
      </c>
      <c r="B2594" s="222" t="s">
        <v>20276</v>
      </c>
      <c r="C2594" s="216" t="s">
        <v>17678</v>
      </c>
      <c r="D2594" s="443">
        <v>235000</v>
      </c>
    </row>
    <row r="2595" spans="1:4" ht="31.5">
      <c r="A2595" s="216">
        <v>37773</v>
      </c>
      <c r="B2595" s="222" t="s">
        <v>20277</v>
      </c>
      <c r="C2595" s="216" t="s">
        <v>17678</v>
      </c>
      <c r="D2595" s="443">
        <v>199554.62</v>
      </c>
    </row>
    <row r="2596" spans="1:4">
      <c r="A2596" s="216">
        <v>37769</v>
      </c>
      <c r="B2596" s="222" t="s">
        <v>20278</v>
      </c>
      <c r="C2596" s="216" t="s">
        <v>17678</v>
      </c>
      <c r="D2596" s="443">
        <v>334079.57</v>
      </c>
    </row>
    <row r="2597" spans="1:4" ht="31.5">
      <c r="A2597" s="216">
        <v>37770</v>
      </c>
      <c r="B2597" s="222" t="s">
        <v>20279</v>
      </c>
      <c r="C2597" s="216" t="s">
        <v>17678</v>
      </c>
      <c r="D2597" s="443">
        <v>566986.32999999996</v>
      </c>
    </row>
    <row r="2598" spans="1:4">
      <c r="A2598" s="216">
        <v>38382</v>
      </c>
      <c r="B2598" s="222" t="s">
        <v>20280</v>
      </c>
      <c r="C2598" s="216" t="s">
        <v>17678</v>
      </c>
      <c r="D2598" s="443">
        <v>10.67</v>
      </c>
    </row>
    <row r="2599" spans="1:4">
      <c r="A2599" s="216">
        <v>38383</v>
      </c>
      <c r="B2599" s="222" t="s">
        <v>20281</v>
      </c>
      <c r="C2599" s="216" t="s">
        <v>17678</v>
      </c>
      <c r="D2599" s="443">
        <v>1.99</v>
      </c>
    </row>
    <row r="2600" spans="1:4">
      <c r="A2600" s="216">
        <v>3768</v>
      </c>
      <c r="B2600" s="222" t="s">
        <v>20282</v>
      </c>
      <c r="C2600" s="216" t="s">
        <v>17678</v>
      </c>
      <c r="D2600" s="443">
        <v>4.96</v>
      </c>
    </row>
    <row r="2601" spans="1:4">
      <c r="A2601" s="216">
        <v>3767</v>
      </c>
      <c r="B2601" s="222" t="s">
        <v>20283</v>
      </c>
      <c r="C2601" s="216" t="s">
        <v>17678</v>
      </c>
      <c r="D2601" s="443">
        <v>1.66</v>
      </c>
    </row>
    <row r="2602" spans="1:4">
      <c r="A2602" s="216">
        <v>13192</v>
      </c>
      <c r="B2602" s="222" t="s">
        <v>20284</v>
      </c>
      <c r="C2602" s="216" t="s">
        <v>17678</v>
      </c>
      <c r="D2602" s="443">
        <v>4986.47</v>
      </c>
    </row>
    <row r="2603" spans="1:4">
      <c r="A2603" s="216">
        <v>38413</v>
      </c>
      <c r="B2603" s="222" t="s">
        <v>20285</v>
      </c>
      <c r="C2603" s="216" t="s">
        <v>17678</v>
      </c>
      <c r="D2603" s="443">
        <v>824.69</v>
      </c>
    </row>
    <row r="2604" spans="1:4" ht="47.25">
      <c r="A2604" s="216">
        <v>42440</v>
      </c>
      <c r="B2604" s="222" t="s">
        <v>20286</v>
      </c>
      <c r="C2604" s="216" t="s">
        <v>17678</v>
      </c>
      <c r="D2604" s="443">
        <v>1225.03</v>
      </c>
    </row>
    <row r="2605" spans="1:4" ht="47.25">
      <c r="A2605" s="216">
        <v>20193</v>
      </c>
      <c r="B2605" s="222" t="s">
        <v>20287</v>
      </c>
      <c r="C2605" s="216" t="s">
        <v>20288</v>
      </c>
      <c r="D2605" s="443">
        <v>6.49</v>
      </c>
    </row>
    <row r="2606" spans="1:4" ht="47.25">
      <c r="A2606" s="216">
        <v>10527</v>
      </c>
      <c r="B2606" s="222" t="s">
        <v>20289</v>
      </c>
      <c r="C2606" s="216" t="s">
        <v>20290</v>
      </c>
      <c r="D2606" s="443">
        <v>19.5</v>
      </c>
    </row>
    <row r="2607" spans="1:4" ht="31.5">
      <c r="A2607" s="216">
        <v>41805</v>
      </c>
      <c r="B2607" s="222" t="s">
        <v>20291</v>
      </c>
      <c r="C2607" s="216" t="s">
        <v>17828</v>
      </c>
      <c r="D2607" s="443">
        <v>612.09</v>
      </c>
    </row>
    <row r="2608" spans="1:4" ht="31.5">
      <c r="A2608" s="216">
        <v>40271</v>
      </c>
      <c r="B2608" s="222" t="s">
        <v>20292</v>
      </c>
      <c r="C2608" s="216" t="s">
        <v>17828</v>
      </c>
      <c r="D2608" s="443">
        <v>12.67</v>
      </c>
    </row>
    <row r="2609" spans="1:4" ht="31.5">
      <c r="A2609" s="216">
        <v>40287</v>
      </c>
      <c r="B2609" s="222" t="s">
        <v>20293</v>
      </c>
      <c r="C2609" s="216" t="s">
        <v>17828</v>
      </c>
      <c r="D2609" s="443">
        <v>4.87</v>
      </c>
    </row>
    <row r="2610" spans="1:4" ht="47.25">
      <c r="A2610" s="216">
        <v>4084</v>
      </c>
      <c r="B2610" s="222" t="s">
        <v>20294</v>
      </c>
      <c r="C2610" s="216" t="s">
        <v>17826</v>
      </c>
      <c r="D2610" s="443">
        <v>1.6</v>
      </c>
    </row>
    <row r="2611" spans="1:4" ht="47.25">
      <c r="A2611" s="216">
        <v>743</v>
      </c>
      <c r="B2611" s="222" t="s">
        <v>20295</v>
      </c>
      <c r="C2611" s="216" t="s">
        <v>17826</v>
      </c>
      <c r="D2611" s="443">
        <v>1.6</v>
      </c>
    </row>
    <row r="2612" spans="1:4" ht="47.25">
      <c r="A2612" s="216">
        <v>40293</v>
      </c>
      <c r="B2612" s="222" t="s">
        <v>20296</v>
      </c>
      <c r="C2612" s="216" t="s">
        <v>17826</v>
      </c>
      <c r="D2612" s="443">
        <v>1.92</v>
      </c>
    </row>
    <row r="2613" spans="1:4" ht="47.25">
      <c r="A2613" s="216">
        <v>40294</v>
      </c>
      <c r="B2613" s="222" t="s">
        <v>20297</v>
      </c>
      <c r="C2613" s="216" t="s">
        <v>17826</v>
      </c>
      <c r="D2613" s="443">
        <v>1.6</v>
      </c>
    </row>
    <row r="2614" spans="1:4" ht="47.25">
      <c r="A2614" s="216">
        <v>4085</v>
      </c>
      <c r="B2614" s="222" t="s">
        <v>20298</v>
      </c>
      <c r="C2614" s="216" t="s">
        <v>17826</v>
      </c>
      <c r="D2614" s="443">
        <v>2.2400000000000002</v>
      </c>
    </row>
    <row r="2615" spans="1:4" ht="31.5">
      <c r="A2615" s="216">
        <v>10779</v>
      </c>
      <c r="B2615" s="222" t="s">
        <v>20299</v>
      </c>
      <c r="C2615" s="216" t="s">
        <v>17828</v>
      </c>
      <c r="D2615" s="443">
        <v>1187.5</v>
      </c>
    </row>
    <row r="2616" spans="1:4" ht="31.5">
      <c r="A2616" s="216">
        <v>10777</v>
      </c>
      <c r="B2616" s="222" t="s">
        <v>20300</v>
      </c>
      <c r="C2616" s="216" t="s">
        <v>17828</v>
      </c>
      <c r="D2616" s="443">
        <v>1078.6400000000001</v>
      </c>
    </row>
    <row r="2617" spans="1:4" ht="31.5">
      <c r="A2617" s="216">
        <v>10775</v>
      </c>
      <c r="B2617" s="222" t="s">
        <v>20301</v>
      </c>
      <c r="C2617" s="216" t="s">
        <v>17828</v>
      </c>
      <c r="D2617" s="443">
        <v>950</v>
      </c>
    </row>
    <row r="2618" spans="1:4" ht="31.5">
      <c r="A2618" s="216">
        <v>10776</v>
      </c>
      <c r="B2618" s="222" t="s">
        <v>20302</v>
      </c>
      <c r="C2618" s="216" t="s">
        <v>17828</v>
      </c>
      <c r="D2618" s="443">
        <v>742.18</v>
      </c>
    </row>
    <row r="2619" spans="1:4" ht="31.5">
      <c r="A2619" s="216">
        <v>10778</v>
      </c>
      <c r="B2619" s="222" t="s">
        <v>20303</v>
      </c>
      <c r="C2619" s="216" t="s">
        <v>17828</v>
      </c>
      <c r="D2619" s="443">
        <v>1187.5</v>
      </c>
    </row>
    <row r="2620" spans="1:4">
      <c r="A2620" s="216">
        <v>40339</v>
      </c>
      <c r="B2620" s="222" t="s">
        <v>20304</v>
      </c>
      <c r="C2620" s="216" t="s">
        <v>17828</v>
      </c>
      <c r="D2620" s="443">
        <v>4.87</v>
      </c>
    </row>
    <row r="2621" spans="1:4" ht="31.5">
      <c r="A2621" s="216">
        <v>10749</v>
      </c>
      <c r="B2621" s="222" t="s">
        <v>20305</v>
      </c>
      <c r="C2621" s="216" t="s">
        <v>17828</v>
      </c>
      <c r="D2621" s="443">
        <v>8.93</v>
      </c>
    </row>
    <row r="2622" spans="1:4">
      <c r="A2622" s="216">
        <v>40290</v>
      </c>
      <c r="B2622" s="222" t="s">
        <v>20306</v>
      </c>
      <c r="C2622" s="216" t="s">
        <v>20307</v>
      </c>
      <c r="D2622" s="443">
        <v>12.87</v>
      </c>
    </row>
    <row r="2623" spans="1:4">
      <c r="A2623" s="216">
        <v>3346</v>
      </c>
      <c r="B2623" s="222" t="s">
        <v>20308</v>
      </c>
      <c r="C2623" s="216" t="s">
        <v>17826</v>
      </c>
      <c r="D2623" s="443">
        <v>18</v>
      </c>
    </row>
    <row r="2624" spans="1:4">
      <c r="A2624" s="216">
        <v>3348</v>
      </c>
      <c r="B2624" s="222" t="s">
        <v>20309</v>
      </c>
      <c r="C2624" s="216" t="s">
        <v>17826</v>
      </c>
      <c r="D2624" s="443">
        <v>21.53</v>
      </c>
    </row>
    <row r="2625" spans="1:4">
      <c r="A2625" s="216">
        <v>39833</v>
      </c>
      <c r="B2625" s="222" t="s">
        <v>20310</v>
      </c>
      <c r="C2625" s="216" t="s">
        <v>17826</v>
      </c>
      <c r="D2625" s="443">
        <v>29.49</v>
      </c>
    </row>
    <row r="2626" spans="1:4">
      <c r="A2626" s="216">
        <v>7252</v>
      </c>
      <c r="B2626" s="222" t="s">
        <v>20311</v>
      </c>
      <c r="C2626" s="216" t="s">
        <v>17826</v>
      </c>
      <c r="D2626" s="443">
        <v>2.25</v>
      </c>
    </row>
    <row r="2627" spans="1:4">
      <c r="A2627" s="216">
        <v>7247</v>
      </c>
      <c r="B2627" s="222" t="s">
        <v>20312</v>
      </c>
      <c r="C2627" s="216" t="s">
        <v>17826</v>
      </c>
      <c r="D2627" s="443">
        <v>2.25</v>
      </c>
    </row>
    <row r="2628" spans="1:4" ht="31.5">
      <c r="A2628" s="216">
        <v>40291</v>
      </c>
      <c r="B2628" s="222" t="s">
        <v>20313</v>
      </c>
      <c r="C2628" s="216" t="s">
        <v>17828</v>
      </c>
      <c r="D2628" s="443">
        <v>680.24</v>
      </c>
    </row>
    <row r="2629" spans="1:4" ht="31.5">
      <c r="A2629" s="216">
        <v>40275</v>
      </c>
      <c r="B2629" s="222" t="s">
        <v>20314</v>
      </c>
      <c r="C2629" s="216" t="s">
        <v>17828</v>
      </c>
      <c r="D2629" s="443">
        <v>19.5</v>
      </c>
    </row>
    <row r="2630" spans="1:4">
      <c r="A2630" s="216">
        <v>42408</v>
      </c>
      <c r="B2630" s="222" t="s">
        <v>20315</v>
      </c>
      <c r="C2630" s="216" t="s">
        <v>18087</v>
      </c>
      <c r="D2630" s="443">
        <v>2.54</v>
      </c>
    </row>
    <row r="2631" spans="1:4">
      <c r="A2631" s="216">
        <v>3777</v>
      </c>
      <c r="B2631" s="222" t="s">
        <v>20316</v>
      </c>
      <c r="C2631" s="216" t="s">
        <v>18087</v>
      </c>
      <c r="D2631" s="443">
        <v>1.83</v>
      </c>
    </row>
    <row r="2632" spans="1:4">
      <c r="A2632" s="216">
        <v>3798</v>
      </c>
      <c r="B2632" s="222" t="s">
        <v>20317</v>
      </c>
      <c r="C2632" s="216" t="s">
        <v>17678</v>
      </c>
      <c r="D2632" s="443">
        <v>99.34</v>
      </c>
    </row>
    <row r="2633" spans="1:4" ht="31.5">
      <c r="A2633" s="216">
        <v>38769</v>
      </c>
      <c r="B2633" s="222" t="s">
        <v>20318</v>
      </c>
      <c r="C2633" s="216" t="s">
        <v>17678</v>
      </c>
      <c r="D2633" s="443">
        <v>77.58</v>
      </c>
    </row>
    <row r="2634" spans="1:4" ht="31.5">
      <c r="A2634" s="216">
        <v>39510</v>
      </c>
      <c r="B2634" s="222" t="s">
        <v>20319</v>
      </c>
      <c r="C2634" s="216" t="s">
        <v>17678</v>
      </c>
      <c r="D2634" s="443">
        <v>313.97000000000003</v>
      </c>
    </row>
    <row r="2635" spans="1:4" ht="31.5">
      <c r="A2635" s="216">
        <v>38776</v>
      </c>
      <c r="B2635" s="222" t="s">
        <v>20320</v>
      </c>
      <c r="C2635" s="216" t="s">
        <v>17678</v>
      </c>
      <c r="D2635" s="443">
        <v>333.21</v>
      </c>
    </row>
    <row r="2636" spans="1:4">
      <c r="A2636" s="216">
        <v>38774</v>
      </c>
      <c r="B2636" s="222" t="s">
        <v>20321</v>
      </c>
      <c r="C2636" s="216" t="s">
        <v>17678</v>
      </c>
      <c r="D2636" s="443">
        <v>20.85</v>
      </c>
    </row>
    <row r="2637" spans="1:4">
      <c r="A2637" s="216">
        <v>42247</v>
      </c>
      <c r="B2637" s="222" t="s">
        <v>20322</v>
      </c>
      <c r="C2637" s="216" t="s">
        <v>17678</v>
      </c>
      <c r="D2637" s="443">
        <v>711.71</v>
      </c>
    </row>
    <row r="2638" spans="1:4">
      <c r="A2638" s="216">
        <v>42248</v>
      </c>
      <c r="B2638" s="222" t="s">
        <v>20323</v>
      </c>
      <c r="C2638" s="216" t="s">
        <v>17678</v>
      </c>
      <c r="D2638" s="443">
        <v>826.71</v>
      </c>
    </row>
    <row r="2639" spans="1:4">
      <c r="A2639" s="216">
        <v>42249</v>
      </c>
      <c r="B2639" s="222" t="s">
        <v>20324</v>
      </c>
      <c r="C2639" s="216" t="s">
        <v>17678</v>
      </c>
      <c r="D2639" s="443">
        <v>1369.57</v>
      </c>
    </row>
    <row r="2640" spans="1:4">
      <c r="A2640" s="216">
        <v>42244</v>
      </c>
      <c r="B2640" s="222" t="s">
        <v>20325</v>
      </c>
      <c r="C2640" s="216" t="s">
        <v>17678</v>
      </c>
      <c r="D2640" s="443">
        <v>213.88</v>
      </c>
    </row>
    <row r="2641" spans="1:4">
      <c r="A2641" s="216">
        <v>42245</v>
      </c>
      <c r="B2641" s="222" t="s">
        <v>20326</v>
      </c>
      <c r="C2641" s="216" t="s">
        <v>17678</v>
      </c>
      <c r="D2641" s="443">
        <v>394.68</v>
      </c>
    </row>
    <row r="2642" spans="1:4">
      <c r="A2642" s="216">
        <v>42246</v>
      </c>
      <c r="B2642" s="222" t="s">
        <v>20327</v>
      </c>
      <c r="C2642" s="216" t="s">
        <v>17678</v>
      </c>
      <c r="D2642" s="443">
        <v>436.9</v>
      </c>
    </row>
    <row r="2643" spans="1:4">
      <c r="A2643" s="216">
        <v>42243</v>
      </c>
      <c r="B2643" s="222" t="s">
        <v>20328</v>
      </c>
      <c r="C2643" s="216" t="s">
        <v>17678</v>
      </c>
      <c r="D2643" s="443">
        <v>526.82000000000005</v>
      </c>
    </row>
    <row r="2644" spans="1:4" ht="31.5">
      <c r="A2644" s="216">
        <v>38889</v>
      </c>
      <c r="B2644" s="222" t="s">
        <v>20329</v>
      </c>
      <c r="C2644" s="216" t="s">
        <v>17678</v>
      </c>
      <c r="D2644" s="443">
        <v>59.46</v>
      </c>
    </row>
    <row r="2645" spans="1:4" ht="31.5">
      <c r="A2645" s="216">
        <v>38784</v>
      </c>
      <c r="B2645" s="222" t="s">
        <v>20330</v>
      </c>
      <c r="C2645" s="216" t="s">
        <v>17678</v>
      </c>
      <c r="D2645" s="443">
        <v>79.55</v>
      </c>
    </row>
    <row r="2646" spans="1:4" ht="31.5">
      <c r="A2646" s="216">
        <v>3788</v>
      </c>
      <c r="B2646" s="222" t="s">
        <v>20331</v>
      </c>
      <c r="C2646" s="216" t="s">
        <v>17678</v>
      </c>
      <c r="D2646" s="443">
        <v>82.9</v>
      </c>
    </row>
    <row r="2647" spans="1:4" ht="31.5">
      <c r="A2647" s="216">
        <v>12230</v>
      </c>
      <c r="B2647" s="222" t="s">
        <v>20332</v>
      </c>
      <c r="C2647" s="216" t="s">
        <v>17678</v>
      </c>
      <c r="D2647" s="443">
        <v>21.32</v>
      </c>
    </row>
    <row r="2648" spans="1:4" ht="31.5">
      <c r="A2648" s="216">
        <v>3780</v>
      </c>
      <c r="B2648" s="222" t="s">
        <v>20333</v>
      </c>
      <c r="C2648" s="216" t="s">
        <v>17678</v>
      </c>
      <c r="D2648" s="443">
        <v>122.31</v>
      </c>
    </row>
    <row r="2649" spans="1:4" ht="31.5">
      <c r="A2649" s="216">
        <v>12231</v>
      </c>
      <c r="B2649" s="222" t="s">
        <v>20334</v>
      </c>
      <c r="C2649" s="216" t="s">
        <v>17678</v>
      </c>
      <c r="D2649" s="443">
        <v>35.46</v>
      </c>
    </row>
    <row r="2650" spans="1:4" ht="31.5">
      <c r="A2650" s="216">
        <v>3811</v>
      </c>
      <c r="B2650" s="222" t="s">
        <v>20335</v>
      </c>
      <c r="C2650" s="216" t="s">
        <v>17678</v>
      </c>
      <c r="D2650" s="443">
        <v>114.88</v>
      </c>
    </row>
    <row r="2651" spans="1:4" ht="31.5">
      <c r="A2651" s="216">
        <v>12232</v>
      </c>
      <c r="B2651" s="222" t="s">
        <v>20336</v>
      </c>
      <c r="C2651" s="216" t="s">
        <v>17678</v>
      </c>
      <c r="D2651" s="443">
        <v>37.15</v>
      </c>
    </row>
    <row r="2652" spans="1:4" ht="31.5">
      <c r="A2652" s="216">
        <v>3799</v>
      </c>
      <c r="B2652" s="222" t="s">
        <v>20337</v>
      </c>
      <c r="C2652" s="216" t="s">
        <v>17678</v>
      </c>
      <c r="D2652" s="443">
        <v>162.47999999999999</v>
      </c>
    </row>
    <row r="2653" spans="1:4" ht="31.5">
      <c r="A2653" s="216">
        <v>12239</v>
      </c>
      <c r="B2653" s="222" t="s">
        <v>20338</v>
      </c>
      <c r="C2653" s="216" t="s">
        <v>17678</v>
      </c>
      <c r="D2653" s="443">
        <v>48.64</v>
      </c>
    </row>
    <row r="2654" spans="1:4" ht="31.5">
      <c r="A2654" s="216">
        <v>38773</v>
      </c>
      <c r="B2654" s="222" t="s">
        <v>20339</v>
      </c>
      <c r="C2654" s="216" t="s">
        <v>17678</v>
      </c>
      <c r="D2654" s="443">
        <v>7.8</v>
      </c>
    </row>
    <row r="2655" spans="1:4">
      <c r="A2655" s="216">
        <v>12271</v>
      </c>
      <c r="B2655" s="222" t="s">
        <v>20340</v>
      </c>
      <c r="C2655" s="216" t="s">
        <v>17678</v>
      </c>
      <c r="D2655" s="443">
        <v>435.03</v>
      </c>
    </row>
    <row r="2656" spans="1:4">
      <c r="A2656" s="216">
        <v>13382</v>
      </c>
      <c r="B2656" s="222" t="s">
        <v>20341</v>
      </c>
      <c r="C2656" s="216" t="s">
        <v>17678</v>
      </c>
      <c r="D2656" s="443">
        <v>463.56</v>
      </c>
    </row>
    <row r="2657" spans="1:4">
      <c r="A2657" s="216">
        <v>38785</v>
      </c>
      <c r="B2657" s="222" t="s">
        <v>20342</v>
      </c>
      <c r="C2657" s="216" t="s">
        <v>17678</v>
      </c>
      <c r="D2657" s="443">
        <v>205.96</v>
      </c>
    </row>
    <row r="2658" spans="1:4">
      <c r="A2658" s="216">
        <v>38786</v>
      </c>
      <c r="B2658" s="222" t="s">
        <v>20343</v>
      </c>
      <c r="C2658" s="216" t="s">
        <v>17678</v>
      </c>
      <c r="D2658" s="443">
        <v>253.7</v>
      </c>
    </row>
    <row r="2659" spans="1:4">
      <c r="A2659" s="216">
        <v>39385</v>
      </c>
      <c r="B2659" s="222" t="s">
        <v>20344</v>
      </c>
      <c r="C2659" s="216" t="s">
        <v>17678</v>
      </c>
      <c r="D2659" s="443">
        <v>19.07</v>
      </c>
    </row>
    <row r="2660" spans="1:4">
      <c r="A2660" s="216">
        <v>39389</v>
      </c>
      <c r="B2660" s="222" t="s">
        <v>20345</v>
      </c>
      <c r="C2660" s="216" t="s">
        <v>17678</v>
      </c>
      <c r="D2660" s="443">
        <v>20.69</v>
      </c>
    </row>
    <row r="2661" spans="1:4">
      <c r="A2661" s="216">
        <v>39390</v>
      </c>
      <c r="B2661" s="222" t="s">
        <v>20346</v>
      </c>
      <c r="C2661" s="216" t="s">
        <v>17678</v>
      </c>
      <c r="D2661" s="443">
        <v>43.37</v>
      </c>
    </row>
    <row r="2662" spans="1:4">
      <c r="A2662" s="216">
        <v>39391</v>
      </c>
      <c r="B2662" s="222" t="s">
        <v>20347</v>
      </c>
      <c r="C2662" s="216" t="s">
        <v>17678</v>
      </c>
      <c r="D2662" s="443">
        <v>48.69</v>
      </c>
    </row>
    <row r="2663" spans="1:4" ht="31.5">
      <c r="A2663" s="216">
        <v>3803</v>
      </c>
      <c r="B2663" s="222" t="s">
        <v>20348</v>
      </c>
      <c r="C2663" s="216" t="s">
        <v>17678</v>
      </c>
      <c r="D2663" s="443">
        <v>73.56</v>
      </c>
    </row>
    <row r="2664" spans="1:4" ht="31.5">
      <c r="A2664" s="216">
        <v>38770</v>
      </c>
      <c r="B2664" s="222" t="s">
        <v>20349</v>
      </c>
      <c r="C2664" s="216" t="s">
        <v>17678</v>
      </c>
      <c r="D2664" s="443">
        <v>85.18</v>
      </c>
    </row>
    <row r="2665" spans="1:4">
      <c r="A2665" s="216">
        <v>12267</v>
      </c>
      <c r="B2665" s="222" t="s">
        <v>20350</v>
      </c>
      <c r="C2665" s="216" t="s">
        <v>17678</v>
      </c>
      <c r="D2665" s="443">
        <v>249.61</v>
      </c>
    </row>
    <row r="2666" spans="1:4" ht="63">
      <c r="A2666" s="216">
        <v>43265</v>
      </c>
      <c r="B2666" s="222" t="s">
        <v>20351</v>
      </c>
      <c r="C2666" s="216" t="s">
        <v>17678</v>
      </c>
      <c r="D2666" s="443">
        <v>59.64</v>
      </c>
    </row>
    <row r="2667" spans="1:4" ht="31.5">
      <c r="A2667" s="216">
        <v>12266</v>
      </c>
      <c r="B2667" s="222" t="s">
        <v>20352</v>
      </c>
      <c r="C2667" s="216" t="s">
        <v>17678</v>
      </c>
      <c r="D2667" s="443">
        <v>127.76</v>
      </c>
    </row>
    <row r="2668" spans="1:4" ht="31.5">
      <c r="A2668" s="216">
        <v>39378</v>
      </c>
      <c r="B2668" s="222" t="s">
        <v>20353</v>
      </c>
      <c r="C2668" s="216" t="s">
        <v>17678</v>
      </c>
      <c r="D2668" s="443">
        <v>90.58</v>
      </c>
    </row>
    <row r="2669" spans="1:4" ht="31.5">
      <c r="A2669" s="216">
        <v>43543</v>
      </c>
      <c r="B2669" s="222" t="s">
        <v>20354</v>
      </c>
      <c r="C2669" s="216" t="s">
        <v>17678</v>
      </c>
      <c r="D2669" s="443">
        <v>188.7</v>
      </c>
    </row>
    <row r="2670" spans="1:4" ht="31.5">
      <c r="A2670" s="216">
        <v>38775</v>
      </c>
      <c r="B2670" s="222" t="s">
        <v>20355</v>
      </c>
      <c r="C2670" s="216" t="s">
        <v>17678</v>
      </c>
      <c r="D2670" s="443">
        <v>96.03</v>
      </c>
    </row>
    <row r="2671" spans="1:4">
      <c r="A2671" s="216">
        <v>44252</v>
      </c>
      <c r="B2671" s="222" t="s">
        <v>20356</v>
      </c>
      <c r="C2671" s="216" t="s">
        <v>17678</v>
      </c>
      <c r="D2671" s="443">
        <v>186.55</v>
      </c>
    </row>
    <row r="2672" spans="1:4">
      <c r="A2672" s="216">
        <v>21119</v>
      </c>
      <c r="B2672" s="222" t="s">
        <v>20357</v>
      </c>
      <c r="C2672" s="216" t="s">
        <v>17678</v>
      </c>
      <c r="D2672" s="443">
        <v>1.87</v>
      </c>
    </row>
    <row r="2673" spans="1:4">
      <c r="A2673" s="216">
        <v>37974</v>
      </c>
      <c r="B2673" s="222" t="s">
        <v>20358</v>
      </c>
      <c r="C2673" s="216" t="s">
        <v>17678</v>
      </c>
      <c r="D2673" s="443">
        <v>2.42</v>
      </c>
    </row>
    <row r="2674" spans="1:4">
      <c r="A2674" s="216">
        <v>37975</v>
      </c>
      <c r="B2674" s="222" t="s">
        <v>20359</v>
      </c>
      <c r="C2674" s="216" t="s">
        <v>17678</v>
      </c>
      <c r="D2674" s="443">
        <v>5.39</v>
      </c>
    </row>
    <row r="2675" spans="1:4">
      <c r="A2675" s="216">
        <v>37976</v>
      </c>
      <c r="B2675" s="222" t="s">
        <v>20360</v>
      </c>
      <c r="C2675" s="216" t="s">
        <v>17678</v>
      </c>
      <c r="D2675" s="443">
        <v>11.99</v>
      </c>
    </row>
    <row r="2676" spans="1:4">
      <c r="A2676" s="216">
        <v>37977</v>
      </c>
      <c r="B2676" s="222" t="s">
        <v>20361</v>
      </c>
      <c r="C2676" s="216" t="s">
        <v>17678</v>
      </c>
      <c r="D2676" s="443">
        <v>16.600000000000001</v>
      </c>
    </row>
    <row r="2677" spans="1:4">
      <c r="A2677" s="216">
        <v>37978</v>
      </c>
      <c r="B2677" s="222" t="s">
        <v>20362</v>
      </c>
      <c r="C2677" s="216" t="s">
        <v>17678</v>
      </c>
      <c r="D2677" s="443">
        <v>32.909999999999997</v>
      </c>
    </row>
    <row r="2678" spans="1:4">
      <c r="A2678" s="216">
        <v>37979</v>
      </c>
      <c r="B2678" s="222" t="s">
        <v>20363</v>
      </c>
      <c r="C2678" s="216" t="s">
        <v>17678</v>
      </c>
      <c r="D2678" s="443">
        <v>139.66</v>
      </c>
    </row>
    <row r="2679" spans="1:4">
      <c r="A2679" s="216">
        <v>37980</v>
      </c>
      <c r="B2679" s="222" t="s">
        <v>20364</v>
      </c>
      <c r="C2679" s="216" t="s">
        <v>17678</v>
      </c>
      <c r="D2679" s="443">
        <v>160.43</v>
      </c>
    </row>
    <row r="2680" spans="1:4">
      <c r="A2680" s="216">
        <v>36147</v>
      </c>
      <c r="B2680" s="222" t="s">
        <v>20365</v>
      </c>
      <c r="C2680" s="216" t="s">
        <v>18101</v>
      </c>
      <c r="D2680" s="443">
        <v>347.78</v>
      </c>
    </row>
    <row r="2681" spans="1:4">
      <c r="A2681" s="216">
        <v>12731</v>
      </c>
      <c r="B2681" s="222" t="s">
        <v>20366</v>
      </c>
      <c r="C2681" s="216" t="s">
        <v>17678</v>
      </c>
      <c r="D2681" s="443">
        <v>358.68</v>
      </c>
    </row>
    <row r="2682" spans="1:4">
      <c r="A2682" s="216">
        <v>12723</v>
      </c>
      <c r="B2682" s="222" t="s">
        <v>20367</v>
      </c>
      <c r="C2682" s="216" t="s">
        <v>17678</v>
      </c>
      <c r="D2682" s="443">
        <v>2.78</v>
      </c>
    </row>
    <row r="2683" spans="1:4">
      <c r="A2683" s="216">
        <v>12724</v>
      </c>
      <c r="B2683" s="222" t="s">
        <v>20368</v>
      </c>
      <c r="C2683" s="216" t="s">
        <v>17678</v>
      </c>
      <c r="D2683" s="443">
        <v>5.34</v>
      </c>
    </row>
    <row r="2684" spans="1:4">
      <c r="A2684" s="216">
        <v>12725</v>
      </c>
      <c r="B2684" s="222" t="s">
        <v>20369</v>
      </c>
      <c r="C2684" s="216" t="s">
        <v>17678</v>
      </c>
      <c r="D2684" s="443">
        <v>10.72</v>
      </c>
    </row>
    <row r="2685" spans="1:4">
      <c r="A2685" s="216">
        <v>12726</v>
      </c>
      <c r="B2685" s="222" t="s">
        <v>20370</v>
      </c>
      <c r="C2685" s="216" t="s">
        <v>17678</v>
      </c>
      <c r="D2685" s="443">
        <v>23.66</v>
      </c>
    </row>
    <row r="2686" spans="1:4">
      <c r="A2686" s="216">
        <v>12727</v>
      </c>
      <c r="B2686" s="222" t="s">
        <v>20371</v>
      </c>
      <c r="C2686" s="216" t="s">
        <v>17678</v>
      </c>
      <c r="D2686" s="443">
        <v>30.01</v>
      </c>
    </row>
    <row r="2687" spans="1:4">
      <c r="A2687" s="216">
        <v>12728</v>
      </c>
      <c r="B2687" s="222" t="s">
        <v>20372</v>
      </c>
      <c r="C2687" s="216" t="s">
        <v>17678</v>
      </c>
      <c r="D2687" s="443">
        <v>49.02</v>
      </c>
    </row>
    <row r="2688" spans="1:4">
      <c r="A2688" s="216">
        <v>12729</v>
      </c>
      <c r="B2688" s="222" t="s">
        <v>20373</v>
      </c>
      <c r="C2688" s="216" t="s">
        <v>17678</v>
      </c>
      <c r="D2688" s="443">
        <v>160.66</v>
      </c>
    </row>
    <row r="2689" spans="1:4">
      <c r="A2689" s="216">
        <v>12730</v>
      </c>
      <c r="B2689" s="222" t="s">
        <v>20374</v>
      </c>
      <c r="C2689" s="216" t="s">
        <v>17678</v>
      </c>
      <c r="D2689" s="443">
        <v>245.98</v>
      </c>
    </row>
    <row r="2690" spans="1:4">
      <c r="A2690" s="216">
        <v>3840</v>
      </c>
      <c r="B2690" s="222" t="s">
        <v>20375</v>
      </c>
      <c r="C2690" s="216" t="s">
        <v>17678</v>
      </c>
      <c r="D2690" s="443">
        <v>58.56</v>
      </c>
    </row>
    <row r="2691" spans="1:4">
      <c r="A2691" s="216">
        <v>3838</v>
      </c>
      <c r="B2691" s="222" t="s">
        <v>20376</v>
      </c>
      <c r="C2691" s="216" t="s">
        <v>17678</v>
      </c>
      <c r="D2691" s="443">
        <v>129.25</v>
      </c>
    </row>
    <row r="2692" spans="1:4">
      <c r="A2692" s="216">
        <v>3844</v>
      </c>
      <c r="B2692" s="222" t="s">
        <v>20377</v>
      </c>
      <c r="C2692" s="216" t="s">
        <v>17678</v>
      </c>
      <c r="D2692" s="443">
        <v>230.54</v>
      </c>
    </row>
    <row r="2693" spans="1:4">
      <c r="A2693" s="216">
        <v>3839</v>
      </c>
      <c r="B2693" s="222" t="s">
        <v>20378</v>
      </c>
      <c r="C2693" s="216" t="s">
        <v>17678</v>
      </c>
      <c r="D2693" s="443">
        <v>419.93</v>
      </c>
    </row>
    <row r="2694" spans="1:4">
      <c r="A2694" s="216">
        <v>3843</v>
      </c>
      <c r="B2694" s="222" t="s">
        <v>20379</v>
      </c>
      <c r="C2694" s="216" t="s">
        <v>17678</v>
      </c>
      <c r="D2694" s="443">
        <v>576.36</v>
      </c>
    </row>
    <row r="2695" spans="1:4">
      <c r="A2695" s="216">
        <v>3900</v>
      </c>
      <c r="B2695" s="222" t="s">
        <v>20380</v>
      </c>
      <c r="C2695" s="216" t="s">
        <v>17678</v>
      </c>
      <c r="D2695" s="443">
        <v>54.23</v>
      </c>
    </row>
    <row r="2696" spans="1:4">
      <c r="A2696" s="216">
        <v>3846</v>
      </c>
      <c r="B2696" s="222" t="s">
        <v>20381</v>
      </c>
      <c r="C2696" s="216" t="s">
        <v>17678</v>
      </c>
      <c r="D2696" s="443">
        <v>16.29</v>
      </c>
    </row>
    <row r="2697" spans="1:4">
      <c r="A2697" s="216">
        <v>3886</v>
      </c>
      <c r="B2697" s="222" t="s">
        <v>20382</v>
      </c>
      <c r="C2697" s="216" t="s">
        <v>17678</v>
      </c>
      <c r="D2697" s="443">
        <v>21.63</v>
      </c>
    </row>
    <row r="2698" spans="1:4">
      <c r="A2698" s="216">
        <v>3854</v>
      </c>
      <c r="B2698" s="222" t="s">
        <v>20383</v>
      </c>
      <c r="C2698" s="216" t="s">
        <v>17678</v>
      </c>
      <c r="D2698" s="443">
        <v>12.33</v>
      </c>
    </row>
    <row r="2699" spans="1:4">
      <c r="A2699" s="216">
        <v>3873</v>
      </c>
      <c r="B2699" s="222" t="s">
        <v>20384</v>
      </c>
      <c r="C2699" s="216" t="s">
        <v>17678</v>
      </c>
      <c r="D2699" s="443">
        <v>14.35</v>
      </c>
    </row>
    <row r="2700" spans="1:4">
      <c r="A2700" s="216">
        <v>38021</v>
      </c>
      <c r="B2700" s="222" t="s">
        <v>20385</v>
      </c>
      <c r="C2700" s="216" t="s">
        <v>17678</v>
      </c>
      <c r="D2700" s="443">
        <v>25.48</v>
      </c>
    </row>
    <row r="2701" spans="1:4">
      <c r="A2701" s="216">
        <v>43838</v>
      </c>
      <c r="B2701" s="222" t="s">
        <v>20386</v>
      </c>
      <c r="C2701" s="216" t="s">
        <v>17678</v>
      </c>
      <c r="D2701" s="443">
        <v>32.94</v>
      </c>
    </row>
    <row r="2702" spans="1:4">
      <c r="A2702" s="216">
        <v>3847</v>
      </c>
      <c r="B2702" s="222" t="s">
        <v>20387</v>
      </c>
      <c r="C2702" s="216" t="s">
        <v>17678</v>
      </c>
      <c r="D2702" s="443">
        <v>33.21</v>
      </c>
    </row>
    <row r="2703" spans="1:4">
      <c r="A2703" s="216">
        <v>38022</v>
      </c>
      <c r="B2703" s="222" t="s">
        <v>20388</v>
      </c>
      <c r="C2703" s="216" t="s">
        <v>17678</v>
      </c>
      <c r="D2703" s="443">
        <v>45.65</v>
      </c>
    </row>
    <row r="2704" spans="1:4">
      <c r="A2704" s="216">
        <v>3830</v>
      </c>
      <c r="B2704" s="222" t="s">
        <v>20389</v>
      </c>
      <c r="C2704" s="216" t="s">
        <v>17678</v>
      </c>
      <c r="D2704" s="443">
        <v>201.74</v>
      </c>
    </row>
    <row r="2705" spans="1:4">
      <c r="A2705" s="216">
        <v>37981</v>
      </c>
      <c r="B2705" s="222" t="s">
        <v>20390</v>
      </c>
      <c r="C2705" s="216" t="s">
        <v>17678</v>
      </c>
      <c r="D2705" s="443">
        <v>6.99</v>
      </c>
    </row>
    <row r="2706" spans="1:4">
      <c r="A2706" s="216">
        <v>37982</v>
      </c>
      <c r="B2706" s="222" t="s">
        <v>20391</v>
      </c>
      <c r="C2706" s="216" t="s">
        <v>17678</v>
      </c>
      <c r="D2706" s="443">
        <v>10.14</v>
      </c>
    </row>
    <row r="2707" spans="1:4">
      <c r="A2707" s="216">
        <v>37983</v>
      </c>
      <c r="B2707" s="222" t="s">
        <v>20392</v>
      </c>
      <c r="C2707" s="216" t="s">
        <v>17678</v>
      </c>
      <c r="D2707" s="443">
        <v>14.99</v>
      </c>
    </row>
    <row r="2708" spans="1:4">
      <c r="A2708" s="216">
        <v>37984</v>
      </c>
      <c r="B2708" s="222" t="s">
        <v>20393</v>
      </c>
      <c r="C2708" s="216" t="s">
        <v>17678</v>
      </c>
      <c r="D2708" s="443">
        <v>21.06</v>
      </c>
    </row>
    <row r="2709" spans="1:4">
      <c r="A2709" s="216">
        <v>37985</v>
      </c>
      <c r="B2709" s="222" t="s">
        <v>20394</v>
      </c>
      <c r="C2709" s="216" t="s">
        <v>17678</v>
      </c>
      <c r="D2709" s="443">
        <v>29.92</v>
      </c>
    </row>
    <row r="2710" spans="1:4">
      <c r="A2710" s="216">
        <v>3826</v>
      </c>
      <c r="B2710" s="222" t="s">
        <v>20395</v>
      </c>
      <c r="C2710" s="216" t="s">
        <v>17678</v>
      </c>
      <c r="D2710" s="443">
        <v>58.11</v>
      </c>
    </row>
    <row r="2711" spans="1:4">
      <c r="A2711" s="216">
        <v>3825</v>
      </c>
      <c r="B2711" s="222" t="s">
        <v>20396</v>
      </c>
      <c r="C2711" s="216" t="s">
        <v>17678</v>
      </c>
      <c r="D2711" s="443">
        <v>16.71</v>
      </c>
    </row>
    <row r="2712" spans="1:4">
      <c r="A2712" s="216">
        <v>3827</v>
      </c>
      <c r="B2712" s="222" t="s">
        <v>20397</v>
      </c>
      <c r="C2712" s="216" t="s">
        <v>17678</v>
      </c>
      <c r="D2712" s="443">
        <v>36.51</v>
      </c>
    </row>
    <row r="2713" spans="1:4">
      <c r="A2713" s="216">
        <v>20165</v>
      </c>
      <c r="B2713" s="222" t="s">
        <v>20398</v>
      </c>
      <c r="C2713" s="216" t="s">
        <v>17678</v>
      </c>
      <c r="D2713" s="443">
        <v>25.01</v>
      </c>
    </row>
    <row r="2714" spans="1:4">
      <c r="A2714" s="216">
        <v>20166</v>
      </c>
      <c r="B2714" s="222" t="s">
        <v>20399</v>
      </c>
      <c r="C2714" s="216" t="s">
        <v>17678</v>
      </c>
      <c r="D2714" s="443">
        <v>76.38</v>
      </c>
    </row>
    <row r="2715" spans="1:4">
      <c r="A2715" s="216">
        <v>20164</v>
      </c>
      <c r="B2715" s="222" t="s">
        <v>20400</v>
      </c>
      <c r="C2715" s="216" t="s">
        <v>17678</v>
      </c>
      <c r="D2715" s="443">
        <v>12.01</v>
      </c>
    </row>
    <row r="2716" spans="1:4">
      <c r="A2716" s="216">
        <v>3893</v>
      </c>
      <c r="B2716" s="222" t="s">
        <v>20401</v>
      </c>
      <c r="C2716" s="216" t="s">
        <v>17678</v>
      </c>
      <c r="D2716" s="443">
        <v>18.829999999999998</v>
      </c>
    </row>
    <row r="2717" spans="1:4">
      <c r="A2717" s="216">
        <v>3848</v>
      </c>
      <c r="B2717" s="222" t="s">
        <v>20402</v>
      </c>
      <c r="C2717" s="216" t="s">
        <v>17678</v>
      </c>
      <c r="D2717" s="443">
        <v>11.48</v>
      </c>
    </row>
    <row r="2718" spans="1:4">
      <c r="A2718" s="216">
        <v>3895</v>
      </c>
      <c r="B2718" s="222" t="s">
        <v>20403</v>
      </c>
      <c r="C2718" s="216" t="s">
        <v>17678</v>
      </c>
      <c r="D2718" s="443">
        <v>12.75</v>
      </c>
    </row>
    <row r="2719" spans="1:4">
      <c r="A2719" s="216">
        <v>12404</v>
      </c>
      <c r="B2719" s="222" t="s">
        <v>20404</v>
      </c>
      <c r="C2719" s="216" t="s">
        <v>17678</v>
      </c>
      <c r="D2719" s="443">
        <v>11.67</v>
      </c>
    </row>
    <row r="2720" spans="1:4">
      <c r="A2720" s="216">
        <v>3939</v>
      </c>
      <c r="B2720" s="222" t="s">
        <v>20405</v>
      </c>
      <c r="C2720" s="216" t="s">
        <v>17678</v>
      </c>
      <c r="D2720" s="443">
        <v>24.05</v>
      </c>
    </row>
    <row r="2721" spans="1:4">
      <c r="A2721" s="216">
        <v>3911</v>
      </c>
      <c r="B2721" s="222" t="s">
        <v>20406</v>
      </c>
      <c r="C2721" s="216" t="s">
        <v>17678</v>
      </c>
      <c r="D2721" s="443">
        <v>19.64</v>
      </c>
    </row>
    <row r="2722" spans="1:4">
      <c r="A2722" s="216">
        <v>3908</v>
      </c>
      <c r="B2722" s="222" t="s">
        <v>20407</v>
      </c>
      <c r="C2722" s="216" t="s">
        <v>17678</v>
      </c>
      <c r="D2722" s="443">
        <v>6.35</v>
      </c>
    </row>
    <row r="2723" spans="1:4">
      <c r="A2723" s="216">
        <v>3910</v>
      </c>
      <c r="B2723" s="222" t="s">
        <v>20408</v>
      </c>
      <c r="C2723" s="216" t="s">
        <v>17678</v>
      </c>
      <c r="D2723" s="443">
        <v>14.05</v>
      </c>
    </row>
    <row r="2724" spans="1:4">
      <c r="A2724" s="216">
        <v>3913</v>
      </c>
      <c r="B2724" s="222" t="s">
        <v>20409</v>
      </c>
      <c r="C2724" s="216" t="s">
        <v>17678</v>
      </c>
      <c r="D2724" s="443">
        <v>67.180000000000007</v>
      </c>
    </row>
    <row r="2725" spans="1:4">
      <c r="A2725" s="216">
        <v>3912</v>
      </c>
      <c r="B2725" s="222" t="s">
        <v>20410</v>
      </c>
      <c r="C2725" s="216" t="s">
        <v>17678</v>
      </c>
      <c r="D2725" s="443">
        <v>36.82</v>
      </c>
    </row>
    <row r="2726" spans="1:4">
      <c r="A2726" s="216">
        <v>3909</v>
      </c>
      <c r="B2726" s="222" t="s">
        <v>20411</v>
      </c>
      <c r="C2726" s="216" t="s">
        <v>17678</v>
      </c>
      <c r="D2726" s="443">
        <v>8.64</v>
      </c>
    </row>
    <row r="2727" spans="1:4">
      <c r="A2727" s="216">
        <v>3914</v>
      </c>
      <c r="B2727" s="222" t="s">
        <v>20412</v>
      </c>
      <c r="C2727" s="216" t="s">
        <v>17678</v>
      </c>
      <c r="D2727" s="443">
        <v>101.34</v>
      </c>
    </row>
    <row r="2728" spans="1:4">
      <c r="A2728" s="216">
        <v>3915</v>
      </c>
      <c r="B2728" s="222" t="s">
        <v>20413</v>
      </c>
      <c r="C2728" s="216" t="s">
        <v>17678</v>
      </c>
      <c r="D2728" s="443">
        <v>159.81</v>
      </c>
    </row>
    <row r="2729" spans="1:4">
      <c r="A2729" s="216">
        <v>3916</v>
      </c>
      <c r="B2729" s="222" t="s">
        <v>20414</v>
      </c>
      <c r="C2729" s="216" t="s">
        <v>17678</v>
      </c>
      <c r="D2729" s="443">
        <v>291.14</v>
      </c>
    </row>
    <row r="2730" spans="1:4">
      <c r="A2730" s="216">
        <v>3917</v>
      </c>
      <c r="B2730" s="222" t="s">
        <v>20415</v>
      </c>
      <c r="C2730" s="216" t="s">
        <v>17678</v>
      </c>
      <c r="D2730" s="443">
        <v>480.21</v>
      </c>
    </row>
    <row r="2731" spans="1:4">
      <c r="A2731" s="216">
        <v>1904</v>
      </c>
      <c r="B2731" s="222" t="s">
        <v>20416</v>
      </c>
      <c r="C2731" s="216" t="s">
        <v>17678</v>
      </c>
      <c r="D2731" s="443">
        <v>1.29</v>
      </c>
    </row>
    <row r="2732" spans="1:4">
      <c r="A2732" s="216">
        <v>1899</v>
      </c>
      <c r="B2732" s="222" t="s">
        <v>20417</v>
      </c>
      <c r="C2732" s="216" t="s">
        <v>17678</v>
      </c>
      <c r="D2732" s="443">
        <v>1.46</v>
      </c>
    </row>
    <row r="2733" spans="1:4">
      <c r="A2733" s="216">
        <v>1900</v>
      </c>
      <c r="B2733" s="222" t="s">
        <v>20418</v>
      </c>
      <c r="C2733" s="216" t="s">
        <v>17678</v>
      </c>
      <c r="D2733" s="443">
        <v>2.36</v>
      </c>
    </row>
    <row r="2734" spans="1:4">
      <c r="A2734" s="216">
        <v>12407</v>
      </c>
      <c r="B2734" s="222" t="s">
        <v>20419</v>
      </c>
      <c r="C2734" s="216" t="s">
        <v>17678</v>
      </c>
      <c r="D2734" s="443">
        <v>36.35</v>
      </c>
    </row>
    <row r="2735" spans="1:4">
      <c r="A2735" s="216">
        <v>12408</v>
      </c>
      <c r="B2735" s="222" t="s">
        <v>20420</v>
      </c>
      <c r="C2735" s="216" t="s">
        <v>17678</v>
      </c>
      <c r="D2735" s="443">
        <v>20.52</v>
      </c>
    </row>
    <row r="2736" spans="1:4">
      <c r="A2736" s="216">
        <v>12409</v>
      </c>
      <c r="B2736" s="222" t="s">
        <v>20421</v>
      </c>
      <c r="C2736" s="216" t="s">
        <v>17678</v>
      </c>
      <c r="D2736" s="443">
        <v>20.52</v>
      </c>
    </row>
    <row r="2737" spans="1:4">
      <c r="A2737" s="216">
        <v>12410</v>
      </c>
      <c r="B2737" s="222" t="s">
        <v>20422</v>
      </c>
      <c r="C2737" s="216" t="s">
        <v>17678</v>
      </c>
      <c r="D2737" s="443">
        <v>14.13</v>
      </c>
    </row>
    <row r="2738" spans="1:4">
      <c r="A2738" s="216">
        <v>3936</v>
      </c>
      <c r="B2738" s="222" t="s">
        <v>20423</v>
      </c>
      <c r="C2738" s="216" t="s">
        <v>17678</v>
      </c>
      <c r="D2738" s="443">
        <v>25.54</v>
      </c>
    </row>
    <row r="2739" spans="1:4">
      <c r="A2739" s="216">
        <v>3922</v>
      </c>
      <c r="B2739" s="222" t="s">
        <v>20424</v>
      </c>
      <c r="C2739" s="216" t="s">
        <v>17678</v>
      </c>
      <c r="D2739" s="443">
        <v>23.49</v>
      </c>
    </row>
    <row r="2740" spans="1:4">
      <c r="A2740" s="216">
        <v>3924</v>
      </c>
      <c r="B2740" s="222" t="s">
        <v>20425</v>
      </c>
      <c r="C2740" s="216" t="s">
        <v>17678</v>
      </c>
      <c r="D2740" s="443">
        <v>25.54</v>
      </c>
    </row>
    <row r="2741" spans="1:4">
      <c r="A2741" s="216">
        <v>3923</v>
      </c>
      <c r="B2741" s="222" t="s">
        <v>20426</v>
      </c>
      <c r="C2741" s="216" t="s">
        <v>17678</v>
      </c>
      <c r="D2741" s="443">
        <v>25.54</v>
      </c>
    </row>
    <row r="2742" spans="1:4">
      <c r="A2742" s="216">
        <v>3937</v>
      </c>
      <c r="B2742" s="222" t="s">
        <v>20427</v>
      </c>
      <c r="C2742" s="216" t="s">
        <v>17678</v>
      </c>
      <c r="D2742" s="443">
        <v>21.07</v>
      </c>
    </row>
    <row r="2743" spans="1:4">
      <c r="A2743" s="216">
        <v>3921</v>
      </c>
      <c r="B2743" s="222" t="s">
        <v>20428</v>
      </c>
      <c r="C2743" s="216" t="s">
        <v>17678</v>
      </c>
      <c r="D2743" s="443">
        <v>21.08</v>
      </c>
    </row>
    <row r="2744" spans="1:4">
      <c r="A2744" s="216">
        <v>3920</v>
      </c>
      <c r="B2744" s="222" t="s">
        <v>20429</v>
      </c>
      <c r="C2744" s="216" t="s">
        <v>17678</v>
      </c>
      <c r="D2744" s="443">
        <v>21.07</v>
      </c>
    </row>
    <row r="2745" spans="1:4">
      <c r="A2745" s="216">
        <v>3938</v>
      </c>
      <c r="B2745" s="222" t="s">
        <v>20430</v>
      </c>
      <c r="C2745" s="216" t="s">
        <v>17678</v>
      </c>
      <c r="D2745" s="443">
        <v>13.89</v>
      </c>
    </row>
    <row r="2746" spans="1:4">
      <c r="A2746" s="216">
        <v>3919</v>
      </c>
      <c r="B2746" s="222" t="s">
        <v>20431</v>
      </c>
      <c r="C2746" s="216" t="s">
        <v>17678</v>
      </c>
      <c r="D2746" s="443">
        <v>14.16</v>
      </c>
    </row>
    <row r="2747" spans="1:4">
      <c r="A2747" s="216">
        <v>3927</v>
      </c>
      <c r="B2747" s="222" t="s">
        <v>20432</v>
      </c>
      <c r="C2747" s="216" t="s">
        <v>17678</v>
      </c>
      <c r="D2747" s="443">
        <v>71.73</v>
      </c>
    </row>
    <row r="2748" spans="1:4">
      <c r="A2748" s="216">
        <v>3928</v>
      </c>
      <c r="B2748" s="222" t="s">
        <v>20433</v>
      </c>
      <c r="C2748" s="216" t="s">
        <v>17678</v>
      </c>
      <c r="D2748" s="443">
        <v>71.73</v>
      </c>
    </row>
    <row r="2749" spans="1:4">
      <c r="A2749" s="216">
        <v>3926</v>
      </c>
      <c r="B2749" s="222" t="s">
        <v>20434</v>
      </c>
      <c r="C2749" s="216" t="s">
        <v>17678</v>
      </c>
      <c r="D2749" s="443">
        <v>40.89</v>
      </c>
    </row>
    <row r="2750" spans="1:4">
      <c r="A2750" s="216">
        <v>3935</v>
      </c>
      <c r="B2750" s="222" t="s">
        <v>20435</v>
      </c>
      <c r="C2750" s="216" t="s">
        <v>17678</v>
      </c>
      <c r="D2750" s="443">
        <v>40.89</v>
      </c>
    </row>
    <row r="2751" spans="1:4">
      <c r="A2751" s="216">
        <v>3925</v>
      </c>
      <c r="B2751" s="222" t="s">
        <v>20436</v>
      </c>
      <c r="C2751" s="216" t="s">
        <v>17678</v>
      </c>
      <c r="D2751" s="443">
        <v>40.89</v>
      </c>
    </row>
    <row r="2752" spans="1:4">
      <c r="A2752" s="216">
        <v>12406</v>
      </c>
      <c r="B2752" s="222" t="s">
        <v>20437</v>
      </c>
      <c r="C2752" s="216" t="s">
        <v>17678</v>
      </c>
      <c r="D2752" s="443">
        <v>10.039999999999999</v>
      </c>
    </row>
    <row r="2753" spans="1:4">
      <c r="A2753" s="216">
        <v>3929</v>
      </c>
      <c r="B2753" s="222" t="s">
        <v>20438</v>
      </c>
      <c r="C2753" s="216" t="s">
        <v>17678</v>
      </c>
      <c r="D2753" s="443">
        <v>109.28</v>
      </c>
    </row>
    <row r="2754" spans="1:4">
      <c r="A2754" s="216">
        <v>3931</v>
      </c>
      <c r="B2754" s="222" t="s">
        <v>20439</v>
      </c>
      <c r="C2754" s="216" t="s">
        <v>17678</v>
      </c>
      <c r="D2754" s="443">
        <v>109.28</v>
      </c>
    </row>
    <row r="2755" spans="1:4">
      <c r="A2755" s="216">
        <v>3930</v>
      </c>
      <c r="B2755" s="222" t="s">
        <v>20440</v>
      </c>
      <c r="C2755" s="216" t="s">
        <v>17678</v>
      </c>
      <c r="D2755" s="443">
        <v>109.28</v>
      </c>
    </row>
    <row r="2756" spans="1:4">
      <c r="A2756" s="216">
        <v>3932</v>
      </c>
      <c r="B2756" s="222" t="s">
        <v>20441</v>
      </c>
      <c r="C2756" s="216" t="s">
        <v>17678</v>
      </c>
      <c r="D2756" s="443">
        <v>188.71</v>
      </c>
    </row>
    <row r="2757" spans="1:4">
      <c r="A2757" s="216">
        <v>3933</v>
      </c>
      <c r="B2757" s="222" t="s">
        <v>20442</v>
      </c>
      <c r="C2757" s="216" t="s">
        <v>17678</v>
      </c>
      <c r="D2757" s="443">
        <v>188.71</v>
      </c>
    </row>
    <row r="2758" spans="1:4">
      <c r="A2758" s="216">
        <v>3934</v>
      </c>
      <c r="B2758" s="222" t="s">
        <v>20443</v>
      </c>
      <c r="C2758" s="216" t="s">
        <v>17678</v>
      </c>
      <c r="D2758" s="443">
        <v>188.71</v>
      </c>
    </row>
    <row r="2759" spans="1:4">
      <c r="A2759" s="216">
        <v>40355</v>
      </c>
      <c r="B2759" s="222" t="s">
        <v>20444</v>
      </c>
      <c r="C2759" s="216" t="s">
        <v>17678</v>
      </c>
      <c r="D2759" s="443">
        <v>14.01</v>
      </c>
    </row>
    <row r="2760" spans="1:4">
      <c r="A2760" s="216">
        <v>40364</v>
      </c>
      <c r="B2760" s="222" t="s">
        <v>20445</v>
      </c>
      <c r="C2760" s="216" t="s">
        <v>17678</v>
      </c>
      <c r="D2760" s="443">
        <v>65.62</v>
      </c>
    </row>
    <row r="2761" spans="1:4">
      <c r="A2761" s="216">
        <v>40361</v>
      </c>
      <c r="B2761" s="222" t="s">
        <v>20446</v>
      </c>
      <c r="C2761" s="216" t="s">
        <v>17678</v>
      </c>
      <c r="D2761" s="443">
        <v>51.31</v>
      </c>
    </row>
    <row r="2762" spans="1:4">
      <c r="A2762" s="216">
        <v>40358</v>
      </c>
      <c r="B2762" s="222" t="s">
        <v>20447</v>
      </c>
      <c r="C2762" s="216" t="s">
        <v>17678</v>
      </c>
      <c r="D2762" s="443">
        <v>19.559999999999999</v>
      </c>
    </row>
    <row r="2763" spans="1:4">
      <c r="A2763" s="216">
        <v>40370</v>
      </c>
      <c r="B2763" s="222" t="s">
        <v>20448</v>
      </c>
      <c r="C2763" s="216" t="s">
        <v>17678</v>
      </c>
      <c r="D2763" s="443">
        <v>208.22</v>
      </c>
    </row>
    <row r="2764" spans="1:4">
      <c r="A2764" s="216">
        <v>40367</v>
      </c>
      <c r="B2764" s="222" t="s">
        <v>20449</v>
      </c>
      <c r="C2764" s="216" t="s">
        <v>17678</v>
      </c>
      <c r="D2764" s="443">
        <v>103.49</v>
      </c>
    </row>
    <row r="2765" spans="1:4">
      <c r="A2765" s="216">
        <v>40373</v>
      </c>
      <c r="B2765" s="222" t="s">
        <v>20450</v>
      </c>
      <c r="C2765" s="216" t="s">
        <v>17678</v>
      </c>
      <c r="D2765" s="443">
        <v>281.56</v>
      </c>
    </row>
    <row r="2766" spans="1:4">
      <c r="A2766" s="216">
        <v>39312</v>
      </c>
      <c r="B2766" s="222" t="s">
        <v>20451</v>
      </c>
      <c r="C2766" s="216" t="s">
        <v>17678</v>
      </c>
      <c r="D2766" s="443">
        <v>13.58</v>
      </c>
    </row>
    <row r="2767" spans="1:4">
      <c r="A2767" s="216">
        <v>39313</v>
      </c>
      <c r="B2767" s="222" t="s">
        <v>20452</v>
      </c>
      <c r="C2767" s="216" t="s">
        <v>17678</v>
      </c>
      <c r="D2767" s="443">
        <v>17.73</v>
      </c>
    </row>
    <row r="2768" spans="1:4">
      <c r="A2768" s="216">
        <v>39314</v>
      </c>
      <c r="B2768" s="222" t="s">
        <v>20453</v>
      </c>
      <c r="C2768" s="216" t="s">
        <v>17678</v>
      </c>
      <c r="D2768" s="443">
        <v>28.15</v>
      </c>
    </row>
    <row r="2769" spans="1:4">
      <c r="A2769" s="216">
        <v>3907</v>
      </c>
      <c r="B2769" s="222" t="s">
        <v>20454</v>
      </c>
      <c r="C2769" s="216" t="s">
        <v>17678</v>
      </c>
      <c r="D2769" s="443">
        <v>6.25</v>
      </c>
    </row>
    <row r="2770" spans="1:4">
      <c r="A2770" s="216">
        <v>3889</v>
      </c>
      <c r="B2770" s="222" t="s">
        <v>20455</v>
      </c>
      <c r="C2770" s="216" t="s">
        <v>17678</v>
      </c>
      <c r="D2770" s="443">
        <v>4.4400000000000004</v>
      </c>
    </row>
    <row r="2771" spans="1:4">
      <c r="A2771" s="216">
        <v>3868</v>
      </c>
      <c r="B2771" s="222" t="s">
        <v>20456</v>
      </c>
      <c r="C2771" s="216" t="s">
        <v>17678</v>
      </c>
      <c r="D2771" s="443">
        <v>1.63</v>
      </c>
    </row>
    <row r="2772" spans="1:4">
      <c r="A2772" s="216">
        <v>3869</v>
      </c>
      <c r="B2772" s="222" t="s">
        <v>20457</v>
      </c>
      <c r="C2772" s="216" t="s">
        <v>17678</v>
      </c>
      <c r="D2772" s="443">
        <v>3.61</v>
      </c>
    </row>
    <row r="2773" spans="1:4">
      <c r="A2773" s="216">
        <v>3872</v>
      </c>
      <c r="B2773" s="222" t="s">
        <v>20458</v>
      </c>
      <c r="C2773" s="216" t="s">
        <v>17678</v>
      </c>
      <c r="D2773" s="443">
        <v>6.16</v>
      </c>
    </row>
    <row r="2774" spans="1:4">
      <c r="A2774" s="216">
        <v>3850</v>
      </c>
      <c r="B2774" s="222" t="s">
        <v>20459</v>
      </c>
      <c r="C2774" s="216" t="s">
        <v>17678</v>
      </c>
      <c r="D2774" s="443">
        <v>14.22</v>
      </c>
    </row>
    <row r="2775" spans="1:4">
      <c r="A2775" s="216">
        <v>38023</v>
      </c>
      <c r="B2775" s="222" t="s">
        <v>20460</v>
      </c>
      <c r="C2775" s="216" t="s">
        <v>17678</v>
      </c>
      <c r="D2775" s="443">
        <v>7.24</v>
      </c>
    </row>
    <row r="2776" spans="1:4">
      <c r="A2776" s="216">
        <v>37986</v>
      </c>
      <c r="B2776" s="222" t="s">
        <v>20461</v>
      </c>
      <c r="C2776" s="216" t="s">
        <v>17678</v>
      </c>
      <c r="D2776" s="443">
        <v>2.38</v>
      </c>
    </row>
    <row r="2777" spans="1:4">
      <c r="A2777" s="216">
        <v>37987</v>
      </c>
      <c r="B2777" s="222" t="s">
        <v>20462</v>
      </c>
      <c r="C2777" s="216" t="s">
        <v>17678</v>
      </c>
      <c r="D2777" s="443">
        <v>119.01</v>
      </c>
    </row>
    <row r="2778" spans="1:4">
      <c r="A2778" s="216">
        <v>37988</v>
      </c>
      <c r="B2778" s="222" t="s">
        <v>20463</v>
      </c>
      <c r="C2778" s="216" t="s">
        <v>17678</v>
      </c>
      <c r="D2778" s="443">
        <v>189.1</v>
      </c>
    </row>
    <row r="2779" spans="1:4">
      <c r="A2779" s="216">
        <v>21120</v>
      </c>
      <c r="B2779" s="222" t="s">
        <v>20464</v>
      </c>
      <c r="C2779" s="216" t="s">
        <v>17678</v>
      </c>
      <c r="D2779" s="443">
        <v>12.17</v>
      </c>
    </row>
    <row r="2780" spans="1:4">
      <c r="A2780" s="216">
        <v>39318</v>
      </c>
      <c r="B2780" s="222" t="s">
        <v>20465</v>
      </c>
      <c r="C2780" s="216" t="s">
        <v>17678</v>
      </c>
      <c r="D2780" s="443">
        <v>11.32</v>
      </c>
    </row>
    <row r="2781" spans="1:4">
      <c r="A2781" s="216">
        <v>40366</v>
      </c>
      <c r="B2781" s="222" t="s">
        <v>20466</v>
      </c>
      <c r="C2781" s="216" t="s">
        <v>17678</v>
      </c>
      <c r="D2781" s="443">
        <v>51.19</v>
      </c>
    </row>
    <row r="2782" spans="1:4">
      <c r="A2782" s="216">
        <v>40363</v>
      </c>
      <c r="B2782" s="222" t="s">
        <v>20467</v>
      </c>
      <c r="C2782" s="216" t="s">
        <v>17678</v>
      </c>
      <c r="D2782" s="443">
        <v>40.04</v>
      </c>
    </row>
    <row r="2783" spans="1:4">
      <c r="A2783" s="216">
        <v>40354</v>
      </c>
      <c r="B2783" s="222" t="s">
        <v>20468</v>
      </c>
      <c r="C2783" s="216" t="s">
        <v>17678</v>
      </c>
      <c r="D2783" s="443">
        <v>17.43</v>
      </c>
    </row>
    <row r="2784" spans="1:4">
      <c r="A2784" s="216">
        <v>40360</v>
      </c>
      <c r="B2784" s="222" t="s">
        <v>20469</v>
      </c>
      <c r="C2784" s="216" t="s">
        <v>17678</v>
      </c>
      <c r="D2784" s="443">
        <v>26.24</v>
      </c>
    </row>
    <row r="2785" spans="1:4">
      <c r="A2785" s="216">
        <v>40372</v>
      </c>
      <c r="B2785" s="222" t="s">
        <v>20470</v>
      </c>
      <c r="C2785" s="216" t="s">
        <v>17678</v>
      </c>
      <c r="D2785" s="443">
        <v>162.08000000000001</v>
      </c>
    </row>
    <row r="2786" spans="1:4">
      <c r="A2786" s="216">
        <v>40369</v>
      </c>
      <c r="B2786" s="222" t="s">
        <v>20471</v>
      </c>
      <c r="C2786" s="216" t="s">
        <v>17678</v>
      </c>
      <c r="D2786" s="443">
        <v>80.67</v>
      </c>
    </row>
    <row r="2787" spans="1:4">
      <c r="A2787" s="216">
        <v>40357</v>
      </c>
      <c r="B2787" s="222" t="s">
        <v>20472</v>
      </c>
      <c r="C2787" s="216" t="s">
        <v>17678</v>
      </c>
      <c r="D2787" s="443">
        <v>19.559999999999999</v>
      </c>
    </row>
    <row r="2788" spans="1:4">
      <c r="A2788" s="216">
        <v>40375</v>
      </c>
      <c r="B2788" s="222" t="s">
        <v>20473</v>
      </c>
      <c r="C2788" s="216" t="s">
        <v>17678</v>
      </c>
      <c r="D2788" s="443">
        <v>219.42</v>
      </c>
    </row>
    <row r="2789" spans="1:4">
      <c r="A2789" s="216">
        <v>1893</v>
      </c>
      <c r="B2789" s="222" t="s">
        <v>20474</v>
      </c>
      <c r="C2789" s="216" t="s">
        <v>17678</v>
      </c>
      <c r="D2789" s="443">
        <v>4.8600000000000003</v>
      </c>
    </row>
    <row r="2790" spans="1:4">
      <c r="A2790" s="216">
        <v>1902</v>
      </c>
      <c r="B2790" s="222" t="s">
        <v>20475</v>
      </c>
      <c r="C2790" s="216" t="s">
        <v>17678</v>
      </c>
      <c r="D2790" s="443">
        <v>3.53</v>
      </c>
    </row>
    <row r="2791" spans="1:4">
      <c r="A2791" s="216">
        <v>1901</v>
      </c>
      <c r="B2791" s="222" t="s">
        <v>20476</v>
      </c>
      <c r="C2791" s="216" t="s">
        <v>17678</v>
      </c>
      <c r="D2791" s="443">
        <v>1.1000000000000001</v>
      </c>
    </row>
    <row r="2792" spans="1:4">
      <c r="A2792" s="216">
        <v>1892</v>
      </c>
      <c r="B2792" s="222" t="s">
        <v>20477</v>
      </c>
      <c r="C2792" s="216" t="s">
        <v>17678</v>
      </c>
      <c r="D2792" s="443">
        <v>2.27</v>
      </c>
    </row>
    <row r="2793" spans="1:4">
      <c r="A2793" s="216">
        <v>1907</v>
      </c>
      <c r="B2793" s="222" t="s">
        <v>20478</v>
      </c>
      <c r="C2793" s="216" t="s">
        <v>17678</v>
      </c>
      <c r="D2793" s="443">
        <v>15.63</v>
      </c>
    </row>
    <row r="2794" spans="1:4">
      <c r="A2794" s="216">
        <v>1894</v>
      </c>
      <c r="B2794" s="222" t="s">
        <v>20479</v>
      </c>
      <c r="C2794" s="216" t="s">
        <v>17678</v>
      </c>
      <c r="D2794" s="443">
        <v>7.03</v>
      </c>
    </row>
    <row r="2795" spans="1:4">
      <c r="A2795" s="216">
        <v>1891</v>
      </c>
      <c r="B2795" s="222" t="s">
        <v>20480</v>
      </c>
      <c r="C2795" s="216" t="s">
        <v>17678</v>
      </c>
      <c r="D2795" s="443">
        <v>1.63</v>
      </c>
    </row>
    <row r="2796" spans="1:4">
      <c r="A2796" s="216">
        <v>1896</v>
      </c>
      <c r="B2796" s="222" t="s">
        <v>20481</v>
      </c>
      <c r="C2796" s="216" t="s">
        <v>17678</v>
      </c>
      <c r="D2796" s="443">
        <v>20.99</v>
      </c>
    </row>
    <row r="2797" spans="1:4">
      <c r="A2797" s="216">
        <v>1895</v>
      </c>
      <c r="B2797" s="222" t="s">
        <v>20482</v>
      </c>
      <c r="C2797" s="216" t="s">
        <v>17678</v>
      </c>
      <c r="D2797" s="443">
        <v>36.880000000000003</v>
      </c>
    </row>
    <row r="2798" spans="1:4">
      <c r="A2798" s="216">
        <v>2641</v>
      </c>
      <c r="B2798" s="222" t="s">
        <v>20483</v>
      </c>
      <c r="C2798" s="216" t="s">
        <v>17678</v>
      </c>
      <c r="D2798" s="443">
        <v>32.76</v>
      </c>
    </row>
    <row r="2799" spans="1:4">
      <c r="A2799" s="216">
        <v>2636</v>
      </c>
      <c r="B2799" s="222" t="s">
        <v>20484</v>
      </c>
      <c r="C2799" s="216" t="s">
        <v>17678</v>
      </c>
      <c r="D2799" s="443">
        <v>2.11</v>
      </c>
    </row>
    <row r="2800" spans="1:4">
      <c r="A2800" s="216">
        <v>2637</v>
      </c>
      <c r="B2800" s="222" t="s">
        <v>20485</v>
      </c>
      <c r="C2800" s="216" t="s">
        <v>17678</v>
      </c>
      <c r="D2800" s="443">
        <v>2.2400000000000002</v>
      </c>
    </row>
    <row r="2801" spans="1:4">
      <c r="A2801" s="216">
        <v>2638</v>
      </c>
      <c r="B2801" s="222" t="s">
        <v>20486</v>
      </c>
      <c r="C2801" s="216" t="s">
        <v>17678</v>
      </c>
      <c r="D2801" s="443">
        <v>2.61</v>
      </c>
    </row>
    <row r="2802" spans="1:4">
      <c r="A2802" s="216">
        <v>2639</v>
      </c>
      <c r="B2802" s="222" t="s">
        <v>20487</v>
      </c>
      <c r="C2802" s="216" t="s">
        <v>17678</v>
      </c>
      <c r="D2802" s="443">
        <v>4.63</v>
      </c>
    </row>
    <row r="2803" spans="1:4">
      <c r="A2803" s="216">
        <v>2644</v>
      </c>
      <c r="B2803" s="222" t="s">
        <v>20488</v>
      </c>
      <c r="C2803" s="216" t="s">
        <v>17678</v>
      </c>
      <c r="D2803" s="443">
        <v>6.7</v>
      </c>
    </row>
    <row r="2804" spans="1:4">
      <c r="A2804" s="216">
        <v>2643</v>
      </c>
      <c r="B2804" s="222" t="s">
        <v>20489</v>
      </c>
      <c r="C2804" s="216" t="s">
        <v>17678</v>
      </c>
      <c r="D2804" s="443">
        <v>9.34</v>
      </c>
    </row>
    <row r="2805" spans="1:4">
      <c r="A2805" s="216">
        <v>2640</v>
      </c>
      <c r="B2805" s="222" t="s">
        <v>20490</v>
      </c>
      <c r="C2805" s="216" t="s">
        <v>17678</v>
      </c>
      <c r="D2805" s="443">
        <v>13.63</v>
      </c>
    </row>
    <row r="2806" spans="1:4">
      <c r="A2806" s="216">
        <v>2642</v>
      </c>
      <c r="B2806" s="222" t="s">
        <v>20491</v>
      </c>
      <c r="C2806" s="216" t="s">
        <v>17678</v>
      </c>
      <c r="D2806" s="443">
        <v>20.76</v>
      </c>
    </row>
    <row r="2807" spans="1:4">
      <c r="A2807" s="216">
        <v>39310</v>
      </c>
      <c r="B2807" s="222" t="s">
        <v>20492</v>
      </c>
      <c r="C2807" s="216" t="s">
        <v>17678</v>
      </c>
      <c r="D2807" s="443">
        <v>20.63</v>
      </c>
    </row>
    <row r="2808" spans="1:4">
      <c r="A2808" s="216">
        <v>39311</v>
      </c>
      <c r="B2808" s="222" t="s">
        <v>20493</v>
      </c>
      <c r="C2808" s="216" t="s">
        <v>17678</v>
      </c>
      <c r="D2808" s="443">
        <v>31</v>
      </c>
    </row>
    <row r="2809" spans="1:4">
      <c r="A2809" s="216">
        <v>39855</v>
      </c>
      <c r="B2809" s="222" t="s">
        <v>20494</v>
      </c>
      <c r="C2809" s="216" t="s">
        <v>17678</v>
      </c>
      <c r="D2809" s="443">
        <v>2.81</v>
      </c>
    </row>
    <row r="2810" spans="1:4">
      <c r="A2810" s="216">
        <v>39856</v>
      </c>
      <c r="B2810" s="222" t="s">
        <v>20495</v>
      </c>
      <c r="C2810" s="216" t="s">
        <v>17678</v>
      </c>
      <c r="D2810" s="443">
        <v>6.62</v>
      </c>
    </row>
    <row r="2811" spans="1:4">
      <c r="A2811" s="216">
        <v>39857</v>
      </c>
      <c r="B2811" s="222" t="s">
        <v>20496</v>
      </c>
      <c r="C2811" s="216" t="s">
        <v>17678</v>
      </c>
      <c r="D2811" s="443">
        <v>10.72</v>
      </c>
    </row>
    <row r="2812" spans="1:4">
      <c r="A2812" s="216">
        <v>39858</v>
      </c>
      <c r="B2812" s="222" t="s">
        <v>20497</v>
      </c>
      <c r="C2812" s="216" t="s">
        <v>17678</v>
      </c>
      <c r="D2812" s="443">
        <v>23.79</v>
      </c>
    </row>
    <row r="2813" spans="1:4">
      <c r="A2813" s="216">
        <v>39859</v>
      </c>
      <c r="B2813" s="222" t="s">
        <v>20498</v>
      </c>
      <c r="C2813" s="216" t="s">
        <v>17678</v>
      </c>
      <c r="D2813" s="443">
        <v>36.67</v>
      </c>
    </row>
    <row r="2814" spans="1:4">
      <c r="A2814" s="216">
        <v>39860</v>
      </c>
      <c r="B2814" s="222" t="s">
        <v>20499</v>
      </c>
      <c r="C2814" s="216" t="s">
        <v>17678</v>
      </c>
      <c r="D2814" s="443">
        <v>56.27</v>
      </c>
    </row>
    <row r="2815" spans="1:4">
      <c r="A2815" s="216">
        <v>39861</v>
      </c>
      <c r="B2815" s="222" t="s">
        <v>20500</v>
      </c>
      <c r="C2815" s="216" t="s">
        <v>17678</v>
      </c>
      <c r="D2815" s="443">
        <v>160.66</v>
      </c>
    </row>
    <row r="2816" spans="1:4">
      <c r="A2816" s="216">
        <v>3867</v>
      </c>
      <c r="B2816" s="222" t="s">
        <v>20501</v>
      </c>
      <c r="C2816" s="216" t="s">
        <v>17678</v>
      </c>
      <c r="D2816" s="443">
        <v>86.6</v>
      </c>
    </row>
    <row r="2817" spans="1:4">
      <c r="A2817" s="216">
        <v>3861</v>
      </c>
      <c r="B2817" s="222" t="s">
        <v>20502</v>
      </c>
      <c r="C2817" s="216" t="s">
        <v>17678</v>
      </c>
      <c r="D2817" s="443">
        <v>0.89</v>
      </c>
    </row>
    <row r="2818" spans="1:4">
      <c r="A2818" s="216">
        <v>3904</v>
      </c>
      <c r="B2818" s="222" t="s">
        <v>20503</v>
      </c>
      <c r="C2818" s="216" t="s">
        <v>17678</v>
      </c>
      <c r="D2818" s="443">
        <v>0.95</v>
      </c>
    </row>
    <row r="2819" spans="1:4">
      <c r="A2819" s="216">
        <v>3903</v>
      </c>
      <c r="B2819" s="222" t="s">
        <v>20504</v>
      </c>
      <c r="C2819" s="216" t="s">
        <v>17678</v>
      </c>
      <c r="D2819" s="443">
        <v>2.3199999999999998</v>
      </c>
    </row>
    <row r="2820" spans="1:4">
      <c r="A2820" s="216">
        <v>3862</v>
      </c>
      <c r="B2820" s="222" t="s">
        <v>20505</v>
      </c>
      <c r="C2820" s="216" t="s">
        <v>17678</v>
      </c>
      <c r="D2820" s="443">
        <v>4.95</v>
      </c>
    </row>
    <row r="2821" spans="1:4">
      <c r="A2821" s="216">
        <v>3863</v>
      </c>
      <c r="B2821" s="222" t="s">
        <v>20506</v>
      </c>
      <c r="C2821" s="216" t="s">
        <v>17678</v>
      </c>
      <c r="D2821" s="443">
        <v>5.07</v>
      </c>
    </row>
    <row r="2822" spans="1:4">
      <c r="A2822" s="216">
        <v>3864</v>
      </c>
      <c r="B2822" s="222" t="s">
        <v>20507</v>
      </c>
      <c r="C2822" s="216" t="s">
        <v>17678</v>
      </c>
      <c r="D2822" s="443">
        <v>15.53</v>
      </c>
    </row>
    <row r="2823" spans="1:4">
      <c r="A2823" s="216">
        <v>3865</v>
      </c>
      <c r="B2823" s="222" t="s">
        <v>20508</v>
      </c>
      <c r="C2823" s="216" t="s">
        <v>17678</v>
      </c>
      <c r="D2823" s="443">
        <v>22.72</v>
      </c>
    </row>
    <row r="2824" spans="1:4">
      <c r="A2824" s="216">
        <v>3866</v>
      </c>
      <c r="B2824" s="222" t="s">
        <v>20509</v>
      </c>
      <c r="C2824" s="216" t="s">
        <v>17678</v>
      </c>
      <c r="D2824" s="443">
        <v>51</v>
      </c>
    </row>
    <row r="2825" spans="1:4">
      <c r="A2825" s="216">
        <v>3878</v>
      </c>
      <c r="B2825" s="222" t="s">
        <v>20510</v>
      </c>
      <c r="C2825" s="216" t="s">
        <v>17678</v>
      </c>
      <c r="D2825" s="443">
        <v>13.91</v>
      </c>
    </row>
    <row r="2826" spans="1:4">
      <c r="A2826" s="216">
        <v>3883</v>
      </c>
      <c r="B2826" s="222" t="s">
        <v>20511</v>
      </c>
      <c r="C2826" s="216" t="s">
        <v>17678</v>
      </c>
      <c r="D2826" s="443">
        <v>1.78</v>
      </c>
    </row>
    <row r="2827" spans="1:4">
      <c r="A2827" s="216">
        <v>3876</v>
      </c>
      <c r="B2827" s="222" t="s">
        <v>20512</v>
      </c>
      <c r="C2827" s="216" t="s">
        <v>17678</v>
      </c>
      <c r="D2827" s="443">
        <v>5.54</v>
      </c>
    </row>
    <row r="2828" spans="1:4">
      <c r="A2828" s="216">
        <v>3884</v>
      </c>
      <c r="B2828" s="222" t="s">
        <v>20513</v>
      </c>
      <c r="C2828" s="216" t="s">
        <v>17678</v>
      </c>
      <c r="D2828" s="443">
        <v>2.81</v>
      </c>
    </row>
    <row r="2829" spans="1:4">
      <c r="A2829" s="216">
        <v>12892</v>
      </c>
      <c r="B2829" s="222" t="s">
        <v>20514</v>
      </c>
      <c r="C2829" s="216" t="s">
        <v>18101</v>
      </c>
      <c r="D2829" s="443">
        <v>12.09</v>
      </c>
    </row>
    <row r="2830" spans="1:4">
      <c r="A2830" s="216">
        <v>38447</v>
      </c>
      <c r="B2830" s="222" t="s">
        <v>20515</v>
      </c>
      <c r="C2830" s="216" t="s">
        <v>17678</v>
      </c>
      <c r="D2830" s="443">
        <v>92.7</v>
      </c>
    </row>
    <row r="2831" spans="1:4">
      <c r="A2831" s="216">
        <v>36320</v>
      </c>
      <c r="B2831" s="222" t="s">
        <v>20516</v>
      </c>
      <c r="C2831" s="216" t="s">
        <v>17678</v>
      </c>
      <c r="D2831" s="443">
        <v>2.4900000000000002</v>
      </c>
    </row>
    <row r="2832" spans="1:4">
      <c r="A2832" s="216">
        <v>36324</v>
      </c>
      <c r="B2832" s="222" t="s">
        <v>20517</v>
      </c>
      <c r="C2832" s="216" t="s">
        <v>17678</v>
      </c>
      <c r="D2832" s="443">
        <v>2.27</v>
      </c>
    </row>
    <row r="2833" spans="1:4">
      <c r="A2833" s="216">
        <v>38441</v>
      </c>
      <c r="B2833" s="222" t="s">
        <v>20518</v>
      </c>
      <c r="C2833" s="216" t="s">
        <v>17678</v>
      </c>
      <c r="D2833" s="443">
        <v>4.07</v>
      </c>
    </row>
    <row r="2834" spans="1:4">
      <c r="A2834" s="216">
        <v>38442</v>
      </c>
      <c r="B2834" s="222" t="s">
        <v>20519</v>
      </c>
      <c r="C2834" s="216" t="s">
        <v>17678</v>
      </c>
      <c r="D2834" s="443">
        <v>11.59</v>
      </c>
    </row>
    <row r="2835" spans="1:4">
      <c r="A2835" s="216">
        <v>38443</v>
      </c>
      <c r="B2835" s="222" t="s">
        <v>20520</v>
      </c>
      <c r="C2835" s="216" t="s">
        <v>17678</v>
      </c>
      <c r="D2835" s="443">
        <v>14.05</v>
      </c>
    </row>
    <row r="2836" spans="1:4">
      <c r="A2836" s="216">
        <v>38444</v>
      </c>
      <c r="B2836" s="222" t="s">
        <v>20521</v>
      </c>
      <c r="C2836" s="216" t="s">
        <v>17678</v>
      </c>
      <c r="D2836" s="443">
        <v>23.6</v>
      </c>
    </row>
    <row r="2837" spans="1:4">
      <c r="A2837" s="216">
        <v>38445</v>
      </c>
      <c r="B2837" s="222" t="s">
        <v>20522</v>
      </c>
      <c r="C2837" s="216" t="s">
        <v>17678</v>
      </c>
      <c r="D2837" s="443">
        <v>43.76</v>
      </c>
    </row>
    <row r="2838" spans="1:4">
      <c r="A2838" s="216">
        <v>38446</v>
      </c>
      <c r="B2838" s="222" t="s">
        <v>20523</v>
      </c>
      <c r="C2838" s="216" t="s">
        <v>17678</v>
      </c>
      <c r="D2838" s="443">
        <v>71.62</v>
      </c>
    </row>
    <row r="2839" spans="1:4">
      <c r="A2839" s="216">
        <v>3837</v>
      </c>
      <c r="B2839" s="222" t="s">
        <v>20524</v>
      </c>
      <c r="C2839" s="216" t="s">
        <v>17678</v>
      </c>
      <c r="D2839" s="443">
        <v>50.44</v>
      </c>
    </row>
    <row r="2840" spans="1:4">
      <c r="A2840" s="216">
        <v>3845</v>
      </c>
      <c r="B2840" s="222" t="s">
        <v>20525</v>
      </c>
      <c r="C2840" s="216" t="s">
        <v>17678</v>
      </c>
      <c r="D2840" s="443">
        <v>18.43</v>
      </c>
    </row>
    <row r="2841" spans="1:4">
      <c r="A2841" s="216">
        <v>11045</v>
      </c>
      <c r="B2841" s="222" t="s">
        <v>20526</v>
      </c>
      <c r="C2841" s="216" t="s">
        <v>17678</v>
      </c>
      <c r="D2841" s="443">
        <v>35.549999999999997</v>
      </c>
    </row>
    <row r="2842" spans="1:4">
      <c r="A2842" s="216">
        <v>20170</v>
      </c>
      <c r="B2842" s="222" t="s">
        <v>20527</v>
      </c>
      <c r="C2842" s="216" t="s">
        <v>17678</v>
      </c>
      <c r="D2842" s="443">
        <v>13.85</v>
      </c>
    </row>
    <row r="2843" spans="1:4">
      <c r="A2843" s="216">
        <v>20171</v>
      </c>
      <c r="B2843" s="222" t="s">
        <v>20528</v>
      </c>
      <c r="C2843" s="216" t="s">
        <v>17678</v>
      </c>
      <c r="D2843" s="443">
        <v>39.94</v>
      </c>
    </row>
    <row r="2844" spans="1:4">
      <c r="A2844" s="216">
        <v>20167</v>
      </c>
      <c r="B2844" s="222" t="s">
        <v>20529</v>
      </c>
      <c r="C2844" s="216" t="s">
        <v>17678</v>
      </c>
      <c r="D2844" s="443">
        <v>5.0199999999999996</v>
      </c>
    </row>
    <row r="2845" spans="1:4">
      <c r="A2845" s="216">
        <v>20168</v>
      </c>
      <c r="B2845" s="222" t="s">
        <v>20530</v>
      </c>
      <c r="C2845" s="216" t="s">
        <v>17678</v>
      </c>
      <c r="D2845" s="443">
        <v>10.34</v>
      </c>
    </row>
    <row r="2846" spans="1:4">
      <c r="A2846" s="216">
        <v>20169</v>
      </c>
      <c r="B2846" s="222" t="s">
        <v>20531</v>
      </c>
      <c r="C2846" s="216" t="s">
        <v>17678</v>
      </c>
      <c r="D2846" s="443">
        <v>12.06</v>
      </c>
    </row>
    <row r="2847" spans="1:4">
      <c r="A2847" s="216">
        <v>3899</v>
      </c>
      <c r="B2847" s="222" t="s">
        <v>20532</v>
      </c>
      <c r="C2847" s="216" t="s">
        <v>17678</v>
      </c>
      <c r="D2847" s="443">
        <v>6.69</v>
      </c>
    </row>
    <row r="2848" spans="1:4">
      <c r="A2848" s="216">
        <v>38676</v>
      </c>
      <c r="B2848" s="222" t="s">
        <v>20533</v>
      </c>
      <c r="C2848" s="216" t="s">
        <v>17678</v>
      </c>
      <c r="D2848" s="443">
        <v>33.47</v>
      </c>
    </row>
    <row r="2849" spans="1:4">
      <c r="A2849" s="216">
        <v>3897</v>
      </c>
      <c r="B2849" s="222" t="s">
        <v>20534</v>
      </c>
      <c r="C2849" s="216" t="s">
        <v>17678</v>
      </c>
      <c r="D2849" s="443">
        <v>1.63</v>
      </c>
    </row>
    <row r="2850" spans="1:4">
      <c r="A2850" s="216">
        <v>3875</v>
      </c>
      <c r="B2850" s="222" t="s">
        <v>20535</v>
      </c>
      <c r="C2850" s="216" t="s">
        <v>17678</v>
      </c>
      <c r="D2850" s="443">
        <v>3.37</v>
      </c>
    </row>
    <row r="2851" spans="1:4">
      <c r="A2851" s="216">
        <v>3898</v>
      </c>
      <c r="B2851" s="222" t="s">
        <v>20536</v>
      </c>
      <c r="C2851" s="216" t="s">
        <v>17678</v>
      </c>
      <c r="D2851" s="443">
        <v>6.85</v>
      </c>
    </row>
    <row r="2852" spans="1:4">
      <c r="A2852" s="216">
        <v>3855</v>
      </c>
      <c r="B2852" s="222" t="s">
        <v>20537</v>
      </c>
      <c r="C2852" s="216" t="s">
        <v>17678</v>
      </c>
      <c r="D2852" s="443">
        <v>6.01</v>
      </c>
    </row>
    <row r="2853" spans="1:4">
      <c r="A2853" s="216">
        <v>3874</v>
      </c>
      <c r="B2853" s="222" t="s">
        <v>20538</v>
      </c>
      <c r="C2853" s="216" t="s">
        <v>17678</v>
      </c>
      <c r="D2853" s="443">
        <v>6.96</v>
      </c>
    </row>
    <row r="2854" spans="1:4">
      <c r="A2854" s="216">
        <v>3870</v>
      </c>
      <c r="B2854" s="222" t="s">
        <v>20539</v>
      </c>
      <c r="C2854" s="216" t="s">
        <v>17678</v>
      </c>
      <c r="D2854" s="443">
        <v>7.64</v>
      </c>
    </row>
    <row r="2855" spans="1:4">
      <c r="A2855" s="216">
        <v>38678</v>
      </c>
      <c r="B2855" s="222" t="s">
        <v>20540</v>
      </c>
      <c r="C2855" s="216" t="s">
        <v>17678</v>
      </c>
      <c r="D2855" s="443">
        <v>20.21</v>
      </c>
    </row>
    <row r="2856" spans="1:4">
      <c r="A2856" s="216">
        <v>3859</v>
      </c>
      <c r="B2856" s="222" t="s">
        <v>20541</v>
      </c>
      <c r="C2856" s="216" t="s">
        <v>17678</v>
      </c>
      <c r="D2856" s="443">
        <v>1.54</v>
      </c>
    </row>
    <row r="2857" spans="1:4">
      <c r="A2857" s="216">
        <v>3856</v>
      </c>
      <c r="B2857" s="222" t="s">
        <v>20542</v>
      </c>
      <c r="C2857" s="216" t="s">
        <v>17678</v>
      </c>
      <c r="D2857" s="443">
        <v>2.13</v>
      </c>
    </row>
    <row r="2858" spans="1:4">
      <c r="A2858" s="216">
        <v>3906</v>
      </c>
      <c r="B2858" s="222" t="s">
        <v>20543</v>
      </c>
      <c r="C2858" s="216" t="s">
        <v>17678</v>
      </c>
      <c r="D2858" s="443">
        <v>1.76</v>
      </c>
    </row>
    <row r="2859" spans="1:4">
      <c r="A2859" s="216">
        <v>3860</v>
      </c>
      <c r="B2859" s="222" t="s">
        <v>20544</v>
      </c>
      <c r="C2859" s="216" t="s">
        <v>17678</v>
      </c>
      <c r="D2859" s="443">
        <v>5.24</v>
      </c>
    </row>
    <row r="2860" spans="1:4">
      <c r="A2860" s="216">
        <v>3905</v>
      </c>
      <c r="B2860" s="222" t="s">
        <v>20545</v>
      </c>
      <c r="C2860" s="216" t="s">
        <v>17678</v>
      </c>
      <c r="D2860" s="443">
        <v>12.01</v>
      </c>
    </row>
    <row r="2861" spans="1:4">
      <c r="A2861" s="216">
        <v>3871</v>
      </c>
      <c r="B2861" s="222" t="s">
        <v>20546</v>
      </c>
      <c r="C2861" s="216" t="s">
        <v>17678</v>
      </c>
      <c r="D2861" s="443">
        <v>21.25</v>
      </c>
    </row>
    <row r="2862" spans="1:4" ht="31.5">
      <c r="A2862" s="216">
        <v>39292</v>
      </c>
      <c r="B2862" s="222" t="s">
        <v>20547</v>
      </c>
      <c r="C2862" s="216" t="s">
        <v>17678</v>
      </c>
      <c r="D2862" s="443">
        <v>7.19</v>
      </c>
    </row>
    <row r="2863" spans="1:4" ht="31.5">
      <c r="A2863" s="216">
        <v>39293</v>
      </c>
      <c r="B2863" s="222" t="s">
        <v>20548</v>
      </c>
      <c r="C2863" s="216" t="s">
        <v>17678</v>
      </c>
      <c r="D2863" s="443">
        <v>11.17</v>
      </c>
    </row>
    <row r="2864" spans="1:4" ht="31.5">
      <c r="A2864" s="216">
        <v>39294</v>
      </c>
      <c r="B2864" s="222" t="s">
        <v>20549</v>
      </c>
      <c r="C2864" s="216" t="s">
        <v>17678</v>
      </c>
      <c r="D2864" s="443">
        <v>11.94</v>
      </c>
    </row>
    <row r="2865" spans="1:4" ht="31.5">
      <c r="A2865" s="216">
        <v>39295</v>
      </c>
      <c r="B2865" s="222" t="s">
        <v>20550</v>
      </c>
      <c r="C2865" s="216" t="s">
        <v>17678</v>
      </c>
      <c r="D2865" s="443">
        <v>16.420000000000002</v>
      </c>
    </row>
    <row r="2866" spans="1:4" ht="31.5">
      <c r="A2866" s="216">
        <v>39296</v>
      </c>
      <c r="B2866" s="222" t="s">
        <v>20551</v>
      </c>
      <c r="C2866" s="216" t="s">
        <v>17678</v>
      </c>
      <c r="D2866" s="443">
        <v>6.55</v>
      </c>
    </row>
    <row r="2867" spans="1:4" ht="31.5">
      <c r="A2867" s="216">
        <v>39297</v>
      </c>
      <c r="B2867" s="222" t="s">
        <v>20552</v>
      </c>
      <c r="C2867" s="216" t="s">
        <v>17678</v>
      </c>
      <c r="D2867" s="443">
        <v>8.8800000000000008</v>
      </c>
    </row>
    <row r="2868" spans="1:4" ht="31.5">
      <c r="A2868" s="216">
        <v>39298</v>
      </c>
      <c r="B2868" s="222" t="s">
        <v>20553</v>
      </c>
      <c r="C2868" s="216" t="s">
        <v>17678</v>
      </c>
      <c r="D2868" s="443">
        <v>17.059999999999999</v>
      </c>
    </row>
    <row r="2869" spans="1:4" ht="31.5">
      <c r="A2869" s="216">
        <v>39299</v>
      </c>
      <c r="B2869" s="222" t="s">
        <v>20554</v>
      </c>
      <c r="C2869" s="216" t="s">
        <v>17678</v>
      </c>
      <c r="D2869" s="443">
        <v>20.22</v>
      </c>
    </row>
    <row r="2870" spans="1:4" ht="31.5">
      <c r="A2870" s="216">
        <v>39308</v>
      </c>
      <c r="B2870" s="222" t="s">
        <v>20555</v>
      </c>
      <c r="C2870" s="216" t="s">
        <v>17678</v>
      </c>
      <c r="D2870" s="443">
        <v>5.46</v>
      </c>
    </row>
    <row r="2871" spans="1:4" ht="31.5">
      <c r="A2871" s="216">
        <v>39309</v>
      </c>
      <c r="B2871" s="222" t="s">
        <v>20556</v>
      </c>
      <c r="C2871" s="216" t="s">
        <v>17678</v>
      </c>
      <c r="D2871" s="443">
        <v>6.23</v>
      </c>
    </row>
    <row r="2872" spans="1:4">
      <c r="A2872" s="216">
        <v>37429</v>
      </c>
      <c r="B2872" s="222" t="s">
        <v>20557</v>
      </c>
      <c r="C2872" s="216" t="s">
        <v>17678</v>
      </c>
      <c r="D2872" s="443">
        <v>2876.16</v>
      </c>
    </row>
    <row r="2873" spans="1:4">
      <c r="A2873" s="216">
        <v>37426</v>
      </c>
      <c r="B2873" s="222" t="s">
        <v>20558</v>
      </c>
      <c r="C2873" s="216" t="s">
        <v>17678</v>
      </c>
      <c r="D2873" s="443">
        <v>27.66</v>
      </c>
    </row>
    <row r="2874" spans="1:4">
      <c r="A2874" s="216">
        <v>37427</v>
      </c>
      <c r="B2874" s="222" t="s">
        <v>20559</v>
      </c>
      <c r="C2874" s="216" t="s">
        <v>17678</v>
      </c>
      <c r="D2874" s="443">
        <v>65.989999999999995</v>
      </c>
    </row>
    <row r="2875" spans="1:4">
      <c r="A2875" s="216">
        <v>37424</v>
      </c>
      <c r="B2875" s="222" t="s">
        <v>20560</v>
      </c>
      <c r="C2875" s="216" t="s">
        <v>17678</v>
      </c>
      <c r="D2875" s="443">
        <v>12.71</v>
      </c>
    </row>
    <row r="2876" spans="1:4">
      <c r="A2876" s="216">
        <v>37428</v>
      </c>
      <c r="B2876" s="222" t="s">
        <v>20561</v>
      </c>
      <c r="C2876" s="216" t="s">
        <v>17678</v>
      </c>
      <c r="D2876" s="443">
        <v>227.44</v>
      </c>
    </row>
    <row r="2877" spans="1:4">
      <c r="A2877" s="216">
        <v>37425</v>
      </c>
      <c r="B2877" s="222" t="s">
        <v>20562</v>
      </c>
      <c r="C2877" s="216" t="s">
        <v>17678</v>
      </c>
      <c r="D2877" s="443">
        <v>13.7</v>
      </c>
    </row>
    <row r="2878" spans="1:4">
      <c r="A2878" s="216">
        <v>11519</v>
      </c>
      <c r="B2878" s="222" t="s">
        <v>20563</v>
      </c>
      <c r="C2878" s="216" t="s">
        <v>18101</v>
      </c>
      <c r="D2878" s="443">
        <v>56.8</v>
      </c>
    </row>
    <row r="2879" spans="1:4" ht="31.5">
      <c r="A2879" s="216">
        <v>11520</v>
      </c>
      <c r="B2879" s="222" t="s">
        <v>20564</v>
      </c>
      <c r="C2879" s="216" t="s">
        <v>18101</v>
      </c>
      <c r="D2879" s="443">
        <v>26.26</v>
      </c>
    </row>
    <row r="2880" spans="1:4">
      <c r="A2880" s="216">
        <v>11518</v>
      </c>
      <c r="B2880" s="222" t="s">
        <v>20565</v>
      </c>
      <c r="C2880" s="216" t="s">
        <v>18101</v>
      </c>
      <c r="D2880" s="443">
        <v>95.49</v>
      </c>
    </row>
    <row r="2881" spans="1:4">
      <c r="A2881" s="216">
        <v>38473</v>
      </c>
      <c r="B2881" s="222" t="s">
        <v>20566</v>
      </c>
      <c r="C2881" s="216" t="s">
        <v>17678</v>
      </c>
      <c r="D2881" s="443">
        <v>185.08</v>
      </c>
    </row>
    <row r="2882" spans="1:4">
      <c r="A2882" s="216">
        <v>4244</v>
      </c>
      <c r="B2882" s="222" t="s">
        <v>20567</v>
      </c>
      <c r="C2882" s="216" t="s">
        <v>17826</v>
      </c>
      <c r="D2882" s="443">
        <v>24.19</v>
      </c>
    </row>
    <row r="2883" spans="1:4">
      <c r="A2883" s="216">
        <v>40977</v>
      </c>
      <c r="B2883" s="222" t="s">
        <v>20568</v>
      </c>
      <c r="C2883" s="216" t="s">
        <v>17828</v>
      </c>
      <c r="D2883" s="443">
        <v>4236.6499999999996</v>
      </c>
    </row>
    <row r="2884" spans="1:4">
      <c r="A2884" s="216">
        <v>4115</v>
      </c>
      <c r="B2884" s="222" t="s">
        <v>20569</v>
      </c>
      <c r="C2884" s="216" t="s">
        <v>17722</v>
      </c>
      <c r="D2884" s="443">
        <v>27.83</v>
      </c>
    </row>
    <row r="2885" spans="1:4">
      <c r="A2885" s="216">
        <v>4119</v>
      </c>
      <c r="B2885" s="222" t="s">
        <v>20570</v>
      </c>
      <c r="C2885" s="216" t="s">
        <v>17722</v>
      </c>
      <c r="D2885" s="443">
        <v>56.21</v>
      </c>
    </row>
    <row r="2886" spans="1:4">
      <c r="A2886" s="216">
        <v>2794</v>
      </c>
      <c r="B2886" s="222" t="s">
        <v>20571</v>
      </c>
      <c r="C2886" s="216" t="s">
        <v>17722</v>
      </c>
      <c r="D2886" s="443">
        <v>149.12</v>
      </c>
    </row>
    <row r="2887" spans="1:4">
      <c r="A2887" s="216">
        <v>2788</v>
      </c>
      <c r="B2887" s="222" t="s">
        <v>20572</v>
      </c>
      <c r="C2887" s="216" t="s">
        <v>17722</v>
      </c>
      <c r="D2887" s="443">
        <v>217.24</v>
      </c>
    </row>
    <row r="2888" spans="1:4">
      <c r="A2888" s="216">
        <v>4006</v>
      </c>
      <c r="B2888" s="222" t="s">
        <v>20573</v>
      </c>
      <c r="C2888" s="216" t="s">
        <v>17824</v>
      </c>
      <c r="D2888" s="443">
        <v>1527.09</v>
      </c>
    </row>
    <row r="2889" spans="1:4">
      <c r="A2889" s="216">
        <v>36151</v>
      </c>
      <c r="B2889" s="222" t="s">
        <v>20574</v>
      </c>
      <c r="C2889" s="216" t="s">
        <v>17678</v>
      </c>
      <c r="D2889" s="443">
        <v>26.88</v>
      </c>
    </row>
    <row r="2890" spans="1:4">
      <c r="A2890" s="216">
        <v>37457</v>
      </c>
      <c r="B2890" s="222" t="s">
        <v>20575</v>
      </c>
      <c r="C2890" s="216" t="s">
        <v>17722</v>
      </c>
      <c r="D2890" s="443">
        <v>3.7</v>
      </c>
    </row>
    <row r="2891" spans="1:4">
      <c r="A2891" s="216">
        <v>37456</v>
      </c>
      <c r="B2891" s="222" t="s">
        <v>20576</v>
      </c>
      <c r="C2891" s="216" t="s">
        <v>17722</v>
      </c>
      <c r="D2891" s="443">
        <v>1.95</v>
      </c>
    </row>
    <row r="2892" spans="1:4" ht="31.5">
      <c r="A2892" s="216">
        <v>37461</v>
      </c>
      <c r="B2892" s="222" t="s">
        <v>20577</v>
      </c>
      <c r="C2892" s="216" t="s">
        <v>17722</v>
      </c>
      <c r="D2892" s="443">
        <v>13.74</v>
      </c>
    </row>
    <row r="2893" spans="1:4">
      <c r="A2893" s="216">
        <v>37460</v>
      </c>
      <c r="B2893" s="222" t="s">
        <v>20578</v>
      </c>
      <c r="C2893" s="216" t="s">
        <v>17722</v>
      </c>
      <c r="D2893" s="443">
        <v>18.760000000000002</v>
      </c>
    </row>
    <row r="2894" spans="1:4">
      <c r="A2894" s="216">
        <v>37458</v>
      </c>
      <c r="B2894" s="222" t="s">
        <v>20579</v>
      </c>
      <c r="C2894" s="216" t="s">
        <v>17722</v>
      </c>
      <c r="D2894" s="443">
        <v>5.5</v>
      </c>
    </row>
    <row r="2895" spans="1:4">
      <c r="A2895" s="216">
        <v>37454</v>
      </c>
      <c r="B2895" s="222" t="s">
        <v>20580</v>
      </c>
      <c r="C2895" s="216" t="s">
        <v>17722</v>
      </c>
      <c r="D2895" s="443">
        <v>1.44</v>
      </c>
    </row>
    <row r="2896" spans="1:4">
      <c r="A2896" s="216">
        <v>37455</v>
      </c>
      <c r="B2896" s="222" t="s">
        <v>20581</v>
      </c>
      <c r="C2896" s="216" t="s">
        <v>17722</v>
      </c>
      <c r="D2896" s="443">
        <v>2.4300000000000002</v>
      </c>
    </row>
    <row r="2897" spans="1:4">
      <c r="A2897" s="216">
        <v>37459</v>
      </c>
      <c r="B2897" s="222" t="s">
        <v>20582</v>
      </c>
      <c r="C2897" s="216" t="s">
        <v>17722</v>
      </c>
      <c r="D2897" s="443">
        <v>7.72</v>
      </c>
    </row>
    <row r="2898" spans="1:4" ht="31.5">
      <c r="A2898" s="216">
        <v>21029</v>
      </c>
      <c r="B2898" s="222" t="s">
        <v>20583</v>
      </c>
      <c r="C2898" s="216" t="s">
        <v>17678</v>
      </c>
      <c r="D2898" s="443">
        <v>319</v>
      </c>
    </row>
    <row r="2899" spans="1:4" ht="31.5">
      <c r="A2899" s="216">
        <v>21030</v>
      </c>
      <c r="B2899" s="222" t="s">
        <v>20584</v>
      </c>
      <c r="C2899" s="216" t="s">
        <v>17678</v>
      </c>
      <c r="D2899" s="443">
        <v>393.22</v>
      </c>
    </row>
    <row r="2900" spans="1:4" ht="31.5">
      <c r="A2900" s="216">
        <v>21031</v>
      </c>
      <c r="B2900" s="222" t="s">
        <v>20585</v>
      </c>
      <c r="C2900" s="216" t="s">
        <v>17678</v>
      </c>
      <c r="D2900" s="443">
        <v>489.55</v>
      </c>
    </row>
    <row r="2901" spans="1:4" ht="31.5">
      <c r="A2901" s="216">
        <v>21032</v>
      </c>
      <c r="B2901" s="222" t="s">
        <v>20586</v>
      </c>
      <c r="C2901" s="216" t="s">
        <v>17678</v>
      </c>
      <c r="D2901" s="443">
        <v>522.71</v>
      </c>
    </row>
    <row r="2902" spans="1:4" ht="31.5">
      <c r="A2902" s="216">
        <v>37527</v>
      </c>
      <c r="B2902" s="222" t="s">
        <v>20587</v>
      </c>
      <c r="C2902" s="216" t="s">
        <v>17678</v>
      </c>
      <c r="D2902" s="443">
        <v>472.18</v>
      </c>
    </row>
    <row r="2903" spans="1:4" ht="31.5">
      <c r="A2903" s="216">
        <v>37528</v>
      </c>
      <c r="B2903" s="222" t="s">
        <v>20588</v>
      </c>
      <c r="C2903" s="216" t="s">
        <v>17678</v>
      </c>
      <c r="D2903" s="443">
        <v>562.98</v>
      </c>
    </row>
    <row r="2904" spans="1:4" ht="31.5">
      <c r="A2904" s="216">
        <v>37529</v>
      </c>
      <c r="B2904" s="222" t="s">
        <v>20589</v>
      </c>
      <c r="C2904" s="216" t="s">
        <v>17678</v>
      </c>
      <c r="D2904" s="443">
        <v>568.51</v>
      </c>
    </row>
    <row r="2905" spans="1:4" ht="31.5">
      <c r="A2905" s="216">
        <v>37530</v>
      </c>
      <c r="B2905" s="222" t="s">
        <v>20590</v>
      </c>
      <c r="C2905" s="216" t="s">
        <v>17678</v>
      </c>
      <c r="D2905" s="443">
        <v>742.22</v>
      </c>
    </row>
    <row r="2906" spans="1:4" ht="31.5">
      <c r="A2906" s="216">
        <v>21034</v>
      </c>
      <c r="B2906" s="222" t="s">
        <v>20591</v>
      </c>
      <c r="C2906" s="216" t="s">
        <v>17678</v>
      </c>
      <c r="D2906" s="443">
        <v>633.26</v>
      </c>
    </row>
    <row r="2907" spans="1:4" ht="31.5">
      <c r="A2907" s="216">
        <v>37531</v>
      </c>
      <c r="B2907" s="222" t="s">
        <v>20592</v>
      </c>
      <c r="C2907" s="216" t="s">
        <v>17678</v>
      </c>
      <c r="D2907" s="443">
        <v>797.5</v>
      </c>
    </row>
    <row r="2908" spans="1:4" ht="31.5">
      <c r="A2908" s="216">
        <v>21036</v>
      </c>
      <c r="B2908" s="222" t="s">
        <v>20593</v>
      </c>
      <c r="C2908" s="216" t="s">
        <v>17678</v>
      </c>
      <c r="D2908" s="443">
        <v>969.63</v>
      </c>
    </row>
    <row r="2909" spans="1:4" ht="31.5">
      <c r="A2909" s="216">
        <v>21037</v>
      </c>
      <c r="B2909" s="222" t="s">
        <v>20594</v>
      </c>
      <c r="C2909" s="216" t="s">
        <v>17678</v>
      </c>
      <c r="D2909" s="443">
        <v>1105.44</v>
      </c>
    </row>
    <row r="2910" spans="1:4" ht="31.5">
      <c r="A2910" s="216">
        <v>20185</v>
      </c>
      <c r="B2910" s="222" t="s">
        <v>20595</v>
      </c>
      <c r="C2910" s="216" t="s">
        <v>17722</v>
      </c>
      <c r="D2910" s="443">
        <v>22.34</v>
      </c>
    </row>
    <row r="2911" spans="1:4">
      <c r="A2911" s="216">
        <v>20260</v>
      </c>
      <c r="B2911" s="222" t="s">
        <v>20596</v>
      </c>
      <c r="C2911" s="216" t="s">
        <v>17678</v>
      </c>
      <c r="D2911" s="443">
        <v>17.96</v>
      </c>
    </row>
    <row r="2912" spans="1:4" ht="31.5">
      <c r="A2912" s="216">
        <v>37523</v>
      </c>
      <c r="B2912" s="222" t="s">
        <v>20597</v>
      </c>
      <c r="C2912" s="216" t="s">
        <v>17678</v>
      </c>
      <c r="D2912" s="443">
        <v>469601.78</v>
      </c>
    </row>
    <row r="2913" spans="1:4" ht="31.5">
      <c r="A2913" s="216">
        <v>37515</v>
      </c>
      <c r="B2913" s="222" t="s">
        <v>20598</v>
      </c>
      <c r="C2913" s="216" t="s">
        <v>17678</v>
      </c>
      <c r="D2913" s="443">
        <v>417500</v>
      </c>
    </row>
    <row r="2914" spans="1:4" ht="31.5">
      <c r="A2914" s="216">
        <v>12899</v>
      </c>
      <c r="B2914" s="222" t="s">
        <v>20599</v>
      </c>
      <c r="C2914" s="216" t="s">
        <v>17678</v>
      </c>
      <c r="D2914" s="443">
        <v>114.55</v>
      </c>
    </row>
    <row r="2915" spans="1:4" ht="31.5">
      <c r="A2915" s="216">
        <v>12898</v>
      </c>
      <c r="B2915" s="222" t="s">
        <v>20600</v>
      </c>
      <c r="C2915" s="216" t="s">
        <v>17678</v>
      </c>
      <c r="D2915" s="443">
        <v>181.71</v>
      </c>
    </row>
    <row r="2916" spans="1:4">
      <c r="A2916" s="216">
        <v>42528</v>
      </c>
      <c r="B2916" s="222" t="s">
        <v>20601</v>
      </c>
      <c r="C2916" s="216" t="s">
        <v>18087</v>
      </c>
      <c r="D2916" s="443">
        <v>7.35</v>
      </c>
    </row>
    <row r="2917" spans="1:4">
      <c r="A2917" s="216">
        <v>39696</v>
      </c>
      <c r="B2917" s="222" t="s">
        <v>20602</v>
      </c>
      <c r="C2917" s="216" t="s">
        <v>18087</v>
      </c>
      <c r="D2917" s="443">
        <v>5.17</v>
      </c>
    </row>
    <row r="2918" spans="1:4">
      <c r="A2918" s="216">
        <v>39700</v>
      </c>
      <c r="B2918" s="222" t="s">
        <v>20603</v>
      </c>
      <c r="C2918" s="216" t="s">
        <v>18087</v>
      </c>
      <c r="D2918" s="443">
        <v>27.3</v>
      </c>
    </row>
    <row r="2919" spans="1:4">
      <c r="A2919" s="216">
        <v>11621</v>
      </c>
      <c r="B2919" s="222" t="s">
        <v>20604</v>
      </c>
      <c r="C2919" s="216" t="s">
        <v>18087</v>
      </c>
      <c r="D2919" s="443">
        <v>54.31</v>
      </c>
    </row>
    <row r="2920" spans="1:4">
      <c r="A2920" s="216">
        <v>4014</v>
      </c>
      <c r="B2920" s="222" t="s">
        <v>20605</v>
      </c>
      <c r="C2920" s="216" t="s">
        <v>18087</v>
      </c>
      <c r="D2920" s="443">
        <v>56.2</v>
      </c>
    </row>
    <row r="2921" spans="1:4">
      <c r="A2921" s="216">
        <v>4015</v>
      </c>
      <c r="B2921" s="222" t="s">
        <v>20606</v>
      </c>
      <c r="C2921" s="216" t="s">
        <v>18087</v>
      </c>
      <c r="D2921" s="443">
        <v>69.010000000000005</v>
      </c>
    </row>
    <row r="2922" spans="1:4">
      <c r="A2922" s="216">
        <v>4017</v>
      </c>
      <c r="B2922" s="222" t="s">
        <v>20607</v>
      </c>
      <c r="C2922" s="216" t="s">
        <v>18087</v>
      </c>
      <c r="D2922" s="443">
        <v>100.41</v>
      </c>
    </row>
    <row r="2923" spans="1:4">
      <c r="A2923" s="216">
        <v>4016</v>
      </c>
      <c r="B2923" s="222" t="s">
        <v>20608</v>
      </c>
      <c r="C2923" s="216" t="s">
        <v>18087</v>
      </c>
      <c r="D2923" s="443">
        <v>39.659999999999997</v>
      </c>
    </row>
    <row r="2924" spans="1:4">
      <c r="A2924" s="216">
        <v>39699</v>
      </c>
      <c r="B2924" s="222" t="s">
        <v>20609</v>
      </c>
      <c r="C2924" s="216" t="s">
        <v>18087</v>
      </c>
      <c r="D2924" s="443">
        <v>18.72</v>
      </c>
    </row>
    <row r="2925" spans="1:4">
      <c r="A2925" s="216">
        <v>38544</v>
      </c>
      <c r="B2925" s="222" t="s">
        <v>20610</v>
      </c>
      <c r="C2925" s="216" t="s">
        <v>18087</v>
      </c>
      <c r="D2925" s="443">
        <v>10.17</v>
      </c>
    </row>
    <row r="2926" spans="1:4">
      <c r="A2926" s="216">
        <v>38545</v>
      </c>
      <c r="B2926" s="222" t="s">
        <v>20611</v>
      </c>
      <c r="C2926" s="216" t="s">
        <v>18087</v>
      </c>
      <c r="D2926" s="443">
        <v>6.54</v>
      </c>
    </row>
    <row r="2927" spans="1:4">
      <c r="A2927" s="216">
        <v>42527</v>
      </c>
      <c r="B2927" s="222" t="s">
        <v>20612</v>
      </c>
      <c r="C2927" s="216" t="s">
        <v>18087</v>
      </c>
      <c r="D2927" s="443">
        <v>19.420000000000002</v>
      </c>
    </row>
    <row r="2928" spans="1:4">
      <c r="A2928" s="216">
        <v>39323</v>
      </c>
      <c r="B2928" s="222" t="s">
        <v>20613</v>
      </c>
      <c r="C2928" s="216" t="s">
        <v>18087</v>
      </c>
      <c r="D2928" s="443">
        <v>24.95</v>
      </c>
    </row>
    <row r="2929" spans="1:4" ht="31.5">
      <c r="A2929" s="216">
        <v>626</v>
      </c>
      <c r="B2929" s="222" t="s">
        <v>20614</v>
      </c>
      <c r="C2929" s="216" t="s">
        <v>17726</v>
      </c>
      <c r="D2929" s="443">
        <v>20.16</v>
      </c>
    </row>
    <row r="2930" spans="1:4">
      <c r="A2930" s="216">
        <v>44504</v>
      </c>
      <c r="B2930" s="222" t="s">
        <v>20615</v>
      </c>
      <c r="C2930" s="216" t="s">
        <v>18087</v>
      </c>
      <c r="D2930" s="443">
        <v>14.51</v>
      </c>
    </row>
    <row r="2931" spans="1:4">
      <c r="A2931" s="216">
        <v>44505</v>
      </c>
      <c r="B2931" s="222" t="s">
        <v>20616</v>
      </c>
      <c r="C2931" s="216" t="s">
        <v>18087</v>
      </c>
      <c r="D2931" s="443">
        <v>21.9</v>
      </c>
    </row>
    <row r="2932" spans="1:4">
      <c r="A2932" s="216">
        <v>44506</v>
      </c>
      <c r="B2932" s="222" t="s">
        <v>20617</v>
      </c>
      <c r="C2932" s="216" t="s">
        <v>18087</v>
      </c>
      <c r="D2932" s="443">
        <v>23.25</v>
      </c>
    </row>
    <row r="2933" spans="1:4">
      <c r="A2933" s="216">
        <v>44507</v>
      </c>
      <c r="B2933" s="222" t="s">
        <v>20618</v>
      </c>
      <c r="C2933" s="216" t="s">
        <v>18087</v>
      </c>
      <c r="D2933" s="443">
        <v>29.06</v>
      </c>
    </row>
    <row r="2934" spans="1:4">
      <c r="A2934" s="216">
        <v>44508</v>
      </c>
      <c r="B2934" s="222" t="s">
        <v>20619</v>
      </c>
      <c r="C2934" s="216" t="s">
        <v>18087</v>
      </c>
      <c r="D2934" s="443">
        <v>43.58</v>
      </c>
    </row>
    <row r="2935" spans="1:4">
      <c r="A2935" s="216">
        <v>44509</v>
      </c>
      <c r="B2935" s="222" t="s">
        <v>20620</v>
      </c>
      <c r="C2935" s="216" t="s">
        <v>18087</v>
      </c>
      <c r="D2935" s="443">
        <v>58.38</v>
      </c>
    </row>
    <row r="2936" spans="1:4">
      <c r="A2936" s="216">
        <v>44510</v>
      </c>
      <c r="B2936" s="222" t="s">
        <v>20621</v>
      </c>
      <c r="C2936" s="216" t="s">
        <v>18087</v>
      </c>
      <c r="D2936" s="443">
        <v>72.489999999999995</v>
      </c>
    </row>
    <row r="2937" spans="1:4">
      <c r="A2937" s="216">
        <v>44512</v>
      </c>
      <c r="B2937" s="222" t="s">
        <v>20622</v>
      </c>
      <c r="C2937" s="216" t="s">
        <v>18087</v>
      </c>
      <c r="D2937" s="443">
        <v>16.18</v>
      </c>
    </row>
    <row r="2938" spans="1:4">
      <c r="A2938" s="216">
        <v>44513</v>
      </c>
      <c r="B2938" s="222" t="s">
        <v>20623</v>
      </c>
      <c r="C2938" s="216" t="s">
        <v>18087</v>
      </c>
      <c r="D2938" s="443">
        <v>22.84</v>
      </c>
    </row>
    <row r="2939" spans="1:4">
      <c r="A2939" s="216">
        <v>44514</v>
      </c>
      <c r="B2939" s="222" t="s">
        <v>20624</v>
      </c>
      <c r="C2939" s="216" t="s">
        <v>18087</v>
      </c>
      <c r="D2939" s="443">
        <v>25.89</v>
      </c>
    </row>
    <row r="2940" spans="1:4">
      <c r="A2940" s="216">
        <v>44515</v>
      </c>
      <c r="B2940" s="222" t="s">
        <v>20625</v>
      </c>
      <c r="C2940" s="216" t="s">
        <v>18087</v>
      </c>
      <c r="D2940" s="443">
        <v>31.79</v>
      </c>
    </row>
    <row r="2941" spans="1:4">
      <c r="A2941" s="216">
        <v>44511</v>
      </c>
      <c r="B2941" s="222" t="s">
        <v>20626</v>
      </c>
      <c r="C2941" s="216" t="s">
        <v>18087</v>
      </c>
      <c r="D2941" s="443">
        <v>47.06</v>
      </c>
    </row>
    <row r="2942" spans="1:4">
      <c r="A2942" s="216">
        <v>44516</v>
      </c>
      <c r="B2942" s="222" t="s">
        <v>20627</v>
      </c>
      <c r="C2942" s="216" t="s">
        <v>18087</v>
      </c>
      <c r="D2942" s="443">
        <v>63.6</v>
      </c>
    </row>
    <row r="2943" spans="1:4">
      <c r="A2943" s="216">
        <v>44517</v>
      </c>
      <c r="B2943" s="222" t="s">
        <v>20628</v>
      </c>
      <c r="C2943" s="216" t="s">
        <v>18087</v>
      </c>
      <c r="D2943" s="443">
        <v>79.319999999999993</v>
      </c>
    </row>
    <row r="2944" spans="1:4">
      <c r="A2944" s="216">
        <v>11479</v>
      </c>
      <c r="B2944" s="222" t="s">
        <v>20629</v>
      </c>
      <c r="C2944" s="216" t="s">
        <v>17678</v>
      </c>
      <c r="D2944" s="443">
        <v>39.880000000000003</v>
      </c>
    </row>
    <row r="2945" spans="1:4">
      <c r="A2945" s="216">
        <v>11481</v>
      </c>
      <c r="B2945" s="222" t="s">
        <v>20630</v>
      </c>
      <c r="C2945" s="216" t="s">
        <v>17678</v>
      </c>
      <c r="D2945" s="443">
        <v>36.08</v>
      </c>
    </row>
    <row r="2946" spans="1:4">
      <c r="A2946" s="216">
        <v>43609</v>
      </c>
      <c r="B2946" s="222" t="s">
        <v>20631</v>
      </c>
      <c r="C2946" s="216" t="s">
        <v>17678</v>
      </c>
      <c r="D2946" s="443">
        <v>36.08</v>
      </c>
    </row>
    <row r="2947" spans="1:4">
      <c r="A2947" s="216">
        <v>11478</v>
      </c>
      <c r="B2947" s="222" t="s">
        <v>20632</v>
      </c>
      <c r="C2947" s="216" t="s">
        <v>17678</v>
      </c>
      <c r="D2947" s="443">
        <v>68.430000000000007</v>
      </c>
    </row>
    <row r="2948" spans="1:4">
      <c r="A2948" s="216">
        <v>43608</v>
      </c>
      <c r="B2948" s="222" t="s">
        <v>20633</v>
      </c>
      <c r="C2948" s="216" t="s">
        <v>17678</v>
      </c>
      <c r="D2948" s="443">
        <v>52.22</v>
      </c>
    </row>
    <row r="2949" spans="1:4">
      <c r="A2949" s="216">
        <v>11476</v>
      </c>
      <c r="B2949" s="222" t="s">
        <v>20634</v>
      </c>
      <c r="C2949" s="216" t="s">
        <v>17678</v>
      </c>
      <c r="D2949" s="443">
        <v>52.22</v>
      </c>
    </row>
    <row r="2950" spans="1:4">
      <c r="A2950" s="216">
        <v>40637</v>
      </c>
      <c r="B2950" s="222" t="s">
        <v>20635</v>
      </c>
      <c r="C2950" s="216" t="s">
        <v>17678</v>
      </c>
      <c r="D2950" s="443">
        <v>725729.26</v>
      </c>
    </row>
    <row r="2951" spans="1:4">
      <c r="A2951" s="216">
        <v>13836</v>
      </c>
      <c r="B2951" s="222" t="s">
        <v>20636</v>
      </c>
      <c r="C2951" s="216" t="s">
        <v>17678</v>
      </c>
      <c r="D2951" s="443">
        <v>67582.679999999993</v>
      </c>
    </row>
    <row r="2952" spans="1:4" ht="31.5">
      <c r="A2952" s="216">
        <v>14534</v>
      </c>
      <c r="B2952" s="222" t="s">
        <v>20637</v>
      </c>
      <c r="C2952" s="216" t="s">
        <v>17678</v>
      </c>
      <c r="D2952" s="443">
        <v>28291.9</v>
      </c>
    </row>
    <row r="2953" spans="1:4" ht="31.5">
      <c r="A2953" s="216">
        <v>14619</v>
      </c>
      <c r="B2953" s="222" t="s">
        <v>20638</v>
      </c>
      <c r="C2953" s="216" t="s">
        <v>17678</v>
      </c>
      <c r="D2953" s="443">
        <v>14095.4</v>
      </c>
    </row>
    <row r="2954" spans="1:4" ht="31.5">
      <c r="A2954" s="216">
        <v>14535</v>
      </c>
      <c r="B2954" s="222" t="s">
        <v>20639</v>
      </c>
      <c r="C2954" s="216" t="s">
        <v>17678</v>
      </c>
      <c r="D2954" s="443">
        <v>280799.78999999998</v>
      </c>
    </row>
    <row r="2955" spans="1:4" ht="47.25">
      <c r="A2955" s="216">
        <v>39813</v>
      </c>
      <c r="B2955" s="222" t="s">
        <v>20640</v>
      </c>
      <c r="C2955" s="216" t="s">
        <v>17678</v>
      </c>
      <c r="D2955" s="443">
        <v>37627.760000000002</v>
      </c>
    </row>
    <row r="2956" spans="1:4" ht="47.25">
      <c r="A2956" s="216">
        <v>40403</v>
      </c>
      <c r="B2956" s="222" t="s">
        <v>20641</v>
      </c>
      <c r="C2956" s="216" t="s">
        <v>17678</v>
      </c>
      <c r="D2956" s="443">
        <v>491.01</v>
      </c>
    </row>
    <row r="2957" spans="1:4">
      <c r="A2957" s="216">
        <v>12868</v>
      </c>
      <c r="B2957" s="222" t="s">
        <v>20642</v>
      </c>
      <c r="C2957" s="216" t="s">
        <v>17826</v>
      </c>
      <c r="D2957" s="443">
        <v>22.13</v>
      </c>
    </row>
    <row r="2958" spans="1:4">
      <c r="A2958" s="216">
        <v>40916</v>
      </c>
      <c r="B2958" s="222" t="s">
        <v>20643</v>
      </c>
      <c r="C2958" s="216" t="s">
        <v>17828</v>
      </c>
      <c r="D2958" s="443">
        <v>3878.68</v>
      </c>
    </row>
    <row r="2959" spans="1:4">
      <c r="A2959" s="216">
        <v>4755</v>
      </c>
      <c r="B2959" s="222" t="s">
        <v>20644</v>
      </c>
      <c r="C2959" s="216" t="s">
        <v>17826</v>
      </c>
      <c r="D2959" s="443">
        <v>27.42</v>
      </c>
    </row>
    <row r="2960" spans="1:4">
      <c r="A2960" s="216">
        <v>41067</v>
      </c>
      <c r="B2960" s="222" t="s">
        <v>20645</v>
      </c>
      <c r="C2960" s="216" t="s">
        <v>17828</v>
      </c>
      <c r="D2960" s="443">
        <v>4805.5600000000004</v>
      </c>
    </row>
    <row r="2961" spans="1:4">
      <c r="A2961" s="216">
        <v>38463</v>
      </c>
      <c r="B2961" s="222" t="s">
        <v>20646</v>
      </c>
      <c r="C2961" s="216" t="s">
        <v>17678</v>
      </c>
      <c r="D2961" s="443">
        <v>44.96</v>
      </c>
    </row>
    <row r="2962" spans="1:4" ht="31.5">
      <c r="A2962" s="216">
        <v>40703</v>
      </c>
      <c r="B2962" s="222" t="s">
        <v>20647</v>
      </c>
      <c r="C2962" s="216" t="s">
        <v>17678</v>
      </c>
      <c r="D2962" s="443">
        <v>9183.3700000000008</v>
      </c>
    </row>
    <row r="2963" spans="1:4">
      <c r="A2963" s="216">
        <v>14531</v>
      </c>
      <c r="B2963" s="222" t="s">
        <v>20648</v>
      </c>
      <c r="C2963" s="216" t="s">
        <v>17678</v>
      </c>
      <c r="D2963" s="443">
        <v>17121.259999999998</v>
      </c>
    </row>
    <row r="2964" spans="1:4">
      <c r="A2964" s="216">
        <v>36533</v>
      </c>
      <c r="B2964" s="222" t="s">
        <v>20649</v>
      </c>
      <c r="C2964" s="216" t="s">
        <v>17678</v>
      </c>
      <c r="D2964" s="443">
        <v>19702.189999999999</v>
      </c>
    </row>
    <row r="2965" spans="1:4">
      <c r="A2965" s="216">
        <v>11616</v>
      </c>
      <c r="B2965" s="222" t="s">
        <v>20650</v>
      </c>
      <c r="C2965" s="216" t="s">
        <v>17678</v>
      </c>
      <c r="D2965" s="443">
        <v>18608.43</v>
      </c>
    </row>
    <row r="2966" spans="1:4">
      <c r="A2966" s="216">
        <v>41898</v>
      </c>
      <c r="B2966" s="222" t="s">
        <v>20651</v>
      </c>
      <c r="C2966" s="216" t="s">
        <v>17678</v>
      </c>
      <c r="D2966" s="443">
        <v>20937.02</v>
      </c>
    </row>
    <row r="2967" spans="1:4">
      <c r="A2967" s="216">
        <v>13447</v>
      </c>
      <c r="B2967" s="222" t="s">
        <v>20652</v>
      </c>
      <c r="C2967" s="216" t="s">
        <v>17678</v>
      </c>
      <c r="D2967" s="443">
        <v>38525.54</v>
      </c>
    </row>
    <row r="2968" spans="1:4">
      <c r="A2968" s="216">
        <v>14529</v>
      </c>
      <c r="B2968" s="222" t="s">
        <v>20653</v>
      </c>
      <c r="C2968" s="216" t="s">
        <v>17678</v>
      </c>
      <c r="D2968" s="443">
        <v>21546.36</v>
      </c>
    </row>
    <row r="2969" spans="1:4">
      <c r="A2969" s="216">
        <v>10747</v>
      </c>
      <c r="B2969" s="222" t="s">
        <v>20654</v>
      </c>
      <c r="C2969" s="216" t="s">
        <v>17678</v>
      </c>
      <c r="D2969" s="443">
        <v>21140.27</v>
      </c>
    </row>
    <row r="2970" spans="1:4">
      <c r="A2970" s="216">
        <v>36141</v>
      </c>
      <c r="B2970" s="222" t="s">
        <v>20655</v>
      </c>
      <c r="C2970" s="216" t="s">
        <v>17678</v>
      </c>
      <c r="D2970" s="443">
        <v>36.28</v>
      </c>
    </row>
    <row r="2971" spans="1:4">
      <c r="A2971" s="216">
        <v>43651</v>
      </c>
      <c r="B2971" s="222" t="s">
        <v>20656</v>
      </c>
      <c r="C2971" s="216" t="s">
        <v>17726</v>
      </c>
      <c r="D2971" s="443">
        <v>8.83</v>
      </c>
    </row>
    <row r="2972" spans="1:4">
      <c r="A2972" s="216">
        <v>43626</v>
      </c>
      <c r="B2972" s="222" t="s">
        <v>20657</v>
      </c>
      <c r="C2972" s="216" t="s">
        <v>17726</v>
      </c>
      <c r="D2972" s="443">
        <v>4.91</v>
      </c>
    </row>
    <row r="2973" spans="1:4" ht="31.5">
      <c r="A2973" s="216">
        <v>39434</v>
      </c>
      <c r="B2973" s="222" t="s">
        <v>20658</v>
      </c>
      <c r="C2973" s="216" t="s">
        <v>17726</v>
      </c>
      <c r="D2973" s="443">
        <v>3.42</v>
      </c>
    </row>
    <row r="2974" spans="1:4" ht="31.5">
      <c r="A2974" s="216">
        <v>39433</v>
      </c>
      <c r="B2974" s="222" t="s">
        <v>20659</v>
      </c>
      <c r="C2974" s="216" t="s">
        <v>17726</v>
      </c>
      <c r="D2974" s="443">
        <v>2.72</v>
      </c>
    </row>
    <row r="2975" spans="1:4">
      <c r="A2975" s="216">
        <v>4049</v>
      </c>
      <c r="B2975" s="222" t="s">
        <v>20660</v>
      </c>
      <c r="C2975" s="216" t="s">
        <v>17728</v>
      </c>
      <c r="D2975" s="443">
        <v>98.55</v>
      </c>
    </row>
    <row r="2976" spans="1:4">
      <c r="A2976" s="216">
        <v>38120</v>
      </c>
      <c r="B2976" s="222" t="s">
        <v>20661</v>
      </c>
      <c r="C2976" s="216" t="s">
        <v>17726</v>
      </c>
      <c r="D2976" s="443">
        <v>143.47</v>
      </c>
    </row>
    <row r="2977" spans="1:4">
      <c r="A2977" s="216">
        <v>43652</v>
      </c>
      <c r="B2977" s="222" t="s">
        <v>20662</v>
      </c>
      <c r="C2977" s="216" t="s">
        <v>17726</v>
      </c>
      <c r="D2977" s="443">
        <v>19.79</v>
      </c>
    </row>
    <row r="2978" spans="1:4">
      <c r="A2978" s="216">
        <v>10498</v>
      </c>
      <c r="B2978" s="222" t="s">
        <v>20663</v>
      </c>
      <c r="C2978" s="216" t="s">
        <v>17726</v>
      </c>
      <c r="D2978" s="443">
        <v>8.91</v>
      </c>
    </row>
    <row r="2979" spans="1:4">
      <c r="A2979" s="216">
        <v>4823</v>
      </c>
      <c r="B2979" s="222" t="s">
        <v>20664</v>
      </c>
      <c r="C2979" s="216" t="s">
        <v>17726</v>
      </c>
      <c r="D2979" s="443">
        <v>39.46</v>
      </c>
    </row>
    <row r="2980" spans="1:4">
      <c r="A2980" s="216">
        <v>38877</v>
      </c>
      <c r="B2980" s="222" t="s">
        <v>20665</v>
      </c>
      <c r="C2980" s="216" t="s">
        <v>17726</v>
      </c>
      <c r="D2980" s="443">
        <v>6.35</v>
      </c>
    </row>
    <row r="2981" spans="1:4">
      <c r="A2981" s="216">
        <v>34546</v>
      </c>
      <c r="B2981" s="222" t="s">
        <v>20666</v>
      </c>
      <c r="C2981" s="216" t="s">
        <v>17726</v>
      </c>
      <c r="D2981" s="443">
        <v>6.53</v>
      </c>
    </row>
    <row r="2982" spans="1:4">
      <c r="A2982" s="216">
        <v>41387</v>
      </c>
      <c r="B2982" s="222" t="s">
        <v>20667</v>
      </c>
      <c r="C2982" s="216" t="s">
        <v>17722</v>
      </c>
      <c r="D2982" s="443">
        <v>49.28</v>
      </c>
    </row>
    <row r="2983" spans="1:4">
      <c r="A2983" s="216">
        <v>41388</v>
      </c>
      <c r="B2983" s="222" t="s">
        <v>20668</v>
      </c>
      <c r="C2983" s="216" t="s">
        <v>17722</v>
      </c>
      <c r="D2983" s="443">
        <v>59.13</v>
      </c>
    </row>
    <row r="2984" spans="1:4">
      <c r="A2984" s="216">
        <v>41380</v>
      </c>
      <c r="B2984" s="222" t="s">
        <v>20669</v>
      </c>
      <c r="C2984" s="216" t="s">
        <v>17678</v>
      </c>
      <c r="D2984" s="443">
        <v>393.4</v>
      </c>
    </row>
    <row r="2985" spans="1:4">
      <c r="A2985" s="216">
        <v>41381</v>
      </c>
      <c r="B2985" s="222" t="s">
        <v>20670</v>
      </c>
      <c r="C2985" s="216" t="s">
        <v>17678</v>
      </c>
      <c r="D2985" s="443">
        <v>412.14</v>
      </c>
    </row>
    <row r="2986" spans="1:4">
      <c r="A2986" s="216">
        <v>41382</v>
      </c>
      <c r="B2986" s="222" t="s">
        <v>20671</v>
      </c>
      <c r="C2986" s="216" t="s">
        <v>17678</v>
      </c>
      <c r="D2986" s="443">
        <v>398.92</v>
      </c>
    </row>
    <row r="2987" spans="1:4">
      <c r="A2987" s="216">
        <v>41383</v>
      </c>
      <c r="B2987" s="222" t="s">
        <v>20672</v>
      </c>
      <c r="C2987" s="216" t="s">
        <v>17678</v>
      </c>
      <c r="D2987" s="443">
        <v>541.46</v>
      </c>
    </row>
    <row r="2988" spans="1:4">
      <c r="A2988" s="216">
        <v>41385</v>
      </c>
      <c r="B2988" s="222" t="s">
        <v>20673</v>
      </c>
      <c r="C2988" s="216" t="s">
        <v>17678</v>
      </c>
      <c r="D2988" s="443">
        <v>673.77</v>
      </c>
    </row>
    <row r="2989" spans="1:4">
      <c r="A2989" s="216">
        <v>11079</v>
      </c>
      <c r="B2989" s="222" t="s">
        <v>20674</v>
      </c>
      <c r="C2989" s="216" t="s">
        <v>17824</v>
      </c>
      <c r="D2989" s="443">
        <v>1270.9100000000001</v>
      </c>
    </row>
    <row r="2990" spans="1:4">
      <c r="A2990" s="216">
        <v>11082</v>
      </c>
      <c r="B2990" s="222" t="s">
        <v>20675</v>
      </c>
      <c r="C2990" s="216" t="s">
        <v>17824</v>
      </c>
      <c r="D2990" s="443">
        <v>1270.9100000000001</v>
      </c>
    </row>
    <row r="2991" spans="1:4">
      <c r="A2991" s="216">
        <v>4058</v>
      </c>
      <c r="B2991" s="222" t="s">
        <v>20676</v>
      </c>
      <c r="C2991" s="216" t="s">
        <v>17826</v>
      </c>
      <c r="D2991" s="443">
        <v>28.12</v>
      </c>
    </row>
    <row r="2992" spans="1:4">
      <c r="A2992" s="216">
        <v>40974</v>
      </c>
      <c r="B2992" s="222" t="s">
        <v>20677</v>
      </c>
      <c r="C2992" s="216" t="s">
        <v>17828</v>
      </c>
      <c r="D2992" s="443">
        <v>4925.3100000000004</v>
      </c>
    </row>
    <row r="2993" spans="1:4">
      <c r="A2993" s="216">
        <v>34794</v>
      </c>
      <c r="B2993" s="222" t="s">
        <v>20678</v>
      </c>
      <c r="C2993" s="216" t="s">
        <v>17826</v>
      </c>
      <c r="D2993" s="443">
        <v>26.82</v>
      </c>
    </row>
    <row r="2994" spans="1:4">
      <c r="A2994" s="216">
        <v>40925</v>
      </c>
      <c r="B2994" s="222" t="s">
        <v>20679</v>
      </c>
      <c r="C2994" s="216" t="s">
        <v>17828</v>
      </c>
      <c r="D2994" s="443">
        <v>4697.88</v>
      </c>
    </row>
    <row r="2995" spans="1:4">
      <c r="A2995" s="216">
        <v>13741</v>
      </c>
      <c r="B2995" s="222" t="s">
        <v>20680</v>
      </c>
      <c r="C2995" s="216" t="s">
        <v>17678</v>
      </c>
      <c r="D2995" s="443">
        <v>2126.4699999999998</v>
      </c>
    </row>
    <row r="2996" spans="1:4" ht="31.5">
      <c r="A2996" s="216">
        <v>3288</v>
      </c>
      <c r="B2996" s="222" t="s">
        <v>20681</v>
      </c>
      <c r="C2996" s="216" t="s">
        <v>17722</v>
      </c>
      <c r="D2996" s="443">
        <v>9</v>
      </c>
    </row>
    <row r="2997" spans="1:4">
      <c r="A2997" s="216">
        <v>13587</v>
      </c>
      <c r="B2997" s="222" t="s">
        <v>20682</v>
      </c>
      <c r="C2997" s="216" t="s">
        <v>17722</v>
      </c>
      <c r="D2997" s="443">
        <v>5.43</v>
      </c>
    </row>
    <row r="2998" spans="1:4">
      <c r="A2998" s="216">
        <v>38598</v>
      </c>
      <c r="B2998" s="222" t="s">
        <v>20683</v>
      </c>
      <c r="C2998" s="216" t="s">
        <v>17678</v>
      </c>
      <c r="D2998" s="443">
        <v>2.72</v>
      </c>
    </row>
    <row r="2999" spans="1:4">
      <c r="A2999" s="216">
        <v>38595</v>
      </c>
      <c r="B2999" s="222" t="s">
        <v>20684</v>
      </c>
      <c r="C2999" s="216" t="s">
        <v>17678</v>
      </c>
      <c r="D2999" s="443">
        <v>2.31</v>
      </c>
    </row>
    <row r="3000" spans="1:4">
      <c r="A3000" s="216">
        <v>38592</v>
      </c>
      <c r="B3000" s="222" t="s">
        <v>20685</v>
      </c>
      <c r="C3000" s="216" t="s">
        <v>17678</v>
      </c>
      <c r="D3000" s="443">
        <v>2.33</v>
      </c>
    </row>
    <row r="3001" spans="1:4">
      <c r="A3001" s="216">
        <v>38588</v>
      </c>
      <c r="B3001" s="222" t="s">
        <v>20686</v>
      </c>
      <c r="C3001" s="216" t="s">
        <v>17678</v>
      </c>
      <c r="D3001" s="443">
        <v>1.86</v>
      </c>
    </row>
    <row r="3002" spans="1:4">
      <c r="A3002" s="216">
        <v>38593</v>
      </c>
      <c r="B3002" s="222" t="s">
        <v>20687</v>
      </c>
      <c r="C3002" s="216" t="s">
        <v>17678</v>
      </c>
      <c r="D3002" s="443">
        <v>2.57</v>
      </c>
    </row>
    <row r="3003" spans="1:4">
      <c r="A3003" s="216">
        <v>38589</v>
      </c>
      <c r="B3003" s="222" t="s">
        <v>20688</v>
      </c>
      <c r="C3003" s="216" t="s">
        <v>17678</v>
      </c>
      <c r="D3003" s="443">
        <v>1.95</v>
      </c>
    </row>
    <row r="3004" spans="1:4">
      <c r="A3004" s="216">
        <v>38594</v>
      </c>
      <c r="B3004" s="222" t="s">
        <v>20689</v>
      </c>
      <c r="C3004" s="216" t="s">
        <v>17678</v>
      </c>
      <c r="D3004" s="443">
        <v>4.0599999999999996</v>
      </c>
    </row>
    <row r="3005" spans="1:4">
      <c r="A3005" s="216">
        <v>34773</v>
      </c>
      <c r="B3005" s="222" t="s">
        <v>20690</v>
      </c>
      <c r="C3005" s="216" t="s">
        <v>17678</v>
      </c>
      <c r="D3005" s="443">
        <v>1.92</v>
      </c>
    </row>
    <row r="3006" spans="1:4">
      <c r="A3006" s="216">
        <v>34769</v>
      </c>
      <c r="B3006" s="222" t="s">
        <v>20691</v>
      </c>
      <c r="C3006" s="216" t="s">
        <v>17678</v>
      </c>
      <c r="D3006" s="443">
        <v>2.38</v>
      </c>
    </row>
    <row r="3007" spans="1:4">
      <c r="A3007" s="216">
        <v>34763</v>
      </c>
      <c r="B3007" s="222" t="s">
        <v>20692</v>
      </c>
      <c r="C3007" s="216" t="s">
        <v>17678</v>
      </c>
      <c r="D3007" s="443">
        <v>1.46</v>
      </c>
    </row>
    <row r="3008" spans="1:4">
      <c r="A3008" s="216">
        <v>34774</v>
      </c>
      <c r="B3008" s="222" t="s">
        <v>20693</v>
      </c>
      <c r="C3008" s="216" t="s">
        <v>17678</v>
      </c>
      <c r="D3008" s="443">
        <v>1.82</v>
      </c>
    </row>
    <row r="3009" spans="1:4">
      <c r="A3009" s="216">
        <v>34771</v>
      </c>
      <c r="B3009" s="222" t="s">
        <v>20694</v>
      </c>
      <c r="C3009" s="216" t="s">
        <v>17678</v>
      </c>
      <c r="D3009" s="443">
        <v>2.2000000000000002</v>
      </c>
    </row>
    <row r="3010" spans="1:4">
      <c r="A3010" s="216">
        <v>34764</v>
      </c>
      <c r="B3010" s="222" t="s">
        <v>20695</v>
      </c>
      <c r="C3010" s="216" t="s">
        <v>17678</v>
      </c>
      <c r="D3010" s="443">
        <v>1.44</v>
      </c>
    </row>
    <row r="3011" spans="1:4">
      <c r="A3011" s="216">
        <v>34788</v>
      </c>
      <c r="B3011" s="222" t="s">
        <v>20696</v>
      </c>
      <c r="C3011" s="216" t="s">
        <v>17678</v>
      </c>
      <c r="D3011" s="443">
        <v>1.48</v>
      </c>
    </row>
    <row r="3012" spans="1:4">
      <c r="A3012" s="216">
        <v>34781</v>
      </c>
      <c r="B3012" s="222" t="s">
        <v>20697</v>
      </c>
      <c r="C3012" s="216" t="s">
        <v>17678</v>
      </c>
      <c r="D3012" s="443">
        <v>1.68</v>
      </c>
    </row>
    <row r="3013" spans="1:4">
      <c r="A3013" s="216">
        <v>41682</v>
      </c>
      <c r="B3013" s="222" t="s">
        <v>20698</v>
      </c>
      <c r="C3013" s="216" t="s">
        <v>17678</v>
      </c>
      <c r="D3013" s="443">
        <v>31.7</v>
      </c>
    </row>
    <row r="3014" spans="1:4">
      <c r="A3014" s="216">
        <v>41683</v>
      </c>
      <c r="B3014" s="222" t="s">
        <v>20699</v>
      </c>
      <c r="C3014" s="216" t="s">
        <v>17678</v>
      </c>
      <c r="D3014" s="443">
        <v>23.32</v>
      </c>
    </row>
    <row r="3015" spans="1:4">
      <c r="A3015" s="216">
        <v>41680</v>
      </c>
      <c r="B3015" s="222" t="s">
        <v>20700</v>
      </c>
      <c r="C3015" s="216" t="s">
        <v>17678</v>
      </c>
      <c r="D3015" s="443">
        <v>12.55</v>
      </c>
    </row>
    <row r="3016" spans="1:4">
      <c r="A3016" s="216">
        <v>41679</v>
      </c>
      <c r="B3016" s="222" t="s">
        <v>20701</v>
      </c>
      <c r="C3016" s="216" t="s">
        <v>17678</v>
      </c>
      <c r="D3016" s="443">
        <v>28.7</v>
      </c>
    </row>
    <row r="3017" spans="1:4">
      <c r="A3017" s="216">
        <v>41681</v>
      </c>
      <c r="B3017" s="222" t="s">
        <v>20702</v>
      </c>
      <c r="C3017" s="216" t="s">
        <v>17678</v>
      </c>
      <c r="D3017" s="443">
        <v>19.64</v>
      </c>
    </row>
    <row r="3018" spans="1:4" ht="31.5">
      <c r="A3018" s="216">
        <v>43386</v>
      </c>
      <c r="B3018" s="222" t="s">
        <v>20703</v>
      </c>
      <c r="C3018" s="216" t="s">
        <v>17678</v>
      </c>
      <c r="D3018" s="443">
        <v>44.85</v>
      </c>
    </row>
    <row r="3019" spans="1:4">
      <c r="A3019" s="216">
        <v>4059</v>
      </c>
      <c r="B3019" s="222" t="s">
        <v>20704</v>
      </c>
      <c r="C3019" s="216" t="s">
        <v>17722</v>
      </c>
      <c r="D3019" s="443">
        <v>31.7</v>
      </c>
    </row>
    <row r="3020" spans="1:4">
      <c r="A3020" s="216">
        <v>4062</v>
      </c>
      <c r="B3020" s="222" t="s">
        <v>20705</v>
      </c>
      <c r="C3020" s="216" t="s">
        <v>17678</v>
      </c>
      <c r="D3020" s="443">
        <v>31.7</v>
      </c>
    </row>
    <row r="3021" spans="1:4">
      <c r="A3021" s="216">
        <v>4061</v>
      </c>
      <c r="B3021" s="222" t="s">
        <v>20706</v>
      </c>
      <c r="C3021" s="216" t="s">
        <v>17678</v>
      </c>
      <c r="D3021" s="443">
        <v>39.47</v>
      </c>
    </row>
    <row r="3022" spans="1:4">
      <c r="A3022" s="216">
        <v>41315</v>
      </c>
      <c r="B3022" s="222" t="s">
        <v>20707</v>
      </c>
      <c r="C3022" s="216" t="s">
        <v>17726</v>
      </c>
      <c r="D3022" s="443">
        <v>85.66</v>
      </c>
    </row>
    <row r="3023" spans="1:4">
      <c r="A3023" s="216">
        <v>43148</v>
      </c>
      <c r="B3023" s="222" t="s">
        <v>20708</v>
      </c>
      <c r="C3023" s="216" t="s">
        <v>17726</v>
      </c>
      <c r="D3023" s="443">
        <v>58.14</v>
      </c>
    </row>
    <row r="3024" spans="1:4">
      <c r="A3024" s="216">
        <v>43147</v>
      </c>
      <c r="B3024" s="222" t="s">
        <v>20709</v>
      </c>
      <c r="C3024" s="216" t="s">
        <v>17726</v>
      </c>
      <c r="D3024" s="443">
        <v>22.52</v>
      </c>
    </row>
    <row r="3025" spans="1:4">
      <c r="A3025" s="216">
        <v>10608</v>
      </c>
      <c r="B3025" s="222" t="s">
        <v>20710</v>
      </c>
      <c r="C3025" s="216" t="s">
        <v>17678</v>
      </c>
      <c r="D3025" s="443">
        <v>9667.99</v>
      </c>
    </row>
    <row r="3026" spans="1:4">
      <c r="A3026" s="216">
        <v>4069</v>
      </c>
      <c r="B3026" s="222" t="s">
        <v>20711</v>
      </c>
      <c r="C3026" s="216" t="s">
        <v>17826</v>
      </c>
      <c r="D3026" s="443">
        <v>62.69</v>
      </c>
    </row>
    <row r="3027" spans="1:4">
      <c r="A3027" s="216">
        <v>40819</v>
      </c>
      <c r="B3027" s="222" t="s">
        <v>20712</v>
      </c>
      <c r="C3027" s="216" t="s">
        <v>17828</v>
      </c>
      <c r="D3027" s="443">
        <v>10976.33</v>
      </c>
    </row>
    <row r="3028" spans="1:4">
      <c r="A3028" s="216">
        <v>34361</v>
      </c>
      <c r="B3028" s="222" t="s">
        <v>20713</v>
      </c>
      <c r="C3028" s="216" t="s">
        <v>17726</v>
      </c>
      <c r="D3028" s="443">
        <v>16.39</v>
      </c>
    </row>
    <row r="3029" spans="1:4">
      <c r="A3029" s="216">
        <v>36512</v>
      </c>
      <c r="B3029" s="222" t="s">
        <v>20714</v>
      </c>
      <c r="C3029" s="216" t="s">
        <v>17678</v>
      </c>
      <c r="D3029" s="443">
        <v>21226.14</v>
      </c>
    </row>
    <row r="3030" spans="1:4">
      <c r="A3030" s="216">
        <v>44478</v>
      </c>
      <c r="B3030" s="222" t="s">
        <v>20715</v>
      </c>
      <c r="C3030" s="216" t="s">
        <v>17726</v>
      </c>
      <c r="D3030" s="443">
        <v>11.66</v>
      </c>
    </row>
    <row r="3031" spans="1:4">
      <c r="A3031" s="216">
        <v>44477</v>
      </c>
      <c r="B3031" s="222" t="s">
        <v>20716</v>
      </c>
      <c r="C3031" s="216" t="s">
        <v>17726</v>
      </c>
      <c r="D3031" s="443">
        <v>11.66</v>
      </c>
    </row>
    <row r="3032" spans="1:4">
      <c r="A3032" s="216">
        <v>11697</v>
      </c>
      <c r="B3032" s="222" t="s">
        <v>20717</v>
      </c>
      <c r="C3032" s="216" t="s">
        <v>17678</v>
      </c>
      <c r="D3032" s="443">
        <v>836.07</v>
      </c>
    </row>
    <row r="3033" spans="1:4">
      <c r="A3033" s="216">
        <v>11698</v>
      </c>
      <c r="B3033" s="222" t="s">
        <v>20718</v>
      </c>
      <c r="C3033" s="216" t="s">
        <v>17678</v>
      </c>
      <c r="D3033" s="443">
        <v>997.39</v>
      </c>
    </row>
    <row r="3034" spans="1:4">
      <c r="A3034" s="216">
        <v>10432</v>
      </c>
      <c r="B3034" s="222" t="s">
        <v>20719</v>
      </c>
      <c r="C3034" s="216" t="s">
        <v>17678</v>
      </c>
      <c r="D3034" s="443">
        <v>376.21</v>
      </c>
    </row>
    <row r="3035" spans="1:4">
      <c r="A3035" s="216">
        <v>11699</v>
      </c>
      <c r="B3035" s="222" t="s">
        <v>20720</v>
      </c>
      <c r="C3035" s="216" t="s">
        <v>17678</v>
      </c>
      <c r="D3035" s="443">
        <v>1102.3399999999999</v>
      </c>
    </row>
    <row r="3036" spans="1:4">
      <c r="A3036" s="216">
        <v>44020</v>
      </c>
      <c r="B3036" s="222" t="s">
        <v>20721</v>
      </c>
      <c r="C3036" s="216" t="s">
        <v>17678</v>
      </c>
      <c r="D3036" s="443">
        <v>928.16</v>
      </c>
    </row>
    <row r="3037" spans="1:4" ht="31.5">
      <c r="A3037" s="216">
        <v>41420</v>
      </c>
      <c r="B3037" s="222" t="s">
        <v>20722</v>
      </c>
      <c r="C3037" s="216" t="s">
        <v>17678</v>
      </c>
      <c r="D3037" s="443">
        <v>10.029999999999999</v>
      </c>
    </row>
    <row r="3038" spans="1:4" ht="31.5">
      <c r="A3038" s="216">
        <v>41422</v>
      </c>
      <c r="B3038" s="222" t="s">
        <v>20723</v>
      </c>
      <c r="C3038" s="216" t="s">
        <v>17678</v>
      </c>
      <c r="D3038" s="443">
        <v>13.7</v>
      </c>
    </row>
    <row r="3039" spans="1:4" ht="31.5">
      <c r="A3039" s="216">
        <v>41425</v>
      </c>
      <c r="B3039" s="222" t="s">
        <v>20724</v>
      </c>
      <c r="C3039" s="216" t="s">
        <v>17678</v>
      </c>
      <c r="D3039" s="443">
        <v>7.01</v>
      </c>
    </row>
    <row r="3040" spans="1:4" ht="31.5">
      <c r="A3040" s="216">
        <v>41426</v>
      </c>
      <c r="B3040" s="222" t="s">
        <v>20725</v>
      </c>
      <c r="C3040" s="216" t="s">
        <v>17678</v>
      </c>
      <c r="D3040" s="443">
        <v>12.63</v>
      </c>
    </row>
    <row r="3041" spans="1:4" ht="31.5">
      <c r="A3041" s="216">
        <v>41419</v>
      </c>
      <c r="B3041" s="222" t="s">
        <v>20726</v>
      </c>
      <c r="C3041" s="216" t="s">
        <v>17678</v>
      </c>
      <c r="D3041" s="443">
        <v>7.37</v>
      </c>
    </row>
    <row r="3042" spans="1:4" ht="31.5">
      <c r="A3042" s="216">
        <v>41421</v>
      </c>
      <c r="B3042" s="222" t="s">
        <v>20727</v>
      </c>
      <c r="C3042" s="216" t="s">
        <v>17678</v>
      </c>
      <c r="D3042" s="443">
        <v>10</v>
      </c>
    </row>
    <row r="3043" spans="1:4">
      <c r="A3043" s="216">
        <v>41414</v>
      </c>
      <c r="B3043" s="222" t="s">
        <v>20728</v>
      </c>
      <c r="C3043" s="216" t="s">
        <v>17678</v>
      </c>
      <c r="D3043" s="443">
        <v>23.19</v>
      </c>
    </row>
    <row r="3044" spans="1:4">
      <c r="A3044" s="216">
        <v>41415</v>
      </c>
      <c r="B3044" s="222" t="s">
        <v>20729</v>
      </c>
      <c r="C3044" s="216" t="s">
        <v>17678</v>
      </c>
      <c r="D3044" s="443">
        <v>27.01</v>
      </c>
    </row>
    <row r="3045" spans="1:4" ht="31.5">
      <c r="A3045" s="216">
        <v>37514</v>
      </c>
      <c r="B3045" s="222" t="s">
        <v>20730</v>
      </c>
      <c r="C3045" s="216" t="s">
        <v>17678</v>
      </c>
      <c r="D3045" s="443">
        <v>275000</v>
      </c>
    </row>
    <row r="3046" spans="1:4" ht="31.5">
      <c r="A3046" s="216">
        <v>37519</v>
      </c>
      <c r="B3046" s="222" t="s">
        <v>20731</v>
      </c>
      <c r="C3046" s="216" t="s">
        <v>17678</v>
      </c>
      <c r="D3046" s="443">
        <v>424405.68</v>
      </c>
    </row>
    <row r="3047" spans="1:4">
      <c r="A3047" s="216">
        <v>37520</v>
      </c>
      <c r="B3047" s="222" t="s">
        <v>20732</v>
      </c>
      <c r="C3047" s="216" t="s">
        <v>17678</v>
      </c>
      <c r="D3047" s="443">
        <v>417448.21</v>
      </c>
    </row>
    <row r="3048" spans="1:4">
      <c r="A3048" s="216">
        <v>37521</v>
      </c>
      <c r="B3048" s="222" t="s">
        <v>20733</v>
      </c>
      <c r="C3048" s="216" t="s">
        <v>17678</v>
      </c>
      <c r="D3048" s="443">
        <v>509286.82</v>
      </c>
    </row>
    <row r="3049" spans="1:4">
      <c r="A3049" s="216">
        <v>37522</v>
      </c>
      <c r="B3049" s="222" t="s">
        <v>20734</v>
      </c>
      <c r="C3049" s="216" t="s">
        <v>17678</v>
      </c>
      <c r="D3049" s="443">
        <v>524609.11</v>
      </c>
    </row>
    <row r="3050" spans="1:4" ht="31.5">
      <c r="A3050" s="216">
        <v>21109</v>
      </c>
      <c r="B3050" s="222" t="s">
        <v>20735</v>
      </c>
      <c r="C3050" s="216" t="s">
        <v>17678</v>
      </c>
      <c r="D3050" s="443">
        <v>70.959999999999994</v>
      </c>
    </row>
    <row r="3051" spans="1:4" ht="31.5">
      <c r="A3051" s="216">
        <v>37546</v>
      </c>
      <c r="B3051" s="222" t="s">
        <v>20736</v>
      </c>
      <c r="C3051" s="216" t="s">
        <v>17678</v>
      </c>
      <c r="D3051" s="443">
        <v>11991.07</v>
      </c>
    </row>
    <row r="3052" spans="1:4" ht="31.5">
      <c r="A3052" s="216">
        <v>37544</v>
      </c>
      <c r="B3052" s="222" t="s">
        <v>20737</v>
      </c>
      <c r="C3052" s="216" t="s">
        <v>17678</v>
      </c>
      <c r="D3052" s="443">
        <v>12682.57</v>
      </c>
    </row>
    <row r="3053" spans="1:4" ht="31.5">
      <c r="A3053" s="216">
        <v>37545</v>
      </c>
      <c r="B3053" s="222" t="s">
        <v>20738</v>
      </c>
      <c r="C3053" s="216" t="s">
        <v>17678</v>
      </c>
      <c r="D3053" s="443">
        <v>15090.55</v>
      </c>
    </row>
    <row r="3054" spans="1:4">
      <c r="A3054" s="216">
        <v>36793</v>
      </c>
      <c r="B3054" s="222" t="s">
        <v>20739</v>
      </c>
      <c r="C3054" s="216" t="s">
        <v>17678</v>
      </c>
      <c r="D3054" s="443">
        <v>700.85</v>
      </c>
    </row>
    <row r="3055" spans="1:4">
      <c r="A3055" s="216">
        <v>11769</v>
      </c>
      <c r="B3055" s="222" t="s">
        <v>20740</v>
      </c>
      <c r="C3055" s="216" t="s">
        <v>17678</v>
      </c>
      <c r="D3055" s="443">
        <v>309.72000000000003</v>
      </c>
    </row>
    <row r="3056" spans="1:4" ht="31.5">
      <c r="A3056" s="216">
        <v>11771</v>
      </c>
      <c r="B3056" s="222" t="s">
        <v>20741</v>
      </c>
      <c r="C3056" s="216" t="s">
        <v>17678</v>
      </c>
      <c r="D3056" s="443">
        <v>379.37</v>
      </c>
    </row>
    <row r="3057" spans="1:4" ht="31.5">
      <c r="A3057" s="216">
        <v>39919</v>
      </c>
      <c r="B3057" s="222" t="s">
        <v>20742</v>
      </c>
      <c r="C3057" s="216" t="s">
        <v>17678</v>
      </c>
      <c r="D3057" s="443">
        <v>60021.919999999998</v>
      </c>
    </row>
    <row r="3058" spans="1:4">
      <c r="A3058" s="216">
        <v>38385</v>
      </c>
      <c r="B3058" s="222" t="s">
        <v>20743</v>
      </c>
      <c r="C3058" s="216" t="s">
        <v>17678</v>
      </c>
      <c r="D3058" s="443">
        <v>43.73</v>
      </c>
    </row>
    <row r="3059" spans="1:4" ht="31.5">
      <c r="A3059" s="216">
        <v>36800</v>
      </c>
      <c r="B3059" s="222" t="s">
        <v>20744</v>
      </c>
      <c r="C3059" s="216" t="s">
        <v>17678</v>
      </c>
      <c r="D3059" s="443">
        <v>186.1</v>
      </c>
    </row>
    <row r="3060" spans="1:4">
      <c r="A3060" s="216">
        <v>37587</v>
      </c>
      <c r="B3060" s="222" t="s">
        <v>20745</v>
      </c>
      <c r="C3060" s="216" t="s">
        <v>17678</v>
      </c>
      <c r="D3060" s="443">
        <v>408.87</v>
      </c>
    </row>
    <row r="3061" spans="1:4" ht="31.5">
      <c r="A3061" s="216">
        <v>11561</v>
      </c>
      <c r="B3061" s="222" t="s">
        <v>20746</v>
      </c>
      <c r="C3061" s="216" t="s">
        <v>17678</v>
      </c>
      <c r="D3061" s="443">
        <v>231.59</v>
      </c>
    </row>
    <row r="3062" spans="1:4" ht="31.5">
      <c r="A3062" s="216">
        <v>43604</v>
      </c>
      <c r="B3062" s="222" t="s">
        <v>20747</v>
      </c>
      <c r="C3062" s="216" t="s">
        <v>17678</v>
      </c>
      <c r="D3062" s="443">
        <v>123.46</v>
      </c>
    </row>
    <row r="3063" spans="1:4" ht="31.5">
      <c r="A3063" s="216">
        <v>11560</v>
      </c>
      <c r="B3063" s="222" t="s">
        <v>20748</v>
      </c>
      <c r="C3063" s="216" t="s">
        <v>17678</v>
      </c>
      <c r="D3063" s="443">
        <v>178.75</v>
      </c>
    </row>
    <row r="3064" spans="1:4">
      <c r="A3064" s="216">
        <v>11499</v>
      </c>
      <c r="B3064" s="222" t="s">
        <v>20749</v>
      </c>
      <c r="C3064" s="216" t="s">
        <v>17678</v>
      </c>
      <c r="D3064" s="443">
        <v>942.76</v>
      </c>
    </row>
    <row r="3065" spans="1:4">
      <c r="A3065" s="216">
        <v>34761</v>
      </c>
      <c r="B3065" s="222" t="s">
        <v>20750</v>
      </c>
      <c r="C3065" s="216" t="s">
        <v>17826</v>
      </c>
      <c r="D3065" s="443">
        <v>20.440000000000001</v>
      </c>
    </row>
    <row r="3066" spans="1:4">
      <c r="A3066" s="216">
        <v>40924</v>
      </c>
      <c r="B3066" s="222" t="s">
        <v>20751</v>
      </c>
      <c r="C3066" s="216" t="s">
        <v>17828</v>
      </c>
      <c r="D3066" s="443">
        <v>3580.91</v>
      </c>
    </row>
    <row r="3067" spans="1:4">
      <c r="A3067" s="216">
        <v>40983</v>
      </c>
      <c r="B3067" s="222" t="s">
        <v>20752</v>
      </c>
      <c r="C3067" s="216" t="s">
        <v>17828</v>
      </c>
      <c r="D3067" s="443">
        <v>3981.36</v>
      </c>
    </row>
    <row r="3068" spans="1:4">
      <c r="A3068" s="216">
        <v>44497</v>
      </c>
      <c r="B3068" s="222" t="s">
        <v>20753</v>
      </c>
      <c r="C3068" s="216" t="s">
        <v>17826</v>
      </c>
      <c r="D3068" s="443">
        <v>22.74</v>
      </c>
    </row>
    <row r="3069" spans="1:4">
      <c r="A3069" s="216">
        <v>2437</v>
      </c>
      <c r="B3069" s="222" t="s">
        <v>20754</v>
      </c>
      <c r="C3069" s="216" t="s">
        <v>17826</v>
      </c>
      <c r="D3069" s="443">
        <v>30.55</v>
      </c>
    </row>
    <row r="3070" spans="1:4">
      <c r="A3070" s="216">
        <v>40921</v>
      </c>
      <c r="B3070" s="222" t="s">
        <v>20755</v>
      </c>
      <c r="C3070" s="216" t="s">
        <v>17828</v>
      </c>
      <c r="D3070" s="443">
        <v>5351.61</v>
      </c>
    </row>
    <row r="3071" spans="1:4" ht="31.5">
      <c r="A3071" s="216">
        <v>14252</v>
      </c>
      <c r="B3071" s="222" t="s">
        <v>20756</v>
      </c>
      <c r="C3071" s="216" t="s">
        <v>17678</v>
      </c>
      <c r="D3071" s="443">
        <v>2911.88</v>
      </c>
    </row>
    <row r="3072" spans="1:4" ht="31.5">
      <c r="A3072" s="216">
        <v>730</v>
      </c>
      <c r="B3072" s="222" t="s">
        <v>20757</v>
      </c>
      <c r="C3072" s="216" t="s">
        <v>17678</v>
      </c>
      <c r="D3072" s="443">
        <v>7780</v>
      </c>
    </row>
    <row r="3073" spans="1:4" ht="31.5">
      <c r="A3073" s="216">
        <v>723</v>
      </c>
      <c r="B3073" s="222" t="s">
        <v>20758</v>
      </c>
      <c r="C3073" s="216" t="s">
        <v>17678</v>
      </c>
      <c r="D3073" s="443">
        <v>3866.93</v>
      </c>
    </row>
    <row r="3074" spans="1:4" ht="31.5">
      <c r="A3074" s="216">
        <v>36502</v>
      </c>
      <c r="B3074" s="222" t="s">
        <v>20759</v>
      </c>
      <c r="C3074" s="216" t="s">
        <v>17678</v>
      </c>
      <c r="D3074" s="443">
        <v>3634.45</v>
      </c>
    </row>
    <row r="3075" spans="1:4" ht="31.5">
      <c r="A3075" s="216">
        <v>36503</v>
      </c>
      <c r="B3075" s="222" t="s">
        <v>20760</v>
      </c>
      <c r="C3075" s="216" t="s">
        <v>17678</v>
      </c>
      <c r="D3075" s="443">
        <v>4481.71</v>
      </c>
    </row>
    <row r="3076" spans="1:4" ht="31.5">
      <c r="A3076" s="216">
        <v>4090</v>
      </c>
      <c r="B3076" s="222" t="s">
        <v>20761</v>
      </c>
      <c r="C3076" s="216" t="s">
        <v>17678</v>
      </c>
      <c r="D3076" s="443">
        <v>1370000</v>
      </c>
    </row>
    <row r="3077" spans="1:4" ht="31.5">
      <c r="A3077" s="216">
        <v>13227</v>
      </c>
      <c r="B3077" s="222" t="s">
        <v>20762</v>
      </c>
      <c r="C3077" s="216" t="s">
        <v>17678</v>
      </c>
      <c r="D3077" s="443">
        <v>1702395.83</v>
      </c>
    </row>
    <row r="3078" spans="1:4" ht="31.5">
      <c r="A3078" s="216">
        <v>10597</v>
      </c>
      <c r="B3078" s="222" t="s">
        <v>20763</v>
      </c>
      <c r="C3078" s="216" t="s">
        <v>17678</v>
      </c>
      <c r="D3078" s="443">
        <v>1791991.23</v>
      </c>
    </row>
    <row r="3079" spans="1:4">
      <c r="A3079" s="216">
        <v>39628</v>
      </c>
      <c r="B3079" s="222" t="s">
        <v>20764</v>
      </c>
      <c r="C3079" s="216" t="s">
        <v>17678</v>
      </c>
      <c r="D3079" s="443">
        <v>4644.46</v>
      </c>
    </row>
    <row r="3080" spans="1:4">
      <c r="A3080" s="216">
        <v>39404</v>
      </c>
      <c r="B3080" s="222" t="s">
        <v>20765</v>
      </c>
      <c r="C3080" s="216" t="s">
        <v>17678</v>
      </c>
      <c r="D3080" s="443">
        <v>2303.0300000000002</v>
      </c>
    </row>
    <row r="3081" spans="1:4">
      <c r="A3081" s="216">
        <v>39402</v>
      </c>
      <c r="B3081" s="222" t="s">
        <v>20766</v>
      </c>
      <c r="C3081" s="216" t="s">
        <v>17678</v>
      </c>
      <c r="D3081" s="443">
        <v>1897.26</v>
      </c>
    </row>
    <row r="3082" spans="1:4">
      <c r="A3082" s="216">
        <v>39403</v>
      </c>
      <c r="B3082" s="222" t="s">
        <v>20767</v>
      </c>
      <c r="C3082" s="216" t="s">
        <v>17678</v>
      </c>
      <c r="D3082" s="443">
        <v>1855.99</v>
      </c>
    </row>
    <row r="3083" spans="1:4">
      <c r="A3083" s="216">
        <v>4093</v>
      </c>
      <c r="B3083" s="222" t="s">
        <v>20768</v>
      </c>
      <c r="C3083" s="216" t="s">
        <v>17826</v>
      </c>
      <c r="D3083" s="443">
        <v>20.41</v>
      </c>
    </row>
    <row r="3084" spans="1:4">
      <c r="A3084" s="216">
        <v>10512</v>
      </c>
      <c r="B3084" s="222" t="s">
        <v>20769</v>
      </c>
      <c r="C3084" s="216" t="s">
        <v>17828</v>
      </c>
      <c r="D3084" s="443">
        <v>3575.08</v>
      </c>
    </row>
    <row r="3085" spans="1:4">
      <c r="A3085" s="216">
        <v>20020</v>
      </c>
      <c r="B3085" s="222" t="s">
        <v>20770</v>
      </c>
      <c r="C3085" s="216" t="s">
        <v>17826</v>
      </c>
      <c r="D3085" s="443">
        <v>19.239999999999998</v>
      </c>
    </row>
    <row r="3086" spans="1:4">
      <c r="A3086" s="216">
        <v>41038</v>
      </c>
      <c r="B3086" s="222" t="s">
        <v>20771</v>
      </c>
      <c r="C3086" s="216" t="s">
        <v>17828</v>
      </c>
      <c r="D3086" s="443">
        <v>3372.19</v>
      </c>
    </row>
    <row r="3087" spans="1:4">
      <c r="A3087" s="216">
        <v>4094</v>
      </c>
      <c r="B3087" s="222" t="s">
        <v>20772</v>
      </c>
      <c r="C3087" s="216" t="s">
        <v>17826</v>
      </c>
      <c r="D3087" s="443">
        <v>27.25</v>
      </c>
    </row>
    <row r="3088" spans="1:4">
      <c r="A3088" s="216">
        <v>40988</v>
      </c>
      <c r="B3088" s="222" t="s">
        <v>20773</v>
      </c>
      <c r="C3088" s="216" t="s">
        <v>17828</v>
      </c>
      <c r="D3088" s="443">
        <v>4774.29</v>
      </c>
    </row>
    <row r="3089" spans="1:4">
      <c r="A3089" s="216">
        <v>4095</v>
      </c>
      <c r="B3089" s="222" t="s">
        <v>20774</v>
      </c>
      <c r="C3089" s="216" t="s">
        <v>17826</v>
      </c>
      <c r="D3089" s="443">
        <v>22.26</v>
      </c>
    </row>
    <row r="3090" spans="1:4">
      <c r="A3090" s="216">
        <v>40990</v>
      </c>
      <c r="B3090" s="222" t="s">
        <v>20775</v>
      </c>
      <c r="C3090" s="216" t="s">
        <v>17828</v>
      </c>
      <c r="D3090" s="443">
        <v>3898.47</v>
      </c>
    </row>
    <row r="3091" spans="1:4">
      <c r="A3091" s="216">
        <v>4097</v>
      </c>
      <c r="B3091" s="222" t="s">
        <v>20776</v>
      </c>
      <c r="C3091" s="216" t="s">
        <v>17826</v>
      </c>
      <c r="D3091" s="443">
        <v>23.08</v>
      </c>
    </row>
    <row r="3092" spans="1:4">
      <c r="A3092" s="216">
        <v>40994</v>
      </c>
      <c r="B3092" s="222" t="s">
        <v>20777</v>
      </c>
      <c r="C3092" s="216" t="s">
        <v>17828</v>
      </c>
      <c r="D3092" s="443">
        <v>4042.55</v>
      </c>
    </row>
    <row r="3093" spans="1:4">
      <c r="A3093" s="216">
        <v>4096</v>
      </c>
      <c r="B3093" s="222" t="s">
        <v>20778</v>
      </c>
      <c r="C3093" s="216" t="s">
        <v>17826</v>
      </c>
      <c r="D3093" s="443">
        <v>23.69</v>
      </c>
    </row>
    <row r="3094" spans="1:4">
      <c r="A3094" s="216">
        <v>40992</v>
      </c>
      <c r="B3094" s="222" t="s">
        <v>20779</v>
      </c>
      <c r="C3094" s="216" t="s">
        <v>17828</v>
      </c>
      <c r="D3094" s="443">
        <v>4149.46</v>
      </c>
    </row>
    <row r="3095" spans="1:4">
      <c r="A3095" s="216">
        <v>4114</v>
      </c>
      <c r="B3095" s="222" t="s">
        <v>20780</v>
      </c>
      <c r="C3095" s="216" t="s">
        <v>17678</v>
      </c>
      <c r="D3095" s="443">
        <v>72.66</v>
      </c>
    </row>
    <row r="3096" spans="1:4">
      <c r="A3096" s="216">
        <v>36797</v>
      </c>
      <c r="B3096" s="222" t="s">
        <v>20781</v>
      </c>
      <c r="C3096" s="216" t="s">
        <v>17678</v>
      </c>
      <c r="D3096" s="443">
        <v>64.69</v>
      </c>
    </row>
    <row r="3097" spans="1:4">
      <c r="A3097" s="216">
        <v>4107</v>
      </c>
      <c r="B3097" s="222" t="s">
        <v>20782</v>
      </c>
      <c r="C3097" s="216" t="s">
        <v>17678</v>
      </c>
      <c r="D3097" s="443">
        <v>61</v>
      </c>
    </row>
    <row r="3098" spans="1:4">
      <c r="A3098" s="216">
        <v>4102</v>
      </c>
      <c r="B3098" s="222" t="s">
        <v>20783</v>
      </c>
      <c r="C3098" s="216" t="s">
        <v>17678</v>
      </c>
      <c r="D3098" s="443">
        <v>74.459999999999994</v>
      </c>
    </row>
    <row r="3099" spans="1:4">
      <c r="A3099" s="216">
        <v>36799</v>
      </c>
      <c r="B3099" s="222" t="s">
        <v>20784</v>
      </c>
      <c r="C3099" s="216" t="s">
        <v>17678</v>
      </c>
      <c r="D3099" s="443">
        <v>62.79</v>
      </c>
    </row>
    <row r="3100" spans="1:4" ht="31.5">
      <c r="A3100" s="216">
        <v>2747</v>
      </c>
      <c r="B3100" s="222" t="s">
        <v>20785</v>
      </c>
      <c r="C3100" s="216" t="s">
        <v>17722</v>
      </c>
      <c r="D3100" s="443">
        <v>31.54</v>
      </c>
    </row>
    <row r="3101" spans="1:4" ht="31.5">
      <c r="A3101" s="216">
        <v>21138</v>
      </c>
      <c r="B3101" s="222" t="s">
        <v>20786</v>
      </c>
      <c r="C3101" s="216" t="s">
        <v>17722</v>
      </c>
      <c r="D3101" s="443">
        <v>10</v>
      </c>
    </row>
    <row r="3102" spans="1:4" ht="31.5">
      <c r="A3102" s="216">
        <v>10826</v>
      </c>
      <c r="B3102" s="222" t="s">
        <v>20787</v>
      </c>
      <c r="C3102" s="216" t="s">
        <v>17678</v>
      </c>
      <c r="D3102" s="443">
        <v>45.97</v>
      </c>
    </row>
    <row r="3103" spans="1:4">
      <c r="A3103" s="216">
        <v>365</v>
      </c>
      <c r="B3103" s="222" t="s">
        <v>20788</v>
      </c>
      <c r="C3103" s="216" t="s">
        <v>17678</v>
      </c>
      <c r="D3103" s="443">
        <v>28.5</v>
      </c>
    </row>
    <row r="3104" spans="1:4">
      <c r="A3104" s="216">
        <v>38639</v>
      </c>
      <c r="B3104" s="222" t="s">
        <v>20789</v>
      </c>
      <c r="C3104" s="216" t="s">
        <v>17678</v>
      </c>
      <c r="D3104" s="443">
        <v>110.34</v>
      </c>
    </row>
    <row r="3105" spans="1:4">
      <c r="A3105" s="216">
        <v>38640</v>
      </c>
      <c r="B3105" s="222" t="s">
        <v>20790</v>
      </c>
      <c r="C3105" s="216" t="s">
        <v>17678</v>
      </c>
      <c r="D3105" s="443">
        <v>1.65</v>
      </c>
    </row>
    <row r="3106" spans="1:4" ht="31.5">
      <c r="A3106" s="216">
        <v>358</v>
      </c>
      <c r="B3106" s="222" t="s">
        <v>20791</v>
      </c>
      <c r="C3106" s="216" t="s">
        <v>17678</v>
      </c>
      <c r="D3106" s="443">
        <v>34.020000000000003</v>
      </c>
    </row>
    <row r="3107" spans="1:4" ht="31.5">
      <c r="A3107" s="216">
        <v>359</v>
      </c>
      <c r="B3107" s="222" t="s">
        <v>20792</v>
      </c>
      <c r="C3107" s="216" t="s">
        <v>17678</v>
      </c>
      <c r="D3107" s="443">
        <v>69.88</v>
      </c>
    </row>
    <row r="3108" spans="1:4">
      <c r="A3108" s="216">
        <v>38641</v>
      </c>
      <c r="B3108" s="222" t="s">
        <v>20793</v>
      </c>
      <c r="C3108" s="216" t="s">
        <v>17678</v>
      </c>
      <c r="D3108" s="443">
        <v>68.959999999999994</v>
      </c>
    </row>
    <row r="3109" spans="1:4" ht="31.5">
      <c r="A3109" s="216">
        <v>360</v>
      </c>
      <c r="B3109" s="222" t="s">
        <v>20794</v>
      </c>
      <c r="C3109" s="216" t="s">
        <v>17678</v>
      </c>
      <c r="D3109" s="443">
        <v>1.6</v>
      </c>
    </row>
    <row r="3110" spans="1:4" ht="31.5">
      <c r="A3110" s="216">
        <v>42430</v>
      </c>
      <c r="B3110" s="222" t="s">
        <v>20795</v>
      </c>
      <c r="C3110" s="216" t="s">
        <v>17678</v>
      </c>
      <c r="D3110" s="443">
        <v>6377.55</v>
      </c>
    </row>
    <row r="3111" spans="1:4">
      <c r="A3111" s="216">
        <v>4209</v>
      </c>
      <c r="B3111" s="222" t="s">
        <v>20796</v>
      </c>
      <c r="C3111" s="216" t="s">
        <v>17678</v>
      </c>
      <c r="D3111" s="443">
        <v>23.7</v>
      </c>
    </row>
    <row r="3112" spans="1:4">
      <c r="A3112" s="216">
        <v>4180</v>
      </c>
      <c r="B3112" s="222" t="s">
        <v>20797</v>
      </c>
      <c r="C3112" s="216" t="s">
        <v>17678</v>
      </c>
      <c r="D3112" s="443">
        <v>17.84</v>
      </c>
    </row>
    <row r="3113" spans="1:4">
      <c r="A3113" s="216">
        <v>4177</v>
      </c>
      <c r="B3113" s="222" t="s">
        <v>20798</v>
      </c>
      <c r="C3113" s="216" t="s">
        <v>17678</v>
      </c>
      <c r="D3113" s="443">
        <v>5.92</v>
      </c>
    </row>
    <row r="3114" spans="1:4">
      <c r="A3114" s="216">
        <v>4179</v>
      </c>
      <c r="B3114" s="222" t="s">
        <v>20799</v>
      </c>
      <c r="C3114" s="216" t="s">
        <v>17678</v>
      </c>
      <c r="D3114" s="443">
        <v>12.11</v>
      </c>
    </row>
    <row r="3115" spans="1:4">
      <c r="A3115" s="216">
        <v>4208</v>
      </c>
      <c r="B3115" s="222" t="s">
        <v>20800</v>
      </c>
      <c r="C3115" s="216" t="s">
        <v>17678</v>
      </c>
      <c r="D3115" s="443">
        <v>56.4</v>
      </c>
    </row>
    <row r="3116" spans="1:4">
      <c r="A3116" s="216">
        <v>4181</v>
      </c>
      <c r="B3116" s="222" t="s">
        <v>20801</v>
      </c>
      <c r="C3116" s="216" t="s">
        <v>17678</v>
      </c>
      <c r="D3116" s="443">
        <v>36.85</v>
      </c>
    </row>
    <row r="3117" spans="1:4">
      <c r="A3117" s="216">
        <v>4178</v>
      </c>
      <c r="B3117" s="222" t="s">
        <v>20802</v>
      </c>
      <c r="C3117" s="216" t="s">
        <v>17678</v>
      </c>
      <c r="D3117" s="443">
        <v>8.2100000000000009</v>
      </c>
    </row>
    <row r="3118" spans="1:4">
      <c r="A3118" s="216">
        <v>4182</v>
      </c>
      <c r="B3118" s="222" t="s">
        <v>20803</v>
      </c>
      <c r="C3118" s="216" t="s">
        <v>17678</v>
      </c>
      <c r="D3118" s="443">
        <v>91.75</v>
      </c>
    </row>
    <row r="3119" spans="1:4">
      <c r="A3119" s="216">
        <v>4183</v>
      </c>
      <c r="B3119" s="222" t="s">
        <v>20804</v>
      </c>
      <c r="C3119" s="216" t="s">
        <v>17678</v>
      </c>
      <c r="D3119" s="443">
        <v>147.72</v>
      </c>
    </row>
    <row r="3120" spans="1:4">
      <c r="A3120" s="216">
        <v>4184</v>
      </c>
      <c r="B3120" s="222" t="s">
        <v>20805</v>
      </c>
      <c r="C3120" s="216" t="s">
        <v>17678</v>
      </c>
      <c r="D3120" s="443">
        <v>326.07</v>
      </c>
    </row>
    <row r="3121" spans="1:4">
      <c r="A3121" s="216">
        <v>4185</v>
      </c>
      <c r="B3121" s="222" t="s">
        <v>20806</v>
      </c>
      <c r="C3121" s="216" t="s">
        <v>17678</v>
      </c>
      <c r="D3121" s="443">
        <v>541.79</v>
      </c>
    </row>
    <row r="3122" spans="1:4">
      <c r="A3122" s="216">
        <v>4205</v>
      </c>
      <c r="B3122" s="222" t="s">
        <v>20807</v>
      </c>
      <c r="C3122" s="216" t="s">
        <v>17678</v>
      </c>
      <c r="D3122" s="443">
        <v>31.29</v>
      </c>
    </row>
    <row r="3123" spans="1:4">
      <c r="A3123" s="216">
        <v>4192</v>
      </c>
      <c r="B3123" s="222" t="s">
        <v>20808</v>
      </c>
      <c r="C3123" s="216" t="s">
        <v>17678</v>
      </c>
      <c r="D3123" s="443">
        <v>31.29</v>
      </c>
    </row>
    <row r="3124" spans="1:4">
      <c r="A3124" s="216">
        <v>4191</v>
      </c>
      <c r="B3124" s="222" t="s">
        <v>20809</v>
      </c>
      <c r="C3124" s="216" t="s">
        <v>17678</v>
      </c>
      <c r="D3124" s="443">
        <v>31.29</v>
      </c>
    </row>
    <row r="3125" spans="1:4">
      <c r="A3125" s="216">
        <v>4207</v>
      </c>
      <c r="B3125" s="222" t="s">
        <v>20810</v>
      </c>
      <c r="C3125" s="216" t="s">
        <v>17678</v>
      </c>
      <c r="D3125" s="443">
        <v>25.18</v>
      </c>
    </row>
    <row r="3126" spans="1:4">
      <c r="A3126" s="216">
        <v>4206</v>
      </c>
      <c r="B3126" s="222" t="s">
        <v>20811</v>
      </c>
      <c r="C3126" s="216" t="s">
        <v>17678</v>
      </c>
      <c r="D3126" s="443">
        <v>24.45</v>
      </c>
    </row>
    <row r="3127" spans="1:4">
      <c r="A3127" s="216">
        <v>4190</v>
      </c>
      <c r="B3127" s="222" t="s">
        <v>20812</v>
      </c>
      <c r="C3127" s="216" t="s">
        <v>17678</v>
      </c>
      <c r="D3127" s="443">
        <v>24.45</v>
      </c>
    </row>
    <row r="3128" spans="1:4">
      <c r="A3128" s="216">
        <v>4186</v>
      </c>
      <c r="B3128" s="222" t="s">
        <v>20813</v>
      </c>
      <c r="C3128" s="216" t="s">
        <v>17678</v>
      </c>
      <c r="D3128" s="443">
        <v>7.23</v>
      </c>
    </row>
    <row r="3129" spans="1:4">
      <c r="A3129" s="216">
        <v>4188</v>
      </c>
      <c r="B3129" s="222" t="s">
        <v>20814</v>
      </c>
      <c r="C3129" s="216" t="s">
        <v>17678</v>
      </c>
      <c r="D3129" s="443">
        <v>14.75</v>
      </c>
    </row>
    <row r="3130" spans="1:4">
      <c r="A3130" s="216">
        <v>4189</v>
      </c>
      <c r="B3130" s="222" t="s">
        <v>20815</v>
      </c>
      <c r="C3130" s="216" t="s">
        <v>17678</v>
      </c>
      <c r="D3130" s="443">
        <v>14.75</v>
      </c>
    </row>
    <row r="3131" spans="1:4">
      <c r="A3131" s="216">
        <v>4197</v>
      </c>
      <c r="B3131" s="222" t="s">
        <v>20816</v>
      </c>
      <c r="C3131" s="216" t="s">
        <v>17678</v>
      </c>
      <c r="D3131" s="443">
        <v>78.12</v>
      </c>
    </row>
    <row r="3132" spans="1:4">
      <c r="A3132" s="216">
        <v>4194</v>
      </c>
      <c r="B3132" s="222" t="s">
        <v>20817</v>
      </c>
      <c r="C3132" s="216" t="s">
        <v>17678</v>
      </c>
      <c r="D3132" s="443">
        <v>47.21</v>
      </c>
    </row>
    <row r="3133" spans="1:4">
      <c r="A3133" s="216">
        <v>4193</v>
      </c>
      <c r="B3133" s="222" t="s">
        <v>20818</v>
      </c>
      <c r="C3133" s="216" t="s">
        <v>17678</v>
      </c>
      <c r="D3133" s="443">
        <v>47.21</v>
      </c>
    </row>
    <row r="3134" spans="1:4">
      <c r="A3134" s="216">
        <v>4204</v>
      </c>
      <c r="B3134" s="222" t="s">
        <v>20819</v>
      </c>
      <c r="C3134" s="216" t="s">
        <v>17678</v>
      </c>
      <c r="D3134" s="443">
        <v>47.21</v>
      </c>
    </row>
    <row r="3135" spans="1:4">
      <c r="A3135" s="216">
        <v>4187</v>
      </c>
      <c r="B3135" s="222" t="s">
        <v>20820</v>
      </c>
      <c r="C3135" s="216" t="s">
        <v>17678</v>
      </c>
      <c r="D3135" s="443">
        <v>9.41</v>
      </c>
    </row>
    <row r="3136" spans="1:4">
      <c r="A3136" s="216">
        <v>4202</v>
      </c>
      <c r="B3136" s="222" t="s">
        <v>20821</v>
      </c>
      <c r="C3136" s="216" t="s">
        <v>17678</v>
      </c>
      <c r="D3136" s="443">
        <v>142.68</v>
      </c>
    </row>
    <row r="3137" spans="1:4">
      <c r="A3137" s="216">
        <v>4203</v>
      </c>
      <c r="B3137" s="222" t="s">
        <v>20822</v>
      </c>
      <c r="C3137" s="216" t="s">
        <v>17678</v>
      </c>
      <c r="D3137" s="443">
        <v>126.01</v>
      </c>
    </row>
    <row r="3138" spans="1:4">
      <c r="A3138" s="216">
        <v>40368</v>
      </c>
      <c r="B3138" s="222" t="s">
        <v>20823</v>
      </c>
      <c r="C3138" s="216" t="s">
        <v>17678</v>
      </c>
      <c r="D3138" s="443">
        <v>62.71</v>
      </c>
    </row>
    <row r="3139" spans="1:4">
      <c r="A3139" s="216">
        <v>40365</v>
      </c>
      <c r="B3139" s="222" t="s">
        <v>20824</v>
      </c>
      <c r="C3139" s="216" t="s">
        <v>17678</v>
      </c>
      <c r="D3139" s="443">
        <v>42.31</v>
      </c>
    </row>
    <row r="3140" spans="1:4">
      <c r="A3140" s="216">
        <v>40356</v>
      </c>
      <c r="B3140" s="222" t="s">
        <v>20825</v>
      </c>
      <c r="C3140" s="216" t="s">
        <v>17678</v>
      </c>
      <c r="D3140" s="443">
        <v>14.45</v>
      </c>
    </row>
    <row r="3141" spans="1:4">
      <c r="A3141" s="216">
        <v>40362</v>
      </c>
      <c r="B3141" s="222" t="s">
        <v>20826</v>
      </c>
      <c r="C3141" s="216" t="s">
        <v>17678</v>
      </c>
      <c r="D3141" s="443">
        <v>28.02</v>
      </c>
    </row>
    <row r="3142" spans="1:4">
      <c r="A3142" s="216">
        <v>40374</v>
      </c>
      <c r="B3142" s="222" t="s">
        <v>20827</v>
      </c>
      <c r="C3142" s="216" t="s">
        <v>17678</v>
      </c>
      <c r="D3142" s="443">
        <v>163.9</v>
      </c>
    </row>
    <row r="3143" spans="1:4">
      <c r="A3143" s="216">
        <v>40371</v>
      </c>
      <c r="B3143" s="222" t="s">
        <v>20828</v>
      </c>
      <c r="C3143" s="216" t="s">
        <v>17678</v>
      </c>
      <c r="D3143" s="443">
        <v>103.17</v>
      </c>
    </row>
    <row r="3144" spans="1:4">
      <c r="A3144" s="216">
        <v>40359</v>
      </c>
      <c r="B3144" s="222" t="s">
        <v>20829</v>
      </c>
      <c r="C3144" s="216" t="s">
        <v>17678</v>
      </c>
      <c r="D3144" s="443">
        <v>18.670000000000002</v>
      </c>
    </row>
    <row r="3145" spans="1:4">
      <c r="A3145" s="216">
        <v>7595</v>
      </c>
      <c r="B3145" s="222" t="s">
        <v>20830</v>
      </c>
      <c r="C3145" s="216" t="s">
        <v>17826</v>
      </c>
      <c r="D3145" s="443">
        <v>13.86</v>
      </c>
    </row>
    <row r="3146" spans="1:4">
      <c r="A3146" s="216">
        <v>41094</v>
      </c>
      <c r="B3146" s="222" t="s">
        <v>20831</v>
      </c>
      <c r="C3146" s="216" t="s">
        <v>17828</v>
      </c>
      <c r="D3146" s="443">
        <v>2427.8200000000002</v>
      </c>
    </row>
    <row r="3147" spans="1:4">
      <c r="A3147" s="216">
        <v>39609</v>
      </c>
      <c r="B3147" s="222" t="s">
        <v>20832</v>
      </c>
      <c r="C3147" s="216" t="s">
        <v>17678</v>
      </c>
      <c r="D3147" s="443">
        <v>76808.72</v>
      </c>
    </row>
    <row r="3148" spans="1:4">
      <c r="A3148" s="216">
        <v>39610</v>
      </c>
      <c r="B3148" s="222" t="s">
        <v>20833</v>
      </c>
      <c r="C3148" s="216" t="s">
        <v>17678</v>
      </c>
      <c r="D3148" s="443">
        <v>112116.77</v>
      </c>
    </row>
    <row r="3149" spans="1:4">
      <c r="A3149" s="216">
        <v>39611</v>
      </c>
      <c r="B3149" s="222" t="s">
        <v>20834</v>
      </c>
      <c r="C3149" s="216" t="s">
        <v>17678</v>
      </c>
      <c r="D3149" s="443">
        <v>135679.64000000001</v>
      </c>
    </row>
    <row r="3150" spans="1:4">
      <c r="A3150" s="216">
        <v>39612</v>
      </c>
      <c r="B3150" s="222" t="s">
        <v>20835</v>
      </c>
      <c r="C3150" s="216" t="s">
        <v>17678</v>
      </c>
      <c r="D3150" s="443">
        <v>212545.22</v>
      </c>
    </row>
    <row r="3151" spans="1:4">
      <c r="A3151" s="216">
        <v>39608</v>
      </c>
      <c r="B3151" s="222" t="s">
        <v>20836</v>
      </c>
      <c r="C3151" s="216" t="s">
        <v>17678</v>
      </c>
      <c r="D3151" s="443">
        <v>61415.45</v>
      </c>
    </row>
    <row r="3152" spans="1:4" ht="31.5">
      <c r="A3152" s="216">
        <v>38175</v>
      </c>
      <c r="B3152" s="222" t="s">
        <v>20837</v>
      </c>
      <c r="C3152" s="216" t="s">
        <v>17678</v>
      </c>
      <c r="D3152" s="443">
        <v>4.6399999999999997</v>
      </c>
    </row>
    <row r="3153" spans="1:4" ht="31.5">
      <c r="A3153" s="216">
        <v>38176</v>
      </c>
      <c r="B3153" s="222" t="s">
        <v>20838</v>
      </c>
      <c r="C3153" s="216" t="s">
        <v>17678</v>
      </c>
      <c r="D3153" s="443">
        <v>13.66</v>
      </c>
    </row>
    <row r="3154" spans="1:4">
      <c r="A3154" s="216">
        <v>36152</v>
      </c>
      <c r="B3154" s="222" t="s">
        <v>20839</v>
      </c>
      <c r="C3154" s="216" t="s">
        <v>17678</v>
      </c>
      <c r="D3154" s="443">
        <v>5.24</v>
      </c>
    </row>
    <row r="3155" spans="1:4">
      <c r="A3155" s="216">
        <v>11138</v>
      </c>
      <c r="B3155" s="222" t="s">
        <v>20840</v>
      </c>
      <c r="C3155" s="216" t="s">
        <v>17728</v>
      </c>
      <c r="D3155" s="443">
        <v>3.74</v>
      </c>
    </row>
    <row r="3156" spans="1:4">
      <c r="A3156" s="216">
        <v>4221</v>
      </c>
      <c r="B3156" s="222" t="s">
        <v>20841</v>
      </c>
      <c r="C3156" s="216" t="s">
        <v>17728</v>
      </c>
      <c r="D3156" s="443">
        <v>5.82</v>
      </c>
    </row>
    <row r="3157" spans="1:4">
      <c r="A3157" s="216">
        <v>4227</v>
      </c>
      <c r="B3157" s="222" t="s">
        <v>20842</v>
      </c>
      <c r="C3157" s="216" t="s">
        <v>17728</v>
      </c>
      <c r="D3157" s="443">
        <v>20.72</v>
      </c>
    </row>
    <row r="3158" spans="1:4" ht="31.5">
      <c r="A3158" s="216">
        <v>38170</v>
      </c>
      <c r="B3158" s="222" t="s">
        <v>20843</v>
      </c>
      <c r="C3158" s="216" t="s">
        <v>17678</v>
      </c>
      <c r="D3158" s="443">
        <v>20.3</v>
      </c>
    </row>
    <row r="3159" spans="1:4">
      <c r="A3159" s="216">
        <v>4252</v>
      </c>
      <c r="B3159" s="222" t="s">
        <v>20844</v>
      </c>
      <c r="C3159" s="216" t="s">
        <v>17826</v>
      </c>
      <c r="D3159" s="443">
        <v>22.24</v>
      </c>
    </row>
    <row r="3160" spans="1:4">
      <c r="A3160" s="216">
        <v>40980</v>
      </c>
      <c r="B3160" s="222" t="s">
        <v>20845</v>
      </c>
      <c r="C3160" s="216" t="s">
        <v>17828</v>
      </c>
      <c r="D3160" s="443">
        <v>3895.6</v>
      </c>
    </row>
    <row r="3161" spans="1:4">
      <c r="A3161" s="216">
        <v>4243</v>
      </c>
      <c r="B3161" s="222" t="s">
        <v>20846</v>
      </c>
      <c r="C3161" s="216" t="s">
        <v>17826</v>
      </c>
      <c r="D3161" s="443">
        <v>18.399999999999999</v>
      </c>
    </row>
    <row r="3162" spans="1:4">
      <c r="A3162" s="216">
        <v>41031</v>
      </c>
      <c r="B3162" s="222" t="s">
        <v>20847</v>
      </c>
      <c r="C3162" s="216" t="s">
        <v>17828</v>
      </c>
      <c r="D3162" s="443">
        <v>3223.43</v>
      </c>
    </row>
    <row r="3163" spans="1:4">
      <c r="A3163" s="216">
        <v>37666</v>
      </c>
      <c r="B3163" s="222" t="s">
        <v>20848</v>
      </c>
      <c r="C3163" s="216" t="s">
        <v>17826</v>
      </c>
      <c r="D3163" s="443">
        <v>17.75</v>
      </c>
    </row>
    <row r="3164" spans="1:4">
      <c r="A3164" s="216">
        <v>40986</v>
      </c>
      <c r="B3164" s="222" t="s">
        <v>20849</v>
      </c>
      <c r="C3164" s="216" t="s">
        <v>17828</v>
      </c>
      <c r="D3164" s="443">
        <v>3110.72</v>
      </c>
    </row>
    <row r="3165" spans="1:4">
      <c r="A3165" s="216">
        <v>4250</v>
      </c>
      <c r="B3165" s="222" t="s">
        <v>20850</v>
      </c>
      <c r="C3165" s="216" t="s">
        <v>17826</v>
      </c>
      <c r="D3165" s="443">
        <v>20.05</v>
      </c>
    </row>
    <row r="3166" spans="1:4">
      <c r="A3166" s="216">
        <v>40978</v>
      </c>
      <c r="B3166" s="222" t="s">
        <v>20851</v>
      </c>
      <c r="C3166" s="216" t="s">
        <v>17828</v>
      </c>
      <c r="D3166" s="443">
        <v>3513.83</v>
      </c>
    </row>
    <row r="3167" spans="1:4">
      <c r="A3167" s="216">
        <v>41043</v>
      </c>
      <c r="B3167" s="222" t="s">
        <v>20852</v>
      </c>
      <c r="C3167" s="216" t="s">
        <v>17828</v>
      </c>
      <c r="D3167" s="443">
        <v>3967.3</v>
      </c>
    </row>
    <row r="3168" spans="1:4">
      <c r="A3168" s="216">
        <v>44501</v>
      </c>
      <c r="B3168" s="222" t="s">
        <v>20853</v>
      </c>
      <c r="C3168" s="216" t="s">
        <v>17826</v>
      </c>
      <c r="D3168" s="443">
        <v>22.65</v>
      </c>
    </row>
    <row r="3169" spans="1:4">
      <c r="A3169" s="216">
        <v>4234</v>
      </c>
      <c r="B3169" s="222" t="s">
        <v>20854</v>
      </c>
      <c r="C3169" s="216" t="s">
        <v>17826</v>
      </c>
      <c r="D3169" s="443">
        <v>24.82</v>
      </c>
    </row>
    <row r="3170" spans="1:4">
      <c r="A3170" s="216">
        <v>40987</v>
      </c>
      <c r="B3170" s="222" t="s">
        <v>20855</v>
      </c>
      <c r="C3170" s="216" t="s">
        <v>17828</v>
      </c>
      <c r="D3170" s="443">
        <v>4346.01</v>
      </c>
    </row>
    <row r="3171" spans="1:4">
      <c r="A3171" s="216">
        <v>4253</v>
      </c>
      <c r="B3171" s="222" t="s">
        <v>20856</v>
      </c>
      <c r="C3171" s="216" t="s">
        <v>17826</v>
      </c>
      <c r="D3171" s="443">
        <v>22.78</v>
      </c>
    </row>
    <row r="3172" spans="1:4">
      <c r="A3172" s="216">
        <v>40981</v>
      </c>
      <c r="B3172" s="222" t="s">
        <v>20857</v>
      </c>
      <c r="C3172" s="216" t="s">
        <v>17828</v>
      </c>
      <c r="D3172" s="443">
        <v>3992.39</v>
      </c>
    </row>
    <row r="3173" spans="1:4">
      <c r="A3173" s="216">
        <v>4254</v>
      </c>
      <c r="B3173" s="222" t="s">
        <v>20858</v>
      </c>
      <c r="C3173" s="216" t="s">
        <v>17826</v>
      </c>
      <c r="D3173" s="443">
        <v>56.2</v>
      </c>
    </row>
    <row r="3174" spans="1:4">
      <c r="A3174" s="216">
        <v>41036</v>
      </c>
      <c r="B3174" s="222" t="s">
        <v>20859</v>
      </c>
      <c r="C3174" s="216" t="s">
        <v>17828</v>
      </c>
      <c r="D3174" s="443">
        <v>9840.58</v>
      </c>
    </row>
    <row r="3175" spans="1:4">
      <c r="A3175" s="216">
        <v>4251</v>
      </c>
      <c r="B3175" s="222" t="s">
        <v>20860</v>
      </c>
      <c r="C3175" s="216" t="s">
        <v>17826</v>
      </c>
      <c r="D3175" s="443">
        <v>22.22</v>
      </c>
    </row>
    <row r="3176" spans="1:4">
      <c r="A3176" s="216">
        <v>40979</v>
      </c>
      <c r="B3176" s="222" t="s">
        <v>20861</v>
      </c>
      <c r="C3176" s="216" t="s">
        <v>17828</v>
      </c>
      <c r="D3176" s="443">
        <v>3890.67</v>
      </c>
    </row>
    <row r="3177" spans="1:4">
      <c r="A3177" s="216">
        <v>4230</v>
      </c>
      <c r="B3177" s="222" t="s">
        <v>20862</v>
      </c>
      <c r="C3177" s="216" t="s">
        <v>17826</v>
      </c>
      <c r="D3177" s="443">
        <v>24.41</v>
      </c>
    </row>
    <row r="3178" spans="1:4">
      <c r="A3178" s="216">
        <v>40998</v>
      </c>
      <c r="B3178" s="222" t="s">
        <v>20863</v>
      </c>
      <c r="C3178" s="216" t="s">
        <v>17828</v>
      </c>
      <c r="D3178" s="443">
        <v>4275.12</v>
      </c>
    </row>
    <row r="3179" spans="1:4">
      <c r="A3179" s="216">
        <v>4257</v>
      </c>
      <c r="B3179" s="222" t="s">
        <v>20864</v>
      </c>
      <c r="C3179" s="216" t="s">
        <v>17826</v>
      </c>
      <c r="D3179" s="443">
        <v>19.63</v>
      </c>
    </row>
    <row r="3180" spans="1:4">
      <c r="A3180" s="216">
        <v>40982</v>
      </c>
      <c r="B3180" s="222" t="s">
        <v>20865</v>
      </c>
      <c r="C3180" s="216" t="s">
        <v>17828</v>
      </c>
      <c r="D3180" s="443">
        <v>3440.64</v>
      </c>
    </row>
    <row r="3181" spans="1:4">
      <c r="A3181" s="216">
        <v>4240</v>
      </c>
      <c r="B3181" s="222" t="s">
        <v>20866</v>
      </c>
      <c r="C3181" s="216" t="s">
        <v>17826</v>
      </c>
      <c r="D3181" s="443">
        <v>23.04</v>
      </c>
    </row>
    <row r="3182" spans="1:4">
      <c r="A3182" s="216">
        <v>41026</v>
      </c>
      <c r="B3182" s="222" t="s">
        <v>20867</v>
      </c>
      <c r="C3182" s="216" t="s">
        <v>17828</v>
      </c>
      <c r="D3182" s="443">
        <v>4034.92</v>
      </c>
    </row>
    <row r="3183" spans="1:4">
      <c r="A3183" s="216">
        <v>4239</v>
      </c>
      <c r="B3183" s="222" t="s">
        <v>20868</v>
      </c>
      <c r="C3183" s="216" t="s">
        <v>17826</v>
      </c>
      <c r="D3183" s="443">
        <v>28.27</v>
      </c>
    </row>
    <row r="3184" spans="1:4">
      <c r="A3184" s="216">
        <v>41024</v>
      </c>
      <c r="B3184" s="222" t="s">
        <v>20869</v>
      </c>
      <c r="C3184" s="216" t="s">
        <v>17828</v>
      </c>
      <c r="D3184" s="443">
        <v>4950.1099999999997</v>
      </c>
    </row>
    <row r="3185" spans="1:4">
      <c r="A3185" s="216">
        <v>4248</v>
      </c>
      <c r="B3185" s="222" t="s">
        <v>20870</v>
      </c>
      <c r="C3185" s="216" t="s">
        <v>17826</v>
      </c>
      <c r="D3185" s="443">
        <v>23.37</v>
      </c>
    </row>
    <row r="3186" spans="1:4">
      <c r="A3186" s="216">
        <v>41033</v>
      </c>
      <c r="B3186" s="222" t="s">
        <v>20871</v>
      </c>
      <c r="C3186" s="216" t="s">
        <v>17828</v>
      </c>
      <c r="D3186" s="443">
        <v>4092.7</v>
      </c>
    </row>
    <row r="3187" spans="1:4">
      <c r="A3187" s="216">
        <v>41040</v>
      </c>
      <c r="B3187" s="222" t="s">
        <v>20872</v>
      </c>
      <c r="C3187" s="216" t="s">
        <v>17828</v>
      </c>
      <c r="D3187" s="443">
        <v>4165.66</v>
      </c>
    </row>
    <row r="3188" spans="1:4">
      <c r="A3188" s="216">
        <v>44500</v>
      </c>
      <c r="B3188" s="222" t="s">
        <v>20873</v>
      </c>
      <c r="C3188" s="216" t="s">
        <v>17826</v>
      </c>
      <c r="D3188" s="443">
        <v>23.78</v>
      </c>
    </row>
    <row r="3189" spans="1:4">
      <c r="A3189" s="216">
        <v>4238</v>
      </c>
      <c r="B3189" s="222" t="s">
        <v>20874</v>
      </c>
      <c r="C3189" s="216" t="s">
        <v>17826</v>
      </c>
      <c r="D3189" s="443">
        <v>20.72</v>
      </c>
    </row>
    <row r="3190" spans="1:4">
      <c r="A3190" s="216">
        <v>41012</v>
      </c>
      <c r="B3190" s="222" t="s">
        <v>20875</v>
      </c>
      <c r="C3190" s="216" t="s">
        <v>17828</v>
      </c>
      <c r="D3190" s="443">
        <v>3631.28</v>
      </c>
    </row>
    <row r="3191" spans="1:4">
      <c r="A3191" s="216">
        <v>4237</v>
      </c>
      <c r="B3191" s="222" t="s">
        <v>20876</v>
      </c>
      <c r="C3191" s="216" t="s">
        <v>17826</v>
      </c>
      <c r="D3191" s="443">
        <v>26.17</v>
      </c>
    </row>
    <row r="3192" spans="1:4">
      <c r="A3192" s="216">
        <v>41002</v>
      </c>
      <c r="B3192" s="222" t="s">
        <v>20877</v>
      </c>
      <c r="C3192" s="216" t="s">
        <v>17828</v>
      </c>
      <c r="D3192" s="443">
        <v>4584.2299999999996</v>
      </c>
    </row>
    <row r="3193" spans="1:4">
      <c r="A3193" s="216">
        <v>4233</v>
      </c>
      <c r="B3193" s="222" t="s">
        <v>20878</v>
      </c>
      <c r="C3193" s="216" t="s">
        <v>17826</v>
      </c>
      <c r="D3193" s="443">
        <v>20.41</v>
      </c>
    </row>
    <row r="3194" spans="1:4">
      <c r="A3194" s="216">
        <v>41001</v>
      </c>
      <c r="B3194" s="222" t="s">
        <v>20879</v>
      </c>
      <c r="C3194" s="216" t="s">
        <v>17828</v>
      </c>
      <c r="D3194" s="443">
        <v>3577.34</v>
      </c>
    </row>
    <row r="3195" spans="1:4">
      <c r="A3195" s="216">
        <v>2</v>
      </c>
      <c r="B3195" s="222" t="s">
        <v>20880</v>
      </c>
      <c r="C3195" s="216" t="s">
        <v>17824</v>
      </c>
      <c r="D3195" s="443">
        <v>16.12</v>
      </c>
    </row>
    <row r="3196" spans="1:4" ht="31.5">
      <c r="A3196" s="216">
        <v>36517</v>
      </c>
      <c r="B3196" s="222" t="s">
        <v>20881</v>
      </c>
      <c r="C3196" s="216" t="s">
        <v>17678</v>
      </c>
      <c r="D3196" s="443">
        <v>649083.6</v>
      </c>
    </row>
    <row r="3197" spans="1:4" ht="31.5">
      <c r="A3197" s="216">
        <v>4262</v>
      </c>
      <c r="B3197" s="222" t="s">
        <v>20882</v>
      </c>
      <c r="C3197" s="216" t="s">
        <v>17678</v>
      </c>
      <c r="D3197" s="443">
        <v>730950</v>
      </c>
    </row>
    <row r="3198" spans="1:4" ht="31.5">
      <c r="A3198" s="216">
        <v>4263</v>
      </c>
      <c r="B3198" s="222" t="s">
        <v>20883</v>
      </c>
      <c r="C3198" s="216" t="s">
        <v>17678</v>
      </c>
      <c r="D3198" s="443">
        <v>1013583.95</v>
      </c>
    </row>
    <row r="3199" spans="1:4" ht="31.5">
      <c r="A3199" s="216">
        <v>36518</v>
      </c>
      <c r="B3199" s="222" t="s">
        <v>20884</v>
      </c>
      <c r="C3199" s="216" t="s">
        <v>17678</v>
      </c>
      <c r="D3199" s="443">
        <v>1153926.3500000001</v>
      </c>
    </row>
    <row r="3200" spans="1:4" ht="31.5">
      <c r="A3200" s="216">
        <v>14221</v>
      </c>
      <c r="B3200" s="222" t="s">
        <v>20885</v>
      </c>
      <c r="C3200" s="216" t="s">
        <v>17678</v>
      </c>
      <c r="D3200" s="443">
        <v>673448.57</v>
      </c>
    </row>
    <row r="3201" spans="1:4">
      <c r="A3201" s="216">
        <v>38402</v>
      </c>
      <c r="B3201" s="222" t="s">
        <v>20886</v>
      </c>
      <c r="C3201" s="216" t="s">
        <v>17678</v>
      </c>
      <c r="D3201" s="443">
        <v>13.75</v>
      </c>
    </row>
    <row r="3202" spans="1:4">
      <c r="A3202" s="216">
        <v>3412</v>
      </c>
      <c r="B3202" s="222" t="s">
        <v>20887</v>
      </c>
      <c r="C3202" s="216" t="s">
        <v>18087</v>
      </c>
      <c r="D3202" s="443">
        <v>29.68</v>
      </c>
    </row>
    <row r="3203" spans="1:4">
      <c r="A3203" s="216">
        <v>3413</v>
      </c>
      <c r="B3203" s="222" t="s">
        <v>20888</v>
      </c>
      <c r="C3203" s="216" t="s">
        <v>18087</v>
      </c>
      <c r="D3203" s="443">
        <v>66.819999999999993</v>
      </c>
    </row>
    <row r="3204" spans="1:4">
      <c r="A3204" s="216">
        <v>39744</v>
      </c>
      <c r="B3204" s="222" t="s">
        <v>20889</v>
      </c>
      <c r="C3204" s="216" t="s">
        <v>18087</v>
      </c>
      <c r="D3204" s="443">
        <v>51.89</v>
      </c>
    </row>
    <row r="3205" spans="1:4">
      <c r="A3205" s="216">
        <v>39745</v>
      </c>
      <c r="B3205" s="222" t="s">
        <v>20890</v>
      </c>
      <c r="C3205" s="216" t="s">
        <v>18087</v>
      </c>
      <c r="D3205" s="443">
        <v>109.51</v>
      </c>
    </row>
    <row r="3206" spans="1:4">
      <c r="A3206" s="216">
        <v>39637</v>
      </c>
      <c r="B3206" s="222" t="s">
        <v>20891</v>
      </c>
      <c r="C3206" s="216" t="s">
        <v>18087</v>
      </c>
      <c r="D3206" s="443">
        <v>97.81</v>
      </c>
    </row>
    <row r="3207" spans="1:4">
      <c r="A3207" s="216">
        <v>39638</v>
      </c>
      <c r="B3207" s="222" t="s">
        <v>20892</v>
      </c>
      <c r="C3207" s="216" t="s">
        <v>18087</v>
      </c>
      <c r="D3207" s="443">
        <v>110.67</v>
      </c>
    </row>
    <row r="3208" spans="1:4">
      <c r="A3208" s="216">
        <v>39639</v>
      </c>
      <c r="B3208" s="222" t="s">
        <v>20893</v>
      </c>
      <c r="C3208" s="216" t="s">
        <v>18087</v>
      </c>
      <c r="D3208" s="443">
        <v>166.98</v>
      </c>
    </row>
    <row r="3209" spans="1:4" ht="47.25">
      <c r="A3209" s="216">
        <v>39517</v>
      </c>
      <c r="B3209" s="222" t="s">
        <v>20894</v>
      </c>
      <c r="C3209" s="216" t="s">
        <v>18087</v>
      </c>
      <c r="D3209" s="443">
        <v>272.10000000000002</v>
      </c>
    </row>
    <row r="3210" spans="1:4" ht="47.25">
      <c r="A3210" s="216">
        <v>39518</v>
      </c>
      <c r="B3210" s="222" t="s">
        <v>20895</v>
      </c>
      <c r="C3210" s="216" t="s">
        <v>18087</v>
      </c>
      <c r="D3210" s="443">
        <v>322.58999999999997</v>
      </c>
    </row>
    <row r="3211" spans="1:4">
      <c r="A3211" s="216">
        <v>38366</v>
      </c>
      <c r="B3211" s="222" t="s">
        <v>20896</v>
      </c>
      <c r="C3211" s="216" t="s">
        <v>18087</v>
      </c>
      <c r="D3211" s="443">
        <v>5.77</v>
      </c>
    </row>
    <row r="3212" spans="1:4">
      <c r="A3212" s="216">
        <v>11703</v>
      </c>
      <c r="B3212" s="222" t="s">
        <v>20897</v>
      </c>
      <c r="C3212" s="216" t="s">
        <v>17678</v>
      </c>
      <c r="D3212" s="443">
        <v>65.599999999999994</v>
      </c>
    </row>
    <row r="3213" spans="1:4">
      <c r="A3213" s="216">
        <v>37400</v>
      </c>
      <c r="B3213" s="222" t="s">
        <v>20898</v>
      </c>
      <c r="C3213" s="216" t="s">
        <v>17678</v>
      </c>
      <c r="D3213" s="443">
        <v>46.74</v>
      </c>
    </row>
    <row r="3214" spans="1:4" ht="31.5">
      <c r="A3214" s="216">
        <v>25400</v>
      </c>
      <c r="B3214" s="222" t="s">
        <v>20899</v>
      </c>
      <c r="C3214" s="216" t="s">
        <v>17678</v>
      </c>
      <c r="D3214" s="443">
        <v>2914.79</v>
      </c>
    </row>
    <row r="3215" spans="1:4">
      <c r="A3215" s="216">
        <v>4276</v>
      </c>
      <c r="B3215" s="222" t="s">
        <v>20900</v>
      </c>
      <c r="C3215" s="216" t="s">
        <v>17678</v>
      </c>
      <c r="D3215" s="443">
        <v>186.68</v>
      </c>
    </row>
    <row r="3216" spans="1:4">
      <c r="A3216" s="216">
        <v>4273</v>
      </c>
      <c r="B3216" s="222" t="s">
        <v>20901</v>
      </c>
      <c r="C3216" s="216" t="s">
        <v>17678</v>
      </c>
      <c r="D3216" s="443">
        <v>338.94</v>
      </c>
    </row>
    <row r="3217" spans="1:4" ht="31.5">
      <c r="A3217" s="216">
        <v>4274</v>
      </c>
      <c r="B3217" s="222" t="s">
        <v>20902</v>
      </c>
      <c r="C3217" s="216" t="s">
        <v>17678</v>
      </c>
      <c r="D3217" s="443">
        <v>124</v>
      </c>
    </row>
    <row r="3218" spans="1:4" ht="31.5">
      <c r="A3218" s="216">
        <v>39438</v>
      </c>
      <c r="B3218" s="222" t="s">
        <v>20903</v>
      </c>
      <c r="C3218" s="216" t="s">
        <v>17678</v>
      </c>
      <c r="D3218" s="443">
        <v>0.24</v>
      </c>
    </row>
    <row r="3219" spans="1:4">
      <c r="A3219" s="216">
        <v>11963</v>
      </c>
      <c r="B3219" s="222" t="s">
        <v>20904</v>
      </c>
      <c r="C3219" s="216" t="s">
        <v>17678</v>
      </c>
      <c r="D3219" s="443">
        <v>8.74</v>
      </c>
    </row>
    <row r="3220" spans="1:4">
      <c r="A3220" s="216">
        <v>11964</v>
      </c>
      <c r="B3220" s="222" t="s">
        <v>20905</v>
      </c>
      <c r="C3220" s="216" t="s">
        <v>17678</v>
      </c>
      <c r="D3220" s="443">
        <v>2.2000000000000002</v>
      </c>
    </row>
    <row r="3221" spans="1:4" ht="31.5">
      <c r="A3221" s="216">
        <v>4379</v>
      </c>
      <c r="B3221" s="222" t="s">
        <v>20906</v>
      </c>
      <c r="C3221" s="216" t="s">
        <v>17678</v>
      </c>
      <c r="D3221" s="443">
        <v>0.04</v>
      </c>
    </row>
    <row r="3222" spans="1:4" ht="31.5">
      <c r="A3222" s="216">
        <v>4377</v>
      </c>
      <c r="B3222" s="222" t="s">
        <v>20907</v>
      </c>
      <c r="C3222" s="216" t="s">
        <v>17678</v>
      </c>
      <c r="D3222" s="443">
        <v>0.17</v>
      </c>
    </row>
    <row r="3223" spans="1:4" ht="31.5">
      <c r="A3223" s="216">
        <v>4356</v>
      </c>
      <c r="B3223" s="222" t="s">
        <v>20908</v>
      </c>
      <c r="C3223" s="216" t="s">
        <v>17678</v>
      </c>
      <c r="D3223" s="443">
        <v>0.24</v>
      </c>
    </row>
    <row r="3224" spans="1:4" ht="31.5">
      <c r="A3224" s="216">
        <v>13246</v>
      </c>
      <c r="B3224" s="222" t="s">
        <v>20909</v>
      </c>
      <c r="C3224" s="216" t="s">
        <v>17678</v>
      </c>
      <c r="D3224" s="443">
        <v>0.41</v>
      </c>
    </row>
    <row r="3225" spans="1:4" ht="31.5">
      <c r="A3225" s="216">
        <v>4346</v>
      </c>
      <c r="B3225" s="222" t="s">
        <v>20910</v>
      </c>
      <c r="C3225" s="216" t="s">
        <v>17678</v>
      </c>
      <c r="D3225" s="443">
        <v>9.3699999999999992</v>
      </c>
    </row>
    <row r="3226" spans="1:4" ht="31.5">
      <c r="A3226" s="216">
        <v>11955</v>
      </c>
      <c r="B3226" s="222" t="s">
        <v>20911</v>
      </c>
      <c r="C3226" s="216" t="s">
        <v>17678</v>
      </c>
      <c r="D3226" s="443">
        <v>4.0999999999999996</v>
      </c>
    </row>
    <row r="3227" spans="1:4" ht="31.5">
      <c r="A3227" s="216">
        <v>11960</v>
      </c>
      <c r="B3227" s="222" t="s">
        <v>20912</v>
      </c>
      <c r="C3227" s="216" t="s">
        <v>17678</v>
      </c>
      <c r="D3227" s="443">
        <v>0.13</v>
      </c>
    </row>
    <row r="3228" spans="1:4" ht="31.5">
      <c r="A3228" s="216">
        <v>4333</v>
      </c>
      <c r="B3228" s="222" t="s">
        <v>20913</v>
      </c>
      <c r="C3228" s="216" t="s">
        <v>17678</v>
      </c>
      <c r="D3228" s="443">
        <v>0.24</v>
      </c>
    </row>
    <row r="3229" spans="1:4" ht="31.5">
      <c r="A3229" s="216">
        <v>4358</v>
      </c>
      <c r="B3229" s="222" t="s">
        <v>20914</v>
      </c>
      <c r="C3229" s="216" t="s">
        <v>17678</v>
      </c>
      <c r="D3229" s="443">
        <v>1.87</v>
      </c>
    </row>
    <row r="3230" spans="1:4">
      <c r="A3230" s="216">
        <v>39435</v>
      </c>
      <c r="B3230" s="222" t="s">
        <v>20915</v>
      </c>
      <c r="C3230" s="216" t="s">
        <v>17678</v>
      </c>
      <c r="D3230" s="443">
        <v>0.09</v>
      </c>
    </row>
    <row r="3231" spans="1:4">
      <c r="A3231" s="216">
        <v>39436</v>
      </c>
      <c r="B3231" s="222" t="s">
        <v>20916</v>
      </c>
      <c r="C3231" s="216" t="s">
        <v>17678</v>
      </c>
      <c r="D3231" s="443">
        <v>0.16</v>
      </c>
    </row>
    <row r="3232" spans="1:4">
      <c r="A3232" s="216">
        <v>39437</v>
      </c>
      <c r="B3232" s="222" t="s">
        <v>20917</v>
      </c>
      <c r="C3232" s="216" t="s">
        <v>17678</v>
      </c>
      <c r="D3232" s="443">
        <v>0.21</v>
      </c>
    </row>
    <row r="3233" spans="1:4">
      <c r="A3233" s="216">
        <v>39439</v>
      </c>
      <c r="B3233" s="222" t="s">
        <v>20918</v>
      </c>
      <c r="C3233" s="216" t="s">
        <v>17678</v>
      </c>
      <c r="D3233" s="443">
        <v>0.14000000000000001</v>
      </c>
    </row>
    <row r="3234" spans="1:4">
      <c r="A3234" s="216">
        <v>39440</v>
      </c>
      <c r="B3234" s="222" t="s">
        <v>20919</v>
      </c>
      <c r="C3234" s="216" t="s">
        <v>17678</v>
      </c>
      <c r="D3234" s="443">
        <v>0.18</v>
      </c>
    </row>
    <row r="3235" spans="1:4">
      <c r="A3235" s="216">
        <v>39441</v>
      </c>
      <c r="B3235" s="222" t="s">
        <v>20920</v>
      </c>
      <c r="C3235" s="216" t="s">
        <v>17678</v>
      </c>
      <c r="D3235" s="443">
        <v>0.23</v>
      </c>
    </row>
    <row r="3236" spans="1:4" ht="31.5">
      <c r="A3236" s="216">
        <v>39442</v>
      </c>
      <c r="B3236" s="222" t="s">
        <v>20921</v>
      </c>
      <c r="C3236" s="216" t="s">
        <v>17678</v>
      </c>
      <c r="D3236" s="443">
        <v>0.17</v>
      </c>
    </row>
    <row r="3237" spans="1:4" ht="31.5">
      <c r="A3237" s="216">
        <v>39443</v>
      </c>
      <c r="B3237" s="222" t="s">
        <v>20922</v>
      </c>
      <c r="C3237" s="216" t="s">
        <v>17678</v>
      </c>
      <c r="D3237" s="443">
        <v>0.22</v>
      </c>
    </row>
    <row r="3238" spans="1:4">
      <c r="A3238" s="216">
        <v>4329</v>
      </c>
      <c r="B3238" s="222" t="s">
        <v>20923</v>
      </c>
      <c r="C3238" s="216" t="s">
        <v>17678</v>
      </c>
      <c r="D3238" s="443">
        <v>2</v>
      </c>
    </row>
    <row r="3239" spans="1:4" ht="31.5">
      <c r="A3239" s="216">
        <v>4383</v>
      </c>
      <c r="B3239" s="222" t="s">
        <v>20924</v>
      </c>
      <c r="C3239" s="216" t="s">
        <v>17678</v>
      </c>
      <c r="D3239" s="443">
        <v>18.079999999999998</v>
      </c>
    </row>
    <row r="3240" spans="1:4" ht="31.5">
      <c r="A3240" s="216">
        <v>4344</v>
      </c>
      <c r="B3240" s="222" t="s">
        <v>20925</v>
      </c>
      <c r="C3240" s="216" t="s">
        <v>17678</v>
      </c>
      <c r="D3240" s="443">
        <v>18.95</v>
      </c>
    </row>
    <row r="3241" spans="1:4" ht="31.5">
      <c r="A3241" s="216">
        <v>436</v>
      </c>
      <c r="B3241" s="222" t="s">
        <v>20926</v>
      </c>
      <c r="C3241" s="216" t="s">
        <v>17678</v>
      </c>
      <c r="D3241" s="443">
        <v>13.25</v>
      </c>
    </row>
    <row r="3242" spans="1:4">
      <c r="A3242" s="216">
        <v>442</v>
      </c>
      <c r="B3242" s="222" t="s">
        <v>20927</v>
      </c>
      <c r="C3242" s="216" t="s">
        <v>17678</v>
      </c>
      <c r="D3242" s="443">
        <v>7.83</v>
      </c>
    </row>
    <row r="3243" spans="1:4">
      <c r="A3243" s="216">
        <v>11953</v>
      </c>
      <c r="B3243" s="222" t="s">
        <v>20928</v>
      </c>
      <c r="C3243" s="216" t="s">
        <v>17678</v>
      </c>
      <c r="D3243" s="443">
        <v>3</v>
      </c>
    </row>
    <row r="3244" spans="1:4">
      <c r="A3244" s="216">
        <v>4335</v>
      </c>
      <c r="B3244" s="222" t="s">
        <v>20929</v>
      </c>
      <c r="C3244" s="216" t="s">
        <v>17678</v>
      </c>
      <c r="D3244" s="443">
        <v>12.73</v>
      </c>
    </row>
    <row r="3245" spans="1:4">
      <c r="A3245" s="216">
        <v>4334</v>
      </c>
      <c r="B3245" s="222" t="s">
        <v>20930</v>
      </c>
      <c r="C3245" s="216" t="s">
        <v>17678</v>
      </c>
      <c r="D3245" s="443">
        <v>17.46</v>
      </c>
    </row>
    <row r="3246" spans="1:4">
      <c r="A3246" s="216">
        <v>4343</v>
      </c>
      <c r="B3246" s="222" t="s">
        <v>20931</v>
      </c>
      <c r="C3246" s="216" t="s">
        <v>17678</v>
      </c>
      <c r="D3246" s="443">
        <v>4.29</v>
      </c>
    </row>
    <row r="3247" spans="1:4" ht="31.5">
      <c r="A3247" s="216">
        <v>430</v>
      </c>
      <c r="B3247" s="222" t="s">
        <v>20932</v>
      </c>
      <c r="C3247" s="216" t="s">
        <v>17678</v>
      </c>
      <c r="D3247" s="443">
        <v>11.85</v>
      </c>
    </row>
    <row r="3248" spans="1:4" ht="31.5">
      <c r="A3248" s="216">
        <v>441</v>
      </c>
      <c r="B3248" s="222" t="s">
        <v>20933</v>
      </c>
      <c r="C3248" s="216" t="s">
        <v>17678</v>
      </c>
      <c r="D3248" s="443">
        <v>13.05</v>
      </c>
    </row>
    <row r="3249" spans="1:4" ht="31.5">
      <c r="A3249" s="216">
        <v>431</v>
      </c>
      <c r="B3249" s="222" t="s">
        <v>20934</v>
      </c>
      <c r="C3249" s="216" t="s">
        <v>17678</v>
      </c>
      <c r="D3249" s="443">
        <v>15.75</v>
      </c>
    </row>
    <row r="3250" spans="1:4" ht="31.5">
      <c r="A3250" s="216">
        <v>432</v>
      </c>
      <c r="B3250" s="222" t="s">
        <v>20935</v>
      </c>
      <c r="C3250" s="216" t="s">
        <v>17678</v>
      </c>
      <c r="D3250" s="443">
        <v>17.38</v>
      </c>
    </row>
    <row r="3251" spans="1:4">
      <c r="A3251" s="216">
        <v>429</v>
      </c>
      <c r="B3251" s="222" t="s">
        <v>20936</v>
      </c>
      <c r="C3251" s="216" t="s">
        <v>17678</v>
      </c>
      <c r="D3251" s="443">
        <v>23.43</v>
      </c>
    </row>
    <row r="3252" spans="1:4" ht="31.5">
      <c r="A3252" s="216">
        <v>439</v>
      </c>
      <c r="B3252" s="222" t="s">
        <v>20937</v>
      </c>
      <c r="C3252" s="216" t="s">
        <v>17678</v>
      </c>
      <c r="D3252" s="443">
        <v>19.97</v>
      </c>
    </row>
    <row r="3253" spans="1:4" ht="31.5">
      <c r="A3253" s="216">
        <v>433</v>
      </c>
      <c r="B3253" s="222" t="s">
        <v>20938</v>
      </c>
      <c r="C3253" s="216" t="s">
        <v>17678</v>
      </c>
      <c r="D3253" s="443">
        <v>23.31</v>
      </c>
    </row>
    <row r="3254" spans="1:4">
      <c r="A3254" s="216">
        <v>437</v>
      </c>
      <c r="B3254" s="222" t="s">
        <v>20939</v>
      </c>
      <c r="C3254" s="216" t="s">
        <v>17678</v>
      </c>
      <c r="D3254" s="443">
        <v>30.97</v>
      </c>
    </row>
    <row r="3255" spans="1:4" ht="31.5">
      <c r="A3255" s="216">
        <v>11790</v>
      </c>
      <c r="B3255" s="222" t="s">
        <v>20940</v>
      </c>
      <c r="C3255" s="216" t="s">
        <v>17678</v>
      </c>
      <c r="D3255" s="443">
        <v>35.130000000000003</v>
      </c>
    </row>
    <row r="3256" spans="1:4" ht="31.5">
      <c r="A3256" s="216">
        <v>428</v>
      </c>
      <c r="B3256" s="222" t="s">
        <v>20941</v>
      </c>
      <c r="C3256" s="216" t="s">
        <v>17678</v>
      </c>
      <c r="D3256" s="443">
        <v>38.200000000000003</v>
      </c>
    </row>
    <row r="3257" spans="1:4" ht="31.5">
      <c r="A3257" s="216">
        <v>4384</v>
      </c>
      <c r="B3257" s="222" t="s">
        <v>20942</v>
      </c>
      <c r="C3257" s="216" t="s">
        <v>17678</v>
      </c>
      <c r="D3257" s="443">
        <v>20.78</v>
      </c>
    </row>
    <row r="3258" spans="1:4" ht="31.5">
      <c r="A3258" s="216">
        <v>4351</v>
      </c>
      <c r="B3258" s="222" t="s">
        <v>20943</v>
      </c>
      <c r="C3258" s="216" t="s">
        <v>17678</v>
      </c>
      <c r="D3258" s="443">
        <v>15.4</v>
      </c>
    </row>
    <row r="3259" spans="1:4">
      <c r="A3259" s="216">
        <v>11054</v>
      </c>
      <c r="B3259" s="222" t="s">
        <v>20944</v>
      </c>
      <c r="C3259" s="216" t="s">
        <v>17678</v>
      </c>
      <c r="D3259" s="443">
        <v>0.03</v>
      </c>
    </row>
    <row r="3260" spans="1:4">
      <c r="A3260" s="216">
        <v>11055</v>
      </c>
      <c r="B3260" s="222" t="s">
        <v>20945</v>
      </c>
      <c r="C3260" s="216" t="s">
        <v>17678</v>
      </c>
      <c r="D3260" s="443">
        <v>0.06</v>
      </c>
    </row>
    <row r="3261" spans="1:4">
      <c r="A3261" s="216">
        <v>11056</v>
      </c>
      <c r="B3261" s="222" t="s">
        <v>20946</v>
      </c>
      <c r="C3261" s="216" t="s">
        <v>17678</v>
      </c>
      <c r="D3261" s="443">
        <v>0.06</v>
      </c>
    </row>
    <row r="3262" spans="1:4">
      <c r="A3262" s="216">
        <v>11057</v>
      </c>
      <c r="B3262" s="222" t="s">
        <v>20947</v>
      </c>
      <c r="C3262" s="216" t="s">
        <v>17678</v>
      </c>
      <c r="D3262" s="443">
        <v>0.13</v>
      </c>
    </row>
    <row r="3263" spans="1:4">
      <c r="A3263" s="216">
        <v>11059</v>
      </c>
      <c r="B3263" s="222" t="s">
        <v>20948</v>
      </c>
      <c r="C3263" s="216" t="s">
        <v>17678</v>
      </c>
      <c r="D3263" s="443">
        <v>0.25</v>
      </c>
    </row>
    <row r="3264" spans="1:4">
      <c r="A3264" s="216">
        <v>11058</v>
      </c>
      <c r="B3264" s="222" t="s">
        <v>20949</v>
      </c>
      <c r="C3264" s="216" t="s">
        <v>17678</v>
      </c>
      <c r="D3264" s="443">
        <v>0.33</v>
      </c>
    </row>
    <row r="3265" spans="1:4">
      <c r="A3265" s="216">
        <v>4380</v>
      </c>
      <c r="B3265" s="222" t="s">
        <v>20950</v>
      </c>
      <c r="C3265" s="216" t="s">
        <v>17678</v>
      </c>
      <c r="D3265" s="443">
        <v>1.1100000000000001</v>
      </c>
    </row>
    <row r="3266" spans="1:4">
      <c r="A3266" s="216">
        <v>4299</v>
      </c>
      <c r="B3266" s="222" t="s">
        <v>20951</v>
      </c>
      <c r="C3266" s="216" t="s">
        <v>17678</v>
      </c>
      <c r="D3266" s="443">
        <v>1.05</v>
      </c>
    </row>
    <row r="3267" spans="1:4">
      <c r="A3267" s="216">
        <v>4304</v>
      </c>
      <c r="B3267" s="222" t="s">
        <v>20952</v>
      </c>
      <c r="C3267" s="216" t="s">
        <v>17678</v>
      </c>
      <c r="D3267" s="443">
        <v>1.43</v>
      </c>
    </row>
    <row r="3268" spans="1:4">
      <c r="A3268" s="216">
        <v>4305</v>
      </c>
      <c r="B3268" s="222" t="s">
        <v>20953</v>
      </c>
      <c r="C3268" s="216" t="s">
        <v>17678</v>
      </c>
      <c r="D3268" s="443">
        <v>1.66</v>
      </c>
    </row>
    <row r="3269" spans="1:4">
      <c r="A3269" s="216">
        <v>4306</v>
      </c>
      <c r="B3269" s="222" t="s">
        <v>20954</v>
      </c>
      <c r="C3269" s="216" t="s">
        <v>17678</v>
      </c>
      <c r="D3269" s="443">
        <v>1.93</v>
      </c>
    </row>
    <row r="3270" spans="1:4">
      <c r="A3270" s="216">
        <v>4308</v>
      </c>
      <c r="B3270" s="222" t="s">
        <v>20955</v>
      </c>
      <c r="C3270" s="216" t="s">
        <v>17678</v>
      </c>
      <c r="D3270" s="443">
        <v>3.99</v>
      </c>
    </row>
    <row r="3271" spans="1:4">
      <c r="A3271" s="216">
        <v>4302</v>
      </c>
      <c r="B3271" s="222" t="s">
        <v>20956</v>
      </c>
      <c r="C3271" s="216" t="s">
        <v>17678</v>
      </c>
      <c r="D3271" s="443">
        <v>3</v>
      </c>
    </row>
    <row r="3272" spans="1:4">
      <c r="A3272" s="216">
        <v>4300</v>
      </c>
      <c r="B3272" s="222" t="s">
        <v>20957</v>
      </c>
      <c r="C3272" s="216" t="s">
        <v>17678</v>
      </c>
      <c r="D3272" s="443">
        <v>0.71</v>
      </c>
    </row>
    <row r="3273" spans="1:4">
      <c r="A3273" s="216">
        <v>4301</v>
      </c>
      <c r="B3273" s="222" t="s">
        <v>20958</v>
      </c>
      <c r="C3273" s="216" t="s">
        <v>17678</v>
      </c>
      <c r="D3273" s="443">
        <v>0.87</v>
      </c>
    </row>
    <row r="3274" spans="1:4" ht="31.5">
      <c r="A3274" s="216">
        <v>4320</v>
      </c>
      <c r="B3274" s="222" t="s">
        <v>20959</v>
      </c>
      <c r="C3274" s="216" t="s">
        <v>17678</v>
      </c>
      <c r="D3274" s="443">
        <v>2.64</v>
      </c>
    </row>
    <row r="3275" spans="1:4" ht="31.5">
      <c r="A3275" s="216">
        <v>4318</v>
      </c>
      <c r="B3275" s="222" t="s">
        <v>20960</v>
      </c>
      <c r="C3275" s="216" t="s">
        <v>17678</v>
      </c>
      <c r="D3275" s="443">
        <v>1.29</v>
      </c>
    </row>
    <row r="3276" spans="1:4">
      <c r="A3276" s="216">
        <v>40547</v>
      </c>
      <c r="B3276" s="222" t="s">
        <v>20961</v>
      </c>
      <c r="C3276" s="216" t="s">
        <v>19760</v>
      </c>
      <c r="D3276" s="443">
        <v>25.25</v>
      </c>
    </row>
    <row r="3277" spans="1:4">
      <c r="A3277" s="216">
        <v>11962</v>
      </c>
      <c r="B3277" s="222" t="s">
        <v>20962</v>
      </c>
      <c r="C3277" s="216" t="s">
        <v>17678</v>
      </c>
      <c r="D3277" s="443">
        <v>0.2</v>
      </c>
    </row>
    <row r="3278" spans="1:4">
      <c r="A3278" s="216">
        <v>4332</v>
      </c>
      <c r="B3278" s="222" t="s">
        <v>20963</v>
      </c>
      <c r="C3278" s="216" t="s">
        <v>17678</v>
      </c>
      <c r="D3278" s="443">
        <v>1</v>
      </c>
    </row>
    <row r="3279" spans="1:4">
      <c r="A3279" s="216">
        <v>4331</v>
      </c>
      <c r="B3279" s="222" t="s">
        <v>20964</v>
      </c>
      <c r="C3279" s="216" t="s">
        <v>17678</v>
      </c>
      <c r="D3279" s="443">
        <v>3.79</v>
      </c>
    </row>
    <row r="3280" spans="1:4" ht="31.5">
      <c r="A3280" s="216">
        <v>4336</v>
      </c>
      <c r="B3280" s="222" t="s">
        <v>20965</v>
      </c>
      <c r="C3280" s="216" t="s">
        <v>17678</v>
      </c>
      <c r="D3280" s="443">
        <v>4.8499999999999996</v>
      </c>
    </row>
    <row r="3281" spans="1:4">
      <c r="A3281" s="216">
        <v>13294</v>
      </c>
      <c r="B3281" s="222" t="s">
        <v>20966</v>
      </c>
      <c r="C3281" s="216" t="s">
        <v>17678</v>
      </c>
      <c r="D3281" s="443">
        <v>1.39</v>
      </c>
    </row>
    <row r="3282" spans="1:4">
      <c r="A3282" s="216">
        <v>11948</v>
      </c>
      <c r="B3282" s="222" t="s">
        <v>20967</v>
      </c>
      <c r="C3282" s="216" t="s">
        <v>17678</v>
      </c>
      <c r="D3282" s="443">
        <v>0.62</v>
      </c>
    </row>
    <row r="3283" spans="1:4">
      <c r="A3283" s="216">
        <v>4382</v>
      </c>
      <c r="B3283" s="222" t="s">
        <v>20968</v>
      </c>
      <c r="C3283" s="216" t="s">
        <v>17678</v>
      </c>
      <c r="D3283" s="443">
        <v>1.04</v>
      </c>
    </row>
    <row r="3284" spans="1:4">
      <c r="A3284" s="216">
        <v>4354</v>
      </c>
      <c r="B3284" s="222" t="s">
        <v>20969</v>
      </c>
      <c r="C3284" s="216" t="s">
        <v>17678</v>
      </c>
      <c r="D3284" s="443">
        <v>43.47</v>
      </c>
    </row>
    <row r="3285" spans="1:4">
      <c r="A3285" s="216">
        <v>40839</v>
      </c>
      <c r="B3285" s="222" t="s">
        <v>20970</v>
      </c>
      <c r="C3285" s="216" t="s">
        <v>19760</v>
      </c>
      <c r="D3285" s="443">
        <v>104.61</v>
      </c>
    </row>
    <row r="3286" spans="1:4">
      <c r="A3286" s="216">
        <v>40552</v>
      </c>
      <c r="B3286" s="222" t="s">
        <v>20971</v>
      </c>
      <c r="C3286" s="216" t="s">
        <v>19760</v>
      </c>
      <c r="D3286" s="443">
        <v>43.29</v>
      </c>
    </row>
    <row r="3287" spans="1:4">
      <c r="A3287" s="216">
        <v>40549</v>
      </c>
      <c r="B3287" s="222" t="s">
        <v>20972</v>
      </c>
      <c r="C3287" s="216" t="s">
        <v>19760</v>
      </c>
      <c r="D3287" s="443">
        <v>171.35</v>
      </c>
    </row>
    <row r="3288" spans="1:4" ht="31.5">
      <c r="A3288" s="216">
        <v>4385</v>
      </c>
      <c r="B3288" s="222" t="s">
        <v>20973</v>
      </c>
      <c r="C3288" s="216" t="s">
        <v>20974</v>
      </c>
      <c r="D3288" s="443">
        <v>1672.26</v>
      </c>
    </row>
    <row r="3289" spans="1:4" ht="31.5">
      <c r="A3289" s="216">
        <v>20078</v>
      </c>
      <c r="B3289" s="222" t="s">
        <v>20975</v>
      </c>
      <c r="C3289" s="216" t="s">
        <v>17678</v>
      </c>
      <c r="D3289" s="443">
        <v>31.05</v>
      </c>
    </row>
    <row r="3290" spans="1:4">
      <c r="A3290" s="216">
        <v>39897</v>
      </c>
      <c r="B3290" s="222" t="s">
        <v>20976</v>
      </c>
      <c r="C3290" s="216" t="s">
        <v>17678</v>
      </c>
      <c r="D3290" s="443">
        <v>51.58</v>
      </c>
    </row>
    <row r="3291" spans="1:4">
      <c r="A3291" s="216">
        <v>118</v>
      </c>
      <c r="B3291" s="222" t="s">
        <v>20977</v>
      </c>
      <c r="C3291" s="216" t="s">
        <v>17678</v>
      </c>
      <c r="D3291" s="443">
        <v>65.66</v>
      </c>
    </row>
    <row r="3292" spans="1:4" ht="31.5">
      <c r="A3292" s="216">
        <v>4396</v>
      </c>
      <c r="B3292" s="222" t="s">
        <v>20978</v>
      </c>
      <c r="C3292" s="216" t="s">
        <v>18087</v>
      </c>
      <c r="D3292" s="443">
        <v>205.22</v>
      </c>
    </row>
    <row r="3293" spans="1:4" ht="31.5">
      <c r="A3293" s="216">
        <v>36881</v>
      </c>
      <c r="B3293" s="222" t="s">
        <v>20979</v>
      </c>
      <c r="C3293" s="216" t="s">
        <v>18087</v>
      </c>
      <c r="D3293" s="443">
        <v>132.16999999999999</v>
      </c>
    </row>
    <row r="3294" spans="1:4" ht="31.5">
      <c r="A3294" s="216">
        <v>4397</v>
      </c>
      <c r="B3294" s="222" t="s">
        <v>20980</v>
      </c>
      <c r="C3294" s="216" t="s">
        <v>18087</v>
      </c>
      <c r="D3294" s="443">
        <v>223.23</v>
      </c>
    </row>
    <row r="3295" spans="1:4" ht="31.5">
      <c r="A3295" s="216">
        <v>36882</v>
      </c>
      <c r="B3295" s="222" t="s">
        <v>20981</v>
      </c>
      <c r="C3295" s="216" t="s">
        <v>18087</v>
      </c>
      <c r="D3295" s="443">
        <v>158.04</v>
      </c>
    </row>
    <row r="3296" spans="1:4">
      <c r="A3296" s="216">
        <v>4751</v>
      </c>
      <c r="B3296" s="222" t="s">
        <v>20982</v>
      </c>
      <c r="C3296" s="216" t="s">
        <v>17826</v>
      </c>
      <c r="D3296" s="443">
        <v>24.15</v>
      </c>
    </row>
    <row r="3297" spans="1:4">
      <c r="A3297" s="216">
        <v>41066</v>
      </c>
      <c r="B3297" s="222" t="s">
        <v>20983</v>
      </c>
      <c r="C3297" s="216" t="s">
        <v>17828</v>
      </c>
      <c r="D3297" s="443">
        <v>4228.24</v>
      </c>
    </row>
    <row r="3298" spans="1:4">
      <c r="A3298" s="216">
        <v>39604</v>
      </c>
      <c r="B3298" s="222" t="s">
        <v>20984</v>
      </c>
      <c r="C3298" s="216" t="s">
        <v>17678</v>
      </c>
      <c r="D3298" s="443">
        <v>16.48</v>
      </c>
    </row>
    <row r="3299" spans="1:4">
      <c r="A3299" s="216">
        <v>39605</v>
      </c>
      <c r="B3299" s="222" t="s">
        <v>20985</v>
      </c>
      <c r="C3299" s="216" t="s">
        <v>17678</v>
      </c>
      <c r="D3299" s="443">
        <v>17.91</v>
      </c>
    </row>
    <row r="3300" spans="1:4">
      <c r="A3300" s="216">
        <v>39606</v>
      </c>
      <c r="B3300" s="222" t="s">
        <v>20986</v>
      </c>
      <c r="C3300" s="216" t="s">
        <v>17678</v>
      </c>
      <c r="D3300" s="443">
        <v>31.36</v>
      </c>
    </row>
    <row r="3301" spans="1:4">
      <c r="A3301" s="216">
        <v>39607</v>
      </c>
      <c r="B3301" s="222" t="s">
        <v>20987</v>
      </c>
      <c r="C3301" s="216" t="s">
        <v>17678</v>
      </c>
      <c r="D3301" s="443">
        <v>42.42</v>
      </c>
    </row>
    <row r="3302" spans="1:4">
      <c r="A3302" s="216">
        <v>39594</v>
      </c>
      <c r="B3302" s="222" t="s">
        <v>20988</v>
      </c>
      <c r="C3302" s="216" t="s">
        <v>17678</v>
      </c>
      <c r="D3302" s="443">
        <v>420</v>
      </c>
    </row>
    <row r="3303" spans="1:4">
      <c r="A3303" s="216">
        <v>39596</v>
      </c>
      <c r="B3303" s="222" t="s">
        <v>20989</v>
      </c>
      <c r="C3303" s="216" t="s">
        <v>17678</v>
      </c>
      <c r="D3303" s="443">
        <v>1124.79</v>
      </c>
    </row>
    <row r="3304" spans="1:4">
      <c r="A3304" s="216">
        <v>39595</v>
      </c>
      <c r="B3304" s="222" t="s">
        <v>20990</v>
      </c>
      <c r="C3304" s="216" t="s">
        <v>17678</v>
      </c>
      <c r="D3304" s="443">
        <v>2527.25</v>
      </c>
    </row>
    <row r="3305" spans="1:4">
      <c r="A3305" s="216">
        <v>39597</v>
      </c>
      <c r="B3305" s="222" t="s">
        <v>20991</v>
      </c>
      <c r="C3305" s="216" t="s">
        <v>17678</v>
      </c>
      <c r="D3305" s="443">
        <v>3964.34</v>
      </c>
    </row>
    <row r="3306" spans="1:4">
      <c r="A3306" s="216">
        <v>10731</v>
      </c>
      <c r="B3306" s="222" t="s">
        <v>20992</v>
      </c>
      <c r="C3306" s="216" t="s">
        <v>18087</v>
      </c>
      <c r="D3306" s="443">
        <v>62</v>
      </c>
    </row>
    <row r="3307" spans="1:4">
      <c r="A3307" s="216">
        <v>4704</v>
      </c>
      <c r="B3307" s="222" t="s">
        <v>20993</v>
      </c>
      <c r="C3307" s="216" t="s">
        <v>18087</v>
      </c>
      <c r="D3307" s="443">
        <v>55.95</v>
      </c>
    </row>
    <row r="3308" spans="1:4">
      <c r="A3308" s="216">
        <v>10730</v>
      </c>
      <c r="B3308" s="222" t="s">
        <v>20994</v>
      </c>
      <c r="C3308" s="216" t="s">
        <v>18087</v>
      </c>
      <c r="D3308" s="443">
        <v>59.95</v>
      </c>
    </row>
    <row r="3309" spans="1:4">
      <c r="A3309" s="216">
        <v>4729</v>
      </c>
      <c r="B3309" s="222" t="s">
        <v>20995</v>
      </c>
      <c r="C3309" s="216" t="s">
        <v>17824</v>
      </c>
      <c r="D3309" s="443">
        <v>61.48</v>
      </c>
    </row>
    <row r="3310" spans="1:4">
      <c r="A3310" s="216">
        <v>4720</v>
      </c>
      <c r="B3310" s="222" t="s">
        <v>20996</v>
      </c>
      <c r="C3310" s="216" t="s">
        <v>17824</v>
      </c>
      <c r="D3310" s="443">
        <v>70.44</v>
      </c>
    </row>
    <row r="3311" spans="1:4">
      <c r="A3311" s="216">
        <v>4721</v>
      </c>
      <c r="B3311" s="222" t="s">
        <v>20997</v>
      </c>
      <c r="C3311" s="216" t="s">
        <v>17824</v>
      </c>
      <c r="D3311" s="443">
        <v>61.01</v>
      </c>
    </row>
    <row r="3312" spans="1:4">
      <c r="A3312" s="216">
        <v>4718</v>
      </c>
      <c r="B3312" s="222" t="s">
        <v>20998</v>
      </c>
      <c r="C3312" s="216" t="s">
        <v>17824</v>
      </c>
      <c r="D3312" s="443">
        <v>61.34</v>
      </c>
    </row>
    <row r="3313" spans="1:4">
      <c r="A3313" s="216">
        <v>4722</v>
      </c>
      <c r="B3313" s="222" t="s">
        <v>20999</v>
      </c>
      <c r="C3313" s="216" t="s">
        <v>17824</v>
      </c>
      <c r="D3313" s="443">
        <v>57.63</v>
      </c>
    </row>
    <row r="3314" spans="1:4">
      <c r="A3314" s="216">
        <v>4723</v>
      </c>
      <c r="B3314" s="222" t="s">
        <v>21000</v>
      </c>
      <c r="C3314" s="216" t="s">
        <v>17824</v>
      </c>
      <c r="D3314" s="443">
        <v>57.14</v>
      </c>
    </row>
    <row r="3315" spans="1:4">
      <c r="A3315" s="216">
        <v>4727</v>
      </c>
      <c r="B3315" s="222" t="s">
        <v>21001</v>
      </c>
      <c r="C3315" s="216" t="s">
        <v>17824</v>
      </c>
      <c r="D3315" s="443">
        <v>52.3</v>
      </c>
    </row>
    <row r="3316" spans="1:4">
      <c r="A3316" s="216">
        <v>4748</v>
      </c>
      <c r="B3316" s="222" t="s">
        <v>21002</v>
      </c>
      <c r="C3316" s="216" t="s">
        <v>17824</v>
      </c>
      <c r="D3316" s="443">
        <v>56.35</v>
      </c>
    </row>
    <row r="3317" spans="1:4">
      <c r="A3317" s="216">
        <v>4730</v>
      </c>
      <c r="B3317" s="222" t="s">
        <v>21003</v>
      </c>
      <c r="C3317" s="216" t="s">
        <v>17824</v>
      </c>
      <c r="D3317" s="443">
        <v>57.35</v>
      </c>
    </row>
    <row r="3318" spans="1:4" ht="31.5">
      <c r="A3318" s="216">
        <v>13186</v>
      </c>
      <c r="B3318" s="222" t="s">
        <v>21004</v>
      </c>
      <c r="C3318" s="216" t="s">
        <v>17824</v>
      </c>
      <c r="D3318" s="443">
        <v>66.17</v>
      </c>
    </row>
    <row r="3319" spans="1:4" ht="31.5">
      <c r="A3319" s="216">
        <v>10737</v>
      </c>
      <c r="B3319" s="222" t="s">
        <v>21005</v>
      </c>
      <c r="C3319" s="216" t="s">
        <v>18087</v>
      </c>
      <c r="D3319" s="443">
        <v>194.84</v>
      </c>
    </row>
    <row r="3320" spans="1:4" ht="31.5">
      <c r="A3320" s="216">
        <v>10734</v>
      </c>
      <c r="B3320" s="222" t="s">
        <v>21006</v>
      </c>
      <c r="C3320" s="216" t="s">
        <v>18087</v>
      </c>
      <c r="D3320" s="443">
        <v>115.9</v>
      </c>
    </row>
    <row r="3321" spans="1:4">
      <c r="A3321" s="216">
        <v>4708</v>
      </c>
      <c r="B3321" s="222" t="s">
        <v>21007</v>
      </c>
      <c r="C3321" s="216" t="s">
        <v>18087</v>
      </c>
      <c r="D3321" s="443">
        <v>224.81</v>
      </c>
    </row>
    <row r="3322" spans="1:4" ht="31.5">
      <c r="A3322" s="216">
        <v>4712</v>
      </c>
      <c r="B3322" s="222" t="s">
        <v>21008</v>
      </c>
      <c r="C3322" s="216" t="s">
        <v>18087</v>
      </c>
      <c r="D3322" s="443">
        <v>109.91</v>
      </c>
    </row>
    <row r="3323" spans="1:4" ht="31.5">
      <c r="A3323" s="216">
        <v>4710</v>
      </c>
      <c r="B3323" s="222" t="s">
        <v>21009</v>
      </c>
      <c r="C3323" s="216" t="s">
        <v>18087</v>
      </c>
      <c r="D3323" s="443">
        <v>352.46</v>
      </c>
    </row>
    <row r="3324" spans="1:4" ht="31.5">
      <c r="A3324" s="216">
        <v>4746</v>
      </c>
      <c r="B3324" s="222" t="s">
        <v>21010</v>
      </c>
      <c r="C3324" s="216" t="s">
        <v>17824</v>
      </c>
      <c r="D3324" s="443">
        <v>42.83</v>
      </c>
    </row>
    <row r="3325" spans="1:4">
      <c r="A3325" s="216">
        <v>4750</v>
      </c>
      <c r="B3325" s="222" t="s">
        <v>21011</v>
      </c>
      <c r="C3325" s="216" t="s">
        <v>17826</v>
      </c>
      <c r="D3325" s="443">
        <v>24.15</v>
      </c>
    </row>
    <row r="3326" spans="1:4">
      <c r="A3326" s="216">
        <v>41065</v>
      </c>
      <c r="B3326" s="222" t="s">
        <v>21012</v>
      </c>
      <c r="C3326" s="216" t="s">
        <v>17828</v>
      </c>
      <c r="D3326" s="443">
        <v>4228.24</v>
      </c>
    </row>
    <row r="3327" spans="1:4">
      <c r="A3327" s="216">
        <v>34747</v>
      </c>
      <c r="B3327" s="222" t="s">
        <v>21013</v>
      </c>
      <c r="C3327" s="216" t="s">
        <v>17722</v>
      </c>
      <c r="D3327" s="443">
        <v>118.06</v>
      </c>
    </row>
    <row r="3328" spans="1:4">
      <c r="A3328" s="216">
        <v>4826</v>
      </c>
      <c r="B3328" s="222" t="s">
        <v>21014</v>
      </c>
      <c r="C3328" s="216" t="s">
        <v>17722</v>
      </c>
      <c r="D3328" s="443">
        <v>126.95</v>
      </c>
    </row>
    <row r="3329" spans="1:4">
      <c r="A3329" s="216">
        <v>41975</v>
      </c>
      <c r="B3329" s="222" t="s">
        <v>21015</v>
      </c>
      <c r="C3329" s="216" t="s">
        <v>18087</v>
      </c>
      <c r="D3329" s="443">
        <v>94.34</v>
      </c>
    </row>
    <row r="3330" spans="1:4">
      <c r="A3330" s="216">
        <v>4825</v>
      </c>
      <c r="B3330" s="222" t="s">
        <v>21016</v>
      </c>
      <c r="C3330" s="216" t="s">
        <v>17722</v>
      </c>
      <c r="D3330" s="443">
        <v>175.72</v>
      </c>
    </row>
    <row r="3331" spans="1:4">
      <c r="A3331" s="216">
        <v>34744</v>
      </c>
      <c r="B3331" s="222" t="s">
        <v>21017</v>
      </c>
      <c r="C3331" s="216" t="s">
        <v>18087</v>
      </c>
      <c r="D3331" s="443">
        <v>25.57</v>
      </c>
    </row>
    <row r="3332" spans="1:4" ht="31.5">
      <c r="A3332" s="216">
        <v>39430</v>
      </c>
      <c r="B3332" s="222" t="s">
        <v>21018</v>
      </c>
      <c r="C3332" s="216" t="s">
        <v>17678</v>
      </c>
      <c r="D3332" s="443">
        <v>2.56</v>
      </c>
    </row>
    <row r="3333" spans="1:4" ht="31.5">
      <c r="A3333" s="216">
        <v>39573</v>
      </c>
      <c r="B3333" s="222" t="s">
        <v>21019</v>
      </c>
      <c r="C3333" s="216" t="s">
        <v>17678</v>
      </c>
      <c r="D3333" s="443">
        <v>2.52</v>
      </c>
    </row>
    <row r="3334" spans="1:4">
      <c r="A3334" s="216">
        <v>38410</v>
      </c>
      <c r="B3334" s="222" t="s">
        <v>21020</v>
      </c>
      <c r="C3334" s="216" t="s">
        <v>17678</v>
      </c>
      <c r="D3334" s="443">
        <v>14041.37</v>
      </c>
    </row>
    <row r="3335" spans="1:4">
      <c r="A3335" s="216">
        <v>41596</v>
      </c>
      <c r="B3335" s="222" t="s">
        <v>21021</v>
      </c>
      <c r="C3335" s="216" t="s">
        <v>17726</v>
      </c>
      <c r="D3335" s="443">
        <v>13.09</v>
      </c>
    </row>
    <row r="3336" spans="1:4">
      <c r="A3336" s="216">
        <v>41598</v>
      </c>
      <c r="B3336" s="222" t="s">
        <v>21022</v>
      </c>
      <c r="C3336" s="216" t="s">
        <v>17726</v>
      </c>
      <c r="D3336" s="443">
        <v>13.09</v>
      </c>
    </row>
    <row r="3337" spans="1:4">
      <c r="A3337" s="216">
        <v>41594</v>
      </c>
      <c r="B3337" s="222" t="s">
        <v>21023</v>
      </c>
      <c r="C3337" s="216" t="s">
        <v>17726</v>
      </c>
      <c r="D3337" s="443">
        <v>13.29</v>
      </c>
    </row>
    <row r="3338" spans="1:4">
      <c r="A3338" s="216">
        <v>43663</v>
      </c>
      <c r="B3338" s="222" t="s">
        <v>21024</v>
      </c>
      <c r="C3338" s="216" t="s">
        <v>17726</v>
      </c>
      <c r="D3338" s="443">
        <v>10.95</v>
      </c>
    </row>
    <row r="3339" spans="1:4">
      <c r="A3339" s="216">
        <v>4766</v>
      </c>
      <c r="B3339" s="222" t="s">
        <v>21025</v>
      </c>
      <c r="C3339" s="216" t="s">
        <v>17726</v>
      </c>
      <c r="D3339" s="443">
        <v>10.31</v>
      </c>
    </row>
    <row r="3340" spans="1:4">
      <c r="A3340" s="216">
        <v>43664</v>
      </c>
      <c r="B3340" s="222" t="s">
        <v>21026</v>
      </c>
      <c r="C3340" s="216" t="s">
        <v>17726</v>
      </c>
      <c r="D3340" s="443">
        <v>11.01</v>
      </c>
    </row>
    <row r="3341" spans="1:4">
      <c r="A3341" s="216">
        <v>43082</v>
      </c>
      <c r="B3341" s="222" t="s">
        <v>21027</v>
      </c>
      <c r="C3341" s="216" t="s">
        <v>17726</v>
      </c>
      <c r="D3341" s="443">
        <v>12</v>
      </c>
    </row>
    <row r="3342" spans="1:4">
      <c r="A3342" s="216">
        <v>43665</v>
      </c>
      <c r="B3342" s="222" t="s">
        <v>21028</v>
      </c>
      <c r="C3342" s="216" t="s">
        <v>17726</v>
      </c>
      <c r="D3342" s="443">
        <v>10.31</v>
      </c>
    </row>
    <row r="3343" spans="1:4">
      <c r="A3343" s="216">
        <v>10966</v>
      </c>
      <c r="B3343" s="222" t="s">
        <v>21029</v>
      </c>
      <c r="C3343" s="216" t="s">
        <v>17726</v>
      </c>
      <c r="D3343" s="443">
        <v>10.95</v>
      </c>
    </row>
    <row r="3344" spans="1:4">
      <c r="A3344" s="216">
        <v>43692</v>
      </c>
      <c r="B3344" s="222" t="s">
        <v>21030</v>
      </c>
      <c r="C3344" s="216" t="s">
        <v>17726</v>
      </c>
      <c r="D3344" s="443">
        <v>10.95</v>
      </c>
    </row>
    <row r="3345" spans="1:4" ht="31.5">
      <c r="A3345" s="216">
        <v>43083</v>
      </c>
      <c r="B3345" s="222" t="s">
        <v>21031</v>
      </c>
      <c r="C3345" s="216" t="s">
        <v>17726</v>
      </c>
      <c r="D3345" s="443">
        <v>10.39</v>
      </c>
    </row>
    <row r="3346" spans="1:4">
      <c r="A3346" s="216">
        <v>40535</v>
      </c>
      <c r="B3346" s="222" t="s">
        <v>21032</v>
      </c>
      <c r="C3346" s="216" t="s">
        <v>17726</v>
      </c>
      <c r="D3346" s="443">
        <v>10.39</v>
      </c>
    </row>
    <row r="3347" spans="1:4" ht="31.5">
      <c r="A3347" s="216">
        <v>39427</v>
      </c>
      <c r="B3347" s="222" t="s">
        <v>21033</v>
      </c>
      <c r="C3347" s="216" t="s">
        <v>17722</v>
      </c>
      <c r="D3347" s="443">
        <v>6.8</v>
      </c>
    </row>
    <row r="3348" spans="1:4">
      <c r="A3348" s="216">
        <v>39424</v>
      </c>
      <c r="B3348" s="222" t="s">
        <v>21034</v>
      </c>
      <c r="C3348" s="216" t="s">
        <v>17722</v>
      </c>
      <c r="D3348" s="443">
        <v>4.04</v>
      </c>
    </row>
    <row r="3349" spans="1:4">
      <c r="A3349" s="216">
        <v>39425</v>
      </c>
      <c r="B3349" s="222" t="s">
        <v>21035</v>
      </c>
      <c r="C3349" s="216" t="s">
        <v>17722</v>
      </c>
      <c r="D3349" s="443">
        <v>3.99</v>
      </c>
    </row>
    <row r="3350" spans="1:4">
      <c r="A3350" s="216">
        <v>40664</v>
      </c>
      <c r="B3350" s="222" t="s">
        <v>21036</v>
      </c>
      <c r="C3350" s="216" t="s">
        <v>17726</v>
      </c>
      <c r="D3350" s="443">
        <v>21.33</v>
      </c>
    </row>
    <row r="3351" spans="1:4">
      <c r="A3351" s="216">
        <v>34360</v>
      </c>
      <c r="B3351" s="222" t="s">
        <v>21037</v>
      </c>
      <c r="C3351" s="216" t="s">
        <v>17726</v>
      </c>
      <c r="D3351" s="443">
        <v>45.44</v>
      </c>
    </row>
    <row r="3352" spans="1:4">
      <c r="A3352" s="216">
        <v>20259</v>
      </c>
      <c r="B3352" s="222" t="s">
        <v>21038</v>
      </c>
      <c r="C3352" s="216" t="s">
        <v>17722</v>
      </c>
      <c r="D3352" s="443">
        <v>24.7</v>
      </c>
    </row>
    <row r="3353" spans="1:4" ht="31.5">
      <c r="A3353" s="216">
        <v>14077</v>
      </c>
      <c r="B3353" s="222" t="s">
        <v>21039</v>
      </c>
      <c r="C3353" s="216" t="s">
        <v>17722</v>
      </c>
      <c r="D3353" s="443">
        <v>378.06</v>
      </c>
    </row>
    <row r="3354" spans="1:4" ht="31.5">
      <c r="A3354" s="216">
        <v>3678</v>
      </c>
      <c r="B3354" s="222" t="s">
        <v>21040</v>
      </c>
      <c r="C3354" s="216" t="s">
        <v>17722</v>
      </c>
      <c r="D3354" s="443">
        <v>170.88</v>
      </c>
    </row>
    <row r="3355" spans="1:4" ht="31.5">
      <c r="A3355" s="216">
        <v>39418</v>
      </c>
      <c r="B3355" s="222" t="s">
        <v>21041</v>
      </c>
      <c r="C3355" s="216" t="s">
        <v>17722</v>
      </c>
      <c r="D3355" s="443">
        <v>7.59</v>
      </c>
    </row>
    <row r="3356" spans="1:4">
      <c r="A3356" s="216">
        <v>39419</v>
      </c>
      <c r="B3356" s="222" t="s">
        <v>21042</v>
      </c>
      <c r="C3356" s="216" t="s">
        <v>17722</v>
      </c>
      <c r="D3356" s="443">
        <v>9.25</v>
      </c>
    </row>
    <row r="3357" spans="1:4">
      <c r="A3357" s="216">
        <v>39420</v>
      </c>
      <c r="B3357" s="222" t="s">
        <v>21043</v>
      </c>
      <c r="C3357" s="216" t="s">
        <v>17722</v>
      </c>
      <c r="D3357" s="443">
        <v>10.210000000000001</v>
      </c>
    </row>
    <row r="3358" spans="1:4" ht="31.5">
      <c r="A3358" s="216">
        <v>39571</v>
      </c>
      <c r="B3358" s="222" t="s">
        <v>21044</v>
      </c>
      <c r="C3358" s="216" t="s">
        <v>17722</v>
      </c>
      <c r="D3358" s="443">
        <v>6.17</v>
      </c>
    </row>
    <row r="3359" spans="1:4" ht="31.5">
      <c r="A3359" s="216">
        <v>39421</v>
      </c>
      <c r="B3359" s="222" t="s">
        <v>21045</v>
      </c>
      <c r="C3359" s="216" t="s">
        <v>17722</v>
      </c>
      <c r="D3359" s="443">
        <v>8.98</v>
      </c>
    </row>
    <row r="3360" spans="1:4" ht="31.5">
      <c r="A3360" s="216">
        <v>39422</v>
      </c>
      <c r="B3360" s="222" t="s">
        <v>21046</v>
      </c>
      <c r="C3360" s="216" t="s">
        <v>17722</v>
      </c>
      <c r="D3360" s="443">
        <v>10.49</v>
      </c>
    </row>
    <row r="3361" spans="1:4" ht="31.5">
      <c r="A3361" s="216">
        <v>39423</v>
      </c>
      <c r="B3361" s="222" t="s">
        <v>21047</v>
      </c>
      <c r="C3361" s="216" t="s">
        <v>17722</v>
      </c>
      <c r="D3361" s="443">
        <v>12.18</v>
      </c>
    </row>
    <row r="3362" spans="1:4" ht="31.5">
      <c r="A3362" s="216">
        <v>39426</v>
      </c>
      <c r="B3362" s="222" t="s">
        <v>21048</v>
      </c>
      <c r="C3362" s="216" t="s">
        <v>17722</v>
      </c>
      <c r="D3362" s="443">
        <v>27.38</v>
      </c>
    </row>
    <row r="3363" spans="1:4" ht="31.5">
      <c r="A3363" s="216">
        <v>39429</v>
      </c>
      <c r="B3363" s="222" t="s">
        <v>21049</v>
      </c>
      <c r="C3363" s="216" t="s">
        <v>17722</v>
      </c>
      <c r="D3363" s="443">
        <v>8.6300000000000008</v>
      </c>
    </row>
    <row r="3364" spans="1:4" ht="31.5">
      <c r="A3364" s="216">
        <v>39428</v>
      </c>
      <c r="B3364" s="222" t="s">
        <v>21050</v>
      </c>
      <c r="C3364" s="216" t="s">
        <v>17722</v>
      </c>
      <c r="D3364" s="443">
        <v>6.6</v>
      </c>
    </row>
    <row r="3365" spans="1:4">
      <c r="A3365" s="216">
        <v>39572</v>
      </c>
      <c r="B3365" s="222" t="s">
        <v>21051</v>
      </c>
      <c r="C3365" s="216" t="s">
        <v>17722</v>
      </c>
      <c r="D3365" s="443">
        <v>5.71</v>
      </c>
    </row>
    <row r="3366" spans="1:4" ht="31.5">
      <c r="A3366" s="216">
        <v>39570</v>
      </c>
      <c r="B3366" s="222" t="s">
        <v>21052</v>
      </c>
      <c r="C3366" s="216" t="s">
        <v>17722</v>
      </c>
      <c r="D3366" s="443">
        <v>6.06</v>
      </c>
    </row>
    <row r="3367" spans="1:4" ht="31.5">
      <c r="A3367" s="216">
        <v>39569</v>
      </c>
      <c r="B3367" s="222" t="s">
        <v>21053</v>
      </c>
      <c r="C3367" s="216" t="s">
        <v>17722</v>
      </c>
      <c r="D3367" s="443">
        <v>5.99</v>
      </c>
    </row>
    <row r="3368" spans="1:4">
      <c r="A3368" s="216">
        <v>11552</v>
      </c>
      <c r="B3368" s="222" t="s">
        <v>21054</v>
      </c>
      <c r="C3368" s="216" t="s">
        <v>17722</v>
      </c>
      <c r="D3368" s="443">
        <v>7.16</v>
      </c>
    </row>
    <row r="3369" spans="1:4" ht="31.5">
      <c r="A3369" s="216">
        <v>40598</v>
      </c>
      <c r="B3369" s="222" t="s">
        <v>21055</v>
      </c>
      <c r="C3369" s="216" t="s">
        <v>17726</v>
      </c>
      <c r="D3369" s="443">
        <v>10.14</v>
      </c>
    </row>
    <row r="3370" spans="1:4">
      <c r="A3370" s="216">
        <v>39029</v>
      </c>
      <c r="B3370" s="222" t="s">
        <v>21056</v>
      </c>
      <c r="C3370" s="216" t="s">
        <v>17722</v>
      </c>
      <c r="D3370" s="443">
        <v>19.329999999999998</v>
      </c>
    </row>
    <row r="3371" spans="1:4">
      <c r="A3371" s="216">
        <v>39028</v>
      </c>
      <c r="B3371" s="222" t="s">
        <v>21057</v>
      </c>
      <c r="C3371" s="216" t="s">
        <v>17722</v>
      </c>
      <c r="D3371" s="443">
        <v>11.25</v>
      </c>
    </row>
    <row r="3372" spans="1:4">
      <c r="A3372" s="216">
        <v>39328</v>
      </c>
      <c r="B3372" s="222" t="s">
        <v>21058</v>
      </c>
      <c r="C3372" s="216" t="s">
        <v>17722</v>
      </c>
      <c r="D3372" s="443">
        <v>6.19</v>
      </c>
    </row>
    <row r="3373" spans="1:4" ht="47.25">
      <c r="A3373" s="216">
        <v>38541</v>
      </c>
      <c r="B3373" s="222" t="s">
        <v>21059</v>
      </c>
      <c r="C3373" s="216" t="s">
        <v>17678</v>
      </c>
      <c r="D3373" s="443">
        <v>4705444.04</v>
      </c>
    </row>
    <row r="3374" spans="1:4" ht="47.25">
      <c r="A3374" s="216">
        <v>38542</v>
      </c>
      <c r="B3374" s="222" t="s">
        <v>21060</v>
      </c>
      <c r="C3374" s="216" t="s">
        <v>17678</v>
      </c>
      <c r="D3374" s="443">
        <v>7316776.2699999996</v>
      </c>
    </row>
    <row r="3375" spans="1:4" ht="47.25">
      <c r="A3375" s="216">
        <v>38543</v>
      </c>
      <c r="B3375" s="222" t="s">
        <v>21061</v>
      </c>
      <c r="C3375" s="216" t="s">
        <v>17678</v>
      </c>
      <c r="D3375" s="443">
        <v>1791348.72</v>
      </c>
    </row>
    <row r="3376" spans="1:4" ht="31.5">
      <c r="A3376" s="216">
        <v>40406</v>
      </c>
      <c r="B3376" s="222" t="s">
        <v>21062</v>
      </c>
      <c r="C3376" s="216" t="s">
        <v>17678</v>
      </c>
      <c r="D3376" s="443">
        <v>61842.96</v>
      </c>
    </row>
    <row r="3377" spans="1:4" ht="31.5">
      <c r="A3377" s="216">
        <v>40789</v>
      </c>
      <c r="B3377" s="222" t="s">
        <v>21063</v>
      </c>
      <c r="C3377" s="216" t="s">
        <v>17678</v>
      </c>
      <c r="D3377" s="443">
        <v>8912.2000000000007</v>
      </c>
    </row>
    <row r="3378" spans="1:4" ht="31.5">
      <c r="A3378" s="216">
        <v>40791</v>
      </c>
      <c r="B3378" s="222" t="s">
        <v>21064</v>
      </c>
      <c r="C3378" s="216" t="s">
        <v>17678</v>
      </c>
      <c r="D3378" s="443">
        <v>27899.08</v>
      </c>
    </row>
    <row r="3379" spans="1:4" ht="31.5">
      <c r="A3379" s="216">
        <v>11651</v>
      </c>
      <c r="B3379" s="222" t="s">
        <v>21065</v>
      </c>
      <c r="C3379" s="216" t="s">
        <v>17678</v>
      </c>
      <c r="D3379" s="443">
        <v>15258.4</v>
      </c>
    </row>
    <row r="3380" spans="1:4" ht="31.5">
      <c r="A3380" s="216">
        <v>40435</v>
      </c>
      <c r="B3380" s="222" t="s">
        <v>21066</v>
      </c>
      <c r="C3380" s="216" t="s">
        <v>17678</v>
      </c>
      <c r="D3380" s="443">
        <v>982718.75</v>
      </c>
    </row>
    <row r="3381" spans="1:4" ht="31.5">
      <c r="A3381" s="216">
        <v>39012</v>
      </c>
      <c r="B3381" s="222" t="s">
        <v>21067</v>
      </c>
      <c r="C3381" s="216" t="s">
        <v>17678</v>
      </c>
      <c r="D3381" s="443">
        <v>1025331.16</v>
      </c>
    </row>
    <row r="3382" spans="1:4">
      <c r="A3382" s="216">
        <v>13617</v>
      </c>
      <c r="B3382" s="222" t="s">
        <v>21068</v>
      </c>
      <c r="C3382" s="216" t="s">
        <v>17678</v>
      </c>
      <c r="D3382" s="443">
        <v>98707.37</v>
      </c>
    </row>
    <row r="3383" spans="1:4" ht="31.5">
      <c r="A3383" s="216">
        <v>35274</v>
      </c>
      <c r="B3383" s="222" t="s">
        <v>21069</v>
      </c>
      <c r="C3383" s="216" t="s">
        <v>17722</v>
      </c>
      <c r="D3383" s="443">
        <v>66.8</v>
      </c>
    </row>
    <row r="3384" spans="1:4" ht="31.5">
      <c r="A3384" s="216">
        <v>35275</v>
      </c>
      <c r="B3384" s="222" t="s">
        <v>21070</v>
      </c>
      <c r="C3384" s="216" t="s">
        <v>17722</v>
      </c>
      <c r="D3384" s="443">
        <v>141.78</v>
      </c>
    </row>
    <row r="3385" spans="1:4" ht="31.5">
      <c r="A3385" s="216">
        <v>35276</v>
      </c>
      <c r="B3385" s="222" t="s">
        <v>21071</v>
      </c>
      <c r="C3385" s="216" t="s">
        <v>17722</v>
      </c>
      <c r="D3385" s="443">
        <v>246.69</v>
      </c>
    </row>
    <row r="3386" spans="1:4">
      <c r="A3386" s="216">
        <v>38386</v>
      </c>
      <c r="B3386" s="222" t="s">
        <v>21072</v>
      </c>
      <c r="C3386" s="216" t="s">
        <v>17678</v>
      </c>
      <c r="D3386" s="443">
        <v>4.6900000000000004</v>
      </c>
    </row>
    <row r="3387" spans="1:4">
      <c r="A3387" s="216">
        <v>11091</v>
      </c>
      <c r="B3387" s="222" t="s">
        <v>21073</v>
      </c>
      <c r="C3387" s="216" t="s">
        <v>17678</v>
      </c>
      <c r="D3387" s="443">
        <v>1.28</v>
      </c>
    </row>
    <row r="3388" spans="1:4">
      <c r="A3388" s="216">
        <v>37586</v>
      </c>
      <c r="B3388" s="222" t="s">
        <v>21074</v>
      </c>
      <c r="C3388" s="216" t="s">
        <v>19760</v>
      </c>
      <c r="D3388" s="443">
        <v>46.91</v>
      </c>
    </row>
    <row r="3389" spans="1:4">
      <c r="A3389" s="216">
        <v>37395</v>
      </c>
      <c r="B3389" s="222" t="s">
        <v>21075</v>
      </c>
      <c r="C3389" s="216" t="s">
        <v>19760</v>
      </c>
      <c r="D3389" s="443">
        <v>40.33</v>
      </c>
    </row>
    <row r="3390" spans="1:4">
      <c r="A3390" s="216">
        <v>14147</v>
      </c>
      <c r="B3390" s="222" t="s">
        <v>21076</v>
      </c>
      <c r="C3390" s="216" t="s">
        <v>19760</v>
      </c>
      <c r="D3390" s="443">
        <v>53.5</v>
      </c>
    </row>
    <row r="3391" spans="1:4">
      <c r="A3391" s="216">
        <v>37396</v>
      </c>
      <c r="B3391" s="222" t="s">
        <v>21077</v>
      </c>
      <c r="C3391" s="216" t="s">
        <v>19760</v>
      </c>
      <c r="D3391" s="443">
        <v>33</v>
      </c>
    </row>
    <row r="3392" spans="1:4">
      <c r="A3392" s="216">
        <v>37397</v>
      </c>
      <c r="B3392" s="222" t="s">
        <v>21078</v>
      </c>
      <c r="C3392" s="216" t="s">
        <v>19760</v>
      </c>
      <c r="D3392" s="443">
        <v>34.57</v>
      </c>
    </row>
    <row r="3393" spans="1:4">
      <c r="A3393" s="216">
        <v>43606</v>
      </c>
      <c r="B3393" s="222" t="s">
        <v>21079</v>
      </c>
      <c r="C3393" s="216" t="s">
        <v>17678</v>
      </c>
      <c r="D3393" s="443">
        <v>8.58</v>
      </c>
    </row>
    <row r="3394" spans="1:4" ht="31.5">
      <c r="A3394" s="216">
        <v>444</v>
      </c>
      <c r="B3394" s="222" t="s">
        <v>21080</v>
      </c>
      <c r="C3394" s="216" t="s">
        <v>17678</v>
      </c>
      <c r="D3394" s="443">
        <v>14.32</v>
      </c>
    </row>
    <row r="3395" spans="1:4" ht="31.5">
      <c r="A3395" s="216">
        <v>445</v>
      </c>
      <c r="B3395" s="222" t="s">
        <v>21081</v>
      </c>
      <c r="C3395" s="216" t="s">
        <v>17678</v>
      </c>
      <c r="D3395" s="443">
        <v>19.600000000000001</v>
      </c>
    </row>
    <row r="3396" spans="1:4">
      <c r="A3396" s="216">
        <v>4783</v>
      </c>
      <c r="B3396" s="222" t="s">
        <v>21082</v>
      </c>
      <c r="C3396" s="216" t="s">
        <v>17826</v>
      </c>
      <c r="D3396" s="443">
        <v>24.15</v>
      </c>
    </row>
    <row r="3397" spans="1:4">
      <c r="A3397" s="216">
        <v>41079</v>
      </c>
      <c r="B3397" s="222" t="s">
        <v>21083</v>
      </c>
      <c r="C3397" s="216" t="s">
        <v>17828</v>
      </c>
      <c r="D3397" s="443">
        <v>4228.24</v>
      </c>
    </row>
    <row r="3398" spans="1:4">
      <c r="A3398" s="216">
        <v>12874</v>
      </c>
      <c r="B3398" s="222" t="s">
        <v>21084</v>
      </c>
      <c r="C3398" s="216" t="s">
        <v>17826</v>
      </c>
      <c r="D3398" s="443">
        <v>23.43</v>
      </c>
    </row>
    <row r="3399" spans="1:4">
      <c r="A3399" s="216">
        <v>41082</v>
      </c>
      <c r="B3399" s="222" t="s">
        <v>21085</v>
      </c>
      <c r="C3399" s="216" t="s">
        <v>17828</v>
      </c>
      <c r="D3399" s="443">
        <v>4105.8900000000003</v>
      </c>
    </row>
    <row r="3400" spans="1:4">
      <c r="A3400" s="216">
        <v>4785</v>
      </c>
      <c r="B3400" s="222" t="s">
        <v>21086</v>
      </c>
      <c r="C3400" s="216" t="s">
        <v>17826</v>
      </c>
      <c r="D3400" s="443">
        <v>24.15</v>
      </c>
    </row>
    <row r="3401" spans="1:4">
      <c r="A3401" s="216">
        <v>41081</v>
      </c>
      <c r="B3401" s="222" t="s">
        <v>21087</v>
      </c>
      <c r="C3401" s="216" t="s">
        <v>17828</v>
      </c>
      <c r="D3401" s="443">
        <v>4228.24</v>
      </c>
    </row>
    <row r="3402" spans="1:4">
      <c r="A3402" s="216">
        <v>4801</v>
      </c>
      <c r="B3402" s="222" t="s">
        <v>21088</v>
      </c>
      <c r="C3402" s="216" t="s">
        <v>18087</v>
      </c>
      <c r="D3402" s="443">
        <v>89.23</v>
      </c>
    </row>
    <row r="3403" spans="1:4">
      <c r="A3403" s="216">
        <v>4794</v>
      </c>
      <c r="B3403" s="222" t="s">
        <v>21089</v>
      </c>
      <c r="C3403" s="216" t="s">
        <v>18087</v>
      </c>
      <c r="D3403" s="443">
        <v>406.38</v>
      </c>
    </row>
    <row r="3404" spans="1:4">
      <c r="A3404" s="216">
        <v>4796</v>
      </c>
      <c r="B3404" s="222" t="s">
        <v>21090</v>
      </c>
      <c r="C3404" s="216" t="s">
        <v>18087</v>
      </c>
      <c r="D3404" s="443">
        <v>246.83</v>
      </c>
    </row>
    <row r="3405" spans="1:4">
      <c r="A3405" s="216">
        <v>4800</v>
      </c>
      <c r="B3405" s="222" t="s">
        <v>21091</v>
      </c>
      <c r="C3405" s="216" t="s">
        <v>18087</v>
      </c>
      <c r="D3405" s="443">
        <v>67.88</v>
      </c>
    </row>
    <row r="3406" spans="1:4">
      <c r="A3406" s="216">
        <v>4795</v>
      </c>
      <c r="B3406" s="222" t="s">
        <v>21092</v>
      </c>
      <c r="C3406" s="216" t="s">
        <v>18087</v>
      </c>
      <c r="D3406" s="443">
        <v>395.59</v>
      </c>
    </row>
    <row r="3407" spans="1:4" ht="31.5">
      <c r="A3407" s="216">
        <v>39694</v>
      </c>
      <c r="B3407" s="222" t="s">
        <v>21093</v>
      </c>
      <c r="C3407" s="216" t="s">
        <v>18087</v>
      </c>
      <c r="D3407" s="443">
        <v>471.2</v>
      </c>
    </row>
    <row r="3408" spans="1:4">
      <c r="A3408" s="216">
        <v>1292</v>
      </c>
      <c r="B3408" s="222" t="s">
        <v>21094</v>
      </c>
      <c r="C3408" s="216" t="s">
        <v>18087</v>
      </c>
      <c r="D3408" s="443">
        <v>65.489999999999995</v>
      </c>
    </row>
    <row r="3409" spans="1:4">
      <c r="A3409" s="216">
        <v>1287</v>
      </c>
      <c r="B3409" s="222" t="s">
        <v>21095</v>
      </c>
      <c r="C3409" s="216" t="s">
        <v>18087</v>
      </c>
      <c r="D3409" s="443">
        <v>32.130000000000003</v>
      </c>
    </row>
    <row r="3410" spans="1:4" ht="31.5">
      <c r="A3410" s="216">
        <v>1297</v>
      </c>
      <c r="B3410" s="222" t="s">
        <v>21096</v>
      </c>
      <c r="C3410" s="216" t="s">
        <v>18087</v>
      </c>
      <c r="D3410" s="443">
        <v>26.65</v>
      </c>
    </row>
    <row r="3411" spans="1:4" ht="31.5">
      <c r="A3411" s="216">
        <v>4786</v>
      </c>
      <c r="B3411" s="222" t="s">
        <v>21097</v>
      </c>
      <c r="C3411" s="216" t="s">
        <v>18087</v>
      </c>
      <c r="D3411" s="443">
        <v>108.5</v>
      </c>
    </row>
    <row r="3412" spans="1:4" ht="31.5">
      <c r="A3412" s="216">
        <v>10840</v>
      </c>
      <c r="B3412" s="222" t="s">
        <v>21098</v>
      </c>
      <c r="C3412" s="216" t="s">
        <v>18087</v>
      </c>
      <c r="D3412" s="443">
        <v>410</v>
      </c>
    </row>
    <row r="3413" spans="1:4" ht="31.5">
      <c r="A3413" s="216">
        <v>10841</v>
      </c>
      <c r="B3413" s="222" t="s">
        <v>21099</v>
      </c>
      <c r="C3413" s="216" t="s">
        <v>18087</v>
      </c>
      <c r="D3413" s="443">
        <v>309.43</v>
      </c>
    </row>
    <row r="3414" spans="1:4" ht="31.5">
      <c r="A3414" s="216">
        <v>44540</v>
      </c>
      <c r="B3414" s="222" t="s">
        <v>21100</v>
      </c>
      <c r="C3414" s="216" t="s">
        <v>18087</v>
      </c>
      <c r="D3414" s="443">
        <v>395.38</v>
      </c>
    </row>
    <row r="3415" spans="1:4" ht="31.5">
      <c r="A3415" s="216">
        <v>10842</v>
      </c>
      <c r="B3415" s="222" t="s">
        <v>21101</v>
      </c>
      <c r="C3415" s="216" t="s">
        <v>18087</v>
      </c>
      <c r="D3415" s="443">
        <v>446.96</v>
      </c>
    </row>
    <row r="3416" spans="1:4">
      <c r="A3416" s="216">
        <v>21108</v>
      </c>
      <c r="B3416" s="222" t="s">
        <v>21102</v>
      </c>
      <c r="C3416" s="216" t="s">
        <v>18087</v>
      </c>
      <c r="D3416" s="443">
        <v>87.29</v>
      </c>
    </row>
    <row r="3417" spans="1:4">
      <c r="A3417" s="216">
        <v>38180</v>
      </c>
      <c r="B3417" s="222" t="s">
        <v>21103</v>
      </c>
      <c r="C3417" s="216" t="s">
        <v>18087</v>
      </c>
      <c r="D3417" s="443">
        <v>198.73</v>
      </c>
    </row>
    <row r="3418" spans="1:4">
      <c r="A3418" s="216">
        <v>40648</v>
      </c>
      <c r="B3418" s="222" t="s">
        <v>21104</v>
      </c>
      <c r="C3418" s="216" t="s">
        <v>18087</v>
      </c>
      <c r="D3418" s="443">
        <v>208.32</v>
      </c>
    </row>
    <row r="3419" spans="1:4">
      <c r="A3419" s="216">
        <v>40649</v>
      </c>
      <c r="B3419" s="222" t="s">
        <v>21105</v>
      </c>
      <c r="C3419" s="216" t="s">
        <v>18087</v>
      </c>
      <c r="D3419" s="443">
        <v>121.34</v>
      </c>
    </row>
    <row r="3420" spans="1:4">
      <c r="A3420" s="216">
        <v>40650</v>
      </c>
      <c r="B3420" s="222" t="s">
        <v>21106</v>
      </c>
      <c r="C3420" s="216" t="s">
        <v>18087</v>
      </c>
      <c r="D3420" s="443">
        <v>156.24</v>
      </c>
    </row>
    <row r="3421" spans="1:4">
      <c r="A3421" s="216">
        <v>40651</v>
      </c>
      <c r="B3421" s="222" t="s">
        <v>21107</v>
      </c>
      <c r="C3421" s="216" t="s">
        <v>18087</v>
      </c>
      <c r="D3421" s="443">
        <v>288.17</v>
      </c>
    </row>
    <row r="3422" spans="1:4">
      <c r="A3422" s="216">
        <v>40652</v>
      </c>
      <c r="B3422" s="222" t="s">
        <v>21108</v>
      </c>
      <c r="C3422" s="216" t="s">
        <v>18087</v>
      </c>
      <c r="D3422" s="443">
        <v>154.5</v>
      </c>
    </row>
    <row r="3423" spans="1:4" ht="31.5">
      <c r="A3423" s="216">
        <v>40647</v>
      </c>
      <c r="B3423" s="222" t="s">
        <v>21109</v>
      </c>
      <c r="C3423" s="216" t="s">
        <v>18087</v>
      </c>
      <c r="D3423" s="443">
        <v>170.12</v>
      </c>
    </row>
    <row r="3424" spans="1:4">
      <c r="A3424" s="216">
        <v>40653</v>
      </c>
      <c r="B3424" s="222" t="s">
        <v>21110</v>
      </c>
      <c r="C3424" s="216" t="s">
        <v>18087</v>
      </c>
      <c r="D3424" s="443">
        <v>130.19999999999999</v>
      </c>
    </row>
    <row r="3425" spans="1:4">
      <c r="A3425" s="216">
        <v>36178</v>
      </c>
      <c r="B3425" s="222" t="s">
        <v>21111</v>
      </c>
      <c r="C3425" s="216" t="s">
        <v>17678</v>
      </c>
      <c r="D3425" s="443">
        <v>9.2200000000000006</v>
      </c>
    </row>
    <row r="3426" spans="1:4">
      <c r="A3426" s="216">
        <v>38195</v>
      </c>
      <c r="B3426" s="222" t="s">
        <v>21112</v>
      </c>
      <c r="C3426" s="216" t="s">
        <v>18087</v>
      </c>
      <c r="D3426" s="443">
        <v>103.1</v>
      </c>
    </row>
    <row r="3427" spans="1:4">
      <c r="A3427" s="216">
        <v>38181</v>
      </c>
      <c r="B3427" s="222" t="s">
        <v>21113</v>
      </c>
      <c r="C3427" s="216" t="s">
        <v>18087</v>
      </c>
      <c r="D3427" s="443">
        <v>271.3</v>
      </c>
    </row>
    <row r="3428" spans="1:4">
      <c r="A3428" s="216">
        <v>38182</v>
      </c>
      <c r="B3428" s="222" t="s">
        <v>21114</v>
      </c>
      <c r="C3428" s="216" t="s">
        <v>18087</v>
      </c>
      <c r="D3428" s="443">
        <v>258.42</v>
      </c>
    </row>
    <row r="3429" spans="1:4">
      <c r="A3429" s="216">
        <v>38186</v>
      </c>
      <c r="B3429" s="222" t="s">
        <v>21115</v>
      </c>
      <c r="C3429" s="216" t="s">
        <v>18087</v>
      </c>
      <c r="D3429" s="443">
        <v>671.73</v>
      </c>
    </row>
    <row r="3430" spans="1:4">
      <c r="A3430" s="216">
        <v>38185</v>
      </c>
      <c r="B3430" s="222" t="s">
        <v>21116</v>
      </c>
      <c r="C3430" s="216" t="s">
        <v>18087</v>
      </c>
      <c r="D3430" s="443">
        <v>598.07000000000005</v>
      </c>
    </row>
    <row r="3431" spans="1:4">
      <c r="A3431" s="216">
        <v>40654</v>
      </c>
      <c r="B3431" s="222" t="s">
        <v>21117</v>
      </c>
      <c r="C3431" s="216" t="s">
        <v>18087</v>
      </c>
      <c r="D3431" s="443">
        <v>202.24</v>
      </c>
    </row>
    <row r="3432" spans="1:4" ht="31.5">
      <c r="A3432" s="216">
        <v>44541</v>
      </c>
      <c r="B3432" s="222" t="s">
        <v>21118</v>
      </c>
      <c r="C3432" s="216" t="s">
        <v>18087</v>
      </c>
      <c r="D3432" s="443">
        <v>326.62</v>
      </c>
    </row>
    <row r="3433" spans="1:4" ht="31.5">
      <c r="A3433" s="216">
        <v>4822</v>
      </c>
      <c r="B3433" s="222" t="s">
        <v>21119</v>
      </c>
      <c r="C3433" s="216" t="s">
        <v>18087</v>
      </c>
      <c r="D3433" s="443">
        <v>486.4</v>
      </c>
    </row>
    <row r="3434" spans="1:4" ht="31.5">
      <c r="A3434" s="216">
        <v>4818</v>
      </c>
      <c r="B3434" s="222" t="s">
        <v>21120</v>
      </c>
      <c r="C3434" s="216" t="s">
        <v>18087</v>
      </c>
      <c r="D3434" s="443">
        <v>499.95</v>
      </c>
    </row>
    <row r="3435" spans="1:4" ht="31.5">
      <c r="A3435" s="216">
        <v>39567</v>
      </c>
      <c r="B3435" s="222" t="s">
        <v>21121</v>
      </c>
      <c r="C3435" s="216" t="s">
        <v>18087</v>
      </c>
      <c r="D3435" s="443">
        <v>41.45</v>
      </c>
    </row>
    <row r="3436" spans="1:4" ht="31.5">
      <c r="A3436" s="216">
        <v>39566</v>
      </c>
      <c r="B3436" s="222" t="s">
        <v>21122</v>
      </c>
      <c r="C3436" s="216" t="s">
        <v>18087</v>
      </c>
      <c r="D3436" s="443">
        <v>43.87</v>
      </c>
    </row>
    <row r="3437" spans="1:4" ht="31.5">
      <c r="A3437" s="216">
        <v>39416</v>
      </c>
      <c r="B3437" s="222" t="s">
        <v>21123</v>
      </c>
      <c r="C3437" s="216" t="s">
        <v>18087</v>
      </c>
      <c r="D3437" s="443">
        <v>26.74</v>
      </c>
    </row>
    <row r="3438" spans="1:4" ht="31.5">
      <c r="A3438" s="216">
        <v>39417</v>
      </c>
      <c r="B3438" s="222" t="s">
        <v>21124</v>
      </c>
      <c r="C3438" s="216" t="s">
        <v>18087</v>
      </c>
      <c r="D3438" s="443">
        <v>26.08</v>
      </c>
    </row>
    <row r="3439" spans="1:4" ht="31.5">
      <c r="A3439" s="216">
        <v>43742</v>
      </c>
      <c r="B3439" s="222" t="s">
        <v>21125</v>
      </c>
      <c r="C3439" s="216" t="s">
        <v>18087</v>
      </c>
      <c r="D3439" s="443">
        <v>28.13</v>
      </c>
    </row>
    <row r="3440" spans="1:4">
      <c r="A3440" s="216">
        <v>39414</v>
      </c>
      <c r="B3440" s="222" t="s">
        <v>21126</v>
      </c>
      <c r="C3440" s="216" t="s">
        <v>18087</v>
      </c>
      <c r="D3440" s="443">
        <v>25.32</v>
      </c>
    </row>
    <row r="3441" spans="1:4">
      <c r="A3441" s="216">
        <v>39415</v>
      </c>
      <c r="B3441" s="222" t="s">
        <v>21127</v>
      </c>
      <c r="C3441" s="216" t="s">
        <v>18087</v>
      </c>
      <c r="D3441" s="443">
        <v>21.82</v>
      </c>
    </row>
    <row r="3442" spans="1:4">
      <c r="A3442" s="216">
        <v>43740</v>
      </c>
      <c r="B3442" s="222" t="s">
        <v>21128</v>
      </c>
      <c r="C3442" s="216" t="s">
        <v>18087</v>
      </c>
      <c r="D3442" s="443">
        <v>26.65</v>
      </c>
    </row>
    <row r="3443" spans="1:4">
      <c r="A3443" s="216">
        <v>39412</v>
      </c>
      <c r="B3443" s="222" t="s">
        <v>21129</v>
      </c>
      <c r="C3443" s="216" t="s">
        <v>18087</v>
      </c>
      <c r="D3443" s="443">
        <v>18.28</v>
      </c>
    </row>
    <row r="3444" spans="1:4">
      <c r="A3444" s="216">
        <v>39413</v>
      </c>
      <c r="B3444" s="222" t="s">
        <v>21130</v>
      </c>
      <c r="C3444" s="216" t="s">
        <v>18087</v>
      </c>
      <c r="D3444" s="443">
        <v>19.77</v>
      </c>
    </row>
    <row r="3445" spans="1:4">
      <c r="A3445" s="216">
        <v>43741</v>
      </c>
      <c r="B3445" s="222" t="s">
        <v>21131</v>
      </c>
      <c r="C3445" s="216" t="s">
        <v>18087</v>
      </c>
      <c r="D3445" s="443">
        <v>21.07</v>
      </c>
    </row>
    <row r="3446" spans="1:4">
      <c r="A3446" s="216">
        <v>11062</v>
      </c>
      <c r="B3446" s="222" t="s">
        <v>21132</v>
      </c>
      <c r="C3446" s="216" t="s">
        <v>18087</v>
      </c>
      <c r="D3446" s="443">
        <v>50.9</v>
      </c>
    </row>
    <row r="3447" spans="1:4">
      <c r="A3447" s="216">
        <v>11063</v>
      </c>
      <c r="B3447" s="222" t="s">
        <v>21133</v>
      </c>
      <c r="C3447" s="216" t="s">
        <v>18087</v>
      </c>
      <c r="D3447" s="443">
        <v>31.15</v>
      </c>
    </row>
    <row r="3448" spans="1:4">
      <c r="A3448" s="216">
        <v>13521</v>
      </c>
      <c r="B3448" s="222" t="s">
        <v>21134</v>
      </c>
      <c r="C3448" s="216" t="s">
        <v>17678</v>
      </c>
      <c r="D3448" s="443">
        <v>90.75</v>
      </c>
    </row>
    <row r="3449" spans="1:4" ht="31.5">
      <c r="A3449" s="216">
        <v>10851</v>
      </c>
      <c r="B3449" s="222" t="s">
        <v>21135</v>
      </c>
      <c r="C3449" s="216" t="s">
        <v>17678</v>
      </c>
      <c r="D3449" s="443">
        <v>68.209999999999994</v>
      </c>
    </row>
    <row r="3450" spans="1:4" ht="31.5">
      <c r="A3450" s="216">
        <v>39515</v>
      </c>
      <c r="B3450" s="222" t="s">
        <v>21136</v>
      </c>
      <c r="C3450" s="216" t="s">
        <v>17678</v>
      </c>
      <c r="D3450" s="443">
        <v>43.22</v>
      </c>
    </row>
    <row r="3451" spans="1:4" ht="31.5">
      <c r="A3451" s="216">
        <v>39516</v>
      </c>
      <c r="B3451" s="222" t="s">
        <v>21137</v>
      </c>
      <c r="C3451" s="216" t="s">
        <v>17678</v>
      </c>
      <c r="D3451" s="443">
        <v>36.44</v>
      </c>
    </row>
    <row r="3452" spans="1:4" ht="31.5">
      <c r="A3452" s="216">
        <v>39514</v>
      </c>
      <c r="B3452" s="222" t="s">
        <v>21138</v>
      </c>
      <c r="C3452" s="216" t="s">
        <v>17678</v>
      </c>
      <c r="D3452" s="443">
        <v>22.67</v>
      </c>
    </row>
    <row r="3453" spans="1:4">
      <c r="A3453" s="216">
        <v>4812</v>
      </c>
      <c r="B3453" s="222" t="s">
        <v>21139</v>
      </c>
      <c r="C3453" s="216" t="s">
        <v>18087</v>
      </c>
      <c r="D3453" s="443">
        <v>10.96</v>
      </c>
    </row>
    <row r="3454" spans="1:4">
      <c r="A3454" s="216">
        <v>10849</v>
      </c>
      <c r="B3454" s="222" t="s">
        <v>21140</v>
      </c>
      <c r="C3454" s="216" t="s">
        <v>17678</v>
      </c>
      <c r="D3454" s="443">
        <v>1320.01</v>
      </c>
    </row>
    <row r="3455" spans="1:4">
      <c r="A3455" s="216">
        <v>10848</v>
      </c>
      <c r="B3455" s="222" t="s">
        <v>21141</v>
      </c>
      <c r="C3455" s="216" t="s">
        <v>17678</v>
      </c>
      <c r="D3455" s="443">
        <v>829.13</v>
      </c>
    </row>
    <row r="3456" spans="1:4" ht="31.5">
      <c r="A3456" s="216">
        <v>4813</v>
      </c>
      <c r="B3456" s="222" t="s">
        <v>21142</v>
      </c>
      <c r="C3456" s="216" t="s">
        <v>18087</v>
      </c>
      <c r="D3456" s="443">
        <v>275</v>
      </c>
    </row>
    <row r="3457" spans="1:4" ht="31.5">
      <c r="A3457" s="216">
        <v>37560</v>
      </c>
      <c r="B3457" s="222" t="s">
        <v>21143</v>
      </c>
      <c r="C3457" s="216" t="s">
        <v>17678</v>
      </c>
      <c r="D3457" s="443">
        <v>19.68</v>
      </c>
    </row>
    <row r="3458" spans="1:4" ht="31.5">
      <c r="A3458" s="216">
        <v>37557</v>
      </c>
      <c r="B3458" s="222" t="s">
        <v>21144</v>
      </c>
      <c r="C3458" s="216" t="s">
        <v>17678</v>
      </c>
      <c r="D3458" s="443">
        <v>5.97</v>
      </c>
    </row>
    <row r="3459" spans="1:4" ht="31.5">
      <c r="A3459" s="216">
        <v>37556</v>
      </c>
      <c r="B3459" s="222" t="s">
        <v>21145</v>
      </c>
      <c r="C3459" s="216" t="s">
        <v>17678</v>
      </c>
      <c r="D3459" s="443">
        <v>11.56</v>
      </c>
    </row>
    <row r="3460" spans="1:4" ht="31.5">
      <c r="A3460" s="216">
        <v>37559</v>
      </c>
      <c r="B3460" s="222" t="s">
        <v>21146</v>
      </c>
      <c r="C3460" s="216" t="s">
        <v>17678</v>
      </c>
      <c r="D3460" s="443">
        <v>14.18</v>
      </c>
    </row>
    <row r="3461" spans="1:4" ht="31.5">
      <c r="A3461" s="216">
        <v>37539</v>
      </c>
      <c r="B3461" s="222" t="s">
        <v>21147</v>
      </c>
      <c r="C3461" s="216" t="s">
        <v>17678</v>
      </c>
      <c r="D3461" s="443">
        <v>10</v>
      </c>
    </row>
    <row r="3462" spans="1:4" ht="31.5">
      <c r="A3462" s="216">
        <v>37558</v>
      </c>
      <c r="B3462" s="222" t="s">
        <v>21148</v>
      </c>
      <c r="C3462" s="216" t="s">
        <v>17678</v>
      </c>
      <c r="D3462" s="443">
        <v>18.64</v>
      </c>
    </row>
    <row r="3463" spans="1:4">
      <c r="A3463" s="216">
        <v>34723</v>
      </c>
      <c r="B3463" s="222" t="s">
        <v>21149</v>
      </c>
      <c r="C3463" s="216" t="s">
        <v>18087</v>
      </c>
      <c r="D3463" s="443">
        <v>635.25</v>
      </c>
    </row>
    <row r="3464" spans="1:4">
      <c r="A3464" s="216">
        <v>34721</v>
      </c>
      <c r="B3464" s="222" t="s">
        <v>21150</v>
      </c>
      <c r="C3464" s="216" t="s">
        <v>18087</v>
      </c>
      <c r="D3464" s="443">
        <v>792</v>
      </c>
    </row>
    <row r="3465" spans="1:4">
      <c r="A3465" s="216">
        <v>4309</v>
      </c>
      <c r="B3465" s="222" t="s">
        <v>21151</v>
      </c>
      <c r="C3465" s="216" t="s">
        <v>17678</v>
      </c>
      <c r="D3465" s="443">
        <v>5.75</v>
      </c>
    </row>
    <row r="3466" spans="1:4">
      <c r="A3466" s="216">
        <v>4307</v>
      </c>
      <c r="B3466" s="222" t="s">
        <v>21152</v>
      </c>
      <c r="C3466" s="216" t="s">
        <v>17678</v>
      </c>
      <c r="D3466" s="443">
        <v>9.83</v>
      </c>
    </row>
    <row r="3467" spans="1:4">
      <c r="A3467" s="216">
        <v>10850</v>
      </c>
      <c r="B3467" s="222" t="s">
        <v>21153</v>
      </c>
      <c r="C3467" s="216" t="s">
        <v>17678</v>
      </c>
      <c r="D3467" s="443">
        <v>41.25</v>
      </c>
    </row>
    <row r="3468" spans="1:4" ht="31.5">
      <c r="A3468" s="216">
        <v>42438</v>
      </c>
      <c r="B3468" s="222" t="s">
        <v>21154</v>
      </c>
      <c r="C3468" s="216" t="s">
        <v>17678</v>
      </c>
      <c r="D3468" s="443">
        <v>2072.34</v>
      </c>
    </row>
    <row r="3469" spans="1:4">
      <c r="A3469" s="216">
        <v>4792</v>
      </c>
      <c r="B3469" s="222" t="s">
        <v>21155</v>
      </c>
      <c r="C3469" s="216" t="s">
        <v>18087</v>
      </c>
      <c r="D3469" s="443">
        <v>190.77</v>
      </c>
    </row>
    <row r="3470" spans="1:4">
      <c r="A3470" s="216">
        <v>4790</v>
      </c>
      <c r="B3470" s="222" t="s">
        <v>21156</v>
      </c>
      <c r="C3470" s="216" t="s">
        <v>18087</v>
      </c>
      <c r="D3470" s="443">
        <v>114.7</v>
      </c>
    </row>
    <row r="3471" spans="1:4" ht="31.5">
      <c r="A3471" s="216">
        <v>40671</v>
      </c>
      <c r="B3471" s="222" t="s">
        <v>21157</v>
      </c>
      <c r="C3471" s="216" t="s">
        <v>18087</v>
      </c>
      <c r="D3471" s="443">
        <v>60.52</v>
      </c>
    </row>
    <row r="3472" spans="1:4">
      <c r="A3472" s="216">
        <v>7552</v>
      </c>
      <c r="B3472" s="222" t="s">
        <v>21158</v>
      </c>
      <c r="C3472" s="216" t="s">
        <v>17678</v>
      </c>
      <c r="D3472" s="443">
        <v>30.47</v>
      </c>
    </row>
    <row r="3473" spans="1:4">
      <c r="A3473" s="216">
        <v>4893</v>
      </c>
      <c r="B3473" s="222" t="s">
        <v>21159</v>
      </c>
      <c r="C3473" s="216" t="s">
        <v>17678</v>
      </c>
      <c r="D3473" s="443">
        <v>14.78</v>
      </c>
    </row>
    <row r="3474" spans="1:4">
      <c r="A3474" s="216">
        <v>4894</v>
      </c>
      <c r="B3474" s="222" t="s">
        <v>21160</v>
      </c>
      <c r="C3474" s="216" t="s">
        <v>17678</v>
      </c>
      <c r="D3474" s="443">
        <v>12.68</v>
      </c>
    </row>
    <row r="3475" spans="1:4">
      <c r="A3475" s="216">
        <v>4888</v>
      </c>
      <c r="B3475" s="222" t="s">
        <v>21161</v>
      </c>
      <c r="C3475" s="216" t="s">
        <v>17678</v>
      </c>
      <c r="D3475" s="443">
        <v>4.32</v>
      </c>
    </row>
    <row r="3476" spans="1:4">
      <c r="A3476" s="216">
        <v>4890</v>
      </c>
      <c r="B3476" s="222" t="s">
        <v>21162</v>
      </c>
      <c r="C3476" s="216" t="s">
        <v>17678</v>
      </c>
      <c r="D3476" s="443">
        <v>8.11</v>
      </c>
    </row>
    <row r="3477" spans="1:4">
      <c r="A3477" s="216">
        <v>12411</v>
      </c>
      <c r="B3477" s="222" t="s">
        <v>21163</v>
      </c>
      <c r="C3477" s="216" t="s">
        <v>17678</v>
      </c>
      <c r="D3477" s="443">
        <v>43.71</v>
      </c>
    </row>
    <row r="3478" spans="1:4">
      <c r="A3478" s="216">
        <v>4891</v>
      </c>
      <c r="B3478" s="222" t="s">
        <v>21164</v>
      </c>
      <c r="C3478" s="216" t="s">
        <v>17678</v>
      </c>
      <c r="D3478" s="443">
        <v>21.85</v>
      </c>
    </row>
    <row r="3479" spans="1:4">
      <c r="A3479" s="216">
        <v>4889</v>
      </c>
      <c r="B3479" s="222" t="s">
        <v>21165</v>
      </c>
      <c r="C3479" s="216" t="s">
        <v>17678</v>
      </c>
      <c r="D3479" s="443">
        <v>5.84</v>
      </c>
    </row>
    <row r="3480" spans="1:4">
      <c r="A3480" s="216">
        <v>4892</v>
      </c>
      <c r="B3480" s="222" t="s">
        <v>21166</v>
      </c>
      <c r="C3480" s="216" t="s">
        <v>17678</v>
      </c>
      <c r="D3480" s="443">
        <v>61.2</v>
      </c>
    </row>
    <row r="3481" spans="1:4">
      <c r="A3481" s="216">
        <v>12412</v>
      </c>
      <c r="B3481" s="222" t="s">
        <v>21167</v>
      </c>
      <c r="C3481" s="216" t="s">
        <v>17678</v>
      </c>
      <c r="D3481" s="443">
        <v>113.74</v>
      </c>
    </row>
    <row r="3482" spans="1:4">
      <c r="A3482" s="216">
        <v>4907</v>
      </c>
      <c r="B3482" s="222" t="s">
        <v>21168</v>
      </c>
      <c r="C3482" s="216" t="s">
        <v>17678</v>
      </c>
      <c r="D3482" s="443">
        <v>21.74</v>
      </c>
    </row>
    <row r="3483" spans="1:4">
      <c r="A3483" s="216">
        <v>4902</v>
      </c>
      <c r="B3483" s="222" t="s">
        <v>21169</v>
      </c>
      <c r="C3483" s="216" t="s">
        <v>17678</v>
      </c>
      <c r="D3483" s="443">
        <v>56.4</v>
      </c>
    </row>
    <row r="3484" spans="1:4">
      <c r="A3484" s="216">
        <v>11096</v>
      </c>
      <c r="B3484" s="222" t="s">
        <v>21170</v>
      </c>
      <c r="C3484" s="216" t="s">
        <v>17726</v>
      </c>
      <c r="D3484" s="443">
        <v>0.83</v>
      </c>
    </row>
    <row r="3485" spans="1:4">
      <c r="A3485" s="216">
        <v>4741</v>
      </c>
      <c r="B3485" s="222" t="s">
        <v>21171</v>
      </c>
      <c r="C3485" s="216" t="s">
        <v>17824</v>
      </c>
      <c r="D3485" s="443">
        <v>57.63</v>
      </c>
    </row>
    <row r="3486" spans="1:4">
      <c r="A3486" s="216">
        <v>4752</v>
      </c>
      <c r="B3486" s="222" t="s">
        <v>21172</v>
      </c>
      <c r="C3486" s="216" t="s">
        <v>17826</v>
      </c>
      <c r="D3486" s="443">
        <v>17.88</v>
      </c>
    </row>
    <row r="3487" spans="1:4">
      <c r="A3487" s="216">
        <v>41091</v>
      </c>
      <c r="B3487" s="222" t="s">
        <v>21173</v>
      </c>
      <c r="C3487" s="216" t="s">
        <v>17828</v>
      </c>
      <c r="D3487" s="443">
        <v>3132.43</v>
      </c>
    </row>
    <row r="3488" spans="1:4" ht="31.5">
      <c r="A3488" s="216">
        <v>13954</v>
      </c>
      <c r="B3488" s="222" t="s">
        <v>21174</v>
      </c>
      <c r="C3488" s="216" t="s">
        <v>17678</v>
      </c>
      <c r="D3488" s="443">
        <v>7693.61</v>
      </c>
    </row>
    <row r="3489" spans="1:4">
      <c r="A3489" s="216">
        <v>3411</v>
      </c>
      <c r="B3489" s="222" t="s">
        <v>21175</v>
      </c>
      <c r="C3489" s="216" t="s">
        <v>17726</v>
      </c>
      <c r="D3489" s="443">
        <v>83.32</v>
      </c>
    </row>
    <row r="3490" spans="1:4">
      <c r="A3490" s="216">
        <v>39995</v>
      </c>
      <c r="B3490" s="222" t="s">
        <v>21176</v>
      </c>
      <c r="C3490" s="216" t="s">
        <v>17824</v>
      </c>
      <c r="D3490" s="443">
        <v>641.02</v>
      </c>
    </row>
    <row r="3491" spans="1:4">
      <c r="A3491" s="216">
        <v>11615</v>
      </c>
      <c r="B3491" s="222" t="s">
        <v>21177</v>
      </c>
      <c r="C3491" s="216" t="s">
        <v>18087</v>
      </c>
      <c r="D3491" s="443">
        <v>5.43</v>
      </c>
    </row>
    <row r="3492" spans="1:4">
      <c r="A3492" s="216">
        <v>3408</v>
      </c>
      <c r="B3492" s="222" t="s">
        <v>21178</v>
      </c>
      <c r="C3492" s="216" t="s">
        <v>18087</v>
      </c>
      <c r="D3492" s="443">
        <v>14.44</v>
      </c>
    </row>
    <row r="3493" spans="1:4">
      <c r="A3493" s="216">
        <v>3409</v>
      </c>
      <c r="B3493" s="222" t="s">
        <v>21179</v>
      </c>
      <c r="C3493" s="216" t="s">
        <v>18087</v>
      </c>
      <c r="D3493" s="443">
        <v>36.1</v>
      </c>
    </row>
    <row r="3494" spans="1:4">
      <c r="A3494" s="216">
        <v>11427</v>
      </c>
      <c r="B3494" s="222" t="s">
        <v>21180</v>
      </c>
      <c r="C3494" s="216" t="s">
        <v>17726</v>
      </c>
      <c r="D3494" s="443">
        <v>110.86</v>
      </c>
    </row>
    <row r="3495" spans="1:4">
      <c r="A3495" s="216">
        <v>4491</v>
      </c>
      <c r="B3495" s="222" t="s">
        <v>21181</v>
      </c>
      <c r="C3495" s="216" t="s">
        <v>17722</v>
      </c>
      <c r="D3495" s="443">
        <v>6.78</v>
      </c>
    </row>
    <row r="3496" spans="1:4" ht="31.5">
      <c r="A3496" s="216">
        <v>2745</v>
      </c>
      <c r="B3496" s="222" t="s">
        <v>21182</v>
      </c>
      <c r="C3496" s="216" t="s">
        <v>17722</v>
      </c>
      <c r="D3496" s="443">
        <v>3.68</v>
      </c>
    </row>
    <row r="3497" spans="1:4" ht="31.5">
      <c r="A3497" s="216">
        <v>14439</v>
      </c>
      <c r="B3497" s="222" t="s">
        <v>21183</v>
      </c>
      <c r="C3497" s="216" t="s">
        <v>17722</v>
      </c>
      <c r="D3497" s="443">
        <v>4.5599999999999996</v>
      </c>
    </row>
    <row r="3498" spans="1:4">
      <c r="A3498" s="216">
        <v>44496</v>
      </c>
      <c r="B3498" s="222" t="s">
        <v>21184</v>
      </c>
      <c r="C3498" s="216" t="s">
        <v>17678</v>
      </c>
      <c r="D3498" s="443">
        <v>189.63</v>
      </c>
    </row>
    <row r="3499" spans="1:4">
      <c r="A3499" s="216">
        <v>12362</v>
      </c>
      <c r="B3499" s="222" t="s">
        <v>21185</v>
      </c>
      <c r="C3499" s="216" t="s">
        <v>17678</v>
      </c>
      <c r="D3499" s="443">
        <v>7.78</v>
      </c>
    </row>
    <row r="3500" spans="1:4">
      <c r="A3500" s="216">
        <v>421</v>
      </c>
      <c r="B3500" s="222" t="s">
        <v>21186</v>
      </c>
      <c r="C3500" s="216" t="s">
        <v>17678</v>
      </c>
      <c r="D3500" s="443">
        <v>23.07</v>
      </c>
    </row>
    <row r="3501" spans="1:4">
      <c r="A3501" s="216">
        <v>14148</v>
      </c>
      <c r="B3501" s="222" t="s">
        <v>21187</v>
      </c>
      <c r="C3501" s="216" t="s">
        <v>17678</v>
      </c>
      <c r="D3501" s="443">
        <v>0.91</v>
      </c>
    </row>
    <row r="3502" spans="1:4">
      <c r="A3502" s="216">
        <v>4341</v>
      </c>
      <c r="B3502" s="222" t="s">
        <v>21188</v>
      </c>
      <c r="C3502" s="216" t="s">
        <v>17678</v>
      </c>
      <c r="D3502" s="443">
        <v>0.93</v>
      </c>
    </row>
    <row r="3503" spans="1:4">
      <c r="A3503" s="216">
        <v>4337</v>
      </c>
      <c r="B3503" s="222" t="s">
        <v>21189</v>
      </c>
      <c r="C3503" s="216" t="s">
        <v>17678</v>
      </c>
      <c r="D3503" s="443">
        <v>2.36</v>
      </c>
    </row>
    <row r="3504" spans="1:4">
      <c r="A3504" s="216">
        <v>4339</v>
      </c>
      <c r="B3504" s="222" t="s">
        <v>21190</v>
      </c>
      <c r="C3504" s="216" t="s">
        <v>17678</v>
      </c>
      <c r="D3504" s="443">
        <v>0.5</v>
      </c>
    </row>
    <row r="3505" spans="1:4">
      <c r="A3505" s="216">
        <v>39997</v>
      </c>
      <c r="B3505" s="222" t="s">
        <v>21191</v>
      </c>
      <c r="C3505" s="216" t="s">
        <v>17678</v>
      </c>
      <c r="D3505" s="443">
        <v>0.28000000000000003</v>
      </c>
    </row>
    <row r="3506" spans="1:4">
      <c r="A3506" s="216">
        <v>11971</v>
      </c>
      <c r="B3506" s="222" t="s">
        <v>21192</v>
      </c>
      <c r="C3506" s="216" t="s">
        <v>17678</v>
      </c>
      <c r="D3506" s="443">
        <v>3.91</v>
      </c>
    </row>
    <row r="3507" spans="1:4">
      <c r="A3507" s="216">
        <v>4342</v>
      </c>
      <c r="B3507" s="222" t="s">
        <v>21193</v>
      </c>
      <c r="C3507" s="216" t="s">
        <v>17678</v>
      </c>
      <c r="D3507" s="443">
        <v>0.2</v>
      </c>
    </row>
    <row r="3508" spans="1:4">
      <c r="A3508" s="216">
        <v>4330</v>
      </c>
      <c r="B3508" s="222" t="s">
        <v>21194</v>
      </c>
      <c r="C3508" s="216" t="s">
        <v>17678</v>
      </c>
      <c r="D3508" s="443">
        <v>0.13</v>
      </c>
    </row>
    <row r="3509" spans="1:4">
      <c r="A3509" s="216">
        <v>4340</v>
      </c>
      <c r="B3509" s="222" t="s">
        <v>21195</v>
      </c>
      <c r="C3509" s="216" t="s">
        <v>17678</v>
      </c>
      <c r="D3509" s="443">
        <v>1.0900000000000001</v>
      </c>
    </row>
    <row r="3510" spans="1:4">
      <c r="A3510" s="216">
        <v>5088</v>
      </c>
      <c r="B3510" s="222" t="s">
        <v>21196</v>
      </c>
      <c r="C3510" s="216" t="s">
        <v>17678</v>
      </c>
      <c r="D3510" s="443">
        <v>6.7</v>
      </c>
    </row>
    <row r="3511" spans="1:4" ht="31.5">
      <c r="A3511" s="216">
        <v>11154</v>
      </c>
      <c r="B3511" s="222" t="s">
        <v>21197</v>
      </c>
      <c r="C3511" s="216" t="s">
        <v>17678</v>
      </c>
      <c r="D3511" s="443">
        <v>3458.14</v>
      </c>
    </row>
    <row r="3512" spans="1:4" ht="47.25">
      <c r="A3512" s="216">
        <v>4989</v>
      </c>
      <c r="B3512" s="222" t="s">
        <v>21198</v>
      </c>
      <c r="C3512" s="216" t="s">
        <v>17678</v>
      </c>
      <c r="D3512" s="443">
        <v>318.89999999999998</v>
      </c>
    </row>
    <row r="3513" spans="1:4" ht="31.5">
      <c r="A3513" s="216">
        <v>4982</v>
      </c>
      <c r="B3513" s="222" t="s">
        <v>21199</v>
      </c>
      <c r="C3513" s="216" t="s">
        <v>17678</v>
      </c>
      <c r="D3513" s="443">
        <v>299.11</v>
      </c>
    </row>
    <row r="3514" spans="1:4" ht="47.25">
      <c r="A3514" s="216">
        <v>4962</v>
      </c>
      <c r="B3514" s="222" t="s">
        <v>21200</v>
      </c>
      <c r="C3514" s="216" t="s">
        <v>17678</v>
      </c>
      <c r="D3514" s="443">
        <v>235.89</v>
      </c>
    </row>
    <row r="3515" spans="1:4" ht="47.25">
      <c r="A3515" s="216">
        <v>4981</v>
      </c>
      <c r="B3515" s="222" t="s">
        <v>21201</v>
      </c>
      <c r="C3515" s="216" t="s">
        <v>17678</v>
      </c>
      <c r="D3515" s="443">
        <v>210</v>
      </c>
    </row>
    <row r="3516" spans="1:4" ht="47.25">
      <c r="A3516" s="216">
        <v>4964</v>
      </c>
      <c r="B3516" s="222" t="s">
        <v>21202</v>
      </c>
      <c r="C3516" s="216" t="s">
        <v>17678</v>
      </c>
      <c r="D3516" s="443">
        <v>266.41000000000003</v>
      </c>
    </row>
    <row r="3517" spans="1:4" ht="47.25">
      <c r="A3517" s="216">
        <v>4992</v>
      </c>
      <c r="B3517" s="222" t="s">
        <v>21203</v>
      </c>
      <c r="C3517" s="216" t="s">
        <v>17678</v>
      </c>
      <c r="D3517" s="443">
        <v>260.23</v>
      </c>
    </row>
    <row r="3518" spans="1:4" ht="47.25">
      <c r="A3518" s="216">
        <v>4987</v>
      </c>
      <c r="B3518" s="222" t="s">
        <v>21204</v>
      </c>
      <c r="C3518" s="216" t="s">
        <v>17678</v>
      </c>
      <c r="D3518" s="443">
        <v>297.73</v>
      </c>
    </row>
    <row r="3519" spans="1:4" ht="31.5">
      <c r="A3519" s="216">
        <v>4930</v>
      </c>
      <c r="B3519" s="222" t="s">
        <v>21205</v>
      </c>
      <c r="C3519" s="216" t="s">
        <v>18087</v>
      </c>
      <c r="D3519" s="443">
        <v>1464.75</v>
      </c>
    </row>
    <row r="3520" spans="1:4" ht="31.5">
      <c r="A3520" s="216">
        <v>39021</v>
      </c>
      <c r="B3520" s="222" t="s">
        <v>21206</v>
      </c>
      <c r="C3520" s="216" t="s">
        <v>17678</v>
      </c>
      <c r="D3520" s="443">
        <v>1557.4</v>
      </c>
    </row>
    <row r="3521" spans="1:4" ht="31.5">
      <c r="A3521" s="216">
        <v>39022</v>
      </c>
      <c r="B3521" s="222" t="s">
        <v>21207</v>
      </c>
      <c r="C3521" s="216" t="s">
        <v>17678</v>
      </c>
      <c r="D3521" s="443">
        <v>1395</v>
      </c>
    </row>
    <row r="3522" spans="1:4" ht="31.5">
      <c r="A3522" s="216">
        <v>39024</v>
      </c>
      <c r="B3522" s="222" t="s">
        <v>21208</v>
      </c>
      <c r="C3522" s="216" t="s">
        <v>17678</v>
      </c>
      <c r="D3522" s="443">
        <v>1318.66</v>
      </c>
    </row>
    <row r="3523" spans="1:4" ht="31.5">
      <c r="A3523" s="216">
        <v>4914</v>
      </c>
      <c r="B3523" s="222" t="s">
        <v>21209</v>
      </c>
      <c r="C3523" s="216" t="s">
        <v>18087</v>
      </c>
      <c r="D3523" s="443">
        <v>1069.2</v>
      </c>
    </row>
    <row r="3524" spans="1:4" ht="31.5">
      <c r="A3524" s="216">
        <v>4917</v>
      </c>
      <c r="B3524" s="222" t="s">
        <v>21210</v>
      </c>
      <c r="C3524" s="216" t="s">
        <v>18087</v>
      </c>
      <c r="D3524" s="443">
        <v>738.4</v>
      </c>
    </row>
    <row r="3525" spans="1:4" ht="31.5">
      <c r="A3525" s="216">
        <v>39025</v>
      </c>
      <c r="B3525" s="222" t="s">
        <v>21211</v>
      </c>
      <c r="C3525" s="216" t="s">
        <v>17678</v>
      </c>
      <c r="D3525" s="443">
        <v>1352.15</v>
      </c>
    </row>
    <row r="3526" spans="1:4" ht="31.5">
      <c r="A3526" s="216">
        <v>4922</v>
      </c>
      <c r="B3526" s="222" t="s">
        <v>21212</v>
      </c>
      <c r="C3526" s="216" t="s">
        <v>18087</v>
      </c>
      <c r="D3526" s="443">
        <v>684.93</v>
      </c>
    </row>
    <row r="3527" spans="1:4" ht="31.5">
      <c r="A3527" s="216">
        <v>4911</v>
      </c>
      <c r="B3527" s="222" t="s">
        <v>21213</v>
      </c>
      <c r="C3527" s="216" t="s">
        <v>18087</v>
      </c>
      <c r="D3527" s="443">
        <v>473.2</v>
      </c>
    </row>
    <row r="3528" spans="1:4" ht="31.5">
      <c r="A3528" s="216">
        <v>37518</v>
      </c>
      <c r="B3528" s="222" t="s">
        <v>21214</v>
      </c>
      <c r="C3528" s="216" t="s">
        <v>18087</v>
      </c>
      <c r="D3528" s="443">
        <v>768.95</v>
      </c>
    </row>
    <row r="3529" spans="1:4" ht="31.5">
      <c r="A3529" s="216">
        <v>4910</v>
      </c>
      <c r="B3529" s="222" t="s">
        <v>21215</v>
      </c>
      <c r="C3529" s="216" t="s">
        <v>18087</v>
      </c>
      <c r="D3529" s="443">
        <v>648.23</v>
      </c>
    </row>
    <row r="3530" spans="1:4" ht="31.5">
      <c r="A3530" s="216">
        <v>4943</v>
      </c>
      <c r="B3530" s="222" t="s">
        <v>21216</v>
      </c>
      <c r="C3530" s="216" t="s">
        <v>18087</v>
      </c>
      <c r="D3530" s="443">
        <v>965.71</v>
      </c>
    </row>
    <row r="3531" spans="1:4" ht="31.5">
      <c r="A3531" s="216">
        <v>5002</v>
      </c>
      <c r="B3531" s="222" t="s">
        <v>21217</v>
      </c>
      <c r="C3531" s="216" t="s">
        <v>18087</v>
      </c>
      <c r="D3531" s="443">
        <v>558.79999999999995</v>
      </c>
    </row>
    <row r="3532" spans="1:4">
      <c r="A3532" s="216">
        <v>4977</v>
      </c>
      <c r="B3532" s="222" t="s">
        <v>21218</v>
      </c>
      <c r="C3532" s="216" t="s">
        <v>18087</v>
      </c>
      <c r="D3532" s="443">
        <v>377.21</v>
      </c>
    </row>
    <row r="3533" spans="1:4" ht="31.5">
      <c r="A3533" s="216">
        <v>5028</v>
      </c>
      <c r="B3533" s="222" t="s">
        <v>21219</v>
      </c>
      <c r="C3533" s="216" t="s">
        <v>18087</v>
      </c>
      <c r="D3533" s="443">
        <v>922.97</v>
      </c>
    </row>
    <row r="3534" spans="1:4">
      <c r="A3534" s="216">
        <v>4998</v>
      </c>
      <c r="B3534" s="222" t="s">
        <v>21220</v>
      </c>
      <c r="C3534" s="216" t="s">
        <v>18087</v>
      </c>
      <c r="D3534" s="443">
        <v>766.55</v>
      </c>
    </row>
    <row r="3535" spans="1:4">
      <c r="A3535" s="216">
        <v>4969</v>
      </c>
      <c r="B3535" s="222" t="s">
        <v>21221</v>
      </c>
      <c r="C3535" s="216" t="s">
        <v>18087</v>
      </c>
      <c r="D3535" s="443">
        <v>533.49</v>
      </c>
    </row>
    <row r="3536" spans="1:4" ht="31.5">
      <c r="A3536" s="216">
        <v>11364</v>
      </c>
      <c r="B3536" s="222" t="s">
        <v>21222</v>
      </c>
      <c r="C3536" s="216" t="s">
        <v>17678</v>
      </c>
      <c r="D3536" s="443">
        <v>180.41</v>
      </c>
    </row>
    <row r="3537" spans="1:4" ht="31.5">
      <c r="A3537" s="216">
        <v>11365</v>
      </c>
      <c r="B3537" s="222" t="s">
        <v>21223</v>
      </c>
      <c r="C3537" s="216" t="s">
        <v>17678</v>
      </c>
      <c r="D3537" s="443">
        <v>187.22</v>
      </c>
    </row>
    <row r="3538" spans="1:4" ht="31.5">
      <c r="A3538" s="216">
        <v>11366</v>
      </c>
      <c r="B3538" s="222" t="s">
        <v>21224</v>
      </c>
      <c r="C3538" s="216" t="s">
        <v>17678</v>
      </c>
      <c r="D3538" s="443">
        <v>199.01</v>
      </c>
    </row>
    <row r="3539" spans="1:4" ht="31.5">
      <c r="A3539" s="216">
        <v>43777</v>
      </c>
      <c r="B3539" s="222" t="s">
        <v>21225</v>
      </c>
      <c r="C3539" s="216" t="s">
        <v>17678</v>
      </c>
      <c r="D3539" s="443">
        <v>233.77</v>
      </c>
    </row>
    <row r="3540" spans="1:4" ht="31.5">
      <c r="A3540" s="216">
        <v>20322</v>
      </c>
      <c r="B3540" s="222" t="s">
        <v>21226</v>
      </c>
      <c r="C3540" s="216" t="s">
        <v>17678</v>
      </c>
      <c r="D3540" s="443">
        <v>217.01</v>
      </c>
    </row>
    <row r="3541" spans="1:4" ht="31.5">
      <c r="A3541" s="216">
        <v>10553</v>
      </c>
      <c r="B3541" s="222" t="s">
        <v>21227</v>
      </c>
      <c r="C3541" s="216" t="s">
        <v>17678</v>
      </c>
      <c r="D3541" s="443">
        <v>197.04</v>
      </c>
    </row>
    <row r="3542" spans="1:4" ht="31.5">
      <c r="A3542" s="216">
        <v>5020</v>
      </c>
      <c r="B3542" s="222" t="s">
        <v>21228</v>
      </c>
      <c r="C3542" s="216" t="s">
        <v>17678</v>
      </c>
      <c r="D3542" s="443">
        <v>207.75</v>
      </c>
    </row>
    <row r="3543" spans="1:4" ht="31.5">
      <c r="A3543" s="216">
        <v>10554</v>
      </c>
      <c r="B3543" s="222" t="s">
        <v>21229</v>
      </c>
      <c r="C3543" s="216" t="s">
        <v>17678</v>
      </c>
      <c r="D3543" s="443">
        <v>198.79</v>
      </c>
    </row>
    <row r="3544" spans="1:4" ht="31.5">
      <c r="A3544" s="216">
        <v>10555</v>
      </c>
      <c r="B3544" s="222" t="s">
        <v>21230</v>
      </c>
      <c r="C3544" s="216" t="s">
        <v>17678</v>
      </c>
      <c r="D3544" s="443">
        <v>216.79</v>
      </c>
    </row>
    <row r="3545" spans="1:4" ht="31.5">
      <c r="A3545" s="216">
        <v>10556</v>
      </c>
      <c r="B3545" s="222" t="s">
        <v>21231</v>
      </c>
      <c r="C3545" s="216" t="s">
        <v>17678</v>
      </c>
      <c r="D3545" s="443">
        <v>288.24</v>
      </c>
    </row>
    <row r="3546" spans="1:4" ht="31.5">
      <c r="A3546" s="216">
        <v>39502</v>
      </c>
      <c r="B3546" s="222" t="s">
        <v>21232</v>
      </c>
      <c r="C3546" s="216" t="s">
        <v>17678</v>
      </c>
      <c r="D3546" s="443">
        <v>404.76</v>
      </c>
    </row>
    <row r="3547" spans="1:4" ht="31.5">
      <c r="A3547" s="216">
        <v>39504</v>
      </c>
      <c r="B3547" s="222" t="s">
        <v>21233</v>
      </c>
      <c r="C3547" s="216" t="s">
        <v>17678</v>
      </c>
      <c r="D3547" s="443">
        <v>447.59</v>
      </c>
    </row>
    <row r="3548" spans="1:4" ht="31.5">
      <c r="A3548" s="216">
        <v>39503</v>
      </c>
      <c r="B3548" s="222" t="s">
        <v>21234</v>
      </c>
      <c r="C3548" s="216" t="s">
        <v>17678</v>
      </c>
      <c r="D3548" s="443">
        <v>471.07</v>
      </c>
    </row>
    <row r="3549" spans="1:4" ht="31.5">
      <c r="A3549" s="216">
        <v>39505</v>
      </c>
      <c r="B3549" s="222" t="s">
        <v>21235</v>
      </c>
      <c r="C3549" s="216" t="s">
        <v>17678</v>
      </c>
      <c r="D3549" s="443">
        <v>507.65</v>
      </c>
    </row>
    <row r="3550" spans="1:4">
      <c r="A3550" s="216">
        <v>44471</v>
      </c>
      <c r="B3550" s="222" t="s">
        <v>21236</v>
      </c>
      <c r="C3550" s="216" t="s">
        <v>17678</v>
      </c>
      <c r="D3550" s="443">
        <v>606.05999999999995</v>
      </c>
    </row>
    <row r="3551" spans="1:4" ht="31.5">
      <c r="A3551" s="216">
        <v>4944</v>
      </c>
      <c r="B3551" s="222" t="s">
        <v>21237</v>
      </c>
      <c r="C3551" s="216" t="s">
        <v>18087</v>
      </c>
      <c r="D3551" s="443">
        <v>1443.74</v>
      </c>
    </row>
    <row r="3552" spans="1:4">
      <c r="A3552" s="216">
        <v>21102</v>
      </c>
      <c r="B3552" s="222" t="s">
        <v>21238</v>
      </c>
      <c r="C3552" s="216" t="s">
        <v>17678</v>
      </c>
      <c r="D3552" s="443">
        <v>78.040000000000006</v>
      </c>
    </row>
    <row r="3553" spans="1:4">
      <c r="A3553" s="216">
        <v>21101</v>
      </c>
      <c r="B3553" s="222" t="s">
        <v>21239</v>
      </c>
      <c r="C3553" s="216" t="s">
        <v>17678</v>
      </c>
      <c r="D3553" s="443">
        <v>50.11</v>
      </c>
    </row>
    <row r="3554" spans="1:4">
      <c r="A3554" s="216">
        <v>34713</v>
      </c>
      <c r="B3554" s="222" t="s">
        <v>21240</v>
      </c>
      <c r="C3554" s="216" t="s">
        <v>18087</v>
      </c>
      <c r="D3554" s="443">
        <v>445.55</v>
      </c>
    </row>
    <row r="3555" spans="1:4" ht="31.5">
      <c r="A3555" s="216">
        <v>37563</v>
      </c>
      <c r="B3555" s="222" t="s">
        <v>21241</v>
      </c>
      <c r="C3555" s="216" t="s">
        <v>18087</v>
      </c>
      <c r="D3555" s="443">
        <v>1611.76</v>
      </c>
    </row>
    <row r="3556" spans="1:4" ht="31.5">
      <c r="A3556" s="216">
        <v>4948</v>
      </c>
      <c r="B3556" s="222" t="s">
        <v>21242</v>
      </c>
      <c r="C3556" s="216" t="s">
        <v>18087</v>
      </c>
      <c r="D3556" s="443">
        <v>1402.26</v>
      </c>
    </row>
    <row r="3557" spans="1:4" ht="31.5">
      <c r="A3557" s="216">
        <v>37561</v>
      </c>
      <c r="B3557" s="222" t="s">
        <v>21243</v>
      </c>
      <c r="C3557" s="216" t="s">
        <v>18087</v>
      </c>
      <c r="D3557" s="443">
        <v>1307.81</v>
      </c>
    </row>
    <row r="3558" spans="1:4" ht="31.5">
      <c r="A3558" s="216">
        <v>37562</v>
      </c>
      <c r="B3558" s="222" t="s">
        <v>21244</v>
      </c>
      <c r="C3558" s="216" t="s">
        <v>18087</v>
      </c>
      <c r="D3558" s="443">
        <v>1714.68</v>
      </c>
    </row>
    <row r="3559" spans="1:4" ht="31.5">
      <c r="A3559" s="216">
        <v>14164</v>
      </c>
      <c r="B3559" s="222" t="s">
        <v>21245</v>
      </c>
      <c r="C3559" s="216" t="s">
        <v>17678</v>
      </c>
      <c r="D3559" s="443">
        <v>2044.58</v>
      </c>
    </row>
    <row r="3560" spans="1:4" ht="31.5">
      <c r="A3560" s="216">
        <v>14163</v>
      </c>
      <c r="B3560" s="222" t="s">
        <v>21246</v>
      </c>
      <c r="C3560" s="216" t="s">
        <v>17678</v>
      </c>
      <c r="D3560" s="443">
        <v>2323.8000000000002</v>
      </c>
    </row>
    <row r="3561" spans="1:4" ht="31.5">
      <c r="A3561" s="216">
        <v>5051</v>
      </c>
      <c r="B3561" s="222" t="s">
        <v>21247</v>
      </c>
      <c r="C3561" s="216" t="s">
        <v>17678</v>
      </c>
      <c r="D3561" s="443">
        <v>1976.36</v>
      </c>
    </row>
    <row r="3562" spans="1:4" ht="31.5">
      <c r="A3562" s="216">
        <v>14162</v>
      </c>
      <c r="B3562" s="222" t="s">
        <v>21248</v>
      </c>
      <c r="C3562" s="216" t="s">
        <v>17678</v>
      </c>
      <c r="D3562" s="443">
        <v>1973.49</v>
      </c>
    </row>
    <row r="3563" spans="1:4" ht="31.5">
      <c r="A3563" s="216">
        <v>5052</v>
      </c>
      <c r="B3563" s="222" t="s">
        <v>21249</v>
      </c>
      <c r="C3563" s="216" t="s">
        <v>17678</v>
      </c>
      <c r="D3563" s="443">
        <v>1472.5</v>
      </c>
    </row>
    <row r="3564" spans="1:4">
      <c r="A3564" s="216">
        <v>14166</v>
      </c>
      <c r="B3564" s="222" t="s">
        <v>21250</v>
      </c>
      <c r="C3564" s="216" t="s">
        <v>17678</v>
      </c>
      <c r="D3564" s="443">
        <v>1491.2</v>
      </c>
    </row>
    <row r="3565" spans="1:4">
      <c r="A3565" s="216">
        <v>14165</v>
      </c>
      <c r="B3565" s="222" t="s">
        <v>21251</v>
      </c>
      <c r="C3565" s="216" t="s">
        <v>17678</v>
      </c>
      <c r="D3565" s="443">
        <v>2065.84</v>
      </c>
    </row>
    <row r="3566" spans="1:4">
      <c r="A3566" s="216">
        <v>5050</v>
      </c>
      <c r="B3566" s="222" t="s">
        <v>21252</v>
      </c>
      <c r="C3566" s="216" t="s">
        <v>17678</v>
      </c>
      <c r="D3566" s="443">
        <v>508.45</v>
      </c>
    </row>
    <row r="3567" spans="1:4" ht="31.5">
      <c r="A3567" s="216">
        <v>12366</v>
      </c>
      <c r="B3567" s="222" t="s">
        <v>21253</v>
      </c>
      <c r="C3567" s="216" t="s">
        <v>17678</v>
      </c>
      <c r="D3567" s="443">
        <v>1026.1400000000001</v>
      </c>
    </row>
    <row r="3568" spans="1:4" ht="31.5">
      <c r="A3568" s="216">
        <v>5045</v>
      </c>
      <c r="B3568" s="222" t="s">
        <v>21254</v>
      </c>
      <c r="C3568" s="216" t="s">
        <v>17678</v>
      </c>
      <c r="D3568" s="443">
        <v>1417.55</v>
      </c>
    </row>
    <row r="3569" spans="1:4" ht="31.5">
      <c r="A3569" s="216">
        <v>5035</v>
      </c>
      <c r="B3569" s="222" t="s">
        <v>21255</v>
      </c>
      <c r="C3569" s="216" t="s">
        <v>17678</v>
      </c>
      <c r="D3569" s="443">
        <v>1629.84</v>
      </c>
    </row>
    <row r="3570" spans="1:4">
      <c r="A3570" s="216">
        <v>41180</v>
      </c>
      <c r="B3570" s="222" t="s">
        <v>21256</v>
      </c>
      <c r="C3570" s="216" t="s">
        <v>17678</v>
      </c>
      <c r="D3570" s="443">
        <v>3663.87</v>
      </c>
    </row>
    <row r="3571" spans="1:4">
      <c r="A3571" s="216">
        <v>41181</v>
      </c>
      <c r="B3571" s="222" t="s">
        <v>21257</v>
      </c>
      <c r="C3571" s="216" t="s">
        <v>17678</v>
      </c>
      <c r="D3571" s="443">
        <v>4850.8500000000004</v>
      </c>
    </row>
    <row r="3572" spans="1:4">
      <c r="A3572" s="216">
        <v>41182</v>
      </c>
      <c r="B3572" s="222" t="s">
        <v>21258</v>
      </c>
      <c r="C3572" s="216" t="s">
        <v>17678</v>
      </c>
      <c r="D3572" s="443">
        <v>6958.94</v>
      </c>
    </row>
    <row r="3573" spans="1:4">
      <c r="A3573" s="216">
        <v>41183</v>
      </c>
      <c r="B3573" s="222" t="s">
        <v>21259</v>
      </c>
      <c r="C3573" s="216" t="s">
        <v>17678</v>
      </c>
      <c r="D3573" s="443">
        <v>8688.3799999999992</v>
      </c>
    </row>
    <row r="3574" spans="1:4">
      <c r="A3574" s="216">
        <v>41184</v>
      </c>
      <c r="B3574" s="222" t="s">
        <v>21260</v>
      </c>
      <c r="C3574" s="216" t="s">
        <v>17678</v>
      </c>
      <c r="D3574" s="443">
        <v>13228.59</v>
      </c>
    </row>
    <row r="3575" spans="1:4">
      <c r="A3575" s="216">
        <v>41185</v>
      </c>
      <c r="B3575" s="222" t="s">
        <v>21261</v>
      </c>
      <c r="C3575" s="216" t="s">
        <v>17678</v>
      </c>
      <c r="D3575" s="443">
        <v>4905.76</v>
      </c>
    </row>
    <row r="3576" spans="1:4">
      <c r="A3576" s="216">
        <v>41186</v>
      </c>
      <c r="B3576" s="222" t="s">
        <v>21262</v>
      </c>
      <c r="C3576" s="216" t="s">
        <v>17678</v>
      </c>
      <c r="D3576" s="443">
        <v>6874.85</v>
      </c>
    </row>
    <row r="3577" spans="1:4">
      <c r="A3577" s="216">
        <v>41187</v>
      </c>
      <c r="B3577" s="222" t="s">
        <v>21263</v>
      </c>
      <c r="C3577" s="216" t="s">
        <v>17678</v>
      </c>
      <c r="D3577" s="443">
        <v>9219.74</v>
      </c>
    </row>
    <row r="3578" spans="1:4">
      <c r="A3578" s="216">
        <v>41188</v>
      </c>
      <c r="B3578" s="222" t="s">
        <v>21264</v>
      </c>
      <c r="C3578" s="216" t="s">
        <v>17678</v>
      </c>
      <c r="D3578" s="443">
        <v>11790</v>
      </c>
    </row>
    <row r="3579" spans="1:4" ht="31.5">
      <c r="A3579" s="216">
        <v>5036</v>
      </c>
      <c r="B3579" s="222" t="s">
        <v>21265</v>
      </c>
      <c r="C3579" s="216" t="s">
        <v>17678</v>
      </c>
      <c r="D3579" s="443">
        <v>2500.48</v>
      </c>
    </row>
    <row r="3580" spans="1:4">
      <c r="A3580" s="216">
        <v>41189</v>
      </c>
      <c r="B3580" s="222" t="s">
        <v>21266</v>
      </c>
      <c r="C3580" s="216" t="s">
        <v>17678</v>
      </c>
      <c r="D3580" s="443">
        <v>15157.28</v>
      </c>
    </row>
    <row r="3581" spans="1:4">
      <c r="A3581" s="216">
        <v>41190</v>
      </c>
      <c r="B3581" s="222" t="s">
        <v>21267</v>
      </c>
      <c r="C3581" s="216" t="s">
        <v>17678</v>
      </c>
      <c r="D3581" s="443">
        <v>5271.17</v>
      </c>
    </row>
    <row r="3582" spans="1:4">
      <c r="A3582" s="216">
        <v>41191</v>
      </c>
      <c r="B3582" s="222" t="s">
        <v>21268</v>
      </c>
      <c r="C3582" s="216" t="s">
        <v>17678</v>
      </c>
      <c r="D3582" s="443">
        <v>8083.14</v>
      </c>
    </row>
    <row r="3583" spans="1:4">
      <c r="A3583" s="216">
        <v>41192</v>
      </c>
      <c r="B3583" s="222" t="s">
        <v>21269</v>
      </c>
      <c r="C3583" s="216" t="s">
        <v>17678</v>
      </c>
      <c r="D3583" s="443">
        <v>8426.61</v>
      </c>
    </row>
    <row r="3584" spans="1:4">
      <c r="A3584" s="216">
        <v>41193</v>
      </c>
      <c r="B3584" s="222" t="s">
        <v>21270</v>
      </c>
      <c r="C3584" s="216" t="s">
        <v>17678</v>
      </c>
      <c r="D3584" s="443">
        <v>13768.81</v>
      </c>
    </row>
    <row r="3585" spans="1:4">
      <c r="A3585" s="216">
        <v>41194</v>
      </c>
      <c r="B3585" s="222" t="s">
        <v>21271</v>
      </c>
      <c r="C3585" s="216" t="s">
        <v>17678</v>
      </c>
      <c r="D3585" s="443">
        <v>16429.310000000001</v>
      </c>
    </row>
    <row r="3586" spans="1:4">
      <c r="A3586" s="216">
        <v>5044</v>
      </c>
      <c r="B3586" s="222" t="s">
        <v>21272</v>
      </c>
      <c r="C3586" s="216" t="s">
        <v>17678</v>
      </c>
      <c r="D3586" s="443">
        <v>884.06</v>
      </c>
    </row>
    <row r="3587" spans="1:4">
      <c r="A3587" s="216">
        <v>5059</v>
      </c>
      <c r="B3587" s="222" t="s">
        <v>21273</v>
      </c>
      <c r="C3587" s="216" t="s">
        <v>17678</v>
      </c>
      <c r="D3587" s="443">
        <v>1057.23</v>
      </c>
    </row>
    <row r="3588" spans="1:4">
      <c r="A3588" s="216">
        <v>41201</v>
      </c>
      <c r="B3588" s="222" t="s">
        <v>21274</v>
      </c>
      <c r="C3588" s="216" t="s">
        <v>17678</v>
      </c>
      <c r="D3588" s="443">
        <v>2145.56</v>
      </c>
    </row>
    <row r="3589" spans="1:4">
      <c r="A3589" s="216">
        <v>41199</v>
      </c>
      <c r="B3589" s="222" t="s">
        <v>21275</v>
      </c>
      <c r="C3589" s="216" t="s">
        <v>17678</v>
      </c>
      <c r="D3589" s="443">
        <v>689.45</v>
      </c>
    </row>
    <row r="3590" spans="1:4" ht="31.5">
      <c r="A3590" s="216">
        <v>5057</v>
      </c>
      <c r="B3590" s="222" t="s">
        <v>21276</v>
      </c>
      <c r="C3590" s="216" t="s">
        <v>17678</v>
      </c>
      <c r="D3590" s="443">
        <v>933.39</v>
      </c>
    </row>
    <row r="3591" spans="1:4">
      <c r="A3591" s="216">
        <v>41200</v>
      </c>
      <c r="B3591" s="222" t="s">
        <v>21277</v>
      </c>
      <c r="C3591" s="216" t="s">
        <v>17678</v>
      </c>
      <c r="D3591" s="443">
        <v>1341.91</v>
      </c>
    </row>
    <row r="3592" spans="1:4">
      <c r="A3592" s="216">
        <v>41205</v>
      </c>
      <c r="B3592" s="222" t="s">
        <v>21278</v>
      </c>
      <c r="C3592" s="216" t="s">
        <v>17678</v>
      </c>
      <c r="D3592" s="443">
        <v>2486.54</v>
      </c>
    </row>
    <row r="3593" spans="1:4">
      <c r="A3593" s="216">
        <v>41202</v>
      </c>
      <c r="B3593" s="222" t="s">
        <v>21279</v>
      </c>
      <c r="C3593" s="216" t="s">
        <v>17678</v>
      </c>
      <c r="D3593" s="443">
        <v>725.59</v>
      </c>
    </row>
    <row r="3594" spans="1:4">
      <c r="A3594" s="216">
        <v>41206</v>
      </c>
      <c r="B3594" s="222" t="s">
        <v>21280</v>
      </c>
      <c r="C3594" s="216" t="s">
        <v>17678</v>
      </c>
      <c r="D3594" s="443">
        <v>3278.39</v>
      </c>
    </row>
    <row r="3595" spans="1:4">
      <c r="A3595" s="216">
        <v>12372</v>
      </c>
      <c r="B3595" s="222" t="s">
        <v>21281</v>
      </c>
      <c r="C3595" s="216" t="s">
        <v>17678</v>
      </c>
      <c r="D3595" s="443">
        <v>761.87</v>
      </c>
    </row>
    <row r="3596" spans="1:4">
      <c r="A3596" s="216">
        <v>41207</v>
      </c>
      <c r="B3596" s="222" t="s">
        <v>21282</v>
      </c>
      <c r="C3596" s="216" t="s">
        <v>17678</v>
      </c>
      <c r="D3596" s="443">
        <v>4413.37</v>
      </c>
    </row>
    <row r="3597" spans="1:4">
      <c r="A3597" s="216">
        <v>41203</v>
      </c>
      <c r="B3597" s="222" t="s">
        <v>21283</v>
      </c>
      <c r="C3597" s="216" t="s">
        <v>17678</v>
      </c>
      <c r="D3597" s="443">
        <v>1162.31</v>
      </c>
    </row>
    <row r="3598" spans="1:4">
      <c r="A3598" s="216">
        <v>41204</v>
      </c>
      <c r="B3598" s="222" t="s">
        <v>21284</v>
      </c>
      <c r="C3598" s="216" t="s">
        <v>17678</v>
      </c>
      <c r="D3598" s="443">
        <v>1643.22</v>
      </c>
    </row>
    <row r="3599" spans="1:4">
      <c r="A3599" s="216">
        <v>41210</v>
      </c>
      <c r="B3599" s="222" t="s">
        <v>21285</v>
      </c>
      <c r="C3599" s="216" t="s">
        <v>17678</v>
      </c>
      <c r="D3599" s="443">
        <v>2744.95</v>
      </c>
    </row>
    <row r="3600" spans="1:4">
      <c r="A3600" s="216">
        <v>41208</v>
      </c>
      <c r="B3600" s="222" t="s">
        <v>21286</v>
      </c>
      <c r="C3600" s="216" t="s">
        <v>17678</v>
      </c>
      <c r="D3600" s="443">
        <v>960.89</v>
      </c>
    </row>
    <row r="3601" spans="1:4">
      <c r="A3601" s="216">
        <v>41211</v>
      </c>
      <c r="B3601" s="222" t="s">
        <v>21287</v>
      </c>
      <c r="C3601" s="216" t="s">
        <v>17678</v>
      </c>
      <c r="D3601" s="443">
        <v>3867.6</v>
      </c>
    </row>
    <row r="3602" spans="1:4" ht="31.5">
      <c r="A3602" s="216">
        <v>13339</v>
      </c>
      <c r="B3602" s="222" t="s">
        <v>21288</v>
      </c>
      <c r="C3602" s="216" t="s">
        <v>17678</v>
      </c>
      <c r="D3602" s="443">
        <v>1302.24</v>
      </c>
    </row>
    <row r="3603" spans="1:4">
      <c r="A3603" s="216">
        <v>41213</v>
      </c>
      <c r="B3603" s="222" t="s">
        <v>21289</v>
      </c>
      <c r="C3603" s="216" t="s">
        <v>17678</v>
      </c>
      <c r="D3603" s="443">
        <v>8016.58</v>
      </c>
    </row>
    <row r="3604" spans="1:4">
      <c r="A3604" s="216">
        <v>41209</v>
      </c>
      <c r="B3604" s="222" t="s">
        <v>21290</v>
      </c>
      <c r="C3604" s="216" t="s">
        <v>17678</v>
      </c>
      <c r="D3604" s="443">
        <v>1791.72</v>
      </c>
    </row>
    <row r="3605" spans="1:4">
      <c r="A3605" s="216">
        <v>41216</v>
      </c>
      <c r="B3605" s="222" t="s">
        <v>21291</v>
      </c>
      <c r="C3605" s="216" t="s">
        <v>17678</v>
      </c>
      <c r="D3605" s="443">
        <v>3356.13</v>
      </c>
    </row>
    <row r="3606" spans="1:4">
      <c r="A3606" s="216">
        <v>41217</v>
      </c>
      <c r="B3606" s="222" t="s">
        <v>21292</v>
      </c>
      <c r="C3606" s="216" t="s">
        <v>17678</v>
      </c>
      <c r="D3606" s="443">
        <v>5381.07</v>
      </c>
    </row>
    <row r="3607" spans="1:4">
      <c r="A3607" s="216">
        <v>41218</v>
      </c>
      <c r="B3607" s="222" t="s">
        <v>21293</v>
      </c>
      <c r="C3607" s="216" t="s">
        <v>17678</v>
      </c>
      <c r="D3607" s="443">
        <v>7216.18</v>
      </c>
    </row>
    <row r="3608" spans="1:4">
      <c r="A3608" s="216">
        <v>41214</v>
      </c>
      <c r="B3608" s="222" t="s">
        <v>21294</v>
      </c>
      <c r="C3608" s="216" t="s">
        <v>17678</v>
      </c>
      <c r="D3608" s="443">
        <v>1521.52</v>
      </c>
    </row>
    <row r="3609" spans="1:4">
      <c r="A3609" s="216">
        <v>41215</v>
      </c>
      <c r="B3609" s="222" t="s">
        <v>21295</v>
      </c>
      <c r="C3609" s="216" t="s">
        <v>17678</v>
      </c>
      <c r="D3609" s="443">
        <v>2290.85</v>
      </c>
    </row>
    <row r="3610" spans="1:4">
      <c r="A3610" s="216">
        <v>41221</v>
      </c>
      <c r="B3610" s="222" t="s">
        <v>21296</v>
      </c>
      <c r="C3610" s="216" t="s">
        <v>17678</v>
      </c>
      <c r="D3610" s="443">
        <v>6633.2</v>
      </c>
    </row>
    <row r="3611" spans="1:4">
      <c r="A3611" s="216">
        <v>41222</v>
      </c>
      <c r="B3611" s="222" t="s">
        <v>21297</v>
      </c>
      <c r="C3611" s="216" t="s">
        <v>17678</v>
      </c>
      <c r="D3611" s="443">
        <v>9492.19</v>
      </c>
    </row>
    <row r="3612" spans="1:4">
      <c r="A3612" s="216">
        <v>41195</v>
      </c>
      <c r="B3612" s="222" t="s">
        <v>21298</v>
      </c>
      <c r="C3612" s="216" t="s">
        <v>17678</v>
      </c>
      <c r="D3612" s="443">
        <v>487.87</v>
      </c>
    </row>
    <row r="3613" spans="1:4">
      <c r="A3613" s="216">
        <v>41198</v>
      </c>
      <c r="B3613" s="222" t="s">
        <v>21299</v>
      </c>
      <c r="C3613" s="216" t="s">
        <v>17678</v>
      </c>
      <c r="D3613" s="443">
        <v>1906.48</v>
      </c>
    </row>
    <row r="3614" spans="1:4">
      <c r="A3614" s="216">
        <v>41196</v>
      </c>
      <c r="B3614" s="222" t="s">
        <v>21300</v>
      </c>
      <c r="C3614" s="216" t="s">
        <v>17678</v>
      </c>
      <c r="D3614" s="443">
        <v>604.74</v>
      </c>
    </row>
    <row r="3615" spans="1:4" ht="31.5">
      <c r="A3615" s="216">
        <v>5033</v>
      </c>
      <c r="B3615" s="222" t="s">
        <v>21301</v>
      </c>
      <c r="C3615" s="216" t="s">
        <v>17678</v>
      </c>
      <c r="D3615" s="443">
        <v>794</v>
      </c>
    </row>
    <row r="3616" spans="1:4">
      <c r="A3616" s="216">
        <v>41197</v>
      </c>
      <c r="B3616" s="222" t="s">
        <v>21302</v>
      </c>
      <c r="C3616" s="216" t="s">
        <v>17678</v>
      </c>
      <c r="D3616" s="443">
        <v>1179.3800000000001</v>
      </c>
    </row>
    <row r="3617" spans="1:4">
      <c r="A3617" s="216">
        <v>12388</v>
      </c>
      <c r="B3617" s="222" t="s">
        <v>21303</v>
      </c>
      <c r="C3617" s="216" t="s">
        <v>17678</v>
      </c>
      <c r="D3617" s="443">
        <v>300.95999999999998</v>
      </c>
    </row>
    <row r="3618" spans="1:4">
      <c r="A3618" s="216">
        <v>2731</v>
      </c>
      <c r="B3618" s="222" t="s">
        <v>21304</v>
      </c>
      <c r="C3618" s="216" t="s">
        <v>17722</v>
      </c>
      <c r="D3618" s="443">
        <v>105.08</v>
      </c>
    </row>
    <row r="3619" spans="1:4">
      <c r="A3619" s="216">
        <v>41457</v>
      </c>
      <c r="B3619" s="222" t="s">
        <v>21305</v>
      </c>
      <c r="C3619" s="216" t="s">
        <v>17678</v>
      </c>
      <c r="D3619" s="443">
        <v>1462.1</v>
      </c>
    </row>
    <row r="3620" spans="1:4">
      <c r="A3620" s="216">
        <v>41458</v>
      </c>
      <c r="B3620" s="222" t="s">
        <v>21306</v>
      </c>
      <c r="C3620" s="216" t="s">
        <v>17678</v>
      </c>
      <c r="D3620" s="443">
        <v>2041.16</v>
      </c>
    </row>
    <row r="3621" spans="1:4">
      <c r="A3621" s="216">
        <v>41459</v>
      </c>
      <c r="B3621" s="222" t="s">
        <v>21307</v>
      </c>
      <c r="C3621" s="216" t="s">
        <v>17678</v>
      </c>
      <c r="D3621" s="443">
        <v>2847.26</v>
      </c>
    </row>
    <row r="3622" spans="1:4">
      <c r="A3622" s="216">
        <v>41461</v>
      </c>
      <c r="B3622" s="222" t="s">
        <v>21308</v>
      </c>
      <c r="C3622" s="216" t="s">
        <v>17678</v>
      </c>
      <c r="D3622" s="443">
        <v>3882.1</v>
      </c>
    </row>
    <row r="3623" spans="1:4">
      <c r="A3623" s="216">
        <v>44537</v>
      </c>
      <c r="B3623" s="222" t="s">
        <v>21309</v>
      </c>
      <c r="C3623" s="216" t="s">
        <v>18736</v>
      </c>
      <c r="D3623" s="443">
        <v>340.42</v>
      </c>
    </row>
    <row r="3624" spans="1:4">
      <c r="A3624" s="216">
        <v>11844</v>
      </c>
      <c r="B3624" s="222" t="s">
        <v>21310</v>
      </c>
      <c r="C3624" s="216" t="s">
        <v>17722</v>
      </c>
      <c r="D3624" s="443">
        <v>69.95</v>
      </c>
    </row>
    <row r="3625" spans="1:4">
      <c r="A3625" s="216">
        <v>4465</v>
      </c>
      <c r="B3625" s="222" t="s">
        <v>21311</v>
      </c>
      <c r="C3625" s="216" t="s">
        <v>17722</v>
      </c>
      <c r="D3625" s="443">
        <v>58.13</v>
      </c>
    </row>
    <row r="3626" spans="1:4">
      <c r="A3626" s="216">
        <v>35273</v>
      </c>
      <c r="B3626" s="222" t="s">
        <v>21312</v>
      </c>
      <c r="C3626" s="216" t="s">
        <v>17722</v>
      </c>
      <c r="D3626" s="443">
        <v>69.709999999999994</v>
      </c>
    </row>
    <row r="3627" spans="1:4">
      <c r="A3627" s="216">
        <v>4470</v>
      </c>
      <c r="B3627" s="222" t="s">
        <v>21313</v>
      </c>
      <c r="C3627" s="216" t="s">
        <v>17722</v>
      </c>
      <c r="D3627" s="443">
        <v>160.88</v>
      </c>
    </row>
    <row r="3628" spans="1:4">
      <c r="A3628" s="216">
        <v>20208</v>
      </c>
      <c r="B3628" s="222" t="s">
        <v>21314</v>
      </c>
      <c r="C3628" s="216" t="s">
        <v>17722</v>
      </c>
      <c r="D3628" s="443">
        <v>144.79</v>
      </c>
    </row>
    <row r="3629" spans="1:4">
      <c r="A3629" s="216">
        <v>20204</v>
      </c>
      <c r="B3629" s="222" t="s">
        <v>21315</v>
      </c>
      <c r="C3629" s="216" t="s">
        <v>17722</v>
      </c>
      <c r="D3629" s="443">
        <v>107.25</v>
      </c>
    </row>
    <row r="3630" spans="1:4">
      <c r="A3630" s="216">
        <v>4437</v>
      </c>
      <c r="B3630" s="222" t="s">
        <v>21316</v>
      </c>
      <c r="C3630" s="216" t="s">
        <v>17722</v>
      </c>
      <c r="D3630" s="443">
        <v>120.66</v>
      </c>
    </row>
    <row r="3631" spans="1:4">
      <c r="A3631" s="216">
        <v>14580</v>
      </c>
      <c r="B3631" s="222" t="s">
        <v>21317</v>
      </c>
      <c r="C3631" s="216" t="s">
        <v>17722</v>
      </c>
      <c r="D3631" s="443">
        <v>120.66</v>
      </c>
    </row>
    <row r="3632" spans="1:4">
      <c r="A3632" s="216">
        <v>40304</v>
      </c>
      <c r="B3632" s="222" t="s">
        <v>21318</v>
      </c>
      <c r="C3632" s="216" t="s">
        <v>17726</v>
      </c>
      <c r="D3632" s="443">
        <v>25.11</v>
      </c>
    </row>
    <row r="3633" spans="1:4">
      <c r="A3633" s="216">
        <v>5065</v>
      </c>
      <c r="B3633" s="222" t="s">
        <v>21319</v>
      </c>
      <c r="C3633" s="216" t="s">
        <v>17726</v>
      </c>
      <c r="D3633" s="443">
        <v>38.700000000000003</v>
      </c>
    </row>
    <row r="3634" spans="1:4">
      <c r="A3634" s="216">
        <v>5072</v>
      </c>
      <c r="B3634" s="222" t="s">
        <v>21320</v>
      </c>
      <c r="C3634" s="216" t="s">
        <v>17726</v>
      </c>
      <c r="D3634" s="443">
        <v>35.799999999999997</v>
      </c>
    </row>
    <row r="3635" spans="1:4">
      <c r="A3635" s="216">
        <v>5066</v>
      </c>
      <c r="B3635" s="222" t="s">
        <v>21321</v>
      </c>
      <c r="C3635" s="216" t="s">
        <v>17726</v>
      </c>
      <c r="D3635" s="443">
        <v>26.81</v>
      </c>
    </row>
    <row r="3636" spans="1:4">
      <c r="A3636" s="216">
        <v>5063</v>
      </c>
      <c r="B3636" s="222" t="s">
        <v>21322</v>
      </c>
      <c r="C3636" s="216" t="s">
        <v>17726</v>
      </c>
      <c r="D3636" s="443">
        <v>24.27</v>
      </c>
    </row>
    <row r="3637" spans="1:4">
      <c r="A3637" s="216">
        <v>20247</v>
      </c>
      <c r="B3637" s="222" t="s">
        <v>21323</v>
      </c>
      <c r="C3637" s="216" t="s">
        <v>17726</v>
      </c>
      <c r="D3637" s="443">
        <v>22.53</v>
      </c>
    </row>
    <row r="3638" spans="1:4">
      <c r="A3638" s="216">
        <v>5074</v>
      </c>
      <c r="B3638" s="222" t="s">
        <v>21324</v>
      </c>
      <c r="C3638" s="216" t="s">
        <v>17726</v>
      </c>
      <c r="D3638" s="443">
        <v>22.79</v>
      </c>
    </row>
    <row r="3639" spans="1:4">
      <c r="A3639" s="216">
        <v>5067</v>
      </c>
      <c r="B3639" s="222" t="s">
        <v>21325</v>
      </c>
      <c r="C3639" s="216" t="s">
        <v>17726</v>
      </c>
      <c r="D3639" s="443">
        <v>21.68</v>
      </c>
    </row>
    <row r="3640" spans="1:4">
      <c r="A3640" s="216">
        <v>5078</v>
      </c>
      <c r="B3640" s="222" t="s">
        <v>21326</v>
      </c>
      <c r="C3640" s="216" t="s">
        <v>17726</v>
      </c>
      <c r="D3640" s="443">
        <v>21.44</v>
      </c>
    </row>
    <row r="3641" spans="1:4">
      <c r="A3641" s="216">
        <v>5068</v>
      </c>
      <c r="B3641" s="222" t="s">
        <v>21327</v>
      </c>
      <c r="C3641" s="216" t="s">
        <v>17726</v>
      </c>
      <c r="D3641" s="443">
        <v>20.34</v>
      </c>
    </row>
    <row r="3642" spans="1:4">
      <c r="A3642" s="216">
        <v>5073</v>
      </c>
      <c r="B3642" s="222" t="s">
        <v>21328</v>
      </c>
      <c r="C3642" s="216" t="s">
        <v>17726</v>
      </c>
      <c r="D3642" s="443">
        <v>20.74</v>
      </c>
    </row>
    <row r="3643" spans="1:4">
      <c r="A3643" s="216">
        <v>5069</v>
      </c>
      <c r="B3643" s="222" t="s">
        <v>21329</v>
      </c>
      <c r="C3643" s="216" t="s">
        <v>17726</v>
      </c>
      <c r="D3643" s="443">
        <v>20.74</v>
      </c>
    </row>
    <row r="3644" spans="1:4">
      <c r="A3644" s="216">
        <v>5070</v>
      </c>
      <c r="B3644" s="222" t="s">
        <v>21330</v>
      </c>
      <c r="C3644" s="216" t="s">
        <v>17726</v>
      </c>
      <c r="D3644" s="443">
        <v>20.96</v>
      </c>
    </row>
    <row r="3645" spans="1:4">
      <c r="A3645" s="216">
        <v>5071</v>
      </c>
      <c r="B3645" s="222" t="s">
        <v>21331</v>
      </c>
      <c r="C3645" s="216" t="s">
        <v>17726</v>
      </c>
      <c r="D3645" s="443">
        <v>20.34</v>
      </c>
    </row>
    <row r="3646" spans="1:4">
      <c r="A3646" s="216">
        <v>5061</v>
      </c>
      <c r="B3646" s="222" t="s">
        <v>21332</v>
      </c>
      <c r="C3646" s="216" t="s">
        <v>17726</v>
      </c>
      <c r="D3646" s="443">
        <v>20</v>
      </c>
    </row>
    <row r="3647" spans="1:4">
      <c r="A3647" s="216">
        <v>5075</v>
      </c>
      <c r="B3647" s="222" t="s">
        <v>21333</v>
      </c>
      <c r="C3647" s="216" t="s">
        <v>17726</v>
      </c>
      <c r="D3647" s="443">
        <v>20.34</v>
      </c>
    </row>
    <row r="3648" spans="1:4">
      <c r="A3648" s="216">
        <v>39027</v>
      </c>
      <c r="B3648" s="222" t="s">
        <v>21334</v>
      </c>
      <c r="C3648" s="216" t="s">
        <v>17726</v>
      </c>
      <c r="D3648" s="443">
        <v>20.32</v>
      </c>
    </row>
    <row r="3649" spans="1:4">
      <c r="A3649" s="216">
        <v>5062</v>
      </c>
      <c r="B3649" s="222" t="s">
        <v>21335</v>
      </c>
      <c r="C3649" s="216" t="s">
        <v>17726</v>
      </c>
      <c r="D3649" s="443">
        <v>20.61</v>
      </c>
    </row>
    <row r="3650" spans="1:4">
      <c r="A3650" s="216">
        <v>40568</v>
      </c>
      <c r="B3650" s="222" t="s">
        <v>21336</v>
      </c>
      <c r="C3650" s="216" t="s">
        <v>17726</v>
      </c>
      <c r="D3650" s="443">
        <v>20.5</v>
      </c>
    </row>
    <row r="3651" spans="1:4">
      <c r="A3651" s="216">
        <v>39026</v>
      </c>
      <c r="B3651" s="222" t="s">
        <v>21337</v>
      </c>
      <c r="C3651" s="216" t="s">
        <v>17726</v>
      </c>
      <c r="D3651" s="443">
        <v>22.88</v>
      </c>
    </row>
    <row r="3652" spans="1:4" ht="31.5">
      <c r="A3652" s="216">
        <v>42431</v>
      </c>
      <c r="B3652" s="222" t="s">
        <v>21338</v>
      </c>
      <c r="C3652" s="216" t="s">
        <v>17678</v>
      </c>
      <c r="D3652" s="443">
        <v>3922.99</v>
      </c>
    </row>
    <row r="3653" spans="1:4">
      <c r="A3653" s="216">
        <v>44074</v>
      </c>
      <c r="B3653" s="222" t="s">
        <v>21339</v>
      </c>
      <c r="C3653" s="216" t="s">
        <v>17728</v>
      </c>
      <c r="D3653" s="443">
        <v>543.75</v>
      </c>
    </row>
    <row r="3654" spans="1:4">
      <c r="A3654" s="216">
        <v>44072</v>
      </c>
      <c r="B3654" s="222" t="s">
        <v>21340</v>
      </c>
      <c r="C3654" s="216" t="s">
        <v>17728</v>
      </c>
      <c r="D3654" s="443">
        <v>111.11</v>
      </c>
    </row>
    <row r="3655" spans="1:4">
      <c r="A3655" s="216">
        <v>511</v>
      </c>
      <c r="B3655" s="222" t="s">
        <v>21341</v>
      </c>
      <c r="C3655" s="216" t="s">
        <v>17728</v>
      </c>
      <c r="D3655" s="443">
        <v>17.329999999999998</v>
      </c>
    </row>
    <row r="3656" spans="1:4" ht="31.5">
      <c r="A3656" s="216">
        <v>37540</v>
      </c>
      <c r="B3656" s="222" t="s">
        <v>21342</v>
      </c>
      <c r="C3656" s="216" t="s">
        <v>17678</v>
      </c>
      <c r="D3656" s="443">
        <v>78021.05</v>
      </c>
    </row>
    <row r="3657" spans="1:4" ht="31.5">
      <c r="A3657" s="216">
        <v>37548</v>
      </c>
      <c r="B3657" s="222" t="s">
        <v>21343</v>
      </c>
      <c r="C3657" s="216" t="s">
        <v>17678</v>
      </c>
      <c r="D3657" s="443">
        <v>103416.5</v>
      </c>
    </row>
    <row r="3658" spans="1:4" ht="31.5">
      <c r="A3658" s="216">
        <v>39828</v>
      </c>
      <c r="B3658" s="222" t="s">
        <v>21344</v>
      </c>
      <c r="C3658" s="216" t="s">
        <v>17678</v>
      </c>
      <c r="D3658" s="443">
        <v>620.4</v>
      </c>
    </row>
    <row r="3659" spans="1:4" ht="31.5">
      <c r="A3659" s="216">
        <v>12273</v>
      </c>
      <c r="B3659" s="222" t="s">
        <v>21345</v>
      </c>
      <c r="C3659" s="216" t="s">
        <v>17678</v>
      </c>
      <c r="D3659" s="443">
        <v>128.37</v>
      </c>
    </row>
    <row r="3660" spans="1:4">
      <c r="A3660" s="216">
        <v>38392</v>
      </c>
      <c r="B3660" s="222" t="s">
        <v>21346</v>
      </c>
      <c r="C3660" s="216" t="s">
        <v>17678</v>
      </c>
      <c r="D3660" s="443">
        <v>51.77</v>
      </c>
    </row>
    <row r="3661" spans="1:4">
      <c r="A3661" s="216">
        <v>11735</v>
      </c>
      <c r="B3661" s="222" t="s">
        <v>21347</v>
      </c>
      <c r="C3661" s="216" t="s">
        <v>17678</v>
      </c>
      <c r="D3661" s="443">
        <v>9.23</v>
      </c>
    </row>
    <row r="3662" spans="1:4">
      <c r="A3662" s="216">
        <v>11737</v>
      </c>
      <c r="B3662" s="222" t="s">
        <v>21348</v>
      </c>
      <c r="C3662" s="216" t="s">
        <v>17678</v>
      </c>
      <c r="D3662" s="443">
        <v>13.09</v>
      </c>
    </row>
    <row r="3663" spans="1:4">
      <c r="A3663" s="216">
        <v>11738</v>
      </c>
      <c r="B3663" s="222" t="s">
        <v>21349</v>
      </c>
      <c r="C3663" s="216" t="s">
        <v>17678</v>
      </c>
      <c r="D3663" s="443">
        <v>16.5</v>
      </c>
    </row>
    <row r="3664" spans="1:4">
      <c r="A3664" s="216">
        <v>36143</v>
      </c>
      <c r="B3664" s="222" t="s">
        <v>21350</v>
      </c>
      <c r="C3664" s="216" t="s">
        <v>17678</v>
      </c>
      <c r="D3664" s="443">
        <v>27.55</v>
      </c>
    </row>
    <row r="3665" spans="1:4">
      <c r="A3665" s="216">
        <v>36142</v>
      </c>
      <c r="B3665" s="222" t="s">
        <v>21351</v>
      </c>
      <c r="C3665" s="216" t="s">
        <v>17678</v>
      </c>
      <c r="D3665" s="443">
        <v>2.0099999999999998</v>
      </c>
    </row>
    <row r="3666" spans="1:4">
      <c r="A3666" s="216">
        <v>36146</v>
      </c>
      <c r="B3666" s="222" t="s">
        <v>21352</v>
      </c>
      <c r="C3666" s="216" t="s">
        <v>17678</v>
      </c>
      <c r="D3666" s="443">
        <v>228.48</v>
      </c>
    </row>
    <row r="3667" spans="1:4">
      <c r="A3667" s="216">
        <v>39015</v>
      </c>
      <c r="B3667" s="222" t="s">
        <v>21353</v>
      </c>
      <c r="C3667" s="216" t="s">
        <v>17678</v>
      </c>
      <c r="D3667" s="443">
        <v>0.97</v>
      </c>
    </row>
    <row r="3668" spans="1:4">
      <c r="A3668" s="216">
        <v>38377</v>
      </c>
      <c r="B3668" s="222" t="s">
        <v>21354</v>
      </c>
      <c r="C3668" s="216" t="s">
        <v>17678</v>
      </c>
      <c r="D3668" s="443">
        <v>34.17</v>
      </c>
    </row>
    <row r="3669" spans="1:4">
      <c r="A3669" s="216">
        <v>38376</v>
      </c>
      <c r="B3669" s="222" t="s">
        <v>21355</v>
      </c>
      <c r="C3669" s="216" t="s">
        <v>17678</v>
      </c>
      <c r="D3669" s="443">
        <v>38.96</v>
      </c>
    </row>
    <row r="3670" spans="1:4">
      <c r="A3670" s="216">
        <v>38116</v>
      </c>
      <c r="B3670" s="222" t="s">
        <v>21356</v>
      </c>
      <c r="C3670" s="216" t="s">
        <v>17678</v>
      </c>
      <c r="D3670" s="443">
        <v>6.71</v>
      </c>
    </row>
    <row r="3671" spans="1:4">
      <c r="A3671" s="216">
        <v>38066</v>
      </c>
      <c r="B3671" s="222" t="s">
        <v>21357</v>
      </c>
      <c r="C3671" s="216" t="s">
        <v>17678</v>
      </c>
      <c r="D3671" s="443">
        <v>11.08</v>
      </c>
    </row>
    <row r="3672" spans="1:4">
      <c r="A3672" s="216">
        <v>38117</v>
      </c>
      <c r="B3672" s="222" t="s">
        <v>21358</v>
      </c>
      <c r="C3672" s="216" t="s">
        <v>17678</v>
      </c>
      <c r="D3672" s="443">
        <v>11.43</v>
      </c>
    </row>
    <row r="3673" spans="1:4">
      <c r="A3673" s="216">
        <v>38067</v>
      </c>
      <c r="B3673" s="222" t="s">
        <v>21359</v>
      </c>
      <c r="C3673" s="216" t="s">
        <v>17678</v>
      </c>
      <c r="D3673" s="443">
        <v>15.59</v>
      </c>
    </row>
    <row r="3674" spans="1:4" ht="31.5">
      <c r="A3674" s="216">
        <v>11522</v>
      </c>
      <c r="B3674" s="222" t="s">
        <v>21360</v>
      </c>
      <c r="C3674" s="216" t="s">
        <v>17678</v>
      </c>
      <c r="D3674" s="443">
        <v>12.98</v>
      </c>
    </row>
    <row r="3675" spans="1:4" ht="31.5">
      <c r="A3675" s="216">
        <v>43600</v>
      </c>
      <c r="B3675" s="222" t="s">
        <v>21361</v>
      </c>
      <c r="C3675" s="216" t="s">
        <v>17678</v>
      </c>
      <c r="D3675" s="443">
        <v>52.02</v>
      </c>
    </row>
    <row r="3676" spans="1:4" ht="31.5">
      <c r="A3676" s="216">
        <v>5080</v>
      </c>
      <c r="B3676" s="222" t="s">
        <v>21362</v>
      </c>
      <c r="C3676" s="216" t="s">
        <v>17678</v>
      </c>
      <c r="D3676" s="443">
        <v>20.28</v>
      </c>
    </row>
    <row r="3677" spans="1:4" ht="31.5">
      <c r="A3677" s="216">
        <v>38168</v>
      </c>
      <c r="B3677" s="222" t="s">
        <v>21363</v>
      </c>
      <c r="C3677" s="216" t="s">
        <v>17678</v>
      </c>
      <c r="D3677" s="443">
        <v>141.62</v>
      </c>
    </row>
    <row r="3678" spans="1:4" ht="31.5">
      <c r="A3678" s="216">
        <v>43601</v>
      </c>
      <c r="B3678" s="222" t="s">
        <v>21364</v>
      </c>
      <c r="C3678" s="216" t="s">
        <v>17678</v>
      </c>
      <c r="D3678" s="443">
        <v>70.81</v>
      </c>
    </row>
    <row r="3679" spans="1:4" ht="31.5">
      <c r="A3679" s="216">
        <v>13393</v>
      </c>
      <c r="B3679" s="222" t="s">
        <v>21365</v>
      </c>
      <c r="C3679" s="216" t="s">
        <v>17678</v>
      </c>
      <c r="D3679" s="443">
        <v>490.99</v>
      </c>
    </row>
    <row r="3680" spans="1:4" ht="31.5">
      <c r="A3680" s="216">
        <v>13395</v>
      </c>
      <c r="B3680" s="222" t="s">
        <v>21366</v>
      </c>
      <c r="C3680" s="216" t="s">
        <v>17678</v>
      </c>
      <c r="D3680" s="443">
        <v>688.07</v>
      </c>
    </row>
    <row r="3681" spans="1:4" ht="31.5">
      <c r="A3681" s="216">
        <v>12039</v>
      </c>
      <c r="B3681" s="222" t="s">
        <v>21367</v>
      </c>
      <c r="C3681" s="216" t="s">
        <v>17678</v>
      </c>
      <c r="D3681" s="443">
        <v>723.09</v>
      </c>
    </row>
    <row r="3682" spans="1:4" ht="31.5">
      <c r="A3682" s="216">
        <v>13396</v>
      </c>
      <c r="B3682" s="222" t="s">
        <v>21368</v>
      </c>
      <c r="C3682" s="216" t="s">
        <v>17678</v>
      </c>
      <c r="D3682" s="443">
        <v>1015.53</v>
      </c>
    </row>
    <row r="3683" spans="1:4" ht="31.5">
      <c r="A3683" s="216">
        <v>12041</v>
      </c>
      <c r="B3683" s="222" t="s">
        <v>21369</v>
      </c>
      <c r="C3683" s="216" t="s">
        <v>17678</v>
      </c>
      <c r="D3683" s="443">
        <v>829.24</v>
      </c>
    </row>
    <row r="3684" spans="1:4" ht="31.5">
      <c r="A3684" s="216">
        <v>12043</v>
      </c>
      <c r="B3684" s="222" t="s">
        <v>21370</v>
      </c>
      <c r="C3684" s="216" t="s">
        <v>17678</v>
      </c>
      <c r="D3684" s="443">
        <v>1750.81</v>
      </c>
    </row>
    <row r="3685" spans="1:4" ht="31.5">
      <c r="A3685" s="216">
        <v>39762</v>
      </c>
      <c r="B3685" s="222" t="s">
        <v>21371</v>
      </c>
      <c r="C3685" s="216" t="s">
        <v>17678</v>
      </c>
      <c r="D3685" s="443">
        <v>833.43</v>
      </c>
    </row>
    <row r="3686" spans="1:4" ht="31.5">
      <c r="A3686" s="216">
        <v>12042</v>
      </c>
      <c r="B3686" s="222" t="s">
        <v>21372</v>
      </c>
      <c r="C3686" s="216" t="s">
        <v>17678</v>
      </c>
      <c r="D3686" s="443">
        <v>1216.78</v>
      </c>
    </row>
    <row r="3687" spans="1:4" ht="31.5">
      <c r="A3687" s="216">
        <v>39763</v>
      </c>
      <c r="B3687" s="222" t="s">
        <v>21373</v>
      </c>
      <c r="C3687" s="216" t="s">
        <v>17678</v>
      </c>
      <c r="D3687" s="443">
        <v>1424.09</v>
      </c>
    </row>
    <row r="3688" spans="1:4" ht="31.5">
      <c r="A3688" s="216">
        <v>39760</v>
      </c>
      <c r="B3688" s="222" t="s">
        <v>21374</v>
      </c>
      <c r="C3688" s="216" t="s">
        <v>17678</v>
      </c>
      <c r="D3688" s="443">
        <v>1419.4</v>
      </c>
    </row>
    <row r="3689" spans="1:4" ht="31.5">
      <c r="A3689" s="216">
        <v>39756</v>
      </c>
      <c r="B3689" s="222" t="s">
        <v>21375</v>
      </c>
      <c r="C3689" s="216" t="s">
        <v>17678</v>
      </c>
      <c r="D3689" s="443">
        <v>509.65</v>
      </c>
    </row>
    <row r="3690" spans="1:4" ht="31.5">
      <c r="A3690" s="216">
        <v>12038</v>
      </c>
      <c r="B3690" s="222" t="s">
        <v>21376</v>
      </c>
      <c r="C3690" s="216" t="s">
        <v>17678</v>
      </c>
      <c r="D3690" s="443">
        <v>636.82000000000005</v>
      </c>
    </row>
    <row r="3691" spans="1:4" ht="31.5">
      <c r="A3691" s="216">
        <v>39757</v>
      </c>
      <c r="B3691" s="222" t="s">
        <v>21377</v>
      </c>
      <c r="C3691" s="216" t="s">
        <v>17678</v>
      </c>
      <c r="D3691" s="443">
        <v>588.86</v>
      </c>
    </row>
    <row r="3692" spans="1:4" ht="31.5">
      <c r="A3692" s="216">
        <v>39758</v>
      </c>
      <c r="B3692" s="222" t="s">
        <v>21378</v>
      </c>
      <c r="C3692" s="216" t="s">
        <v>17678</v>
      </c>
      <c r="D3692" s="443">
        <v>858.19</v>
      </c>
    </row>
    <row r="3693" spans="1:4" ht="31.5">
      <c r="A3693" s="216">
        <v>39759</v>
      </c>
      <c r="B3693" s="222" t="s">
        <v>21379</v>
      </c>
      <c r="C3693" s="216" t="s">
        <v>17678</v>
      </c>
      <c r="D3693" s="443">
        <v>1059.8699999999999</v>
      </c>
    </row>
    <row r="3694" spans="1:4" ht="31.5">
      <c r="A3694" s="216">
        <v>39761</v>
      </c>
      <c r="B3694" s="222" t="s">
        <v>21380</v>
      </c>
      <c r="C3694" s="216" t="s">
        <v>17678</v>
      </c>
      <c r="D3694" s="443">
        <v>1273.99</v>
      </c>
    </row>
    <row r="3695" spans="1:4" ht="31.5">
      <c r="A3695" s="216">
        <v>39805</v>
      </c>
      <c r="B3695" s="222" t="s">
        <v>21381</v>
      </c>
      <c r="C3695" s="216" t="s">
        <v>17678</v>
      </c>
      <c r="D3695" s="443">
        <v>178.72</v>
      </c>
    </row>
    <row r="3696" spans="1:4" ht="31.5">
      <c r="A3696" s="216">
        <v>39806</v>
      </c>
      <c r="B3696" s="222" t="s">
        <v>21382</v>
      </c>
      <c r="C3696" s="216" t="s">
        <v>17678</v>
      </c>
      <c r="D3696" s="443">
        <v>331.12</v>
      </c>
    </row>
    <row r="3697" spans="1:4" ht="31.5">
      <c r="A3697" s="216">
        <v>39807</v>
      </c>
      <c r="B3697" s="222" t="s">
        <v>21383</v>
      </c>
      <c r="C3697" s="216" t="s">
        <v>17678</v>
      </c>
      <c r="D3697" s="443">
        <v>717.62</v>
      </c>
    </row>
    <row r="3698" spans="1:4">
      <c r="A3698" s="216">
        <v>43100</v>
      </c>
      <c r="B3698" s="222" t="s">
        <v>21384</v>
      </c>
      <c r="C3698" s="216" t="s">
        <v>17678</v>
      </c>
      <c r="D3698" s="443">
        <v>561.02</v>
      </c>
    </row>
    <row r="3699" spans="1:4" ht="31.5">
      <c r="A3699" s="216">
        <v>39804</v>
      </c>
      <c r="B3699" s="222" t="s">
        <v>21385</v>
      </c>
      <c r="C3699" s="216" t="s">
        <v>17678</v>
      </c>
      <c r="D3699" s="443">
        <v>104.94</v>
      </c>
    </row>
    <row r="3700" spans="1:4" ht="31.5">
      <c r="A3700" s="216">
        <v>39796</v>
      </c>
      <c r="B3700" s="222" t="s">
        <v>21386</v>
      </c>
      <c r="C3700" s="216" t="s">
        <v>17678</v>
      </c>
      <c r="D3700" s="443">
        <v>108.7</v>
      </c>
    </row>
    <row r="3701" spans="1:4" ht="31.5">
      <c r="A3701" s="216">
        <v>39797</v>
      </c>
      <c r="B3701" s="222" t="s">
        <v>21387</v>
      </c>
      <c r="C3701" s="216" t="s">
        <v>17678</v>
      </c>
      <c r="D3701" s="443">
        <v>170.63</v>
      </c>
    </row>
    <row r="3702" spans="1:4" ht="31.5">
      <c r="A3702" s="216">
        <v>39798</v>
      </c>
      <c r="B3702" s="222" t="s">
        <v>21388</v>
      </c>
      <c r="C3702" s="216" t="s">
        <v>17678</v>
      </c>
      <c r="D3702" s="443">
        <v>292.68</v>
      </c>
    </row>
    <row r="3703" spans="1:4" ht="31.5">
      <c r="A3703" s="216">
        <v>39794</v>
      </c>
      <c r="B3703" s="222" t="s">
        <v>21389</v>
      </c>
      <c r="C3703" s="216" t="s">
        <v>17678</v>
      </c>
      <c r="D3703" s="443">
        <v>46.14</v>
      </c>
    </row>
    <row r="3704" spans="1:4" ht="31.5">
      <c r="A3704" s="216">
        <v>39795</v>
      </c>
      <c r="B3704" s="222" t="s">
        <v>21390</v>
      </c>
      <c r="C3704" s="216" t="s">
        <v>17678</v>
      </c>
      <c r="D3704" s="443">
        <v>72.89</v>
      </c>
    </row>
    <row r="3705" spans="1:4" ht="31.5">
      <c r="A3705" s="216">
        <v>39799</v>
      </c>
      <c r="B3705" s="222" t="s">
        <v>21391</v>
      </c>
      <c r="C3705" s="216" t="s">
        <v>17678</v>
      </c>
      <c r="D3705" s="443">
        <v>53.78</v>
      </c>
    </row>
    <row r="3706" spans="1:4" ht="31.5">
      <c r="A3706" s="216">
        <v>39801</v>
      </c>
      <c r="B3706" s="222" t="s">
        <v>21392</v>
      </c>
      <c r="C3706" s="216" t="s">
        <v>17678</v>
      </c>
      <c r="D3706" s="443">
        <v>153.91999999999999</v>
      </c>
    </row>
    <row r="3707" spans="1:4" ht="31.5">
      <c r="A3707" s="216">
        <v>39802</v>
      </c>
      <c r="B3707" s="222" t="s">
        <v>21393</v>
      </c>
      <c r="C3707" s="216" t="s">
        <v>17678</v>
      </c>
      <c r="D3707" s="443">
        <v>225.62</v>
      </c>
    </row>
    <row r="3708" spans="1:4" ht="31.5">
      <c r="A3708" s="216">
        <v>39803</v>
      </c>
      <c r="B3708" s="222" t="s">
        <v>21394</v>
      </c>
      <c r="C3708" s="216" t="s">
        <v>17678</v>
      </c>
      <c r="D3708" s="443">
        <v>314.74</v>
      </c>
    </row>
    <row r="3709" spans="1:4" ht="31.5">
      <c r="A3709" s="216">
        <v>39800</v>
      </c>
      <c r="B3709" s="222" t="s">
        <v>21395</v>
      </c>
      <c r="C3709" s="216" t="s">
        <v>17678</v>
      </c>
      <c r="D3709" s="443">
        <v>91.61</v>
      </c>
    </row>
    <row r="3710" spans="1:4">
      <c r="A3710" s="216">
        <v>43837</v>
      </c>
      <c r="B3710" s="222" t="s">
        <v>21396</v>
      </c>
      <c r="C3710" s="216" t="s">
        <v>17678</v>
      </c>
      <c r="D3710" s="443">
        <v>1679.7</v>
      </c>
    </row>
    <row r="3711" spans="1:4">
      <c r="A3711" s="216">
        <v>43836</v>
      </c>
      <c r="B3711" s="222" t="s">
        <v>21397</v>
      </c>
      <c r="C3711" s="216" t="s">
        <v>17678</v>
      </c>
      <c r="D3711" s="443">
        <v>3417.88</v>
      </c>
    </row>
    <row r="3712" spans="1:4">
      <c r="A3712" s="216">
        <v>21059</v>
      </c>
      <c r="B3712" s="222" t="s">
        <v>21398</v>
      </c>
      <c r="C3712" s="216" t="s">
        <v>17678</v>
      </c>
      <c r="D3712" s="443">
        <v>65.64</v>
      </c>
    </row>
    <row r="3713" spans="1:4">
      <c r="A3713" s="216">
        <v>11234</v>
      </c>
      <c r="B3713" s="222" t="s">
        <v>21399</v>
      </c>
      <c r="C3713" s="216" t="s">
        <v>17678</v>
      </c>
      <c r="D3713" s="443">
        <v>98.94</v>
      </c>
    </row>
    <row r="3714" spans="1:4">
      <c r="A3714" s="216">
        <v>21060</v>
      </c>
      <c r="B3714" s="222" t="s">
        <v>21400</v>
      </c>
      <c r="C3714" s="216" t="s">
        <v>17678</v>
      </c>
      <c r="D3714" s="443">
        <v>121.77</v>
      </c>
    </row>
    <row r="3715" spans="1:4">
      <c r="A3715" s="216">
        <v>21061</v>
      </c>
      <c r="B3715" s="222" t="s">
        <v>21401</v>
      </c>
      <c r="C3715" s="216" t="s">
        <v>17678</v>
      </c>
      <c r="D3715" s="443">
        <v>152.22</v>
      </c>
    </row>
    <row r="3716" spans="1:4">
      <c r="A3716" s="216">
        <v>21062</v>
      </c>
      <c r="B3716" s="222" t="s">
        <v>21402</v>
      </c>
      <c r="C3716" s="216" t="s">
        <v>17678</v>
      </c>
      <c r="D3716" s="443">
        <v>239.74</v>
      </c>
    </row>
    <row r="3717" spans="1:4">
      <c r="A3717" s="216">
        <v>11708</v>
      </c>
      <c r="B3717" s="222" t="s">
        <v>21403</v>
      </c>
      <c r="C3717" s="216" t="s">
        <v>17678</v>
      </c>
      <c r="D3717" s="443">
        <v>26.16</v>
      </c>
    </row>
    <row r="3718" spans="1:4">
      <c r="A3718" s="216">
        <v>11709</v>
      </c>
      <c r="B3718" s="222" t="s">
        <v>21404</v>
      </c>
      <c r="C3718" s="216" t="s">
        <v>17678</v>
      </c>
      <c r="D3718" s="443">
        <v>61.45</v>
      </c>
    </row>
    <row r="3719" spans="1:4">
      <c r="A3719" s="216">
        <v>11710</v>
      </c>
      <c r="B3719" s="222" t="s">
        <v>21405</v>
      </c>
      <c r="C3719" s="216" t="s">
        <v>17678</v>
      </c>
      <c r="D3719" s="443">
        <v>141.27000000000001</v>
      </c>
    </row>
    <row r="3720" spans="1:4">
      <c r="A3720" s="216">
        <v>11707</v>
      </c>
      <c r="B3720" s="222" t="s">
        <v>21406</v>
      </c>
      <c r="C3720" s="216" t="s">
        <v>17678</v>
      </c>
      <c r="D3720" s="443">
        <v>19.59</v>
      </c>
    </row>
    <row r="3721" spans="1:4">
      <c r="A3721" s="216">
        <v>5102</v>
      </c>
      <c r="B3721" s="222" t="s">
        <v>21407</v>
      </c>
      <c r="C3721" s="216" t="s">
        <v>17678</v>
      </c>
      <c r="D3721" s="443">
        <v>12.97</v>
      </c>
    </row>
    <row r="3722" spans="1:4">
      <c r="A3722" s="216">
        <v>11739</v>
      </c>
      <c r="B3722" s="222" t="s">
        <v>21408</v>
      </c>
      <c r="C3722" s="216" t="s">
        <v>17678</v>
      </c>
      <c r="D3722" s="443">
        <v>9.24</v>
      </c>
    </row>
    <row r="3723" spans="1:4">
      <c r="A3723" s="216">
        <v>11711</v>
      </c>
      <c r="B3723" s="222" t="s">
        <v>21409</v>
      </c>
      <c r="C3723" s="216" t="s">
        <v>17678</v>
      </c>
      <c r="D3723" s="443">
        <v>10.8</v>
      </c>
    </row>
    <row r="3724" spans="1:4">
      <c r="A3724" s="216">
        <v>11741</v>
      </c>
      <c r="B3724" s="222" t="s">
        <v>21410</v>
      </c>
      <c r="C3724" s="216" t="s">
        <v>17678</v>
      </c>
      <c r="D3724" s="443">
        <v>11.77</v>
      </c>
    </row>
    <row r="3725" spans="1:4">
      <c r="A3725" s="216">
        <v>11745</v>
      </c>
      <c r="B3725" s="222" t="s">
        <v>21411</v>
      </c>
      <c r="C3725" s="216" t="s">
        <v>17678</v>
      </c>
      <c r="D3725" s="443">
        <v>15.51</v>
      </c>
    </row>
    <row r="3726" spans="1:4">
      <c r="A3726" s="216">
        <v>11743</v>
      </c>
      <c r="B3726" s="222" t="s">
        <v>21412</v>
      </c>
      <c r="C3726" s="216" t="s">
        <v>17678</v>
      </c>
      <c r="D3726" s="443">
        <v>9.8800000000000008</v>
      </c>
    </row>
    <row r="3727" spans="1:4">
      <c r="A3727" s="216">
        <v>40985</v>
      </c>
      <c r="B3727" s="222" t="s">
        <v>21413</v>
      </c>
      <c r="C3727" s="216" t="s">
        <v>17828</v>
      </c>
      <c r="D3727" s="443">
        <v>2817.68</v>
      </c>
    </row>
    <row r="3728" spans="1:4">
      <c r="A3728" s="216">
        <v>44502</v>
      </c>
      <c r="B3728" s="222" t="s">
        <v>21414</v>
      </c>
      <c r="C3728" s="216" t="s">
        <v>17826</v>
      </c>
      <c r="D3728" s="443">
        <v>16.07</v>
      </c>
    </row>
    <row r="3729" spans="1:4">
      <c r="A3729" s="216">
        <v>1088</v>
      </c>
      <c r="B3729" s="222" t="s">
        <v>21415</v>
      </c>
      <c r="C3729" s="216" t="s">
        <v>17678</v>
      </c>
      <c r="D3729" s="443">
        <v>34.1</v>
      </c>
    </row>
    <row r="3730" spans="1:4">
      <c r="A3730" s="216">
        <v>1087</v>
      </c>
      <c r="B3730" s="222" t="s">
        <v>21416</v>
      </c>
      <c r="C3730" s="216" t="s">
        <v>17678</v>
      </c>
      <c r="D3730" s="443">
        <v>42.6</v>
      </c>
    </row>
    <row r="3731" spans="1:4">
      <c r="A3731" s="216">
        <v>38777</v>
      </c>
      <c r="B3731" s="222" t="s">
        <v>21417</v>
      </c>
      <c r="C3731" s="216" t="s">
        <v>17678</v>
      </c>
      <c r="D3731" s="443">
        <v>84.84</v>
      </c>
    </row>
    <row r="3732" spans="1:4">
      <c r="A3732" s="216">
        <v>1086</v>
      </c>
      <c r="B3732" s="222" t="s">
        <v>21418</v>
      </c>
      <c r="C3732" s="216" t="s">
        <v>17678</v>
      </c>
      <c r="D3732" s="443">
        <v>44.77</v>
      </c>
    </row>
    <row r="3733" spans="1:4">
      <c r="A3733" s="216">
        <v>1079</v>
      </c>
      <c r="B3733" s="222" t="s">
        <v>21419</v>
      </c>
      <c r="C3733" s="216" t="s">
        <v>17678</v>
      </c>
      <c r="D3733" s="443">
        <v>46.28</v>
      </c>
    </row>
    <row r="3734" spans="1:4">
      <c r="A3734" s="216">
        <v>39374</v>
      </c>
      <c r="B3734" s="222" t="s">
        <v>21420</v>
      </c>
      <c r="C3734" s="216" t="s">
        <v>17678</v>
      </c>
      <c r="D3734" s="443">
        <v>147.6</v>
      </c>
    </row>
    <row r="3735" spans="1:4">
      <c r="A3735" s="216">
        <v>1082</v>
      </c>
      <c r="B3735" s="222" t="s">
        <v>21421</v>
      </c>
      <c r="C3735" s="216" t="s">
        <v>17678</v>
      </c>
      <c r="D3735" s="443">
        <v>290.97000000000003</v>
      </c>
    </row>
    <row r="3736" spans="1:4">
      <c r="A3736" s="216">
        <v>12316</v>
      </c>
      <c r="B3736" s="222" t="s">
        <v>21422</v>
      </c>
      <c r="C3736" s="216" t="s">
        <v>17678</v>
      </c>
      <c r="D3736" s="443">
        <v>133.36000000000001</v>
      </c>
    </row>
    <row r="3737" spans="1:4">
      <c r="A3737" s="216">
        <v>12317</v>
      </c>
      <c r="B3737" s="222" t="s">
        <v>21423</v>
      </c>
      <c r="C3737" s="216" t="s">
        <v>17678</v>
      </c>
      <c r="D3737" s="443">
        <v>159.03</v>
      </c>
    </row>
    <row r="3738" spans="1:4">
      <c r="A3738" s="216">
        <v>12318</v>
      </c>
      <c r="B3738" s="222" t="s">
        <v>21424</v>
      </c>
      <c r="C3738" s="216" t="s">
        <v>17678</v>
      </c>
      <c r="D3738" s="443">
        <v>183.21</v>
      </c>
    </row>
    <row r="3739" spans="1:4">
      <c r="A3739" s="216">
        <v>5104</v>
      </c>
      <c r="B3739" s="222" t="s">
        <v>21425</v>
      </c>
      <c r="C3739" s="216" t="s">
        <v>17726</v>
      </c>
      <c r="D3739" s="443">
        <v>74.08</v>
      </c>
    </row>
    <row r="3740" spans="1:4">
      <c r="A3740" s="216">
        <v>44530</v>
      </c>
      <c r="B3740" s="222" t="s">
        <v>21426</v>
      </c>
      <c r="C3740" s="216" t="s">
        <v>17678</v>
      </c>
      <c r="D3740" s="443">
        <v>67.36</v>
      </c>
    </row>
    <row r="3741" spans="1:4">
      <c r="A3741" s="216">
        <v>2710</v>
      </c>
      <c r="B3741" s="222" t="s">
        <v>21427</v>
      </c>
      <c r="C3741" s="216" t="s">
        <v>17678</v>
      </c>
      <c r="D3741" s="443">
        <v>53.8</v>
      </c>
    </row>
    <row r="3742" spans="1:4">
      <c r="A3742" s="216">
        <v>14575</v>
      </c>
      <c r="B3742" s="222" t="s">
        <v>21428</v>
      </c>
      <c r="C3742" s="216" t="s">
        <v>17678</v>
      </c>
      <c r="D3742" s="443">
        <v>6121721.8600000003</v>
      </c>
    </row>
    <row r="3743" spans="1:4">
      <c r="A3743" s="216">
        <v>20043</v>
      </c>
      <c r="B3743" s="222" t="s">
        <v>21429</v>
      </c>
      <c r="C3743" s="216" t="s">
        <v>17678</v>
      </c>
      <c r="D3743" s="443">
        <v>9.16</v>
      </c>
    </row>
    <row r="3744" spans="1:4">
      <c r="A3744" s="216">
        <v>20044</v>
      </c>
      <c r="B3744" s="222" t="s">
        <v>21430</v>
      </c>
      <c r="C3744" s="216" t="s">
        <v>17678</v>
      </c>
      <c r="D3744" s="443">
        <v>10.62</v>
      </c>
    </row>
    <row r="3745" spans="1:4">
      <c r="A3745" s="216">
        <v>20042</v>
      </c>
      <c r="B3745" s="222" t="s">
        <v>21431</v>
      </c>
      <c r="C3745" s="216" t="s">
        <v>17678</v>
      </c>
      <c r="D3745" s="443">
        <v>7.94</v>
      </c>
    </row>
    <row r="3746" spans="1:4">
      <c r="A3746" s="216">
        <v>20046</v>
      </c>
      <c r="B3746" s="222" t="s">
        <v>21432</v>
      </c>
      <c r="C3746" s="216" t="s">
        <v>17678</v>
      </c>
      <c r="D3746" s="443">
        <v>18.8</v>
      </c>
    </row>
    <row r="3747" spans="1:4">
      <c r="A3747" s="216">
        <v>20047</v>
      </c>
      <c r="B3747" s="222" t="s">
        <v>21433</v>
      </c>
      <c r="C3747" s="216" t="s">
        <v>17678</v>
      </c>
      <c r="D3747" s="443">
        <v>56.39</v>
      </c>
    </row>
    <row r="3748" spans="1:4">
      <c r="A3748" s="216">
        <v>20045</v>
      </c>
      <c r="B3748" s="222" t="s">
        <v>21434</v>
      </c>
      <c r="C3748" s="216" t="s">
        <v>17678</v>
      </c>
      <c r="D3748" s="443">
        <v>9.51</v>
      </c>
    </row>
    <row r="3749" spans="1:4" ht="31.5">
      <c r="A3749" s="216">
        <v>20972</v>
      </c>
      <c r="B3749" s="222" t="s">
        <v>21435</v>
      </c>
      <c r="C3749" s="216" t="s">
        <v>17678</v>
      </c>
      <c r="D3749" s="443">
        <v>178.57</v>
      </c>
    </row>
    <row r="3750" spans="1:4">
      <c r="A3750" s="216">
        <v>11321</v>
      </c>
      <c r="B3750" s="222" t="s">
        <v>21436</v>
      </c>
      <c r="C3750" s="216" t="s">
        <v>17678</v>
      </c>
      <c r="D3750" s="443">
        <v>32.78</v>
      </c>
    </row>
    <row r="3751" spans="1:4">
      <c r="A3751" s="216">
        <v>11323</v>
      </c>
      <c r="B3751" s="222" t="s">
        <v>21437</v>
      </c>
      <c r="C3751" s="216" t="s">
        <v>17678</v>
      </c>
      <c r="D3751" s="443">
        <v>37.71</v>
      </c>
    </row>
    <row r="3752" spans="1:4">
      <c r="A3752" s="216">
        <v>20327</v>
      </c>
      <c r="B3752" s="222" t="s">
        <v>21438</v>
      </c>
      <c r="C3752" s="216" t="s">
        <v>17678</v>
      </c>
      <c r="D3752" s="443">
        <v>21.4</v>
      </c>
    </row>
    <row r="3753" spans="1:4" ht="31.5">
      <c r="A3753" s="216">
        <v>13390</v>
      </c>
      <c r="B3753" s="222" t="s">
        <v>21439</v>
      </c>
      <c r="C3753" s="216" t="s">
        <v>17678</v>
      </c>
      <c r="D3753" s="443">
        <v>168.3</v>
      </c>
    </row>
    <row r="3754" spans="1:4">
      <c r="A3754" s="216">
        <v>6034</v>
      </c>
      <c r="B3754" s="222" t="s">
        <v>21440</v>
      </c>
      <c r="C3754" s="216" t="s">
        <v>17678</v>
      </c>
      <c r="D3754" s="443">
        <v>12.12</v>
      </c>
    </row>
    <row r="3755" spans="1:4">
      <c r="A3755" s="216">
        <v>6036</v>
      </c>
      <c r="B3755" s="222" t="s">
        <v>21441</v>
      </c>
      <c r="C3755" s="216" t="s">
        <v>17678</v>
      </c>
      <c r="D3755" s="443">
        <v>16.510000000000002</v>
      </c>
    </row>
    <row r="3756" spans="1:4">
      <c r="A3756" s="216">
        <v>6031</v>
      </c>
      <c r="B3756" s="222" t="s">
        <v>21442</v>
      </c>
      <c r="C3756" s="216" t="s">
        <v>17678</v>
      </c>
      <c r="D3756" s="443">
        <v>19.399999999999999</v>
      </c>
    </row>
    <row r="3757" spans="1:4">
      <c r="A3757" s="216">
        <v>6029</v>
      </c>
      <c r="B3757" s="222" t="s">
        <v>21443</v>
      </c>
      <c r="C3757" s="216" t="s">
        <v>17678</v>
      </c>
      <c r="D3757" s="443">
        <v>19.600000000000001</v>
      </c>
    </row>
    <row r="3758" spans="1:4">
      <c r="A3758" s="216">
        <v>6033</v>
      </c>
      <c r="B3758" s="222" t="s">
        <v>21444</v>
      </c>
      <c r="C3758" s="216" t="s">
        <v>17678</v>
      </c>
      <c r="D3758" s="443">
        <v>25.84</v>
      </c>
    </row>
    <row r="3759" spans="1:4">
      <c r="A3759" s="216">
        <v>11672</v>
      </c>
      <c r="B3759" s="222" t="s">
        <v>21445</v>
      </c>
      <c r="C3759" s="216" t="s">
        <v>17678</v>
      </c>
      <c r="D3759" s="443">
        <v>56.21</v>
      </c>
    </row>
    <row r="3760" spans="1:4">
      <c r="A3760" s="216">
        <v>11669</v>
      </c>
      <c r="B3760" s="222" t="s">
        <v>21446</v>
      </c>
      <c r="C3760" s="216" t="s">
        <v>17678</v>
      </c>
      <c r="D3760" s="443">
        <v>53.53</v>
      </c>
    </row>
    <row r="3761" spans="1:4">
      <c r="A3761" s="216">
        <v>11670</v>
      </c>
      <c r="B3761" s="222" t="s">
        <v>21447</v>
      </c>
      <c r="C3761" s="216" t="s">
        <v>17678</v>
      </c>
      <c r="D3761" s="443">
        <v>20.5</v>
      </c>
    </row>
    <row r="3762" spans="1:4">
      <c r="A3762" s="216">
        <v>20055</v>
      </c>
      <c r="B3762" s="222" t="s">
        <v>21448</v>
      </c>
      <c r="C3762" s="216" t="s">
        <v>17678</v>
      </c>
      <c r="D3762" s="443">
        <v>40.090000000000003</v>
      </c>
    </row>
    <row r="3763" spans="1:4">
      <c r="A3763" s="216">
        <v>11671</v>
      </c>
      <c r="B3763" s="222" t="s">
        <v>21449</v>
      </c>
      <c r="C3763" s="216" t="s">
        <v>17678</v>
      </c>
      <c r="D3763" s="443">
        <v>86.02</v>
      </c>
    </row>
    <row r="3764" spans="1:4">
      <c r="A3764" s="216">
        <v>6032</v>
      </c>
      <c r="B3764" s="222" t="s">
        <v>21450</v>
      </c>
      <c r="C3764" s="216" t="s">
        <v>17678</v>
      </c>
      <c r="D3764" s="443">
        <v>24.57</v>
      </c>
    </row>
    <row r="3765" spans="1:4">
      <c r="A3765" s="216">
        <v>11673</v>
      </c>
      <c r="B3765" s="222" t="s">
        <v>21451</v>
      </c>
      <c r="C3765" s="216" t="s">
        <v>17678</v>
      </c>
      <c r="D3765" s="443">
        <v>19.350000000000001</v>
      </c>
    </row>
    <row r="3766" spans="1:4">
      <c r="A3766" s="216">
        <v>11674</v>
      </c>
      <c r="B3766" s="222" t="s">
        <v>21452</v>
      </c>
      <c r="C3766" s="216" t="s">
        <v>17678</v>
      </c>
      <c r="D3766" s="443">
        <v>24.91</v>
      </c>
    </row>
    <row r="3767" spans="1:4">
      <c r="A3767" s="216">
        <v>11675</v>
      </c>
      <c r="B3767" s="222" t="s">
        <v>21453</v>
      </c>
      <c r="C3767" s="216" t="s">
        <v>17678</v>
      </c>
      <c r="D3767" s="443">
        <v>39.56</v>
      </c>
    </row>
    <row r="3768" spans="1:4">
      <c r="A3768" s="216">
        <v>11676</v>
      </c>
      <c r="B3768" s="222" t="s">
        <v>21454</v>
      </c>
      <c r="C3768" s="216" t="s">
        <v>17678</v>
      </c>
      <c r="D3768" s="443">
        <v>52.91</v>
      </c>
    </row>
    <row r="3769" spans="1:4">
      <c r="A3769" s="216">
        <v>11677</v>
      </c>
      <c r="B3769" s="222" t="s">
        <v>21455</v>
      </c>
      <c r="C3769" s="216" t="s">
        <v>17678</v>
      </c>
      <c r="D3769" s="443">
        <v>54.64</v>
      </c>
    </row>
    <row r="3770" spans="1:4">
      <c r="A3770" s="216">
        <v>11678</v>
      </c>
      <c r="B3770" s="222" t="s">
        <v>21456</v>
      </c>
      <c r="C3770" s="216" t="s">
        <v>17678</v>
      </c>
      <c r="D3770" s="443">
        <v>100.07</v>
      </c>
    </row>
    <row r="3771" spans="1:4">
      <c r="A3771" s="216">
        <v>6038</v>
      </c>
      <c r="B3771" s="222" t="s">
        <v>21457</v>
      </c>
      <c r="C3771" s="216" t="s">
        <v>17678</v>
      </c>
      <c r="D3771" s="443">
        <v>6.35</v>
      </c>
    </row>
    <row r="3772" spans="1:4">
      <c r="A3772" s="216">
        <v>11718</v>
      </c>
      <c r="B3772" s="222" t="s">
        <v>21458</v>
      </c>
      <c r="C3772" s="216" t="s">
        <v>17678</v>
      </c>
      <c r="D3772" s="443">
        <v>18.100000000000001</v>
      </c>
    </row>
    <row r="3773" spans="1:4">
      <c r="A3773" s="216">
        <v>6037</v>
      </c>
      <c r="B3773" s="222" t="s">
        <v>21459</v>
      </c>
      <c r="C3773" s="216" t="s">
        <v>17678</v>
      </c>
      <c r="D3773" s="443">
        <v>13.21</v>
      </c>
    </row>
    <row r="3774" spans="1:4">
      <c r="A3774" s="216">
        <v>11719</v>
      </c>
      <c r="B3774" s="222" t="s">
        <v>21460</v>
      </c>
      <c r="C3774" s="216" t="s">
        <v>17678</v>
      </c>
      <c r="D3774" s="443">
        <v>14.68</v>
      </c>
    </row>
    <row r="3775" spans="1:4">
      <c r="A3775" s="216">
        <v>6019</v>
      </c>
      <c r="B3775" s="222" t="s">
        <v>21461</v>
      </c>
      <c r="C3775" s="216" t="s">
        <v>17678</v>
      </c>
      <c r="D3775" s="443">
        <v>55.64</v>
      </c>
    </row>
    <row r="3776" spans="1:4">
      <c r="A3776" s="216">
        <v>6010</v>
      </c>
      <c r="B3776" s="222" t="s">
        <v>21462</v>
      </c>
      <c r="C3776" s="216" t="s">
        <v>17678</v>
      </c>
      <c r="D3776" s="443">
        <v>95.74</v>
      </c>
    </row>
    <row r="3777" spans="1:4">
      <c r="A3777" s="216">
        <v>6017</v>
      </c>
      <c r="B3777" s="222" t="s">
        <v>21463</v>
      </c>
      <c r="C3777" s="216" t="s">
        <v>17678</v>
      </c>
      <c r="D3777" s="443">
        <v>75.83</v>
      </c>
    </row>
    <row r="3778" spans="1:4">
      <c r="A3778" s="216">
        <v>6020</v>
      </c>
      <c r="B3778" s="222" t="s">
        <v>21464</v>
      </c>
      <c r="C3778" s="216" t="s">
        <v>17678</v>
      </c>
      <c r="D3778" s="443">
        <v>33.42</v>
      </c>
    </row>
    <row r="3779" spans="1:4">
      <c r="A3779" s="216">
        <v>6028</v>
      </c>
      <c r="B3779" s="222" t="s">
        <v>21465</v>
      </c>
      <c r="C3779" s="216" t="s">
        <v>17678</v>
      </c>
      <c r="D3779" s="443">
        <v>133.35</v>
      </c>
    </row>
    <row r="3780" spans="1:4">
      <c r="A3780" s="216">
        <v>6011</v>
      </c>
      <c r="B3780" s="222" t="s">
        <v>21466</v>
      </c>
      <c r="C3780" s="216" t="s">
        <v>17678</v>
      </c>
      <c r="D3780" s="443">
        <v>276.56</v>
      </c>
    </row>
    <row r="3781" spans="1:4">
      <c r="A3781" s="216">
        <v>6012</v>
      </c>
      <c r="B3781" s="222" t="s">
        <v>21467</v>
      </c>
      <c r="C3781" s="216" t="s">
        <v>17678</v>
      </c>
      <c r="D3781" s="443">
        <v>334.83</v>
      </c>
    </row>
    <row r="3782" spans="1:4">
      <c r="A3782" s="216">
        <v>6016</v>
      </c>
      <c r="B3782" s="222" t="s">
        <v>21468</v>
      </c>
      <c r="C3782" s="216" t="s">
        <v>17678</v>
      </c>
      <c r="D3782" s="443">
        <v>35.25</v>
      </c>
    </row>
    <row r="3783" spans="1:4">
      <c r="A3783" s="216">
        <v>6027</v>
      </c>
      <c r="B3783" s="222" t="s">
        <v>21469</v>
      </c>
      <c r="C3783" s="216" t="s">
        <v>17678</v>
      </c>
      <c r="D3783" s="443">
        <v>697.66</v>
      </c>
    </row>
    <row r="3784" spans="1:4">
      <c r="A3784" s="216">
        <v>6013</v>
      </c>
      <c r="B3784" s="222" t="s">
        <v>21470</v>
      </c>
      <c r="C3784" s="216" t="s">
        <v>17678</v>
      </c>
      <c r="D3784" s="443">
        <v>105.27</v>
      </c>
    </row>
    <row r="3785" spans="1:4">
      <c r="A3785" s="216">
        <v>6015</v>
      </c>
      <c r="B3785" s="222" t="s">
        <v>21471</v>
      </c>
      <c r="C3785" s="216" t="s">
        <v>17678</v>
      </c>
      <c r="D3785" s="443">
        <v>153.09</v>
      </c>
    </row>
    <row r="3786" spans="1:4">
      <c r="A3786" s="216">
        <v>6014</v>
      </c>
      <c r="B3786" s="222" t="s">
        <v>21472</v>
      </c>
      <c r="C3786" s="216" t="s">
        <v>17678</v>
      </c>
      <c r="D3786" s="443">
        <v>146.37</v>
      </c>
    </row>
    <row r="3787" spans="1:4">
      <c r="A3787" s="216">
        <v>6006</v>
      </c>
      <c r="B3787" s="222" t="s">
        <v>21473</v>
      </c>
      <c r="C3787" s="216" t="s">
        <v>17678</v>
      </c>
      <c r="D3787" s="443">
        <v>76.23</v>
      </c>
    </row>
    <row r="3788" spans="1:4">
      <c r="A3788" s="216">
        <v>6005</v>
      </c>
      <c r="B3788" s="222" t="s">
        <v>21474</v>
      </c>
      <c r="C3788" s="216" t="s">
        <v>17678</v>
      </c>
      <c r="D3788" s="443">
        <v>86</v>
      </c>
    </row>
    <row r="3789" spans="1:4">
      <c r="A3789" s="216">
        <v>11756</v>
      </c>
      <c r="B3789" s="222" t="s">
        <v>21475</v>
      </c>
      <c r="C3789" s="216" t="s">
        <v>17678</v>
      </c>
      <c r="D3789" s="443">
        <v>41.07</v>
      </c>
    </row>
    <row r="3790" spans="1:4" ht="31.5">
      <c r="A3790" s="216">
        <v>10904</v>
      </c>
      <c r="B3790" s="222" t="s">
        <v>21476</v>
      </c>
      <c r="C3790" s="216" t="s">
        <v>17678</v>
      </c>
      <c r="D3790" s="443">
        <v>250</v>
      </c>
    </row>
    <row r="3791" spans="1:4">
      <c r="A3791" s="216">
        <v>11752</v>
      </c>
      <c r="B3791" s="222" t="s">
        <v>21477</v>
      </c>
      <c r="C3791" s="216" t="s">
        <v>17678</v>
      </c>
      <c r="D3791" s="443">
        <v>23.68</v>
      </c>
    </row>
    <row r="3792" spans="1:4">
      <c r="A3792" s="216">
        <v>11753</v>
      </c>
      <c r="B3792" s="222" t="s">
        <v>21478</v>
      </c>
      <c r="C3792" s="216" t="s">
        <v>17678</v>
      </c>
      <c r="D3792" s="443">
        <v>28.27</v>
      </c>
    </row>
    <row r="3793" spans="1:4">
      <c r="A3793" s="216">
        <v>6021</v>
      </c>
      <c r="B3793" s="222" t="s">
        <v>21479</v>
      </c>
      <c r="C3793" s="216" t="s">
        <v>17678</v>
      </c>
      <c r="D3793" s="443">
        <v>78.47</v>
      </c>
    </row>
    <row r="3794" spans="1:4">
      <c r="A3794" s="216">
        <v>6024</v>
      </c>
      <c r="B3794" s="222" t="s">
        <v>21480</v>
      </c>
      <c r="C3794" s="216" t="s">
        <v>17678</v>
      </c>
      <c r="D3794" s="443">
        <v>81.11</v>
      </c>
    </row>
    <row r="3795" spans="1:4">
      <c r="A3795" s="216">
        <v>38379</v>
      </c>
      <c r="B3795" s="222" t="s">
        <v>21481</v>
      </c>
      <c r="C3795" s="216" t="s">
        <v>17722</v>
      </c>
      <c r="D3795" s="443">
        <v>45.72</v>
      </c>
    </row>
    <row r="3796" spans="1:4">
      <c r="A3796" s="216">
        <v>13897</v>
      </c>
      <c r="B3796" s="222" t="s">
        <v>21482</v>
      </c>
      <c r="C3796" s="216" t="s">
        <v>17678</v>
      </c>
      <c r="D3796" s="443">
        <v>7016.57</v>
      </c>
    </row>
    <row r="3797" spans="1:4">
      <c r="A3797" s="216">
        <v>10640</v>
      </c>
      <c r="B3797" s="222" t="s">
        <v>21483</v>
      </c>
      <c r="C3797" s="216" t="s">
        <v>17678</v>
      </c>
      <c r="D3797" s="443">
        <v>15196.43</v>
      </c>
    </row>
    <row r="3798" spans="1:4">
      <c r="A3798" s="216">
        <v>34357</v>
      </c>
      <c r="B3798" s="222" t="s">
        <v>21484</v>
      </c>
      <c r="C3798" s="216" t="s">
        <v>17726</v>
      </c>
      <c r="D3798" s="443">
        <v>4.28</v>
      </c>
    </row>
    <row r="3799" spans="1:4">
      <c r="A3799" s="216">
        <v>37329</v>
      </c>
      <c r="B3799" s="222" t="s">
        <v>21485</v>
      </c>
      <c r="C3799" s="216" t="s">
        <v>17726</v>
      </c>
      <c r="D3799" s="443">
        <v>90.28</v>
      </c>
    </row>
    <row r="3800" spans="1:4">
      <c r="A3800" s="216">
        <v>2510</v>
      </c>
      <c r="B3800" s="222" t="s">
        <v>21486</v>
      </c>
      <c r="C3800" s="216" t="s">
        <v>17678</v>
      </c>
      <c r="D3800" s="443">
        <v>42.15</v>
      </c>
    </row>
    <row r="3801" spans="1:4" ht="31.5">
      <c r="A3801" s="216">
        <v>12359</v>
      </c>
      <c r="B3801" s="222" t="s">
        <v>21487</v>
      </c>
      <c r="C3801" s="216" t="s">
        <v>17678</v>
      </c>
      <c r="D3801" s="443">
        <v>100.23</v>
      </c>
    </row>
    <row r="3802" spans="1:4">
      <c r="A3802" s="216">
        <v>7353</v>
      </c>
      <c r="B3802" s="222" t="s">
        <v>21488</v>
      </c>
      <c r="C3802" s="216" t="s">
        <v>17728</v>
      </c>
      <c r="D3802" s="443">
        <v>29.48</v>
      </c>
    </row>
    <row r="3803" spans="1:4">
      <c r="A3803" s="216">
        <v>36144</v>
      </c>
      <c r="B3803" s="222" t="s">
        <v>21489</v>
      </c>
      <c r="C3803" s="216" t="s">
        <v>17678</v>
      </c>
      <c r="D3803" s="443">
        <v>1.5</v>
      </c>
    </row>
    <row r="3804" spans="1:4">
      <c r="A3804" s="216">
        <v>10518</v>
      </c>
      <c r="B3804" s="222" t="s">
        <v>21490</v>
      </c>
      <c r="C3804" s="216" t="s">
        <v>17678</v>
      </c>
      <c r="D3804" s="443">
        <v>126.02</v>
      </c>
    </row>
    <row r="3805" spans="1:4" ht="47.25">
      <c r="A3805" s="216">
        <v>36530</v>
      </c>
      <c r="B3805" s="222" t="s">
        <v>21491</v>
      </c>
      <c r="C3805" s="216" t="s">
        <v>17678</v>
      </c>
      <c r="D3805" s="443">
        <v>428707.3</v>
      </c>
    </row>
    <row r="3806" spans="1:4" ht="47.25">
      <c r="A3806" s="216">
        <v>6046</v>
      </c>
      <c r="B3806" s="222" t="s">
        <v>21492</v>
      </c>
      <c r="C3806" s="216" t="s">
        <v>17678</v>
      </c>
      <c r="D3806" s="443">
        <v>465000</v>
      </c>
    </row>
    <row r="3807" spans="1:4" ht="47.25">
      <c r="A3807" s="216">
        <v>36531</v>
      </c>
      <c r="B3807" s="222" t="s">
        <v>21493</v>
      </c>
      <c r="C3807" s="216" t="s">
        <v>17678</v>
      </c>
      <c r="D3807" s="443">
        <v>482012.15999999997</v>
      </c>
    </row>
    <row r="3808" spans="1:4">
      <c r="A3808" s="216">
        <v>34684</v>
      </c>
      <c r="B3808" s="222" t="s">
        <v>21494</v>
      </c>
      <c r="C3808" s="216" t="s">
        <v>18087</v>
      </c>
      <c r="D3808" s="443">
        <v>256.62</v>
      </c>
    </row>
    <row r="3809" spans="1:4" ht="31.5">
      <c r="A3809" s="216">
        <v>34683</v>
      </c>
      <c r="B3809" s="222" t="s">
        <v>21495</v>
      </c>
      <c r="C3809" s="216" t="s">
        <v>18087</v>
      </c>
      <c r="D3809" s="443">
        <v>160.38999999999999</v>
      </c>
    </row>
    <row r="3810" spans="1:4" ht="31.5">
      <c r="A3810" s="216">
        <v>533</v>
      </c>
      <c r="B3810" s="222" t="s">
        <v>21496</v>
      </c>
      <c r="C3810" s="216" t="s">
        <v>18087</v>
      </c>
      <c r="D3810" s="443">
        <v>24.47</v>
      </c>
    </row>
    <row r="3811" spans="1:4">
      <c r="A3811" s="216">
        <v>10515</v>
      </c>
      <c r="B3811" s="222" t="s">
        <v>21497</v>
      </c>
      <c r="C3811" s="216" t="s">
        <v>18087</v>
      </c>
      <c r="D3811" s="443">
        <v>46.17</v>
      </c>
    </row>
    <row r="3812" spans="1:4" ht="31.5">
      <c r="A3812" s="216">
        <v>536</v>
      </c>
      <c r="B3812" s="222" t="s">
        <v>21498</v>
      </c>
      <c r="C3812" s="216" t="s">
        <v>18087</v>
      </c>
      <c r="D3812" s="443">
        <v>33.4</v>
      </c>
    </row>
    <row r="3813" spans="1:4">
      <c r="A3813" s="216">
        <v>153</v>
      </c>
      <c r="B3813" s="222" t="s">
        <v>21499</v>
      </c>
      <c r="C3813" s="216" t="s">
        <v>17728</v>
      </c>
      <c r="D3813" s="443">
        <v>94.28</v>
      </c>
    </row>
    <row r="3814" spans="1:4">
      <c r="A3814" s="216">
        <v>34682</v>
      </c>
      <c r="B3814" s="222" t="s">
        <v>21500</v>
      </c>
      <c r="C3814" s="216" t="s">
        <v>18087</v>
      </c>
      <c r="D3814" s="443">
        <v>122.65</v>
      </c>
    </row>
    <row r="3815" spans="1:4">
      <c r="A3815" s="216">
        <v>20205</v>
      </c>
      <c r="B3815" s="222" t="s">
        <v>21501</v>
      </c>
      <c r="C3815" s="216" t="s">
        <v>17722</v>
      </c>
      <c r="D3815" s="443">
        <v>4.47</v>
      </c>
    </row>
    <row r="3816" spans="1:4">
      <c r="A3816" s="216">
        <v>4412</v>
      </c>
      <c r="B3816" s="222" t="s">
        <v>21502</v>
      </c>
      <c r="C3816" s="216" t="s">
        <v>17722</v>
      </c>
      <c r="D3816" s="443">
        <v>2.68</v>
      </c>
    </row>
    <row r="3817" spans="1:4">
      <c r="A3817" s="216">
        <v>4408</v>
      </c>
      <c r="B3817" s="222" t="s">
        <v>21503</v>
      </c>
      <c r="C3817" s="216" t="s">
        <v>17722</v>
      </c>
      <c r="D3817" s="443">
        <v>3.34</v>
      </c>
    </row>
    <row r="3818" spans="1:4">
      <c r="A3818" s="216">
        <v>36250</v>
      </c>
      <c r="B3818" s="222" t="s">
        <v>21504</v>
      </c>
      <c r="C3818" s="216" t="s">
        <v>17722</v>
      </c>
      <c r="D3818" s="443">
        <v>5.58</v>
      </c>
    </row>
    <row r="3819" spans="1:4">
      <c r="A3819" s="216">
        <v>10857</v>
      </c>
      <c r="B3819" s="222" t="s">
        <v>21505</v>
      </c>
      <c r="C3819" s="216" t="s">
        <v>17722</v>
      </c>
      <c r="D3819" s="443">
        <v>24.15</v>
      </c>
    </row>
    <row r="3820" spans="1:4">
      <c r="A3820" s="216">
        <v>4803</v>
      </c>
      <c r="B3820" s="222" t="s">
        <v>21506</v>
      </c>
      <c r="C3820" s="216" t="s">
        <v>17722</v>
      </c>
      <c r="D3820" s="443">
        <v>36.28</v>
      </c>
    </row>
    <row r="3821" spans="1:4">
      <c r="A3821" s="216">
        <v>6186</v>
      </c>
      <c r="B3821" s="222" t="s">
        <v>21507</v>
      </c>
      <c r="C3821" s="216" t="s">
        <v>17722</v>
      </c>
      <c r="D3821" s="443">
        <v>14.13</v>
      </c>
    </row>
    <row r="3822" spans="1:4">
      <c r="A3822" s="216">
        <v>4829</v>
      </c>
      <c r="B3822" s="222" t="s">
        <v>21508</v>
      </c>
      <c r="C3822" s="216" t="s">
        <v>17722</v>
      </c>
      <c r="D3822" s="443">
        <v>59.52</v>
      </c>
    </row>
    <row r="3823" spans="1:4">
      <c r="A3823" s="216">
        <v>39829</v>
      </c>
      <c r="B3823" s="222" t="s">
        <v>21509</v>
      </c>
      <c r="C3823" s="216" t="s">
        <v>17722</v>
      </c>
      <c r="D3823" s="443">
        <v>29.38</v>
      </c>
    </row>
    <row r="3824" spans="1:4" ht="31.5">
      <c r="A3824" s="216">
        <v>20231</v>
      </c>
      <c r="B3824" s="222" t="s">
        <v>21510</v>
      </c>
      <c r="C3824" s="216" t="s">
        <v>17722</v>
      </c>
      <c r="D3824" s="443">
        <v>61.02</v>
      </c>
    </row>
    <row r="3825" spans="1:4">
      <c r="A3825" s="216">
        <v>4804</v>
      </c>
      <c r="B3825" s="222" t="s">
        <v>21511</v>
      </c>
      <c r="C3825" s="216" t="s">
        <v>17722</v>
      </c>
      <c r="D3825" s="443">
        <v>27.85</v>
      </c>
    </row>
    <row r="3826" spans="1:4">
      <c r="A3826" s="216">
        <v>34680</v>
      </c>
      <c r="B3826" s="222" t="s">
        <v>21512</v>
      </c>
      <c r="C3826" s="216" t="s">
        <v>17722</v>
      </c>
      <c r="D3826" s="443">
        <v>37.729999999999997</v>
      </c>
    </row>
    <row r="3827" spans="1:4" ht="31.5">
      <c r="A3827" s="216">
        <v>11573</v>
      </c>
      <c r="B3827" s="222" t="s">
        <v>21513</v>
      </c>
      <c r="C3827" s="216" t="s">
        <v>17678</v>
      </c>
      <c r="D3827" s="443">
        <v>5.81</v>
      </c>
    </row>
    <row r="3828" spans="1:4">
      <c r="A3828" s="216">
        <v>38401</v>
      </c>
      <c r="B3828" s="222" t="s">
        <v>21514</v>
      </c>
      <c r="C3828" s="216" t="s">
        <v>17678</v>
      </c>
      <c r="D3828" s="443">
        <v>16.36</v>
      </c>
    </row>
    <row r="3829" spans="1:4" ht="31.5">
      <c r="A3829" s="216">
        <v>11575</v>
      </c>
      <c r="B3829" s="222" t="s">
        <v>21515</v>
      </c>
      <c r="C3829" s="216" t="s">
        <v>17678</v>
      </c>
      <c r="D3829" s="443">
        <v>56.02</v>
      </c>
    </row>
    <row r="3830" spans="1:4" ht="31.5">
      <c r="A3830" s="216">
        <v>38179</v>
      </c>
      <c r="B3830" s="222" t="s">
        <v>21516</v>
      </c>
      <c r="C3830" s="216" t="s">
        <v>17678</v>
      </c>
      <c r="D3830" s="443">
        <v>46.32</v>
      </c>
    </row>
    <row r="3831" spans="1:4">
      <c r="A3831" s="216">
        <v>20256</v>
      </c>
      <c r="B3831" s="222" t="s">
        <v>21517</v>
      </c>
      <c r="C3831" s="216" t="s">
        <v>17678</v>
      </c>
      <c r="D3831" s="443">
        <v>0.45</v>
      </c>
    </row>
    <row r="3832" spans="1:4" ht="31.5">
      <c r="A3832" s="216">
        <v>14511</v>
      </c>
      <c r="B3832" s="222" t="s">
        <v>21518</v>
      </c>
      <c r="C3832" s="216" t="s">
        <v>17678</v>
      </c>
      <c r="D3832" s="443">
        <v>1008440.58</v>
      </c>
    </row>
    <row r="3833" spans="1:4" ht="31.5">
      <c r="A3833" s="216">
        <v>10642</v>
      </c>
      <c r="B3833" s="222" t="s">
        <v>21519</v>
      </c>
      <c r="C3833" s="216" t="s">
        <v>17678</v>
      </c>
      <c r="D3833" s="443">
        <v>950000</v>
      </c>
    </row>
    <row r="3834" spans="1:4" ht="31.5">
      <c r="A3834" s="216">
        <v>14489</v>
      </c>
      <c r="B3834" s="222" t="s">
        <v>21520</v>
      </c>
      <c r="C3834" s="216" t="s">
        <v>17678</v>
      </c>
      <c r="D3834" s="443">
        <v>842632.33</v>
      </c>
    </row>
    <row r="3835" spans="1:4" ht="31.5">
      <c r="A3835" s="216">
        <v>14513</v>
      </c>
      <c r="B3835" s="222" t="s">
        <v>21521</v>
      </c>
      <c r="C3835" s="216" t="s">
        <v>17678</v>
      </c>
      <c r="D3835" s="443">
        <v>631994.24</v>
      </c>
    </row>
    <row r="3836" spans="1:4" ht="31.5">
      <c r="A3836" s="216">
        <v>13600</v>
      </c>
      <c r="B3836" s="222" t="s">
        <v>21522</v>
      </c>
      <c r="C3836" s="216" t="s">
        <v>17678</v>
      </c>
      <c r="D3836" s="443">
        <v>815450.55</v>
      </c>
    </row>
    <row r="3837" spans="1:4" ht="31.5">
      <c r="A3837" s="216">
        <v>10646</v>
      </c>
      <c r="B3837" s="222" t="s">
        <v>21523</v>
      </c>
      <c r="C3837" s="216" t="s">
        <v>17678</v>
      </c>
      <c r="D3837" s="443">
        <v>607864.05000000005</v>
      </c>
    </row>
    <row r="3838" spans="1:4" ht="31.5">
      <c r="A3838" s="216">
        <v>6070</v>
      </c>
      <c r="B3838" s="222" t="s">
        <v>21524</v>
      </c>
      <c r="C3838" s="216" t="s">
        <v>17678</v>
      </c>
      <c r="D3838" s="443">
        <v>830571.41</v>
      </c>
    </row>
    <row r="3839" spans="1:4" ht="31.5">
      <c r="A3839" s="216">
        <v>6069</v>
      </c>
      <c r="B3839" s="222" t="s">
        <v>21525</v>
      </c>
      <c r="C3839" s="216" t="s">
        <v>17678</v>
      </c>
      <c r="D3839" s="443">
        <v>183485.75</v>
      </c>
    </row>
    <row r="3840" spans="1:4" ht="31.5">
      <c r="A3840" s="216">
        <v>14626</v>
      </c>
      <c r="B3840" s="222" t="s">
        <v>21526</v>
      </c>
      <c r="C3840" s="216" t="s">
        <v>17678</v>
      </c>
      <c r="D3840" s="443">
        <v>909285.75</v>
      </c>
    </row>
    <row r="3841" spans="1:4" ht="31.5">
      <c r="A3841" s="216">
        <v>6067</v>
      </c>
      <c r="B3841" s="222" t="s">
        <v>21527</v>
      </c>
      <c r="C3841" s="216" t="s">
        <v>17678</v>
      </c>
      <c r="D3841" s="443">
        <v>746428.58</v>
      </c>
    </row>
    <row r="3842" spans="1:4">
      <c r="A3842" s="216">
        <v>38393</v>
      </c>
      <c r="B3842" s="222" t="s">
        <v>21528</v>
      </c>
      <c r="C3842" s="216" t="s">
        <v>17678</v>
      </c>
      <c r="D3842" s="443">
        <v>14.5</v>
      </c>
    </row>
    <row r="3843" spans="1:4">
      <c r="A3843" s="216">
        <v>38390</v>
      </c>
      <c r="B3843" s="222" t="s">
        <v>21529</v>
      </c>
      <c r="C3843" s="216" t="s">
        <v>17678</v>
      </c>
      <c r="D3843" s="443">
        <v>32.159999999999997</v>
      </c>
    </row>
    <row r="3844" spans="1:4">
      <c r="A3844" s="216">
        <v>36532</v>
      </c>
      <c r="B3844" s="222" t="s">
        <v>21530</v>
      </c>
      <c r="C3844" s="216" t="s">
        <v>17678</v>
      </c>
      <c r="D3844" s="443">
        <v>23861.75</v>
      </c>
    </row>
    <row r="3845" spans="1:4" ht="31.5">
      <c r="A3845" s="216">
        <v>11578</v>
      </c>
      <c r="B3845" s="222" t="s">
        <v>21531</v>
      </c>
      <c r="C3845" s="216" t="s">
        <v>17678</v>
      </c>
      <c r="D3845" s="443">
        <v>12.09</v>
      </c>
    </row>
    <row r="3846" spans="1:4" ht="31.5">
      <c r="A3846" s="216">
        <v>11577</v>
      </c>
      <c r="B3846" s="222" t="s">
        <v>21532</v>
      </c>
      <c r="C3846" s="216" t="s">
        <v>17678</v>
      </c>
      <c r="D3846" s="443">
        <v>11.54</v>
      </c>
    </row>
    <row r="3847" spans="1:4" ht="31.5">
      <c r="A3847" s="216">
        <v>42432</v>
      </c>
      <c r="B3847" s="222" t="s">
        <v>21533</v>
      </c>
      <c r="C3847" s="216" t="s">
        <v>17678</v>
      </c>
      <c r="D3847" s="443">
        <v>2403.2800000000002</v>
      </c>
    </row>
    <row r="3848" spans="1:4" ht="31.5">
      <c r="A3848" s="216">
        <v>42437</v>
      </c>
      <c r="B3848" s="222" t="s">
        <v>21534</v>
      </c>
      <c r="C3848" s="216" t="s">
        <v>17678</v>
      </c>
      <c r="D3848" s="443">
        <v>1827.13</v>
      </c>
    </row>
    <row r="3849" spans="1:4">
      <c r="A3849" s="216">
        <v>1116</v>
      </c>
      <c r="B3849" s="222" t="s">
        <v>21535</v>
      </c>
      <c r="C3849" s="216" t="s">
        <v>17722</v>
      </c>
      <c r="D3849" s="443">
        <v>28.21</v>
      </c>
    </row>
    <row r="3850" spans="1:4">
      <c r="A3850" s="216">
        <v>1115</v>
      </c>
      <c r="B3850" s="222" t="s">
        <v>21536</v>
      </c>
      <c r="C3850" s="216" t="s">
        <v>17722</v>
      </c>
      <c r="D3850" s="443">
        <v>33.799999999999997</v>
      </c>
    </row>
    <row r="3851" spans="1:4">
      <c r="A3851" s="216">
        <v>1113</v>
      </c>
      <c r="B3851" s="222" t="s">
        <v>21537</v>
      </c>
      <c r="C3851" s="216" t="s">
        <v>17722</v>
      </c>
      <c r="D3851" s="443">
        <v>39.520000000000003</v>
      </c>
    </row>
    <row r="3852" spans="1:4">
      <c r="A3852" s="216">
        <v>1114</v>
      </c>
      <c r="B3852" s="222" t="s">
        <v>21538</v>
      </c>
      <c r="C3852" s="216" t="s">
        <v>17722</v>
      </c>
      <c r="D3852" s="443">
        <v>47.07</v>
      </c>
    </row>
    <row r="3853" spans="1:4">
      <c r="A3853" s="216">
        <v>40873</v>
      </c>
      <c r="B3853" s="222" t="s">
        <v>21539</v>
      </c>
      <c r="C3853" s="216" t="s">
        <v>17722</v>
      </c>
      <c r="D3853" s="443">
        <v>36.840000000000003</v>
      </c>
    </row>
    <row r="3854" spans="1:4">
      <c r="A3854" s="216">
        <v>20214</v>
      </c>
      <c r="B3854" s="222" t="s">
        <v>21540</v>
      </c>
      <c r="C3854" s="216" t="s">
        <v>17678</v>
      </c>
      <c r="D3854" s="443">
        <v>57.1</v>
      </c>
    </row>
    <row r="3855" spans="1:4" ht="31.5">
      <c r="A3855" s="216">
        <v>7237</v>
      </c>
      <c r="B3855" s="222" t="s">
        <v>21541</v>
      </c>
      <c r="C3855" s="216" t="s">
        <v>17678</v>
      </c>
      <c r="D3855" s="443">
        <v>55.9</v>
      </c>
    </row>
    <row r="3856" spans="1:4">
      <c r="A3856" s="216">
        <v>11757</v>
      </c>
      <c r="B3856" s="222" t="s">
        <v>21542</v>
      </c>
      <c r="C3856" s="216" t="s">
        <v>17678</v>
      </c>
      <c r="D3856" s="443">
        <v>63.95</v>
      </c>
    </row>
    <row r="3857" spans="1:4">
      <c r="A3857" s="216">
        <v>11758</v>
      </c>
      <c r="B3857" s="222" t="s">
        <v>21543</v>
      </c>
      <c r="C3857" s="216" t="s">
        <v>17678</v>
      </c>
      <c r="D3857" s="443">
        <v>44.9</v>
      </c>
    </row>
    <row r="3858" spans="1:4">
      <c r="A3858" s="216">
        <v>37526</v>
      </c>
      <c r="B3858" s="222" t="s">
        <v>21544</v>
      </c>
      <c r="C3858" s="216" t="s">
        <v>17678</v>
      </c>
      <c r="D3858" s="443">
        <v>3.33</v>
      </c>
    </row>
    <row r="3859" spans="1:4">
      <c r="A3859" s="216">
        <v>6076</v>
      </c>
      <c r="B3859" s="222" t="s">
        <v>21545</v>
      </c>
      <c r="C3859" s="216" t="s">
        <v>17824</v>
      </c>
      <c r="D3859" s="443">
        <v>66.599999999999994</v>
      </c>
    </row>
    <row r="3860" spans="1:4">
      <c r="A3860" s="216">
        <v>13109</v>
      </c>
      <c r="B3860" s="222" t="s">
        <v>21546</v>
      </c>
      <c r="C3860" s="216" t="s">
        <v>17678</v>
      </c>
      <c r="D3860" s="443">
        <v>270.93</v>
      </c>
    </row>
    <row r="3861" spans="1:4">
      <c r="A3861" s="216">
        <v>13110</v>
      </c>
      <c r="B3861" s="222" t="s">
        <v>21547</v>
      </c>
      <c r="C3861" s="216" t="s">
        <v>17678</v>
      </c>
      <c r="D3861" s="443">
        <v>356.56</v>
      </c>
    </row>
    <row r="3862" spans="1:4">
      <c r="A3862" s="216">
        <v>7581</v>
      </c>
      <c r="B3862" s="222" t="s">
        <v>21548</v>
      </c>
      <c r="C3862" s="216" t="s">
        <v>17678</v>
      </c>
      <c r="D3862" s="443">
        <v>2.0499999999999998</v>
      </c>
    </row>
    <row r="3863" spans="1:4">
      <c r="A3863" s="216">
        <v>4509</v>
      </c>
      <c r="B3863" s="222" t="s">
        <v>21549</v>
      </c>
      <c r="C3863" s="216" t="s">
        <v>17722</v>
      </c>
      <c r="D3863" s="443">
        <v>3.44</v>
      </c>
    </row>
    <row r="3864" spans="1:4">
      <c r="A3864" s="216">
        <v>4512</v>
      </c>
      <c r="B3864" s="222" t="s">
        <v>21550</v>
      </c>
      <c r="C3864" s="216" t="s">
        <v>17722</v>
      </c>
      <c r="D3864" s="443">
        <v>1.64</v>
      </c>
    </row>
    <row r="3865" spans="1:4">
      <c r="A3865" s="216">
        <v>4517</v>
      </c>
      <c r="B3865" s="222" t="s">
        <v>21551</v>
      </c>
      <c r="C3865" s="216" t="s">
        <v>17722</v>
      </c>
      <c r="D3865" s="443">
        <v>2.37</v>
      </c>
    </row>
    <row r="3866" spans="1:4">
      <c r="A3866" s="216">
        <v>20206</v>
      </c>
      <c r="B3866" s="222" t="s">
        <v>21552</v>
      </c>
      <c r="C3866" s="216" t="s">
        <v>17722</v>
      </c>
      <c r="D3866" s="443">
        <v>12.06</v>
      </c>
    </row>
    <row r="3867" spans="1:4">
      <c r="A3867" s="216">
        <v>4460</v>
      </c>
      <c r="B3867" s="222" t="s">
        <v>21553</v>
      </c>
      <c r="C3867" s="216" t="s">
        <v>17722</v>
      </c>
      <c r="D3867" s="443">
        <v>12.38</v>
      </c>
    </row>
    <row r="3868" spans="1:4">
      <c r="A3868" s="216">
        <v>4417</v>
      </c>
      <c r="B3868" s="222" t="s">
        <v>21554</v>
      </c>
      <c r="C3868" s="216" t="s">
        <v>17722</v>
      </c>
      <c r="D3868" s="443">
        <v>9.5500000000000007</v>
      </c>
    </row>
    <row r="3869" spans="1:4">
      <c r="A3869" s="216">
        <v>4415</v>
      </c>
      <c r="B3869" s="222" t="s">
        <v>21555</v>
      </c>
      <c r="C3869" s="216" t="s">
        <v>17722</v>
      </c>
      <c r="D3869" s="443">
        <v>6.63</v>
      </c>
    </row>
    <row r="3870" spans="1:4">
      <c r="A3870" s="216">
        <v>37373</v>
      </c>
      <c r="B3870" s="222" t="s">
        <v>21556</v>
      </c>
      <c r="C3870" s="216" t="s">
        <v>17826</v>
      </c>
      <c r="D3870" s="443">
        <v>7.0000000000000007E-2</v>
      </c>
    </row>
    <row r="3871" spans="1:4">
      <c r="A3871" s="216">
        <v>40864</v>
      </c>
      <c r="B3871" s="222" t="s">
        <v>21557</v>
      </c>
      <c r="C3871" s="216" t="s">
        <v>17828</v>
      </c>
      <c r="D3871" s="443">
        <v>12.89</v>
      </c>
    </row>
    <row r="3872" spans="1:4">
      <c r="A3872" s="216">
        <v>4734</v>
      </c>
      <c r="B3872" s="222" t="s">
        <v>21558</v>
      </c>
      <c r="C3872" s="216" t="s">
        <v>17824</v>
      </c>
      <c r="D3872" s="443">
        <v>200.58</v>
      </c>
    </row>
    <row r="3873" spans="1:4">
      <c r="A3873" s="216">
        <v>6085</v>
      </c>
      <c r="B3873" s="222" t="s">
        <v>21559</v>
      </c>
      <c r="C3873" s="216" t="s">
        <v>17728</v>
      </c>
      <c r="D3873" s="443">
        <v>10.14</v>
      </c>
    </row>
    <row r="3874" spans="1:4">
      <c r="A3874" s="216">
        <v>38396</v>
      </c>
      <c r="B3874" s="222" t="s">
        <v>21560</v>
      </c>
      <c r="C3874" s="216" t="s">
        <v>17678</v>
      </c>
      <c r="D3874" s="443">
        <v>759.17</v>
      </c>
    </row>
    <row r="3875" spans="1:4">
      <c r="A3875" s="216">
        <v>11622</v>
      </c>
      <c r="B3875" s="222" t="s">
        <v>21561</v>
      </c>
      <c r="C3875" s="216" t="s">
        <v>17726</v>
      </c>
      <c r="D3875" s="443">
        <v>71.040000000000006</v>
      </c>
    </row>
    <row r="3876" spans="1:4" ht="31.5">
      <c r="A3876" s="216">
        <v>43143</v>
      </c>
      <c r="B3876" s="222" t="s">
        <v>21562</v>
      </c>
      <c r="C3876" s="216" t="s">
        <v>17728</v>
      </c>
      <c r="D3876" s="443">
        <v>26.83</v>
      </c>
    </row>
    <row r="3877" spans="1:4">
      <c r="A3877" s="216">
        <v>7317</v>
      </c>
      <c r="B3877" s="222" t="s">
        <v>21563</v>
      </c>
      <c r="C3877" s="216" t="s">
        <v>17726</v>
      </c>
      <c r="D3877" s="443">
        <v>42.49</v>
      </c>
    </row>
    <row r="3878" spans="1:4">
      <c r="A3878" s="216">
        <v>142</v>
      </c>
      <c r="B3878" s="222" t="s">
        <v>21564</v>
      </c>
      <c r="C3878" s="216" t="s">
        <v>21565</v>
      </c>
      <c r="D3878" s="443">
        <v>33.520000000000003</v>
      </c>
    </row>
    <row r="3879" spans="1:4">
      <c r="A3879" s="216">
        <v>43142</v>
      </c>
      <c r="B3879" s="222" t="s">
        <v>21566</v>
      </c>
      <c r="C3879" s="216" t="s">
        <v>17728</v>
      </c>
      <c r="D3879" s="443">
        <v>152.27000000000001</v>
      </c>
    </row>
    <row r="3880" spans="1:4">
      <c r="A3880" s="216">
        <v>38123</v>
      </c>
      <c r="B3880" s="222" t="s">
        <v>21567</v>
      </c>
      <c r="C3880" s="216" t="s">
        <v>17726</v>
      </c>
      <c r="D3880" s="443">
        <v>64.099999999999994</v>
      </c>
    </row>
    <row r="3881" spans="1:4">
      <c r="A3881" s="216">
        <v>42699</v>
      </c>
      <c r="B3881" s="222" t="s">
        <v>21568</v>
      </c>
      <c r="C3881" s="216" t="s">
        <v>17678</v>
      </c>
      <c r="D3881" s="443">
        <v>32.950000000000003</v>
      </c>
    </row>
    <row r="3882" spans="1:4" ht="31.5">
      <c r="A3882" s="216">
        <v>37743</v>
      </c>
      <c r="B3882" s="222" t="s">
        <v>21569</v>
      </c>
      <c r="C3882" s="216" t="s">
        <v>17678</v>
      </c>
      <c r="D3882" s="443">
        <v>281013.98</v>
      </c>
    </row>
    <row r="3883" spans="1:4" ht="31.5">
      <c r="A3883" s="216">
        <v>37744</v>
      </c>
      <c r="B3883" s="222" t="s">
        <v>21570</v>
      </c>
      <c r="C3883" s="216" t="s">
        <v>17678</v>
      </c>
      <c r="D3883" s="443">
        <v>330419.58</v>
      </c>
    </row>
    <row r="3884" spans="1:4" ht="31.5">
      <c r="A3884" s="216">
        <v>37741</v>
      </c>
      <c r="B3884" s="222" t="s">
        <v>21571</v>
      </c>
      <c r="C3884" s="216" t="s">
        <v>17678</v>
      </c>
      <c r="D3884" s="443">
        <v>255524.47</v>
      </c>
    </row>
    <row r="3885" spans="1:4" ht="31.5">
      <c r="A3885" s="216">
        <v>39396</v>
      </c>
      <c r="B3885" s="222" t="s">
        <v>21572</v>
      </c>
      <c r="C3885" s="216" t="s">
        <v>17678</v>
      </c>
      <c r="D3885" s="443">
        <v>82.54</v>
      </c>
    </row>
    <row r="3886" spans="1:4" ht="31.5">
      <c r="A3886" s="216">
        <v>39392</v>
      </c>
      <c r="B3886" s="222" t="s">
        <v>21573</v>
      </c>
      <c r="C3886" s="216" t="s">
        <v>17678</v>
      </c>
      <c r="D3886" s="443">
        <v>93.11</v>
      </c>
    </row>
    <row r="3887" spans="1:4" ht="31.5">
      <c r="A3887" s="216">
        <v>39393</v>
      </c>
      <c r="B3887" s="222" t="s">
        <v>21574</v>
      </c>
      <c r="C3887" s="216" t="s">
        <v>17678</v>
      </c>
      <c r="D3887" s="443">
        <v>57.58</v>
      </c>
    </row>
    <row r="3888" spans="1:4" ht="31.5">
      <c r="A3888" s="216">
        <v>39394</v>
      </c>
      <c r="B3888" s="222" t="s">
        <v>21575</v>
      </c>
      <c r="C3888" s="216" t="s">
        <v>17678</v>
      </c>
      <c r="D3888" s="443">
        <v>64.81</v>
      </c>
    </row>
    <row r="3889" spans="1:4" ht="31.5">
      <c r="A3889" s="216">
        <v>39395</v>
      </c>
      <c r="B3889" s="222" t="s">
        <v>21576</v>
      </c>
      <c r="C3889" s="216" t="s">
        <v>17678</v>
      </c>
      <c r="D3889" s="443">
        <v>60.27</v>
      </c>
    </row>
    <row r="3890" spans="1:4" ht="31.5">
      <c r="A3890" s="216">
        <v>14618</v>
      </c>
      <c r="B3890" s="222" t="s">
        <v>21577</v>
      </c>
      <c r="C3890" s="216" t="s">
        <v>17678</v>
      </c>
      <c r="D3890" s="443">
        <v>1203.6300000000001</v>
      </c>
    </row>
    <row r="3891" spans="1:4" ht="31.5">
      <c r="A3891" s="216">
        <v>40269</v>
      </c>
      <c r="B3891" s="222" t="s">
        <v>21578</v>
      </c>
      <c r="C3891" s="216" t="s">
        <v>17678</v>
      </c>
      <c r="D3891" s="443">
        <v>4849.34</v>
      </c>
    </row>
    <row r="3892" spans="1:4">
      <c r="A3892" s="216">
        <v>6110</v>
      </c>
      <c r="B3892" s="222" t="s">
        <v>21579</v>
      </c>
      <c r="C3892" s="216" t="s">
        <v>17826</v>
      </c>
      <c r="D3892" s="443">
        <v>24.15</v>
      </c>
    </row>
    <row r="3893" spans="1:4">
      <c r="A3893" s="216">
        <v>40910</v>
      </c>
      <c r="B3893" s="222" t="s">
        <v>21580</v>
      </c>
      <c r="C3893" s="216" t="s">
        <v>17828</v>
      </c>
      <c r="D3893" s="443">
        <v>4228.24</v>
      </c>
    </row>
    <row r="3894" spans="1:4">
      <c r="A3894" s="216">
        <v>6111</v>
      </c>
      <c r="B3894" s="222" t="s">
        <v>21581</v>
      </c>
      <c r="C3894" s="216" t="s">
        <v>17826</v>
      </c>
      <c r="D3894" s="443">
        <v>17.05</v>
      </c>
    </row>
    <row r="3895" spans="1:4">
      <c r="A3895" s="216">
        <v>41084</v>
      </c>
      <c r="B3895" s="222" t="s">
        <v>21582</v>
      </c>
      <c r="C3895" s="216" t="s">
        <v>17828</v>
      </c>
      <c r="D3895" s="443">
        <v>2985.98</v>
      </c>
    </row>
    <row r="3896" spans="1:4">
      <c r="A3896" s="216">
        <v>44535</v>
      </c>
      <c r="B3896" s="222" t="s">
        <v>21583</v>
      </c>
      <c r="C3896" s="216" t="s">
        <v>17824</v>
      </c>
      <c r="D3896" s="443">
        <v>42.15</v>
      </c>
    </row>
    <row r="3897" spans="1:4" ht="31.5">
      <c r="A3897" s="216">
        <v>44945</v>
      </c>
      <c r="B3897" s="222" t="s">
        <v>21584</v>
      </c>
      <c r="C3897" s="216" t="s">
        <v>17678</v>
      </c>
      <c r="D3897" s="443">
        <v>9.15</v>
      </c>
    </row>
    <row r="3898" spans="1:4">
      <c r="A3898" s="216">
        <v>38637</v>
      </c>
      <c r="B3898" s="222" t="s">
        <v>21585</v>
      </c>
      <c r="C3898" s="216" t="s">
        <v>17678</v>
      </c>
      <c r="D3898" s="443">
        <v>471.32</v>
      </c>
    </row>
    <row r="3899" spans="1:4">
      <c r="A3899" s="216">
        <v>6150</v>
      </c>
      <c r="B3899" s="222" t="s">
        <v>21586</v>
      </c>
      <c r="C3899" s="216" t="s">
        <v>17678</v>
      </c>
      <c r="D3899" s="443">
        <v>477.08</v>
      </c>
    </row>
    <row r="3900" spans="1:4">
      <c r="A3900" s="216">
        <v>6136</v>
      </c>
      <c r="B3900" s="222" t="s">
        <v>21587</v>
      </c>
      <c r="C3900" s="216" t="s">
        <v>17678</v>
      </c>
      <c r="D3900" s="443">
        <v>375.01</v>
      </c>
    </row>
    <row r="3901" spans="1:4">
      <c r="A3901" s="216">
        <v>38638</v>
      </c>
      <c r="B3901" s="222" t="s">
        <v>21588</v>
      </c>
      <c r="C3901" s="216" t="s">
        <v>17678</v>
      </c>
      <c r="D3901" s="443">
        <v>397.16</v>
      </c>
    </row>
    <row r="3902" spans="1:4">
      <c r="A3902" s="216">
        <v>20262</v>
      </c>
      <c r="B3902" s="222" t="s">
        <v>21589</v>
      </c>
      <c r="C3902" s="216" t="s">
        <v>17678</v>
      </c>
      <c r="D3902" s="443">
        <v>16.760000000000002</v>
      </c>
    </row>
    <row r="3903" spans="1:4">
      <c r="A3903" s="216">
        <v>6145</v>
      </c>
      <c r="B3903" s="222" t="s">
        <v>21590</v>
      </c>
      <c r="C3903" s="216" t="s">
        <v>17678</v>
      </c>
      <c r="D3903" s="443">
        <v>18.510000000000002</v>
      </c>
    </row>
    <row r="3904" spans="1:4">
      <c r="A3904" s="216">
        <v>6149</v>
      </c>
      <c r="B3904" s="222" t="s">
        <v>21591</v>
      </c>
      <c r="C3904" s="216" t="s">
        <v>17678</v>
      </c>
      <c r="D3904" s="443">
        <v>12.23</v>
      </c>
    </row>
    <row r="3905" spans="1:4">
      <c r="A3905" s="216">
        <v>6146</v>
      </c>
      <c r="B3905" s="222" t="s">
        <v>21592</v>
      </c>
      <c r="C3905" s="216" t="s">
        <v>17678</v>
      </c>
      <c r="D3905" s="443">
        <v>17.59</v>
      </c>
    </row>
    <row r="3906" spans="1:4">
      <c r="A3906" s="216">
        <v>44536</v>
      </c>
      <c r="B3906" s="222" t="s">
        <v>21593</v>
      </c>
      <c r="C3906" s="216" t="s">
        <v>17726</v>
      </c>
      <c r="D3906" s="443">
        <v>2.82</v>
      </c>
    </row>
    <row r="3907" spans="1:4">
      <c r="A3907" s="216">
        <v>39961</v>
      </c>
      <c r="B3907" s="222" t="s">
        <v>21594</v>
      </c>
      <c r="C3907" s="216" t="s">
        <v>17678</v>
      </c>
      <c r="D3907" s="443">
        <v>22.15</v>
      </c>
    </row>
    <row r="3908" spans="1:4" ht="31.5">
      <c r="A3908" s="216">
        <v>42433</v>
      </c>
      <c r="B3908" s="222" t="s">
        <v>21595</v>
      </c>
      <c r="C3908" s="216" t="s">
        <v>17678</v>
      </c>
      <c r="D3908" s="443">
        <v>4747</v>
      </c>
    </row>
    <row r="3909" spans="1:4" ht="31.5">
      <c r="A3909" s="216">
        <v>42434</v>
      </c>
      <c r="B3909" s="222" t="s">
        <v>21596</v>
      </c>
      <c r="C3909" s="216" t="s">
        <v>17678</v>
      </c>
      <c r="D3909" s="443">
        <v>5129.83</v>
      </c>
    </row>
    <row r="3910" spans="1:4" ht="31.5">
      <c r="A3910" s="216">
        <v>42435</v>
      </c>
      <c r="B3910" s="222" t="s">
        <v>21597</v>
      </c>
      <c r="C3910" s="216" t="s">
        <v>17678</v>
      </c>
      <c r="D3910" s="443">
        <v>2558.0500000000002</v>
      </c>
    </row>
    <row r="3911" spans="1:4">
      <c r="A3911" s="216">
        <v>38061</v>
      </c>
      <c r="B3911" s="222" t="s">
        <v>21598</v>
      </c>
      <c r="C3911" s="216" t="s">
        <v>17678</v>
      </c>
      <c r="D3911" s="443">
        <v>44.21</v>
      </c>
    </row>
    <row r="3912" spans="1:4">
      <c r="A3912" s="216">
        <v>20250</v>
      </c>
      <c r="B3912" s="222" t="s">
        <v>21599</v>
      </c>
      <c r="C3912" s="216" t="s">
        <v>17726</v>
      </c>
      <c r="D3912" s="443">
        <v>15</v>
      </c>
    </row>
    <row r="3913" spans="1:4">
      <c r="A3913" s="216">
        <v>13388</v>
      </c>
      <c r="B3913" s="222" t="s">
        <v>21600</v>
      </c>
      <c r="C3913" s="216" t="s">
        <v>17726</v>
      </c>
      <c r="D3913" s="443">
        <v>170.32</v>
      </c>
    </row>
    <row r="3914" spans="1:4">
      <c r="A3914" s="216">
        <v>39914</v>
      </c>
      <c r="B3914" s="222" t="s">
        <v>21601</v>
      </c>
      <c r="C3914" s="216" t="s">
        <v>17726</v>
      </c>
      <c r="D3914" s="443">
        <v>243.85</v>
      </c>
    </row>
    <row r="3915" spans="1:4">
      <c r="A3915" s="216">
        <v>12732</v>
      </c>
      <c r="B3915" s="222" t="s">
        <v>21602</v>
      </c>
      <c r="C3915" s="216" t="s">
        <v>17678</v>
      </c>
      <c r="D3915" s="443">
        <v>281.37</v>
      </c>
    </row>
    <row r="3916" spans="1:4">
      <c r="A3916" s="216">
        <v>6160</v>
      </c>
      <c r="B3916" s="222" t="s">
        <v>21603</v>
      </c>
      <c r="C3916" s="216" t="s">
        <v>17826</v>
      </c>
      <c r="D3916" s="443">
        <v>24.82</v>
      </c>
    </row>
    <row r="3917" spans="1:4">
      <c r="A3917" s="216">
        <v>41087</v>
      </c>
      <c r="B3917" s="222" t="s">
        <v>21604</v>
      </c>
      <c r="C3917" s="216" t="s">
        <v>17828</v>
      </c>
      <c r="D3917" s="443">
        <v>4346.01</v>
      </c>
    </row>
    <row r="3918" spans="1:4">
      <c r="A3918" s="216">
        <v>6166</v>
      </c>
      <c r="B3918" s="222" t="s">
        <v>21605</v>
      </c>
      <c r="C3918" s="216" t="s">
        <v>17826</v>
      </c>
      <c r="D3918" s="443">
        <v>20.09</v>
      </c>
    </row>
    <row r="3919" spans="1:4">
      <c r="A3919" s="216">
        <v>41088</v>
      </c>
      <c r="B3919" s="222" t="s">
        <v>21606</v>
      </c>
      <c r="C3919" s="216" t="s">
        <v>17828</v>
      </c>
      <c r="D3919" s="443">
        <v>3518.11</v>
      </c>
    </row>
    <row r="3920" spans="1:4" ht="31.5">
      <c r="A3920" s="216">
        <v>20232</v>
      </c>
      <c r="B3920" s="222" t="s">
        <v>21607</v>
      </c>
      <c r="C3920" s="216" t="s">
        <v>17722</v>
      </c>
      <c r="D3920" s="443">
        <v>86.38</v>
      </c>
    </row>
    <row r="3921" spans="1:4">
      <c r="A3921" s="216">
        <v>10856</v>
      </c>
      <c r="B3921" s="222" t="s">
        <v>21608</v>
      </c>
      <c r="C3921" s="216" t="s">
        <v>17722</v>
      </c>
      <c r="D3921" s="443">
        <v>103.78</v>
      </c>
    </row>
    <row r="3922" spans="1:4">
      <c r="A3922" s="216">
        <v>4828</v>
      </c>
      <c r="B3922" s="222" t="s">
        <v>21609</v>
      </c>
      <c r="C3922" s="216" t="s">
        <v>17722</v>
      </c>
      <c r="D3922" s="443">
        <v>88.84</v>
      </c>
    </row>
    <row r="3923" spans="1:4">
      <c r="A3923" s="216">
        <v>20249</v>
      </c>
      <c r="B3923" s="222" t="s">
        <v>21610</v>
      </c>
      <c r="C3923" s="216" t="s">
        <v>17722</v>
      </c>
      <c r="D3923" s="443">
        <v>48.64</v>
      </c>
    </row>
    <row r="3924" spans="1:4">
      <c r="A3924" s="216">
        <v>11609</v>
      </c>
      <c r="B3924" s="222" t="s">
        <v>21611</v>
      </c>
      <c r="C3924" s="216" t="s">
        <v>17728</v>
      </c>
      <c r="D3924" s="443">
        <v>11.8</v>
      </c>
    </row>
    <row r="3925" spans="1:4">
      <c r="A3925" s="216">
        <v>20083</v>
      </c>
      <c r="B3925" s="222" t="s">
        <v>21612</v>
      </c>
      <c r="C3925" s="216" t="s">
        <v>17678</v>
      </c>
      <c r="D3925" s="443">
        <v>85.25</v>
      </c>
    </row>
    <row r="3926" spans="1:4">
      <c r="A3926" s="216">
        <v>10691</v>
      </c>
      <c r="B3926" s="222" t="s">
        <v>21613</v>
      </c>
      <c r="C3926" s="216" t="s">
        <v>17728</v>
      </c>
      <c r="D3926" s="443">
        <v>71.75</v>
      </c>
    </row>
    <row r="3927" spans="1:4">
      <c r="A3927" s="216">
        <v>12295</v>
      </c>
      <c r="B3927" s="222" t="s">
        <v>21614</v>
      </c>
      <c r="C3927" s="216" t="s">
        <v>17678</v>
      </c>
      <c r="D3927" s="443">
        <v>3.84</v>
      </c>
    </row>
    <row r="3928" spans="1:4">
      <c r="A3928" s="216">
        <v>12296</v>
      </c>
      <c r="B3928" s="222" t="s">
        <v>21615</v>
      </c>
      <c r="C3928" s="216" t="s">
        <v>17678</v>
      </c>
      <c r="D3928" s="443">
        <v>4.97</v>
      </c>
    </row>
    <row r="3929" spans="1:4">
      <c r="A3929" s="216">
        <v>12294</v>
      </c>
      <c r="B3929" s="222" t="s">
        <v>21616</v>
      </c>
      <c r="C3929" s="216" t="s">
        <v>17678</v>
      </c>
      <c r="D3929" s="443">
        <v>11.93</v>
      </c>
    </row>
    <row r="3930" spans="1:4">
      <c r="A3930" s="216">
        <v>14543</v>
      </c>
      <c r="B3930" s="222" t="s">
        <v>21617</v>
      </c>
      <c r="C3930" s="216" t="s">
        <v>17678</v>
      </c>
      <c r="D3930" s="443">
        <v>8.52</v>
      </c>
    </row>
    <row r="3931" spans="1:4">
      <c r="A3931" s="216">
        <v>13329</v>
      </c>
      <c r="B3931" s="222" t="s">
        <v>21618</v>
      </c>
      <c r="C3931" s="216" t="s">
        <v>17678</v>
      </c>
      <c r="D3931" s="443">
        <v>5</v>
      </c>
    </row>
    <row r="3932" spans="1:4" ht="31.5">
      <c r="A3932" s="216">
        <v>21047</v>
      </c>
      <c r="B3932" s="222" t="s">
        <v>21619</v>
      </c>
      <c r="C3932" s="216" t="s">
        <v>17678</v>
      </c>
      <c r="D3932" s="443">
        <v>70.81</v>
      </c>
    </row>
    <row r="3933" spans="1:4" ht="31.5">
      <c r="A3933" s="216">
        <v>21042</v>
      </c>
      <c r="B3933" s="222" t="s">
        <v>21620</v>
      </c>
      <c r="C3933" s="216" t="s">
        <v>17678</v>
      </c>
      <c r="D3933" s="443">
        <v>54.58</v>
      </c>
    </row>
    <row r="3934" spans="1:4" ht="31.5">
      <c r="A3934" s="216">
        <v>21043</v>
      </c>
      <c r="B3934" s="222" t="s">
        <v>21621</v>
      </c>
      <c r="C3934" s="216" t="s">
        <v>17678</v>
      </c>
      <c r="D3934" s="443">
        <v>68.94</v>
      </c>
    </row>
    <row r="3935" spans="1:4" ht="31.5">
      <c r="A3935" s="216">
        <v>21044</v>
      </c>
      <c r="B3935" s="222" t="s">
        <v>21622</v>
      </c>
      <c r="C3935" s="216" t="s">
        <v>17678</v>
      </c>
      <c r="D3935" s="443">
        <v>48.03</v>
      </c>
    </row>
    <row r="3936" spans="1:4" ht="31.5">
      <c r="A3936" s="216">
        <v>21045</v>
      </c>
      <c r="B3936" s="222" t="s">
        <v>21623</v>
      </c>
      <c r="C3936" s="216" t="s">
        <v>17678</v>
      </c>
      <c r="D3936" s="443">
        <v>65.78</v>
      </c>
    </row>
    <row r="3937" spans="1:4" ht="31.5">
      <c r="A3937" s="216">
        <v>21041</v>
      </c>
      <c r="B3937" s="222" t="s">
        <v>21624</v>
      </c>
      <c r="C3937" s="216" t="s">
        <v>17678</v>
      </c>
      <c r="D3937" s="443">
        <v>56.73</v>
      </c>
    </row>
    <row r="3938" spans="1:4" ht="31.5">
      <c r="A3938" s="216">
        <v>21040</v>
      </c>
      <c r="B3938" s="222" t="s">
        <v>21625</v>
      </c>
      <c r="C3938" s="216" t="s">
        <v>17678</v>
      </c>
      <c r="D3938" s="443">
        <v>47</v>
      </c>
    </row>
    <row r="3939" spans="1:4">
      <c r="A3939" s="216">
        <v>14149</v>
      </c>
      <c r="B3939" s="222" t="s">
        <v>21626</v>
      </c>
      <c r="C3939" s="216" t="s">
        <v>19760</v>
      </c>
      <c r="D3939" s="443">
        <v>190.4</v>
      </c>
    </row>
    <row r="3940" spans="1:4" ht="31.5">
      <c r="A3940" s="216">
        <v>38099</v>
      </c>
      <c r="B3940" s="222" t="s">
        <v>21627</v>
      </c>
      <c r="C3940" s="216" t="s">
        <v>17678</v>
      </c>
      <c r="D3940" s="443">
        <v>1.76</v>
      </c>
    </row>
    <row r="3941" spans="1:4" ht="31.5">
      <c r="A3941" s="216">
        <v>38100</v>
      </c>
      <c r="B3941" s="222" t="s">
        <v>21628</v>
      </c>
      <c r="C3941" s="216" t="s">
        <v>17678</v>
      </c>
      <c r="D3941" s="443">
        <v>2.88</v>
      </c>
    </row>
    <row r="3942" spans="1:4">
      <c r="A3942" s="216">
        <v>7576</v>
      </c>
      <c r="B3942" s="222" t="s">
        <v>21629</v>
      </c>
      <c r="C3942" s="216" t="s">
        <v>17678</v>
      </c>
      <c r="D3942" s="443">
        <v>84.31</v>
      </c>
    </row>
    <row r="3943" spans="1:4">
      <c r="A3943" s="216">
        <v>3384</v>
      </c>
      <c r="B3943" s="222" t="s">
        <v>21630</v>
      </c>
      <c r="C3943" s="216" t="s">
        <v>17678</v>
      </c>
      <c r="D3943" s="443">
        <v>9.11</v>
      </c>
    </row>
    <row r="3944" spans="1:4">
      <c r="A3944" s="216">
        <v>7572</v>
      </c>
      <c r="B3944" s="222" t="s">
        <v>21631</v>
      </c>
      <c r="C3944" s="216" t="s">
        <v>17678</v>
      </c>
      <c r="D3944" s="443">
        <v>7.23</v>
      </c>
    </row>
    <row r="3945" spans="1:4">
      <c r="A3945" s="216">
        <v>3396</v>
      </c>
      <c r="B3945" s="222" t="s">
        <v>21632</v>
      </c>
      <c r="C3945" s="216" t="s">
        <v>17678</v>
      </c>
      <c r="D3945" s="443">
        <v>4.88</v>
      </c>
    </row>
    <row r="3946" spans="1:4">
      <c r="A3946" s="216">
        <v>37590</v>
      </c>
      <c r="B3946" s="222" t="s">
        <v>21633</v>
      </c>
      <c r="C3946" s="216" t="s">
        <v>17678</v>
      </c>
      <c r="D3946" s="443">
        <v>20.23</v>
      </c>
    </row>
    <row r="3947" spans="1:4">
      <c r="A3947" s="216">
        <v>37591</v>
      </c>
      <c r="B3947" s="222" t="s">
        <v>21634</v>
      </c>
      <c r="C3947" s="216" t="s">
        <v>17678</v>
      </c>
      <c r="D3947" s="443">
        <v>24.32</v>
      </c>
    </row>
    <row r="3948" spans="1:4" ht="31.5">
      <c r="A3948" s="216">
        <v>12626</v>
      </c>
      <c r="B3948" s="222" t="s">
        <v>21635</v>
      </c>
      <c r="C3948" s="216" t="s">
        <v>17678</v>
      </c>
      <c r="D3948" s="443">
        <v>41.68</v>
      </c>
    </row>
    <row r="3949" spans="1:4">
      <c r="A3949" s="216">
        <v>11033</v>
      </c>
      <c r="B3949" s="222" t="s">
        <v>21636</v>
      </c>
      <c r="C3949" s="216" t="s">
        <v>17678</v>
      </c>
      <c r="D3949" s="443">
        <v>5.49</v>
      </c>
    </row>
    <row r="3950" spans="1:4">
      <c r="A3950" s="216">
        <v>390</v>
      </c>
      <c r="B3950" s="222" t="s">
        <v>21637</v>
      </c>
      <c r="C3950" s="216" t="s">
        <v>17678</v>
      </c>
      <c r="D3950" s="443">
        <v>8.84</v>
      </c>
    </row>
    <row r="3951" spans="1:4" ht="31.5">
      <c r="A3951" s="216">
        <v>42436</v>
      </c>
      <c r="B3951" s="222" t="s">
        <v>21638</v>
      </c>
      <c r="C3951" s="216" t="s">
        <v>17678</v>
      </c>
      <c r="D3951" s="443">
        <v>2677.55</v>
      </c>
    </row>
    <row r="3952" spans="1:4">
      <c r="A3952" s="216">
        <v>6193</v>
      </c>
      <c r="B3952" s="222" t="s">
        <v>21639</v>
      </c>
      <c r="C3952" s="216" t="s">
        <v>17722</v>
      </c>
      <c r="D3952" s="443">
        <v>24.8</v>
      </c>
    </row>
    <row r="3953" spans="1:4">
      <c r="A3953" s="216">
        <v>6194</v>
      </c>
      <c r="B3953" s="222" t="s">
        <v>21640</v>
      </c>
      <c r="C3953" s="216" t="s">
        <v>17722</v>
      </c>
      <c r="D3953" s="443">
        <v>4.84</v>
      </c>
    </row>
    <row r="3954" spans="1:4">
      <c r="A3954" s="216">
        <v>10567</v>
      </c>
      <c r="B3954" s="222" t="s">
        <v>21641</v>
      </c>
      <c r="C3954" s="216" t="s">
        <v>17722</v>
      </c>
      <c r="D3954" s="443">
        <v>7.66</v>
      </c>
    </row>
    <row r="3955" spans="1:4">
      <c r="A3955" s="216">
        <v>6212</v>
      </c>
      <c r="B3955" s="222" t="s">
        <v>21642</v>
      </c>
      <c r="C3955" s="216" t="s">
        <v>17722</v>
      </c>
      <c r="D3955" s="443">
        <v>11.25</v>
      </c>
    </row>
    <row r="3956" spans="1:4">
      <c r="A3956" s="216">
        <v>3993</v>
      </c>
      <c r="B3956" s="222" t="s">
        <v>21643</v>
      </c>
      <c r="C3956" s="216" t="s">
        <v>18087</v>
      </c>
      <c r="D3956" s="443">
        <v>160.30000000000001</v>
      </c>
    </row>
    <row r="3957" spans="1:4">
      <c r="A3957" s="216">
        <v>3990</v>
      </c>
      <c r="B3957" s="222" t="s">
        <v>21644</v>
      </c>
      <c r="C3957" s="216" t="s">
        <v>17722</v>
      </c>
      <c r="D3957" s="443">
        <v>30.16</v>
      </c>
    </row>
    <row r="3958" spans="1:4">
      <c r="A3958" s="216">
        <v>3992</v>
      </c>
      <c r="B3958" s="222" t="s">
        <v>21645</v>
      </c>
      <c r="C3958" s="216" t="s">
        <v>17722</v>
      </c>
      <c r="D3958" s="443">
        <v>40.72</v>
      </c>
    </row>
    <row r="3959" spans="1:4" ht="31.5">
      <c r="A3959" s="216">
        <v>6178</v>
      </c>
      <c r="B3959" s="222" t="s">
        <v>21646</v>
      </c>
      <c r="C3959" s="216" t="s">
        <v>18087</v>
      </c>
      <c r="D3959" s="443">
        <v>235.81</v>
      </c>
    </row>
    <row r="3960" spans="1:4" ht="31.5">
      <c r="A3960" s="216">
        <v>6180</v>
      </c>
      <c r="B3960" s="222" t="s">
        <v>21647</v>
      </c>
      <c r="C3960" s="216" t="s">
        <v>18087</v>
      </c>
      <c r="D3960" s="443">
        <v>254.5</v>
      </c>
    </row>
    <row r="3961" spans="1:4">
      <c r="A3961" s="216">
        <v>6182</v>
      </c>
      <c r="B3961" s="222" t="s">
        <v>21648</v>
      </c>
      <c r="C3961" s="216" t="s">
        <v>18087</v>
      </c>
      <c r="D3961" s="443">
        <v>315.89999999999998</v>
      </c>
    </row>
    <row r="3962" spans="1:4">
      <c r="A3962" s="216">
        <v>43614</v>
      </c>
      <c r="B3962" s="222" t="s">
        <v>21649</v>
      </c>
      <c r="C3962" s="216" t="s">
        <v>17722</v>
      </c>
      <c r="D3962" s="443">
        <v>20.37</v>
      </c>
    </row>
    <row r="3963" spans="1:4">
      <c r="A3963" s="216">
        <v>6189</v>
      </c>
      <c r="B3963" s="222" t="s">
        <v>21650</v>
      </c>
      <c r="C3963" s="216" t="s">
        <v>17722</v>
      </c>
      <c r="D3963" s="443">
        <v>36.19</v>
      </c>
    </row>
    <row r="3964" spans="1:4">
      <c r="A3964" s="216">
        <v>6214</v>
      </c>
      <c r="B3964" s="222" t="s">
        <v>21651</v>
      </c>
      <c r="C3964" s="216" t="s">
        <v>18087</v>
      </c>
      <c r="D3964" s="443">
        <v>147.71</v>
      </c>
    </row>
    <row r="3965" spans="1:4">
      <c r="A3965" s="216">
        <v>36153</v>
      </c>
      <c r="B3965" s="222" t="s">
        <v>21652</v>
      </c>
      <c r="C3965" s="216" t="s">
        <v>17678</v>
      </c>
      <c r="D3965" s="443">
        <v>179.76</v>
      </c>
    </row>
    <row r="3966" spans="1:4">
      <c r="A3966" s="216">
        <v>10740</v>
      </c>
      <c r="B3966" s="222" t="s">
        <v>21653</v>
      </c>
      <c r="C3966" s="216" t="s">
        <v>17678</v>
      </c>
      <c r="D3966" s="443">
        <v>10697.06</v>
      </c>
    </row>
    <row r="3967" spans="1:4">
      <c r="A3967" s="216">
        <v>13914</v>
      </c>
      <c r="B3967" s="222" t="s">
        <v>21654</v>
      </c>
      <c r="C3967" s="216" t="s">
        <v>17678</v>
      </c>
      <c r="D3967" s="443">
        <v>773.97</v>
      </c>
    </row>
    <row r="3968" spans="1:4">
      <c r="A3968" s="216">
        <v>10742</v>
      </c>
      <c r="B3968" s="222" t="s">
        <v>21655</v>
      </c>
      <c r="C3968" s="216" t="s">
        <v>17678</v>
      </c>
      <c r="D3968" s="443">
        <v>1128.8499999999999</v>
      </c>
    </row>
    <row r="3969" spans="1:4">
      <c r="A3969" s="216">
        <v>38465</v>
      </c>
      <c r="B3969" s="222" t="s">
        <v>21656</v>
      </c>
      <c r="C3969" s="216" t="s">
        <v>17678</v>
      </c>
      <c r="D3969" s="443">
        <v>45.84</v>
      </c>
    </row>
    <row r="3970" spans="1:4">
      <c r="A3970" s="216">
        <v>7543</v>
      </c>
      <c r="B3970" s="222" t="s">
        <v>21657</v>
      </c>
      <c r="C3970" s="216" t="s">
        <v>17678</v>
      </c>
      <c r="D3970" s="443">
        <v>7.31</v>
      </c>
    </row>
    <row r="3971" spans="1:4" ht="31.5">
      <c r="A3971" s="216">
        <v>43427</v>
      </c>
      <c r="B3971" s="222" t="s">
        <v>21658</v>
      </c>
      <c r="C3971" s="216" t="s">
        <v>17678</v>
      </c>
      <c r="D3971" s="443">
        <v>1296.8</v>
      </c>
    </row>
    <row r="3972" spans="1:4">
      <c r="A3972" s="216">
        <v>41613</v>
      </c>
      <c r="B3972" s="222" t="s">
        <v>21659</v>
      </c>
      <c r="C3972" s="216" t="s">
        <v>17678</v>
      </c>
      <c r="D3972" s="443">
        <v>83.36</v>
      </c>
    </row>
    <row r="3973" spans="1:4">
      <c r="A3973" s="216">
        <v>41614</v>
      </c>
      <c r="B3973" s="222" t="s">
        <v>21660</v>
      </c>
      <c r="C3973" s="216" t="s">
        <v>17678</v>
      </c>
      <c r="D3973" s="443">
        <v>106.21</v>
      </c>
    </row>
    <row r="3974" spans="1:4">
      <c r="A3974" s="216">
        <v>41615</v>
      </c>
      <c r="B3974" s="222" t="s">
        <v>21661</v>
      </c>
      <c r="C3974" s="216" t="s">
        <v>17678</v>
      </c>
      <c r="D3974" s="443">
        <v>164.16</v>
      </c>
    </row>
    <row r="3975" spans="1:4">
      <c r="A3975" s="216">
        <v>41616</v>
      </c>
      <c r="B3975" s="222" t="s">
        <v>21662</v>
      </c>
      <c r="C3975" s="216" t="s">
        <v>17678</v>
      </c>
      <c r="D3975" s="443">
        <v>245.29</v>
      </c>
    </row>
    <row r="3976" spans="1:4">
      <c r="A3976" s="216">
        <v>41617</v>
      </c>
      <c r="B3976" s="222" t="s">
        <v>21663</v>
      </c>
      <c r="C3976" s="216" t="s">
        <v>17678</v>
      </c>
      <c r="D3976" s="443">
        <v>487.73</v>
      </c>
    </row>
    <row r="3977" spans="1:4">
      <c r="A3977" s="216">
        <v>41618</v>
      </c>
      <c r="B3977" s="222" t="s">
        <v>21664</v>
      </c>
      <c r="C3977" s="216" t="s">
        <v>17678</v>
      </c>
      <c r="D3977" s="443">
        <v>897.88</v>
      </c>
    </row>
    <row r="3978" spans="1:4" ht="31.5">
      <c r="A3978" s="216">
        <v>43428</v>
      </c>
      <c r="B3978" s="222" t="s">
        <v>21665</v>
      </c>
      <c r="C3978" s="216" t="s">
        <v>17678</v>
      </c>
      <c r="D3978" s="443">
        <v>1577.14</v>
      </c>
    </row>
    <row r="3979" spans="1:4">
      <c r="A3979" s="216">
        <v>41619</v>
      </c>
      <c r="B3979" s="222" t="s">
        <v>21666</v>
      </c>
      <c r="C3979" s="216" t="s">
        <v>17678</v>
      </c>
      <c r="D3979" s="443">
        <v>102.18</v>
      </c>
    </row>
    <row r="3980" spans="1:4">
      <c r="A3980" s="216">
        <v>41620</v>
      </c>
      <c r="B3980" s="222" t="s">
        <v>21667</v>
      </c>
      <c r="C3980" s="216" t="s">
        <v>17678</v>
      </c>
      <c r="D3980" s="443">
        <v>129.07</v>
      </c>
    </row>
    <row r="3981" spans="1:4">
      <c r="A3981" s="216">
        <v>41622</v>
      </c>
      <c r="B3981" s="222" t="s">
        <v>21668</v>
      </c>
      <c r="C3981" s="216" t="s">
        <v>17678</v>
      </c>
      <c r="D3981" s="443">
        <v>223.86</v>
      </c>
    </row>
    <row r="3982" spans="1:4">
      <c r="A3982" s="216">
        <v>41623</v>
      </c>
      <c r="B3982" s="222" t="s">
        <v>21669</v>
      </c>
      <c r="C3982" s="216" t="s">
        <v>17678</v>
      </c>
      <c r="D3982" s="443">
        <v>344.2</v>
      </c>
    </row>
    <row r="3983" spans="1:4">
      <c r="A3983" s="216">
        <v>41624</v>
      </c>
      <c r="B3983" s="222" t="s">
        <v>21670</v>
      </c>
      <c r="C3983" s="216" t="s">
        <v>17678</v>
      </c>
      <c r="D3983" s="443">
        <v>645.37</v>
      </c>
    </row>
    <row r="3984" spans="1:4">
      <c r="A3984" s="216">
        <v>41625</v>
      </c>
      <c r="B3984" s="222" t="s">
        <v>21671</v>
      </c>
      <c r="C3984" s="216" t="s">
        <v>17678</v>
      </c>
      <c r="D3984" s="443">
        <v>992.94</v>
      </c>
    </row>
    <row r="3985" spans="1:4">
      <c r="A3985" s="216">
        <v>39352</v>
      </c>
      <c r="B3985" s="222" t="s">
        <v>21672</v>
      </c>
      <c r="C3985" s="216" t="s">
        <v>17678</v>
      </c>
      <c r="D3985" s="443">
        <v>4.51</v>
      </c>
    </row>
    <row r="3986" spans="1:4">
      <c r="A3986" s="216">
        <v>39346</v>
      </c>
      <c r="B3986" s="222" t="s">
        <v>21673</v>
      </c>
      <c r="C3986" s="216" t="s">
        <v>17678</v>
      </c>
      <c r="D3986" s="443">
        <v>4.51</v>
      </c>
    </row>
    <row r="3987" spans="1:4">
      <c r="A3987" s="216">
        <v>39350</v>
      </c>
      <c r="B3987" s="222" t="s">
        <v>21674</v>
      </c>
      <c r="C3987" s="216" t="s">
        <v>17678</v>
      </c>
      <c r="D3987" s="443">
        <v>4.8600000000000003</v>
      </c>
    </row>
    <row r="3988" spans="1:4">
      <c r="A3988" s="216">
        <v>39351</v>
      </c>
      <c r="B3988" s="222" t="s">
        <v>21675</v>
      </c>
      <c r="C3988" s="216" t="s">
        <v>17678</v>
      </c>
      <c r="D3988" s="443">
        <v>5.62</v>
      </c>
    </row>
    <row r="3989" spans="1:4">
      <c r="A3989" s="216">
        <v>38837</v>
      </c>
      <c r="B3989" s="222" t="s">
        <v>21676</v>
      </c>
      <c r="C3989" s="216" t="s">
        <v>17678</v>
      </c>
      <c r="D3989" s="443">
        <v>7.14</v>
      </c>
    </row>
    <row r="3990" spans="1:4">
      <c r="A3990" s="216">
        <v>38836</v>
      </c>
      <c r="B3990" s="222" t="s">
        <v>21677</v>
      </c>
      <c r="C3990" s="216" t="s">
        <v>17678</v>
      </c>
      <c r="D3990" s="443">
        <v>4.99</v>
      </c>
    </row>
    <row r="3991" spans="1:4">
      <c r="A3991" s="216">
        <v>2666</v>
      </c>
      <c r="B3991" s="222" t="s">
        <v>21678</v>
      </c>
      <c r="C3991" s="216" t="s">
        <v>17678</v>
      </c>
      <c r="D3991" s="443">
        <v>6.96</v>
      </c>
    </row>
    <row r="3992" spans="1:4">
      <c r="A3992" s="216">
        <v>2668</v>
      </c>
      <c r="B3992" s="222" t="s">
        <v>21679</v>
      </c>
      <c r="C3992" s="216" t="s">
        <v>17678</v>
      </c>
      <c r="D3992" s="443">
        <v>7.95</v>
      </c>
    </row>
    <row r="3993" spans="1:4">
      <c r="A3993" s="216">
        <v>2664</v>
      </c>
      <c r="B3993" s="222" t="s">
        <v>21680</v>
      </c>
      <c r="C3993" s="216" t="s">
        <v>17678</v>
      </c>
      <c r="D3993" s="443">
        <v>11.73</v>
      </c>
    </row>
    <row r="3994" spans="1:4">
      <c r="A3994" s="216">
        <v>2662</v>
      </c>
      <c r="B3994" s="222" t="s">
        <v>21681</v>
      </c>
      <c r="C3994" s="216" t="s">
        <v>17678</v>
      </c>
      <c r="D3994" s="443">
        <v>14.39</v>
      </c>
    </row>
    <row r="3995" spans="1:4">
      <c r="A3995" s="216">
        <v>20964</v>
      </c>
      <c r="B3995" s="222" t="s">
        <v>21682</v>
      </c>
      <c r="C3995" s="216" t="s">
        <v>17678</v>
      </c>
      <c r="D3995" s="443">
        <v>97.61</v>
      </c>
    </row>
    <row r="3996" spans="1:4">
      <c r="A3996" s="216">
        <v>10905</v>
      </c>
      <c r="B3996" s="222" t="s">
        <v>21683</v>
      </c>
      <c r="C3996" s="216" t="s">
        <v>17678</v>
      </c>
      <c r="D3996" s="443">
        <v>130.94999999999999</v>
      </c>
    </row>
    <row r="3997" spans="1:4">
      <c r="A3997" s="216">
        <v>11289</v>
      </c>
      <c r="B3997" s="222" t="s">
        <v>21684</v>
      </c>
      <c r="C3997" s="216" t="s">
        <v>17678</v>
      </c>
      <c r="D3997" s="443">
        <v>106.55</v>
      </c>
    </row>
    <row r="3998" spans="1:4">
      <c r="A3998" s="216">
        <v>11241</v>
      </c>
      <c r="B3998" s="222" t="s">
        <v>21685</v>
      </c>
      <c r="C3998" s="216" t="s">
        <v>17678</v>
      </c>
      <c r="D3998" s="443">
        <v>266.38</v>
      </c>
    </row>
    <row r="3999" spans="1:4" ht="31.5">
      <c r="A3999" s="216">
        <v>11301</v>
      </c>
      <c r="B3999" s="222" t="s">
        <v>21686</v>
      </c>
      <c r="C3999" s="216" t="s">
        <v>17678</v>
      </c>
      <c r="D3999" s="443">
        <v>675.47</v>
      </c>
    </row>
    <row r="4000" spans="1:4" ht="31.5">
      <c r="A4000" s="216">
        <v>21090</v>
      </c>
      <c r="B4000" s="222" t="s">
        <v>21687</v>
      </c>
      <c r="C4000" s="216" t="s">
        <v>17678</v>
      </c>
      <c r="D4000" s="443">
        <v>827.7</v>
      </c>
    </row>
    <row r="4001" spans="1:4" ht="31.5">
      <c r="A4001" s="216">
        <v>11315</v>
      </c>
      <c r="B4001" s="222" t="s">
        <v>21688</v>
      </c>
      <c r="C4001" s="216" t="s">
        <v>17678</v>
      </c>
      <c r="D4001" s="443">
        <v>161.72999999999999</v>
      </c>
    </row>
    <row r="4002" spans="1:4" ht="31.5">
      <c r="A4002" s="216">
        <v>21071</v>
      </c>
      <c r="B4002" s="222" t="s">
        <v>21689</v>
      </c>
      <c r="C4002" s="216" t="s">
        <v>17678</v>
      </c>
      <c r="D4002" s="443">
        <v>247.35</v>
      </c>
    </row>
    <row r="4003" spans="1:4" ht="31.5">
      <c r="A4003" s="216">
        <v>14112</v>
      </c>
      <c r="B4003" s="222" t="s">
        <v>21690</v>
      </c>
      <c r="C4003" s="216" t="s">
        <v>17678</v>
      </c>
      <c r="D4003" s="443">
        <v>345.35</v>
      </c>
    </row>
    <row r="4004" spans="1:4" ht="31.5">
      <c r="A4004" s="216">
        <v>11316</v>
      </c>
      <c r="B4004" s="222" t="s">
        <v>21691</v>
      </c>
      <c r="C4004" s="216" t="s">
        <v>17678</v>
      </c>
      <c r="D4004" s="443">
        <v>532.77</v>
      </c>
    </row>
    <row r="4005" spans="1:4" ht="31.5">
      <c r="A4005" s="216">
        <v>6243</v>
      </c>
      <c r="B4005" s="222" t="s">
        <v>21692</v>
      </c>
      <c r="C4005" s="216" t="s">
        <v>17678</v>
      </c>
      <c r="D4005" s="443">
        <v>613.64</v>
      </c>
    </row>
    <row r="4006" spans="1:4" ht="31.5">
      <c r="A4006" s="216">
        <v>6240</v>
      </c>
      <c r="B4006" s="222" t="s">
        <v>21693</v>
      </c>
      <c r="C4006" s="216" t="s">
        <v>17678</v>
      </c>
      <c r="D4006" s="443">
        <v>812.47</v>
      </c>
    </row>
    <row r="4007" spans="1:4" ht="31.5">
      <c r="A4007" s="216">
        <v>11296</v>
      </c>
      <c r="B4007" s="222" t="s">
        <v>21694</v>
      </c>
      <c r="C4007" s="216" t="s">
        <v>17678</v>
      </c>
      <c r="D4007" s="443">
        <v>2588.6999999999998</v>
      </c>
    </row>
    <row r="4008" spans="1:4" ht="31.5">
      <c r="A4008" s="216">
        <v>11299</v>
      </c>
      <c r="B4008" s="222" t="s">
        <v>21695</v>
      </c>
      <c r="C4008" s="216" t="s">
        <v>17678</v>
      </c>
      <c r="D4008" s="443">
        <v>876.22</v>
      </c>
    </row>
    <row r="4009" spans="1:4">
      <c r="A4009" s="216">
        <v>11688</v>
      </c>
      <c r="B4009" s="222" t="s">
        <v>21696</v>
      </c>
      <c r="C4009" s="216" t="s">
        <v>17678</v>
      </c>
      <c r="D4009" s="443">
        <v>598.62</v>
      </c>
    </row>
    <row r="4010" spans="1:4" ht="31.5">
      <c r="A4010" s="216">
        <v>37736</v>
      </c>
      <c r="B4010" s="222" t="s">
        <v>21697</v>
      </c>
      <c r="C4010" s="216" t="s">
        <v>17678</v>
      </c>
      <c r="D4010" s="443">
        <v>82950</v>
      </c>
    </row>
    <row r="4011" spans="1:4" ht="31.5">
      <c r="A4011" s="216">
        <v>37739</v>
      </c>
      <c r="B4011" s="222" t="s">
        <v>21698</v>
      </c>
      <c r="C4011" s="216" t="s">
        <v>17678</v>
      </c>
      <c r="D4011" s="443">
        <v>102092.3</v>
      </c>
    </row>
    <row r="4012" spans="1:4" ht="31.5">
      <c r="A4012" s="216">
        <v>37740</v>
      </c>
      <c r="B4012" s="222" t="s">
        <v>21699</v>
      </c>
      <c r="C4012" s="216" t="s">
        <v>17678</v>
      </c>
      <c r="D4012" s="443">
        <v>58259.19</v>
      </c>
    </row>
    <row r="4013" spans="1:4" ht="31.5">
      <c r="A4013" s="216">
        <v>37738</v>
      </c>
      <c r="B4013" s="222" t="s">
        <v>21700</v>
      </c>
      <c r="C4013" s="216" t="s">
        <v>17678</v>
      </c>
      <c r="D4013" s="443">
        <v>69217.47</v>
      </c>
    </row>
    <row r="4014" spans="1:4" ht="31.5">
      <c r="A4014" s="216">
        <v>37737</v>
      </c>
      <c r="B4014" s="222" t="s">
        <v>21701</v>
      </c>
      <c r="C4014" s="216" t="s">
        <v>17678</v>
      </c>
      <c r="D4014" s="443">
        <v>55068.81</v>
      </c>
    </row>
    <row r="4015" spans="1:4">
      <c r="A4015" s="216">
        <v>25014</v>
      </c>
      <c r="B4015" s="222" t="s">
        <v>21702</v>
      </c>
      <c r="C4015" s="216" t="s">
        <v>17678</v>
      </c>
      <c r="D4015" s="443">
        <v>115339.33</v>
      </c>
    </row>
    <row r="4016" spans="1:4">
      <c r="A4016" s="216">
        <v>25013</v>
      </c>
      <c r="B4016" s="222" t="s">
        <v>21703</v>
      </c>
      <c r="C4016" s="216" t="s">
        <v>17678</v>
      </c>
      <c r="D4016" s="443">
        <v>120887.83</v>
      </c>
    </row>
    <row r="4017" spans="1:4">
      <c r="A4017" s="216">
        <v>14405</v>
      </c>
      <c r="B4017" s="222" t="s">
        <v>21704</v>
      </c>
      <c r="C4017" s="216" t="s">
        <v>17678</v>
      </c>
      <c r="D4017" s="443">
        <v>141902.75</v>
      </c>
    </row>
    <row r="4018" spans="1:4">
      <c r="A4018" s="216">
        <v>20271</v>
      </c>
      <c r="B4018" s="222" t="s">
        <v>21705</v>
      </c>
      <c r="C4018" s="216" t="s">
        <v>17678</v>
      </c>
      <c r="D4018" s="443">
        <v>563.66999999999996</v>
      </c>
    </row>
    <row r="4019" spans="1:4">
      <c r="A4019" s="216">
        <v>10423</v>
      </c>
      <c r="B4019" s="222" t="s">
        <v>21706</v>
      </c>
      <c r="C4019" s="216" t="s">
        <v>17678</v>
      </c>
      <c r="D4019" s="443">
        <v>413.86</v>
      </c>
    </row>
    <row r="4020" spans="1:4">
      <c r="A4020" s="216">
        <v>36790</v>
      </c>
      <c r="B4020" s="222" t="s">
        <v>21707</v>
      </c>
      <c r="C4020" s="216" t="s">
        <v>17678</v>
      </c>
      <c r="D4020" s="443">
        <v>299.62</v>
      </c>
    </row>
    <row r="4021" spans="1:4">
      <c r="A4021" s="216">
        <v>37589</v>
      </c>
      <c r="B4021" s="222" t="s">
        <v>21708</v>
      </c>
      <c r="C4021" s="216" t="s">
        <v>17678</v>
      </c>
      <c r="D4021" s="443">
        <v>367.11</v>
      </c>
    </row>
    <row r="4022" spans="1:4">
      <c r="A4022" s="216">
        <v>11690</v>
      </c>
      <c r="B4022" s="222" t="s">
        <v>21709</v>
      </c>
      <c r="C4022" s="216" t="s">
        <v>17678</v>
      </c>
      <c r="D4022" s="443">
        <v>195.02</v>
      </c>
    </row>
    <row r="4023" spans="1:4">
      <c r="A4023" s="216">
        <v>20234</v>
      </c>
      <c r="B4023" s="222" t="s">
        <v>21710</v>
      </c>
      <c r="C4023" s="216" t="s">
        <v>17678</v>
      </c>
      <c r="D4023" s="443">
        <v>246.8</v>
      </c>
    </row>
    <row r="4024" spans="1:4">
      <c r="A4024" s="216">
        <v>4763</v>
      </c>
      <c r="B4024" s="222" t="s">
        <v>21711</v>
      </c>
      <c r="C4024" s="216" t="s">
        <v>17826</v>
      </c>
      <c r="D4024" s="443">
        <v>24.15</v>
      </c>
    </row>
    <row r="4025" spans="1:4">
      <c r="A4025" s="216">
        <v>41070</v>
      </c>
      <c r="B4025" s="222" t="s">
        <v>21712</v>
      </c>
      <c r="C4025" s="216" t="s">
        <v>17828</v>
      </c>
      <c r="D4025" s="443">
        <v>4228.24</v>
      </c>
    </row>
    <row r="4026" spans="1:4">
      <c r="A4026" s="216">
        <v>44480</v>
      </c>
      <c r="B4026" s="222" t="s">
        <v>21713</v>
      </c>
      <c r="C4026" s="216" t="s">
        <v>17824</v>
      </c>
      <c r="D4026" s="443">
        <v>12.29</v>
      </c>
    </row>
    <row r="4027" spans="1:4">
      <c r="A4027" s="216">
        <v>11457</v>
      </c>
      <c r="B4027" s="222" t="s">
        <v>21714</v>
      </c>
      <c r="C4027" s="216" t="s">
        <v>17678</v>
      </c>
      <c r="D4027" s="443">
        <v>45.79</v>
      </c>
    </row>
    <row r="4028" spans="1:4">
      <c r="A4028" s="216">
        <v>44073</v>
      </c>
      <c r="B4028" s="222" t="s">
        <v>21715</v>
      </c>
      <c r="C4028" s="216" t="s">
        <v>17722</v>
      </c>
      <c r="D4028" s="443">
        <v>0.67</v>
      </c>
    </row>
    <row r="4029" spans="1:4">
      <c r="A4029" s="216">
        <v>44253</v>
      </c>
      <c r="B4029" s="222" t="s">
        <v>21716</v>
      </c>
      <c r="C4029" s="216" t="s">
        <v>17678</v>
      </c>
      <c r="D4029" s="443">
        <v>275.57</v>
      </c>
    </row>
    <row r="4030" spans="1:4">
      <c r="A4030" s="216">
        <v>21121</v>
      </c>
      <c r="B4030" s="222" t="s">
        <v>21717</v>
      </c>
      <c r="C4030" s="216" t="s">
        <v>17678</v>
      </c>
      <c r="D4030" s="443">
        <v>3.95</v>
      </c>
    </row>
    <row r="4031" spans="1:4">
      <c r="A4031" s="216">
        <v>38010</v>
      </c>
      <c r="B4031" s="222" t="s">
        <v>21718</v>
      </c>
      <c r="C4031" s="216" t="s">
        <v>17678</v>
      </c>
      <c r="D4031" s="443">
        <v>4.92</v>
      </c>
    </row>
    <row r="4032" spans="1:4">
      <c r="A4032" s="216">
        <v>38011</v>
      </c>
      <c r="B4032" s="222" t="s">
        <v>21719</v>
      </c>
      <c r="C4032" s="216" t="s">
        <v>17678</v>
      </c>
      <c r="D4032" s="443">
        <v>9.86</v>
      </c>
    </row>
    <row r="4033" spans="1:4">
      <c r="A4033" s="216">
        <v>38012</v>
      </c>
      <c r="B4033" s="222" t="s">
        <v>21720</v>
      </c>
      <c r="C4033" s="216" t="s">
        <v>17678</v>
      </c>
      <c r="D4033" s="443">
        <v>37.619999999999997</v>
      </c>
    </row>
    <row r="4034" spans="1:4">
      <c r="A4034" s="216">
        <v>38013</v>
      </c>
      <c r="B4034" s="222" t="s">
        <v>21721</v>
      </c>
      <c r="C4034" s="216" t="s">
        <v>17678</v>
      </c>
      <c r="D4034" s="443">
        <v>48.33</v>
      </c>
    </row>
    <row r="4035" spans="1:4">
      <c r="A4035" s="216">
        <v>38014</v>
      </c>
      <c r="B4035" s="222" t="s">
        <v>21722</v>
      </c>
      <c r="C4035" s="216" t="s">
        <v>17678</v>
      </c>
      <c r="D4035" s="443">
        <v>80.7</v>
      </c>
    </row>
    <row r="4036" spans="1:4">
      <c r="A4036" s="216">
        <v>38015</v>
      </c>
      <c r="B4036" s="222" t="s">
        <v>21723</v>
      </c>
      <c r="C4036" s="216" t="s">
        <v>17678</v>
      </c>
      <c r="D4036" s="443">
        <v>189.73</v>
      </c>
    </row>
    <row r="4037" spans="1:4">
      <c r="A4037" s="216">
        <v>38016</v>
      </c>
      <c r="B4037" s="222" t="s">
        <v>21724</v>
      </c>
      <c r="C4037" s="216" t="s">
        <v>17678</v>
      </c>
      <c r="D4037" s="443">
        <v>220.63</v>
      </c>
    </row>
    <row r="4038" spans="1:4">
      <c r="A4038" s="216">
        <v>12741</v>
      </c>
      <c r="B4038" s="222" t="s">
        <v>21725</v>
      </c>
      <c r="C4038" s="216" t="s">
        <v>17678</v>
      </c>
      <c r="D4038" s="443">
        <v>1351.06</v>
      </c>
    </row>
    <row r="4039" spans="1:4">
      <c r="A4039" s="216">
        <v>12733</v>
      </c>
      <c r="B4039" s="222" t="s">
        <v>21726</v>
      </c>
      <c r="C4039" s="216" t="s">
        <v>17678</v>
      </c>
      <c r="D4039" s="443">
        <v>6.79</v>
      </c>
    </row>
    <row r="4040" spans="1:4">
      <c r="A4040" s="216">
        <v>12734</v>
      </c>
      <c r="B4040" s="222" t="s">
        <v>21727</v>
      </c>
      <c r="C4040" s="216" t="s">
        <v>17678</v>
      </c>
      <c r="D4040" s="443">
        <v>14.49</v>
      </c>
    </row>
    <row r="4041" spans="1:4">
      <c r="A4041" s="216">
        <v>12735</v>
      </c>
      <c r="B4041" s="222" t="s">
        <v>21728</v>
      </c>
      <c r="C4041" s="216" t="s">
        <v>17678</v>
      </c>
      <c r="D4041" s="443">
        <v>23.83</v>
      </c>
    </row>
    <row r="4042" spans="1:4">
      <c r="A4042" s="216">
        <v>12736</v>
      </c>
      <c r="B4042" s="222" t="s">
        <v>21729</v>
      </c>
      <c r="C4042" s="216" t="s">
        <v>17678</v>
      </c>
      <c r="D4042" s="443">
        <v>54.49</v>
      </c>
    </row>
    <row r="4043" spans="1:4">
      <c r="A4043" s="216">
        <v>12737</v>
      </c>
      <c r="B4043" s="222" t="s">
        <v>21730</v>
      </c>
      <c r="C4043" s="216" t="s">
        <v>17678</v>
      </c>
      <c r="D4043" s="443">
        <v>70.2</v>
      </c>
    </row>
    <row r="4044" spans="1:4">
      <c r="A4044" s="216">
        <v>12738</v>
      </c>
      <c r="B4044" s="222" t="s">
        <v>21731</v>
      </c>
      <c r="C4044" s="216" t="s">
        <v>17678</v>
      </c>
      <c r="D4044" s="443">
        <v>138.74</v>
      </c>
    </row>
    <row r="4045" spans="1:4">
      <c r="A4045" s="216">
        <v>12739</v>
      </c>
      <c r="B4045" s="222" t="s">
        <v>21732</v>
      </c>
      <c r="C4045" s="216" t="s">
        <v>17678</v>
      </c>
      <c r="D4045" s="443">
        <v>394.95</v>
      </c>
    </row>
    <row r="4046" spans="1:4">
      <c r="A4046" s="216">
        <v>12740</v>
      </c>
      <c r="B4046" s="222" t="s">
        <v>21733</v>
      </c>
      <c r="C4046" s="216" t="s">
        <v>17678</v>
      </c>
      <c r="D4046" s="443">
        <v>617.91999999999996</v>
      </c>
    </row>
    <row r="4047" spans="1:4">
      <c r="A4047" s="216">
        <v>6297</v>
      </c>
      <c r="B4047" s="222" t="s">
        <v>21734</v>
      </c>
      <c r="C4047" s="216" t="s">
        <v>17678</v>
      </c>
      <c r="D4047" s="443">
        <v>43.91</v>
      </c>
    </row>
    <row r="4048" spans="1:4">
      <c r="A4048" s="216">
        <v>6296</v>
      </c>
      <c r="B4048" s="222" t="s">
        <v>21735</v>
      </c>
      <c r="C4048" s="216" t="s">
        <v>17678</v>
      </c>
      <c r="D4048" s="443">
        <v>34.659999999999997</v>
      </c>
    </row>
    <row r="4049" spans="1:4">
      <c r="A4049" s="216">
        <v>6294</v>
      </c>
      <c r="B4049" s="222" t="s">
        <v>21736</v>
      </c>
      <c r="C4049" s="216" t="s">
        <v>17678</v>
      </c>
      <c r="D4049" s="443">
        <v>9.8800000000000008</v>
      </c>
    </row>
    <row r="4050" spans="1:4">
      <c r="A4050" s="216">
        <v>6323</v>
      </c>
      <c r="B4050" s="222" t="s">
        <v>21737</v>
      </c>
      <c r="C4050" s="216" t="s">
        <v>17678</v>
      </c>
      <c r="D4050" s="443">
        <v>22.64</v>
      </c>
    </row>
    <row r="4051" spans="1:4">
      <c r="A4051" s="216">
        <v>6299</v>
      </c>
      <c r="B4051" s="222" t="s">
        <v>21738</v>
      </c>
      <c r="C4051" s="216" t="s">
        <v>17678</v>
      </c>
      <c r="D4051" s="443">
        <v>132.06</v>
      </c>
    </row>
    <row r="4052" spans="1:4">
      <c r="A4052" s="216">
        <v>6298</v>
      </c>
      <c r="B4052" s="222" t="s">
        <v>21739</v>
      </c>
      <c r="C4052" s="216" t="s">
        <v>17678</v>
      </c>
      <c r="D4052" s="443">
        <v>69.55</v>
      </c>
    </row>
    <row r="4053" spans="1:4">
      <c r="A4053" s="216">
        <v>6295</v>
      </c>
      <c r="B4053" s="222" t="s">
        <v>21740</v>
      </c>
      <c r="C4053" s="216" t="s">
        <v>17678</v>
      </c>
      <c r="D4053" s="443">
        <v>14.07</v>
      </c>
    </row>
    <row r="4054" spans="1:4">
      <c r="A4054" s="216">
        <v>6322</v>
      </c>
      <c r="B4054" s="222" t="s">
        <v>21741</v>
      </c>
      <c r="C4054" s="216" t="s">
        <v>17678</v>
      </c>
      <c r="D4054" s="443">
        <v>176.87</v>
      </c>
    </row>
    <row r="4055" spans="1:4">
      <c r="A4055" s="216">
        <v>6300</v>
      </c>
      <c r="B4055" s="222" t="s">
        <v>21742</v>
      </c>
      <c r="C4055" s="216" t="s">
        <v>17678</v>
      </c>
      <c r="D4055" s="443">
        <v>326.08999999999997</v>
      </c>
    </row>
    <row r="4056" spans="1:4">
      <c r="A4056" s="216">
        <v>6321</v>
      </c>
      <c r="B4056" s="222" t="s">
        <v>21743</v>
      </c>
      <c r="C4056" s="216" t="s">
        <v>17678</v>
      </c>
      <c r="D4056" s="443">
        <v>465.8</v>
      </c>
    </row>
    <row r="4057" spans="1:4">
      <c r="A4057" s="216">
        <v>6301</v>
      </c>
      <c r="B4057" s="222" t="s">
        <v>21744</v>
      </c>
      <c r="C4057" s="216" t="s">
        <v>17678</v>
      </c>
      <c r="D4057" s="443">
        <v>1091.78</v>
      </c>
    </row>
    <row r="4058" spans="1:4">
      <c r="A4058" s="216">
        <v>7105</v>
      </c>
      <c r="B4058" s="222" t="s">
        <v>21745</v>
      </c>
      <c r="C4058" s="216" t="s">
        <v>17678</v>
      </c>
      <c r="D4058" s="443">
        <v>41.88</v>
      </c>
    </row>
    <row r="4059" spans="1:4">
      <c r="A4059" s="216">
        <v>20183</v>
      </c>
      <c r="B4059" s="222" t="s">
        <v>21746</v>
      </c>
      <c r="C4059" s="216" t="s">
        <v>17678</v>
      </c>
      <c r="D4059" s="443">
        <v>51.6</v>
      </c>
    </row>
    <row r="4060" spans="1:4">
      <c r="A4060" s="216">
        <v>38448</v>
      </c>
      <c r="B4060" s="222" t="s">
        <v>21747</v>
      </c>
      <c r="C4060" s="216" t="s">
        <v>17678</v>
      </c>
      <c r="D4060" s="443">
        <v>234.15</v>
      </c>
    </row>
    <row r="4061" spans="1:4">
      <c r="A4061" s="216">
        <v>20182</v>
      </c>
      <c r="B4061" s="222" t="s">
        <v>21748</v>
      </c>
      <c r="C4061" s="216" t="s">
        <v>17678</v>
      </c>
      <c r="D4061" s="443">
        <v>30</v>
      </c>
    </row>
    <row r="4062" spans="1:4">
      <c r="A4062" s="216">
        <v>7119</v>
      </c>
      <c r="B4062" s="222" t="s">
        <v>21749</v>
      </c>
      <c r="C4062" s="216" t="s">
        <v>17678</v>
      </c>
      <c r="D4062" s="443">
        <v>13.11</v>
      </c>
    </row>
    <row r="4063" spans="1:4">
      <c r="A4063" s="216">
        <v>7126</v>
      </c>
      <c r="B4063" s="222" t="s">
        <v>21750</v>
      </c>
      <c r="C4063" s="216" t="s">
        <v>17678</v>
      </c>
      <c r="D4063" s="443">
        <v>26.76</v>
      </c>
    </row>
    <row r="4064" spans="1:4">
      <c r="A4064" s="216">
        <v>7120</v>
      </c>
      <c r="B4064" s="222" t="s">
        <v>21751</v>
      </c>
      <c r="C4064" s="216" t="s">
        <v>17678</v>
      </c>
      <c r="D4064" s="443">
        <v>10.06</v>
      </c>
    </row>
    <row r="4065" spans="1:4">
      <c r="A4065" s="216">
        <v>6319</v>
      </c>
      <c r="B4065" s="222" t="s">
        <v>21752</v>
      </c>
      <c r="C4065" s="216" t="s">
        <v>17678</v>
      </c>
      <c r="D4065" s="443">
        <v>51.58</v>
      </c>
    </row>
    <row r="4066" spans="1:4">
      <c r="A4066" s="216">
        <v>6304</v>
      </c>
      <c r="B4066" s="222" t="s">
        <v>21753</v>
      </c>
      <c r="C4066" s="216" t="s">
        <v>17678</v>
      </c>
      <c r="D4066" s="443">
        <v>51.58</v>
      </c>
    </row>
    <row r="4067" spans="1:4">
      <c r="A4067" s="216">
        <v>21116</v>
      </c>
      <c r="B4067" s="222" t="s">
        <v>21754</v>
      </c>
      <c r="C4067" s="216" t="s">
        <v>17678</v>
      </c>
      <c r="D4067" s="443">
        <v>39.06</v>
      </c>
    </row>
    <row r="4068" spans="1:4">
      <c r="A4068" s="216">
        <v>6320</v>
      </c>
      <c r="B4068" s="222" t="s">
        <v>21755</v>
      </c>
      <c r="C4068" s="216" t="s">
        <v>17678</v>
      </c>
      <c r="D4068" s="443">
        <v>26.56</v>
      </c>
    </row>
    <row r="4069" spans="1:4">
      <c r="A4069" s="216">
        <v>6303</v>
      </c>
      <c r="B4069" s="222" t="s">
        <v>21756</v>
      </c>
      <c r="C4069" s="216" t="s">
        <v>17678</v>
      </c>
      <c r="D4069" s="443">
        <v>26.56</v>
      </c>
    </row>
    <row r="4070" spans="1:4">
      <c r="A4070" s="216">
        <v>6308</v>
      </c>
      <c r="B4070" s="222" t="s">
        <v>21757</v>
      </c>
      <c r="C4070" s="216" t="s">
        <v>17678</v>
      </c>
      <c r="D4070" s="443">
        <v>142.72999999999999</v>
      </c>
    </row>
    <row r="4071" spans="1:4">
      <c r="A4071" s="216">
        <v>6317</v>
      </c>
      <c r="B4071" s="222" t="s">
        <v>21758</v>
      </c>
      <c r="C4071" s="216" t="s">
        <v>17678</v>
      </c>
      <c r="D4071" s="443">
        <v>142.72999999999999</v>
      </c>
    </row>
    <row r="4072" spans="1:4">
      <c r="A4072" s="216">
        <v>6307</v>
      </c>
      <c r="B4072" s="222" t="s">
        <v>21759</v>
      </c>
      <c r="C4072" s="216" t="s">
        <v>17678</v>
      </c>
      <c r="D4072" s="443">
        <v>142.72999999999999</v>
      </c>
    </row>
    <row r="4073" spans="1:4">
      <c r="A4073" s="216">
        <v>6309</v>
      </c>
      <c r="B4073" s="222" t="s">
        <v>21760</v>
      </c>
      <c r="C4073" s="216" t="s">
        <v>17678</v>
      </c>
      <c r="D4073" s="443">
        <v>146.88</v>
      </c>
    </row>
    <row r="4074" spans="1:4">
      <c r="A4074" s="216">
        <v>6318</v>
      </c>
      <c r="B4074" s="222" t="s">
        <v>21761</v>
      </c>
      <c r="C4074" s="216" t="s">
        <v>17678</v>
      </c>
      <c r="D4074" s="443">
        <v>76.989999999999995</v>
      </c>
    </row>
    <row r="4075" spans="1:4">
      <c r="A4075" s="216">
        <v>6306</v>
      </c>
      <c r="B4075" s="222" t="s">
        <v>21762</v>
      </c>
      <c r="C4075" s="216" t="s">
        <v>17678</v>
      </c>
      <c r="D4075" s="443">
        <v>76.989999999999995</v>
      </c>
    </row>
    <row r="4076" spans="1:4">
      <c r="A4076" s="216">
        <v>6305</v>
      </c>
      <c r="B4076" s="222" t="s">
        <v>21763</v>
      </c>
      <c r="C4076" s="216" t="s">
        <v>17678</v>
      </c>
      <c r="D4076" s="443">
        <v>76.989999999999995</v>
      </c>
    </row>
    <row r="4077" spans="1:4">
      <c r="A4077" s="216">
        <v>6302</v>
      </c>
      <c r="B4077" s="222" t="s">
        <v>21764</v>
      </c>
      <c r="C4077" s="216" t="s">
        <v>17678</v>
      </c>
      <c r="D4077" s="443">
        <v>16.329999999999998</v>
      </c>
    </row>
    <row r="4078" spans="1:4">
      <c r="A4078" s="216">
        <v>6312</v>
      </c>
      <c r="B4078" s="222" t="s">
        <v>21765</v>
      </c>
      <c r="C4078" s="216" t="s">
        <v>17678</v>
      </c>
      <c r="D4078" s="443">
        <v>205.31</v>
      </c>
    </row>
    <row r="4079" spans="1:4">
      <c r="A4079" s="216">
        <v>6311</v>
      </c>
      <c r="B4079" s="222" t="s">
        <v>21766</v>
      </c>
      <c r="C4079" s="216" t="s">
        <v>17678</v>
      </c>
      <c r="D4079" s="443">
        <v>205.31</v>
      </c>
    </row>
    <row r="4080" spans="1:4">
      <c r="A4080" s="216">
        <v>6310</v>
      </c>
      <c r="B4080" s="222" t="s">
        <v>21767</v>
      </c>
      <c r="C4080" s="216" t="s">
        <v>17678</v>
      </c>
      <c r="D4080" s="443">
        <v>205.31</v>
      </c>
    </row>
    <row r="4081" spans="1:4">
      <c r="A4081" s="216">
        <v>6314</v>
      </c>
      <c r="B4081" s="222" t="s">
        <v>21768</v>
      </c>
      <c r="C4081" s="216" t="s">
        <v>17678</v>
      </c>
      <c r="D4081" s="443">
        <v>205.31</v>
      </c>
    </row>
    <row r="4082" spans="1:4">
      <c r="A4082" s="216">
        <v>6313</v>
      </c>
      <c r="B4082" s="222" t="s">
        <v>21769</v>
      </c>
      <c r="C4082" s="216" t="s">
        <v>17678</v>
      </c>
      <c r="D4082" s="443">
        <v>205.31</v>
      </c>
    </row>
    <row r="4083" spans="1:4">
      <c r="A4083" s="216">
        <v>6315</v>
      </c>
      <c r="B4083" s="222" t="s">
        <v>21770</v>
      </c>
      <c r="C4083" s="216" t="s">
        <v>17678</v>
      </c>
      <c r="D4083" s="443">
        <v>388.74</v>
      </c>
    </row>
    <row r="4084" spans="1:4">
      <c r="A4084" s="216">
        <v>6316</v>
      </c>
      <c r="B4084" s="222" t="s">
        <v>21771</v>
      </c>
      <c r="C4084" s="216" t="s">
        <v>17678</v>
      </c>
      <c r="D4084" s="443">
        <v>388.74</v>
      </c>
    </row>
    <row r="4085" spans="1:4">
      <c r="A4085" s="216">
        <v>39324</v>
      </c>
      <c r="B4085" s="222" t="s">
        <v>21772</v>
      </c>
      <c r="C4085" s="216" t="s">
        <v>17678</v>
      </c>
      <c r="D4085" s="443">
        <v>5.14</v>
      </c>
    </row>
    <row r="4086" spans="1:4">
      <c r="A4086" s="216">
        <v>39325</v>
      </c>
      <c r="B4086" s="222" t="s">
        <v>21773</v>
      </c>
      <c r="C4086" s="216" t="s">
        <v>17678</v>
      </c>
      <c r="D4086" s="443">
        <v>7.75</v>
      </c>
    </row>
    <row r="4087" spans="1:4">
      <c r="A4087" s="216">
        <v>39326</v>
      </c>
      <c r="B4087" s="222" t="s">
        <v>21774</v>
      </c>
      <c r="C4087" s="216" t="s">
        <v>17678</v>
      </c>
      <c r="D4087" s="443">
        <v>27.82</v>
      </c>
    </row>
    <row r="4088" spans="1:4">
      <c r="A4088" s="216">
        <v>39327</v>
      </c>
      <c r="B4088" s="222" t="s">
        <v>21775</v>
      </c>
      <c r="C4088" s="216" t="s">
        <v>17678</v>
      </c>
      <c r="D4088" s="443">
        <v>41.97</v>
      </c>
    </row>
    <row r="4089" spans="1:4">
      <c r="A4089" s="216">
        <v>11378</v>
      </c>
      <c r="B4089" s="222" t="s">
        <v>21776</v>
      </c>
      <c r="C4089" s="216" t="s">
        <v>17678</v>
      </c>
      <c r="D4089" s="443">
        <v>102.55</v>
      </c>
    </row>
    <row r="4090" spans="1:4">
      <c r="A4090" s="216">
        <v>11379</v>
      </c>
      <c r="B4090" s="222" t="s">
        <v>21777</v>
      </c>
      <c r="C4090" s="216" t="s">
        <v>17678</v>
      </c>
      <c r="D4090" s="443">
        <v>86.66</v>
      </c>
    </row>
    <row r="4091" spans="1:4">
      <c r="A4091" s="216">
        <v>11493</v>
      </c>
      <c r="B4091" s="222" t="s">
        <v>21778</v>
      </c>
      <c r="C4091" s="216" t="s">
        <v>17678</v>
      </c>
      <c r="D4091" s="443">
        <v>49.98</v>
      </c>
    </row>
    <row r="4092" spans="1:4">
      <c r="A4092" s="216">
        <v>7106</v>
      </c>
      <c r="B4092" s="222" t="s">
        <v>21779</v>
      </c>
      <c r="C4092" s="216" t="s">
        <v>17678</v>
      </c>
      <c r="D4092" s="443">
        <v>165.6</v>
      </c>
    </row>
    <row r="4093" spans="1:4">
      <c r="A4093" s="216">
        <v>7104</v>
      </c>
      <c r="B4093" s="222" t="s">
        <v>21780</v>
      </c>
      <c r="C4093" s="216" t="s">
        <v>17678</v>
      </c>
      <c r="D4093" s="443">
        <v>4.46</v>
      </c>
    </row>
    <row r="4094" spans="1:4">
      <c r="A4094" s="216">
        <v>7136</v>
      </c>
      <c r="B4094" s="222" t="s">
        <v>21781</v>
      </c>
      <c r="C4094" s="216" t="s">
        <v>17678</v>
      </c>
      <c r="D4094" s="443">
        <v>7.77</v>
      </c>
    </row>
    <row r="4095" spans="1:4">
      <c r="A4095" s="216">
        <v>7128</v>
      </c>
      <c r="B4095" s="222" t="s">
        <v>21782</v>
      </c>
      <c r="C4095" s="216" t="s">
        <v>17678</v>
      </c>
      <c r="D4095" s="443">
        <v>10.08</v>
      </c>
    </row>
    <row r="4096" spans="1:4">
      <c r="A4096" s="216">
        <v>7108</v>
      </c>
      <c r="B4096" s="222" t="s">
        <v>21783</v>
      </c>
      <c r="C4096" s="216" t="s">
        <v>17678</v>
      </c>
      <c r="D4096" s="443">
        <v>10.06</v>
      </c>
    </row>
    <row r="4097" spans="1:4">
      <c r="A4097" s="216">
        <v>7129</v>
      </c>
      <c r="B4097" s="222" t="s">
        <v>21784</v>
      </c>
      <c r="C4097" s="216" t="s">
        <v>17678</v>
      </c>
      <c r="D4097" s="443">
        <v>11.84</v>
      </c>
    </row>
    <row r="4098" spans="1:4">
      <c r="A4098" s="216">
        <v>7130</v>
      </c>
      <c r="B4098" s="222" t="s">
        <v>21785</v>
      </c>
      <c r="C4098" s="216" t="s">
        <v>17678</v>
      </c>
      <c r="D4098" s="443">
        <v>17.2</v>
      </c>
    </row>
    <row r="4099" spans="1:4">
      <c r="A4099" s="216">
        <v>7131</v>
      </c>
      <c r="B4099" s="222" t="s">
        <v>21786</v>
      </c>
      <c r="C4099" s="216" t="s">
        <v>17678</v>
      </c>
      <c r="D4099" s="443">
        <v>21.04</v>
      </c>
    </row>
    <row r="4100" spans="1:4">
      <c r="A4100" s="216">
        <v>7132</v>
      </c>
      <c r="B4100" s="222" t="s">
        <v>21787</v>
      </c>
      <c r="C4100" s="216" t="s">
        <v>17678</v>
      </c>
      <c r="D4100" s="443">
        <v>49.53</v>
      </c>
    </row>
    <row r="4101" spans="1:4">
      <c r="A4101" s="216">
        <v>7133</v>
      </c>
      <c r="B4101" s="222" t="s">
        <v>21788</v>
      </c>
      <c r="C4101" s="216" t="s">
        <v>17678</v>
      </c>
      <c r="D4101" s="443">
        <v>114.46</v>
      </c>
    </row>
    <row r="4102" spans="1:4" ht="31.5">
      <c r="A4102" s="216">
        <v>37420</v>
      </c>
      <c r="B4102" s="222" t="s">
        <v>21789</v>
      </c>
      <c r="C4102" s="216" t="s">
        <v>17678</v>
      </c>
      <c r="D4102" s="443">
        <v>46.67</v>
      </c>
    </row>
    <row r="4103" spans="1:4" ht="31.5">
      <c r="A4103" s="216">
        <v>37421</v>
      </c>
      <c r="B4103" s="222" t="s">
        <v>21790</v>
      </c>
      <c r="C4103" s="216" t="s">
        <v>17678</v>
      </c>
      <c r="D4103" s="443">
        <v>63.78</v>
      </c>
    </row>
    <row r="4104" spans="1:4" ht="31.5">
      <c r="A4104" s="216">
        <v>37422</v>
      </c>
      <c r="B4104" s="222" t="s">
        <v>21791</v>
      </c>
      <c r="C4104" s="216" t="s">
        <v>17678</v>
      </c>
      <c r="D4104" s="443">
        <v>59.7</v>
      </c>
    </row>
    <row r="4105" spans="1:4">
      <c r="A4105" s="216">
        <v>37443</v>
      </c>
      <c r="B4105" s="222" t="s">
        <v>21792</v>
      </c>
      <c r="C4105" s="216" t="s">
        <v>17678</v>
      </c>
      <c r="D4105" s="443">
        <v>206.5</v>
      </c>
    </row>
    <row r="4106" spans="1:4">
      <c r="A4106" s="216">
        <v>37444</v>
      </c>
      <c r="B4106" s="222" t="s">
        <v>21793</v>
      </c>
      <c r="C4106" s="216" t="s">
        <v>17678</v>
      </c>
      <c r="D4106" s="443">
        <v>210</v>
      </c>
    </row>
    <row r="4107" spans="1:4">
      <c r="A4107" s="216">
        <v>37445</v>
      </c>
      <c r="B4107" s="222" t="s">
        <v>21794</v>
      </c>
      <c r="C4107" s="216" t="s">
        <v>17678</v>
      </c>
      <c r="D4107" s="443">
        <v>318.31</v>
      </c>
    </row>
    <row r="4108" spans="1:4">
      <c r="A4108" s="216">
        <v>37446</v>
      </c>
      <c r="B4108" s="222" t="s">
        <v>21795</v>
      </c>
      <c r="C4108" s="216" t="s">
        <v>17678</v>
      </c>
      <c r="D4108" s="443">
        <v>347</v>
      </c>
    </row>
    <row r="4109" spans="1:4">
      <c r="A4109" s="216">
        <v>37447</v>
      </c>
      <c r="B4109" s="222" t="s">
        <v>21796</v>
      </c>
      <c r="C4109" s="216" t="s">
        <v>17678</v>
      </c>
      <c r="D4109" s="443">
        <v>352.43</v>
      </c>
    </row>
    <row r="4110" spans="1:4">
      <c r="A4110" s="216">
        <v>37448</v>
      </c>
      <c r="B4110" s="222" t="s">
        <v>21797</v>
      </c>
      <c r="C4110" s="216" t="s">
        <v>17678</v>
      </c>
      <c r="D4110" s="443">
        <v>483.42</v>
      </c>
    </row>
    <row r="4111" spans="1:4">
      <c r="A4111" s="216">
        <v>37440</v>
      </c>
      <c r="B4111" s="222" t="s">
        <v>21798</v>
      </c>
      <c r="C4111" s="216" t="s">
        <v>17678</v>
      </c>
      <c r="D4111" s="443">
        <v>163.9</v>
      </c>
    </row>
    <row r="4112" spans="1:4">
      <c r="A4112" s="216">
        <v>37441</v>
      </c>
      <c r="B4112" s="222" t="s">
        <v>21799</v>
      </c>
      <c r="C4112" s="216" t="s">
        <v>17678</v>
      </c>
      <c r="D4112" s="443">
        <v>163.9</v>
      </c>
    </row>
    <row r="4113" spans="1:4">
      <c r="A4113" s="216">
        <v>37442</v>
      </c>
      <c r="B4113" s="222" t="s">
        <v>21800</v>
      </c>
      <c r="C4113" s="216" t="s">
        <v>17678</v>
      </c>
      <c r="D4113" s="443">
        <v>197.41</v>
      </c>
    </row>
    <row r="4114" spans="1:4">
      <c r="A4114" s="216">
        <v>38017</v>
      </c>
      <c r="B4114" s="222" t="s">
        <v>21801</v>
      </c>
      <c r="C4114" s="216" t="s">
        <v>17678</v>
      </c>
      <c r="D4114" s="443">
        <v>10.52</v>
      </c>
    </row>
    <row r="4115" spans="1:4">
      <c r="A4115" s="216">
        <v>38018</v>
      </c>
      <c r="B4115" s="222" t="s">
        <v>21802</v>
      </c>
      <c r="C4115" s="216" t="s">
        <v>17678</v>
      </c>
      <c r="D4115" s="443">
        <v>11.82</v>
      </c>
    </row>
    <row r="4116" spans="1:4">
      <c r="A4116" s="216">
        <v>39895</v>
      </c>
      <c r="B4116" s="222" t="s">
        <v>21803</v>
      </c>
      <c r="C4116" s="216" t="s">
        <v>17678</v>
      </c>
      <c r="D4116" s="443">
        <v>49.08</v>
      </c>
    </row>
    <row r="4117" spans="1:4">
      <c r="A4117" s="216">
        <v>39896</v>
      </c>
      <c r="B4117" s="222" t="s">
        <v>21804</v>
      </c>
      <c r="C4117" s="216" t="s">
        <v>17678</v>
      </c>
      <c r="D4117" s="443">
        <v>71.930000000000007</v>
      </c>
    </row>
    <row r="4118" spans="1:4">
      <c r="A4118" s="216">
        <v>38873</v>
      </c>
      <c r="B4118" s="222" t="s">
        <v>21805</v>
      </c>
      <c r="C4118" s="216" t="s">
        <v>17678</v>
      </c>
      <c r="D4118" s="443">
        <v>13.6</v>
      </c>
    </row>
    <row r="4119" spans="1:4">
      <c r="A4119" s="216">
        <v>38874</v>
      </c>
      <c r="B4119" s="222" t="s">
        <v>21806</v>
      </c>
      <c r="C4119" s="216" t="s">
        <v>17678</v>
      </c>
      <c r="D4119" s="443">
        <v>17.22</v>
      </c>
    </row>
    <row r="4120" spans="1:4">
      <c r="A4120" s="216">
        <v>38875</v>
      </c>
      <c r="B4120" s="222" t="s">
        <v>21807</v>
      </c>
      <c r="C4120" s="216" t="s">
        <v>17678</v>
      </c>
      <c r="D4120" s="443">
        <v>27.3</v>
      </c>
    </row>
    <row r="4121" spans="1:4">
      <c r="A4121" s="216">
        <v>38876</v>
      </c>
      <c r="B4121" s="222" t="s">
        <v>21808</v>
      </c>
      <c r="C4121" s="216" t="s">
        <v>17678</v>
      </c>
      <c r="D4121" s="443">
        <v>36.69</v>
      </c>
    </row>
    <row r="4122" spans="1:4">
      <c r="A4122" s="216">
        <v>39000</v>
      </c>
      <c r="B4122" s="222" t="s">
        <v>21809</v>
      </c>
      <c r="C4122" s="216" t="s">
        <v>17678</v>
      </c>
      <c r="D4122" s="443">
        <v>33.82</v>
      </c>
    </row>
    <row r="4123" spans="1:4">
      <c r="A4123" s="216">
        <v>38674</v>
      </c>
      <c r="B4123" s="222" t="s">
        <v>21810</v>
      </c>
      <c r="C4123" s="216" t="s">
        <v>17678</v>
      </c>
      <c r="D4123" s="443">
        <v>35.39</v>
      </c>
    </row>
    <row r="4124" spans="1:4">
      <c r="A4124" s="216">
        <v>38019</v>
      </c>
      <c r="B4124" s="222" t="s">
        <v>21811</v>
      </c>
      <c r="C4124" s="216" t="s">
        <v>17678</v>
      </c>
      <c r="D4124" s="443">
        <v>7.49</v>
      </c>
    </row>
    <row r="4125" spans="1:4">
      <c r="A4125" s="216">
        <v>38020</v>
      </c>
      <c r="B4125" s="222" t="s">
        <v>21812</v>
      </c>
      <c r="C4125" s="216" t="s">
        <v>17678</v>
      </c>
      <c r="D4125" s="443">
        <v>9.2200000000000006</v>
      </c>
    </row>
    <row r="4126" spans="1:4">
      <c r="A4126" s="216">
        <v>38454</v>
      </c>
      <c r="B4126" s="222" t="s">
        <v>21813</v>
      </c>
      <c r="C4126" s="216" t="s">
        <v>17678</v>
      </c>
      <c r="D4126" s="443">
        <v>12.68</v>
      </c>
    </row>
    <row r="4127" spans="1:4">
      <c r="A4127" s="216">
        <v>38455</v>
      </c>
      <c r="B4127" s="222" t="s">
        <v>21814</v>
      </c>
      <c r="C4127" s="216" t="s">
        <v>17678</v>
      </c>
      <c r="D4127" s="443">
        <v>16.97</v>
      </c>
    </row>
    <row r="4128" spans="1:4">
      <c r="A4128" s="216">
        <v>38462</v>
      </c>
      <c r="B4128" s="222" t="s">
        <v>21815</v>
      </c>
      <c r="C4128" s="216" t="s">
        <v>17678</v>
      </c>
      <c r="D4128" s="443">
        <v>273.70999999999998</v>
      </c>
    </row>
    <row r="4129" spans="1:4">
      <c r="A4129" s="216">
        <v>36362</v>
      </c>
      <c r="B4129" s="222" t="s">
        <v>21816</v>
      </c>
      <c r="C4129" s="216" t="s">
        <v>17678</v>
      </c>
      <c r="D4129" s="443">
        <v>3.78</v>
      </c>
    </row>
    <row r="4130" spans="1:4">
      <c r="A4130" s="216">
        <v>36298</v>
      </c>
      <c r="B4130" s="222" t="s">
        <v>21817</v>
      </c>
      <c r="C4130" s="216" t="s">
        <v>17678</v>
      </c>
      <c r="D4130" s="443">
        <v>3.25</v>
      </c>
    </row>
    <row r="4131" spans="1:4">
      <c r="A4131" s="216">
        <v>38456</v>
      </c>
      <c r="B4131" s="222" t="s">
        <v>21818</v>
      </c>
      <c r="C4131" s="216" t="s">
        <v>17678</v>
      </c>
      <c r="D4131" s="443">
        <v>8.09</v>
      </c>
    </row>
    <row r="4132" spans="1:4">
      <c r="A4132" s="216">
        <v>38457</v>
      </c>
      <c r="B4132" s="222" t="s">
        <v>21819</v>
      </c>
      <c r="C4132" s="216" t="s">
        <v>17678</v>
      </c>
      <c r="D4132" s="443">
        <v>14.75</v>
      </c>
    </row>
    <row r="4133" spans="1:4">
      <c r="A4133" s="216">
        <v>38458</v>
      </c>
      <c r="B4133" s="222" t="s">
        <v>21820</v>
      </c>
      <c r="C4133" s="216" t="s">
        <v>17678</v>
      </c>
      <c r="D4133" s="443">
        <v>28.41</v>
      </c>
    </row>
    <row r="4134" spans="1:4">
      <c r="A4134" s="216">
        <v>38459</v>
      </c>
      <c r="B4134" s="222" t="s">
        <v>21821</v>
      </c>
      <c r="C4134" s="216" t="s">
        <v>17678</v>
      </c>
      <c r="D4134" s="443">
        <v>44.66</v>
      </c>
    </row>
    <row r="4135" spans="1:4">
      <c r="A4135" s="216">
        <v>38460</v>
      </c>
      <c r="B4135" s="222" t="s">
        <v>21822</v>
      </c>
      <c r="C4135" s="216" t="s">
        <v>17678</v>
      </c>
      <c r="D4135" s="443">
        <v>95.81</v>
      </c>
    </row>
    <row r="4136" spans="1:4">
      <c r="A4136" s="216">
        <v>38461</v>
      </c>
      <c r="B4136" s="222" t="s">
        <v>21823</v>
      </c>
      <c r="C4136" s="216" t="s">
        <v>17678</v>
      </c>
      <c r="D4136" s="443">
        <v>128.57</v>
      </c>
    </row>
    <row r="4137" spans="1:4">
      <c r="A4137" s="216">
        <v>7094</v>
      </c>
      <c r="B4137" s="222" t="s">
        <v>21824</v>
      </c>
      <c r="C4137" s="216" t="s">
        <v>17678</v>
      </c>
      <c r="D4137" s="443">
        <v>14.57</v>
      </c>
    </row>
    <row r="4138" spans="1:4">
      <c r="A4138" s="216">
        <v>7116</v>
      </c>
      <c r="B4138" s="222" t="s">
        <v>21825</v>
      </c>
      <c r="C4138" s="216" t="s">
        <v>17678</v>
      </c>
      <c r="D4138" s="443">
        <v>3.75</v>
      </c>
    </row>
    <row r="4139" spans="1:4">
      <c r="A4139" s="216">
        <v>7118</v>
      </c>
      <c r="B4139" s="222" t="s">
        <v>21826</v>
      </c>
      <c r="C4139" s="216" t="s">
        <v>17678</v>
      </c>
      <c r="D4139" s="443">
        <v>29.97</v>
      </c>
    </row>
    <row r="4140" spans="1:4">
      <c r="A4140" s="216">
        <v>7098</v>
      </c>
      <c r="B4140" s="222" t="s">
        <v>21827</v>
      </c>
      <c r="C4140" s="216" t="s">
        <v>17678</v>
      </c>
      <c r="D4140" s="443">
        <v>4.45</v>
      </c>
    </row>
    <row r="4141" spans="1:4">
      <c r="A4141" s="216">
        <v>7110</v>
      </c>
      <c r="B4141" s="222" t="s">
        <v>21828</v>
      </c>
      <c r="C4141" s="216" t="s">
        <v>17678</v>
      </c>
      <c r="D4141" s="443">
        <v>56.97</v>
      </c>
    </row>
    <row r="4142" spans="1:4">
      <c r="A4142" s="216">
        <v>7123</v>
      </c>
      <c r="B4142" s="222" t="s">
        <v>21829</v>
      </c>
      <c r="C4142" s="216" t="s">
        <v>17678</v>
      </c>
      <c r="D4142" s="443">
        <v>5.39</v>
      </c>
    </row>
    <row r="4143" spans="1:4">
      <c r="A4143" s="216">
        <v>7121</v>
      </c>
      <c r="B4143" s="222" t="s">
        <v>21830</v>
      </c>
      <c r="C4143" s="216" t="s">
        <v>17678</v>
      </c>
      <c r="D4143" s="443">
        <v>10.65</v>
      </c>
    </row>
    <row r="4144" spans="1:4">
      <c r="A4144" s="216">
        <v>7137</v>
      </c>
      <c r="B4144" s="222" t="s">
        <v>21831</v>
      </c>
      <c r="C4144" s="216" t="s">
        <v>17678</v>
      </c>
      <c r="D4144" s="443">
        <v>11.64</v>
      </c>
    </row>
    <row r="4145" spans="1:4">
      <c r="A4145" s="216">
        <v>7122</v>
      </c>
      <c r="B4145" s="222" t="s">
        <v>21832</v>
      </c>
      <c r="C4145" s="216" t="s">
        <v>17678</v>
      </c>
      <c r="D4145" s="443">
        <v>12.81</v>
      </c>
    </row>
    <row r="4146" spans="1:4">
      <c r="A4146" s="216">
        <v>7114</v>
      </c>
      <c r="B4146" s="222" t="s">
        <v>21833</v>
      </c>
      <c r="C4146" s="216" t="s">
        <v>17678</v>
      </c>
      <c r="D4146" s="443">
        <v>14.9</v>
      </c>
    </row>
    <row r="4147" spans="1:4">
      <c r="A4147" s="216">
        <v>7109</v>
      </c>
      <c r="B4147" s="222" t="s">
        <v>21834</v>
      </c>
      <c r="C4147" s="216" t="s">
        <v>17678</v>
      </c>
      <c r="D4147" s="443">
        <v>2.95</v>
      </c>
    </row>
    <row r="4148" spans="1:4">
      <c r="A4148" s="216">
        <v>7135</v>
      </c>
      <c r="B4148" s="222" t="s">
        <v>21835</v>
      </c>
      <c r="C4148" s="216" t="s">
        <v>17678</v>
      </c>
      <c r="D4148" s="443">
        <v>6.05</v>
      </c>
    </row>
    <row r="4149" spans="1:4">
      <c r="A4149" s="216">
        <v>37947</v>
      </c>
      <c r="B4149" s="222" t="s">
        <v>21836</v>
      </c>
      <c r="C4149" s="216" t="s">
        <v>17678</v>
      </c>
      <c r="D4149" s="443">
        <v>4.92</v>
      </c>
    </row>
    <row r="4150" spans="1:4">
      <c r="A4150" s="216">
        <v>7103</v>
      </c>
      <c r="B4150" s="222" t="s">
        <v>21837</v>
      </c>
      <c r="C4150" s="216" t="s">
        <v>17678</v>
      </c>
      <c r="D4150" s="443">
        <v>16.02</v>
      </c>
    </row>
    <row r="4151" spans="1:4">
      <c r="A4151" s="216">
        <v>40419</v>
      </c>
      <c r="B4151" s="222" t="s">
        <v>21838</v>
      </c>
      <c r="C4151" s="216" t="s">
        <v>17678</v>
      </c>
      <c r="D4151" s="443">
        <v>41.62</v>
      </c>
    </row>
    <row r="4152" spans="1:4">
      <c r="A4152" s="216">
        <v>40420</v>
      </c>
      <c r="B4152" s="222" t="s">
        <v>21839</v>
      </c>
      <c r="C4152" s="216" t="s">
        <v>17678</v>
      </c>
      <c r="D4152" s="443">
        <v>60.72</v>
      </c>
    </row>
    <row r="4153" spans="1:4">
      <c r="A4153" s="216">
        <v>40421</v>
      </c>
      <c r="B4153" s="222" t="s">
        <v>21840</v>
      </c>
      <c r="C4153" s="216" t="s">
        <v>17678</v>
      </c>
      <c r="D4153" s="443">
        <v>64.64</v>
      </c>
    </row>
    <row r="4154" spans="1:4" ht="31.5">
      <c r="A4154" s="216">
        <v>38905</v>
      </c>
      <c r="B4154" s="222" t="s">
        <v>21841</v>
      </c>
      <c r="C4154" s="216" t="s">
        <v>17678</v>
      </c>
      <c r="D4154" s="443">
        <v>17.600000000000001</v>
      </c>
    </row>
    <row r="4155" spans="1:4" ht="31.5">
      <c r="A4155" s="216">
        <v>38907</v>
      </c>
      <c r="B4155" s="222" t="s">
        <v>21842</v>
      </c>
      <c r="C4155" s="216" t="s">
        <v>17678</v>
      </c>
      <c r="D4155" s="443">
        <v>16.97</v>
      </c>
    </row>
    <row r="4156" spans="1:4" ht="31.5">
      <c r="A4156" s="216">
        <v>38910</v>
      </c>
      <c r="B4156" s="222" t="s">
        <v>21843</v>
      </c>
      <c r="C4156" s="216" t="s">
        <v>17678</v>
      </c>
      <c r="D4156" s="443">
        <v>19.850000000000001</v>
      </c>
    </row>
    <row r="4157" spans="1:4">
      <c r="A4157" s="216">
        <v>11655</v>
      </c>
      <c r="B4157" s="222" t="s">
        <v>21844</v>
      </c>
      <c r="C4157" s="216" t="s">
        <v>17678</v>
      </c>
      <c r="D4157" s="443">
        <v>17.36</v>
      </c>
    </row>
    <row r="4158" spans="1:4">
      <c r="A4158" s="216">
        <v>11656</v>
      </c>
      <c r="B4158" s="222" t="s">
        <v>21845</v>
      </c>
      <c r="C4158" s="216" t="s">
        <v>17678</v>
      </c>
      <c r="D4158" s="443">
        <v>19.93</v>
      </c>
    </row>
    <row r="4159" spans="1:4">
      <c r="A4159" s="216">
        <v>7091</v>
      </c>
      <c r="B4159" s="222" t="s">
        <v>21846</v>
      </c>
      <c r="C4159" s="216" t="s">
        <v>17678</v>
      </c>
      <c r="D4159" s="443">
        <v>16.32</v>
      </c>
    </row>
    <row r="4160" spans="1:4">
      <c r="A4160" s="216">
        <v>37948</v>
      </c>
      <c r="B4160" s="222" t="s">
        <v>21847</v>
      </c>
      <c r="C4160" s="216" t="s">
        <v>17678</v>
      </c>
      <c r="D4160" s="443">
        <v>3.78</v>
      </c>
    </row>
    <row r="4161" spans="1:4">
      <c r="A4161" s="216">
        <v>7097</v>
      </c>
      <c r="B4161" s="222" t="s">
        <v>21848</v>
      </c>
      <c r="C4161" s="216" t="s">
        <v>17678</v>
      </c>
      <c r="D4161" s="443">
        <v>7.67</v>
      </c>
    </row>
    <row r="4162" spans="1:4">
      <c r="A4162" s="216">
        <v>11658</v>
      </c>
      <c r="B4162" s="222" t="s">
        <v>21849</v>
      </c>
      <c r="C4162" s="216" t="s">
        <v>17678</v>
      </c>
      <c r="D4162" s="443">
        <v>16.95</v>
      </c>
    </row>
    <row r="4163" spans="1:4">
      <c r="A4163" s="216">
        <v>7146</v>
      </c>
      <c r="B4163" s="222" t="s">
        <v>21850</v>
      </c>
      <c r="C4163" s="216" t="s">
        <v>17678</v>
      </c>
      <c r="D4163" s="443">
        <v>195</v>
      </c>
    </row>
    <row r="4164" spans="1:4">
      <c r="A4164" s="216">
        <v>7138</v>
      </c>
      <c r="B4164" s="222" t="s">
        <v>21851</v>
      </c>
      <c r="C4164" s="216" t="s">
        <v>17678</v>
      </c>
      <c r="D4164" s="443">
        <v>1.23</v>
      </c>
    </row>
    <row r="4165" spans="1:4">
      <c r="A4165" s="216">
        <v>7139</v>
      </c>
      <c r="B4165" s="222" t="s">
        <v>21852</v>
      </c>
      <c r="C4165" s="216" t="s">
        <v>17678</v>
      </c>
      <c r="D4165" s="443">
        <v>1.4</v>
      </c>
    </row>
    <row r="4166" spans="1:4">
      <c r="A4166" s="216">
        <v>7140</v>
      </c>
      <c r="B4166" s="222" t="s">
        <v>21853</v>
      </c>
      <c r="C4166" s="216" t="s">
        <v>17678</v>
      </c>
      <c r="D4166" s="443">
        <v>4.3899999999999997</v>
      </c>
    </row>
    <row r="4167" spans="1:4">
      <c r="A4167" s="216">
        <v>7141</v>
      </c>
      <c r="B4167" s="222" t="s">
        <v>21854</v>
      </c>
      <c r="C4167" s="216" t="s">
        <v>17678</v>
      </c>
      <c r="D4167" s="443">
        <v>10.73</v>
      </c>
    </row>
    <row r="4168" spans="1:4">
      <c r="A4168" s="216">
        <v>7143</v>
      </c>
      <c r="B4168" s="222" t="s">
        <v>21855</v>
      </c>
      <c r="C4168" s="216" t="s">
        <v>17678</v>
      </c>
      <c r="D4168" s="443">
        <v>36</v>
      </c>
    </row>
    <row r="4169" spans="1:4">
      <c r="A4169" s="216">
        <v>7144</v>
      </c>
      <c r="B4169" s="222" t="s">
        <v>21856</v>
      </c>
      <c r="C4169" s="216" t="s">
        <v>17678</v>
      </c>
      <c r="D4169" s="443">
        <v>66.790000000000006</v>
      </c>
    </row>
    <row r="4170" spans="1:4">
      <c r="A4170" s="216">
        <v>7145</v>
      </c>
      <c r="B4170" s="222" t="s">
        <v>21857</v>
      </c>
      <c r="C4170" s="216" t="s">
        <v>17678</v>
      </c>
      <c r="D4170" s="443">
        <v>90.82</v>
      </c>
    </row>
    <row r="4171" spans="1:4">
      <c r="A4171" s="216">
        <v>7142</v>
      </c>
      <c r="B4171" s="222" t="s">
        <v>21858</v>
      </c>
      <c r="C4171" s="216" t="s">
        <v>17678</v>
      </c>
      <c r="D4171" s="443">
        <v>11.22</v>
      </c>
    </row>
    <row r="4172" spans="1:4">
      <c r="A4172" s="216">
        <v>3593</v>
      </c>
      <c r="B4172" s="222" t="s">
        <v>21859</v>
      </c>
      <c r="C4172" s="216" t="s">
        <v>17678</v>
      </c>
      <c r="D4172" s="443">
        <v>95.29</v>
      </c>
    </row>
    <row r="4173" spans="1:4">
      <c r="A4173" s="216">
        <v>3588</v>
      </c>
      <c r="B4173" s="222" t="s">
        <v>21860</v>
      </c>
      <c r="C4173" s="216" t="s">
        <v>17678</v>
      </c>
      <c r="D4173" s="443">
        <v>73.45</v>
      </c>
    </row>
    <row r="4174" spans="1:4">
      <c r="A4174" s="216">
        <v>3585</v>
      </c>
      <c r="B4174" s="222" t="s">
        <v>21861</v>
      </c>
      <c r="C4174" s="216" t="s">
        <v>17678</v>
      </c>
      <c r="D4174" s="443">
        <v>22.69</v>
      </c>
    </row>
    <row r="4175" spans="1:4">
      <c r="A4175" s="216">
        <v>3587</v>
      </c>
      <c r="B4175" s="222" t="s">
        <v>21862</v>
      </c>
      <c r="C4175" s="216" t="s">
        <v>17678</v>
      </c>
      <c r="D4175" s="443">
        <v>45.58</v>
      </c>
    </row>
    <row r="4176" spans="1:4">
      <c r="A4176" s="216">
        <v>3590</v>
      </c>
      <c r="B4176" s="222" t="s">
        <v>21863</v>
      </c>
      <c r="C4176" s="216" t="s">
        <v>17678</v>
      </c>
      <c r="D4176" s="443">
        <v>270.57</v>
      </c>
    </row>
    <row r="4177" spans="1:4">
      <c r="A4177" s="216">
        <v>3589</v>
      </c>
      <c r="B4177" s="222" t="s">
        <v>21864</v>
      </c>
      <c r="C4177" s="216" t="s">
        <v>17678</v>
      </c>
      <c r="D4177" s="443">
        <v>145.22999999999999</v>
      </c>
    </row>
    <row r="4178" spans="1:4">
      <c r="A4178" s="216">
        <v>3586</v>
      </c>
      <c r="B4178" s="222" t="s">
        <v>21865</v>
      </c>
      <c r="C4178" s="216" t="s">
        <v>17678</v>
      </c>
      <c r="D4178" s="443">
        <v>29.71</v>
      </c>
    </row>
    <row r="4179" spans="1:4">
      <c r="A4179" s="216">
        <v>3592</v>
      </c>
      <c r="B4179" s="222" t="s">
        <v>21866</v>
      </c>
      <c r="C4179" s="216" t="s">
        <v>17678</v>
      </c>
      <c r="D4179" s="443">
        <v>427.69</v>
      </c>
    </row>
    <row r="4180" spans="1:4">
      <c r="A4180" s="216">
        <v>3591</v>
      </c>
      <c r="B4180" s="222" t="s">
        <v>21867</v>
      </c>
      <c r="C4180" s="216" t="s">
        <v>17678</v>
      </c>
      <c r="D4180" s="443">
        <v>685.6</v>
      </c>
    </row>
    <row r="4181" spans="1:4">
      <c r="A4181" s="216">
        <v>40396</v>
      </c>
      <c r="B4181" s="222" t="s">
        <v>21868</v>
      </c>
      <c r="C4181" s="216" t="s">
        <v>17678</v>
      </c>
      <c r="D4181" s="443">
        <v>145.65</v>
      </c>
    </row>
    <row r="4182" spans="1:4">
      <c r="A4182" s="216">
        <v>40395</v>
      </c>
      <c r="B4182" s="222" t="s">
        <v>21869</v>
      </c>
      <c r="C4182" s="216" t="s">
        <v>17678</v>
      </c>
      <c r="D4182" s="443">
        <v>111.78</v>
      </c>
    </row>
    <row r="4183" spans="1:4">
      <c r="A4183" s="216">
        <v>40392</v>
      </c>
      <c r="B4183" s="222" t="s">
        <v>21870</v>
      </c>
      <c r="C4183" s="216" t="s">
        <v>17678</v>
      </c>
      <c r="D4183" s="443">
        <v>35.97</v>
      </c>
    </row>
    <row r="4184" spans="1:4">
      <c r="A4184" s="216">
        <v>40394</v>
      </c>
      <c r="B4184" s="222" t="s">
        <v>21871</v>
      </c>
      <c r="C4184" s="216" t="s">
        <v>17678</v>
      </c>
      <c r="D4184" s="443">
        <v>72.77</v>
      </c>
    </row>
    <row r="4185" spans="1:4">
      <c r="A4185" s="216">
        <v>40398</v>
      </c>
      <c r="B4185" s="222" t="s">
        <v>21872</v>
      </c>
      <c r="C4185" s="216" t="s">
        <v>17678</v>
      </c>
      <c r="D4185" s="443">
        <v>467.29</v>
      </c>
    </row>
    <row r="4186" spans="1:4">
      <c r="A4186" s="216">
        <v>40397</v>
      </c>
      <c r="B4186" s="222" t="s">
        <v>21873</v>
      </c>
      <c r="C4186" s="216" t="s">
        <v>17678</v>
      </c>
      <c r="D4186" s="443">
        <v>239.3</v>
      </c>
    </row>
    <row r="4187" spans="1:4">
      <c r="A4187" s="216">
        <v>40393</v>
      </c>
      <c r="B4187" s="222" t="s">
        <v>21874</v>
      </c>
      <c r="C4187" s="216" t="s">
        <v>17678</v>
      </c>
      <c r="D4187" s="443">
        <v>46.33</v>
      </c>
    </row>
    <row r="4188" spans="1:4">
      <c r="A4188" s="216">
        <v>40399</v>
      </c>
      <c r="B4188" s="222" t="s">
        <v>21875</v>
      </c>
      <c r="C4188" s="216" t="s">
        <v>17678</v>
      </c>
      <c r="D4188" s="443">
        <v>764.47</v>
      </c>
    </row>
    <row r="4189" spans="1:4">
      <c r="A4189" s="216">
        <v>39322</v>
      </c>
      <c r="B4189" s="222" t="s">
        <v>21876</v>
      </c>
      <c r="C4189" s="216" t="s">
        <v>17678</v>
      </c>
      <c r="D4189" s="443">
        <v>18.21</v>
      </c>
    </row>
    <row r="4190" spans="1:4">
      <c r="A4190" s="216">
        <v>39289</v>
      </c>
      <c r="B4190" s="222" t="s">
        <v>21877</v>
      </c>
      <c r="C4190" s="216" t="s">
        <v>17678</v>
      </c>
      <c r="D4190" s="443">
        <v>15.61</v>
      </c>
    </row>
    <row r="4191" spans="1:4">
      <c r="A4191" s="216">
        <v>39290</v>
      </c>
      <c r="B4191" s="222" t="s">
        <v>21878</v>
      </c>
      <c r="C4191" s="216" t="s">
        <v>17678</v>
      </c>
      <c r="D4191" s="443">
        <v>26.35</v>
      </c>
    </row>
    <row r="4192" spans="1:4">
      <c r="A4192" s="216">
        <v>39291</v>
      </c>
      <c r="B4192" s="222" t="s">
        <v>21879</v>
      </c>
      <c r="C4192" s="216" t="s">
        <v>17678</v>
      </c>
      <c r="D4192" s="443">
        <v>29.14</v>
      </c>
    </row>
    <row r="4193" spans="1:4">
      <c r="A4193" s="216">
        <v>41892</v>
      </c>
      <c r="B4193" s="222" t="s">
        <v>21880</v>
      </c>
      <c r="C4193" s="216" t="s">
        <v>17678</v>
      </c>
      <c r="D4193" s="443">
        <v>129.05000000000001</v>
      </c>
    </row>
    <row r="4194" spans="1:4">
      <c r="A4194" s="216">
        <v>7048</v>
      </c>
      <c r="B4194" s="222" t="s">
        <v>21881</v>
      </c>
      <c r="C4194" s="216" t="s">
        <v>17678</v>
      </c>
      <c r="D4194" s="443">
        <v>27.85</v>
      </c>
    </row>
    <row r="4195" spans="1:4">
      <c r="A4195" s="216">
        <v>7088</v>
      </c>
      <c r="B4195" s="222" t="s">
        <v>21882</v>
      </c>
      <c r="C4195" s="216" t="s">
        <v>17678</v>
      </c>
      <c r="D4195" s="443">
        <v>60.91</v>
      </c>
    </row>
    <row r="4196" spans="1:4">
      <c r="A4196" s="216">
        <v>20179</v>
      </c>
      <c r="B4196" s="222" t="s">
        <v>21883</v>
      </c>
      <c r="C4196" s="216" t="s">
        <v>17678</v>
      </c>
      <c r="D4196" s="443">
        <v>44.67</v>
      </c>
    </row>
    <row r="4197" spans="1:4">
      <c r="A4197" s="216">
        <v>20178</v>
      </c>
      <c r="B4197" s="222" t="s">
        <v>21884</v>
      </c>
      <c r="C4197" s="216" t="s">
        <v>17678</v>
      </c>
      <c r="D4197" s="443">
        <v>53.54</v>
      </c>
    </row>
    <row r="4198" spans="1:4">
      <c r="A4198" s="216">
        <v>20180</v>
      </c>
      <c r="B4198" s="222" t="s">
        <v>21885</v>
      </c>
      <c r="C4198" s="216" t="s">
        <v>17678</v>
      </c>
      <c r="D4198" s="443">
        <v>88.37</v>
      </c>
    </row>
    <row r="4199" spans="1:4">
      <c r="A4199" s="216">
        <v>20181</v>
      </c>
      <c r="B4199" s="222" t="s">
        <v>21886</v>
      </c>
      <c r="C4199" s="216" t="s">
        <v>17678</v>
      </c>
      <c r="D4199" s="443">
        <v>118.32</v>
      </c>
    </row>
    <row r="4200" spans="1:4">
      <c r="A4200" s="216">
        <v>20177</v>
      </c>
      <c r="B4200" s="222" t="s">
        <v>21887</v>
      </c>
      <c r="C4200" s="216" t="s">
        <v>17678</v>
      </c>
      <c r="D4200" s="443">
        <v>29.27</v>
      </c>
    </row>
    <row r="4201" spans="1:4">
      <c r="A4201" s="216">
        <v>7070</v>
      </c>
      <c r="B4201" s="222" t="s">
        <v>21888</v>
      </c>
      <c r="C4201" s="216" t="s">
        <v>17678</v>
      </c>
      <c r="D4201" s="443">
        <v>210.02</v>
      </c>
    </row>
    <row r="4202" spans="1:4">
      <c r="A4202" s="216">
        <v>40945</v>
      </c>
      <c r="B4202" s="222" t="s">
        <v>21889</v>
      </c>
      <c r="C4202" s="216" t="s">
        <v>17826</v>
      </c>
      <c r="D4202" s="443">
        <v>19.07</v>
      </c>
    </row>
    <row r="4203" spans="1:4">
      <c r="A4203" s="216">
        <v>40946</v>
      </c>
      <c r="B4203" s="222" t="s">
        <v>21890</v>
      </c>
      <c r="C4203" s="216" t="s">
        <v>17828</v>
      </c>
      <c r="D4203" s="443">
        <v>3340.83</v>
      </c>
    </row>
    <row r="4204" spans="1:4">
      <c r="A4204" s="216">
        <v>7153</v>
      </c>
      <c r="B4204" s="222" t="s">
        <v>21891</v>
      </c>
      <c r="C4204" s="216" t="s">
        <v>17826</v>
      </c>
      <c r="D4204" s="443">
        <v>35.32</v>
      </c>
    </row>
    <row r="4205" spans="1:4">
      <c r="A4205" s="216">
        <v>41089</v>
      </c>
      <c r="B4205" s="222" t="s">
        <v>21892</v>
      </c>
      <c r="C4205" s="216" t="s">
        <v>17828</v>
      </c>
      <c r="D4205" s="443">
        <v>6185.69</v>
      </c>
    </row>
    <row r="4206" spans="1:4">
      <c r="A4206" s="216">
        <v>40943</v>
      </c>
      <c r="B4206" s="222" t="s">
        <v>21893</v>
      </c>
      <c r="C4206" s="216" t="s">
        <v>17826</v>
      </c>
      <c r="D4206" s="443">
        <v>32.24</v>
      </c>
    </row>
    <row r="4207" spans="1:4">
      <c r="A4207" s="216">
        <v>40944</v>
      </c>
      <c r="B4207" s="222" t="s">
        <v>21894</v>
      </c>
      <c r="C4207" s="216" t="s">
        <v>17828</v>
      </c>
      <c r="D4207" s="443">
        <v>5646.08</v>
      </c>
    </row>
    <row r="4208" spans="1:4">
      <c r="A4208" s="216">
        <v>6175</v>
      </c>
      <c r="B4208" s="222" t="s">
        <v>21895</v>
      </c>
      <c r="C4208" s="216" t="s">
        <v>17826</v>
      </c>
      <c r="D4208" s="443">
        <v>25.73</v>
      </c>
    </row>
    <row r="4209" spans="1:4">
      <c r="A4209" s="216">
        <v>41092</v>
      </c>
      <c r="B4209" s="222" t="s">
        <v>21896</v>
      </c>
      <c r="C4209" s="216" t="s">
        <v>17828</v>
      </c>
      <c r="D4209" s="443">
        <v>4506.05</v>
      </c>
    </row>
    <row r="4210" spans="1:4" ht="31.5">
      <c r="A4210" s="216">
        <v>37712</v>
      </c>
      <c r="B4210" s="222" t="s">
        <v>21897</v>
      </c>
      <c r="C4210" s="216" t="s">
        <v>18087</v>
      </c>
      <c r="D4210" s="443">
        <v>80.13</v>
      </c>
    </row>
    <row r="4211" spans="1:4" ht="31.5">
      <c r="A4211" s="216">
        <v>34547</v>
      </c>
      <c r="B4211" s="222" t="s">
        <v>21898</v>
      </c>
      <c r="C4211" s="216" t="s">
        <v>17722</v>
      </c>
      <c r="D4211" s="443">
        <v>4.9000000000000004</v>
      </c>
    </row>
    <row r="4212" spans="1:4" ht="31.5">
      <c r="A4212" s="216">
        <v>34548</v>
      </c>
      <c r="B4212" s="222" t="s">
        <v>21899</v>
      </c>
      <c r="C4212" s="216" t="s">
        <v>17722</v>
      </c>
      <c r="D4212" s="443">
        <v>8.0399999999999991</v>
      </c>
    </row>
    <row r="4213" spans="1:4" ht="31.5">
      <c r="A4213" s="216">
        <v>34558</v>
      </c>
      <c r="B4213" s="222" t="s">
        <v>21900</v>
      </c>
      <c r="C4213" s="216" t="s">
        <v>17722</v>
      </c>
      <c r="D4213" s="443">
        <v>3.98</v>
      </c>
    </row>
    <row r="4214" spans="1:4" ht="31.5">
      <c r="A4214" s="216">
        <v>34550</v>
      </c>
      <c r="B4214" s="222" t="s">
        <v>21901</v>
      </c>
      <c r="C4214" s="216" t="s">
        <v>17722</v>
      </c>
      <c r="D4214" s="443">
        <v>2.12</v>
      </c>
    </row>
    <row r="4215" spans="1:4" ht="31.5">
      <c r="A4215" s="216">
        <v>34557</v>
      </c>
      <c r="B4215" s="222" t="s">
        <v>21902</v>
      </c>
      <c r="C4215" s="216" t="s">
        <v>17722</v>
      </c>
      <c r="D4215" s="443">
        <v>3.1</v>
      </c>
    </row>
    <row r="4216" spans="1:4">
      <c r="A4216" s="216">
        <v>37411</v>
      </c>
      <c r="B4216" s="222" t="s">
        <v>21903</v>
      </c>
      <c r="C4216" s="216" t="s">
        <v>18087</v>
      </c>
      <c r="D4216" s="443">
        <v>22.7</v>
      </c>
    </row>
    <row r="4217" spans="1:4" ht="31.5">
      <c r="A4217" s="216">
        <v>39508</v>
      </c>
      <c r="B4217" s="222" t="s">
        <v>21904</v>
      </c>
      <c r="C4217" s="216" t="s">
        <v>18087</v>
      </c>
      <c r="D4217" s="443">
        <v>12.75</v>
      </c>
    </row>
    <row r="4218" spans="1:4" ht="31.5">
      <c r="A4218" s="216">
        <v>39507</v>
      </c>
      <c r="B4218" s="222" t="s">
        <v>21905</v>
      </c>
      <c r="C4218" s="216" t="s">
        <v>18087</v>
      </c>
      <c r="D4218" s="443">
        <v>19.02</v>
      </c>
    </row>
    <row r="4219" spans="1:4" ht="31.5">
      <c r="A4219" s="216">
        <v>7155</v>
      </c>
      <c r="B4219" s="222" t="s">
        <v>21906</v>
      </c>
      <c r="C4219" s="216" t="s">
        <v>18087</v>
      </c>
      <c r="D4219" s="443">
        <v>24.42</v>
      </c>
    </row>
    <row r="4220" spans="1:4" ht="31.5">
      <c r="A4220" s="216">
        <v>42406</v>
      </c>
      <c r="B4220" s="222" t="s">
        <v>21907</v>
      </c>
      <c r="C4220" s="216" t="s">
        <v>18087</v>
      </c>
      <c r="D4220" s="443">
        <v>27.99</v>
      </c>
    </row>
    <row r="4221" spans="1:4" ht="31.5">
      <c r="A4221" s="216">
        <v>7156</v>
      </c>
      <c r="B4221" s="222" t="s">
        <v>21908</v>
      </c>
      <c r="C4221" s="216" t="s">
        <v>18087</v>
      </c>
      <c r="D4221" s="443">
        <v>35.03</v>
      </c>
    </row>
    <row r="4222" spans="1:4" ht="31.5">
      <c r="A4222" s="216">
        <v>43127</v>
      </c>
      <c r="B4222" s="222" t="s">
        <v>21909</v>
      </c>
      <c r="C4222" s="216" t="s">
        <v>18087</v>
      </c>
      <c r="D4222" s="443">
        <v>50.13</v>
      </c>
    </row>
    <row r="4223" spans="1:4" ht="31.5">
      <c r="A4223" s="216">
        <v>10917</v>
      </c>
      <c r="B4223" s="222" t="s">
        <v>21910</v>
      </c>
      <c r="C4223" s="216" t="s">
        <v>18087</v>
      </c>
      <c r="D4223" s="443">
        <v>10.58</v>
      </c>
    </row>
    <row r="4224" spans="1:4" ht="31.5">
      <c r="A4224" s="216">
        <v>21141</v>
      </c>
      <c r="B4224" s="222" t="s">
        <v>21911</v>
      </c>
      <c r="C4224" s="216" t="s">
        <v>18087</v>
      </c>
      <c r="D4224" s="443">
        <v>16.38</v>
      </c>
    </row>
    <row r="4225" spans="1:4" ht="31.5">
      <c r="A4225" s="216">
        <v>39509</v>
      </c>
      <c r="B4225" s="222" t="s">
        <v>21912</v>
      </c>
      <c r="C4225" s="216" t="s">
        <v>18087</v>
      </c>
      <c r="D4225" s="443">
        <v>15.76</v>
      </c>
    </row>
    <row r="4226" spans="1:4">
      <c r="A4226" s="216">
        <v>44529</v>
      </c>
      <c r="B4226" s="222" t="s">
        <v>21913</v>
      </c>
      <c r="C4226" s="216" t="s">
        <v>18087</v>
      </c>
      <c r="D4226" s="443">
        <v>13.47</v>
      </c>
    </row>
    <row r="4227" spans="1:4">
      <c r="A4227" s="216">
        <v>7167</v>
      </c>
      <c r="B4227" s="222" t="s">
        <v>21914</v>
      </c>
      <c r="C4227" s="216" t="s">
        <v>18087</v>
      </c>
      <c r="D4227" s="443">
        <v>29.35</v>
      </c>
    </row>
    <row r="4228" spans="1:4">
      <c r="A4228" s="216">
        <v>10928</v>
      </c>
      <c r="B4228" s="222" t="s">
        <v>21915</v>
      </c>
      <c r="C4228" s="216" t="s">
        <v>18087</v>
      </c>
      <c r="D4228" s="443">
        <v>16.86</v>
      </c>
    </row>
    <row r="4229" spans="1:4">
      <c r="A4229" s="216">
        <v>10933</v>
      </c>
      <c r="B4229" s="222" t="s">
        <v>21916</v>
      </c>
      <c r="C4229" s="216" t="s">
        <v>18087</v>
      </c>
      <c r="D4229" s="443">
        <v>25.43</v>
      </c>
    </row>
    <row r="4230" spans="1:4">
      <c r="A4230" s="216">
        <v>7158</v>
      </c>
      <c r="B4230" s="222" t="s">
        <v>21917</v>
      </c>
      <c r="C4230" s="216" t="s">
        <v>18087</v>
      </c>
      <c r="D4230" s="443">
        <v>43.14</v>
      </c>
    </row>
    <row r="4231" spans="1:4">
      <c r="A4231" s="216">
        <v>10927</v>
      </c>
      <c r="B4231" s="222" t="s">
        <v>21918</v>
      </c>
      <c r="C4231" s="216" t="s">
        <v>18087</v>
      </c>
      <c r="D4231" s="443">
        <v>27.59</v>
      </c>
    </row>
    <row r="4232" spans="1:4">
      <c r="A4232" s="216">
        <v>7162</v>
      </c>
      <c r="B4232" s="222" t="s">
        <v>21919</v>
      </c>
      <c r="C4232" s="216" t="s">
        <v>18087</v>
      </c>
      <c r="D4232" s="443">
        <v>67.510000000000005</v>
      </c>
    </row>
    <row r="4233" spans="1:4">
      <c r="A4233" s="216">
        <v>10932</v>
      </c>
      <c r="B4233" s="222" t="s">
        <v>21920</v>
      </c>
      <c r="C4233" s="216" t="s">
        <v>18087</v>
      </c>
      <c r="D4233" s="443">
        <v>117.42</v>
      </c>
    </row>
    <row r="4234" spans="1:4" ht="31.5">
      <c r="A4234" s="216">
        <v>10937</v>
      </c>
      <c r="B4234" s="222" t="s">
        <v>21921</v>
      </c>
      <c r="C4234" s="216" t="s">
        <v>18087</v>
      </c>
      <c r="D4234" s="443">
        <v>30.18</v>
      </c>
    </row>
    <row r="4235" spans="1:4" ht="31.5">
      <c r="A4235" s="216">
        <v>10935</v>
      </c>
      <c r="B4235" s="222" t="s">
        <v>21922</v>
      </c>
      <c r="C4235" s="216" t="s">
        <v>18087</v>
      </c>
      <c r="D4235" s="443">
        <v>52.34</v>
      </c>
    </row>
    <row r="4236" spans="1:4">
      <c r="A4236" s="216">
        <v>10931</v>
      </c>
      <c r="B4236" s="222" t="s">
        <v>21923</v>
      </c>
      <c r="C4236" s="216" t="s">
        <v>18087</v>
      </c>
      <c r="D4236" s="443">
        <v>14.72</v>
      </c>
    </row>
    <row r="4237" spans="1:4">
      <c r="A4237" s="216">
        <v>7164</v>
      </c>
      <c r="B4237" s="222" t="s">
        <v>21924</v>
      </c>
      <c r="C4237" s="216" t="s">
        <v>18087</v>
      </c>
      <c r="D4237" s="443">
        <v>48.72</v>
      </c>
    </row>
    <row r="4238" spans="1:4">
      <c r="A4238" s="216">
        <v>36887</v>
      </c>
      <c r="B4238" s="222" t="s">
        <v>21925</v>
      </c>
      <c r="C4238" s="216" t="s">
        <v>18087</v>
      </c>
      <c r="D4238" s="443">
        <v>9.7799999999999994</v>
      </c>
    </row>
    <row r="4239" spans="1:4" ht="31.5">
      <c r="A4239" s="216">
        <v>34630</v>
      </c>
      <c r="B4239" s="222" t="s">
        <v>21926</v>
      </c>
      <c r="C4239" s="216" t="s">
        <v>17678</v>
      </c>
      <c r="D4239" s="443">
        <v>1302.27</v>
      </c>
    </row>
    <row r="4240" spans="1:4">
      <c r="A4240" s="216">
        <v>7161</v>
      </c>
      <c r="B4240" s="222" t="s">
        <v>21927</v>
      </c>
      <c r="C4240" s="216" t="s">
        <v>18087</v>
      </c>
      <c r="D4240" s="443">
        <v>6.06</v>
      </c>
    </row>
    <row r="4241" spans="1:4" ht="31.5">
      <c r="A4241" s="216">
        <v>7170</v>
      </c>
      <c r="B4241" s="222" t="s">
        <v>21928</v>
      </c>
      <c r="C4241" s="216" t="s">
        <v>18087</v>
      </c>
      <c r="D4241" s="443">
        <v>2.36</v>
      </c>
    </row>
    <row r="4242" spans="1:4">
      <c r="A4242" s="216">
        <v>37524</v>
      </c>
      <c r="B4242" s="222" t="s">
        <v>21929</v>
      </c>
      <c r="C4242" s="216" t="s">
        <v>17722</v>
      </c>
      <c r="D4242" s="443">
        <v>2.16</v>
      </c>
    </row>
    <row r="4243" spans="1:4" ht="31.5">
      <c r="A4243" s="216">
        <v>37525</v>
      </c>
      <c r="B4243" s="222" t="s">
        <v>21930</v>
      </c>
      <c r="C4243" s="216" t="s">
        <v>17722</v>
      </c>
      <c r="D4243" s="443">
        <v>2.95</v>
      </c>
    </row>
    <row r="4244" spans="1:4">
      <c r="A4244" s="216">
        <v>36789</v>
      </c>
      <c r="B4244" s="222" t="s">
        <v>21931</v>
      </c>
      <c r="C4244" s="216" t="s">
        <v>17678</v>
      </c>
      <c r="D4244" s="443">
        <v>2.1800000000000002</v>
      </c>
    </row>
    <row r="4245" spans="1:4" ht="31.5">
      <c r="A4245" s="216">
        <v>7173</v>
      </c>
      <c r="B4245" s="222" t="s">
        <v>21932</v>
      </c>
      <c r="C4245" s="216" t="s">
        <v>20974</v>
      </c>
      <c r="D4245" s="443">
        <v>1408.08</v>
      </c>
    </row>
    <row r="4246" spans="1:4" ht="31.5">
      <c r="A4246" s="216">
        <v>7175</v>
      </c>
      <c r="B4246" s="222" t="s">
        <v>21933</v>
      </c>
      <c r="C4246" s="216" t="s">
        <v>17678</v>
      </c>
      <c r="D4246" s="443">
        <v>1.59</v>
      </c>
    </row>
    <row r="4247" spans="1:4">
      <c r="A4247" s="216">
        <v>40741</v>
      </c>
      <c r="B4247" s="222" t="s">
        <v>21934</v>
      </c>
      <c r="C4247" s="216" t="s">
        <v>17678</v>
      </c>
      <c r="D4247" s="443">
        <v>2.48</v>
      </c>
    </row>
    <row r="4248" spans="1:4">
      <c r="A4248" s="216">
        <v>7184</v>
      </c>
      <c r="B4248" s="222" t="s">
        <v>21935</v>
      </c>
      <c r="C4248" s="216" t="s">
        <v>18087</v>
      </c>
      <c r="D4248" s="443">
        <v>43.41</v>
      </c>
    </row>
    <row r="4249" spans="1:4">
      <c r="A4249" s="216">
        <v>34458</v>
      </c>
      <c r="B4249" s="222" t="s">
        <v>21936</v>
      </c>
      <c r="C4249" s="216" t="s">
        <v>17678</v>
      </c>
      <c r="D4249" s="443">
        <v>155.94</v>
      </c>
    </row>
    <row r="4250" spans="1:4">
      <c r="A4250" s="216">
        <v>34464</v>
      </c>
      <c r="B4250" s="222" t="s">
        <v>21937</v>
      </c>
      <c r="C4250" s="216" t="s">
        <v>17678</v>
      </c>
      <c r="D4250" s="443">
        <v>232.12</v>
      </c>
    </row>
    <row r="4251" spans="1:4">
      <c r="A4251" s="216">
        <v>34468</v>
      </c>
      <c r="B4251" s="222" t="s">
        <v>21938</v>
      </c>
      <c r="C4251" s="216" t="s">
        <v>17678</v>
      </c>
      <c r="D4251" s="443">
        <v>292.64</v>
      </c>
    </row>
    <row r="4252" spans="1:4">
      <c r="A4252" s="216">
        <v>34473</v>
      </c>
      <c r="B4252" s="222" t="s">
        <v>21939</v>
      </c>
      <c r="C4252" s="216" t="s">
        <v>17678</v>
      </c>
      <c r="D4252" s="443">
        <v>177.52</v>
      </c>
    </row>
    <row r="4253" spans="1:4">
      <c r="A4253" s="216">
        <v>34480</v>
      </c>
      <c r="B4253" s="222" t="s">
        <v>21940</v>
      </c>
      <c r="C4253" s="216" t="s">
        <v>17678</v>
      </c>
      <c r="D4253" s="443">
        <v>328.07</v>
      </c>
    </row>
    <row r="4254" spans="1:4">
      <c r="A4254" s="216">
        <v>34486</v>
      </c>
      <c r="B4254" s="222" t="s">
        <v>21941</v>
      </c>
      <c r="C4254" s="216" t="s">
        <v>17678</v>
      </c>
      <c r="D4254" s="443">
        <v>388.42</v>
      </c>
    </row>
    <row r="4255" spans="1:4">
      <c r="A4255" s="216">
        <v>7190</v>
      </c>
      <c r="B4255" s="222" t="s">
        <v>21942</v>
      </c>
      <c r="C4255" s="216" t="s">
        <v>17678</v>
      </c>
      <c r="D4255" s="443">
        <v>12.97</v>
      </c>
    </row>
    <row r="4256" spans="1:4">
      <c r="A4256" s="216">
        <v>34417</v>
      </c>
      <c r="B4256" s="222" t="s">
        <v>21943</v>
      </c>
      <c r="C4256" s="216" t="s">
        <v>17678</v>
      </c>
      <c r="D4256" s="443">
        <v>20.75</v>
      </c>
    </row>
    <row r="4257" spans="1:4">
      <c r="A4257" s="216">
        <v>7213</v>
      </c>
      <c r="B4257" s="222" t="s">
        <v>21944</v>
      </c>
      <c r="C4257" s="216" t="s">
        <v>18087</v>
      </c>
      <c r="D4257" s="443">
        <v>19.03</v>
      </c>
    </row>
    <row r="4258" spans="1:4">
      <c r="A4258" s="216">
        <v>7195</v>
      </c>
      <c r="B4258" s="222" t="s">
        <v>21945</v>
      </c>
      <c r="C4258" s="216" t="s">
        <v>17678</v>
      </c>
      <c r="D4258" s="443">
        <v>55.88</v>
      </c>
    </row>
    <row r="4259" spans="1:4">
      <c r="A4259" s="216">
        <v>7186</v>
      </c>
      <c r="B4259" s="222" t="s">
        <v>21946</v>
      </c>
      <c r="C4259" s="216" t="s">
        <v>17678</v>
      </c>
      <c r="D4259" s="443">
        <v>60.87</v>
      </c>
    </row>
    <row r="4260" spans="1:4">
      <c r="A4260" s="216">
        <v>7194</v>
      </c>
      <c r="B4260" s="222" t="s">
        <v>21947</v>
      </c>
      <c r="C4260" s="216" t="s">
        <v>18087</v>
      </c>
      <c r="D4260" s="443">
        <v>28.06</v>
      </c>
    </row>
    <row r="4261" spans="1:4">
      <c r="A4261" s="216">
        <v>7197</v>
      </c>
      <c r="B4261" s="222" t="s">
        <v>21948</v>
      </c>
      <c r="C4261" s="216" t="s">
        <v>17678</v>
      </c>
      <c r="D4261" s="443">
        <v>118.45</v>
      </c>
    </row>
    <row r="4262" spans="1:4">
      <c r="A4262" s="216">
        <v>7192</v>
      </c>
      <c r="B4262" s="222" t="s">
        <v>21949</v>
      </c>
      <c r="C4262" s="216" t="s">
        <v>17678</v>
      </c>
      <c r="D4262" s="443">
        <v>106.12</v>
      </c>
    </row>
    <row r="4263" spans="1:4">
      <c r="A4263" s="216">
        <v>7193</v>
      </c>
      <c r="B4263" s="222" t="s">
        <v>21950</v>
      </c>
      <c r="C4263" s="216" t="s">
        <v>17678</v>
      </c>
      <c r="D4263" s="443">
        <v>119.48</v>
      </c>
    </row>
    <row r="4264" spans="1:4">
      <c r="A4264" s="216">
        <v>7189</v>
      </c>
      <c r="B4264" s="222" t="s">
        <v>21951</v>
      </c>
      <c r="C4264" s="216" t="s">
        <v>17678</v>
      </c>
      <c r="D4264" s="443">
        <v>138.85</v>
      </c>
    </row>
    <row r="4265" spans="1:4">
      <c r="A4265" s="216">
        <v>34402</v>
      </c>
      <c r="B4265" s="222" t="s">
        <v>21952</v>
      </c>
      <c r="C4265" s="216" t="s">
        <v>17678</v>
      </c>
      <c r="D4265" s="443">
        <v>196.03</v>
      </c>
    </row>
    <row r="4266" spans="1:4">
      <c r="A4266" s="216">
        <v>7245</v>
      </c>
      <c r="B4266" s="222" t="s">
        <v>21953</v>
      </c>
      <c r="C4266" s="216" t="s">
        <v>17678</v>
      </c>
      <c r="D4266" s="443">
        <v>36.54</v>
      </c>
    </row>
    <row r="4267" spans="1:4">
      <c r="A4267" s="216">
        <v>34425</v>
      </c>
      <c r="B4267" s="222" t="s">
        <v>21954</v>
      </c>
      <c r="C4267" s="216" t="s">
        <v>17678</v>
      </c>
      <c r="D4267" s="443">
        <v>125.92</v>
      </c>
    </row>
    <row r="4268" spans="1:4">
      <c r="A4268" s="216">
        <v>7223</v>
      </c>
      <c r="B4268" s="222" t="s">
        <v>21955</v>
      </c>
      <c r="C4268" s="216" t="s">
        <v>17678</v>
      </c>
      <c r="D4268" s="443">
        <v>140.33000000000001</v>
      </c>
    </row>
    <row r="4269" spans="1:4">
      <c r="A4269" s="216">
        <v>7234</v>
      </c>
      <c r="B4269" s="222" t="s">
        <v>21956</v>
      </c>
      <c r="C4269" s="216" t="s">
        <v>17678</v>
      </c>
      <c r="D4269" s="443">
        <v>211.76</v>
      </c>
    </row>
    <row r="4270" spans="1:4">
      <c r="A4270" s="216">
        <v>7224</v>
      </c>
      <c r="B4270" s="222" t="s">
        <v>21957</v>
      </c>
      <c r="C4270" s="216" t="s">
        <v>17678</v>
      </c>
      <c r="D4270" s="443">
        <v>257.98</v>
      </c>
    </row>
    <row r="4271" spans="1:4">
      <c r="A4271" s="216">
        <v>7225</v>
      </c>
      <c r="B4271" s="222" t="s">
        <v>21958</v>
      </c>
      <c r="C4271" s="216" t="s">
        <v>17678</v>
      </c>
      <c r="D4271" s="443">
        <v>276.62</v>
      </c>
    </row>
    <row r="4272" spans="1:4">
      <c r="A4272" s="216">
        <v>7226</v>
      </c>
      <c r="B4272" s="222" t="s">
        <v>21959</v>
      </c>
      <c r="C4272" s="216" t="s">
        <v>17678</v>
      </c>
      <c r="D4272" s="443">
        <v>295.19</v>
      </c>
    </row>
    <row r="4273" spans="1:4">
      <c r="A4273" s="216">
        <v>7227</v>
      </c>
      <c r="B4273" s="222" t="s">
        <v>21960</v>
      </c>
      <c r="C4273" s="216" t="s">
        <v>17678</v>
      </c>
      <c r="D4273" s="443">
        <v>336.01</v>
      </c>
    </row>
    <row r="4274" spans="1:4">
      <c r="A4274" s="216">
        <v>7212</v>
      </c>
      <c r="B4274" s="222" t="s">
        <v>21961</v>
      </c>
      <c r="C4274" s="216" t="s">
        <v>17678</v>
      </c>
      <c r="D4274" s="443">
        <v>369.19</v>
      </c>
    </row>
    <row r="4275" spans="1:4">
      <c r="A4275" s="216">
        <v>7229</v>
      </c>
      <c r="B4275" s="222" t="s">
        <v>21962</v>
      </c>
      <c r="C4275" s="216" t="s">
        <v>17678</v>
      </c>
      <c r="D4275" s="443">
        <v>234.02</v>
      </c>
    </row>
    <row r="4276" spans="1:4">
      <c r="A4276" s="216">
        <v>7230</v>
      </c>
      <c r="B4276" s="222" t="s">
        <v>21963</v>
      </c>
      <c r="C4276" s="216" t="s">
        <v>17678</v>
      </c>
      <c r="D4276" s="443">
        <v>389.59</v>
      </c>
    </row>
    <row r="4277" spans="1:4">
      <c r="A4277" s="216">
        <v>7231</v>
      </c>
      <c r="B4277" s="222" t="s">
        <v>21964</v>
      </c>
      <c r="C4277" s="216" t="s">
        <v>17678</v>
      </c>
      <c r="D4277" s="443">
        <v>552.66999999999996</v>
      </c>
    </row>
    <row r="4278" spans="1:4">
      <c r="A4278" s="216">
        <v>7220</v>
      </c>
      <c r="B4278" s="222" t="s">
        <v>21965</v>
      </c>
      <c r="C4278" s="216" t="s">
        <v>17678</v>
      </c>
      <c r="D4278" s="443">
        <v>682.21</v>
      </c>
    </row>
    <row r="4279" spans="1:4">
      <c r="A4279" s="216">
        <v>34447</v>
      </c>
      <c r="B4279" s="222" t="s">
        <v>21966</v>
      </c>
      <c r="C4279" s="216" t="s">
        <v>17678</v>
      </c>
      <c r="D4279" s="443">
        <v>762.81</v>
      </c>
    </row>
    <row r="4280" spans="1:4">
      <c r="A4280" s="216">
        <v>7233</v>
      </c>
      <c r="B4280" s="222" t="s">
        <v>21967</v>
      </c>
      <c r="C4280" s="216" t="s">
        <v>17678</v>
      </c>
      <c r="D4280" s="443">
        <v>875.07</v>
      </c>
    </row>
    <row r="4281" spans="1:4" ht="47.25">
      <c r="A4281" s="216">
        <v>40740</v>
      </c>
      <c r="B4281" s="222" t="s">
        <v>21968</v>
      </c>
      <c r="C4281" s="216" t="s">
        <v>18087</v>
      </c>
      <c r="D4281" s="443">
        <v>195.53</v>
      </c>
    </row>
    <row r="4282" spans="1:4" ht="31.5">
      <c r="A4282" s="216">
        <v>25007</v>
      </c>
      <c r="B4282" s="222" t="s">
        <v>21969</v>
      </c>
      <c r="C4282" s="216" t="s">
        <v>18087</v>
      </c>
      <c r="D4282" s="443">
        <v>55.95</v>
      </c>
    </row>
    <row r="4283" spans="1:4" ht="47.25">
      <c r="A4283" s="216">
        <v>43071</v>
      </c>
      <c r="B4283" s="222" t="s">
        <v>21970</v>
      </c>
      <c r="C4283" s="216" t="s">
        <v>18087</v>
      </c>
      <c r="D4283" s="443">
        <v>220.17</v>
      </c>
    </row>
    <row r="4284" spans="1:4" ht="47.25">
      <c r="A4284" s="216">
        <v>39520</v>
      </c>
      <c r="B4284" s="222" t="s">
        <v>21971</v>
      </c>
      <c r="C4284" s="216" t="s">
        <v>18087</v>
      </c>
      <c r="D4284" s="443">
        <v>179.62</v>
      </c>
    </row>
    <row r="4285" spans="1:4" ht="47.25">
      <c r="A4285" s="216">
        <v>39521</v>
      </c>
      <c r="B4285" s="222" t="s">
        <v>21972</v>
      </c>
      <c r="C4285" s="216" t="s">
        <v>18087</v>
      </c>
      <c r="D4285" s="443">
        <v>185.49</v>
      </c>
    </row>
    <row r="4286" spans="1:4" ht="47.25">
      <c r="A4286" s="216">
        <v>39522</v>
      </c>
      <c r="B4286" s="222" t="s">
        <v>21973</v>
      </c>
      <c r="C4286" s="216" t="s">
        <v>18087</v>
      </c>
      <c r="D4286" s="443">
        <v>191.54</v>
      </c>
    </row>
    <row r="4287" spans="1:4" ht="31.5">
      <c r="A4287" s="216">
        <v>7243</v>
      </c>
      <c r="B4287" s="222" t="s">
        <v>21974</v>
      </c>
      <c r="C4287" s="216" t="s">
        <v>18087</v>
      </c>
      <c r="D4287" s="443">
        <v>58.47</v>
      </c>
    </row>
    <row r="4288" spans="1:4" ht="31.5">
      <c r="A4288" s="216">
        <v>11067</v>
      </c>
      <c r="B4288" s="222" t="s">
        <v>21975</v>
      </c>
      <c r="C4288" s="216" t="s">
        <v>17678</v>
      </c>
      <c r="D4288" s="443">
        <v>472.48</v>
      </c>
    </row>
    <row r="4289" spans="1:4" ht="31.5">
      <c r="A4289" s="216">
        <v>11068</v>
      </c>
      <c r="B4289" s="222" t="s">
        <v>21976</v>
      </c>
      <c r="C4289" s="216" t="s">
        <v>17678</v>
      </c>
      <c r="D4289" s="443">
        <v>596.9</v>
      </c>
    </row>
    <row r="4290" spans="1:4">
      <c r="A4290" s="216">
        <v>7246</v>
      </c>
      <c r="B4290" s="222" t="s">
        <v>21977</v>
      </c>
      <c r="C4290" s="216" t="s">
        <v>17678</v>
      </c>
      <c r="D4290" s="443">
        <v>40.35</v>
      </c>
    </row>
    <row r="4291" spans="1:4">
      <c r="A4291" s="216">
        <v>41097</v>
      </c>
      <c r="B4291" s="222" t="s">
        <v>21978</v>
      </c>
      <c r="C4291" s="216" t="s">
        <v>17828</v>
      </c>
      <c r="D4291" s="443">
        <v>4177.97</v>
      </c>
    </row>
    <row r="4292" spans="1:4">
      <c r="A4292" s="216">
        <v>12869</v>
      </c>
      <c r="B4292" s="222" t="s">
        <v>21979</v>
      </c>
      <c r="C4292" s="216" t="s">
        <v>17826</v>
      </c>
      <c r="D4292" s="443">
        <v>23.84</v>
      </c>
    </row>
    <row r="4293" spans="1:4" ht="31.5">
      <c r="A4293" s="216">
        <v>1574</v>
      </c>
      <c r="B4293" s="222" t="s">
        <v>21980</v>
      </c>
      <c r="C4293" s="216" t="s">
        <v>17678</v>
      </c>
      <c r="D4293" s="443">
        <v>1.45</v>
      </c>
    </row>
    <row r="4294" spans="1:4" ht="31.5">
      <c r="A4294" s="216">
        <v>1581</v>
      </c>
      <c r="B4294" s="222" t="s">
        <v>21981</v>
      </c>
      <c r="C4294" s="216" t="s">
        <v>17678</v>
      </c>
      <c r="D4294" s="443">
        <v>10.09</v>
      </c>
    </row>
    <row r="4295" spans="1:4" ht="31.5">
      <c r="A4295" s="216">
        <v>1575</v>
      </c>
      <c r="B4295" s="222" t="s">
        <v>21982</v>
      </c>
      <c r="C4295" s="216" t="s">
        <v>17678</v>
      </c>
      <c r="D4295" s="443">
        <v>1.72</v>
      </c>
    </row>
    <row r="4296" spans="1:4" ht="31.5">
      <c r="A4296" s="216">
        <v>1570</v>
      </c>
      <c r="B4296" s="222" t="s">
        <v>21983</v>
      </c>
      <c r="C4296" s="216" t="s">
        <v>17678</v>
      </c>
      <c r="D4296" s="443">
        <v>0.87</v>
      </c>
    </row>
    <row r="4297" spans="1:4" ht="31.5">
      <c r="A4297" s="216">
        <v>1576</v>
      </c>
      <c r="B4297" s="222" t="s">
        <v>21984</v>
      </c>
      <c r="C4297" s="216" t="s">
        <v>17678</v>
      </c>
      <c r="D4297" s="443">
        <v>2.39</v>
      </c>
    </row>
    <row r="4298" spans="1:4" ht="31.5">
      <c r="A4298" s="216">
        <v>1577</v>
      </c>
      <c r="B4298" s="222" t="s">
        <v>21985</v>
      </c>
      <c r="C4298" s="216" t="s">
        <v>17678</v>
      </c>
      <c r="D4298" s="443">
        <v>2.69</v>
      </c>
    </row>
    <row r="4299" spans="1:4" ht="31.5">
      <c r="A4299" s="216">
        <v>1571</v>
      </c>
      <c r="B4299" s="222" t="s">
        <v>21986</v>
      </c>
      <c r="C4299" s="216" t="s">
        <v>17678</v>
      </c>
      <c r="D4299" s="443">
        <v>1.1299999999999999</v>
      </c>
    </row>
    <row r="4300" spans="1:4" ht="31.5">
      <c r="A4300" s="216">
        <v>1578</v>
      </c>
      <c r="B4300" s="222" t="s">
        <v>21987</v>
      </c>
      <c r="C4300" s="216" t="s">
        <v>17678</v>
      </c>
      <c r="D4300" s="443">
        <v>4.67</v>
      </c>
    </row>
    <row r="4301" spans="1:4" ht="31.5">
      <c r="A4301" s="216">
        <v>1573</v>
      </c>
      <c r="B4301" s="222" t="s">
        <v>21988</v>
      </c>
      <c r="C4301" s="216" t="s">
        <v>17678</v>
      </c>
      <c r="D4301" s="443">
        <v>1.34</v>
      </c>
    </row>
    <row r="4302" spans="1:4" ht="31.5">
      <c r="A4302" s="216">
        <v>1579</v>
      </c>
      <c r="B4302" s="222" t="s">
        <v>21989</v>
      </c>
      <c r="C4302" s="216" t="s">
        <v>17678</v>
      </c>
      <c r="D4302" s="443">
        <v>5.83</v>
      </c>
    </row>
    <row r="4303" spans="1:4" ht="31.5">
      <c r="A4303" s="216">
        <v>1580</v>
      </c>
      <c r="B4303" s="222" t="s">
        <v>21990</v>
      </c>
      <c r="C4303" s="216" t="s">
        <v>17678</v>
      </c>
      <c r="D4303" s="443">
        <v>7.17</v>
      </c>
    </row>
    <row r="4304" spans="1:4">
      <c r="A4304" s="216">
        <v>39321</v>
      </c>
      <c r="B4304" s="222" t="s">
        <v>21991</v>
      </c>
      <c r="C4304" s="216" t="s">
        <v>17678</v>
      </c>
      <c r="D4304" s="443">
        <v>22.38</v>
      </c>
    </row>
    <row r="4305" spans="1:4">
      <c r="A4305" s="216">
        <v>39319</v>
      </c>
      <c r="B4305" s="222" t="s">
        <v>21992</v>
      </c>
      <c r="C4305" s="216" t="s">
        <v>17678</v>
      </c>
      <c r="D4305" s="443">
        <v>9.31</v>
      </c>
    </row>
    <row r="4306" spans="1:4">
      <c r="A4306" s="216">
        <v>39320</v>
      </c>
      <c r="B4306" s="222" t="s">
        <v>21993</v>
      </c>
      <c r="C4306" s="216" t="s">
        <v>17678</v>
      </c>
      <c r="D4306" s="443">
        <v>17.899999999999999</v>
      </c>
    </row>
    <row r="4307" spans="1:4">
      <c r="A4307" s="216">
        <v>1591</v>
      </c>
      <c r="B4307" s="222" t="s">
        <v>21994</v>
      </c>
      <c r="C4307" s="216" t="s">
        <v>17678</v>
      </c>
      <c r="D4307" s="443">
        <v>22.25</v>
      </c>
    </row>
    <row r="4308" spans="1:4">
      <c r="A4308" s="216">
        <v>1547</v>
      </c>
      <c r="B4308" s="222" t="s">
        <v>21995</v>
      </c>
      <c r="C4308" s="216" t="s">
        <v>17678</v>
      </c>
      <c r="D4308" s="443">
        <v>116.61</v>
      </c>
    </row>
    <row r="4309" spans="1:4">
      <c r="A4309" s="216">
        <v>38196</v>
      </c>
      <c r="B4309" s="222" t="s">
        <v>21996</v>
      </c>
      <c r="C4309" s="216" t="s">
        <v>17678</v>
      </c>
      <c r="D4309" s="443">
        <v>22.71</v>
      </c>
    </row>
    <row r="4310" spans="1:4">
      <c r="A4310" s="216">
        <v>1543</v>
      </c>
      <c r="B4310" s="222" t="s">
        <v>21997</v>
      </c>
      <c r="C4310" s="216" t="s">
        <v>17678</v>
      </c>
      <c r="D4310" s="443">
        <v>24.13</v>
      </c>
    </row>
    <row r="4311" spans="1:4">
      <c r="A4311" s="216">
        <v>1585</v>
      </c>
      <c r="B4311" s="222" t="s">
        <v>21998</v>
      </c>
      <c r="C4311" s="216" t="s">
        <v>17678</v>
      </c>
      <c r="D4311" s="443">
        <v>4.67</v>
      </c>
    </row>
    <row r="4312" spans="1:4">
      <c r="A4312" s="216">
        <v>1593</v>
      </c>
      <c r="B4312" s="222" t="s">
        <v>21999</v>
      </c>
      <c r="C4312" s="216" t="s">
        <v>17678</v>
      </c>
      <c r="D4312" s="443">
        <v>24.82</v>
      </c>
    </row>
    <row r="4313" spans="1:4">
      <c r="A4313" s="216">
        <v>11838</v>
      </c>
      <c r="B4313" s="222" t="s">
        <v>22000</v>
      </c>
      <c r="C4313" s="216" t="s">
        <v>17678</v>
      </c>
      <c r="D4313" s="443">
        <v>32.75</v>
      </c>
    </row>
    <row r="4314" spans="1:4">
      <c r="A4314" s="216">
        <v>1594</v>
      </c>
      <c r="B4314" s="222" t="s">
        <v>22001</v>
      </c>
      <c r="C4314" s="216" t="s">
        <v>17678</v>
      </c>
      <c r="D4314" s="443">
        <v>33.11</v>
      </c>
    </row>
    <row r="4315" spans="1:4">
      <c r="A4315" s="216">
        <v>1586</v>
      </c>
      <c r="B4315" s="222" t="s">
        <v>22002</v>
      </c>
      <c r="C4315" s="216" t="s">
        <v>17678</v>
      </c>
      <c r="D4315" s="443">
        <v>5.91</v>
      </c>
    </row>
    <row r="4316" spans="1:4">
      <c r="A4316" s="216">
        <v>11839</v>
      </c>
      <c r="B4316" s="222" t="s">
        <v>22003</v>
      </c>
      <c r="C4316" s="216" t="s">
        <v>17678</v>
      </c>
      <c r="D4316" s="443">
        <v>47.65</v>
      </c>
    </row>
    <row r="4317" spans="1:4">
      <c r="A4317" s="216">
        <v>1587</v>
      </c>
      <c r="B4317" s="222" t="s">
        <v>22004</v>
      </c>
      <c r="C4317" s="216" t="s">
        <v>17678</v>
      </c>
      <c r="D4317" s="443">
        <v>6.02</v>
      </c>
    </row>
    <row r="4318" spans="1:4">
      <c r="A4318" s="216">
        <v>1545</v>
      </c>
      <c r="B4318" s="222" t="s">
        <v>22005</v>
      </c>
      <c r="C4318" s="216" t="s">
        <v>17678</v>
      </c>
      <c r="D4318" s="443">
        <v>57.18</v>
      </c>
    </row>
    <row r="4319" spans="1:4">
      <c r="A4319" s="216">
        <v>1588</v>
      </c>
      <c r="B4319" s="222" t="s">
        <v>22006</v>
      </c>
      <c r="C4319" s="216" t="s">
        <v>17678</v>
      </c>
      <c r="D4319" s="443">
        <v>8.26</v>
      </c>
    </row>
    <row r="4320" spans="1:4">
      <c r="A4320" s="216">
        <v>1535</v>
      </c>
      <c r="B4320" s="222" t="s">
        <v>22007</v>
      </c>
      <c r="C4320" s="216" t="s">
        <v>17678</v>
      </c>
      <c r="D4320" s="443">
        <v>4.76</v>
      </c>
    </row>
    <row r="4321" spans="1:4">
      <c r="A4321" s="216">
        <v>1589</v>
      </c>
      <c r="B4321" s="222" t="s">
        <v>22008</v>
      </c>
      <c r="C4321" s="216" t="s">
        <v>17678</v>
      </c>
      <c r="D4321" s="443">
        <v>8.52</v>
      </c>
    </row>
    <row r="4322" spans="1:4">
      <c r="A4322" s="216">
        <v>1546</v>
      </c>
      <c r="B4322" s="222" t="s">
        <v>22009</v>
      </c>
      <c r="C4322" s="216" t="s">
        <v>17678</v>
      </c>
      <c r="D4322" s="443">
        <v>96.49</v>
      </c>
    </row>
    <row r="4323" spans="1:4">
      <c r="A4323" s="216">
        <v>1590</v>
      </c>
      <c r="B4323" s="222" t="s">
        <v>22010</v>
      </c>
      <c r="C4323" s="216" t="s">
        <v>17678</v>
      </c>
      <c r="D4323" s="443">
        <v>15.01</v>
      </c>
    </row>
    <row r="4324" spans="1:4">
      <c r="A4324" s="216">
        <v>1542</v>
      </c>
      <c r="B4324" s="222" t="s">
        <v>22011</v>
      </c>
      <c r="C4324" s="216" t="s">
        <v>17678</v>
      </c>
      <c r="D4324" s="443">
        <v>19.88</v>
      </c>
    </row>
    <row r="4325" spans="1:4" ht="31.5">
      <c r="A4325" s="216">
        <v>38415</v>
      </c>
      <c r="B4325" s="222" t="s">
        <v>22012</v>
      </c>
      <c r="C4325" s="216" t="s">
        <v>17678</v>
      </c>
      <c r="D4325" s="443">
        <v>892.54</v>
      </c>
    </row>
    <row r="4326" spans="1:4" ht="31.5">
      <c r="A4326" s="216">
        <v>38414</v>
      </c>
      <c r="B4326" s="222" t="s">
        <v>22013</v>
      </c>
      <c r="C4326" s="216" t="s">
        <v>17678</v>
      </c>
      <c r="D4326" s="443">
        <v>1252.69</v>
      </c>
    </row>
    <row r="4327" spans="1:4">
      <c r="A4327" s="216">
        <v>38128</v>
      </c>
      <c r="B4327" s="222" t="s">
        <v>22014</v>
      </c>
      <c r="C4327" s="216" t="s">
        <v>17726</v>
      </c>
      <c r="D4327" s="443">
        <v>1.08</v>
      </c>
    </row>
    <row r="4328" spans="1:4">
      <c r="A4328" s="216">
        <v>7253</v>
      </c>
      <c r="B4328" s="222" t="s">
        <v>22015</v>
      </c>
      <c r="C4328" s="216" t="s">
        <v>17824</v>
      </c>
      <c r="D4328" s="443">
        <v>231.42</v>
      </c>
    </row>
    <row r="4329" spans="1:4">
      <c r="A4329" s="216">
        <v>4806</v>
      </c>
      <c r="B4329" s="222" t="s">
        <v>22016</v>
      </c>
      <c r="C4329" s="216" t="s">
        <v>17722</v>
      </c>
      <c r="D4329" s="443">
        <v>21.06</v>
      </c>
    </row>
    <row r="4330" spans="1:4">
      <c r="A4330" s="216">
        <v>34401</v>
      </c>
      <c r="B4330" s="222" t="s">
        <v>22017</v>
      </c>
      <c r="C4330" s="216" t="s">
        <v>17678</v>
      </c>
      <c r="D4330" s="443">
        <v>1.91</v>
      </c>
    </row>
    <row r="4331" spans="1:4">
      <c r="A4331" s="216">
        <v>7260</v>
      </c>
      <c r="B4331" s="222" t="s">
        <v>22018</v>
      </c>
      <c r="C4331" s="216" t="s">
        <v>17678</v>
      </c>
      <c r="D4331" s="443">
        <v>1.69</v>
      </c>
    </row>
    <row r="4332" spans="1:4">
      <c r="A4332" s="216">
        <v>7256</v>
      </c>
      <c r="B4332" s="222" t="s">
        <v>22019</v>
      </c>
      <c r="C4332" s="216" t="s">
        <v>17678</v>
      </c>
      <c r="D4332" s="443">
        <v>1.68</v>
      </c>
    </row>
    <row r="4333" spans="1:4">
      <c r="A4333" s="216">
        <v>7258</v>
      </c>
      <c r="B4333" s="222" t="s">
        <v>22020</v>
      </c>
      <c r="C4333" s="216" t="s">
        <v>17678</v>
      </c>
      <c r="D4333" s="443">
        <v>0.68</v>
      </c>
    </row>
    <row r="4334" spans="1:4">
      <c r="A4334" s="216">
        <v>34400</v>
      </c>
      <c r="B4334" s="222" t="s">
        <v>22021</v>
      </c>
      <c r="C4334" s="216" t="s">
        <v>17678</v>
      </c>
      <c r="D4334" s="443">
        <v>2.94</v>
      </c>
    </row>
    <row r="4335" spans="1:4">
      <c r="A4335" s="216">
        <v>10617</v>
      </c>
      <c r="B4335" s="222" t="s">
        <v>22022</v>
      </c>
      <c r="C4335" s="216" t="s">
        <v>17678</v>
      </c>
      <c r="D4335" s="443">
        <v>5.62</v>
      </c>
    </row>
    <row r="4336" spans="1:4">
      <c r="A4336" s="216">
        <v>44261</v>
      </c>
      <c r="B4336" s="222" t="s">
        <v>22023</v>
      </c>
      <c r="C4336" s="216" t="s">
        <v>17678</v>
      </c>
      <c r="D4336" s="443">
        <v>148.69999999999999</v>
      </c>
    </row>
    <row r="4337" spans="1:4">
      <c r="A4337" s="216">
        <v>7274</v>
      </c>
      <c r="B4337" s="222" t="s">
        <v>22024</v>
      </c>
      <c r="C4337" s="216" t="s">
        <v>17678</v>
      </c>
      <c r="D4337" s="443">
        <v>71.989999999999995</v>
      </c>
    </row>
    <row r="4338" spans="1:4">
      <c r="A4338" s="216">
        <v>44326</v>
      </c>
      <c r="B4338" s="222" t="s">
        <v>22025</v>
      </c>
      <c r="C4338" s="216" t="s">
        <v>17678</v>
      </c>
      <c r="D4338" s="443">
        <v>1554.82</v>
      </c>
    </row>
    <row r="4339" spans="1:4">
      <c r="A4339" s="216">
        <v>154</v>
      </c>
      <c r="B4339" s="222" t="s">
        <v>22026</v>
      </c>
      <c r="C4339" s="216" t="s">
        <v>17728</v>
      </c>
      <c r="D4339" s="443">
        <v>70.87</v>
      </c>
    </row>
    <row r="4340" spans="1:4" ht="31.5">
      <c r="A4340" s="216">
        <v>38121</v>
      </c>
      <c r="B4340" s="222" t="s">
        <v>22027</v>
      </c>
      <c r="C4340" s="216" t="s">
        <v>17728</v>
      </c>
      <c r="D4340" s="443">
        <v>18.72</v>
      </c>
    </row>
    <row r="4341" spans="1:4">
      <c r="A4341" s="216">
        <v>43776</v>
      </c>
      <c r="B4341" s="222" t="s">
        <v>22028</v>
      </c>
      <c r="C4341" s="216" t="s">
        <v>17728</v>
      </c>
      <c r="D4341" s="443">
        <v>24.9</v>
      </c>
    </row>
    <row r="4342" spans="1:4">
      <c r="A4342" s="216">
        <v>7343</v>
      </c>
      <c r="B4342" s="222" t="s">
        <v>22029</v>
      </c>
      <c r="C4342" s="216" t="s">
        <v>17728</v>
      </c>
      <c r="D4342" s="443">
        <v>16.559999999999999</v>
      </c>
    </row>
    <row r="4343" spans="1:4">
      <c r="A4343" s="216">
        <v>7348</v>
      </c>
      <c r="B4343" s="222" t="s">
        <v>22030</v>
      </c>
      <c r="C4343" s="216" t="s">
        <v>17728</v>
      </c>
      <c r="D4343" s="443">
        <v>17.850000000000001</v>
      </c>
    </row>
    <row r="4344" spans="1:4">
      <c r="A4344" s="216">
        <v>7313</v>
      </c>
      <c r="B4344" s="222" t="s">
        <v>22031</v>
      </c>
      <c r="C4344" s="216" t="s">
        <v>17728</v>
      </c>
      <c r="D4344" s="443">
        <v>22.44</v>
      </c>
    </row>
    <row r="4345" spans="1:4">
      <c r="A4345" s="216">
        <v>7319</v>
      </c>
      <c r="B4345" s="222" t="s">
        <v>22032</v>
      </c>
      <c r="C4345" s="216" t="s">
        <v>17728</v>
      </c>
      <c r="D4345" s="443">
        <v>12.84</v>
      </c>
    </row>
    <row r="4346" spans="1:4">
      <c r="A4346" s="216">
        <v>7314</v>
      </c>
      <c r="B4346" s="222" t="s">
        <v>22033</v>
      </c>
      <c r="C4346" s="216" t="s">
        <v>17728</v>
      </c>
      <c r="D4346" s="443">
        <v>74.14</v>
      </c>
    </row>
    <row r="4347" spans="1:4">
      <c r="A4347" s="216">
        <v>7304</v>
      </c>
      <c r="B4347" s="222" t="s">
        <v>22034</v>
      </c>
      <c r="C4347" s="216" t="s">
        <v>17728</v>
      </c>
      <c r="D4347" s="443">
        <v>73.8</v>
      </c>
    </row>
    <row r="4348" spans="1:4">
      <c r="A4348" s="216">
        <v>43649</v>
      </c>
      <c r="B4348" s="222" t="s">
        <v>22035</v>
      </c>
      <c r="C4348" s="216" t="s">
        <v>17728</v>
      </c>
      <c r="D4348" s="443">
        <v>38.159999999999997</v>
      </c>
    </row>
    <row r="4349" spans="1:4">
      <c r="A4349" s="216">
        <v>43650</v>
      </c>
      <c r="B4349" s="222" t="s">
        <v>22036</v>
      </c>
      <c r="C4349" s="216" t="s">
        <v>17728</v>
      </c>
      <c r="D4349" s="443">
        <v>36.07</v>
      </c>
    </row>
    <row r="4350" spans="1:4">
      <c r="A4350" s="216">
        <v>7311</v>
      </c>
      <c r="B4350" s="222" t="s">
        <v>22037</v>
      </c>
      <c r="C4350" s="216" t="s">
        <v>17728</v>
      </c>
      <c r="D4350" s="443">
        <v>36.94</v>
      </c>
    </row>
    <row r="4351" spans="1:4">
      <c r="A4351" s="216">
        <v>7292</v>
      </c>
      <c r="B4351" s="222" t="s">
        <v>22038</v>
      </c>
      <c r="C4351" s="216" t="s">
        <v>17728</v>
      </c>
      <c r="D4351" s="443">
        <v>35.770000000000003</v>
      </c>
    </row>
    <row r="4352" spans="1:4">
      <c r="A4352" s="216">
        <v>7293</v>
      </c>
      <c r="B4352" s="222" t="s">
        <v>22039</v>
      </c>
      <c r="C4352" s="216" t="s">
        <v>17728</v>
      </c>
      <c r="D4352" s="443">
        <v>39.57</v>
      </c>
    </row>
    <row r="4353" spans="1:4">
      <c r="A4353" s="216">
        <v>7306</v>
      </c>
      <c r="B4353" s="222" t="s">
        <v>22040</v>
      </c>
      <c r="C4353" s="216" t="s">
        <v>17728</v>
      </c>
      <c r="D4353" s="443">
        <v>43.67</v>
      </c>
    </row>
    <row r="4354" spans="1:4">
      <c r="A4354" s="216">
        <v>7288</v>
      </c>
      <c r="B4354" s="222" t="s">
        <v>22041</v>
      </c>
      <c r="C4354" s="216" t="s">
        <v>17728</v>
      </c>
      <c r="D4354" s="443">
        <v>36.26</v>
      </c>
    </row>
    <row r="4355" spans="1:4">
      <c r="A4355" s="216">
        <v>43625</v>
      </c>
      <c r="B4355" s="222" t="s">
        <v>22042</v>
      </c>
      <c r="C4355" s="216" t="s">
        <v>17728</v>
      </c>
      <c r="D4355" s="443">
        <v>29.28</v>
      </c>
    </row>
    <row r="4356" spans="1:4">
      <c r="A4356" s="216">
        <v>43647</v>
      </c>
      <c r="B4356" s="222" t="s">
        <v>22043</v>
      </c>
      <c r="C4356" s="216" t="s">
        <v>17728</v>
      </c>
      <c r="D4356" s="443">
        <v>26.59</v>
      </c>
    </row>
    <row r="4357" spans="1:4">
      <c r="A4357" s="216">
        <v>43648</v>
      </c>
      <c r="B4357" s="222" t="s">
        <v>22044</v>
      </c>
      <c r="C4357" s="216" t="s">
        <v>17728</v>
      </c>
      <c r="D4357" s="443">
        <v>25.66</v>
      </c>
    </row>
    <row r="4358" spans="1:4">
      <c r="A4358" s="216">
        <v>35693</v>
      </c>
      <c r="B4358" s="222" t="s">
        <v>22045</v>
      </c>
      <c r="C4358" s="216" t="s">
        <v>17728</v>
      </c>
      <c r="D4358" s="443">
        <v>11.1</v>
      </c>
    </row>
    <row r="4359" spans="1:4">
      <c r="A4359" s="216">
        <v>7356</v>
      </c>
      <c r="B4359" s="222" t="s">
        <v>22046</v>
      </c>
      <c r="C4359" s="216" t="s">
        <v>17728</v>
      </c>
      <c r="D4359" s="443">
        <v>26.61</v>
      </c>
    </row>
    <row r="4360" spans="1:4">
      <c r="A4360" s="216">
        <v>35692</v>
      </c>
      <c r="B4360" s="222" t="s">
        <v>22047</v>
      </c>
      <c r="C4360" s="216" t="s">
        <v>17728</v>
      </c>
      <c r="D4360" s="443">
        <v>17.41</v>
      </c>
    </row>
    <row r="4361" spans="1:4">
      <c r="A4361" s="216">
        <v>43624</v>
      </c>
      <c r="B4361" s="222" t="s">
        <v>22048</v>
      </c>
      <c r="C4361" s="216" t="s">
        <v>17728</v>
      </c>
      <c r="D4361" s="443">
        <v>32.43</v>
      </c>
    </row>
    <row r="4362" spans="1:4">
      <c r="A4362" s="216">
        <v>7342</v>
      </c>
      <c r="B4362" s="222" t="s">
        <v>22049</v>
      </c>
      <c r="C4362" s="216" t="s">
        <v>17726</v>
      </c>
      <c r="D4362" s="443">
        <v>2.46</v>
      </c>
    </row>
    <row r="4363" spans="1:4">
      <c r="A4363" s="216">
        <v>7350</v>
      </c>
      <c r="B4363" s="222" t="s">
        <v>22050</v>
      </c>
      <c r="C4363" s="216" t="s">
        <v>17728</v>
      </c>
      <c r="D4363" s="443">
        <v>38.409999999999997</v>
      </c>
    </row>
    <row r="4364" spans="1:4" ht="31.5">
      <c r="A4364" s="216">
        <v>39574</v>
      </c>
      <c r="B4364" s="222" t="s">
        <v>22051</v>
      </c>
      <c r="C4364" s="216" t="s">
        <v>17678</v>
      </c>
      <c r="D4364" s="443">
        <v>5.75</v>
      </c>
    </row>
    <row r="4365" spans="1:4">
      <c r="A4365" s="216">
        <v>11060</v>
      </c>
      <c r="B4365" s="222" t="s">
        <v>22052</v>
      </c>
      <c r="C4365" s="216" t="s">
        <v>17678</v>
      </c>
      <c r="D4365" s="443">
        <v>32.58</v>
      </c>
    </row>
    <row r="4366" spans="1:4">
      <c r="A4366" s="216">
        <v>37401</v>
      </c>
      <c r="B4366" s="222" t="s">
        <v>22053</v>
      </c>
      <c r="C4366" s="216" t="s">
        <v>17678</v>
      </c>
      <c r="D4366" s="443">
        <v>46.74</v>
      </c>
    </row>
    <row r="4367" spans="1:4">
      <c r="A4367" s="216">
        <v>7525</v>
      </c>
      <c r="B4367" s="222" t="s">
        <v>22054</v>
      </c>
      <c r="C4367" s="216" t="s">
        <v>17678</v>
      </c>
      <c r="D4367" s="443">
        <v>52.73</v>
      </c>
    </row>
    <row r="4368" spans="1:4">
      <c r="A4368" s="216">
        <v>7524</v>
      </c>
      <c r="B4368" s="222" t="s">
        <v>22055</v>
      </c>
      <c r="C4368" s="216" t="s">
        <v>17678</v>
      </c>
      <c r="D4368" s="443">
        <v>49.69</v>
      </c>
    </row>
    <row r="4369" spans="1:4">
      <c r="A4369" s="216">
        <v>38105</v>
      </c>
      <c r="B4369" s="222" t="s">
        <v>22056</v>
      </c>
      <c r="C4369" s="216" t="s">
        <v>17678</v>
      </c>
      <c r="D4369" s="443">
        <v>12.76</v>
      </c>
    </row>
    <row r="4370" spans="1:4" ht="31.5">
      <c r="A4370" s="216">
        <v>38084</v>
      </c>
      <c r="B4370" s="222" t="s">
        <v>22057</v>
      </c>
      <c r="C4370" s="216" t="s">
        <v>17678</v>
      </c>
      <c r="D4370" s="443">
        <v>18.13</v>
      </c>
    </row>
    <row r="4371" spans="1:4">
      <c r="A4371" s="216">
        <v>38103</v>
      </c>
      <c r="B4371" s="222" t="s">
        <v>22058</v>
      </c>
      <c r="C4371" s="216" t="s">
        <v>17678</v>
      </c>
      <c r="D4371" s="443">
        <v>19.16</v>
      </c>
    </row>
    <row r="4372" spans="1:4">
      <c r="A4372" s="216">
        <v>38082</v>
      </c>
      <c r="B4372" s="222" t="s">
        <v>22059</v>
      </c>
      <c r="C4372" s="216" t="s">
        <v>17678</v>
      </c>
      <c r="D4372" s="443">
        <v>23.61</v>
      </c>
    </row>
    <row r="4373" spans="1:4">
      <c r="A4373" s="216">
        <v>38104</v>
      </c>
      <c r="B4373" s="222" t="s">
        <v>22060</v>
      </c>
      <c r="C4373" s="216" t="s">
        <v>17678</v>
      </c>
      <c r="D4373" s="443">
        <v>37.520000000000003</v>
      </c>
    </row>
    <row r="4374" spans="1:4">
      <c r="A4374" s="216">
        <v>38083</v>
      </c>
      <c r="B4374" s="222" t="s">
        <v>22061</v>
      </c>
      <c r="C4374" s="216" t="s">
        <v>17678</v>
      </c>
      <c r="D4374" s="443">
        <v>41.66</v>
      </c>
    </row>
    <row r="4375" spans="1:4">
      <c r="A4375" s="216">
        <v>38101</v>
      </c>
      <c r="B4375" s="222" t="s">
        <v>22062</v>
      </c>
      <c r="C4375" s="216" t="s">
        <v>17678</v>
      </c>
      <c r="D4375" s="443">
        <v>9.11</v>
      </c>
    </row>
    <row r="4376" spans="1:4">
      <c r="A4376" s="216">
        <v>7528</v>
      </c>
      <c r="B4376" s="222" t="s">
        <v>22063</v>
      </c>
      <c r="C4376" s="216" t="s">
        <v>17678</v>
      </c>
      <c r="D4376" s="443">
        <v>10.71</v>
      </c>
    </row>
    <row r="4377" spans="1:4">
      <c r="A4377" s="216">
        <v>12147</v>
      </c>
      <c r="B4377" s="222" t="s">
        <v>22064</v>
      </c>
      <c r="C4377" s="216" t="s">
        <v>17678</v>
      </c>
      <c r="D4377" s="443">
        <v>16.329999999999998</v>
      </c>
    </row>
    <row r="4378" spans="1:4">
      <c r="A4378" s="216">
        <v>38075</v>
      </c>
      <c r="B4378" s="222" t="s">
        <v>22065</v>
      </c>
      <c r="C4378" s="216" t="s">
        <v>17678</v>
      </c>
      <c r="D4378" s="443">
        <v>18.55</v>
      </c>
    </row>
    <row r="4379" spans="1:4">
      <c r="A4379" s="216">
        <v>38102</v>
      </c>
      <c r="B4379" s="222" t="s">
        <v>22066</v>
      </c>
      <c r="C4379" s="216" t="s">
        <v>17678</v>
      </c>
      <c r="D4379" s="443">
        <v>11.66</v>
      </c>
    </row>
    <row r="4380" spans="1:4" ht="31.5">
      <c r="A4380" s="216">
        <v>38076</v>
      </c>
      <c r="B4380" s="222" t="s">
        <v>22067</v>
      </c>
      <c r="C4380" s="216" t="s">
        <v>17678</v>
      </c>
      <c r="D4380" s="443">
        <v>20.8</v>
      </c>
    </row>
    <row r="4381" spans="1:4">
      <c r="A4381" s="216">
        <v>7592</v>
      </c>
      <c r="B4381" s="222" t="s">
        <v>22068</v>
      </c>
      <c r="C4381" s="216" t="s">
        <v>17826</v>
      </c>
      <c r="D4381" s="443">
        <v>24.15</v>
      </c>
    </row>
    <row r="4382" spans="1:4">
      <c r="A4382" s="216">
        <v>40820</v>
      </c>
      <c r="B4382" s="222" t="s">
        <v>22069</v>
      </c>
      <c r="C4382" s="216" t="s">
        <v>17828</v>
      </c>
      <c r="D4382" s="443">
        <v>4228.24</v>
      </c>
    </row>
    <row r="4383" spans="1:4" ht="31.5">
      <c r="A4383" s="216">
        <v>11826</v>
      </c>
      <c r="B4383" s="222" t="s">
        <v>22070</v>
      </c>
      <c r="C4383" s="216" t="s">
        <v>17678</v>
      </c>
      <c r="D4383" s="443">
        <v>57.3</v>
      </c>
    </row>
    <row r="4384" spans="1:4" ht="31.5">
      <c r="A4384" s="216">
        <v>7606</v>
      </c>
      <c r="B4384" s="222" t="s">
        <v>22071</v>
      </c>
      <c r="C4384" s="216" t="s">
        <v>17678</v>
      </c>
      <c r="D4384" s="443">
        <v>68.91</v>
      </c>
    </row>
    <row r="4385" spans="1:4" ht="31.5">
      <c r="A4385" s="216">
        <v>11763</v>
      </c>
      <c r="B4385" s="222" t="s">
        <v>22072</v>
      </c>
      <c r="C4385" s="216" t="s">
        <v>17678</v>
      </c>
      <c r="D4385" s="443">
        <v>150.49</v>
      </c>
    </row>
    <row r="4386" spans="1:4" ht="31.5">
      <c r="A4386" s="216">
        <v>11764</v>
      </c>
      <c r="B4386" s="222" t="s">
        <v>22073</v>
      </c>
      <c r="C4386" s="216" t="s">
        <v>17678</v>
      </c>
      <c r="D4386" s="443">
        <v>123.47</v>
      </c>
    </row>
    <row r="4387" spans="1:4" ht="31.5">
      <c r="A4387" s="216">
        <v>11829</v>
      </c>
      <c r="B4387" s="222" t="s">
        <v>22074</v>
      </c>
      <c r="C4387" s="216" t="s">
        <v>17678</v>
      </c>
      <c r="D4387" s="443">
        <v>29.84</v>
      </c>
    </row>
    <row r="4388" spans="1:4" ht="31.5">
      <c r="A4388" s="216">
        <v>11830</v>
      </c>
      <c r="B4388" s="222" t="s">
        <v>22075</v>
      </c>
      <c r="C4388" s="216" t="s">
        <v>17678</v>
      </c>
      <c r="D4388" s="443">
        <v>32.22</v>
      </c>
    </row>
    <row r="4389" spans="1:4" ht="31.5">
      <c r="A4389" s="216">
        <v>11825</v>
      </c>
      <c r="B4389" s="222" t="s">
        <v>22076</v>
      </c>
      <c r="C4389" s="216" t="s">
        <v>17678</v>
      </c>
      <c r="D4389" s="443">
        <v>72.489999999999995</v>
      </c>
    </row>
    <row r="4390" spans="1:4" ht="31.5">
      <c r="A4390" s="216">
        <v>11767</v>
      </c>
      <c r="B4390" s="222" t="s">
        <v>22077</v>
      </c>
      <c r="C4390" s="216" t="s">
        <v>17678</v>
      </c>
      <c r="D4390" s="443">
        <v>193.08</v>
      </c>
    </row>
    <row r="4391" spans="1:4" ht="31.5">
      <c r="A4391" s="216">
        <v>11766</v>
      </c>
      <c r="B4391" s="222" t="s">
        <v>22078</v>
      </c>
      <c r="C4391" s="216" t="s">
        <v>17678</v>
      </c>
      <c r="D4391" s="443">
        <v>45.01</v>
      </c>
    </row>
    <row r="4392" spans="1:4" ht="31.5">
      <c r="A4392" s="216">
        <v>11765</v>
      </c>
      <c r="B4392" s="222" t="s">
        <v>22079</v>
      </c>
      <c r="C4392" s="216" t="s">
        <v>17678</v>
      </c>
      <c r="D4392" s="443">
        <v>82.28</v>
      </c>
    </row>
    <row r="4393" spans="1:4" ht="31.5">
      <c r="A4393" s="216">
        <v>11824</v>
      </c>
      <c r="B4393" s="222" t="s">
        <v>22080</v>
      </c>
      <c r="C4393" s="216" t="s">
        <v>17678</v>
      </c>
      <c r="D4393" s="443">
        <v>52.94</v>
      </c>
    </row>
    <row r="4394" spans="1:4" ht="31.5">
      <c r="A4394" s="216">
        <v>44045</v>
      </c>
      <c r="B4394" s="222" t="s">
        <v>22081</v>
      </c>
      <c r="C4394" s="216" t="s">
        <v>17678</v>
      </c>
      <c r="D4394" s="443">
        <v>261.42</v>
      </c>
    </row>
    <row r="4395" spans="1:4">
      <c r="A4395" s="216">
        <v>39702</v>
      </c>
      <c r="B4395" s="222" t="s">
        <v>22082</v>
      </c>
      <c r="C4395" s="216" t="s">
        <v>17678</v>
      </c>
      <c r="D4395" s="443">
        <v>1736.17</v>
      </c>
    </row>
    <row r="4396" spans="1:4" ht="31.5">
      <c r="A4396" s="216">
        <v>13415</v>
      </c>
      <c r="B4396" s="222" t="s">
        <v>22083</v>
      </c>
      <c r="C4396" s="216" t="s">
        <v>17678</v>
      </c>
      <c r="D4396" s="443">
        <v>57</v>
      </c>
    </row>
    <row r="4397" spans="1:4" ht="31.5">
      <c r="A4397" s="216">
        <v>7602</v>
      </c>
      <c r="B4397" s="222" t="s">
        <v>22084</v>
      </c>
      <c r="C4397" s="216" t="s">
        <v>17678</v>
      </c>
      <c r="D4397" s="443">
        <v>36.369999999999997</v>
      </c>
    </row>
    <row r="4398" spans="1:4" ht="31.5">
      <c r="A4398" s="216">
        <v>7603</v>
      </c>
      <c r="B4398" s="222" t="s">
        <v>22085</v>
      </c>
      <c r="C4398" s="216" t="s">
        <v>17678</v>
      </c>
      <c r="D4398" s="443">
        <v>30.86</v>
      </c>
    </row>
    <row r="4399" spans="1:4">
      <c r="A4399" s="216">
        <v>11777</v>
      </c>
      <c r="B4399" s="222" t="s">
        <v>22086</v>
      </c>
      <c r="C4399" s="216" t="s">
        <v>17678</v>
      </c>
      <c r="D4399" s="443">
        <v>169.52</v>
      </c>
    </row>
    <row r="4400" spans="1:4" ht="31.5">
      <c r="A4400" s="216">
        <v>13417</v>
      </c>
      <c r="B4400" s="222" t="s">
        <v>22087</v>
      </c>
      <c r="C4400" s="216" t="s">
        <v>17678</v>
      </c>
      <c r="D4400" s="443">
        <v>74.239999999999995</v>
      </c>
    </row>
    <row r="4401" spans="1:4">
      <c r="A4401" s="216">
        <v>36791</v>
      </c>
      <c r="B4401" s="222" t="s">
        <v>22088</v>
      </c>
      <c r="C4401" s="216" t="s">
        <v>17678</v>
      </c>
      <c r="D4401" s="443">
        <v>111.42</v>
      </c>
    </row>
    <row r="4402" spans="1:4" ht="31.5">
      <c r="A4402" s="216">
        <v>36795</v>
      </c>
      <c r="B4402" s="222" t="s">
        <v>22089</v>
      </c>
      <c r="C4402" s="216" t="s">
        <v>17678</v>
      </c>
      <c r="D4402" s="443">
        <v>1408.75</v>
      </c>
    </row>
    <row r="4403" spans="1:4" ht="31.5">
      <c r="A4403" s="216">
        <v>36796</v>
      </c>
      <c r="B4403" s="222" t="s">
        <v>22090</v>
      </c>
      <c r="C4403" s="216" t="s">
        <v>17678</v>
      </c>
      <c r="D4403" s="443">
        <v>117.06</v>
      </c>
    </row>
    <row r="4404" spans="1:4" ht="31.5">
      <c r="A4404" s="216">
        <v>36792</v>
      </c>
      <c r="B4404" s="222" t="s">
        <v>22091</v>
      </c>
      <c r="C4404" s="216" t="s">
        <v>17678</v>
      </c>
      <c r="D4404" s="443">
        <v>148.29</v>
      </c>
    </row>
    <row r="4405" spans="1:4" ht="31.5">
      <c r="A4405" s="216">
        <v>11773</v>
      </c>
      <c r="B4405" s="222" t="s">
        <v>22092</v>
      </c>
      <c r="C4405" s="216" t="s">
        <v>17678</v>
      </c>
      <c r="D4405" s="443">
        <v>98.71</v>
      </c>
    </row>
    <row r="4406" spans="1:4" ht="31.5">
      <c r="A4406" s="216">
        <v>11762</v>
      </c>
      <c r="B4406" s="222" t="s">
        <v>22093</v>
      </c>
      <c r="C4406" s="216" t="s">
        <v>17678</v>
      </c>
      <c r="D4406" s="443">
        <v>46.82</v>
      </c>
    </row>
    <row r="4407" spans="1:4" ht="31.5">
      <c r="A4407" s="216">
        <v>7604</v>
      </c>
      <c r="B4407" s="222" t="s">
        <v>22094</v>
      </c>
      <c r="C4407" s="216" t="s">
        <v>17678</v>
      </c>
      <c r="D4407" s="443">
        <v>39.64</v>
      </c>
    </row>
    <row r="4408" spans="1:4" ht="31.5">
      <c r="A4408" s="216">
        <v>13984</v>
      </c>
      <c r="B4408" s="222" t="s">
        <v>22095</v>
      </c>
      <c r="C4408" s="216" t="s">
        <v>17678</v>
      </c>
      <c r="D4408" s="443">
        <v>57.61</v>
      </c>
    </row>
    <row r="4409" spans="1:4" ht="31.5">
      <c r="A4409" s="216">
        <v>11772</v>
      </c>
      <c r="B4409" s="222" t="s">
        <v>22096</v>
      </c>
      <c r="C4409" s="216" t="s">
        <v>17678</v>
      </c>
      <c r="D4409" s="443">
        <v>99.02</v>
      </c>
    </row>
    <row r="4410" spans="1:4" ht="31.5">
      <c r="A4410" s="216">
        <v>13983</v>
      </c>
      <c r="B4410" s="222" t="s">
        <v>22097</v>
      </c>
      <c r="C4410" s="216" t="s">
        <v>17678</v>
      </c>
      <c r="D4410" s="443">
        <v>74.989999999999995</v>
      </c>
    </row>
    <row r="4411" spans="1:4" ht="31.5">
      <c r="A4411" s="216">
        <v>13416</v>
      </c>
      <c r="B4411" s="222" t="s">
        <v>22098</v>
      </c>
      <c r="C4411" s="216" t="s">
        <v>17678</v>
      </c>
      <c r="D4411" s="443">
        <v>66.61</v>
      </c>
    </row>
    <row r="4412" spans="1:4" ht="31.5">
      <c r="A4412" s="216">
        <v>40329</v>
      </c>
      <c r="B4412" s="222" t="s">
        <v>22099</v>
      </c>
      <c r="C4412" s="216" t="s">
        <v>17678</v>
      </c>
      <c r="D4412" s="443">
        <v>18.7</v>
      </c>
    </row>
    <row r="4413" spans="1:4">
      <c r="A4413" s="216">
        <v>11823</v>
      </c>
      <c r="B4413" s="222" t="s">
        <v>22100</v>
      </c>
      <c r="C4413" s="216" t="s">
        <v>17678</v>
      </c>
      <c r="D4413" s="443">
        <v>7.87</v>
      </c>
    </row>
    <row r="4414" spans="1:4">
      <c r="A4414" s="216">
        <v>11822</v>
      </c>
      <c r="B4414" s="222" t="s">
        <v>22101</v>
      </c>
      <c r="C4414" s="216" t="s">
        <v>17678</v>
      </c>
      <c r="D4414" s="443">
        <v>29.09</v>
      </c>
    </row>
    <row r="4415" spans="1:4">
      <c r="A4415" s="216">
        <v>11831</v>
      </c>
      <c r="B4415" s="222" t="s">
        <v>22102</v>
      </c>
      <c r="C4415" s="216" t="s">
        <v>17678</v>
      </c>
      <c r="D4415" s="443">
        <v>17.5</v>
      </c>
    </row>
    <row r="4416" spans="1:4" ht="31.5">
      <c r="A4416" s="216">
        <v>7613</v>
      </c>
      <c r="B4416" s="222" t="s">
        <v>22103</v>
      </c>
      <c r="C4416" s="216" t="s">
        <v>17678</v>
      </c>
      <c r="D4416" s="443">
        <v>108435.72</v>
      </c>
    </row>
    <row r="4417" spans="1:4" ht="31.5">
      <c r="A4417" s="216">
        <v>7619</v>
      </c>
      <c r="B4417" s="222" t="s">
        <v>22104</v>
      </c>
      <c r="C4417" s="216" t="s">
        <v>17678</v>
      </c>
      <c r="D4417" s="443">
        <v>16761.84</v>
      </c>
    </row>
    <row r="4418" spans="1:4" ht="31.5">
      <c r="A4418" s="216">
        <v>12076</v>
      </c>
      <c r="B4418" s="222" t="s">
        <v>22105</v>
      </c>
      <c r="C4418" s="216" t="s">
        <v>17678</v>
      </c>
      <c r="D4418" s="443">
        <v>7688.91</v>
      </c>
    </row>
    <row r="4419" spans="1:4" ht="31.5">
      <c r="A4419" s="216">
        <v>7614</v>
      </c>
      <c r="B4419" s="222" t="s">
        <v>22106</v>
      </c>
      <c r="C4419" s="216" t="s">
        <v>17678</v>
      </c>
      <c r="D4419" s="443">
        <v>21140.68</v>
      </c>
    </row>
    <row r="4420" spans="1:4" ht="31.5">
      <c r="A4420" s="216">
        <v>7618</v>
      </c>
      <c r="B4420" s="222" t="s">
        <v>22107</v>
      </c>
      <c r="C4420" s="216" t="s">
        <v>17678</v>
      </c>
      <c r="D4420" s="443">
        <v>137113.19</v>
      </c>
    </row>
    <row r="4421" spans="1:4" ht="31.5">
      <c r="A4421" s="216">
        <v>7620</v>
      </c>
      <c r="B4421" s="222" t="s">
        <v>22108</v>
      </c>
      <c r="C4421" s="216" t="s">
        <v>17678</v>
      </c>
      <c r="D4421" s="443">
        <v>29657.25</v>
      </c>
    </row>
    <row r="4422" spans="1:4" ht="31.5">
      <c r="A4422" s="216">
        <v>7610</v>
      </c>
      <c r="B4422" s="222" t="s">
        <v>22109</v>
      </c>
      <c r="C4422" s="216" t="s">
        <v>17678</v>
      </c>
      <c r="D4422" s="443">
        <v>9391.4599999999991</v>
      </c>
    </row>
    <row r="4423" spans="1:4" ht="31.5">
      <c r="A4423" s="216">
        <v>7615</v>
      </c>
      <c r="B4423" s="222" t="s">
        <v>22110</v>
      </c>
      <c r="C4423" s="216" t="s">
        <v>17678</v>
      </c>
      <c r="D4423" s="443">
        <v>34600.129999999997</v>
      </c>
    </row>
    <row r="4424" spans="1:4" ht="31.5">
      <c r="A4424" s="216">
        <v>7617</v>
      </c>
      <c r="B4424" s="222" t="s">
        <v>22111</v>
      </c>
      <c r="C4424" s="216" t="s">
        <v>17678</v>
      </c>
      <c r="D4424" s="443">
        <v>10489.88</v>
      </c>
    </row>
    <row r="4425" spans="1:4" ht="31.5">
      <c r="A4425" s="216">
        <v>7616</v>
      </c>
      <c r="B4425" s="222" t="s">
        <v>22112</v>
      </c>
      <c r="C4425" s="216" t="s">
        <v>17678</v>
      </c>
      <c r="D4425" s="443">
        <v>56461.919999999998</v>
      </c>
    </row>
    <row r="4426" spans="1:4" ht="31.5">
      <c r="A4426" s="216">
        <v>7611</v>
      </c>
      <c r="B4426" s="222" t="s">
        <v>22113</v>
      </c>
      <c r="C4426" s="216" t="s">
        <v>17678</v>
      </c>
      <c r="D4426" s="443">
        <v>13565.45</v>
      </c>
    </row>
    <row r="4427" spans="1:4" ht="31.5">
      <c r="A4427" s="216">
        <v>7612</v>
      </c>
      <c r="B4427" s="222" t="s">
        <v>22114</v>
      </c>
      <c r="C4427" s="216" t="s">
        <v>17678</v>
      </c>
      <c r="D4427" s="443">
        <v>77447.179999999993</v>
      </c>
    </row>
    <row r="4428" spans="1:4">
      <c r="A4428" s="216">
        <v>37371</v>
      </c>
      <c r="B4428" s="222" t="s">
        <v>22115</v>
      </c>
      <c r="C4428" s="216" t="s">
        <v>17826</v>
      </c>
      <c r="D4428" s="443">
        <v>0.86</v>
      </c>
    </row>
    <row r="4429" spans="1:4">
      <c r="A4429" s="216">
        <v>40861</v>
      </c>
      <c r="B4429" s="222" t="s">
        <v>22116</v>
      </c>
      <c r="C4429" s="216" t="s">
        <v>17828</v>
      </c>
      <c r="D4429" s="443">
        <v>162.47</v>
      </c>
    </row>
    <row r="4430" spans="1:4" ht="31.5">
      <c r="A4430" s="216">
        <v>36510</v>
      </c>
      <c r="B4430" s="222" t="s">
        <v>22117</v>
      </c>
      <c r="C4430" s="216" t="s">
        <v>17678</v>
      </c>
      <c r="D4430" s="443">
        <v>1069418.9099999999</v>
      </c>
    </row>
    <row r="4431" spans="1:4" ht="31.5">
      <c r="A4431" s="216">
        <v>25020</v>
      </c>
      <c r="B4431" s="222" t="s">
        <v>22118</v>
      </c>
      <c r="C4431" s="216" t="s">
        <v>17678</v>
      </c>
      <c r="D4431" s="443">
        <v>4405629.67</v>
      </c>
    </row>
    <row r="4432" spans="1:4" ht="31.5">
      <c r="A4432" s="216">
        <v>7622</v>
      </c>
      <c r="B4432" s="222" t="s">
        <v>22119</v>
      </c>
      <c r="C4432" s="216" t="s">
        <v>17678</v>
      </c>
      <c r="D4432" s="443">
        <v>1037492.65</v>
      </c>
    </row>
    <row r="4433" spans="1:4" ht="31.5">
      <c r="A4433" s="216">
        <v>7624</v>
      </c>
      <c r="B4433" s="222" t="s">
        <v>22120</v>
      </c>
      <c r="C4433" s="216" t="s">
        <v>17678</v>
      </c>
      <c r="D4433" s="443">
        <v>1345000</v>
      </c>
    </row>
    <row r="4434" spans="1:4">
      <c r="A4434" s="216">
        <v>7625</v>
      </c>
      <c r="B4434" s="222" t="s">
        <v>22121</v>
      </c>
      <c r="C4434" s="216" t="s">
        <v>17678</v>
      </c>
      <c r="D4434" s="443">
        <v>1336773.57</v>
      </c>
    </row>
    <row r="4435" spans="1:4" ht="31.5">
      <c r="A4435" s="216">
        <v>7623</v>
      </c>
      <c r="B4435" s="222" t="s">
        <v>22122</v>
      </c>
      <c r="C4435" s="216" t="s">
        <v>17678</v>
      </c>
      <c r="D4435" s="443">
        <v>4405629.67</v>
      </c>
    </row>
    <row r="4436" spans="1:4" ht="31.5">
      <c r="A4436" s="216">
        <v>36508</v>
      </c>
      <c r="B4436" s="222" t="s">
        <v>22123</v>
      </c>
      <c r="C4436" s="216" t="s">
        <v>17678</v>
      </c>
      <c r="D4436" s="443">
        <v>1981386.48</v>
      </c>
    </row>
    <row r="4437" spans="1:4">
      <c r="A4437" s="216">
        <v>36509</v>
      </c>
      <c r="B4437" s="222" t="s">
        <v>22124</v>
      </c>
      <c r="C4437" s="216" t="s">
        <v>17678</v>
      </c>
      <c r="D4437" s="443">
        <v>1085871.49</v>
      </c>
    </row>
    <row r="4438" spans="1:4">
      <c r="A4438" s="216">
        <v>13238</v>
      </c>
      <c r="B4438" s="222" t="s">
        <v>22125</v>
      </c>
      <c r="C4438" s="216" t="s">
        <v>17678</v>
      </c>
      <c r="D4438" s="443">
        <v>320299.03999999998</v>
      </c>
    </row>
    <row r="4439" spans="1:4">
      <c r="A4439" s="216">
        <v>36511</v>
      </c>
      <c r="B4439" s="222" t="s">
        <v>22126</v>
      </c>
      <c r="C4439" s="216" t="s">
        <v>17678</v>
      </c>
      <c r="D4439" s="443">
        <v>371140.16</v>
      </c>
    </row>
    <row r="4440" spans="1:4">
      <c r="A4440" s="216">
        <v>36515</v>
      </c>
      <c r="B4440" s="222" t="s">
        <v>22127</v>
      </c>
      <c r="C4440" s="216" t="s">
        <v>17678</v>
      </c>
      <c r="D4440" s="443">
        <v>109308.39</v>
      </c>
    </row>
    <row r="4441" spans="1:4">
      <c r="A4441" s="216">
        <v>10598</v>
      </c>
      <c r="B4441" s="222" t="s">
        <v>22128</v>
      </c>
      <c r="C4441" s="216" t="s">
        <v>17678</v>
      </c>
      <c r="D4441" s="443">
        <v>177260.08</v>
      </c>
    </row>
    <row r="4442" spans="1:4">
      <c r="A4442" s="216">
        <v>7640</v>
      </c>
      <c r="B4442" s="222" t="s">
        <v>22129</v>
      </c>
      <c r="C4442" s="216" t="s">
        <v>17678</v>
      </c>
      <c r="D4442" s="443">
        <v>272000</v>
      </c>
    </row>
    <row r="4443" spans="1:4">
      <c r="A4443" s="216">
        <v>36513</v>
      </c>
      <c r="B4443" s="222" t="s">
        <v>22130</v>
      </c>
      <c r="C4443" s="216" t="s">
        <v>17678</v>
      </c>
      <c r="D4443" s="443">
        <v>262022.41</v>
      </c>
    </row>
    <row r="4444" spans="1:4">
      <c r="A4444" s="216">
        <v>36514</v>
      </c>
      <c r="B4444" s="222" t="s">
        <v>22131</v>
      </c>
      <c r="C4444" s="216" t="s">
        <v>17678</v>
      </c>
      <c r="D4444" s="443">
        <v>292336.43</v>
      </c>
    </row>
    <row r="4445" spans="1:4">
      <c r="A4445" s="216">
        <v>11572</v>
      </c>
      <c r="B4445" s="222" t="s">
        <v>22132</v>
      </c>
      <c r="C4445" s="216" t="s">
        <v>17678</v>
      </c>
      <c r="D4445" s="443">
        <v>31.13</v>
      </c>
    </row>
    <row r="4446" spans="1:4" ht="31.5">
      <c r="A4446" s="216">
        <v>36149</v>
      </c>
      <c r="B4446" s="222" t="s">
        <v>22133</v>
      </c>
      <c r="C4446" s="216" t="s">
        <v>17678</v>
      </c>
      <c r="D4446" s="443">
        <v>157.91999999999999</v>
      </c>
    </row>
    <row r="4447" spans="1:4" ht="31.5">
      <c r="A4447" s="216">
        <v>42407</v>
      </c>
      <c r="B4447" s="222" t="s">
        <v>22134</v>
      </c>
      <c r="C4447" s="216" t="s">
        <v>17722</v>
      </c>
      <c r="D4447" s="443">
        <v>7.99</v>
      </c>
    </row>
    <row r="4448" spans="1:4" ht="31.5">
      <c r="A4448" s="216">
        <v>11581</v>
      </c>
      <c r="B4448" s="222" t="s">
        <v>22135</v>
      </c>
      <c r="C4448" s="216" t="s">
        <v>17722</v>
      </c>
      <c r="D4448" s="443">
        <v>20.54</v>
      </c>
    </row>
    <row r="4449" spans="1:4">
      <c r="A4449" s="216">
        <v>43605</v>
      </c>
      <c r="B4449" s="222" t="s">
        <v>22136</v>
      </c>
      <c r="C4449" s="216" t="s">
        <v>17722</v>
      </c>
      <c r="D4449" s="443">
        <v>42.04</v>
      </c>
    </row>
    <row r="4450" spans="1:4">
      <c r="A4450" s="216">
        <v>11580</v>
      </c>
      <c r="B4450" s="222" t="s">
        <v>22137</v>
      </c>
      <c r="C4450" s="216" t="s">
        <v>17722</v>
      </c>
      <c r="D4450" s="443">
        <v>8.24</v>
      </c>
    </row>
    <row r="4451" spans="1:4">
      <c r="A4451" s="216">
        <v>10743</v>
      </c>
      <c r="B4451" s="222" t="s">
        <v>22138</v>
      </c>
      <c r="C4451" s="216" t="s">
        <v>17678</v>
      </c>
      <c r="D4451" s="443">
        <v>624.94000000000005</v>
      </c>
    </row>
    <row r="4452" spans="1:4" ht="31.5">
      <c r="A4452" s="216">
        <v>39848</v>
      </c>
      <c r="B4452" s="222" t="s">
        <v>22139</v>
      </c>
      <c r="C4452" s="216" t="s">
        <v>17722</v>
      </c>
      <c r="D4452" s="443">
        <v>1.96</v>
      </c>
    </row>
    <row r="4453" spans="1:4">
      <c r="A4453" s="216">
        <v>20999</v>
      </c>
      <c r="B4453" s="222" t="s">
        <v>22140</v>
      </c>
      <c r="C4453" s="216" t="s">
        <v>17722</v>
      </c>
      <c r="D4453" s="443">
        <v>13.14</v>
      </c>
    </row>
    <row r="4454" spans="1:4">
      <c r="A4454" s="216">
        <v>21001</v>
      </c>
      <c r="B4454" s="222" t="s">
        <v>22141</v>
      </c>
      <c r="C4454" s="216" t="s">
        <v>17722</v>
      </c>
      <c r="D4454" s="443">
        <v>24.53</v>
      </c>
    </row>
    <row r="4455" spans="1:4">
      <c r="A4455" s="216">
        <v>21003</v>
      </c>
      <c r="B4455" s="222" t="s">
        <v>22142</v>
      </c>
      <c r="C4455" s="216" t="s">
        <v>17722</v>
      </c>
      <c r="D4455" s="443">
        <v>40.31</v>
      </c>
    </row>
    <row r="4456" spans="1:4">
      <c r="A4456" s="216">
        <v>21006</v>
      </c>
      <c r="B4456" s="222" t="s">
        <v>22143</v>
      </c>
      <c r="C4456" s="216" t="s">
        <v>17722</v>
      </c>
      <c r="D4456" s="443">
        <v>85.54</v>
      </c>
    </row>
    <row r="4457" spans="1:4">
      <c r="A4457" s="216">
        <v>21019</v>
      </c>
      <c r="B4457" s="222" t="s">
        <v>22144</v>
      </c>
      <c r="C4457" s="216" t="s">
        <v>17722</v>
      </c>
      <c r="D4457" s="443">
        <v>29.73</v>
      </c>
    </row>
    <row r="4458" spans="1:4">
      <c r="A4458" s="216">
        <v>21021</v>
      </c>
      <c r="B4458" s="222" t="s">
        <v>22145</v>
      </c>
      <c r="C4458" s="216" t="s">
        <v>17722</v>
      </c>
      <c r="D4458" s="443">
        <v>47.01</v>
      </c>
    </row>
    <row r="4459" spans="1:4">
      <c r="A4459" s="216">
        <v>21024</v>
      </c>
      <c r="B4459" s="222" t="s">
        <v>22146</v>
      </c>
      <c r="C4459" s="216" t="s">
        <v>17722</v>
      </c>
      <c r="D4459" s="443">
        <v>100.72</v>
      </c>
    </row>
    <row r="4460" spans="1:4">
      <c r="A4460" s="216">
        <v>40624</v>
      </c>
      <c r="B4460" s="222" t="s">
        <v>22147</v>
      </c>
      <c r="C4460" s="216" t="s">
        <v>17722</v>
      </c>
      <c r="D4460" s="443">
        <v>93.72</v>
      </c>
    </row>
    <row r="4461" spans="1:4">
      <c r="A4461" s="216">
        <v>42575</v>
      </c>
      <c r="B4461" s="222" t="s">
        <v>22148</v>
      </c>
      <c r="C4461" s="216" t="s">
        <v>17722</v>
      </c>
      <c r="D4461" s="443">
        <v>86</v>
      </c>
    </row>
    <row r="4462" spans="1:4">
      <c r="A4462" s="216">
        <v>13127</v>
      </c>
      <c r="B4462" s="222" t="s">
        <v>22149</v>
      </c>
      <c r="C4462" s="216" t="s">
        <v>17722</v>
      </c>
      <c r="D4462" s="443">
        <v>41.8</v>
      </c>
    </row>
    <row r="4463" spans="1:4">
      <c r="A4463" s="216">
        <v>13137</v>
      </c>
      <c r="B4463" s="222" t="s">
        <v>22150</v>
      </c>
      <c r="C4463" s="216" t="s">
        <v>17722</v>
      </c>
      <c r="D4463" s="443">
        <v>55.47</v>
      </c>
    </row>
    <row r="4464" spans="1:4">
      <c r="A4464" s="216">
        <v>42574</v>
      </c>
      <c r="B4464" s="222" t="s">
        <v>22151</v>
      </c>
      <c r="C4464" s="216" t="s">
        <v>17722</v>
      </c>
      <c r="D4464" s="443">
        <v>64.180000000000007</v>
      </c>
    </row>
    <row r="4465" spans="1:4">
      <c r="A4465" s="216">
        <v>20989</v>
      </c>
      <c r="B4465" s="222" t="s">
        <v>22152</v>
      </c>
      <c r="C4465" s="216" t="s">
        <v>17722</v>
      </c>
      <c r="D4465" s="443">
        <v>1987.4</v>
      </c>
    </row>
    <row r="4466" spans="1:4">
      <c r="A4466" s="216">
        <v>21147</v>
      </c>
      <c r="B4466" s="222" t="s">
        <v>22153</v>
      </c>
      <c r="C4466" s="216" t="s">
        <v>17722</v>
      </c>
      <c r="D4466" s="443">
        <v>186.34</v>
      </c>
    </row>
    <row r="4467" spans="1:4">
      <c r="A4467" s="216">
        <v>21148</v>
      </c>
      <c r="B4467" s="222" t="s">
        <v>22154</v>
      </c>
      <c r="C4467" s="216" t="s">
        <v>17722</v>
      </c>
      <c r="D4467" s="443">
        <v>115.01</v>
      </c>
    </row>
    <row r="4468" spans="1:4">
      <c r="A4468" s="216">
        <v>20984</v>
      </c>
      <c r="B4468" s="222" t="s">
        <v>22155</v>
      </c>
      <c r="C4468" s="216" t="s">
        <v>17722</v>
      </c>
      <c r="D4468" s="443">
        <v>3813.43</v>
      </c>
    </row>
    <row r="4469" spans="1:4">
      <c r="A4469" s="216">
        <v>13042</v>
      </c>
      <c r="B4469" s="222" t="s">
        <v>22156</v>
      </c>
      <c r="C4469" s="216" t="s">
        <v>17722</v>
      </c>
      <c r="D4469" s="443">
        <v>2113.21</v>
      </c>
    </row>
    <row r="4470" spans="1:4">
      <c r="A4470" s="216">
        <v>21150</v>
      </c>
      <c r="B4470" s="222" t="s">
        <v>22157</v>
      </c>
      <c r="C4470" s="216" t="s">
        <v>17722</v>
      </c>
      <c r="D4470" s="443">
        <v>57.03</v>
      </c>
    </row>
    <row r="4471" spans="1:4">
      <c r="A4471" s="216">
        <v>13141</v>
      </c>
      <c r="B4471" s="222" t="s">
        <v>22158</v>
      </c>
      <c r="C4471" s="216" t="s">
        <v>17722</v>
      </c>
      <c r="D4471" s="443">
        <v>71.849999999999994</v>
      </c>
    </row>
    <row r="4472" spans="1:4">
      <c r="A4472" s="216">
        <v>42576</v>
      </c>
      <c r="B4472" s="222" t="s">
        <v>22159</v>
      </c>
      <c r="C4472" s="216" t="s">
        <v>17722</v>
      </c>
      <c r="D4472" s="443">
        <v>234.6</v>
      </c>
    </row>
    <row r="4473" spans="1:4">
      <c r="A4473" s="216">
        <v>21151</v>
      </c>
      <c r="B4473" s="222" t="s">
        <v>22160</v>
      </c>
      <c r="C4473" s="216" t="s">
        <v>17722</v>
      </c>
      <c r="D4473" s="443">
        <v>341.35</v>
      </c>
    </row>
    <row r="4474" spans="1:4">
      <c r="A4474" s="216">
        <v>13142</v>
      </c>
      <c r="B4474" s="222" t="s">
        <v>22161</v>
      </c>
      <c r="C4474" s="216" t="s">
        <v>17722</v>
      </c>
      <c r="D4474" s="443">
        <v>487.98</v>
      </c>
    </row>
    <row r="4475" spans="1:4">
      <c r="A4475" s="216">
        <v>42577</v>
      </c>
      <c r="B4475" s="222" t="s">
        <v>22162</v>
      </c>
      <c r="C4475" s="216" t="s">
        <v>17722</v>
      </c>
      <c r="D4475" s="443">
        <v>535.45000000000005</v>
      </c>
    </row>
    <row r="4476" spans="1:4">
      <c r="A4476" s="216">
        <v>20994</v>
      </c>
      <c r="B4476" s="222" t="s">
        <v>22163</v>
      </c>
      <c r="C4476" s="216" t="s">
        <v>17722</v>
      </c>
      <c r="D4476" s="443">
        <v>920.06</v>
      </c>
    </row>
    <row r="4477" spans="1:4">
      <c r="A4477" s="216">
        <v>7672</v>
      </c>
      <c r="B4477" s="222" t="s">
        <v>22164</v>
      </c>
      <c r="C4477" s="216" t="s">
        <v>17722</v>
      </c>
      <c r="D4477" s="443">
        <v>602.74</v>
      </c>
    </row>
    <row r="4478" spans="1:4">
      <c r="A4478" s="216">
        <v>20995</v>
      </c>
      <c r="B4478" s="222" t="s">
        <v>22165</v>
      </c>
      <c r="C4478" s="216" t="s">
        <v>17722</v>
      </c>
      <c r="D4478" s="443">
        <v>1209.1400000000001</v>
      </c>
    </row>
    <row r="4479" spans="1:4">
      <c r="A4479" s="216">
        <v>7690</v>
      </c>
      <c r="B4479" s="222" t="s">
        <v>22166</v>
      </c>
      <c r="C4479" s="216" t="s">
        <v>17722</v>
      </c>
      <c r="D4479" s="443">
        <v>699.32</v>
      </c>
    </row>
    <row r="4480" spans="1:4">
      <c r="A4480" s="216">
        <v>20980</v>
      </c>
      <c r="B4480" s="222" t="s">
        <v>22167</v>
      </c>
      <c r="C4480" s="216" t="s">
        <v>17722</v>
      </c>
      <c r="D4480" s="443">
        <v>762.9</v>
      </c>
    </row>
    <row r="4481" spans="1:4">
      <c r="A4481" s="216">
        <v>7661</v>
      </c>
      <c r="B4481" s="222" t="s">
        <v>22168</v>
      </c>
      <c r="C4481" s="216" t="s">
        <v>17722</v>
      </c>
      <c r="D4481" s="443">
        <v>907.53</v>
      </c>
    </row>
    <row r="4482" spans="1:4">
      <c r="A4482" s="216">
        <v>21016</v>
      </c>
      <c r="B4482" s="222" t="s">
        <v>22169</v>
      </c>
      <c r="C4482" s="216" t="s">
        <v>17722</v>
      </c>
      <c r="D4482" s="443">
        <v>171.43</v>
      </c>
    </row>
    <row r="4483" spans="1:4">
      <c r="A4483" s="216">
        <v>21008</v>
      </c>
      <c r="B4483" s="222" t="s">
        <v>22170</v>
      </c>
      <c r="C4483" s="216" t="s">
        <v>17722</v>
      </c>
      <c r="D4483" s="443">
        <v>20.03</v>
      </c>
    </row>
    <row r="4484" spans="1:4">
      <c r="A4484" s="216">
        <v>21009</v>
      </c>
      <c r="B4484" s="222" t="s">
        <v>22171</v>
      </c>
      <c r="C4484" s="216" t="s">
        <v>17722</v>
      </c>
      <c r="D4484" s="443">
        <v>26.07</v>
      </c>
    </row>
    <row r="4485" spans="1:4">
      <c r="A4485" s="216">
        <v>21010</v>
      </c>
      <c r="B4485" s="222" t="s">
        <v>22172</v>
      </c>
      <c r="C4485" s="216" t="s">
        <v>17722</v>
      </c>
      <c r="D4485" s="443">
        <v>35.01</v>
      </c>
    </row>
    <row r="4486" spans="1:4">
      <c r="A4486" s="216">
        <v>21011</v>
      </c>
      <c r="B4486" s="222" t="s">
        <v>22173</v>
      </c>
      <c r="C4486" s="216" t="s">
        <v>17722</v>
      </c>
      <c r="D4486" s="443">
        <v>51.03</v>
      </c>
    </row>
    <row r="4487" spans="1:4">
      <c r="A4487" s="216">
        <v>21012</v>
      </c>
      <c r="B4487" s="222" t="s">
        <v>22174</v>
      </c>
      <c r="C4487" s="216" t="s">
        <v>17722</v>
      </c>
      <c r="D4487" s="443">
        <v>56.38</v>
      </c>
    </row>
    <row r="4488" spans="1:4">
      <c r="A4488" s="216">
        <v>21013</v>
      </c>
      <c r="B4488" s="222" t="s">
        <v>22175</v>
      </c>
      <c r="C4488" s="216" t="s">
        <v>17722</v>
      </c>
      <c r="D4488" s="443">
        <v>73.58</v>
      </c>
    </row>
    <row r="4489" spans="1:4">
      <c r="A4489" s="216">
        <v>21014</v>
      </c>
      <c r="B4489" s="222" t="s">
        <v>22176</v>
      </c>
      <c r="C4489" s="216" t="s">
        <v>17722</v>
      </c>
      <c r="D4489" s="443">
        <v>102.96</v>
      </c>
    </row>
    <row r="4490" spans="1:4">
      <c r="A4490" s="216">
        <v>21015</v>
      </c>
      <c r="B4490" s="222" t="s">
        <v>22177</v>
      </c>
      <c r="C4490" s="216" t="s">
        <v>17722</v>
      </c>
      <c r="D4490" s="443">
        <v>118.29</v>
      </c>
    </row>
    <row r="4491" spans="1:4">
      <c r="A4491" s="216">
        <v>7697</v>
      </c>
      <c r="B4491" s="222" t="s">
        <v>22178</v>
      </c>
      <c r="C4491" s="216" t="s">
        <v>17722</v>
      </c>
      <c r="D4491" s="443">
        <v>56.44</v>
      </c>
    </row>
    <row r="4492" spans="1:4">
      <c r="A4492" s="216">
        <v>7698</v>
      </c>
      <c r="B4492" s="222" t="s">
        <v>22179</v>
      </c>
      <c r="C4492" s="216" t="s">
        <v>17722</v>
      </c>
      <c r="D4492" s="443">
        <v>48.59</v>
      </c>
    </row>
    <row r="4493" spans="1:4">
      <c r="A4493" s="216">
        <v>7691</v>
      </c>
      <c r="B4493" s="222" t="s">
        <v>22180</v>
      </c>
      <c r="C4493" s="216" t="s">
        <v>17722</v>
      </c>
      <c r="D4493" s="443">
        <v>20.53</v>
      </c>
    </row>
    <row r="4494" spans="1:4">
      <c r="A4494" s="216">
        <v>40626</v>
      </c>
      <c r="B4494" s="222" t="s">
        <v>22181</v>
      </c>
      <c r="C4494" s="216" t="s">
        <v>17722</v>
      </c>
      <c r="D4494" s="443">
        <v>38.53</v>
      </c>
    </row>
    <row r="4495" spans="1:4">
      <c r="A4495" s="216">
        <v>7701</v>
      </c>
      <c r="B4495" s="222" t="s">
        <v>22182</v>
      </c>
      <c r="C4495" s="216" t="s">
        <v>17722</v>
      </c>
      <c r="D4495" s="443">
        <v>101.01</v>
      </c>
    </row>
    <row r="4496" spans="1:4">
      <c r="A4496" s="216">
        <v>7696</v>
      </c>
      <c r="B4496" s="222" t="s">
        <v>22183</v>
      </c>
      <c r="C4496" s="216" t="s">
        <v>17722</v>
      </c>
      <c r="D4496" s="443">
        <v>81.39</v>
      </c>
    </row>
    <row r="4497" spans="1:4">
      <c r="A4497" s="216">
        <v>7700</v>
      </c>
      <c r="B4497" s="222" t="s">
        <v>22184</v>
      </c>
      <c r="C4497" s="216" t="s">
        <v>17722</v>
      </c>
      <c r="D4497" s="443">
        <v>25.96</v>
      </c>
    </row>
    <row r="4498" spans="1:4">
      <c r="A4498" s="216">
        <v>7694</v>
      </c>
      <c r="B4498" s="222" t="s">
        <v>22185</v>
      </c>
      <c r="C4498" s="216" t="s">
        <v>17722</v>
      </c>
      <c r="D4498" s="443">
        <v>135.93</v>
      </c>
    </row>
    <row r="4499" spans="1:4">
      <c r="A4499" s="216">
        <v>7693</v>
      </c>
      <c r="B4499" s="222" t="s">
        <v>22186</v>
      </c>
      <c r="C4499" s="216" t="s">
        <v>17722</v>
      </c>
      <c r="D4499" s="443">
        <v>187.2</v>
      </c>
    </row>
    <row r="4500" spans="1:4">
      <c r="A4500" s="216">
        <v>7692</v>
      </c>
      <c r="B4500" s="222" t="s">
        <v>22187</v>
      </c>
      <c r="C4500" s="216" t="s">
        <v>17722</v>
      </c>
      <c r="D4500" s="443">
        <v>280.27</v>
      </c>
    </row>
    <row r="4501" spans="1:4">
      <c r="A4501" s="216">
        <v>7695</v>
      </c>
      <c r="B4501" s="222" t="s">
        <v>22188</v>
      </c>
      <c r="C4501" s="216" t="s">
        <v>17722</v>
      </c>
      <c r="D4501" s="443">
        <v>303.95999999999998</v>
      </c>
    </row>
    <row r="4502" spans="1:4">
      <c r="A4502" s="216">
        <v>13356</v>
      </c>
      <c r="B4502" s="222" t="s">
        <v>22189</v>
      </c>
      <c r="C4502" s="216" t="s">
        <v>17722</v>
      </c>
      <c r="D4502" s="443">
        <v>22.04</v>
      </c>
    </row>
    <row r="4503" spans="1:4">
      <c r="A4503" s="216">
        <v>36365</v>
      </c>
      <c r="B4503" s="222" t="s">
        <v>22190</v>
      </c>
      <c r="C4503" s="216" t="s">
        <v>17722</v>
      </c>
      <c r="D4503" s="443">
        <v>40.96</v>
      </c>
    </row>
    <row r="4504" spans="1:4">
      <c r="A4504" s="216">
        <v>41930</v>
      </c>
      <c r="B4504" s="222" t="s">
        <v>22191</v>
      </c>
      <c r="C4504" s="216" t="s">
        <v>17722</v>
      </c>
      <c r="D4504" s="443">
        <v>136.44</v>
      </c>
    </row>
    <row r="4505" spans="1:4">
      <c r="A4505" s="216">
        <v>41931</v>
      </c>
      <c r="B4505" s="222" t="s">
        <v>22192</v>
      </c>
      <c r="C4505" s="216" t="s">
        <v>17722</v>
      </c>
      <c r="D4505" s="443">
        <v>213.69</v>
      </c>
    </row>
    <row r="4506" spans="1:4">
      <c r="A4506" s="216">
        <v>41932</v>
      </c>
      <c r="B4506" s="222" t="s">
        <v>22193</v>
      </c>
      <c r="C4506" s="216" t="s">
        <v>17722</v>
      </c>
      <c r="D4506" s="443">
        <v>328.91</v>
      </c>
    </row>
    <row r="4507" spans="1:4">
      <c r="A4507" s="216">
        <v>41933</v>
      </c>
      <c r="B4507" s="222" t="s">
        <v>22194</v>
      </c>
      <c r="C4507" s="216" t="s">
        <v>17722</v>
      </c>
      <c r="D4507" s="443">
        <v>464.83</v>
      </c>
    </row>
    <row r="4508" spans="1:4">
      <c r="A4508" s="216">
        <v>41934</v>
      </c>
      <c r="B4508" s="222" t="s">
        <v>22195</v>
      </c>
      <c r="C4508" s="216" t="s">
        <v>17722</v>
      </c>
      <c r="D4508" s="443">
        <v>541.34</v>
      </c>
    </row>
    <row r="4509" spans="1:4">
      <c r="A4509" s="216">
        <v>41936</v>
      </c>
      <c r="B4509" s="222" t="s">
        <v>22196</v>
      </c>
      <c r="C4509" s="216" t="s">
        <v>17722</v>
      </c>
      <c r="D4509" s="443">
        <v>80.34</v>
      </c>
    </row>
    <row r="4510" spans="1:4">
      <c r="A4510" s="216">
        <v>44812</v>
      </c>
      <c r="B4510" s="222" t="s">
        <v>22197</v>
      </c>
      <c r="C4510" s="216" t="s">
        <v>17722</v>
      </c>
      <c r="D4510" s="443">
        <v>481.09</v>
      </c>
    </row>
    <row r="4511" spans="1:4" ht="31.5">
      <c r="A4511" s="216">
        <v>41785</v>
      </c>
      <c r="B4511" s="222" t="s">
        <v>22198</v>
      </c>
      <c r="C4511" s="216" t="s">
        <v>17722</v>
      </c>
      <c r="D4511" s="443">
        <v>1782.88</v>
      </c>
    </row>
    <row r="4512" spans="1:4" ht="31.5">
      <c r="A4512" s="216">
        <v>41781</v>
      </c>
      <c r="B4512" s="222" t="s">
        <v>22199</v>
      </c>
      <c r="C4512" s="216" t="s">
        <v>17722</v>
      </c>
      <c r="D4512" s="443">
        <v>321.93</v>
      </c>
    </row>
    <row r="4513" spans="1:4" ht="31.5">
      <c r="A4513" s="216">
        <v>41783</v>
      </c>
      <c r="B4513" s="222" t="s">
        <v>22200</v>
      </c>
      <c r="C4513" s="216" t="s">
        <v>17722</v>
      </c>
      <c r="D4513" s="443">
        <v>1157.3499999999999</v>
      </c>
    </row>
    <row r="4514" spans="1:4" ht="31.5">
      <c r="A4514" s="216">
        <v>41786</v>
      </c>
      <c r="B4514" s="222" t="s">
        <v>22201</v>
      </c>
      <c r="C4514" s="216" t="s">
        <v>17722</v>
      </c>
      <c r="D4514" s="443">
        <v>2464.0500000000002</v>
      </c>
    </row>
    <row r="4515" spans="1:4" ht="31.5">
      <c r="A4515" s="216">
        <v>41779</v>
      </c>
      <c r="B4515" s="222" t="s">
        <v>22202</v>
      </c>
      <c r="C4515" s="216" t="s">
        <v>17722</v>
      </c>
      <c r="D4515" s="443">
        <v>126.78</v>
      </c>
    </row>
    <row r="4516" spans="1:4" ht="31.5">
      <c r="A4516" s="216">
        <v>41780</v>
      </c>
      <c r="B4516" s="222" t="s">
        <v>22203</v>
      </c>
      <c r="C4516" s="216" t="s">
        <v>17722</v>
      </c>
      <c r="D4516" s="443">
        <v>198.63</v>
      </c>
    </row>
    <row r="4517" spans="1:4" ht="31.5">
      <c r="A4517" s="216">
        <v>41782</v>
      </c>
      <c r="B4517" s="222" t="s">
        <v>22204</v>
      </c>
      <c r="C4517" s="216" t="s">
        <v>17722</v>
      </c>
      <c r="D4517" s="443">
        <v>711.54</v>
      </c>
    </row>
    <row r="4518" spans="1:4">
      <c r="A4518" s="216">
        <v>38130</v>
      </c>
      <c r="B4518" s="222" t="s">
        <v>22205</v>
      </c>
      <c r="C4518" s="216" t="s">
        <v>17722</v>
      </c>
      <c r="D4518" s="443">
        <v>42.87</v>
      </c>
    </row>
    <row r="4519" spans="1:4">
      <c r="A4519" s="216">
        <v>44260</v>
      </c>
      <c r="B4519" s="222" t="s">
        <v>22206</v>
      </c>
      <c r="C4519" s="216" t="s">
        <v>17722</v>
      </c>
      <c r="D4519" s="443">
        <v>405.74</v>
      </c>
    </row>
    <row r="4520" spans="1:4">
      <c r="A4520" s="216">
        <v>21123</v>
      </c>
      <c r="B4520" s="222" t="s">
        <v>22207</v>
      </c>
      <c r="C4520" s="216" t="s">
        <v>17722</v>
      </c>
      <c r="D4520" s="443">
        <v>11.93</v>
      </c>
    </row>
    <row r="4521" spans="1:4">
      <c r="A4521" s="216">
        <v>21124</v>
      </c>
      <c r="B4521" s="222" t="s">
        <v>22208</v>
      </c>
      <c r="C4521" s="216" t="s">
        <v>17722</v>
      </c>
      <c r="D4521" s="443">
        <v>19.059999999999999</v>
      </c>
    </row>
    <row r="4522" spans="1:4">
      <c r="A4522" s="216">
        <v>21125</v>
      </c>
      <c r="B4522" s="222" t="s">
        <v>22209</v>
      </c>
      <c r="C4522" s="216" t="s">
        <v>17722</v>
      </c>
      <c r="D4522" s="443">
        <v>32.82</v>
      </c>
    </row>
    <row r="4523" spans="1:4">
      <c r="A4523" s="216">
        <v>38028</v>
      </c>
      <c r="B4523" s="222" t="s">
        <v>22210</v>
      </c>
      <c r="C4523" s="216" t="s">
        <v>17722</v>
      </c>
      <c r="D4523" s="443">
        <v>57.39</v>
      </c>
    </row>
    <row r="4524" spans="1:4">
      <c r="A4524" s="216">
        <v>38029</v>
      </c>
      <c r="B4524" s="222" t="s">
        <v>22211</v>
      </c>
      <c r="C4524" s="216" t="s">
        <v>17722</v>
      </c>
      <c r="D4524" s="443">
        <v>84</v>
      </c>
    </row>
    <row r="4525" spans="1:4">
      <c r="A4525" s="216">
        <v>38030</v>
      </c>
      <c r="B4525" s="222" t="s">
        <v>22212</v>
      </c>
      <c r="C4525" s="216" t="s">
        <v>17722</v>
      </c>
      <c r="D4525" s="443">
        <v>135.83000000000001</v>
      </c>
    </row>
    <row r="4526" spans="1:4">
      <c r="A4526" s="216">
        <v>38031</v>
      </c>
      <c r="B4526" s="222" t="s">
        <v>22213</v>
      </c>
      <c r="C4526" s="216" t="s">
        <v>17722</v>
      </c>
      <c r="D4526" s="443">
        <v>213.2</v>
      </c>
    </row>
    <row r="4527" spans="1:4" ht="47.25">
      <c r="A4527" s="216">
        <v>39735</v>
      </c>
      <c r="B4527" s="222" t="s">
        <v>22214</v>
      </c>
      <c r="C4527" s="216" t="s">
        <v>17722</v>
      </c>
      <c r="D4527" s="443">
        <v>125</v>
      </c>
    </row>
    <row r="4528" spans="1:4" ht="47.25">
      <c r="A4528" s="216">
        <v>39734</v>
      </c>
      <c r="B4528" s="222" t="s">
        <v>22215</v>
      </c>
      <c r="C4528" s="216" t="s">
        <v>17722</v>
      </c>
      <c r="D4528" s="443">
        <v>148.27000000000001</v>
      </c>
    </row>
    <row r="4529" spans="1:4" ht="47.25">
      <c r="A4529" s="216">
        <v>39736</v>
      </c>
      <c r="B4529" s="222" t="s">
        <v>22216</v>
      </c>
      <c r="C4529" s="216" t="s">
        <v>17722</v>
      </c>
      <c r="D4529" s="443">
        <v>169.22</v>
      </c>
    </row>
    <row r="4530" spans="1:4" ht="47.25">
      <c r="A4530" s="216">
        <v>39737</v>
      </c>
      <c r="B4530" s="222" t="s">
        <v>22217</v>
      </c>
      <c r="C4530" s="216" t="s">
        <v>17722</v>
      </c>
      <c r="D4530" s="443">
        <v>22.76</v>
      </c>
    </row>
    <row r="4531" spans="1:4" ht="31.5">
      <c r="A4531" s="216">
        <v>39738</v>
      </c>
      <c r="B4531" s="222" t="s">
        <v>22218</v>
      </c>
      <c r="C4531" s="216" t="s">
        <v>17722</v>
      </c>
      <c r="D4531" s="443">
        <v>8.23</v>
      </c>
    </row>
    <row r="4532" spans="1:4" ht="31.5">
      <c r="A4532" s="216">
        <v>39739</v>
      </c>
      <c r="B4532" s="222" t="s">
        <v>22219</v>
      </c>
      <c r="C4532" s="216" t="s">
        <v>17722</v>
      </c>
      <c r="D4532" s="443">
        <v>117.02</v>
      </c>
    </row>
    <row r="4533" spans="1:4" ht="47.25">
      <c r="A4533" s="216">
        <v>39733</v>
      </c>
      <c r="B4533" s="222" t="s">
        <v>22220</v>
      </c>
      <c r="C4533" s="216" t="s">
        <v>17722</v>
      </c>
      <c r="D4533" s="443">
        <v>202.5</v>
      </c>
    </row>
    <row r="4534" spans="1:4" ht="47.25">
      <c r="A4534" s="216">
        <v>39854</v>
      </c>
      <c r="B4534" s="222" t="s">
        <v>22221</v>
      </c>
      <c r="C4534" s="216" t="s">
        <v>17722</v>
      </c>
      <c r="D4534" s="443">
        <v>205.37</v>
      </c>
    </row>
    <row r="4535" spans="1:4" ht="47.25">
      <c r="A4535" s="216">
        <v>39740</v>
      </c>
      <c r="B4535" s="222" t="s">
        <v>22222</v>
      </c>
      <c r="C4535" s="216" t="s">
        <v>17722</v>
      </c>
      <c r="D4535" s="443">
        <v>112.37</v>
      </c>
    </row>
    <row r="4536" spans="1:4" ht="47.25">
      <c r="A4536" s="216">
        <v>39741</v>
      </c>
      <c r="B4536" s="222" t="s">
        <v>22223</v>
      </c>
      <c r="C4536" s="216" t="s">
        <v>17722</v>
      </c>
      <c r="D4536" s="443">
        <v>20.71</v>
      </c>
    </row>
    <row r="4537" spans="1:4" ht="47.25">
      <c r="A4537" s="216">
        <v>39853</v>
      </c>
      <c r="B4537" s="222" t="s">
        <v>22224</v>
      </c>
      <c r="C4537" s="216" t="s">
        <v>17722</v>
      </c>
      <c r="D4537" s="443">
        <v>27.2</v>
      </c>
    </row>
    <row r="4538" spans="1:4" ht="47.25">
      <c r="A4538" s="216">
        <v>39742</v>
      </c>
      <c r="B4538" s="222" t="s">
        <v>22225</v>
      </c>
      <c r="C4538" s="216" t="s">
        <v>17722</v>
      </c>
      <c r="D4538" s="443">
        <v>90.32</v>
      </c>
    </row>
    <row r="4539" spans="1:4" ht="31.5">
      <c r="A4539" s="216">
        <v>39749</v>
      </c>
      <c r="B4539" s="222" t="s">
        <v>22226</v>
      </c>
      <c r="C4539" s="216" t="s">
        <v>17722</v>
      </c>
      <c r="D4539" s="443">
        <v>94.84</v>
      </c>
    </row>
    <row r="4540" spans="1:4" ht="31.5">
      <c r="A4540" s="216">
        <v>39751</v>
      </c>
      <c r="B4540" s="222" t="s">
        <v>22227</v>
      </c>
      <c r="C4540" s="216" t="s">
        <v>17722</v>
      </c>
      <c r="D4540" s="443">
        <v>172.34</v>
      </c>
    </row>
    <row r="4541" spans="1:4" ht="31.5">
      <c r="A4541" s="216">
        <v>39750</v>
      </c>
      <c r="B4541" s="222" t="s">
        <v>22228</v>
      </c>
      <c r="C4541" s="216" t="s">
        <v>17722</v>
      </c>
      <c r="D4541" s="443">
        <v>143.24</v>
      </c>
    </row>
    <row r="4542" spans="1:4" ht="31.5">
      <c r="A4542" s="216">
        <v>39747</v>
      </c>
      <c r="B4542" s="222" t="s">
        <v>22229</v>
      </c>
      <c r="C4542" s="216" t="s">
        <v>17722</v>
      </c>
      <c r="D4542" s="443">
        <v>46.07</v>
      </c>
    </row>
    <row r="4543" spans="1:4" ht="31.5">
      <c r="A4543" s="216">
        <v>39753</v>
      </c>
      <c r="B4543" s="222" t="s">
        <v>22230</v>
      </c>
      <c r="C4543" s="216" t="s">
        <v>17722</v>
      </c>
      <c r="D4543" s="443">
        <v>317.23</v>
      </c>
    </row>
    <row r="4544" spans="1:4" ht="31.5">
      <c r="A4544" s="216">
        <v>39754</v>
      </c>
      <c r="B4544" s="222" t="s">
        <v>22231</v>
      </c>
      <c r="C4544" s="216" t="s">
        <v>17722</v>
      </c>
      <c r="D4544" s="443">
        <v>467.37</v>
      </c>
    </row>
    <row r="4545" spans="1:4" ht="31.5">
      <c r="A4545" s="216">
        <v>39748</v>
      </c>
      <c r="B4545" s="222" t="s">
        <v>22232</v>
      </c>
      <c r="C4545" s="216" t="s">
        <v>17722</v>
      </c>
      <c r="D4545" s="443">
        <v>74.55</v>
      </c>
    </row>
    <row r="4546" spans="1:4" ht="31.5">
      <c r="A4546" s="216">
        <v>39755</v>
      </c>
      <c r="B4546" s="222" t="s">
        <v>22233</v>
      </c>
      <c r="C4546" s="216" t="s">
        <v>17722</v>
      </c>
      <c r="D4546" s="443">
        <v>708.65</v>
      </c>
    </row>
    <row r="4547" spans="1:4">
      <c r="A4547" s="216">
        <v>12742</v>
      </c>
      <c r="B4547" s="222" t="s">
        <v>22234</v>
      </c>
      <c r="C4547" s="216" t="s">
        <v>17722</v>
      </c>
      <c r="D4547" s="443">
        <v>561.12</v>
      </c>
    </row>
    <row r="4548" spans="1:4">
      <c r="A4548" s="216">
        <v>12713</v>
      </c>
      <c r="B4548" s="222" t="s">
        <v>22235</v>
      </c>
      <c r="C4548" s="216" t="s">
        <v>17722</v>
      </c>
      <c r="D4548" s="443">
        <v>29.76</v>
      </c>
    </row>
    <row r="4549" spans="1:4">
      <c r="A4549" s="216">
        <v>12743</v>
      </c>
      <c r="B4549" s="222" t="s">
        <v>22236</v>
      </c>
      <c r="C4549" s="216" t="s">
        <v>17722</v>
      </c>
      <c r="D4549" s="443">
        <v>51.19</v>
      </c>
    </row>
    <row r="4550" spans="1:4">
      <c r="A4550" s="216">
        <v>12744</v>
      </c>
      <c r="B4550" s="222" t="s">
        <v>22237</v>
      </c>
      <c r="C4550" s="216" t="s">
        <v>17722</v>
      </c>
      <c r="D4550" s="443">
        <v>64.97</v>
      </c>
    </row>
    <row r="4551" spans="1:4">
      <c r="A4551" s="216">
        <v>12745</v>
      </c>
      <c r="B4551" s="222" t="s">
        <v>22238</v>
      </c>
      <c r="C4551" s="216" t="s">
        <v>17722</v>
      </c>
      <c r="D4551" s="443">
        <v>94.35</v>
      </c>
    </row>
    <row r="4552" spans="1:4">
      <c r="A4552" s="216">
        <v>12746</v>
      </c>
      <c r="B4552" s="222" t="s">
        <v>22239</v>
      </c>
      <c r="C4552" s="216" t="s">
        <v>17722</v>
      </c>
      <c r="D4552" s="443">
        <v>127.41</v>
      </c>
    </row>
    <row r="4553" spans="1:4">
      <c r="A4553" s="216">
        <v>12747</v>
      </c>
      <c r="B4553" s="222" t="s">
        <v>22240</v>
      </c>
      <c r="C4553" s="216" t="s">
        <v>17722</v>
      </c>
      <c r="D4553" s="443">
        <v>184.77</v>
      </c>
    </row>
    <row r="4554" spans="1:4">
      <c r="A4554" s="216">
        <v>12748</v>
      </c>
      <c r="B4554" s="222" t="s">
        <v>22241</v>
      </c>
      <c r="C4554" s="216" t="s">
        <v>17722</v>
      </c>
      <c r="D4554" s="443">
        <v>260.31</v>
      </c>
    </row>
    <row r="4555" spans="1:4">
      <c r="A4555" s="216">
        <v>12749</v>
      </c>
      <c r="B4555" s="222" t="s">
        <v>22242</v>
      </c>
      <c r="C4555" s="216" t="s">
        <v>17722</v>
      </c>
      <c r="D4555" s="443">
        <v>380.54</v>
      </c>
    </row>
    <row r="4556" spans="1:4">
      <c r="A4556" s="216">
        <v>39726</v>
      </c>
      <c r="B4556" s="222" t="s">
        <v>22243</v>
      </c>
      <c r="C4556" s="216" t="s">
        <v>17722</v>
      </c>
      <c r="D4556" s="443">
        <v>124.99</v>
      </c>
    </row>
    <row r="4557" spans="1:4">
      <c r="A4557" s="216">
        <v>39728</v>
      </c>
      <c r="B4557" s="222" t="s">
        <v>22244</v>
      </c>
      <c r="C4557" s="216" t="s">
        <v>17722</v>
      </c>
      <c r="D4557" s="443">
        <v>219.67</v>
      </c>
    </row>
    <row r="4558" spans="1:4">
      <c r="A4558" s="216">
        <v>39727</v>
      </c>
      <c r="B4558" s="222" t="s">
        <v>22245</v>
      </c>
      <c r="C4558" s="216" t="s">
        <v>17722</v>
      </c>
      <c r="D4558" s="443">
        <v>180.78</v>
      </c>
    </row>
    <row r="4559" spans="1:4">
      <c r="A4559" s="216">
        <v>39724</v>
      </c>
      <c r="B4559" s="222" t="s">
        <v>22246</v>
      </c>
      <c r="C4559" s="216" t="s">
        <v>17722</v>
      </c>
      <c r="D4559" s="443">
        <v>55.35</v>
      </c>
    </row>
    <row r="4560" spans="1:4">
      <c r="A4560" s="216">
        <v>39729</v>
      </c>
      <c r="B4560" s="222" t="s">
        <v>22247</v>
      </c>
      <c r="C4560" s="216" t="s">
        <v>17722</v>
      </c>
      <c r="D4560" s="443">
        <v>304.20999999999998</v>
      </c>
    </row>
    <row r="4561" spans="1:4">
      <c r="A4561" s="216">
        <v>39730</v>
      </c>
      <c r="B4561" s="222" t="s">
        <v>22248</v>
      </c>
      <c r="C4561" s="216" t="s">
        <v>17722</v>
      </c>
      <c r="D4561" s="443">
        <v>394.7</v>
      </c>
    </row>
    <row r="4562" spans="1:4">
      <c r="A4562" s="216">
        <v>39731</v>
      </c>
      <c r="B4562" s="222" t="s">
        <v>22249</v>
      </c>
      <c r="C4562" s="216" t="s">
        <v>17722</v>
      </c>
      <c r="D4562" s="443">
        <v>584.57000000000005</v>
      </c>
    </row>
    <row r="4563" spans="1:4">
      <c r="A4563" s="216">
        <v>39725</v>
      </c>
      <c r="B4563" s="222" t="s">
        <v>22250</v>
      </c>
      <c r="C4563" s="216" t="s">
        <v>17722</v>
      </c>
      <c r="D4563" s="443">
        <v>90.21</v>
      </c>
    </row>
    <row r="4564" spans="1:4">
      <c r="A4564" s="216">
        <v>39732</v>
      </c>
      <c r="B4564" s="222" t="s">
        <v>22251</v>
      </c>
      <c r="C4564" s="216" t="s">
        <v>17722</v>
      </c>
      <c r="D4564" s="443">
        <v>860.46</v>
      </c>
    </row>
    <row r="4565" spans="1:4" ht="31.5">
      <c r="A4565" s="216">
        <v>39660</v>
      </c>
      <c r="B4565" s="222" t="s">
        <v>22252</v>
      </c>
      <c r="C4565" s="216" t="s">
        <v>17722</v>
      </c>
      <c r="D4565" s="443">
        <v>39.21</v>
      </c>
    </row>
    <row r="4566" spans="1:4" ht="31.5">
      <c r="A4566" s="216">
        <v>39662</v>
      </c>
      <c r="B4566" s="222" t="s">
        <v>22253</v>
      </c>
      <c r="C4566" s="216" t="s">
        <v>17722</v>
      </c>
      <c r="D4566" s="443">
        <v>18.79</v>
      </c>
    </row>
    <row r="4567" spans="1:4" ht="31.5">
      <c r="A4567" s="216">
        <v>39661</v>
      </c>
      <c r="B4567" s="222" t="s">
        <v>22254</v>
      </c>
      <c r="C4567" s="216" t="s">
        <v>17722</v>
      </c>
      <c r="D4567" s="443">
        <v>12.81</v>
      </c>
    </row>
    <row r="4568" spans="1:4" ht="31.5">
      <c r="A4568" s="216">
        <v>39666</v>
      </c>
      <c r="B4568" s="222" t="s">
        <v>22255</v>
      </c>
      <c r="C4568" s="216" t="s">
        <v>17722</v>
      </c>
      <c r="D4568" s="443">
        <v>58.98</v>
      </c>
    </row>
    <row r="4569" spans="1:4" ht="31.5">
      <c r="A4569" s="216">
        <v>39664</v>
      </c>
      <c r="B4569" s="222" t="s">
        <v>22256</v>
      </c>
      <c r="C4569" s="216" t="s">
        <v>17722</v>
      </c>
      <c r="D4569" s="443">
        <v>28.91</v>
      </c>
    </row>
    <row r="4570" spans="1:4" ht="31.5">
      <c r="A4570" s="216">
        <v>39663</v>
      </c>
      <c r="B4570" s="222" t="s">
        <v>22257</v>
      </c>
      <c r="C4570" s="216" t="s">
        <v>17722</v>
      </c>
      <c r="D4570" s="443">
        <v>23.11</v>
      </c>
    </row>
    <row r="4571" spans="1:4" ht="31.5">
      <c r="A4571" s="216">
        <v>39665</v>
      </c>
      <c r="B4571" s="222" t="s">
        <v>22258</v>
      </c>
      <c r="C4571" s="216" t="s">
        <v>17722</v>
      </c>
      <c r="D4571" s="443">
        <v>48.77</v>
      </c>
    </row>
    <row r="4572" spans="1:4" ht="31.5">
      <c r="A4572" s="216">
        <v>39752</v>
      </c>
      <c r="B4572" s="222" t="s">
        <v>22259</v>
      </c>
      <c r="C4572" s="216" t="s">
        <v>17722</v>
      </c>
      <c r="D4572" s="443">
        <v>245.22</v>
      </c>
    </row>
    <row r="4573" spans="1:4" ht="31.5">
      <c r="A4573" s="216">
        <v>7725</v>
      </c>
      <c r="B4573" s="222" t="s">
        <v>22260</v>
      </c>
      <c r="C4573" s="216" t="s">
        <v>17722</v>
      </c>
      <c r="D4573" s="443">
        <v>160</v>
      </c>
    </row>
    <row r="4574" spans="1:4" ht="31.5">
      <c r="A4574" s="216">
        <v>7753</v>
      </c>
      <c r="B4574" s="222" t="s">
        <v>22261</v>
      </c>
      <c r="C4574" s="216" t="s">
        <v>17722</v>
      </c>
      <c r="D4574" s="443">
        <v>311.93</v>
      </c>
    </row>
    <row r="4575" spans="1:4" ht="31.5">
      <c r="A4575" s="216">
        <v>13256</v>
      </c>
      <c r="B4575" s="222" t="s">
        <v>22262</v>
      </c>
      <c r="C4575" s="216" t="s">
        <v>17722</v>
      </c>
      <c r="D4575" s="443">
        <v>436.97</v>
      </c>
    </row>
    <row r="4576" spans="1:4" ht="31.5">
      <c r="A4576" s="216">
        <v>7757</v>
      </c>
      <c r="B4576" s="222" t="s">
        <v>22263</v>
      </c>
      <c r="C4576" s="216" t="s">
        <v>17722</v>
      </c>
      <c r="D4576" s="443">
        <v>465.88</v>
      </c>
    </row>
    <row r="4577" spans="1:4" ht="31.5">
      <c r="A4577" s="216">
        <v>7758</v>
      </c>
      <c r="B4577" s="222" t="s">
        <v>22264</v>
      </c>
      <c r="C4577" s="216" t="s">
        <v>17722</v>
      </c>
      <c r="D4577" s="443">
        <v>674.95</v>
      </c>
    </row>
    <row r="4578" spans="1:4" ht="31.5">
      <c r="A4578" s="216">
        <v>7759</v>
      </c>
      <c r="B4578" s="222" t="s">
        <v>22265</v>
      </c>
      <c r="C4578" s="216" t="s">
        <v>17722</v>
      </c>
      <c r="D4578" s="443">
        <v>1870.3</v>
      </c>
    </row>
    <row r="4579" spans="1:4" ht="31.5">
      <c r="A4579" s="216">
        <v>40334</v>
      </c>
      <c r="B4579" s="222" t="s">
        <v>22266</v>
      </c>
      <c r="C4579" s="216" t="s">
        <v>17722</v>
      </c>
      <c r="D4579" s="443">
        <v>73.27</v>
      </c>
    </row>
    <row r="4580" spans="1:4" ht="31.5">
      <c r="A4580" s="216">
        <v>7745</v>
      </c>
      <c r="B4580" s="222" t="s">
        <v>22267</v>
      </c>
      <c r="C4580" s="216" t="s">
        <v>17722</v>
      </c>
      <c r="D4580" s="443">
        <v>82.68</v>
      </c>
    </row>
    <row r="4581" spans="1:4" ht="31.5">
      <c r="A4581" s="216">
        <v>7714</v>
      </c>
      <c r="B4581" s="222" t="s">
        <v>22268</v>
      </c>
      <c r="C4581" s="216" t="s">
        <v>17722</v>
      </c>
      <c r="D4581" s="443">
        <v>98.82</v>
      </c>
    </row>
    <row r="4582" spans="1:4" ht="31.5">
      <c r="A4582" s="216">
        <v>7742</v>
      </c>
      <c r="B4582" s="222" t="s">
        <v>22269</v>
      </c>
      <c r="C4582" s="216" t="s">
        <v>17722</v>
      </c>
      <c r="D4582" s="443">
        <v>218.08</v>
      </c>
    </row>
    <row r="4583" spans="1:4" ht="31.5">
      <c r="A4583" s="216">
        <v>7750</v>
      </c>
      <c r="B4583" s="222" t="s">
        <v>22270</v>
      </c>
      <c r="C4583" s="216" t="s">
        <v>17722</v>
      </c>
      <c r="D4583" s="443">
        <v>266.20999999999998</v>
      </c>
    </row>
    <row r="4584" spans="1:4" ht="31.5">
      <c r="A4584" s="216">
        <v>7756</v>
      </c>
      <c r="B4584" s="222" t="s">
        <v>22271</v>
      </c>
      <c r="C4584" s="216" t="s">
        <v>17722</v>
      </c>
      <c r="D4584" s="443">
        <v>305.88</v>
      </c>
    </row>
    <row r="4585" spans="1:4" ht="31.5">
      <c r="A4585" s="216">
        <v>7765</v>
      </c>
      <c r="B4585" s="222" t="s">
        <v>22272</v>
      </c>
      <c r="C4585" s="216" t="s">
        <v>17722</v>
      </c>
      <c r="D4585" s="443">
        <v>342.85</v>
      </c>
    </row>
    <row r="4586" spans="1:4" ht="31.5">
      <c r="A4586" s="216">
        <v>12569</v>
      </c>
      <c r="B4586" s="222" t="s">
        <v>22273</v>
      </c>
      <c r="C4586" s="216" t="s">
        <v>17722</v>
      </c>
      <c r="D4586" s="443">
        <v>473.27</v>
      </c>
    </row>
    <row r="4587" spans="1:4" ht="31.5">
      <c r="A4587" s="216">
        <v>7766</v>
      </c>
      <c r="B4587" s="222" t="s">
        <v>22274</v>
      </c>
      <c r="C4587" s="216" t="s">
        <v>17722</v>
      </c>
      <c r="D4587" s="443">
        <v>502.85</v>
      </c>
    </row>
    <row r="4588" spans="1:4" ht="31.5">
      <c r="A4588" s="216">
        <v>7767</v>
      </c>
      <c r="B4588" s="222" t="s">
        <v>22275</v>
      </c>
      <c r="C4588" s="216" t="s">
        <v>17722</v>
      </c>
      <c r="D4588" s="443">
        <v>722.01</v>
      </c>
    </row>
    <row r="4589" spans="1:4" ht="31.5">
      <c r="A4589" s="216">
        <v>7727</v>
      </c>
      <c r="B4589" s="222" t="s">
        <v>22276</v>
      </c>
      <c r="C4589" s="216" t="s">
        <v>17722</v>
      </c>
      <c r="D4589" s="443">
        <v>2097.4699999999998</v>
      </c>
    </row>
    <row r="4590" spans="1:4" ht="31.5">
      <c r="A4590" s="216">
        <v>7760</v>
      </c>
      <c r="B4590" s="222" t="s">
        <v>22277</v>
      </c>
      <c r="C4590" s="216" t="s">
        <v>17722</v>
      </c>
      <c r="D4590" s="443">
        <v>83.36</v>
      </c>
    </row>
    <row r="4591" spans="1:4" ht="31.5">
      <c r="A4591" s="216">
        <v>7761</v>
      </c>
      <c r="B4591" s="222" t="s">
        <v>22278</v>
      </c>
      <c r="C4591" s="216" t="s">
        <v>17722</v>
      </c>
      <c r="D4591" s="443">
        <v>87.39</v>
      </c>
    </row>
    <row r="4592" spans="1:4" ht="31.5">
      <c r="A4592" s="216">
        <v>7752</v>
      </c>
      <c r="B4592" s="222" t="s">
        <v>22279</v>
      </c>
      <c r="C4592" s="216" t="s">
        <v>17722</v>
      </c>
      <c r="D4592" s="443">
        <v>106.21</v>
      </c>
    </row>
    <row r="4593" spans="1:4" ht="31.5">
      <c r="A4593" s="216">
        <v>7762</v>
      </c>
      <c r="B4593" s="222" t="s">
        <v>22280</v>
      </c>
      <c r="C4593" s="216" t="s">
        <v>17722</v>
      </c>
      <c r="D4593" s="443">
        <v>138.82</v>
      </c>
    </row>
    <row r="4594" spans="1:4" ht="31.5">
      <c r="A4594" s="216">
        <v>7722</v>
      </c>
      <c r="B4594" s="222" t="s">
        <v>22281</v>
      </c>
      <c r="C4594" s="216" t="s">
        <v>17722</v>
      </c>
      <c r="D4594" s="443">
        <v>212.43</v>
      </c>
    </row>
    <row r="4595" spans="1:4" ht="31.5">
      <c r="A4595" s="216">
        <v>7763</v>
      </c>
      <c r="B4595" s="222" t="s">
        <v>22282</v>
      </c>
      <c r="C4595" s="216" t="s">
        <v>17722</v>
      </c>
      <c r="D4595" s="443">
        <v>258.82</v>
      </c>
    </row>
    <row r="4596" spans="1:4" ht="31.5">
      <c r="A4596" s="216">
        <v>7764</v>
      </c>
      <c r="B4596" s="222" t="s">
        <v>22283</v>
      </c>
      <c r="C4596" s="216" t="s">
        <v>17722</v>
      </c>
      <c r="D4596" s="443">
        <v>309.24</v>
      </c>
    </row>
    <row r="4597" spans="1:4" ht="31.5">
      <c r="A4597" s="216">
        <v>12572</v>
      </c>
      <c r="B4597" s="222" t="s">
        <v>22284</v>
      </c>
      <c r="C4597" s="216" t="s">
        <v>17722</v>
      </c>
      <c r="D4597" s="443">
        <v>436.97</v>
      </c>
    </row>
    <row r="4598" spans="1:4" ht="31.5">
      <c r="A4598" s="216">
        <v>12573</v>
      </c>
      <c r="B4598" s="222" t="s">
        <v>22285</v>
      </c>
      <c r="C4598" s="216" t="s">
        <v>17722</v>
      </c>
      <c r="D4598" s="443">
        <v>574.78</v>
      </c>
    </row>
    <row r="4599" spans="1:4" ht="31.5">
      <c r="A4599" s="216">
        <v>12574</v>
      </c>
      <c r="B4599" s="222" t="s">
        <v>22286</v>
      </c>
      <c r="C4599" s="216" t="s">
        <v>17722</v>
      </c>
      <c r="D4599" s="443">
        <v>694.99</v>
      </c>
    </row>
    <row r="4600" spans="1:4" ht="31.5">
      <c r="A4600" s="216">
        <v>12575</v>
      </c>
      <c r="B4600" s="222" t="s">
        <v>22287</v>
      </c>
      <c r="C4600" s="216" t="s">
        <v>17722</v>
      </c>
      <c r="D4600" s="443">
        <v>1055.46</v>
      </c>
    </row>
    <row r="4601" spans="1:4" ht="31.5">
      <c r="A4601" s="216">
        <v>12576</v>
      </c>
      <c r="B4601" s="222" t="s">
        <v>22288</v>
      </c>
      <c r="C4601" s="216" t="s">
        <v>17722</v>
      </c>
      <c r="D4601" s="443">
        <v>127.73</v>
      </c>
    </row>
    <row r="4602" spans="1:4" ht="31.5">
      <c r="A4602" s="216">
        <v>12577</v>
      </c>
      <c r="B4602" s="222" t="s">
        <v>22289</v>
      </c>
      <c r="C4602" s="216" t="s">
        <v>17722</v>
      </c>
      <c r="D4602" s="443">
        <v>172.1</v>
      </c>
    </row>
    <row r="4603" spans="1:4" ht="31.5">
      <c r="A4603" s="216">
        <v>12578</v>
      </c>
      <c r="B4603" s="222" t="s">
        <v>22290</v>
      </c>
      <c r="C4603" s="216" t="s">
        <v>17722</v>
      </c>
      <c r="D4603" s="443">
        <v>208.4</v>
      </c>
    </row>
    <row r="4604" spans="1:4" ht="31.5">
      <c r="A4604" s="216">
        <v>12579</v>
      </c>
      <c r="B4604" s="222" t="s">
        <v>22291</v>
      </c>
      <c r="C4604" s="216" t="s">
        <v>17722</v>
      </c>
      <c r="D4604" s="443">
        <v>358.99</v>
      </c>
    </row>
    <row r="4605" spans="1:4" ht="31.5">
      <c r="A4605" s="216">
        <v>12580</v>
      </c>
      <c r="B4605" s="222" t="s">
        <v>22292</v>
      </c>
      <c r="C4605" s="216" t="s">
        <v>17722</v>
      </c>
      <c r="D4605" s="443">
        <v>374.05</v>
      </c>
    </row>
    <row r="4606" spans="1:4" ht="31.5">
      <c r="A4606" s="216">
        <v>12581</v>
      </c>
      <c r="B4606" s="222" t="s">
        <v>22293</v>
      </c>
      <c r="C4606" s="216" t="s">
        <v>17722</v>
      </c>
      <c r="D4606" s="443">
        <v>400.67</v>
      </c>
    </row>
    <row r="4607" spans="1:4" ht="31.5">
      <c r="A4607" s="216">
        <v>7720</v>
      </c>
      <c r="B4607" s="222" t="s">
        <v>22294</v>
      </c>
      <c r="C4607" s="216" t="s">
        <v>17722</v>
      </c>
      <c r="D4607" s="443">
        <v>626.54999999999995</v>
      </c>
    </row>
    <row r="4608" spans="1:4" ht="31.5">
      <c r="A4608" s="216">
        <v>40335</v>
      </c>
      <c r="B4608" s="222" t="s">
        <v>22295</v>
      </c>
      <c r="C4608" s="216" t="s">
        <v>17722</v>
      </c>
      <c r="D4608" s="443">
        <v>131.09</v>
      </c>
    </row>
    <row r="4609" spans="1:4" ht="31.5">
      <c r="A4609" s="216">
        <v>7740</v>
      </c>
      <c r="B4609" s="222" t="s">
        <v>22296</v>
      </c>
      <c r="C4609" s="216" t="s">
        <v>17722</v>
      </c>
      <c r="D4609" s="443">
        <v>134.44999999999999</v>
      </c>
    </row>
    <row r="4610" spans="1:4" ht="31.5">
      <c r="A4610" s="216">
        <v>7741</v>
      </c>
      <c r="B4610" s="222" t="s">
        <v>22297</v>
      </c>
      <c r="C4610" s="216" t="s">
        <v>17722</v>
      </c>
      <c r="D4610" s="443">
        <v>248.73</v>
      </c>
    </row>
    <row r="4611" spans="1:4" ht="31.5">
      <c r="A4611" s="216">
        <v>7774</v>
      </c>
      <c r="B4611" s="222" t="s">
        <v>22298</v>
      </c>
      <c r="C4611" s="216" t="s">
        <v>17722</v>
      </c>
      <c r="D4611" s="443">
        <v>305.20999999999998</v>
      </c>
    </row>
    <row r="4612" spans="1:4" ht="31.5">
      <c r="A4612" s="216">
        <v>7744</v>
      </c>
      <c r="B4612" s="222" t="s">
        <v>22299</v>
      </c>
      <c r="C4612" s="216" t="s">
        <v>17722</v>
      </c>
      <c r="D4612" s="443">
        <v>398.65</v>
      </c>
    </row>
    <row r="4613" spans="1:4" ht="31.5">
      <c r="A4613" s="216">
        <v>7773</v>
      </c>
      <c r="B4613" s="222" t="s">
        <v>22300</v>
      </c>
      <c r="C4613" s="216" t="s">
        <v>17722</v>
      </c>
      <c r="D4613" s="443">
        <v>407.46</v>
      </c>
    </row>
    <row r="4614" spans="1:4" ht="31.5">
      <c r="A4614" s="216">
        <v>7754</v>
      </c>
      <c r="B4614" s="222" t="s">
        <v>22301</v>
      </c>
      <c r="C4614" s="216" t="s">
        <v>17722</v>
      </c>
      <c r="D4614" s="443">
        <v>617.80999999999995</v>
      </c>
    </row>
    <row r="4615" spans="1:4" ht="31.5">
      <c r="A4615" s="216">
        <v>7735</v>
      </c>
      <c r="B4615" s="222" t="s">
        <v>22302</v>
      </c>
      <c r="C4615" s="216" t="s">
        <v>17722</v>
      </c>
      <c r="D4615" s="443">
        <v>800</v>
      </c>
    </row>
    <row r="4616" spans="1:4" ht="31.5">
      <c r="A4616" s="216">
        <v>7755</v>
      </c>
      <c r="B4616" s="222" t="s">
        <v>22303</v>
      </c>
      <c r="C4616" s="216" t="s">
        <v>17722</v>
      </c>
      <c r="D4616" s="443">
        <v>158.65</v>
      </c>
    </row>
    <row r="4617" spans="1:4" ht="31.5">
      <c r="A4617" s="216">
        <v>7776</v>
      </c>
      <c r="B4617" s="222" t="s">
        <v>22304</v>
      </c>
      <c r="C4617" s="216" t="s">
        <v>17722</v>
      </c>
      <c r="D4617" s="443">
        <v>330.75</v>
      </c>
    </row>
    <row r="4618" spans="1:4" ht="31.5">
      <c r="A4618" s="216">
        <v>7743</v>
      </c>
      <c r="B4618" s="222" t="s">
        <v>22305</v>
      </c>
      <c r="C4618" s="216" t="s">
        <v>17722</v>
      </c>
      <c r="D4618" s="443">
        <v>350.25</v>
      </c>
    </row>
    <row r="4619" spans="1:4" ht="31.5">
      <c r="A4619" s="216">
        <v>7733</v>
      </c>
      <c r="B4619" s="222" t="s">
        <v>22306</v>
      </c>
      <c r="C4619" s="216" t="s">
        <v>17722</v>
      </c>
      <c r="D4619" s="443">
        <v>457.14</v>
      </c>
    </row>
    <row r="4620" spans="1:4" ht="31.5">
      <c r="A4620" s="216">
        <v>7775</v>
      </c>
      <c r="B4620" s="222" t="s">
        <v>22307</v>
      </c>
      <c r="C4620" s="216" t="s">
        <v>17722</v>
      </c>
      <c r="D4620" s="443">
        <v>500.84</v>
      </c>
    </row>
    <row r="4621" spans="1:4" ht="31.5">
      <c r="A4621" s="216">
        <v>7734</v>
      </c>
      <c r="B4621" s="222" t="s">
        <v>22308</v>
      </c>
      <c r="C4621" s="216" t="s">
        <v>17722</v>
      </c>
      <c r="D4621" s="443">
        <v>709.24</v>
      </c>
    </row>
    <row r="4622" spans="1:4" ht="31.5">
      <c r="A4622" s="216">
        <v>37449</v>
      </c>
      <c r="B4622" s="222" t="s">
        <v>22309</v>
      </c>
      <c r="C4622" s="216" t="s">
        <v>17722</v>
      </c>
      <c r="D4622" s="443">
        <v>16.940000000000001</v>
      </c>
    </row>
    <row r="4623" spans="1:4" ht="31.5">
      <c r="A4623" s="216">
        <v>37450</v>
      </c>
      <c r="B4623" s="222" t="s">
        <v>22310</v>
      </c>
      <c r="C4623" s="216" t="s">
        <v>17722</v>
      </c>
      <c r="D4623" s="443">
        <v>23.72</v>
      </c>
    </row>
    <row r="4624" spans="1:4" ht="31.5">
      <c r="A4624" s="216">
        <v>37451</v>
      </c>
      <c r="B4624" s="222" t="s">
        <v>22311</v>
      </c>
      <c r="C4624" s="216" t="s">
        <v>17722</v>
      </c>
      <c r="D4624" s="443">
        <v>33.119999999999997</v>
      </c>
    </row>
    <row r="4625" spans="1:4" ht="31.5">
      <c r="A4625" s="216">
        <v>37452</v>
      </c>
      <c r="B4625" s="222" t="s">
        <v>22312</v>
      </c>
      <c r="C4625" s="216" t="s">
        <v>17722</v>
      </c>
      <c r="D4625" s="443">
        <v>48.14</v>
      </c>
    </row>
    <row r="4626" spans="1:4" ht="31.5">
      <c r="A4626" s="216">
        <v>37453</v>
      </c>
      <c r="B4626" s="222" t="s">
        <v>22313</v>
      </c>
      <c r="C4626" s="216" t="s">
        <v>17722</v>
      </c>
      <c r="D4626" s="443">
        <v>55.44</v>
      </c>
    </row>
    <row r="4627" spans="1:4" ht="31.5">
      <c r="A4627" s="216">
        <v>7778</v>
      </c>
      <c r="B4627" s="222" t="s">
        <v>22314</v>
      </c>
      <c r="C4627" s="216" t="s">
        <v>17722</v>
      </c>
      <c r="D4627" s="443">
        <v>20.79</v>
      </c>
    </row>
    <row r="4628" spans="1:4" ht="31.5">
      <c r="A4628" s="216">
        <v>7796</v>
      </c>
      <c r="B4628" s="222" t="s">
        <v>22315</v>
      </c>
      <c r="C4628" s="216" t="s">
        <v>17722</v>
      </c>
      <c r="D4628" s="443">
        <v>28.5</v>
      </c>
    </row>
    <row r="4629" spans="1:4" ht="31.5">
      <c r="A4629" s="216">
        <v>7781</v>
      </c>
      <c r="B4629" s="222" t="s">
        <v>22316</v>
      </c>
      <c r="C4629" s="216" t="s">
        <v>17722</v>
      </c>
      <c r="D4629" s="443">
        <v>33.68</v>
      </c>
    </row>
    <row r="4630" spans="1:4" ht="31.5">
      <c r="A4630" s="216">
        <v>7795</v>
      </c>
      <c r="B4630" s="222" t="s">
        <v>22317</v>
      </c>
      <c r="C4630" s="216" t="s">
        <v>17722</v>
      </c>
      <c r="D4630" s="443">
        <v>50.12</v>
      </c>
    </row>
    <row r="4631" spans="1:4" ht="31.5">
      <c r="A4631" s="216">
        <v>7791</v>
      </c>
      <c r="B4631" s="222" t="s">
        <v>22318</v>
      </c>
      <c r="C4631" s="216" t="s">
        <v>17722</v>
      </c>
      <c r="D4631" s="443">
        <v>60</v>
      </c>
    </row>
    <row r="4632" spans="1:4" ht="31.5">
      <c r="A4632" s="216">
        <v>7783</v>
      </c>
      <c r="B4632" s="222" t="s">
        <v>22319</v>
      </c>
      <c r="C4632" s="216" t="s">
        <v>17722</v>
      </c>
      <c r="D4632" s="443">
        <v>21.26</v>
      </c>
    </row>
    <row r="4633" spans="1:4" ht="31.5">
      <c r="A4633" s="216">
        <v>7790</v>
      </c>
      <c r="B4633" s="222" t="s">
        <v>22320</v>
      </c>
      <c r="C4633" s="216" t="s">
        <v>17722</v>
      </c>
      <c r="D4633" s="443">
        <v>33.5</v>
      </c>
    </row>
    <row r="4634" spans="1:4" ht="31.5">
      <c r="A4634" s="216">
        <v>7785</v>
      </c>
      <c r="B4634" s="222" t="s">
        <v>22321</v>
      </c>
      <c r="C4634" s="216" t="s">
        <v>17722</v>
      </c>
      <c r="D4634" s="443">
        <v>36.97</v>
      </c>
    </row>
    <row r="4635" spans="1:4" ht="31.5">
      <c r="A4635" s="216">
        <v>7792</v>
      </c>
      <c r="B4635" s="222" t="s">
        <v>22322</v>
      </c>
      <c r="C4635" s="216" t="s">
        <v>17722</v>
      </c>
      <c r="D4635" s="443">
        <v>52.43</v>
      </c>
    </row>
    <row r="4636" spans="1:4" ht="31.5">
      <c r="A4636" s="216">
        <v>7793</v>
      </c>
      <c r="B4636" s="222" t="s">
        <v>22323</v>
      </c>
      <c r="C4636" s="216" t="s">
        <v>17722</v>
      </c>
      <c r="D4636" s="443">
        <v>61.92</v>
      </c>
    </row>
    <row r="4637" spans="1:4" ht="31.5">
      <c r="A4637" s="216">
        <v>13159</v>
      </c>
      <c r="B4637" s="222" t="s">
        <v>22324</v>
      </c>
      <c r="C4637" s="216" t="s">
        <v>17722</v>
      </c>
      <c r="D4637" s="443">
        <v>53.91</v>
      </c>
    </row>
    <row r="4638" spans="1:4" ht="31.5">
      <c r="A4638" s="216">
        <v>13168</v>
      </c>
      <c r="B4638" s="222" t="s">
        <v>22325</v>
      </c>
      <c r="C4638" s="216" t="s">
        <v>17722</v>
      </c>
      <c r="D4638" s="443">
        <v>65.47</v>
      </c>
    </row>
    <row r="4639" spans="1:4" ht="31.5">
      <c r="A4639" s="216">
        <v>13173</v>
      </c>
      <c r="B4639" s="222" t="s">
        <v>22326</v>
      </c>
      <c r="C4639" s="216" t="s">
        <v>17722</v>
      </c>
      <c r="D4639" s="443">
        <v>88.58</v>
      </c>
    </row>
    <row r="4640" spans="1:4" ht="31.5">
      <c r="A4640" s="216">
        <v>12583</v>
      </c>
      <c r="B4640" s="222" t="s">
        <v>22327</v>
      </c>
      <c r="C4640" s="216" t="s">
        <v>17722</v>
      </c>
      <c r="D4640" s="443">
        <v>17.71</v>
      </c>
    </row>
    <row r="4641" spans="1:4" ht="31.5">
      <c r="A4641" s="216">
        <v>12584</v>
      </c>
      <c r="B4641" s="222" t="s">
        <v>22328</v>
      </c>
      <c r="C4641" s="216" t="s">
        <v>17722</v>
      </c>
      <c r="D4641" s="443">
        <v>23.1</v>
      </c>
    </row>
    <row r="4642" spans="1:4">
      <c r="A4642" s="216">
        <v>12613</v>
      </c>
      <c r="B4642" s="222" t="s">
        <v>22329</v>
      </c>
      <c r="C4642" s="216" t="s">
        <v>17678</v>
      </c>
      <c r="D4642" s="443">
        <v>19.73</v>
      </c>
    </row>
    <row r="4643" spans="1:4">
      <c r="A4643" s="216">
        <v>1031</v>
      </c>
      <c r="B4643" s="222" t="s">
        <v>22330</v>
      </c>
      <c r="C4643" s="216" t="s">
        <v>17678</v>
      </c>
      <c r="D4643" s="443">
        <v>14.09</v>
      </c>
    </row>
    <row r="4644" spans="1:4" ht="31.5">
      <c r="A4644" s="216">
        <v>39707</v>
      </c>
      <c r="B4644" s="222" t="s">
        <v>22331</v>
      </c>
      <c r="C4644" s="216" t="s">
        <v>17722</v>
      </c>
      <c r="D4644" s="443">
        <v>4.99</v>
      </c>
    </row>
    <row r="4645" spans="1:4" ht="31.5">
      <c r="A4645" s="216">
        <v>39708</v>
      </c>
      <c r="B4645" s="222" t="s">
        <v>22332</v>
      </c>
      <c r="C4645" s="216" t="s">
        <v>17722</v>
      </c>
      <c r="D4645" s="443">
        <v>4.84</v>
      </c>
    </row>
    <row r="4646" spans="1:4" ht="31.5">
      <c r="A4646" s="216">
        <v>39710</v>
      </c>
      <c r="B4646" s="222" t="s">
        <v>22333</v>
      </c>
      <c r="C4646" s="216" t="s">
        <v>17722</v>
      </c>
      <c r="D4646" s="443">
        <v>3.4</v>
      </c>
    </row>
    <row r="4647" spans="1:4" ht="31.5">
      <c r="A4647" s="216">
        <v>39709</v>
      </c>
      <c r="B4647" s="222" t="s">
        <v>22334</v>
      </c>
      <c r="C4647" s="216" t="s">
        <v>17722</v>
      </c>
      <c r="D4647" s="443">
        <v>4.72</v>
      </c>
    </row>
    <row r="4648" spans="1:4" ht="31.5">
      <c r="A4648" s="216">
        <v>39711</v>
      </c>
      <c r="B4648" s="222" t="s">
        <v>22335</v>
      </c>
      <c r="C4648" s="216" t="s">
        <v>17722</v>
      </c>
      <c r="D4648" s="443">
        <v>5.3</v>
      </c>
    </row>
    <row r="4649" spans="1:4" ht="31.5">
      <c r="A4649" s="216">
        <v>39712</v>
      </c>
      <c r="B4649" s="222" t="s">
        <v>22336</v>
      </c>
      <c r="C4649" s="216" t="s">
        <v>17722</v>
      </c>
      <c r="D4649" s="443">
        <v>1.86</v>
      </c>
    </row>
    <row r="4650" spans="1:4" ht="31.5">
      <c r="A4650" s="216">
        <v>39713</v>
      </c>
      <c r="B4650" s="222" t="s">
        <v>22337</v>
      </c>
      <c r="C4650" s="216" t="s">
        <v>17722</v>
      </c>
      <c r="D4650" s="443">
        <v>1.47</v>
      </c>
    </row>
    <row r="4651" spans="1:4" ht="31.5">
      <c r="A4651" s="216">
        <v>39714</v>
      </c>
      <c r="B4651" s="222" t="s">
        <v>22338</v>
      </c>
      <c r="C4651" s="216" t="s">
        <v>17722</v>
      </c>
      <c r="D4651" s="443">
        <v>3.37</v>
      </c>
    </row>
    <row r="4652" spans="1:4" ht="31.5">
      <c r="A4652" s="216">
        <v>39715</v>
      </c>
      <c r="B4652" s="222" t="s">
        <v>22339</v>
      </c>
      <c r="C4652" s="216" t="s">
        <v>17722</v>
      </c>
      <c r="D4652" s="443">
        <v>2.4</v>
      </c>
    </row>
    <row r="4653" spans="1:4" ht="31.5">
      <c r="A4653" s="216">
        <v>39716</v>
      </c>
      <c r="B4653" s="222" t="s">
        <v>22340</v>
      </c>
      <c r="C4653" s="216" t="s">
        <v>17722</v>
      </c>
      <c r="D4653" s="443">
        <v>1.82</v>
      </c>
    </row>
    <row r="4654" spans="1:4" ht="31.5">
      <c r="A4654" s="216">
        <v>39718</v>
      </c>
      <c r="B4654" s="222" t="s">
        <v>22341</v>
      </c>
      <c r="C4654" s="216" t="s">
        <v>17722</v>
      </c>
      <c r="D4654" s="443">
        <v>3.1</v>
      </c>
    </row>
    <row r="4655" spans="1:4" ht="31.5">
      <c r="A4655" s="216">
        <v>9813</v>
      </c>
      <c r="B4655" s="222" t="s">
        <v>22342</v>
      </c>
      <c r="C4655" s="216" t="s">
        <v>17722</v>
      </c>
      <c r="D4655" s="443">
        <v>5.61</v>
      </c>
    </row>
    <row r="4656" spans="1:4" ht="31.5">
      <c r="A4656" s="216">
        <v>9815</v>
      </c>
      <c r="B4656" s="222" t="s">
        <v>22343</v>
      </c>
      <c r="C4656" s="216" t="s">
        <v>17722</v>
      </c>
      <c r="D4656" s="443">
        <v>11.08</v>
      </c>
    </row>
    <row r="4657" spans="1:4" ht="31.5">
      <c r="A4657" s="216">
        <v>44543</v>
      </c>
      <c r="B4657" s="222" t="s">
        <v>22344</v>
      </c>
      <c r="C4657" s="216" t="s">
        <v>17722</v>
      </c>
      <c r="D4657" s="443">
        <v>5512.76</v>
      </c>
    </row>
    <row r="4658" spans="1:4" ht="31.5">
      <c r="A4658" s="216">
        <v>44526</v>
      </c>
      <c r="B4658" s="222" t="s">
        <v>22345</v>
      </c>
      <c r="C4658" s="216" t="s">
        <v>17722</v>
      </c>
      <c r="D4658" s="443">
        <v>135.11000000000001</v>
      </c>
    </row>
    <row r="4659" spans="1:4" ht="31.5">
      <c r="A4659" s="216">
        <v>44518</v>
      </c>
      <c r="B4659" s="222" t="s">
        <v>22346</v>
      </c>
      <c r="C4659" s="216" t="s">
        <v>17722</v>
      </c>
      <c r="D4659" s="443">
        <v>4058.54</v>
      </c>
    </row>
    <row r="4660" spans="1:4" ht="31.5">
      <c r="A4660" s="216">
        <v>44544</v>
      </c>
      <c r="B4660" s="222" t="s">
        <v>22347</v>
      </c>
      <c r="C4660" s="216" t="s">
        <v>17722</v>
      </c>
      <c r="D4660" s="443">
        <v>1973.1</v>
      </c>
    </row>
    <row r="4661" spans="1:4" ht="31.5">
      <c r="A4661" s="216">
        <v>44545</v>
      </c>
      <c r="B4661" s="222" t="s">
        <v>22348</v>
      </c>
      <c r="C4661" s="216" t="s">
        <v>17722</v>
      </c>
      <c r="D4661" s="443">
        <v>290.01</v>
      </c>
    </row>
    <row r="4662" spans="1:4" ht="31.5">
      <c r="A4662" s="216">
        <v>44546</v>
      </c>
      <c r="B4662" s="222" t="s">
        <v>22349</v>
      </c>
      <c r="C4662" s="216" t="s">
        <v>17722</v>
      </c>
      <c r="D4662" s="443">
        <v>1295.22</v>
      </c>
    </row>
    <row r="4663" spans="1:4" ht="31.5">
      <c r="A4663" s="216">
        <v>44525</v>
      </c>
      <c r="B4663" s="222" t="s">
        <v>22350</v>
      </c>
      <c r="C4663" s="216" t="s">
        <v>17722</v>
      </c>
      <c r="D4663" s="443">
        <v>5000.04</v>
      </c>
    </row>
    <row r="4664" spans="1:4" ht="31.5">
      <c r="A4664" s="216">
        <v>44547</v>
      </c>
      <c r="B4664" s="222" t="s">
        <v>22351</v>
      </c>
      <c r="C4664" s="216" t="s">
        <v>17722</v>
      </c>
      <c r="D4664" s="443">
        <v>452.1</v>
      </c>
    </row>
    <row r="4665" spans="1:4" ht="31.5">
      <c r="A4665" s="216">
        <v>44519</v>
      </c>
      <c r="B4665" s="222" t="s">
        <v>22352</v>
      </c>
      <c r="C4665" s="216" t="s">
        <v>17722</v>
      </c>
      <c r="D4665" s="443">
        <v>1107.76</v>
      </c>
    </row>
    <row r="4666" spans="1:4" ht="31.5">
      <c r="A4666" s="216">
        <v>44520</v>
      </c>
      <c r="B4666" s="222" t="s">
        <v>22353</v>
      </c>
      <c r="C4666" s="216" t="s">
        <v>17722</v>
      </c>
      <c r="D4666" s="443">
        <v>1784.19</v>
      </c>
    </row>
    <row r="4667" spans="1:4" ht="31.5">
      <c r="A4667" s="216">
        <v>44521</v>
      </c>
      <c r="B4667" s="222" t="s">
        <v>22354</v>
      </c>
      <c r="C4667" s="216" t="s">
        <v>17722</v>
      </c>
      <c r="D4667" s="443">
        <v>28.78</v>
      </c>
    </row>
    <row r="4668" spans="1:4" ht="31.5">
      <c r="A4668" s="216">
        <v>44522</v>
      </c>
      <c r="B4668" s="222" t="s">
        <v>22355</v>
      </c>
      <c r="C4668" s="216" t="s">
        <v>17722</v>
      </c>
      <c r="D4668" s="443">
        <v>3132.39</v>
      </c>
    </row>
    <row r="4669" spans="1:4" ht="31.5">
      <c r="A4669" s="216">
        <v>44523</v>
      </c>
      <c r="B4669" s="222" t="s">
        <v>22356</v>
      </c>
      <c r="C4669" s="216" t="s">
        <v>17722</v>
      </c>
      <c r="D4669" s="443">
        <v>4658.74</v>
      </c>
    </row>
    <row r="4670" spans="1:4" ht="31.5">
      <c r="A4670" s="216">
        <v>44527</v>
      </c>
      <c r="B4670" s="222" t="s">
        <v>22357</v>
      </c>
      <c r="C4670" s="216" t="s">
        <v>17722</v>
      </c>
      <c r="D4670" s="443">
        <v>2336.2399999999998</v>
      </c>
    </row>
    <row r="4671" spans="1:4" ht="31.5">
      <c r="A4671" s="216">
        <v>44524</v>
      </c>
      <c r="B4671" s="222" t="s">
        <v>22358</v>
      </c>
      <c r="C4671" s="216" t="s">
        <v>17722</v>
      </c>
      <c r="D4671" s="443">
        <v>64.37</v>
      </c>
    </row>
    <row r="4672" spans="1:4" ht="31.5">
      <c r="A4672" s="216">
        <v>44542</v>
      </c>
      <c r="B4672" s="222" t="s">
        <v>22359</v>
      </c>
      <c r="C4672" s="216" t="s">
        <v>17722</v>
      </c>
      <c r="D4672" s="443">
        <v>3048.01</v>
      </c>
    </row>
    <row r="4673" spans="1:4">
      <c r="A4673" s="216">
        <v>9877</v>
      </c>
      <c r="B4673" s="222" t="s">
        <v>22360</v>
      </c>
      <c r="C4673" s="216" t="s">
        <v>17722</v>
      </c>
      <c r="D4673" s="443">
        <v>126.21</v>
      </c>
    </row>
    <row r="4674" spans="1:4">
      <c r="A4674" s="216">
        <v>9878</v>
      </c>
      <c r="B4674" s="222" t="s">
        <v>22361</v>
      </c>
      <c r="C4674" s="216" t="s">
        <v>17722</v>
      </c>
      <c r="D4674" s="443">
        <v>155.37</v>
      </c>
    </row>
    <row r="4675" spans="1:4" ht="31.5">
      <c r="A4675" s="216">
        <v>41986</v>
      </c>
      <c r="B4675" s="222" t="s">
        <v>22362</v>
      </c>
      <c r="C4675" s="216" t="s">
        <v>17722</v>
      </c>
      <c r="D4675" s="443">
        <v>3596.9</v>
      </c>
    </row>
    <row r="4676" spans="1:4" ht="31.5">
      <c r="A4676" s="216">
        <v>43422</v>
      </c>
      <c r="B4676" s="222" t="s">
        <v>22363</v>
      </c>
      <c r="C4676" s="216" t="s">
        <v>17722</v>
      </c>
      <c r="D4676" s="443">
        <v>4411.25</v>
      </c>
    </row>
    <row r="4677" spans="1:4" ht="31.5">
      <c r="A4677" s="216">
        <v>41987</v>
      </c>
      <c r="B4677" s="222" t="s">
        <v>22364</v>
      </c>
      <c r="C4677" s="216" t="s">
        <v>17722</v>
      </c>
      <c r="D4677" s="443">
        <v>5113</v>
      </c>
    </row>
    <row r="4678" spans="1:4" ht="31.5">
      <c r="A4678" s="216">
        <v>41988</v>
      </c>
      <c r="B4678" s="222" t="s">
        <v>22365</v>
      </c>
      <c r="C4678" s="216" t="s">
        <v>17722</v>
      </c>
      <c r="D4678" s="443">
        <v>6753.55</v>
      </c>
    </row>
    <row r="4679" spans="1:4" ht="31.5">
      <c r="A4679" s="216">
        <v>41697</v>
      </c>
      <c r="B4679" s="222" t="s">
        <v>22366</v>
      </c>
      <c r="C4679" s="216" t="s">
        <v>17722</v>
      </c>
      <c r="D4679" s="443">
        <v>1197.04</v>
      </c>
    </row>
    <row r="4680" spans="1:4" ht="31.5">
      <c r="A4680" s="216">
        <v>41985</v>
      </c>
      <c r="B4680" s="222" t="s">
        <v>22367</v>
      </c>
      <c r="C4680" s="216" t="s">
        <v>17722</v>
      </c>
      <c r="D4680" s="443">
        <v>1667.16</v>
      </c>
    </row>
    <row r="4681" spans="1:4" ht="31.5">
      <c r="A4681" s="216">
        <v>41699</v>
      </c>
      <c r="B4681" s="222" t="s">
        <v>22368</v>
      </c>
      <c r="C4681" s="216" t="s">
        <v>17722</v>
      </c>
      <c r="D4681" s="443">
        <v>2373.96</v>
      </c>
    </row>
    <row r="4682" spans="1:4" ht="31.5">
      <c r="A4682" s="216">
        <v>38053</v>
      </c>
      <c r="B4682" s="222" t="s">
        <v>22369</v>
      </c>
      <c r="C4682" s="216" t="s">
        <v>17722</v>
      </c>
      <c r="D4682" s="443">
        <v>23.38</v>
      </c>
    </row>
    <row r="4683" spans="1:4" ht="31.5">
      <c r="A4683" s="216">
        <v>38054</v>
      </c>
      <c r="B4683" s="222" t="s">
        <v>22370</v>
      </c>
      <c r="C4683" s="216" t="s">
        <v>17722</v>
      </c>
      <c r="D4683" s="443">
        <v>40.19</v>
      </c>
    </row>
    <row r="4684" spans="1:4" ht="31.5">
      <c r="A4684" s="216">
        <v>38052</v>
      </c>
      <c r="B4684" s="222" t="s">
        <v>22371</v>
      </c>
      <c r="C4684" s="216" t="s">
        <v>17722</v>
      </c>
      <c r="D4684" s="443">
        <v>11.32</v>
      </c>
    </row>
    <row r="4685" spans="1:4" ht="31.5">
      <c r="A4685" s="216">
        <v>38051</v>
      </c>
      <c r="B4685" s="222" t="s">
        <v>22372</v>
      </c>
      <c r="C4685" s="216" t="s">
        <v>17722</v>
      </c>
      <c r="D4685" s="443">
        <v>7.06</v>
      </c>
    </row>
    <row r="4686" spans="1:4">
      <c r="A4686" s="216">
        <v>38787</v>
      </c>
      <c r="B4686" s="222" t="s">
        <v>22373</v>
      </c>
      <c r="C4686" s="216" t="s">
        <v>17722</v>
      </c>
      <c r="D4686" s="443">
        <v>5.73</v>
      </c>
    </row>
    <row r="4687" spans="1:4">
      <c r="A4687" s="216">
        <v>38825</v>
      </c>
      <c r="B4687" s="222" t="s">
        <v>22374</v>
      </c>
      <c r="C4687" s="216" t="s">
        <v>17722</v>
      </c>
      <c r="D4687" s="443">
        <v>7.4</v>
      </c>
    </row>
    <row r="4688" spans="1:4">
      <c r="A4688" s="216">
        <v>38826</v>
      </c>
      <c r="B4688" s="222" t="s">
        <v>22375</v>
      </c>
      <c r="C4688" s="216" t="s">
        <v>17722</v>
      </c>
      <c r="D4688" s="443">
        <v>10.53</v>
      </c>
    </row>
    <row r="4689" spans="1:4">
      <c r="A4689" s="216">
        <v>38827</v>
      </c>
      <c r="B4689" s="222" t="s">
        <v>22376</v>
      </c>
      <c r="C4689" s="216" t="s">
        <v>17722</v>
      </c>
      <c r="D4689" s="443">
        <v>17.23</v>
      </c>
    </row>
    <row r="4690" spans="1:4">
      <c r="A4690" s="216">
        <v>38830</v>
      </c>
      <c r="B4690" s="222" t="s">
        <v>22377</v>
      </c>
      <c r="C4690" s="216" t="s">
        <v>17722</v>
      </c>
      <c r="D4690" s="443">
        <v>25.03</v>
      </c>
    </row>
    <row r="4691" spans="1:4">
      <c r="A4691" s="216">
        <v>38828</v>
      </c>
      <c r="B4691" s="222" t="s">
        <v>22378</v>
      </c>
      <c r="C4691" s="216" t="s">
        <v>17722</v>
      </c>
      <c r="D4691" s="443">
        <v>11.03</v>
      </c>
    </row>
    <row r="4692" spans="1:4">
      <c r="A4692" s="216">
        <v>38829</v>
      </c>
      <c r="B4692" s="222" t="s">
        <v>22379</v>
      </c>
      <c r="C4692" s="216" t="s">
        <v>17722</v>
      </c>
      <c r="D4692" s="443">
        <v>18.07</v>
      </c>
    </row>
    <row r="4693" spans="1:4">
      <c r="A4693" s="216">
        <v>38831</v>
      </c>
      <c r="B4693" s="222" t="s">
        <v>22380</v>
      </c>
      <c r="C4693" s="216" t="s">
        <v>17722</v>
      </c>
      <c r="D4693" s="443">
        <v>34.9</v>
      </c>
    </row>
    <row r="4694" spans="1:4">
      <c r="A4694" s="216">
        <v>36274</v>
      </c>
      <c r="B4694" s="222" t="s">
        <v>22381</v>
      </c>
      <c r="C4694" s="216" t="s">
        <v>17722</v>
      </c>
      <c r="D4694" s="443">
        <v>10.15</v>
      </c>
    </row>
    <row r="4695" spans="1:4">
      <c r="A4695" s="216">
        <v>36278</v>
      </c>
      <c r="B4695" s="222" t="s">
        <v>22382</v>
      </c>
      <c r="C4695" s="216" t="s">
        <v>17722</v>
      </c>
      <c r="D4695" s="443">
        <v>13.76</v>
      </c>
    </row>
    <row r="4696" spans="1:4">
      <c r="A4696" s="216">
        <v>38977</v>
      </c>
      <c r="B4696" s="222" t="s">
        <v>22383</v>
      </c>
      <c r="C4696" s="216" t="s">
        <v>17722</v>
      </c>
      <c r="D4696" s="443">
        <v>134.65</v>
      </c>
    </row>
    <row r="4697" spans="1:4">
      <c r="A4697" s="216">
        <v>38971</v>
      </c>
      <c r="B4697" s="222" t="s">
        <v>22384</v>
      </c>
      <c r="C4697" s="216" t="s">
        <v>17722</v>
      </c>
      <c r="D4697" s="443">
        <v>11.3</v>
      </c>
    </row>
    <row r="4698" spans="1:4">
      <c r="A4698" s="216">
        <v>38972</v>
      </c>
      <c r="B4698" s="222" t="s">
        <v>22385</v>
      </c>
      <c r="C4698" s="216" t="s">
        <v>17722</v>
      </c>
      <c r="D4698" s="443">
        <v>15.23</v>
      </c>
    </row>
    <row r="4699" spans="1:4">
      <c r="A4699" s="216">
        <v>38973</v>
      </c>
      <c r="B4699" s="222" t="s">
        <v>22386</v>
      </c>
      <c r="C4699" s="216" t="s">
        <v>17722</v>
      </c>
      <c r="D4699" s="443">
        <v>25.18</v>
      </c>
    </row>
    <row r="4700" spans="1:4">
      <c r="A4700" s="216">
        <v>38974</v>
      </c>
      <c r="B4700" s="222" t="s">
        <v>22387</v>
      </c>
      <c r="C4700" s="216" t="s">
        <v>17722</v>
      </c>
      <c r="D4700" s="443">
        <v>40.880000000000003</v>
      </c>
    </row>
    <row r="4701" spans="1:4">
      <c r="A4701" s="216">
        <v>38975</v>
      </c>
      <c r="B4701" s="222" t="s">
        <v>22388</v>
      </c>
      <c r="C4701" s="216" t="s">
        <v>17722</v>
      </c>
      <c r="D4701" s="443">
        <v>52.43</v>
      </c>
    </row>
    <row r="4702" spans="1:4">
      <c r="A4702" s="216">
        <v>38976</v>
      </c>
      <c r="B4702" s="222" t="s">
        <v>22389</v>
      </c>
      <c r="C4702" s="216" t="s">
        <v>17722</v>
      </c>
      <c r="D4702" s="443">
        <v>90.12</v>
      </c>
    </row>
    <row r="4703" spans="1:4">
      <c r="A4703" s="216">
        <v>44176</v>
      </c>
      <c r="B4703" s="222" t="s">
        <v>22390</v>
      </c>
      <c r="C4703" s="216" t="s">
        <v>17722</v>
      </c>
      <c r="D4703" s="443">
        <v>20.71</v>
      </c>
    </row>
    <row r="4704" spans="1:4">
      <c r="A4704" s="216">
        <v>38986</v>
      </c>
      <c r="B4704" s="222" t="s">
        <v>22391</v>
      </c>
      <c r="C4704" s="216" t="s">
        <v>17722</v>
      </c>
      <c r="D4704" s="443">
        <v>272.05</v>
      </c>
    </row>
    <row r="4705" spans="1:4">
      <c r="A4705" s="216">
        <v>38978</v>
      </c>
      <c r="B4705" s="222" t="s">
        <v>22392</v>
      </c>
      <c r="C4705" s="216" t="s">
        <v>17722</v>
      </c>
      <c r="D4705" s="443">
        <v>11.16</v>
      </c>
    </row>
    <row r="4706" spans="1:4">
      <c r="A4706" s="216">
        <v>38979</v>
      </c>
      <c r="B4706" s="222" t="s">
        <v>22393</v>
      </c>
      <c r="C4706" s="216" t="s">
        <v>17722</v>
      </c>
      <c r="D4706" s="443">
        <v>15.43</v>
      </c>
    </row>
    <row r="4707" spans="1:4">
      <c r="A4707" s="216">
        <v>38980</v>
      </c>
      <c r="B4707" s="222" t="s">
        <v>22394</v>
      </c>
      <c r="C4707" s="216" t="s">
        <v>17722</v>
      </c>
      <c r="D4707" s="443">
        <v>20.65</v>
      </c>
    </row>
    <row r="4708" spans="1:4">
      <c r="A4708" s="216">
        <v>38981</v>
      </c>
      <c r="B4708" s="222" t="s">
        <v>22395</v>
      </c>
      <c r="C4708" s="216" t="s">
        <v>17722</v>
      </c>
      <c r="D4708" s="443">
        <v>29.79</v>
      </c>
    </row>
    <row r="4709" spans="1:4">
      <c r="A4709" s="216">
        <v>38982</v>
      </c>
      <c r="B4709" s="222" t="s">
        <v>22396</v>
      </c>
      <c r="C4709" s="216" t="s">
        <v>17722</v>
      </c>
      <c r="D4709" s="443">
        <v>47.08</v>
      </c>
    </row>
    <row r="4710" spans="1:4">
      <c r="A4710" s="216">
        <v>38983</v>
      </c>
      <c r="B4710" s="222" t="s">
        <v>22397</v>
      </c>
      <c r="C4710" s="216" t="s">
        <v>17722</v>
      </c>
      <c r="D4710" s="443">
        <v>82.84</v>
      </c>
    </row>
    <row r="4711" spans="1:4">
      <c r="A4711" s="216">
        <v>38984</v>
      </c>
      <c r="B4711" s="222" t="s">
        <v>22398</v>
      </c>
      <c r="C4711" s="216" t="s">
        <v>17722</v>
      </c>
      <c r="D4711" s="443">
        <v>113.87</v>
      </c>
    </row>
    <row r="4712" spans="1:4">
      <c r="A4712" s="216">
        <v>38985</v>
      </c>
      <c r="B4712" s="222" t="s">
        <v>22399</v>
      </c>
      <c r="C4712" s="216" t="s">
        <v>17722</v>
      </c>
      <c r="D4712" s="443">
        <v>195.78</v>
      </c>
    </row>
    <row r="4713" spans="1:4">
      <c r="A4713" s="216">
        <v>9836</v>
      </c>
      <c r="B4713" s="222" t="s">
        <v>22400</v>
      </c>
      <c r="C4713" s="216" t="s">
        <v>17722</v>
      </c>
      <c r="D4713" s="443">
        <v>15.21</v>
      </c>
    </row>
    <row r="4714" spans="1:4">
      <c r="A4714" s="216">
        <v>20065</v>
      </c>
      <c r="B4714" s="222" t="s">
        <v>22401</v>
      </c>
      <c r="C4714" s="216" t="s">
        <v>17722</v>
      </c>
      <c r="D4714" s="443">
        <v>39.76</v>
      </c>
    </row>
    <row r="4715" spans="1:4">
      <c r="A4715" s="216">
        <v>9835</v>
      </c>
      <c r="B4715" s="222" t="s">
        <v>22402</v>
      </c>
      <c r="C4715" s="216" t="s">
        <v>17722</v>
      </c>
      <c r="D4715" s="443">
        <v>6.64</v>
      </c>
    </row>
    <row r="4716" spans="1:4">
      <c r="A4716" s="216">
        <v>38032</v>
      </c>
      <c r="B4716" s="222" t="s">
        <v>22403</v>
      </c>
      <c r="C4716" s="216" t="s">
        <v>17722</v>
      </c>
      <c r="D4716" s="443">
        <v>60.1</v>
      </c>
    </row>
    <row r="4717" spans="1:4">
      <c r="A4717" s="216">
        <v>38033</v>
      </c>
      <c r="B4717" s="222" t="s">
        <v>22404</v>
      </c>
      <c r="C4717" s="216" t="s">
        <v>17722</v>
      </c>
      <c r="D4717" s="443">
        <v>102.16</v>
      </c>
    </row>
    <row r="4718" spans="1:4">
      <c r="A4718" s="216">
        <v>38034</v>
      </c>
      <c r="B4718" s="222" t="s">
        <v>22405</v>
      </c>
      <c r="C4718" s="216" t="s">
        <v>17722</v>
      </c>
      <c r="D4718" s="443">
        <v>160.04</v>
      </c>
    </row>
    <row r="4719" spans="1:4">
      <c r="A4719" s="216">
        <v>38035</v>
      </c>
      <c r="B4719" s="222" t="s">
        <v>22406</v>
      </c>
      <c r="C4719" s="216" t="s">
        <v>17722</v>
      </c>
      <c r="D4719" s="443">
        <v>235.44</v>
      </c>
    </row>
    <row r="4720" spans="1:4">
      <c r="A4720" s="216">
        <v>38036</v>
      </c>
      <c r="B4720" s="222" t="s">
        <v>22407</v>
      </c>
      <c r="C4720" s="216" t="s">
        <v>17722</v>
      </c>
      <c r="D4720" s="443">
        <v>317.17</v>
      </c>
    </row>
    <row r="4721" spans="1:4">
      <c r="A4721" s="216">
        <v>38037</v>
      </c>
      <c r="B4721" s="222" t="s">
        <v>22408</v>
      </c>
      <c r="C4721" s="216" t="s">
        <v>17722</v>
      </c>
      <c r="D4721" s="443">
        <v>418.93</v>
      </c>
    </row>
    <row r="4722" spans="1:4">
      <c r="A4722" s="216">
        <v>9850</v>
      </c>
      <c r="B4722" s="222" t="s">
        <v>22409</v>
      </c>
      <c r="C4722" s="216" t="s">
        <v>17722</v>
      </c>
      <c r="D4722" s="443">
        <v>147.75</v>
      </c>
    </row>
    <row r="4723" spans="1:4">
      <c r="A4723" s="216">
        <v>9853</v>
      </c>
      <c r="B4723" s="222" t="s">
        <v>22410</v>
      </c>
      <c r="C4723" s="216" t="s">
        <v>17722</v>
      </c>
      <c r="D4723" s="443">
        <v>262.74</v>
      </c>
    </row>
    <row r="4724" spans="1:4">
      <c r="A4724" s="216">
        <v>9854</v>
      </c>
      <c r="B4724" s="222" t="s">
        <v>22411</v>
      </c>
      <c r="C4724" s="216" t="s">
        <v>17722</v>
      </c>
      <c r="D4724" s="443">
        <v>115.12</v>
      </c>
    </row>
    <row r="4725" spans="1:4">
      <c r="A4725" s="216">
        <v>9851</v>
      </c>
      <c r="B4725" s="222" t="s">
        <v>22412</v>
      </c>
      <c r="C4725" s="216" t="s">
        <v>17722</v>
      </c>
      <c r="D4725" s="443">
        <v>199.62</v>
      </c>
    </row>
    <row r="4726" spans="1:4">
      <c r="A4726" s="216">
        <v>9855</v>
      </c>
      <c r="B4726" s="222" t="s">
        <v>22413</v>
      </c>
      <c r="C4726" s="216" t="s">
        <v>17722</v>
      </c>
      <c r="D4726" s="443">
        <v>333.89</v>
      </c>
    </row>
    <row r="4727" spans="1:4">
      <c r="A4727" s="216">
        <v>9825</v>
      </c>
      <c r="B4727" s="222" t="s">
        <v>22414</v>
      </c>
      <c r="C4727" s="216" t="s">
        <v>17722</v>
      </c>
      <c r="D4727" s="443">
        <v>52.3</v>
      </c>
    </row>
    <row r="4728" spans="1:4">
      <c r="A4728" s="216">
        <v>9828</v>
      </c>
      <c r="B4728" s="222" t="s">
        <v>22415</v>
      </c>
      <c r="C4728" s="216" t="s">
        <v>17722</v>
      </c>
      <c r="D4728" s="443">
        <v>140.75</v>
      </c>
    </row>
    <row r="4729" spans="1:4">
      <c r="A4729" s="216">
        <v>9829</v>
      </c>
      <c r="B4729" s="222" t="s">
        <v>22416</v>
      </c>
      <c r="C4729" s="216" t="s">
        <v>17722</v>
      </c>
      <c r="D4729" s="443">
        <v>238.53</v>
      </c>
    </row>
    <row r="4730" spans="1:4">
      <c r="A4730" s="216">
        <v>9826</v>
      </c>
      <c r="B4730" s="222" t="s">
        <v>22417</v>
      </c>
      <c r="C4730" s="216" t="s">
        <v>17722</v>
      </c>
      <c r="D4730" s="443">
        <v>363.13</v>
      </c>
    </row>
    <row r="4731" spans="1:4">
      <c r="A4731" s="216">
        <v>9827</v>
      </c>
      <c r="B4731" s="222" t="s">
        <v>22418</v>
      </c>
      <c r="C4731" s="216" t="s">
        <v>17722</v>
      </c>
      <c r="D4731" s="443">
        <v>515.64</v>
      </c>
    </row>
    <row r="4732" spans="1:4">
      <c r="A4732" s="216">
        <v>36374</v>
      </c>
      <c r="B4732" s="222" t="s">
        <v>22419</v>
      </c>
      <c r="C4732" s="216" t="s">
        <v>17722</v>
      </c>
      <c r="D4732" s="443">
        <v>62.68</v>
      </c>
    </row>
    <row r="4733" spans="1:4">
      <c r="A4733" s="216">
        <v>36084</v>
      </c>
      <c r="B4733" s="222" t="s">
        <v>22420</v>
      </c>
      <c r="C4733" s="216" t="s">
        <v>17722</v>
      </c>
      <c r="D4733" s="443">
        <v>18.57</v>
      </c>
    </row>
    <row r="4734" spans="1:4">
      <c r="A4734" s="216">
        <v>36373</v>
      </c>
      <c r="B4734" s="222" t="s">
        <v>22421</v>
      </c>
      <c r="C4734" s="216" t="s">
        <v>17722</v>
      </c>
      <c r="D4734" s="443">
        <v>38.56</v>
      </c>
    </row>
    <row r="4735" spans="1:4">
      <c r="A4735" s="216">
        <v>36377</v>
      </c>
      <c r="B4735" s="222" t="s">
        <v>22422</v>
      </c>
      <c r="C4735" s="216" t="s">
        <v>17722</v>
      </c>
      <c r="D4735" s="443">
        <v>75.19</v>
      </c>
    </row>
    <row r="4736" spans="1:4">
      <c r="A4736" s="216">
        <v>36375</v>
      </c>
      <c r="B4736" s="222" t="s">
        <v>22423</v>
      </c>
      <c r="C4736" s="216" t="s">
        <v>17722</v>
      </c>
      <c r="D4736" s="443">
        <v>22.91</v>
      </c>
    </row>
    <row r="4737" spans="1:4">
      <c r="A4737" s="216">
        <v>36376</v>
      </c>
      <c r="B4737" s="222" t="s">
        <v>22424</v>
      </c>
      <c r="C4737" s="216" t="s">
        <v>17722</v>
      </c>
      <c r="D4737" s="443">
        <v>45</v>
      </c>
    </row>
    <row r="4738" spans="1:4">
      <c r="A4738" s="216">
        <v>36380</v>
      </c>
      <c r="B4738" s="222" t="s">
        <v>22425</v>
      </c>
      <c r="C4738" s="216" t="s">
        <v>17722</v>
      </c>
      <c r="D4738" s="443">
        <v>94.02</v>
      </c>
    </row>
    <row r="4739" spans="1:4">
      <c r="A4739" s="216">
        <v>36378</v>
      </c>
      <c r="B4739" s="222" t="s">
        <v>22426</v>
      </c>
      <c r="C4739" s="216" t="s">
        <v>17722</v>
      </c>
      <c r="D4739" s="443">
        <v>28.17</v>
      </c>
    </row>
    <row r="4740" spans="1:4">
      <c r="A4740" s="216">
        <v>36379</v>
      </c>
      <c r="B4740" s="222" t="s">
        <v>22427</v>
      </c>
      <c r="C4740" s="216" t="s">
        <v>17722</v>
      </c>
      <c r="D4740" s="443">
        <v>56.79</v>
      </c>
    </row>
    <row r="4741" spans="1:4">
      <c r="A4741" s="216">
        <v>9859</v>
      </c>
      <c r="B4741" s="222" t="s">
        <v>22428</v>
      </c>
      <c r="C4741" s="216" t="s">
        <v>17722</v>
      </c>
      <c r="D4741" s="443">
        <v>11.82</v>
      </c>
    </row>
    <row r="4742" spans="1:4">
      <c r="A4742" s="216">
        <v>9838</v>
      </c>
      <c r="B4742" s="222" t="s">
        <v>22429</v>
      </c>
      <c r="C4742" s="216" t="s">
        <v>17722</v>
      </c>
      <c r="D4742" s="443">
        <v>10.97</v>
      </c>
    </row>
    <row r="4743" spans="1:4">
      <c r="A4743" s="216">
        <v>9837</v>
      </c>
      <c r="B4743" s="222" t="s">
        <v>22430</v>
      </c>
      <c r="C4743" s="216" t="s">
        <v>17722</v>
      </c>
      <c r="D4743" s="443">
        <v>14.4</v>
      </c>
    </row>
    <row r="4744" spans="1:4">
      <c r="A4744" s="216">
        <v>44315</v>
      </c>
      <c r="B4744" s="222" t="s">
        <v>22431</v>
      </c>
      <c r="C4744" s="216" t="s">
        <v>17722</v>
      </c>
      <c r="D4744" s="443">
        <v>59.55</v>
      </c>
    </row>
    <row r="4745" spans="1:4">
      <c r="A4745" s="216">
        <v>9863</v>
      </c>
      <c r="B4745" s="222" t="s">
        <v>22432</v>
      </c>
      <c r="C4745" s="216" t="s">
        <v>17722</v>
      </c>
      <c r="D4745" s="443">
        <v>71.45</v>
      </c>
    </row>
    <row r="4746" spans="1:4">
      <c r="A4746" s="216">
        <v>9860</v>
      </c>
      <c r="B4746" s="222" t="s">
        <v>22433</v>
      </c>
      <c r="C4746" s="216" t="s">
        <v>17722</v>
      </c>
      <c r="D4746" s="443">
        <v>52.15</v>
      </c>
    </row>
    <row r="4747" spans="1:4">
      <c r="A4747" s="216">
        <v>9862</v>
      </c>
      <c r="B4747" s="222" t="s">
        <v>22434</v>
      </c>
      <c r="C4747" s="216" t="s">
        <v>17722</v>
      </c>
      <c r="D4747" s="443">
        <v>36.44</v>
      </c>
    </row>
    <row r="4748" spans="1:4">
      <c r="A4748" s="216">
        <v>9861</v>
      </c>
      <c r="B4748" s="222" t="s">
        <v>22435</v>
      </c>
      <c r="C4748" s="216" t="s">
        <v>17722</v>
      </c>
      <c r="D4748" s="443">
        <v>28.62</v>
      </c>
    </row>
    <row r="4749" spans="1:4">
      <c r="A4749" s="216">
        <v>9856</v>
      </c>
      <c r="B4749" s="222" t="s">
        <v>22436</v>
      </c>
      <c r="C4749" s="216" t="s">
        <v>17722</v>
      </c>
      <c r="D4749" s="443">
        <v>9.23</v>
      </c>
    </row>
    <row r="4750" spans="1:4">
      <c r="A4750" s="216">
        <v>9866</v>
      </c>
      <c r="B4750" s="222" t="s">
        <v>22437</v>
      </c>
      <c r="C4750" s="216" t="s">
        <v>17722</v>
      </c>
      <c r="D4750" s="443">
        <v>24.7</v>
      </c>
    </row>
    <row r="4751" spans="1:4">
      <c r="A4751" s="216">
        <v>9841</v>
      </c>
      <c r="B4751" s="222" t="s">
        <v>22438</v>
      </c>
      <c r="C4751" s="216" t="s">
        <v>17722</v>
      </c>
      <c r="D4751" s="443">
        <v>28.64</v>
      </c>
    </row>
    <row r="4752" spans="1:4">
      <c r="A4752" s="216">
        <v>9840</v>
      </c>
      <c r="B4752" s="222" t="s">
        <v>22439</v>
      </c>
      <c r="C4752" s="216" t="s">
        <v>17722</v>
      </c>
      <c r="D4752" s="443">
        <v>60.5</v>
      </c>
    </row>
    <row r="4753" spans="1:4">
      <c r="A4753" s="216">
        <v>20067</v>
      </c>
      <c r="B4753" s="222" t="s">
        <v>22440</v>
      </c>
      <c r="C4753" s="216" t="s">
        <v>17722</v>
      </c>
      <c r="D4753" s="443">
        <v>9.2899999999999991</v>
      </c>
    </row>
    <row r="4754" spans="1:4">
      <c r="A4754" s="216">
        <v>20068</v>
      </c>
      <c r="B4754" s="222" t="s">
        <v>22441</v>
      </c>
      <c r="C4754" s="216" t="s">
        <v>17722</v>
      </c>
      <c r="D4754" s="443">
        <v>13.08</v>
      </c>
    </row>
    <row r="4755" spans="1:4">
      <c r="A4755" s="216">
        <v>9839</v>
      </c>
      <c r="B4755" s="222" t="s">
        <v>22442</v>
      </c>
      <c r="C4755" s="216" t="s">
        <v>17722</v>
      </c>
      <c r="D4755" s="443">
        <v>23.72</v>
      </c>
    </row>
    <row r="4756" spans="1:4">
      <c r="A4756" s="216">
        <v>9870</v>
      </c>
      <c r="B4756" s="222" t="s">
        <v>22443</v>
      </c>
      <c r="C4756" s="216" t="s">
        <v>17722</v>
      </c>
      <c r="D4756" s="443">
        <v>106.55</v>
      </c>
    </row>
    <row r="4757" spans="1:4">
      <c r="A4757" s="216">
        <v>9867</v>
      </c>
      <c r="B4757" s="222" t="s">
        <v>22444</v>
      </c>
      <c r="C4757" s="216" t="s">
        <v>17722</v>
      </c>
      <c r="D4757" s="443">
        <v>4.28</v>
      </c>
    </row>
    <row r="4758" spans="1:4">
      <c r="A4758" s="216">
        <v>9868</v>
      </c>
      <c r="B4758" s="222" t="s">
        <v>22445</v>
      </c>
      <c r="C4758" s="216" t="s">
        <v>17722</v>
      </c>
      <c r="D4758" s="443">
        <v>4.83</v>
      </c>
    </row>
    <row r="4759" spans="1:4">
      <c r="A4759" s="216">
        <v>9869</v>
      </c>
      <c r="B4759" s="222" t="s">
        <v>22446</v>
      </c>
      <c r="C4759" s="216" t="s">
        <v>17722</v>
      </c>
      <c r="D4759" s="443">
        <v>10.42</v>
      </c>
    </row>
    <row r="4760" spans="1:4">
      <c r="A4760" s="216">
        <v>9874</v>
      </c>
      <c r="B4760" s="222" t="s">
        <v>22447</v>
      </c>
      <c r="C4760" s="216" t="s">
        <v>17722</v>
      </c>
      <c r="D4760" s="443">
        <v>16.37</v>
      </c>
    </row>
    <row r="4761" spans="1:4">
      <c r="A4761" s="216">
        <v>9875</v>
      </c>
      <c r="B4761" s="222" t="s">
        <v>22448</v>
      </c>
      <c r="C4761" s="216" t="s">
        <v>17722</v>
      </c>
      <c r="D4761" s="443">
        <v>17.95</v>
      </c>
    </row>
    <row r="4762" spans="1:4">
      <c r="A4762" s="216">
        <v>9873</v>
      </c>
      <c r="B4762" s="222" t="s">
        <v>22449</v>
      </c>
      <c r="C4762" s="216" t="s">
        <v>17722</v>
      </c>
      <c r="D4762" s="443">
        <v>29.54</v>
      </c>
    </row>
    <row r="4763" spans="1:4">
      <c r="A4763" s="216">
        <v>9871</v>
      </c>
      <c r="B4763" s="222" t="s">
        <v>22450</v>
      </c>
      <c r="C4763" s="216" t="s">
        <v>17722</v>
      </c>
      <c r="D4763" s="443">
        <v>48.94</v>
      </c>
    </row>
    <row r="4764" spans="1:4">
      <c r="A4764" s="216">
        <v>9872</v>
      </c>
      <c r="B4764" s="222" t="s">
        <v>22451</v>
      </c>
      <c r="C4764" s="216" t="s">
        <v>17722</v>
      </c>
      <c r="D4764" s="443">
        <v>68.09</v>
      </c>
    </row>
    <row r="4765" spans="1:4">
      <c r="A4765" s="216">
        <v>7667</v>
      </c>
      <c r="B4765" s="222" t="s">
        <v>22452</v>
      </c>
      <c r="C4765" s="216" t="s">
        <v>17722</v>
      </c>
      <c r="D4765" s="443">
        <v>3394.79</v>
      </c>
    </row>
    <row r="4766" spans="1:4">
      <c r="A4766" s="216">
        <v>7660</v>
      </c>
      <c r="B4766" s="222" t="s">
        <v>22453</v>
      </c>
      <c r="C4766" s="216" t="s">
        <v>17722</v>
      </c>
      <c r="D4766" s="443">
        <v>4327.55</v>
      </c>
    </row>
    <row r="4767" spans="1:4">
      <c r="A4767" s="216">
        <v>7676</v>
      </c>
      <c r="B4767" s="222" t="s">
        <v>22454</v>
      </c>
      <c r="C4767" s="216" t="s">
        <v>17722</v>
      </c>
      <c r="D4767" s="443">
        <v>4377.01</v>
      </c>
    </row>
    <row r="4768" spans="1:4">
      <c r="A4768" s="216">
        <v>12426</v>
      </c>
      <c r="B4768" s="222" t="s">
        <v>22455</v>
      </c>
      <c r="C4768" s="216" t="s">
        <v>17678</v>
      </c>
      <c r="D4768" s="443">
        <v>47.61</v>
      </c>
    </row>
    <row r="4769" spans="1:4">
      <c r="A4769" s="216">
        <v>12425</v>
      </c>
      <c r="B4769" s="222" t="s">
        <v>22456</v>
      </c>
      <c r="C4769" s="216" t="s">
        <v>17678</v>
      </c>
      <c r="D4769" s="443">
        <v>65.41</v>
      </c>
    </row>
    <row r="4770" spans="1:4">
      <c r="A4770" s="216">
        <v>12427</v>
      </c>
      <c r="B4770" s="222" t="s">
        <v>22457</v>
      </c>
      <c r="C4770" s="216" t="s">
        <v>17678</v>
      </c>
      <c r="D4770" s="443">
        <v>271.51</v>
      </c>
    </row>
    <row r="4771" spans="1:4">
      <c r="A4771" s="216">
        <v>12428</v>
      </c>
      <c r="B4771" s="222" t="s">
        <v>22458</v>
      </c>
      <c r="C4771" s="216" t="s">
        <v>17678</v>
      </c>
      <c r="D4771" s="443">
        <v>174.27</v>
      </c>
    </row>
    <row r="4772" spans="1:4">
      <c r="A4772" s="216">
        <v>12430</v>
      </c>
      <c r="B4772" s="222" t="s">
        <v>22459</v>
      </c>
      <c r="C4772" s="216" t="s">
        <v>17678</v>
      </c>
      <c r="D4772" s="443">
        <v>58.37</v>
      </c>
    </row>
    <row r="4773" spans="1:4">
      <c r="A4773" s="216">
        <v>12429</v>
      </c>
      <c r="B4773" s="222" t="s">
        <v>22460</v>
      </c>
      <c r="C4773" s="216" t="s">
        <v>17678</v>
      </c>
      <c r="D4773" s="443">
        <v>439.04</v>
      </c>
    </row>
    <row r="4774" spans="1:4">
      <c r="A4774" s="216">
        <v>12431</v>
      </c>
      <c r="B4774" s="222" t="s">
        <v>22461</v>
      </c>
      <c r="C4774" s="216" t="s">
        <v>17678</v>
      </c>
      <c r="D4774" s="443">
        <v>747.17</v>
      </c>
    </row>
    <row r="4775" spans="1:4">
      <c r="A4775" s="216">
        <v>12432</v>
      </c>
      <c r="B4775" s="222" t="s">
        <v>22462</v>
      </c>
      <c r="C4775" s="216" t="s">
        <v>17678</v>
      </c>
      <c r="D4775" s="443">
        <v>153.66999999999999</v>
      </c>
    </row>
    <row r="4776" spans="1:4">
      <c r="A4776" s="216">
        <v>12434</v>
      </c>
      <c r="B4776" s="222" t="s">
        <v>22463</v>
      </c>
      <c r="C4776" s="216" t="s">
        <v>17678</v>
      </c>
      <c r="D4776" s="443">
        <v>50.07</v>
      </c>
    </row>
    <row r="4777" spans="1:4">
      <c r="A4777" s="216">
        <v>12433</v>
      </c>
      <c r="B4777" s="222" t="s">
        <v>22464</v>
      </c>
      <c r="C4777" s="216" t="s">
        <v>17678</v>
      </c>
      <c r="D4777" s="443">
        <v>97.83</v>
      </c>
    </row>
    <row r="4778" spans="1:4">
      <c r="A4778" s="216">
        <v>12435</v>
      </c>
      <c r="B4778" s="222" t="s">
        <v>22465</v>
      </c>
      <c r="C4778" s="216" t="s">
        <v>17678</v>
      </c>
      <c r="D4778" s="443">
        <v>302.75</v>
      </c>
    </row>
    <row r="4779" spans="1:4">
      <c r="A4779" s="216">
        <v>12437</v>
      </c>
      <c r="B4779" s="222" t="s">
        <v>22466</v>
      </c>
      <c r="C4779" s="216" t="s">
        <v>17678</v>
      </c>
      <c r="D4779" s="443">
        <v>244.51</v>
      </c>
    </row>
    <row r="4780" spans="1:4">
      <c r="A4780" s="216">
        <v>12439</v>
      </c>
      <c r="B4780" s="222" t="s">
        <v>22467</v>
      </c>
      <c r="C4780" s="216" t="s">
        <v>17678</v>
      </c>
      <c r="D4780" s="443">
        <v>78.47</v>
      </c>
    </row>
    <row r="4781" spans="1:4">
      <c r="A4781" s="216">
        <v>12438</v>
      </c>
      <c r="B4781" s="222" t="s">
        <v>22468</v>
      </c>
      <c r="C4781" s="216" t="s">
        <v>17678</v>
      </c>
      <c r="D4781" s="443">
        <v>442.49</v>
      </c>
    </row>
    <row r="4782" spans="1:4">
      <c r="A4782" s="216">
        <v>12436</v>
      </c>
      <c r="B4782" s="222" t="s">
        <v>22469</v>
      </c>
      <c r="C4782" s="216" t="s">
        <v>17678</v>
      </c>
      <c r="D4782" s="443">
        <v>558.95000000000005</v>
      </c>
    </row>
    <row r="4783" spans="1:4">
      <c r="A4783" s="216">
        <v>36357</v>
      </c>
      <c r="B4783" s="222" t="s">
        <v>22470</v>
      </c>
      <c r="C4783" s="216" t="s">
        <v>17678</v>
      </c>
      <c r="D4783" s="443">
        <v>150.24</v>
      </c>
    </row>
    <row r="4784" spans="1:4">
      <c r="A4784" s="216">
        <v>12424</v>
      </c>
      <c r="B4784" s="222" t="s">
        <v>22471</v>
      </c>
      <c r="C4784" s="216" t="s">
        <v>17678</v>
      </c>
      <c r="D4784" s="443">
        <v>100.72</v>
      </c>
    </row>
    <row r="4785" spans="1:4">
      <c r="A4785" s="216">
        <v>12440</v>
      </c>
      <c r="B4785" s="222" t="s">
        <v>22472</v>
      </c>
      <c r="C4785" s="216" t="s">
        <v>17678</v>
      </c>
      <c r="D4785" s="443">
        <v>97.35</v>
      </c>
    </row>
    <row r="4786" spans="1:4">
      <c r="A4786" s="216">
        <v>9884</v>
      </c>
      <c r="B4786" s="222" t="s">
        <v>22473</v>
      </c>
      <c r="C4786" s="216" t="s">
        <v>17678</v>
      </c>
      <c r="D4786" s="443">
        <v>72.62</v>
      </c>
    </row>
    <row r="4787" spans="1:4">
      <c r="A4787" s="216">
        <v>9888</v>
      </c>
      <c r="B4787" s="222" t="s">
        <v>22474</v>
      </c>
      <c r="C4787" s="216" t="s">
        <v>17678</v>
      </c>
      <c r="D4787" s="443">
        <v>58.34</v>
      </c>
    </row>
    <row r="4788" spans="1:4">
      <c r="A4788" s="216">
        <v>9883</v>
      </c>
      <c r="B4788" s="222" t="s">
        <v>22475</v>
      </c>
      <c r="C4788" s="216" t="s">
        <v>17678</v>
      </c>
      <c r="D4788" s="443">
        <v>25.46</v>
      </c>
    </row>
    <row r="4789" spans="1:4">
      <c r="A4789" s="216">
        <v>9886</v>
      </c>
      <c r="B4789" s="222" t="s">
        <v>22476</v>
      </c>
      <c r="C4789" s="216" t="s">
        <v>17678</v>
      </c>
      <c r="D4789" s="443">
        <v>34.869999999999997</v>
      </c>
    </row>
    <row r="4790" spans="1:4">
      <c r="A4790" s="216">
        <v>9889</v>
      </c>
      <c r="B4790" s="222" t="s">
        <v>22477</v>
      </c>
      <c r="C4790" s="216" t="s">
        <v>17678</v>
      </c>
      <c r="D4790" s="443">
        <v>176.67</v>
      </c>
    </row>
    <row r="4791" spans="1:4">
      <c r="A4791" s="216">
        <v>9887</v>
      </c>
      <c r="B4791" s="222" t="s">
        <v>22478</v>
      </c>
      <c r="C4791" s="216" t="s">
        <v>17678</v>
      </c>
      <c r="D4791" s="443">
        <v>106.78</v>
      </c>
    </row>
    <row r="4792" spans="1:4">
      <c r="A4792" s="216">
        <v>9885</v>
      </c>
      <c r="B4792" s="222" t="s">
        <v>22479</v>
      </c>
      <c r="C4792" s="216" t="s">
        <v>17678</v>
      </c>
      <c r="D4792" s="443">
        <v>33.71</v>
      </c>
    </row>
    <row r="4793" spans="1:4">
      <c r="A4793" s="216">
        <v>9890</v>
      </c>
      <c r="B4793" s="222" t="s">
        <v>22480</v>
      </c>
      <c r="C4793" s="216" t="s">
        <v>17678</v>
      </c>
      <c r="D4793" s="443">
        <v>273.7</v>
      </c>
    </row>
    <row r="4794" spans="1:4">
      <c r="A4794" s="216">
        <v>9891</v>
      </c>
      <c r="B4794" s="222" t="s">
        <v>22481</v>
      </c>
      <c r="C4794" s="216" t="s">
        <v>17678</v>
      </c>
      <c r="D4794" s="443">
        <v>384.23</v>
      </c>
    </row>
    <row r="4795" spans="1:4">
      <c r="A4795" s="216">
        <v>36313</v>
      </c>
      <c r="B4795" s="222" t="s">
        <v>22482</v>
      </c>
      <c r="C4795" s="216" t="s">
        <v>17678</v>
      </c>
      <c r="D4795" s="443">
        <v>15.72</v>
      </c>
    </row>
    <row r="4796" spans="1:4">
      <c r="A4796" s="216">
        <v>36316</v>
      </c>
      <c r="B4796" s="222" t="s">
        <v>22483</v>
      </c>
      <c r="C4796" s="216" t="s">
        <v>17678</v>
      </c>
      <c r="D4796" s="443">
        <v>24.49</v>
      </c>
    </row>
    <row r="4797" spans="1:4">
      <c r="A4797" s="216">
        <v>64</v>
      </c>
      <c r="B4797" s="222" t="s">
        <v>22484</v>
      </c>
      <c r="C4797" s="216" t="s">
        <v>17678</v>
      </c>
      <c r="D4797" s="443">
        <v>5.55</v>
      </c>
    </row>
    <row r="4798" spans="1:4">
      <c r="A4798" s="216">
        <v>37423</v>
      </c>
      <c r="B4798" s="222" t="s">
        <v>22485</v>
      </c>
      <c r="C4798" s="216" t="s">
        <v>17678</v>
      </c>
      <c r="D4798" s="443">
        <v>13.71</v>
      </c>
    </row>
    <row r="4799" spans="1:4">
      <c r="A4799" s="216">
        <v>9892</v>
      </c>
      <c r="B4799" s="222" t="s">
        <v>22486</v>
      </c>
      <c r="C4799" s="216" t="s">
        <v>17678</v>
      </c>
      <c r="D4799" s="443">
        <v>7.84</v>
      </c>
    </row>
    <row r="4800" spans="1:4">
      <c r="A4800" s="216">
        <v>9901</v>
      </c>
      <c r="B4800" s="222" t="s">
        <v>22487</v>
      </c>
      <c r="C4800" s="216" t="s">
        <v>17678</v>
      </c>
      <c r="D4800" s="443">
        <v>37.92</v>
      </c>
    </row>
    <row r="4801" spans="1:4">
      <c r="A4801" s="216">
        <v>9900</v>
      </c>
      <c r="B4801" s="222" t="s">
        <v>22488</v>
      </c>
      <c r="C4801" s="216" t="s">
        <v>17678</v>
      </c>
      <c r="D4801" s="443">
        <v>21.97</v>
      </c>
    </row>
    <row r="4802" spans="1:4">
      <c r="A4802" s="216">
        <v>9899</v>
      </c>
      <c r="B4802" s="222" t="s">
        <v>22489</v>
      </c>
      <c r="C4802" s="216" t="s">
        <v>17678</v>
      </c>
      <c r="D4802" s="443">
        <v>9.85</v>
      </c>
    </row>
    <row r="4803" spans="1:4">
      <c r="A4803" s="216">
        <v>9908</v>
      </c>
      <c r="B4803" s="222" t="s">
        <v>22490</v>
      </c>
      <c r="C4803" s="216" t="s">
        <v>17678</v>
      </c>
      <c r="D4803" s="443">
        <v>442.98</v>
      </c>
    </row>
    <row r="4804" spans="1:4">
      <c r="A4804" s="216">
        <v>9905</v>
      </c>
      <c r="B4804" s="222" t="s">
        <v>22491</v>
      </c>
      <c r="C4804" s="216" t="s">
        <v>17678</v>
      </c>
      <c r="D4804" s="443">
        <v>7.71</v>
      </c>
    </row>
    <row r="4805" spans="1:4">
      <c r="A4805" s="216">
        <v>9906</v>
      </c>
      <c r="B4805" s="222" t="s">
        <v>22492</v>
      </c>
      <c r="C4805" s="216" t="s">
        <v>17678</v>
      </c>
      <c r="D4805" s="443">
        <v>9.2899999999999991</v>
      </c>
    </row>
    <row r="4806" spans="1:4">
      <c r="A4806" s="216">
        <v>9895</v>
      </c>
      <c r="B4806" s="222" t="s">
        <v>22493</v>
      </c>
      <c r="C4806" s="216" t="s">
        <v>17678</v>
      </c>
      <c r="D4806" s="443">
        <v>15.65</v>
      </c>
    </row>
    <row r="4807" spans="1:4">
      <c r="A4807" s="216">
        <v>9894</v>
      </c>
      <c r="B4807" s="222" t="s">
        <v>22494</v>
      </c>
      <c r="C4807" s="216" t="s">
        <v>17678</v>
      </c>
      <c r="D4807" s="443">
        <v>30.1</v>
      </c>
    </row>
    <row r="4808" spans="1:4">
      <c r="A4808" s="216">
        <v>9897</v>
      </c>
      <c r="B4808" s="222" t="s">
        <v>22495</v>
      </c>
      <c r="C4808" s="216" t="s">
        <v>17678</v>
      </c>
      <c r="D4808" s="443">
        <v>32.14</v>
      </c>
    </row>
    <row r="4809" spans="1:4">
      <c r="A4809" s="216">
        <v>9910</v>
      </c>
      <c r="B4809" s="222" t="s">
        <v>22496</v>
      </c>
      <c r="C4809" s="216" t="s">
        <v>17678</v>
      </c>
      <c r="D4809" s="443">
        <v>83.62</v>
      </c>
    </row>
    <row r="4810" spans="1:4">
      <c r="A4810" s="216">
        <v>9909</v>
      </c>
      <c r="B4810" s="222" t="s">
        <v>22497</v>
      </c>
      <c r="C4810" s="216" t="s">
        <v>17678</v>
      </c>
      <c r="D4810" s="443">
        <v>170.29</v>
      </c>
    </row>
    <row r="4811" spans="1:4">
      <c r="A4811" s="216">
        <v>9907</v>
      </c>
      <c r="B4811" s="222" t="s">
        <v>22498</v>
      </c>
      <c r="C4811" s="216" t="s">
        <v>17678</v>
      </c>
      <c r="D4811" s="443">
        <v>201.06</v>
      </c>
    </row>
    <row r="4812" spans="1:4" ht="31.5">
      <c r="A4812" s="216">
        <v>20973</v>
      </c>
      <c r="B4812" s="222" t="s">
        <v>22499</v>
      </c>
      <c r="C4812" s="216" t="s">
        <v>17678</v>
      </c>
      <c r="D4812" s="443">
        <v>153.1</v>
      </c>
    </row>
    <row r="4813" spans="1:4" ht="31.5">
      <c r="A4813" s="216">
        <v>20974</v>
      </c>
      <c r="B4813" s="222" t="s">
        <v>22500</v>
      </c>
      <c r="C4813" s="216" t="s">
        <v>17678</v>
      </c>
      <c r="D4813" s="443">
        <v>219.04</v>
      </c>
    </row>
    <row r="4814" spans="1:4">
      <c r="A4814" s="216">
        <v>37989</v>
      </c>
      <c r="B4814" s="222" t="s">
        <v>22501</v>
      </c>
      <c r="C4814" s="216" t="s">
        <v>17678</v>
      </c>
      <c r="D4814" s="443">
        <v>14.94</v>
      </c>
    </row>
    <row r="4815" spans="1:4">
      <c r="A4815" s="216">
        <v>37990</v>
      </c>
      <c r="B4815" s="222" t="s">
        <v>22502</v>
      </c>
      <c r="C4815" s="216" t="s">
        <v>17678</v>
      </c>
      <c r="D4815" s="443">
        <v>16.48</v>
      </c>
    </row>
    <row r="4816" spans="1:4">
      <c r="A4816" s="216">
        <v>37991</v>
      </c>
      <c r="B4816" s="222" t="s">
        <v>22503</v>
      </c>
      <c r="C4816" s="216" t="s">
        <v>17678</v>
      </c>
      <c r="D4816" s="443">
        <v>21.93</v>
      </c>
    </row>
    <row r="4817" spans="1:4">
      <c r="A4817" s="216">
        <v>37992</v>
      </c>
      <c r="B4817" s="222" t="s">
        <v>22504</v>
      </c>
      <c r="C4817" s="216" t="s">
        <v>17678</v>
      </c>
      <c r="D4817" s="443">
        <v>34.03</v>
      </c>
    </row>
    <row r="4818" spans="1:4">
      <c r="A4818" s="216">
        <v>37993</v>
      </c>
      <c r="B4818" s="222" t="s">
        <v>22505</v>
      </c>
      <c r="C4818" s="216" t="s">
        <v>17678</v>
      </c>
      <c r="D4818" s="443">
        <v>51.64</v>
      </c>
    </row>
    <row r="4819" spans="1:4">
      <c r="A4819" s="216">
        <v>37994</v>
      </c>
      <c r="B4819" s="222" t="s">
        <v>22506</v>
      </c>
      <c r="C4819" s="216" t="s">
        <v>17678</v>
      </c>
      <c r="D4819" s="443">
        <v>122.96</v>
      </c>
    </row>
    <row r="4820" spans="1:4">
      <c r="A4820" s="216">
        <v>37995</v>
      </c>
      <c r="B4820" s="222" t="s">
        <v>22507</v>
      </c>
      <c r="C4820" s="216" t="s">
        <v>17678</v>
      </c>
      <c r="D4820" s="443">
        <v>160.27000000000001</v>
      </c>
    </row>
    <row r="4821" spans="1:4">
      <c r="A4821" s="216">
        <v>37996</v>
      </c>
      <c r="B4821" s="222" t="s">
        <v>22508</v>
      </c>
      <c r="C4821" s="216" t="s">
        <v>17678</v>
      </c>
      <c r="D4821" s="443">
        <v>244.05</v>
      </c>
    </row>
    <row r="4822" spans="1:4">
      <c r="A4822" s="216">
        <v>13883</v>
      </c>
      <c r="B4822" s="222" t="s">
        <v>22509</v>
      </c>
      <c r="C4822" s="216" t="s">
        <v>17678</v>
      </c>
      <c r="D4822" s="443">
        <v>124216.22</v>
      </c>
    </row>
    <row r="4823" spans="1:4">
      <c r="A4823" s="216">
        <v>38604</v>
      </c>
      <c r="B4823" s="222" t="s">
        <v>22510</v>
      </c>
      <c r="C4823" s="216" t="s">
        <v>17678</v>
      </c>
      <c r="D4823" s="443">
        <v>154709.66</v>
      </c>
    </row>
    <row r="4824" spans="1:4" ht="31.5">
      <c r="A4824" s="216">
        <v>10601</v>
      </c>
      <c r="B4824" s="222" t="s">
        <v>22511</v>
      </c>
      <c r="C4824" s="216" t="s">
        <v>17678</v>
      </c>
      <c r="D4824" s="443">
        <v>3009411.44</v>
      </c>
    </row>
    <row r="4825" spans="1:4">
      <c r="A4825" s="216">
        <v>44469</v>
      </c>
      <c r="B4825" s="222" t="s">
        <v>22512</v>
      </c>
      <c r="C4825" s="216" t="s">
        <v>17678</v>
      </c>
      <c r="D4825" s="443">
        <v>7923674.1100000003</v>
      </c>
    </row>
    <row r="4826" spans="1:4">
      <c r="A4826" s="216">
        <v>13894</v>
      </c>
      <c r="B4826" s="222" t="s">
        <v>22513</v>
      </c>
      <c r="C4826" s="216" t="s">
        <v>17678</v>
      </c>
      <c r="D4826" s="443">
        <v>392649.25</v>
      </c>
    </row>
    <row r="4827" spans="1:4">
      <c r="A4827" s="216">
        <v>13895</v>
      </c>
      <c r="B4827" s="222" t="s">
        <v>22514</v>
      </c>
      <c r="C4827" s="216" t="s">
        <v>17678</v>
      </c>
      <c r="D4827" s="443">
        <v>527982.35</v>
      </c>
    </row>
    <row r="4828" spans="1:4">
      <c r="A4828" s="216">
        <v>13892</v>
      </c>
      <c r="B4828" s="222" t="s">
        <v>22515</v>
      </c>
      <c r="C4828" s="216" t="s">
        <v>17678</v>
      </c>
      <c r="D4828" s="443">
        <v>647029.46</v>
      </c>
    </row>
    <row r="4829" spans="1:4">
      <c r="A4829" s="216">
        <v>9914</v>
      </c>
      <c r="B4829" s="222" t="s">
        <v>22516</v>
      </c>
      <c r="C4829" s="216" t="s">
        <v>17678</v>
      </c>
      <c r="D4829" s="443">
        <v>700000</v>
      </c>
    </row>
    <row r="4830" spans="1:4" ht="31.5">
      <c r="A4830" s="216">
        <v>36485</v>
      </c>
      <c r="B4830" s="222" t="s">
        <v>22517</v>
      </c>
      <c r="C4830" s="216" t="s">
        <v>17678</v>
      </c>
      <c r="D4830" s="443">
        <v>608840.39</v>
      </c>
    </row>
    <row r="4831" spans="1:4">
      <c r="A4831" s="216">
        <v>9912</v>
      </c>
      <c r="B4831" s="222" t="s">
        <v>22518</v>
      </c>
      <c r="C4831" s="216" t="s">
        <v>17678</v>
      </c>
      <c r="D4831" s="443">
        <v>2450000</v>
      </c>
    </row>
    <row r="4832" spans="1:4" ht="31.5">
      <c r="A4832" s="216">
        <v>9921</v>
      </c>
      <c r="B4832" s="222" t="s">
        <v>22519</v>
      </c>
      <c r="C4832" s="216" t="s">
        <v>17678</v>
      </c>
      <c r="D4832" s="443">
        <v>1263825.8799999999</v>
      </c>
    </row>
    <row r="4833" spans="1:4" ht="31.5">
      <c r="A4833" s="216">
        <v>21112</v>
      </c>
      <c r="B4833" s="222" t="s">
        <v>22520</v>
      </c>
      <c r="C4833" s="216" t="s">
        <v>17678</v>
      </c>
      <c r="D4833" s="443">
        <v>228.03</v>
      </c>
    </row>
    <row r="4834" spans="1:4">
      <c r="A4834" s="216">
        <v>10228</v>
      </c>
      <c r="B4834" s="222" t="s">
        <v>22521</v>
      </c>
      <c r="C4834" s="216" t="s">
        <v>17678</v>
      </c>
      <c r="D4834" s="443">
        <v>264.89999999999998</v>
      </c>
    </row>
    <row r="4835" spans="1:4">
      <c r="A4835" s="216">
        <v>11781</v>
      </c>
      <c r="B4835" s="222" t="s">
        <v>22522</v>
      </c>
      <c r="C4835" s="216" t="s">
        <v>17678</v>
      </c>
      <c r="D4835" s="443">
        <v>214.6</v>
      </c>
    </row>
    <row r="4836" spans="1:4">
      <c r="A4836" s="216">
        <v>37588</v>
      </c>
      <c r="B4836" s="222" t="s">
        <v>22523</v>
      </c>
      <c r="C4836" s="216" t="s">
        <v>17678</v>
      </c>
      <c r="D4836" s="443">
        <v>117.97</v>
      </c>
    </row>
    <row r="4837" spans="1:4">
      <c r="A4837" s="216">
        <v>11746</v>
      </c>
      <c r="B4837" s="222" t="s">
        <v>22524</v>
      </c>
      <c r="C4837" s="216" t="s">
        <v>17678</v>
      </c>
      <c r="D4837" s="443">
        <v>78.069999999999993</v>
      </c>
    </row>
    <row r="4838" spans="1:4">
      <c r="A4838" s="216">
        <v>11751</v>
      </c>
      <c r="B4838" s="222" t="s">
        <v>22525</v>
      </c>
      <c r="C4838" s="216" t="s">
        <v>17678</v>
      </c>
      <c r="D4838" s="443">
        <v>140.21</v>
      </c>
    </row>
    <row r="4839" spans="1:4">
      <c r="A4839" s="216">
        <v>11750</v>
      </c>
      <c r="B4839" s="222" t="s">
        <v>22526</v>
      </c>
      <c r="C4839" s="216" t="s">
        <v>17678</v>
      </c>
      <c r="D4839" s="443">
        <v>116.36</v>
      </c>
    </row>
    <row r="4840" spans="1:4">
      <c r="A4840" s="216">
        <v>11748</v>
      </c>
      <c r="B4840" s="222" t="s">
        <v>22527</v>
      </c>
      <c r="C4840" s="216" t="s">
        <v>17678</v>
      </c>
      <c r="D4840" s="443">
        <v>50.1</v>
      </c>
    </row>
    <row r="4841" spans="1:4">
      <c r="A4841" s="216">
        <v>11747</v>
      </c>
      <c r="B4841" s="222" t="s">
        <v>22528</v>
      </c>
      <c r="C4841" s="216" t="s">
        <v>17678</v>
      </c>
      <c r="D4841" s="443">
        <v>216.21</v>
      </c>
    </row>
    <row r="4842" spans="1:4">
      <c r="A4842" s="216">
        <v>11749</v>
      </c>
      <c r="B4842" s="222" t="s">
        <v>22529</v>
      </c>
      <c r="C4842" s="216" t="s">
        <v>17678</v>
      </c>
      <c r="D4842" s="443">
        <v>57.82</v>
      </c>
    </row>
    <row r="4843" spans="1:4">
      <c r="A4843" s="216">
        <v>10236</v>
      </c>
      <c r="B4843" s="222" t="s">
        <v>22530</v>
      </c>
      <c r="C4843" s="216" t="s">
        <v>17678</v>
      </c>
      <c r="D4843" s="443">
        <v>100.64</v>
      </c>
    </row>
    <row r="4844" spans="1:4">
      <c r="A4844" s="216">
        <v>10233</v>
      </c>
      <c r="B4844" s="222" t="s">
        <v>22531</v>
      </c>
      <c r="C4844" s="216" t="s">
        <v>17678</v>
      </c>
      <c r="D4844" s="443">
        <v>94.31</v>
      </c>
    </row>
    <row r="4845" spans="1:4">
      <c r="A4845" s="216">
        <v>10234</v>
      </c>
      <c r="B4845" s="222" t="s">
        <v>22532</v>
      </c>
      <c r="C4845" s="216" t="s">
        <v>17678</v>
      </c>
      <c r="D4845" s="443">
        <v>59.41</v>
      </c>
    </row>
    <row r="4846" spans="1:4">
      <c r="A4846" s="216">
        <v>10231</v>
      </c>
      <c r="B4846" s="222" t="s">
        <v>22533</v>
      </c>
      <c r="C4846" s="216" t="s">
        <v>17678</v>
      </c>
      <c r="D4846" s="443">
        <v>272.44</v>
      </c>
    </row>
    <row r="4847" spans="1:4">
      <c r="A4847" s="216">
        <v>10232</v>
      </c>
      <c r="B4847" s="222" t="s">
        <v>22534</v>
      </c>
      <c r="C4847" s="216" t="s">
        <v>17678</v>
      </c>
      <c r="D4847" s="443">
        <v>152.44999999999999</v>
      </c>
    </row>
    <row r="4848" spans="1:4">
      <c r="A4848" s="216">
        <v>10229</v>
      </c>
      <c r="B4848" s="222" t="s">
        <v>22535</v>
      </c>
      <c r="C4848" s="216" t="s">
        <v>17678</v>
      </c>
      <c r="D4848" s="443">
        <v>53.73</v>
      </c>
    </row>
    <row r="4849" spans="1:4">
      <c r="A4849" s="216">
        <v>10235</v>
      </c>
      <c r="B4849" s="222" t="s">
        <v>22536</v>
      </c>
      <c r="C4849" s="216" t="s">
        <v>17678</v>
      </c>
      <c r="D4849" s="443">
        <v>373.49</v>
      </c>
    </row>
    <row r="4850" spans="1:4">
      <c r="A4850" s="216">
        <v>10230</v>
      </c>
      <c r="B4850" s="222" t="s">
        <v>22537</v>
      </c>
      <c r="C4850" s="216" t="s">
        <v>17678</v>
      </c>
      <c r="D4850" s="443">
        <v>657.3</v>
      </c>
    </row>
    <row r="4851" spans="1:4" ht="31.5">
      <c r="A4851" s="216">
        <v>10409</v>
      </c>
      <c r="B4851" s="222" t="s">
        <v>22538</v>
      </c>
      <c r="C4851" s="216" t="s">
        <v>17678</v>
      </c>
      <c r="D4851" s="443">
        <v>195.28</v>
      </c>
    </row>
    <row r="4852" spans="1:4" ht="31.5">
      <c r="A4852" s="216">
        <v>10411</v>
      </c>
      <c r="B4852" s="222" t="s">
        <v>22539</v>
      </c>
      <c r="C4852" s="216" t="s">
        <v>17678</v>
      </c>
      <c r="D4852" s="443">
        <v>174.73</v>
      </c>
    </row>
    <row r="4853" spans="1:4" ht="31.5">
      <c r="A4853" s="216">
        <v>10404</v>
      </c>
      <c r="B4853" s="222" t="s">
        <v>22540</v>
      </c>
      <c r="C4853" s="216" t="s">
        <v>17678</v>
      </c>
      <c r="D4853" s="443">
        <v>70.86</v>
      </c>
    </row>
    <row r="4854" spans="1:4" ht="31.5">
      <c r="A4854" s="216">
        <v>10410</v>
      </c>
      <c r="B4854" s="222" t="s">
        <v>22541</v>
      </c>
      <c r="C4854" s="216" t="s">
        <v>17678</v>
      </c>
      <c r="D4854" s="443">
        <v>116.72</v>
      </c>
    </row>
    <row r="4855" spans="1:4" ht="31.5">
      <c r="A4855" s="216">
        <v>10405</v>
      </c>
      <c r="B4855" s="222" t="s">
        <v>22542</v>
      </c>
      <c r="C4855" s="216" t="s">
        <v>17678</v>
      </c>
      <c r="D4855" s="443">
        <v>391.24</v>
      </c>
    </row>
    <row r="4856" spans="1:4" ht="31.5">
      <c r="A4856" s="216">
        <v>10408</v>
      </c>
      <c r="B4856" s="222" t="s">
        <v>22543</v>
      </c>
      <c r="C4856" s="216" t="s">
        <v>17678</v>
      </c>
      <c r="D4856" s="443">
        <v>273.58</v>
      </c>
    </row>
    <row r="4857" spans="1:4" ht="31.5">
      <c r="A4857" s="216">
        <v>10412</v>
      </c>
      <c r="B4857" s="222" t="s">
        <v>22544</v>
      </c>
      <c r="C4857" s="216" t="s">
        <v>17678</v>
      </c>
      <c r="D4857" s="443">
        <v>85.88</v>
      </c>
    </row>
    <row r="4858" spans="1:4" ht="31.5">
      <c r="A4858" s="216">
        <v>10406</v>
      </c>
      <c r="B4858" s="222" t="s">
        <v>22545</v>
      </c>
      <c r="C4858" s="216" t="s">
        <v>17678</v>
      </c>
      <c r="D4858" s="443">
        <v>540.38</v>
      </c>
    </row>
    <row r="4859" spans="1:4" ht="31.5">
      <c r="A4859" s="216">
        <v>10407</v>
      </c>
      <c r="B4859" s="222" t="s">
        <v>22546</v>
      </c>
      <c r="C4859" s="216" t="s">
        <v>17678</v>
      </c>
      <c r="D4859" s="443">
        <v>838.13</v>
      </c>
    </row>
    <row r="4860" spans="1:4">
      <c r="A4860" s="216">
        <v>10416</v>
      </c>
      <c r="B4860" s="222" t="s">
        <v>22547</v>
      </c>
      <c r="C4860" s="216" t="s">
        <v>17678</v>
      </c>
      <c r="D4860" s="443">
        <v>103.96</v>
      </c>
    </row>
    <row r="4861" spans="1:4">
      <c r="A4861" s="216">
        <v>10419</v>
      </c>
      <c r="B4861" s="222" t="s">
        <v>22548</v>
      </c>
      <c r="C4861" s="216" t="s">
        <v>17678</v>
      </c>
      <c r="D4861" s="443">
        <v>90.24</v>
      </c>
    </row>
    <row r="4862" spans="1:4">
      <c r="A4862" s="216">
        <v>21092</v>
      </c>
      <c r="B4862" s="222" t="s">
        <v>22549</v>
      </c>
      <c r="C4862" s="216" t="s">
        <v>17678</v>
      </c>
      <c r="D4862" s="443">
        <v>51.59</v>
      </c>
    </row>
    <row r="4863" spans="1:4">
      <c r="A4863" s="216">
        <v>10418</v>
      </c>
      <c r="B4863" s="222" t="s">
        <v>22550</v>
      </c>
      <c r="C4863" s="216" t="s">
        <v>17678</v>
      </c>
      <c r="D4863" s="443">
        <v>60.15</v>
      </c>
    </row>
    <row r="4864" spans="1:4">
      <c r="A4864" s="216">
        <v>12657</v>
      </c>
      <c r="B4864" s="222" t="s">
        <v>22551</v>
      </c>
      <c r="C4864" s="216" t="s">
        <v>17678</v>
      </c>
      <c r="D4864" s="443">
        <v>242.72</v>
      </c>
    </row>
    <row r="4865" spans="1:4">
      <c r="A4865" s="216">
        <v>10417</v>
      </c>
      <c r="B4865" s="222" t="s">
        <v>22552</v>
      </c>
      <c r="C4865" s="216" t="s">
        <v>17678</v>
      </c>
      <c r="D4865" s="443">
        <v>151.47</v>
      </c>
    </row>
    <row r="4866" spans="1:4">
      <c r="A4866" s="216">
        <v>10413</v>
      </c>
      <c r="B4866" s="222" t="s">
        <v>22553</v>
      </c>
      <c r="C4866" s="216" t="s">
        <v>17678</v>
      </c>
      <c r="D4866" s="443">
        <v>55.05</v>
      </c>
    </row>
    <row r="4867" spans="1:4">
      <c r="A4867" s="216">
        <v>10414</v>
      </c>
      <c r="B4867" s="222" t="s">
        <v>22554</v>
      </c>
      <c r="C4867" s="216" t="s">
        <v>17678</v>
      </c>
      <c r="D4867" s="443">
        <v>331.46</v>
      </c>
    </row>
    <row r="4868" spans="1:4">
      <c r="A4868" s="216">
        <v>10415</v>
      </c>
      <c r="B4868" s="222" t="s">
        <v>22555</v>
      </c>
      <c r="C4868" s="216" t="s">
        <v>17678</v>
      </c>
      <c r="D4868" s="443">
        <v>575.26</v>
      </c>
    </row>
    <row r="4869" spans="1:4">
      <c r="A4869" s="216">
        <v>38643</v>
      </c>
      <c r="B4869" s="222" t="s">
        <v>22556</v>
      </c>
      <c r="C4869" s="216" t="s">
        <v>17678</v>
      </c>
      <c r="D4869" s="443">
        <v>93.75</v>
      </c>
    </row>
    <row r="4870" spans="1:4">
      <c r="A4870" s="216">
        <v>6157</v>
      </c>
      <c r="B4870" s="222" t="s">
        <v>22557</v>
      </c>
      <c r="C4870" s="216" t="s">
        <v>17678</v>
      </c>
      <c r="D4870" s="443">
        <v>128.07</v>
      </c>
    </row>
    <row r="4871" spans="1:4">
      <c r="A4871" s="216">
        <v>6158</v>
      </c>
      <c r="B4871" s="222" t="s">
        <v>22558</v>
      </c>
      <c r="C4871" s="216" t="s">
        <v>17678</v>
      </c>
      <c r="D4871" s="443">
        <v>7.81</v>
      </c>
    </row>
    <row r="4872" spans="1:4">
      <c r="A4872" s="216">
        <v>6153</v>
      </c>
      <c r="B4872" s="222" t="s">
        <v>22559</v>
      </c>
      <c r="C4872" s="216" t="s">
        <v>17678</v>
      </c>
      <c r="D4872" s="443">
        <v>5.38</v>
      </c>
    </row>
    <row r="4873" spans="1:4">
      <c r="A4873" s="216">
        <v>6156</v>
      </c>
      <c r="B4873" s="222" t="s">
        <v>22560</v>
      </c>
      <c r="C4873" s="216" t="s">
        <v>17678</v>
      </c>
      <c r="D4873" s="443">
        <v>6.7</v>
      </c>
    </row>
    <row r="4874" spans="1:4">
      <c r="A4874" s="216">
        <v>6154</v>
      </c>
      <c r="B4874" s="222" t="s">
        <v>22561</v>
      </c>
      <c r="C4874" s="216" t="s">
        <v>17678</v>
      </c>
      <c r="D4874" s="443">
        <v>9.56</v>
      </c>
    </row>
    <row r="4875" spans="1:4">
      <c r="A4875" s="216">
        <v>6155</v>
      </c>
      <c r="B4875" s="222" t="s">
        <v>22562</v>
      </c>
      <c r="C4875" s="216" t="s">
        <v>17678</v>
      </c>
      <c r="D4875" s="443">
        <v>22.01</v>
      </c>
    </row>
    <row r="4876" spans="1:4" ht="31.5">
      <c r="A4876" s="216">
        <v>43595</v>
      </c>
      <c r="B4876" s="222" t="s">
        <v>22563</v>
      </c>
      <c r="C4876" s="216" t="s">
        <v>17678</v>
      </c>
      <c r="D4876" s="443">
        <v>18.61</v>
      </c>
    </row>
    <row r="4877" spans="1:4" ht="31.5">
      <c r="A4877" s="216">
        <v>43596</v>
      </c>
      <c r="B4877" s="222" t="s">
        <v>22564</v>
      </c>
      <c r="C4877" s="216" t="s">
        <v>17678</v>
      </c>
      <c r="D4877" s="443">
        <v>21.51</v>
      </c>
    </row>
    <row r="4878" spans="1:4">
      <c r="A4878" s="216">
        <v>38108</v>
      </c>
      <c r="B4878" s="222" t="s">
        <v>22565</v>
      </c>
      <c r="C4878" s="216" t="s">
        <v>17678</v>
      </c>
      <c r="D4878" s="443">
        <v>55.78</v>
      </c>
    </row>
    <row r="4879" spans="1:4" ht="31.5">
      <c r="A4879" s="216">
        <v>38087</v>
      </c>
      <c r="B4879" s="222" t="s">
        <v>22566</v>
      </c>
      <c r="C4879" s="216" t="s">
        <v>17678</v>
      </c>
      <c r="D4879" s="443">
        <v>71.739999999999995</v>
      </c>
    </row>
    <row r="4880" spans="1:4">
      <c r="A4880" s="216">
        <v>38109</v>
      </c>
      <c r="B4880" s="222" t="s">
        <v>22567</v>
      </c>
      <c r="C4880" s="216" t="s">
        <v>17678</v>
      </c>
      <c r="D4880" s="443">
        <v>89.14</v>
      </c>
    </row>
    <row r="4881" spans="1:4" ht="31.5">
      <c r="A4881" s="216">
        <v>38088</v>
      </c>
      <c r="B4881" s="222" t="s">
        <v>22568</v>
      </c>
      <c r="C4881" s="216" t="s">
        <v>17678</v>
      </c>
      <c r="D4881" s="443">
        <v>93.73</v>
      </c>
    </row>
    <row r="4882" spans="1:4">
      <c r="A4882" s="216">
        <v>38110</v>
      </c>
      <c r="B4882" s="222" t="s">
        <v>22569</v>
      </c>
      <c r="C4882" s="216" t="s">
        <v>17678</v>
      </c>
      <c r="D4882" s="443">
        <v>34.29</v>
      </c>
    </row>
    <row r="4883" spans="1:4" ht="31.5">
      <c r="A4883" s="216">
        <v>38089</v>
      </c>
      <c r="B4883" s="222" t="s">
        <v>22570</v>
      </c>
      <c r="C4883" s="216" t="s">
        <v>17678</v>
      </c>
      <c r="D4883" s="443">
        <v>59.75</v>
      </c>
    </row>
    <row r="4884" spans="1:4">
      <c r="A4884" s="216">
        <v>38111</v>
      </c>
      <c r="B4884" s="222" t="s">
        <v>22571</v>
      </c>
      <c r="C4884" s="216" t="s">
        <v>17678</v>
      </c>
      <c r="D4884" s="443">
        <v>38.35</v>
      </c>
    </row>
    <row r="4885" spans="1:4" ht="31.5">
      <c r="A4885" s="216">
        <v>38090</v>
      </c>
      <c r="B4885" s="222" t="s">
        <v>22572</v>
      </c>
      <c r="C4885" s="216" t="s">
        <v>17678</v>
      </c>
      <c r="D4885" s="443">
        <v>61.76</v>
      </c>
    </row>
    <row r="4886" spans="1:4">
      <c r="A4886" s="216">
        <v>13726</v>
      </c>
      <c r="B4886" s="222" t="s">
        <v>22573</v>
      </c>
      <c r="C4886" s="216" t="s">
        <v>17678</v>
      </c>
      <c r="D4886" s="443">
        <v>80770.91</v>
      </c>
    </row>
    <row r="4887" spans="1:4">
      <c r="A4887" s="216">
        <v>38400</v>
      </c>
      <c r="B4887" s="222" t="s">
        <v>22574</v>
      </c>
      <c r="C4887" s="216" t="s">
        <v>17678</v>
      </c>
      <c r="D4887" s="443">
        <v>22.89</v>
      </c>
    </row>
    <row r="4888" spans="1:4">
      <c r="A4888" s="216">
        <v>12627</v>
      </c>
      <c r="B4888" s="222" t="s">
        <v>22575</v>
      </c>
      <c r="C4888" s="216" t="s">
        <v>17678</v>
      </c>
      <c r="D4888" s="443">
        <v>1.31</v>
      </c>
    </row>
    <row r="4889" spans="1:4">
      <c r="A4889" s="216">
        <v>39996</v>
      </c>
      <c r="B4889" s="222" t="s">
        <v>22576</v>
      </c>
      <c r="C4889" s="216" t="s">
        <v>17722</v>
      </c>
      <c r="D4889" s="443">
        <v>4.32</v>
      </c>
    </row>
    <row r="4890" spans="1:4" ht="31.5">
      <c r="A4890" s="216">
        <v>10478</v>
      </c>
      <c r="B4890" s="222" t="s">
        <v>22577</v>
      </c>
      <c r="C4890" s="216" t="s">
        <v>17728</v>
      </c>
      <c r="D4890" s="443">
        <v>36.39</v>
      </c>
    </row>
    <row r="4891" spans="1:4">
      <c r="A4891" s="216">
        <v>10481</v>
      </c>
      <c r="B4891" s="222" t="s">
        <v>22578</v>
      </c>
      <c r="C4891" s="216" t="s">
        <v>17728</v>
      </c>
      <c r="D4891" s="443">
        <v>32.36</v>
      </c>
    </row>
    <row r="4892" spans="1:4">
      <c r="A4892" s="216">
        <v>10475</v>
      </c>
      <c r="B4892" s="222" t="s">
        <v>22579</v>
      </c>
      <c r="C4892" s="216" t="s">
        <v>17728</v>
      </c>
      <c r="D4892" s="443">
        <v>31.31</v>
      </c>
    </row>
    <row r="4893" spans="1:4">
      <c r="A4893" s="216">
        <v>4031</v>
      </c>
      <c r="B4893" s="222" t="s">
        <v>22580</v>
      </c>
      <c r="C4893" s="216" t="s">
        <v>18087</v>
      </c>
      <c r="D4893" s="443">
        <v>34.619999999999997</v>
      </c>
    </row>
    <row r="4894" spans="1:4">
      <c r="A4894" s="216">
        <v>4030</v>
      </c>
      <c r="B4894" s="222" t="s">
        <v>22581</v>
      </c>
      <c r="C4894" s="216" t="s">
        <v>18087</v>
      </c>
      <c r="D4894" s="443">
        <v>7.36</v>
      </c>
    </row>
    <row r="4895" spans="1:4">
      <c r="A4895" s="216">
        <v>39399</v>
      </c>
      <c r="B4895" s="222" t="s">
        <v>22582</v>
      </c>
      <c r="C4895" s="216" t="s">
        <v>17678</v>
      </c>
      <c r="D4895" s="443">
        <v>1513.42</v>
      </c>
    </row>
    <row r="4896" spans="1:4">
      <c r="A4896" s="216">
        <v>39400</v>
      </c>
      <c r="B4896" s="222" t="s">
        <v>22583</v>
      </c>
      <c r="C4896" s="216" t="s">
        <v>17678</v>
      </c>
      <c r="D4896" s="443">
        <v>1645.02</v>
      </c>
    </row>
    <row r="4897" spans="1:4">
      <c r="A4897" s="216">
        <v>39401</v>
      </c>
      <c r="B4897" s="222" t="s">
        <v>22584</v>
      </c>
      <c r="C4897" s="216" t="s">
        <v>17678</v>
      </c>
      <c r="D4897" s="443">
        <v>1845.32</v>
      </c>
    </row>
    <row r="4898" spans="1:4" ht="31.5">
      <c r="A4898" s="216">
        <v>11652</v>
      </c>
      <c r="B4898" s="222" t="s">
        <v>22585</v>
      </c>
      <c r="C4898" s="216" t="s">
        <v>17678</v>
      </c>
      <c r="D4898" s="443">
        <v>3970</v>
      </c>
    </row>
    <row r="4899" spans="1:4">
      <c r="A4899" s="216">
        <v>13896</v>
      </c>
      <c r="B4899" s="222" t="s">
        <v>22586</v>
      </c>
      <c r="C4899" s="216" t="s">
        <v>17678</v>
      </c>
      <c r="D4899" s="443">
        <v>3561.43</v>
      </c>
    </row>
    <row r="4900" spans="1:4" ht="31.5">
      <c r="A4900" s="216">
        <v>13475</v>
      </c>
      <c r="B4900" s="222" t="s">
        <v>22587</v>
      </c>
      <c r="C4900" s="216" t="s">
        <v>17678</v>
      </c>
      <c r="D4900" s="443">
        <v>4338.26</v>
      </c>
    </row>
    <row r="4901" spans="1:4">
      <c r="A4901" s="216">
        <v>44491</v>
      </c>
      <c r="B4901" s="222" t="s">
        <v>22588</v>
      </c>
      <c r="C4901" s="216" t="s">
        <v>17678</v>
      </c>
      <c r="D4901" s="443">
        <v>4913566.22</v>
      </c>
    </row>
    <row r="4902" spans="1:4">
      <c r="A4902" s="216">
        <v>44470</v>
      </c>
      <c r="B4902" s="222" t="s">
        <v>22589</v>
      </c>
      <c r="C4902" s="216" t="s">
        <v>17678</v>
      </c>
      <c r="D4902" s="443">
        <v>2068554.35</v>
      </c>
    </row>
    <row r="4903" spans="1:4">
      <c r="A4903" s="216">
        <v>13476</v>
      </c>
      <c r="B4903" s="222" t="s">
        <v>22590</v>
      </c>
      <c r="C4903" s="216" t="s">
        <v>17678</v>
      </c>
      <c r="D4903" s="443">
        <v>2083544.02</v>
      </c>
    </row>
    <row r="4904" spans="1:4">
      <c r="A4904" s="216">
        <v>10488</v>
      </c>
      <c r="B4904" s="222" t="s">
        <v>22591</v>
      </c>
      <c r="C4904" s="216" t="s">
        <v>17678</v>
      </c>
      <c r="D4904" s="443">
        <v>2524236</v>
      </c>
    </row>
    <row r="4905" spans="1:4" ht="31.5">
      <c r="A4905" s="216">
        <v>13606</v>
      </c>
      <c r="B4905" s="222" t="s">
        <v>22592</v>
      </c>
      <c r="C4905" s="216" t="s">
        <v>17678</v>
      </c>
      <c r="D4905" s="443">
        <v>2236436.9900000002</v>
      </c>
    </row>
    <row r="4906" spans="1:4">
      <c r="A4906" s="216">
        <v>10489</v>
      </c>
      <c r="B4906" s="222" t="s">
        <v>22593</v>
      </c>
      <c r="C4906" s="216" t="s">
        <v>17826</v>
      </c>
      <c r="D4906" s="443">
        <v>24.49</v>
      </c>
    </row>
    <row r="4907" spans="1:4">
      <c r="A4907" s="216">
        <v>41073</v>
      </c>
      <c r="B4907" s="222" t="s">
        <v>22594</v>
      </c>
      <c r="C4907" s="216" t="s">
        <v>17828</v>
      </c>
      <c r="D4907" s="443">
        <v>4292.51</v>
      </c>
    </row>
    <row r="4908" spans="1:4">
      <c r="A4908" s="216">
        <v>34391</v>
      </c>
      <c r="B4908" s="222" t="s">
        <v>22595</v>
      </c>
      <c r="C4908" s="216" t="s">
        <v>18087</v>
      </c>
      <c r="D4908" s="443">
        <v>670.25</v>
      </c>
    </row>
    <row r="4909" spans="1:4">
      <c r="A4909" s="216">
        <v>10496</v>
      </c>
      <c r="B4909" s="222" t="s">
        <v>22596</v>
      </c>
      <c r="C4909" s="216" t="s">
        <v>18087</v>
      </c>
      <c r="D4909" s="443">
        <v>583.33000000000004</v>
      </c>
    </row>
    <row r="4910" spans="1:4" ht="31.5">
      <c r="A4910" s="216">
        <v>10497</v>
      </c>
      <c r="B4910" s="222" t="s">
        <v>22597</v>
      </c>
      <c r="C4910" s="216" t="s">
        <v>18087</v>
      </c>
      <c r="D4910" s="443">
        <v>1516.66</v>
      </c>
    </row>
    <row r="4911" spans="1:4" ht="31.5">
      <c r="A4911" s="216">
        <v>10504</v>
      </c>
      <c r="B4911" s="222" t="s">
        <v>22598</v>
      </c>
      <c r="C4911" s="216" t="s">
        <v>18087</v>
      </c>
      <c r="D4911" s="443">
        <v>1773.33</v>
      </c>
    </row>
    <row r="4912" spans="1:4">
      <c r="A4912" s="216">
        <v>34390</v>
      </c>
      <c r="B4912" s="222" t="s">
        <v>22599</v>
      </c>
      <c r="C4912" s="216" t="s">
        <v>18087</v>
      </c>
      <c r="D4912" s="443">
        <v>522.66</v>
      </c>
    </row>
    <row r="4913" spans="1:4">
      <c r="A4913" s="216">
        <v>34389</v>
      </c>
      <c r="B4913" s="222" t="s">
        <v>22600</v>
      </c>
      <c r="C4913" s="216" t="s">
        <v>18087</v>
      </c>
      <c r="D4913" s="443">
        <v>163.33000000000001</v>
      </c>
    </row>
    <row r="4914" spans="1:4">
      <c r="A4914" s="216">
        <v>34388</v>
      </c>
      <c r="B4914" s="222" t="s">
        <v>22601</v>
      </c>
      <c r="C4914" s="216" t="s">
        <v>18087</v>
      </c>
      <c r="D4914" s="443">
        <v>232.14</v>
      </c>
    </row>
    <row r="4915" spans="1:4">
      <c r="A4915" s="216">
        <v>34387</v>
      </c>
      <c r="B4915" s="222" t="s">
        <v>22602</v>
      </c>
      <c r="C4915" s="216" t="s">
        <v>18087</v>
      </c>
      <c r="D4915" s="443">
        <v>376.83</v>
      </c>
    </row>
    <row r="4916" spans="1:4">
      <c r="A4916" s="216">
        <v>11188</v>
      </c>
      <c r="B4916" s="222" t="s">
        <v>22603</v>
      </c>
      <c r="C4916" s="216" t="s">
        <v>18087</v>
      </c>
      <c r="D4916" s="443">
        <v>186.66</v>
      </c>
    </row>
    <row r="4917" spans="1:4">
      <c r="A4917" s="216">
        <v>11189</v>
      </c>
      <c r="B4917" s="222" t="s">
        <v>22604</v>
      </c>
      <c r="C4917" s="216" t="s">
        <v>18087</v>
      </c>
      <c r="D4917" s="443">
        <v>280</v>
      </c>
    </row>
    <row r="4918" spans="1:4">
      <c r="A4918" s="216">
        <v>21107</v>
      </c>
      <c r="B4918" s="222" t="s">
        <v>22605</v>
      </c>
      <c r="C4918" s="216" t="s">
        <v>18087</v>
      </c>
      <c r="D4918" s="443">
        <v>201.5</v>
      </c>
    </row>
    <row r="4919" spans="1:4">
      <c r="A4919" s="216">
        <v>34386</v>
      </c>
      <c r="B4919" s="222" t="s">
        <v>22606</v>
      </c>
      <c r="C4919" s="216" t="s">
        <v>18087</v>
      </c>
      <c r="D4919" s="443">
        <v>350</v>
      </c>
    </row>
    <row r="4920" spans="1:4">
      <c r="A4920" s="216">
        <v>10490</v>
      </c>
      <c r="B4920" s="222" t="s">
        <v>22607</v>
      </c>
      <c r="C4920" s="216" t="s">
        <v>18087</v>
      </c>
      <c r="D4920" s="443">
        <v>122.5</v>
      </c>
    </row>
    <row r="4921" spans="1:4">
      <c r="A4921" s="216">
        <v>10492</v>
      </c>
      <c r="B4921" s="222" t="s">
        <v>22608</v>
      </c>
      <c r="C4921" s="216" t="s">
        <v>18087</v>
      </c>
      <c r="D4921" s="443">
        <v>140</v>
      </c>
    </row>
    <row r="4922" spans="1:4">
      <c r="A4922" s="216">
        <v>10493</v>
      </c>
      <c r="B4922" s="222" t="s">
        <v>22609</v>
      </c>
      <c r="C4922" s="216" t="s">
        <v>18087</v>
      </c>
      <c r="D4922" s="443">
        <v>163.33000000000001</v>
      </c>
    </row>
    <row r="4923" spans="1:4">
      <c r="A4923" s="216">
        <v>10491</v>
      </c>
      <c r="B4923" s="222" t="s">
        <v>22610</v>
      </c>
      <c r="C4923" s="216" t="s">
        <v>18087</v>
      </c>
      <c r="D4923" s="443">
        <v>198.33</v>
      </c>
    </row>
    <row r="4924" spans="1:4">
      <c r="A4924" s="216">
        <v>34385</v>
      </c>
      <c r="B4924" s="222" t="s">
        <v>22611</v>
      </c>
      <c r="C4924" s="216" t="s">
        <v>18087</v>
      </c>
      <c r="D4924" s="443">
        <v>289.33</v>
      </c>
    </row>
    <row r="4925" spans="1:4">
      <c r="A4925" s="216">
        <v>10499</v>
      </c>
      <c r="B4925" s="222" t="s">
        <v>22612</v>
      </c>
      <c r="C4925" s="216" t="s">
        <v>18087</v>
      </c>
      <c r="D4925" s="443">
        <v>116.66</v>
      </c>
    </row>
    <row r="4926" spans="1:4">
      <c r="A4926" s="216">
        <v>34384</v>
      </c>
      <c r="B4926" s="222" t="s">
        <v>22613</v>
      </c>
      <c r="C4926" s="216" t="s">
        <v>18087</v>
      </c>
      <c r="D4926" s="443">
        <v>350</v>
      </c>
    </row>
    <row r="4927" spans="1:4">
      <c r="A4927" s="216">
        <v>11185</v>
      </c>
      <c r="B4927" s="222" t="s">
        <v>22614</v>
      </c>
      <c r="C4927" s="216" t="s">
        <v>18087</v>
      </c>
      <c r="D4927" s="443">
        <v>361.66</v>
      </c>
    </row>
    <row r="4928" spans="1:4">
      <c r="A4928" s="216">
        <v>10507</v>
      </c>
      <c r="B4928" s="222" t="s">
        <v>22615</v>
      </c>
      <c r="C4928" s="216" t="s">
        <v>18087</v>
      </c>
      <c r="D4928" s="443">
        <v>434.54</v>
      </c>
    </row>
    <row r="4929" spans="1:4">
      <c r="A4929" s="216">
        <v>10505</v>
      </c>
      <c r="B4929" s="222" t="s">
        <v>22616</v>
      </c>
      <c r="C4929" s="216" t="s">
        <v>18087</v>
      </c>
      <c r="D4929" s="443">
        <v>256.41000000000003</v>
      </c>
    </row>
    <row r="4930" spans="1:4">
      <c r="A4930" s="216">
        <v>10506</v>
      </c>
      <c r="B4930" s="222" t="s">
        <v>22617</v>
      </c>
      <c r="C4930" s="216" t="s">
        <v>18087</v>
      </c>
      <c r="D4930" s="443">
        <v>334.72</v>
      </c>
    </row>
    <row r="4931" spans="1:4">
      <c r="A4931" s="216">
        <v>5031</v>
      </c>
      <c r="B4931" s="222" t="s">
        <v>22618</v>
      </c>
      <c r="C4931" s="216" t="s">
        <v>18087</v>
      </c>
      <c r="D4931" s="443">
        <v>470</v>
      </c>
    </row>
    <row r="4932" spans="1:4">
      <c r="A4932" s="216">
        <v>10502</v>
      </c>
      <c r="B4932" s="222" t="s">
        <v>22619</v>
      </c>
      <c r="C4932" s="216" t="s">
        <v>18087</v>
      </c>
      <c r="D4932" s="443">
        <v>547.66</v>
      </c>
    </row>
    <row r="4933" spans="1:4">
      <c r="A4933" s="216">
        <v>10501</v>
      </c>
      <c r="B4933" s="222" t="s">
        <v>22620</v>
      </c>
      <c r="C4933" s="216" t="s">
        <v>18087</v>
      </c>
      <c r="D4933" s="443">
        <v>309.41000000000003</v>
      </c>
    </row>
    <row r="4934" spans="1:4">
      <c r="A4934" s="216">
        <v>10503</v>
      </c>
      <c r="B4934" s="222" t="s">
        <v>22621</v>
      </c>
      <c r="C4934" s="216" t="s">
        <v>18087</v>
      </c>
      <c r="D4934" s="443">
        <v>418.01</v>
      </c>
    </row>
    <row r="4935" spans="1:4">
      <c r="A4935" s="216">
        <v>4500</v>
      </c>
      <c r="B4935" s="222" t="s">
        <v>22622</v>
      </c>
      <c r="C4935" s="216" t="s">
        <v>17722</v>
      </c>
      <c r="D4935" s="443">
        <v>13.08</v>
      </c>
    </row>
    <row r="4936" spans="1:4">
      <c r="A4936" s="216">
        <v>4448</v>
      </c>
      <c r="B4936" s="222" t="s">
        <v>22623</v>
      </c>
      <c r="C4936" s="216" t="s">
        <v>17722</v>
      </c>
      <c r="D4936" s="443">
        <v>17.96</v>
      </c>
    </row>
    <row r="4937" spans="1:4">
      <c r="A4937" s="216">
        <v>20213</v>
      </c>
      <c r="B4937" s="222" t="s">
        <v>22624</v>
      </c>
      <c r="C4937" s="216" t="s">
        <v>17722</v>
      </c>
      <c r="D4937" s="443">
        <v>33.92</v>
      </c>
    </row>
    <row r="4938" spans="1:4">
      <c r="A4938" s="216">
        <v>20211</v>
      </c>
      <c r="B4938" s="222" t="s">
        <v>22625</v>
      </c>
      <c r="C4938" s="216" t="s">
        <v>17722</v>
      </c>
      <c r="D4938" s="443">
        <v>44.91</v>
      </c>
    </row>
    <row r="4939" spans="1:4">
      <c r="A4939" s="216">
        <v>40270</v>
      </c>
      <c r="B4939" s="222" t="s">
        <v>22626</v>
      </c>
      <c r="C4939" s="216" t="s">
        <v>17722</v>
      </c>
      <c r="D4939" s="443">
        <v>125.53</v>
      </c>
    </row>
    <row r="4940" spans="1:4">
      <c r="A4940" s="216">
        <v>4425</v>
      </c>
      <c r="B4940" s="222" t="s">
        <v>22627</v>
      </c>
      <c r="C4940" s="216" t="s">
        <v>17722</v>
      </c>
      <c r="D4940" s="443">
        <v>37.119999999999997</v>
      </c>
    </row>
    <row r="4941" spans="1:4">
      <c r="A4941" s="216">
        <v>4472</v>
      </c>
      <c r="B4941" s="222" t="s">
        <v>22628</v>
      </c>
      <c r="C4941" s="216" t="s">
        <v>17722</v>
      </c>
      <c r="D4941" s="443">
        <v>46.37</v>
      </c>
    </row>
    <row r="4942" spans="1:4">
      <c r="A4942" s="216">
        <v>35272</v>
      </c>
      <c r="B4942" s="222" t="s">
        <v>22629</v>
      </c>
      <c r="C4942" s="216" t="s">
        <v>17722</v>
      </c>
      <c r="D4942" s="443">
        <v>67.03</v>
      </c>
    </row>
    <row r="4943" spans="1:4">
      <c r="A4943" s="216">
        <v>4481</v>
      </c>
      <c r="B4943" s="222" t="s">
        <v>22630</v>
      </c>
      <c r="C4943" s="216" t="s">
        <v>17722</v>
      </c>
      <c r="D4943" s="443">
        <v>71.75</v>
      </c>
    </row>
    <row r="4944" spans="1:4">
      <c r="A4944" s="216">
        <v>34345</v>
      </c>
      <c r="B4944" s="222" t="s">
        <v>22631</v>
      </c>
      <c r="C4944" s="216" t="s">
        <v>17826</v>
      </c>
      <c r="D4944" s="443">
        <v>17.420000000000002</v>
      </c>
    </row>
    <row r="4945" spans="1:4">
      <c r="A4945" s="216">
        <v>41096</v>
      </c>
      <c r="B4945" s="222" t="s">
        <v>22632</v>
      </c>
      <c r="C4945" s="216" t="s">
        <v>17828</v>
      </c>
      <c r="D4945" s="443">
        <v>3052.42</v>
      </c>
    </row>
    <row r="4946" spans="1:4">
      <c r="A4946" s="216">
        <v>41776</v>
      </c>
      <c r="B4946" s="222" t="s">
        <v>22633</v>
      </c>
      <c r="C4946" s="216" t="s">
        <v>17826</v>
      </c>
      <c r="D4946" s="443">
        <v>23.37</v>
      </c>
    </row>
    <row r="4947" spans="1:4">
      <c r="A4947" s="237" t="s">
        <v>195</v>
      </c>
    </row>
    <row r="4948" spans="1:4">
      <c r="A4948" s="237" t="s">
        <v>22634</v>
      </c>
    </row>
  </sheetData>
  <autoFilter ref="A1:D6361"/>
  <mergeCells count="7">
    <mergeCell ref="A9:D9"/>
    <mergeCell ref="A2:D2"/>
    <mergeCell ref="A3:D3"/>
    <mergeCell ref="A4:D4"/>
    <mergeCell ref="A5:D5"/>
    <mergeCell ref="A6:C6"/>
    <mergeCell ref="B8:C8"/>
  </mergeCells>
  <printOptions horizontalCentered="1"/>
  <pageMargins left="0.78740157480314965" right="0.78740157480314965" top="0.98425196850393704" bottom="0.98425196850393704" header="0.51181102362204722" footer="0.51181102362204722"/>
  <pageSetup scale="65" orientation="landscape" horizontalDpi="300" verticalDpi="300" r:id="rId1"/>
  <headerFooter alignWithMargins="0">
    <oddFooter>&amp;LAGÊNCIA DE ASSUNTOS METROPOLITANOS DO PARANÁ - AMEP
DIRETORIA DE OBRAS&amp;CENGª CIBELE CRISTINE MELLO FRANCZAK
DIRETORA DE OBRAS&amp;RPágina &amp;P de &amp;N</oddFooter>
  </headerFooter>
  <colBreaks count="1" manualBreakCount="1">
    <brk id="4"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
    <tabColor theme="0" tint="-0.249977111117893"/>
  </sheetPr>
  <dimension ref="A2:H76"/>
  <sheetViews>
    <sheetView showGridLines="0" topLeftCell="A49" zoomScale="80" zoomScaleNormal="80" zoomScaleSheetLayoutView="115" workbookViewId="0">
      <selection activeCell="K15" sqref="K15"/>
    </sheetView>
  </sheetViews>
  <sheetFormatPr defaultColWidth="9.140625" defaultRowHeight="15.75"/>
  <cols>
    <col min="1" max="1" width="12.7109375" style="288" customWidth="1"/>
    <col min="2" max="2" width="49.28515625" style="288" customWidth="1"/>
    <col min="3" max="3" width="29.42578125" style="292" customWidth="1"/>
    <col min="4" max="4" width="36.7109375" style="288" customWidth="1"/>
    <col min="5" max="5" width="16.7109375" style="288" customWidth="1"/>
    <col min="6" max="6" width="17.85546875" style="288" customWidth="1"/>
    <col min="7" max="7" width="16.140625" style="288" bestFit="1" customWidth="1"/>
    <col min="8" max="16384" width="9.140625" style="288"/>
  </cols>
  <sheetData>
    <row r="2" spans="1:8" s="276" customFormat="1" ht="15.75" customHeight="1">
      <c r="A2" s="555" t="s">
        <v>167</v>
      </c>
      <c r="B2" s="555"/>
      <c r="C2" s="555"/>
      <c r="D2" s="555"/>
      <c r="E2" s="555"/>
      <c r="F2" s="555"/>
      <c r="G2" s="272"/>
      <c r="H2" s="272"/>
    </row>
    <row r="3" spans="1:8" s="276" customFormat="1" ht="15.75" customHeight="1">
      <c r="A3" s="556" t="s">
        <v>165</v>
      </c>
      <c r="B3" s="556"/>
      <c r="C3" s="556"/>
      <c r="D3" s="556"/>
      <c r="E3" s="556"/>
      <c r="F3" s="556"/>
      <c r="G3" s="273"/>
      <c r="H3" s="273"/>
    </row>
    <row r="4" spans="1:8" s="276" customFormat="1">
      <c r="A4" s="595"/>
      <c r="B4" s="595"/>
      <c r="C4" s="595"/>
      <c r="D4" s="595"/>
      <c r="E4" s="595"/>
      <c r="F4" s="595"/>
      <c r="G4" s="274"/>
      <c r="H4" s="274"/>
    </row>
    <row r="5" spans="1:8" s="276" customFormat="1">
      <c r="A5" s="595" t="s">
        <v>25931</v>
      </c>
      <c r="B5" s="595"/>
      <c r="C5" s="595"/>
      <c r="D5" s="595"/>
      <c r="E5" s="595"/>
      <c r="F5" s="595"/>
      <c r="G5" s="274"/>
      <c r="H5" s="274"/>
    </row>
    <row r="6" spans="1:8" s="276" customFormat="1">
      <c r="A6" s="170"/>
      <c r="B6" s="275"/>
      <c r="C6" s="293"/>
      <c r="D6" s="277"/>
      <c r="H6" s="278"/>
    </row>
    <row r="7" spans="1:8" s="276" customFormat="1">
      <c r="A7" s="170"/>
      <c r="B7" s="275"/>
      <c r="C7" s="293"/>
      <c r="D7" s="277"/>
      <c r="H7" s="278"/>
    </row>
    <row r="8" spans="1:8" s="276" customFormat="1">
      <c r="A8" s="170"/>
      <c r="B8" s="275"/>
      <c r="C8" s="293"/>
      <c r="D8" s="277"/>
      <c r="H8" s="278"/>
    </row>
    <row r="9" spans="1:8">
      <c r="A9" s="592" t="s">
        <v>22706</v>
      </c>
      <c r="B9" s="593"/>
      <c r="C9" s="593"/>
      <c r="D9" s="593"/>
      <c r="E9" s="593"/>
      <c r="F9" s="594"/>
    </row>
    <row r="10" spans="1:8" s="290" customFormat="1" ht="30" customHeight="1">
      <c r="A10" s="280" t="s">
        <v>60</v>
      </c>
      <c r="B10" s="287" t="s">
        <v>139</v>
      </c>
      <c r="C10" s="280" t="s">
        <v>17672</v>
      </c>
      <c r="D10" s="281" t="s">
        <v>950</v>
      </c>
      <c r="E10" s="289" t="s">
        <v>17667</v>
      </c>
      <c r="F10" s="291">
        <f>F16</f>
        <v>34.950000000000003</v>
      </c>
      <c r="G10" s="271"/>
    </row>
    <row r="11" spans="1:8" s="290" customFormat="1" ht="30" customHeight="1">
      <c r="A11" s="294" t="s">
        <v>154</v>
      </c>
      <c r="B11" s="295" t="s">
        <v>22702</v>
      </c>
      <c r="C11" s="296" t="s">
        <v>22703</v>
      </c>
      <c r="D11" s="297" t="s">
        <v>22704</v>
      </c>
      <c r="E11" s="297" t="s">
        <v>22705</v>
      </c>
      <c r="F11" s="296" t="s">
        <v>159</v>
      </c>
      <c r="G11" s="270"/>
    </row>
    <row r="12" spans="1:8" s="290" customFormat="1" ht="15.95" customHeight="1">
      <c r="A12" s="282">
        <v>1</v>
      </c>
      <c r="B12" s="284" t="s">
        <v>115</v>
      </c>
      <c r="C12" s="332">
        <v>45108</v>
      </c>
      <c r="D12" s="285" t="s">
        <v>116</v>
      </c>
      <c r="E12" s="283" t="s">
        <v>117</v>
      </c>
      <c r="F12" s="217">
        <v>35.65</v>
      </c>
      <c r="G12" s="258"/>
    </row>
    <row r="13" spans="1:8" s="290" customFormat="1" ht="15.95" customHeight="1">
      <c r="A13" s="282">
        <v>2</v>
      </c>
      <c r="B13" s="284" t="s">
        <v>118</v>
      </c>
      <c r="C13" s="332">
        <v>45108</v>
      </c>
      <c r="D13" s="285" t="s">
        <v>119</v>
      </c>
      <c r="E13" s="217" t="s">
        <v>120</v>
      </c>
      <c r="F13" s="217">
        <v>30</v>
      </c>
      <c r="G13" s="258"/>
    </row>
    <row r="14" spans="1:8" s="290" customFormat="1" ht="15.95" customHeight="1">
      <c r="A14" s="282">
        <v>3</v>
      </c>
      <c r="B14" s="284" t="s">
        <v>121</v>
      </c>
      <c r="C14" s="332">
        <v>45108</v>
      </c>
      <c r="D14" s="285" t="s">
        <v>122</v>
      </c>
      <c r="E14" s="217" t="s">
        <v>123</v>
      </c>
      <c r="F14" s="217">
        <v>41.6</v>
      </c>
      <c r="G14" s="258"/>
    </row>
    <row r="15" spans="1:8" s="290" customFormat="1" ht="15.95" customHeight="1">
      <c r="A15" s="282">
        <v>4</v>
      </c>
      <c r="B15" s="284" t="s">
        <v>136</v>
      </c>
      <c r="C15" s="332">
        <v>45108</v>
      </c>
      <c r="D15" s="330" t="s">
        <v>137</v>
      </c>
      <c r="E15" s="217" t="s">
        <v>138</v>
      </c>
      <c r="F15" s="217">
        <v>32.549999999999997</v>
      </c>
      <c r="G15" s="258"/>
    </row>
    <row r="16" spans="1:8" s="290" customFormat="1" ht="15" customHeight="1">
      <c r="A16" s="282"/>
      <c r="B16" s="284"/>
      <c r="C16" s="329"/>
      <c r="D16" s="284"/>
      <c r="E16" s="283" t="s">
        <v>69</v>
      </c>
      <c r="F16" s="217">
        <f>AVERAGE(F12:F15)</f>
        <v>34.950000000000003</v>
      </c>
      <c r="G16" s="258"/>
    </row>
    <row r="17" spans="1:7" s="290" customFormat="1" ht="30" customHeight="1">
      <c r="A17" s="280" t="s">
        <v>61</v>
      </c>
      <c r="B17" s="287" t="s">
        <v>130</v>
      </c>
      <c r="C17" s="280" t="s">
        <v>17672</v>
      </c>
      <c r="D17" s="281" t="s">
        <v>331</v>
      </c>
      <c r="E17" s="289" t="s">
        <v>17667</v>
      </c>
      <c r="F17" s="291">
        <f>F22</f>
        <v>1397727.9133333333</v>
      </c>
      <c r="G17" s="271"/>
    </row>
    <row r="18" spans="1:7" s="290" customFormat="1" ht="30" customHeight="1">
      <c r="A18" s="294" t="s">
        <v>154</v>
      </c>
      <c r="B18" s="295" t="s">
        <v>22702</v>
      </c>
      <c r="C18" s="296" t="s">
        <v>22703</v>
      </c>
      <c r="D18" s="297" t="s">
        <v>22704</v>
      </c>
      <c r="E18" s="297" t="s">
        <v>22705</v>
      </c>
      <c r="F18" s="296" t="s">
        <v>159</v>
      </c>
      <c r="G18" s="271"/>
    </row>
    <row r="19" spans="1:7" s="290" customFormat="1" ht="15.95" customHeight="1">
      <c r="A19" s="282">
        <v>1</v>
      </c>
      <c r="B19" s="285" t="s">
        <v>77</v>
      </c>
      <c r="C19" s="333">
        <v>45108</v>
      </c>
      <c r="D19" s="285" t="s">
        <v>78</v>
      </c>
      <c r="E19" s="283" t="s">
        <v>79</v>
      </c>
      <c r="F19" s="217">
        <v>1487922.45</v>
      </c>
      <c r="G19" s="258"/>
    </row>
    <row r="20" spans="1:7" s="290" customFormat="1" ht="29.25" customHeight="1">
      <c r="A20" s="282">
        <v>2</v>
      </c>
      <c r="B20" s="285" t="s">
        <v>80</v>
      </c>
      <c r="C20" s="333">
        <v>45108</v>
      </c>
      <c r="D20" s="285" t="s">
        <v>81</v>
      </c>
      <c r="E20" s="283" t="s">
        <v>82</v>
      </c>
      <c r="F20" s="217">
        <v>1132335.82</v>
      </c>
      <c r="G20" s="258"/>
    </row>
    <row r="21" spans="1:7" s="290" customFormat="1" ht="29.25" customHeight="1">
      <c r="A21" s="282">
        <v>3</v>
      </c>
      <c r="B21" s="285" t="s">
        <v>22759</v>
      </c>
      <c r="C21" s="333">
        <v>45108</v>
      </c>
      <c r="D21" s="331" t="s">
        <v>22760</v>
      </c>
      <c r="E21" s="283" t="s">
        <v>22761</v>
      </c>
      <c r="F21" s="217">
        <v>1572925.47</v>
      </c>
      <c r="G21" s="258"/>
    </row>
    <row r="22" spans="1:7" s="290" customFormat="1" ht="15" customHeight="1">
      <c r="A22" s="282"/>
      <c r="B22" s="329"/>
      <c r="C22" s="283"/>
      <c r="D22" s="283"/>
      <c r="E22" s="283" t="s">
        <v>69</v>
      </c>
      <c r="F22" s="217">
        <f>AVERAGE(F19:F21)</f>
        <v>1397727.9133333333</v>
      </c>
      <c r="G22" s="258"/>
    </row>
    <row r="23" spans="1:7" s="290" customFormat="1" ht="30" customHeight="1">
      <c r="A23" s="280" t="s">
        <v>62</v>
      </c>
      <c r="B23" s="287" t="s">
        <v>110</v>
      </c>
      <c r="C23" s="280" t="s">
        <v>17672</v>
      </c>
      <c r="D23" s="281" t="s">
        <v>328</v>
      </c>
      <c r="E23" s="289" t="s">
        <v>17667</v>
      </c>
      <c r="F23" s="291">
        <f>F28</f>
        <v>6.7700000000000005</v>
      </c>
      <c r="G23" s="271"/>
    </row>
    <row r="24" spans="1:7" s="290" customFormat="1" ht="30" customHeight="1">
      <c r="A24" s="294" t="s">
        <v>154</v>
      </c>
      <c r="B24" s="295" t="s">
        <v>22702</v>
      </c>
      <c r="C24" s="296" t="s">
        <v>22703</v>
      </c>
      <c r="D24" s="297" t="s">
        <v>22704</v>
      </c>
      <c r="E24" s="297" t="s">
        <v>22705</v>
      </c>
      <c r="F24" s="296" t="s">
        <v>159</v>
      </c>
      <c r="G24" s="270"/>
    </row>
    <row r="25" spans="1:7" s="290" customFormat="1" ht="15.95" customHeight="1">
      <c r="A25" s="282">
        <v>1</v>
      </c>
      <c r="B25" s="285" t="s">
        <v>124</v>
      </c>
      <c r="C25" s="286">
        <v>45108</v>
      </c>
      <c r="D25" s="284" t="s">
        <v>87</v>
      </c>
      <c r="E25" s="285" t="s">
        <v>127</v>
      </c>
      <c r="F25" s="217">
        <v>7.75</v>
      </c>
      <c r="G25" s="258"/>
    </row>
    <row r="26" spans="1:7" s="290" customFormat="1" ht="15.95" customHeight="1">
      <c r="A26" s="282">
        <v>2</v>
      </c>
      <c r="B26" s="285" t="s">
        <v>125</v>
      </c>
      <c r="C26" s="286">
        <v>45108</v>
      </c>
      <c r="D26" s="284" t="s">
        <v>91</v>
      </c>
      <c r="E26" s="285" t="s">
        <v>128</v>
      </c>
      <c r="F26" s="217">
        <v>6.3</v>
      </c>
      <c r="G26" s="258"/>
    </row>
    <row r="27" spans="1:7" s="290" customFormat="1" ht="15.95" customHeight="1">
      <c r="A27" s="282">
        <v>3</v>
      </c>
      <c r="B27" s="285" t="s">
        <v>126</v>
      </c>
      <c r="C27" s="286">
        <v>45108</v>
      </c>
      <c r="D27" s="284" t="s">
        <v>109</v>
      </c>
      <c r="E27" s="285" t="s">
        <v>129</v>
      </c>
      <c r="F27" s="217">
        <v>6.26</v>
      </c>
      <c r="G27" s="258"/>
    </row>
    <row r="28" spans="1:7" s="290" customFormat="1" ht="15" customHeight="1">
      <c r="A28" s="282"/>
      <c r="B28" s="329"/>
      <c r="C28" s="283"/>
      <c r="D28" s="283"/>
      <c r="E28" s="283" t="s">
        <v>69</v>
      </c>
      <c r="F28" s="217">
        <f>AVERAGE(F25:F27)</f>
        <v>6.7700000000000005</v>
      </c>
      <c r="G28" s="258"/>
    </row>
    <row r="29" spans="1:7" s="290" customFormat="1" ht="52.5" customHeight="1">
      <c r="A29" s="280" t="s">
        <v>63</v>
      </c>
      <c r="B29" s="287" t="s">
        <v>88</v>
      </c>
      <c r="C29" s="280" t="s">
        <v>17672</v>
      </c>
      <c r="D29" s="281" t="s">
        <v>328</v>
      </c>
      <c r="E29" s="289" t="s">
        <v>17667</v>
      </c>
      <c r="F29" s="291">
        <f>F35</f>
        <v>6.3949999999999996</v>
      </c>
      <c r="G29" s="271"/>
    </row>
    <row r="30" spans="1:7" s="290" customFormat="1" ht="30" customHeight="1">
      <c r="A30" s="294" t="s">
        <v>154</v>
      </c>
      <c r="B30" s="295" t="s">
        <v>22702</v>
      </c>
      <c r="C30" s="296" t="s">
        <v>22703</v>
      </c>
      <c r="D30" s="297" t="s">
        <v>22704</v>
      </c>
      <c r="E30" s="297" t="s">
        <v>22705</v>
      </c>
      <c r="F30" s="296" t="s">
        <v>159</v>
      </c>
      <c r="G30" s="270"/>
    </row>
    <row r="31" spans="1:7" s="290" customFormat="1" ht="15.95" customHeight="1">
      <c r="A31" s="282">
        <v>1</v>
      </c>
      <c r="B31" s="285" t="s">
        <v>22762</v>
      </c>
      <c r="C31" s="286">
        <v>45108</v>
      </c>
      <c r="D31" s="284" t="s">
        <v>91</v>
      </c>
      <c r="E31" s="285" t="s">
        <v>128</v>
      </c>
      <c r="F31" s="283">
        <v>6.5</v>
      </c>
      <c r="G31" s="271"/>
    </row>
    <row r="32" spans="1:7" s="290" customFormat="1" ht="15.95" customHeight="1">
      <c r="A32" s="282">
        <v>2</v>
      </c>
      <c r="B32" s="285" t="s">
        <v>22765</v>
      </c>
      <c r="C32" s="286">
        <v>45108</v>
      </c>
      <c r="D32" s="334" t="s">
        <v>22766</v>
      </c>
      <c r="E32" s="285" t="s">
        <v>22767</v>
      </c>
      <c r="F32" s="283">
        <v>6.61</v>
      </c>
      <c r="G32" s="271"/>
    </row>
    <row r="33" spans="1:7" s="290" customFormat="1" ht="15.95" customHeight="1">
      <c r="A33" s="282">
        <v>3</v>
      </c>
      <c r="B33" s="285" t="s">
        <v>22768</v>
      </c>
      <c r="C33" s="286">
        <v>45108</v>
      </c>
      <c r="D33" s="284" t="s">
        <v>22769</v>
      </c>
      <c r="E33" s="285" t="s">
        <v>22770</v>
      </c>
      <c r="F33" s="283">
        <v>6.25</v>
      </c>
      <c r="G33" s="271"/>
    </row>
    <row r="34" spans="1:7" s="290" customFormat="1" ht="15.95" customHeight="1">
      <c r="A34" s="282">
        <v>4</v>
      </c>
      <c r="B34" s="285" t="s">
        <v>22771</v>
      </c>
      <c r="C34" s="286">
        <v>45108</v>
      </c>
      <c r="D34" s="334" t="s">
        <v>22772</v>
      </c>
      <c r="E34" s="285" t="s">
        <v>22773</v>
      </c>
      <c r="F34" s="283">
        <v>6.22</v>
      </c>
      <c r="G34" s="271"/>
    </row>
    <row r="35" spans="1:7" s="290" customFormat="1" ht="15" customHeight="1">
      <c r="A35" s="282"/>
      <c r="B35" s="329"/>
      <c r="C35" s="283"/>
      <c r="D35" s="283"/>
      <c r="E35" s="283" t="s">
        <v>69</v>
      </c>
      <c r="F35" s="217">
        <f>AVERAGE(F31:F34)</f>
        <v>6.3949999999999996</v>
      </c>
      <c r="G35" s="258"/>
    </row>
    <row r="36" spans="1:7" s="290" customFormat="1" ht="30" customHeight="1">
      <c r="A36" s="280" t="s">
        <v>64</v>
      </c>
      <c r="B36" s="287" t="s">
        <v>89</v>
      </c>
      <c r="C36" s="280" t="s">
        <v>17672</v>
      </c>
      <c r="D36" s="281" t="s">
        <v>331</v>
      </c>
      <c r="E36" s="289" t="s">
        <v>17667</v>
      </c>
      <c r="F36" s="291">
        <f>F41</f>
        <v>10.47</v>
      </c>
      <c r="G36" s="271"/>
    </row>
    <row r="37" spans="1:7" s="290" customFormat="1" ht="30" customHeight="1">
      <c r="A37" s="294" t="s">
        <v>154</v>
      </c>
      <c r="B37" s="295" t="s">
        <v>22702</v>
      </c>
      <c r="C37" s="296" t="s">
        <v>22703</v>
      </c>
      <c r="D37" s="297" t="s">
        <v>22704</v>
      </c>
      <c r="E37" s="297" t="s">
        <v>22705</v>
      </c>
      <c r="F37" s="296" t="s">
        <v>159</v>
      </c>
      <c r="G37" s="270"/>
    </row>
    <row r="38" spans="1:7" s="290" customFormat="1" ht="15.95" customHeight="1">
      <c r="A38" s="282">
        <v>1</v>
      </c>
      <c r="B38" s="285" t="s">
        <v>124</v>
      </c>
      <c r="C38" s="286">
        <v>44743</v>
      </c>
      <c r="D38" s="284" t="s">
        <v>87</v>
      </c>
      <c r="E38" s="285" t="s">
        <v>127</v>
      </c>
      <c r="F38" s="335">
        <v>14.77</v>
      </c>
      <c r="G38" s="279"/>
    </row>
    <row r="39" spans="1:7" s="290" customFormat="1" ht="15.95" customHeight="1">
      <c r="A39" s="282">
        <v>2</v>
      </c>
      <c r="B39" s="285" t="s">
        <v>125</v>
      </c>
      <c r="C39" s="286">
        <v>44743</v>
      </c>
      <c r="D39" s="284" t="s">
        <v>91</v>
      </c>
      <c r="E39" s="285" t="s">
        <v>128</v>
      </c>
      <c r="F39" s="335">
        <v>7.8</v>
      </c>
      <c r="G39" s="279"/>
    </row>
    <row r="40" spans="1:7" s="290" customFormat="1" ht="15.95" customHeight="1">
      <c r="A40" s="282">
        <v>3</v>
      </c>
      <c r="B40" s="285" t="s">
        <v>126</v>
      </c>
      <c r="C40" s="286">
        <v>44743</v>
      </c>
      <c r="D40" s="284" t="s">
        <v>109</v>
      </c>
      <c r="E40" s="285" t="s">
        <v>129</v>
      </c>
      <c r="F40" s="335">
        <v>8.84</v>
      </c>
      <c r="G40" s="279"/>
    </row>
    <row r="41" spans="1:7" s="290" customFormat="1" ht="15" customHeight="1">
      <c r="A41" s="282"/>
      <c r="B41" s="329"/>
      <c r="C41" s="283"/>
      <c r="D41" s="283"/>
      <c r="E41" s="283" t="s">
        <v>69</v>
      </c>
      <c r="F41" s="217">
        <f>AVERAGE(F38:F40)</f>
        <v>10.47</v>
      </c>
      <c r="G41" s="258"/>
    </row>
    <row r="42" spans="1:7" s="290" customFormat="1" ht="45.75" customHeight="1">
      <c r="A42" s="280" t="s">
        <v>65</v>
      </c>
      <c r="B42" s="287" t="s">
        <v>140</v>
      </c>
      <c r="C42" s="280" t="s">
        <v>17672</v>
      </c>
      <c r="D42" s="281" t="s">
        <v>331</v>
      </c>
      <c r="E42" s="289" t="s">
        <v>17667</v>
      </c>
      <c r="F42" s="291">
        <f>F47</f>
        <v>980.88666666666666</v>
      </c>
      <c r="G42" s="271"/>
    </row>
    <row r="43" spans="1:7" s="290" customFormat="1" ht="30" customHeight="1">
      <c r="A43" s="294" t="s">
        <v>154</v>
      </c>
      <c r="B43" s="295" t="s">
        <v>22702</v>
      </c>
      <c r="C43" s="296" t="s">
        <v>22703</v>
      </c>
      <c r="D43" s="297" t="s">
        <v>22704</v>
      </c>
      <c r="E43" s="297" t="s">
        <v>22705</v>
      </c>
      <c r="F43" s="296" t="s">
        <v>159</v>
      </c>
      <c r="G43" s="270"/>
    </row>
    <row r="44" spans="1:7" s="290" customFormat="1" ht="15.95" customHeight="1">
      <c r="A44" s="282">
        <v>1</v>
      </c>
      <c r="B44" s="285" t="s">
        <v>124</v>
      </c>
      <c r="C44" s="286">
        <v>44743</v>
      </c>
      <c r="D44" s="284" t="s">
        <v>87</v>
      </c>
      <c r="E44" s="285" t="s">
        <v>127</v>
      </c>
      <c r="F44" s="335">
        <v>1086.5999999999999</v>
      </c>
      <c r="G44" s="279"/>
    </row>
    <row r="45" spans="1:7" s="290" customFormat="1" ht="15.95" customHeight="1">
      <c r="A45" s="282">
        <v>2</v>
      </c>
      <c r="B45" s="285" t="s">
        <v>22768</v>
      </c>
      <c r="C45" s="286">
        <v>45108</v>
      </c>
      <c r="D45" s="284" t="s">
        <v>22769</v>
      </c>
      <c r="E45" s="285" t="s">
        <v>22770</v>
      </c>
      <c r="F45" s="283">
        <v>929.23</v>
      </c>
      <c r="G45" s="279"/>
    </row>
    <row r="46" spans="1:7" s="290" customFormat="1" ht="15" customHeight="1">
      <c r="A46" s="282">
        <v>3</v>
      </c>
      <c r="B46" s="285" t="s">
        <v>126</v>
      </c>
      <c r="C46" s="286">
        <v>44743</v>
      </c>
      <c r="D46" s="284" t="s">
        <v>109</v>
      </c>
      <c r="E46" s="285" t="s">
        <v>129</v>
      </c>
      <c r="F46" s="335">
        <v>926.83</v>
      </c>
      <c r="G46" s="258"/>
    </row>
    <row r="47" spans="1:7" s="290" customFormat="1">
      <c r="A47" s="282"/>
      <c r="B47" s="329"/>
      <c r="C47" s="283"/>
      <c r="D47" s="283"/>
      <c r="E47" s="283" t="s">
        <v>69</v>
      </c>
      <c r="F47" s="217">
        <f>AVERAGE(F44:F46)</f>
        <v>980.88666666666666</v>
      </c>
      <c r="G47" s="271"/>
    </row>
    <row r="48" spans="1:7" s="290" customFormat="1" ht="30" customHeight="1">
      <c r="A48" s="280" t="s">
        <v>66</v>
      </c>
      <c r="B48" s="287" t="s">
        <v>90</v>
      </c>
      <c r="C48" s="280" t="s">
        <v>17672</v>
      </c>
      <c r="D48" s="281" t="s">
        <v>331</v>
      </c>
      <c r="E48" s="289" t="s">
        <v>17667</v>
      </c>
      <c r="F48" s="291">
        <f>F53</f>
        <v>153.62333333333333</v>
      </c>
      <c r="G48" s="270"/>
    </row>
    <row r="49" spans="1:7" s="290" customFormat="1" ht="15.95" customHeight="1">
      <c r="A49" s="294" t="s">
        <v>154</v>
      </c>
      <c r="B49" s="295" t="s">
        <v>22702</v>
      </c>
      <c r="C49" s="296" t="s">
        <v>22703</v>
      </c>
      <c r="D49" s="297" t="s">
        <v>22704</v>
      </c>
      <c r="E49" s="297" t="s">
        <v>22705</v>
      </c>
      <c r="F49" s="296" t="s">
        <v>159</v>
      </c>
      <c r="G49" s="279"/>
    </row>
    <row r="50" spans="1:7" s="290" customFormat="1" ht="15.95" customHeight="1">
      <c r="A50" s="282">
        <v>1</v>
      </c>
      <c r="B50" s="285" t="s">
        <v>124</v>
      </c>
      <c r="C50" s="286">
        <v>44743</v>
      </c>
      <c r="D50" s="284" t="s">
        <v>87</v>
      </c>
      <c r="E50" s="285" t="s">
        <v>127</v>
      </c>
      <c r="F50" s="335">
        <v>112.07</v>
      </c>
      <c r="G50" s="279"/>
    </row>
    <row r="51" spans="1:7" s="290" customFormat="1" ht="15" customHeight="1">
      <c r="A51" s="282">
        <v>2</v>
      </c>
      <c r="B51" s="285" t="s">
        <v>22768</v>
      </c>
      <c r="C51" s="286">
        <v>45108</v>
      </c>
      <c r="D51" s="284" t="s">
        <v>22769</v>
      </c>
      <c r="E51" s="285" t="s">
        <v>22770</v>
      </c>
      <c r="F51" s="283">
        <v>148.9</v>
      </c>
      <c r="G51" s="258"/>
    </row>
    <row r="52" spans="1:7" s="290" customFormat="1" ht="30" customHeight="1">
      <c r="A52" s="282">
        <v>3</v>
      </c>
      <c r="B52" s="285" t="s">
        <v>126</v>
      </c>
      <c r="C52" s="286">
        <v>44743</v>
      </c>
      <c r="D52" s="284" t="s">
        <v>109</v>
      </c>
      <c r="E52" s="285" t="s">
        <v>129</v>
      </c>
      <c r="F52" s="335">
        <v>199.9</v>
      </c>
      <c r="G52" s="271"/>
    </row>
    <row r="53" spans="1:7" s="290" customFormat="1">
      <c r="A53" s="282"/>
      <c r="B53" s="329"/>
      <c r="C53" s="283"/>
      <c r="D53" s="283"/>
      <c r="E53" s="283" t="s">
        <v>69</v>
      </c>
      <c r="F53" s="217">
        <f>AVERAGE(F50:F52)</f>
        <v>153.62333333333333</v>
      </c>
      <c r="G53" s="270"/>
    </row>
    <row r="54" spans="1:7" s="290" customFormat="1" ht="15.95" customHeight="1">
      <c r="A54" s="280" t="s">
        <v>67</v>
      </c>
      <c r="B54" s="287" t="s">
        <v>132</v>
      </c>
      <c r="C54" s="280" t="s">
        <v>17672</v>
      </c>
      <c r="D54" s="281" t="s">
        <v>331</v>
      </c>
      <c r="E54" s="289" t="s">
        <v>17667</v>
      </c>
      <c r="F54" s="291">
        <f>F59</f>
        <v>1017149.9533333333</v>
      </c>
      <c r="G54" s="279"/>
    </row>
    <row r="55" spans="1:7" s="290" customFormat="1" ht="15.95" customHeight="1">
      <c r="A55" s="294" t="s">
        <v>154</v>
      </c>
      <c r="B55" s="295" t="s">
        <v>22702</v>
      </c>
      <c r="C55" s="296" t="s">
        <v>22703</v>
      </c>
      <c r="D55" s="297" t="s">
        <v>22704</v>
      </c>
      <c r="E55" s="297" t="s">
        <v>22705</v>
      </c>
      <c r="F55" s="296" t="s">
        <v>159</v>
      </c>
      <c r="G55" s="279"/>
    </row>
    <row r="56" spans="1:7" s="290" customFormat="1" ht="15.95" customHeight="1">
      <c r="A56" s="282">
        <v>1</v>
      </c>
      <c r="B56" s="285" t="s">
        <v>133</v>
      </c>
      <c r="C56" s="286">
        <v>44593</v>
      </c>
      <c r="D56" s="284"/>
      <c r="E56" s="285" t="s">
        <v>22774</v>
      </c>
      <c r="F56" s="335">
        <v>29.97</v>
      </c>
      <c r="G56" s="279"/>
    </row>
    <row r="57" spans="1:7" s="290" customFormat="1" ht="15" customHeight="1">
      <c r="A57" s="282">
        <v>2</v>
      </c>
      <c r="B57" s="285" t="s">
        <v>134</v>
      </c>
      <c r="C57" s="286">
        <v>44593</v>
      </c>
      <c r="D57" s="284"/>
      <c r="E57" s="285" t="s">
        <v>22775</v>
      </c>
      <c r="F57" s="335">
        <v>27.97</v>
      </c>
      <c r="G57" s="258"/>
    </row>
    <row r="58" spans="1:7">
      <c r="A58" s="282">
        <v>3</v>
      </c>
      <c r="B58" s="285" t="s">
        <v>135</v>
      </c>
      <c r="C58" s="286">
        <v>44593</v>
      </c>
      <c r="D58" s="284"/>
      <c r="E58" s="285" t="s">
        <v>22776</v>
      </c>
      <c r="F58" s="335">
        <v>43.9</v>
      </c>
    </row>
    <row r="59" spans="1:7" ht="31.5">
      <c r="A59" s="280" t="s">
        <v>22929</v>
      </c>
      <c r="B59" s="287" t="s">
        <v>23728</v>
      </c>
      <c r="C59" s="280" t="s">
        <v>17672</v>
      </c>
      <c r="D59" s="281"/>
      <c r="E59" s="289" t="s">
        <v>17667</v>
      </c>
      <c r="F59" s="291">
        <f>F64</f>
        <v>1017149.9533333333</v>
      </c>
    </row>
    <row r="60" spans="1:7">
      <c r="A60" s="294" t="s">
        <v>154</v>
      </c>
      <c r="B60" s="295" t="s">
        <v>22702</v>
      </c>
      <c r="C60" s="296" t="s">
        <v>22703</v>
      </c>
      <c r="D60" s="297" t="s">
        <v>22704</v>
      </c>
      <c r="E60" s="297" t="s">
        <v>22705</v>
      </c>
      <c r="F60" s="296" t="s">
        <v>159</v>
      </c>
    </row>
    <row r="61" spans="1:7" ht="31.5">
      <c r="A61" s="282">
        <v>1</v>
      </c>
      <c r="B61" s="285" t="s">
        <v>22956</v>
      </c>
      <c r="C61" s="286">
        <v>45139</v>
      </c>
      <c r="D61" s="384" t="s">
        <v>22957</v>
      </c>
      <c r="E61" s="285" t="s">
        <v>22958</v>
      </c>
      <c r="F61" s="385">
        <v>1121097.44</v>
      </c>
      <c r="G61" s="426"/>
    </row>
    <row r="62" spans="1:7">
      <c r="A62" s="282">
        <v>2</v>
      </c>
      <c r="B62" s="285" t="s">
        <v>22959</v>
      </c>
      <c r="C62" s="286">
        <v>45140</v>
      </c>
      <c r="D62" s="384" t="s">
        <v>22960</v>
      </c>
      <c r="E62" s="285" t="s">
        <v>22961</v>
      </c>
      <c r="F62" s="385">
        <v>1070352.42</v>
      </c>
      <c r="G62" s="426"/>
    </row>
    <row r="63" spans="1:7" ht="31.5">
      <c r="A63" s="282">
        <v>3</v>
      </c>
      <c r="B63" s="285" t="s">
        <v>22962</v>
      </c>
      <c r="C63" s="286">
        <v>45141</v>
      </c>
      <c r="D63" s="384" t="s">
        <v>22963</v>
      </c>
      <c r="E63" s="285" t="s">
        <v>22964</v>
      </c>
      <c r="F63" s="385">
        <v>860000</v>
      </c>
      <c r="G63" s="426"/>
    </row>
    <row r="64" spans="1:7">
      <c r="A64" s="282"/>
      <c r="B64" s="329"/>
      <c r="C64" s="283"/>
      <c r="D64" s="283"/>
      <c r="E64" s="283" t="s">
        <v>69</v>
      </c>
      <c r="F64" s="217">
        <f>AVERAGE(F61:F63)</f>
        <v>1017149.9533333333</v>
      </c>
    </row>
    <row r="65" spans="1:6" ht="31.5">
      <c r="A65" s="280" t="s">
        <v>23511</v>
      </c>
      <c r="B65" s="287" t="s">
        <v>23726</v>
      </c>
      <c r="C65" s="280" t="s">
        <v>17672</v>
      </c>
      <c r="D65" s="281"/>
      <c r="E65" s="289" t="s">
        <v>17667</v>
      </c>
      <c r="F65" s="291">
        <f t="shared" ref="F65" si="0">F70</f>
        <v>173834.89333333334</v>
      </c>
    </row>
    <row r="66" spans="1:6">
      <c r="A66" s="294" t="s">
        <v>154</v>
      </c>
      <c r="B66" s="295" t="s">
        <v>22702</v>
      </c>
      <c r="C66" s="296" t="s">
        <v>22703</v>
      </c>
      <c r="D66" s="297" t="s">
        <v>22704</v>
      </c>
      <c r="E66" s="297" t="s">
        <v>22705</v>
      </c>
      <c r="F66" s="296" t="s">
        <v>159</v>
      </c>
    </row>
    <row r="67" spans="1:6" ht="31.5">
      <c r="A67" s="282">
        <v>4</v>
      </c>
      <c r="B67" s="285" t="s">
        <v>22956</v>
      </c>
      <c r="C67" s="286">
        <v>45142</v>
      </c>
      <c r="D67" s="384" t="s">
        <v>22957</v>
      </c>
      <c r="E67" s="285" t="s">
        <v>23512</v>
      </c>
      <c r="F67" s="385">
        <v>134522.38</v>
      </c>
    </row>
    <row r="68" spans="1:6">
      <c r="A68" s="282">
        <v>5</v>
      </c>
      <c r="B68" s="285" t="s">
        <v>22959</v>
      </c>
      <c r="C68" s="286">
        <v>45143</v>
      </c>
      <c r="D68" s="384" t="s">
        <v>22960</v>
      </c>
      <c r="E68" s="285" t="s">
        <v>23513</v>
      </c>
      <c r="F68" s="385">
        <v>136982.29999999999</v>
      </c>
    </row>
    <row r="69" spans="1:6" ht="31.5">
      <c r="A69" s="282">
        <v>6</v>
      </c>
      <c r="B69" s="285" t="s">
        <v>22962</v>
      </c>
      <c r="C69" s="286">
        <v>45144</v>
      </c>
      <c r="D69" s="384" t="s">
        <v>22963</v>
      </c>
      <c r="E69" s="285" t="s">
        <v>23514</v>
      </c>
      <c r="F69" s="385">
        <v>250000</v>
      </c>
    </row>
    <row r="70" spans="1:6">
      <c r="A70" s="282"/>
      <c r="B70" s="329"/>
      <c r="C70" s="283"/>
      <c r="D70" s="283"/>
      <c r="E70" s="283" t="s">
        <v>69</v>
      </c>
      <c r="F70" s="217">
        <f t="shared" ref="F70" si="1">AVERAGE(F67:F69)</f>
        <v>173834.89333333334</v>
      </c>
    </row>
    <row r="71" spans="1:6" ht="31.5">
      <c r="A71" s="280" t="s">
        <v>23515</v>
      </c>
      <c r="B71" s="287" t="s">
        <v>23727</v>
      </c>
      <c r="C71" s="280" t="s">
        <v>17672</v>
      </c>
      <c r="D71" s="281"/>
      <c r="E71" s="289" t="s">
        <v>17667</v>
      </c>
      <c r="F71" s="291">
        <f t="shared" ref="F71" si="2">F76</f>
        <v>85176.373333333337</v>
      </c>
    </row>
    <row r="72" spans="1:6">
      <c r="A72" s="294" t="s">
        <v>154</v>
      </c>
      <c r="B72" s="295" t="s">
        <v>22702</v>
      </c>
      <c r="C72" s="296" t="s">
        <v>22703</v>
      </c>
      <c r="D72" s="297" t="s">
        <v>22704</v>
      </c>
      <c r="E72" s="297" t="s">
        <v>22705</v>
      </c>
      <c r="F72" s="296" t="s">
        <v>159</v>
      </c>
    </row>
    <row r="73" spans="1:6" ht="31.5">
      <c r="A73" s="282">
        <v>7</v>
      </c>
      <c r="B73" s="285" t="s">
        <v>22956</v>
      </c>
      <c r="C73" s="286">
        <v>45145</v>
      </c>
      <c r="D73" s="384" t="s">
        <v>22957</v>
      </c>
      <c r="E73" s="285" t="s">
        <v>23516</v>
      </c>
      <c r="F73" s="385">
        <v>78000</v>
      </c>
    </row>
    <row r="74" spans="1:6">
      <c r="A74" s="282">
        <v>8</v>
      </c>
      <c r="B74" s="285" t="s">
        <v>22959</v>
      </c>
      <c r="C74" s="286">
        <v>45146</v>
      </c>
      <c r="D74" s="384" t="s">
        <v>22960</v>
      </c>
      <c r="E74" s="285" t="s">
        <v>23517</v>
      </c>
      <c r="F74" s="385">
        <v>87529.12</v>
      </c>
    </row>
    <row r="75" spans="1:6" ht="31.5">
      <c r="A75" s="282">
        <v>9</v>
      </c>
      <c r="B75" s="285" t="s">
        <v>22962</v>
      </c>
      <c r="C75" s="286">
        <v>45147</v>
      </c>
      <c r="D75" s="384" t="s">
        <v>22963</v>
      </c>
      <c r="E75" s="285" t="s">
        <v>23518</v>
      </c>
      <c r="F75" s="385">
        <v>90000</v>
      </c>
    </row>
    <row r="76" spans="1:6">
      <c r="A76" s="282"/>
      <c r="B76" s="329"/>
      <c r="C76" s="283"/>
      <c r="D76" s="283"/>
      <c r="E76" s="283" t="s">
        <v>69</v>
      </c>
      <c r="F76" s="217">
        <f t="shared" ref="F76" si="3">AVERAGE(F73:F75)</f>
        <v>85176.373333333337</v>
      </c>
    </row>
  </sheetData>
  <autoFilter ref="A1:F57"/>
  <mergeCells count="5">
    <mergeCell ref="A9:F9"/>
    <mergeCell ref="A2:F2"/>
    <mergeCell ref="A3:F3"/>
    <mergeCell ref="A4:F4"/>
    <mergeCell ref="A5:F5"/>
  </mergeCells>
  <hyperlinks>
    <hyperlink ref="D15" r:id="rId1"/>
    <hyperlink ref="D21" r:id="rId2"/>
    <hyperlink ref="D32" r:id="rId3"/>
    <hyperlink ref="D34" r:id="rId4"/>
    <hyperlink ref="D61" r:id="rId5"/>
    <hyperlink ref="D62" r:id="rId6"/>
    <hyperlink ref="D63" r:id="rId7"/>
    <hyperlink ref="D67" r:id="rId8"/>
    <hyperlink ref="D73" r:id="rId9"/>
    <hyperlink ref="D68" r:id="rId10"/>
    <hyperlink ref="D74" r:id="rId11"/>
    <hyperlink ref="D69" r:id="rId12"/>
    <hyperlink ref="D75" r:id="rId13"/>
  </hyperlinks>
  <printOptions horizontalCentered="1"/>
  <pageMargins left="0.59055118110236227" right="0.31496062992125984" top="0.39370078740157483" bottom="0.86614173228346458" header="0.31496062992125984" footer="0.31496062992125984"/>
  <pageSetup paperSize="9" scale="70" fitToHeight="100" orientation="landscape" horizontalDpi="1200" verticalDpi="1200" r:id="rId14"/>
  <headerFooter>
    <oddFooter>&amp;L&amp;9AGÊNCIA DE ASSUNTOS METROPOLITANOS DO PARANÁ - AMEP
DIRETORIA DE OBRAS&amp;C&amp;9ENGª CIBELE CRISTINE MELLO FRANCZAK
DIRETORA DE OBRAS&amp;R&amp;9Página &amp;P de &amp;N</oddFooter>
  </headerFooter>
  <drawing r:id="rId1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tabColor theme="3" tint="0.59999389629810485"/>
  </sheetPr>
  <dimension ref="A2:H56"/>
  <sheetViews>
    <sheetView showGridLines="0" zoomScaleNormal="100" zoomScaleSheetLayoutView="100" workbookViewId="0">
      <selection activeCell="A9" sqref="A1:XFD9"/>
    </sheetView>
  </sheetViews>
  <sheetFormatPr defaultColWidth="9.140625" defaultRowHeight="15.75"/>
  <cols>
    <col min="1" max="1" width="21" style="175" bestFit="1" customWidth="1"/>
    <col min="2" max="2" width="8.7109375" style="184" customWidth="1"/>
    <col min="3" max="3" width="72.7109375" style="175" customWidth="1"/>
    <col min="4" max="4" width="45" style="175" customWidth="1"/>
    <col min="5" max="6" width="10.7109375" style="175" customWidth="1"/>
    <col min="7" max="16384" width="9.140625" style="175"/>
  </cols>
  <sheetData>
    <row r="2" spans="1:6" s="169" customFormat="1">
      <c r="A2" s="555" t="s">
        <v>167</v>
      </c>
      <c r="B2" s="555"/>
      <c r="C2" s="555"/>
      <c r="D2" s="555"/>
      <c r="E2" s="555"/>
      <c r="F2" s="555"/>
    </row>
    <row r="3" spans="1:6" s="169" customFormat="1">
      <c r="A3" s="556" t="s">
        <v>165</v>
      </c>
      <c r="B3" s="556"/>
      <c r="C3" s="556"/>
      <c r="D3" s="556"/>
      <c r="E3" s="556"/>
      <c r="F3" s="556"/>
    </row>
    <row r="4" spans="1:6" s="169" customFormat="1">
      <c r="A4" s="595"/>
      <c r="B4" s="595"/>
      <c r="C4" s="595"/>
      <c r="D4" s="595"/>
      <c r="E4" s="595"/>
      <c r="F4" s="595"/>
    </row>
    <row r="5" spans="1:6" s="169" customFormat="1">
      <c r="A5" s="595" t="s">
        <v>25931</v>
      </c>
      <c r="B5" s="595"/>
      <c r="C5" s="595"/>
      <c r="D5" s="595"/>
      <c r="E5" s="595"/>
      <c r="F5" s="595"/>
    </row>
    <row r="6" spans="1:6" s="169" customFormat="1">
      <c r="A6" s="170"/>
      <c r="B6" s="171"/>
      <c r="C6" s="172"/>
      <c r="D6" s="172"/>
      <c r="F6" s="173"/>
    </row>
    <row r="7" spans="1:6" s="169" customFormat="1">
      <c r="A7" s="170"/>
      <c r="B7" s="171"/>
      <c r="C7" s="172"/>
      <c r="D7" s="172"/>
      <c r="F7" s="173"/>
    </row>
    <row r="8" spans="1:6" s="169" customFormat="1">
      <c r="A8" s="170"/>
      <c r="B8" s="171"/>
      <c r="C8" s="172"/>
      <c r="D8" s="172"/>
      <c r="F8" s="173"/>
    </row>
    <row r="9" spans="1:6" s="50" customFormat="1">
      <c r="A9" s="576" t="s">
        <v>9050</v>
      </c>
      <c r="B9" s="576"/>
      <c r="C9" s="576"/>
      <c r="D9" s="576"/>
      <c r="E9" s="576"/>
      <c r="F9" s="576"/>
    </row>
    <row r="10" spans="1:6" ht="20.100000000000001" customHeight="1">
      <c r="A10" s="597" t="s">
        <v>9051</v>
      </c>
      <c r="B10" s="598" t="s">
        <v>156</v>
      </c>
      <c r="C10" s="174" t="s">
        <v>967</v>
      </c>
      <c r="D10" s="599" t="s">
        <v>9052</v>
      </c>
      <c r="E10" s="598" t="s">
        <v>9020</v>
      </c>
      <c r="F10" s="598"/>
    </row>
    <row r="11" spans="1:6" ht="20.100000000000001" customHeight="1">
      <c r="A11" s="597"/>
      <c r="B11" s="598"/>
      <c r="C11" s="423" t="s">
        <v>1186</v>
      </c>
      <c r="D11" s="599"/>
      <c r="E11" s="423" t="s">
        <v>9053</v>
      </c>
      <c r="F11" s="423" t="s">
        <v>9054</v>
      </c>
    </row>
    <row r="12" spans="1:6" s="178" customFormat="1" ht="24.95" customHeight="1">
      <c r="A12" s="600" t="s">
        <v>9055</v>
      </c>
      <c r="B12" s="179">
        <v>19880</v>
      </c>
      <c r="C12" s="176" t="s">
        <v>9059</v>
      </c>
      <c r="D12" s="177" t="s">
        <v>23730</v>
      </c>
      <c r="E12" s="185">
        <v>5</v>
      </c>
      <c r="F12" s="185">
        <v>14</v>
      </c>
    </row>
    <row r="13" spans="1:6" s="178" customFormat="1" ht="24.95" customHeight="1">
      <c r="A13" s="601"/>
      <c r="B13" s="179">
        <v>10150</v>
      </c>
      <c r="C13" s="176" t="s">
        <v>9060</v>
      </c>
      <c r="D13" s="424" t="s">
        <v>23730</v>
      </c>
      <c r="E13" s="185">
        <v>5</v>
      </c>
      <c r="F13" s="185">
        <v>14</v>
      </c>
    </row>
    <row r="14" spans="1:6" s="178" customFormat="1" ht="24.95" customHeight="1">
      <c r="A14" s="601"/>
      <c r="B14" s="179">
        <v>19860</v>
      </c>
      <c r="C14" s="176" t="s">
        <v>9061</v>
      </c>
      <c r="D14" s="424" t="s">
        <v>23730</v>
      </c>
      <c r="E14" s="185">
        <v>5</v>
      </c>
      <c r="F14" s="185">
        <v>14</v>
      </c>
    </row>
    <row r="15" spans="1:6" s="178" customFormat="1" ht="24.95" customHeight="1">
      <c r="A15" s="601"/>
      <c r="B15" s="179" t="s">
        <v>143</v>
      </c>
      <c r="C15" s="176" t="s">
        <v>9062</v>
      </c>
      <c r="D15" s="424" t="s">
        <v>23730</v>
      </c>
      <c r="E15" s="185">
        <v>5</v>
      </c>
      <c r="F15" s="185">
        <v>14</v>
      </c>
    </row>
    <row r="16" spans="1:6" s="178" customFormat="1" ht="24.95" customHeight="1">
      <c r="A16" s="602"/>
      <c r="B16" s="179" t="s">
        <v>111</v>
      </c>
      <c r="C16" s="176" t="s">
        <v>9063</v>
      </c>
      <c r="D16" s="424" t="s">
        <v>23730</v>
      </c>
      <c r="E16" s="185">
        <v>5</v>
      </c>
      <c r="F16" s="185">
        <v>14</v>
      </c>
    </row>
    <row r="17" spans="1:8" ht="20.100000000000001" customHeight="1">
      <c r="A17" s="597" t="s">
        <v>9051</v>
      </c>
      <c r="B17" s="598" t="s">
        <v>156</v>
      </c>
      <c r="C17" s="174" t="s">
        <v>967</v>
      </c>
      <c r="D17" s="599" t="s">
        <v>9052</v>
      </c>
      <c r="E17" s="598" t="s">
        <v>9020</v>
      </c>
      <c r="F17" s="598"/>
      <c r="H17" s="178"/>
    </row>
    <row r="18" spans="1:8" ht="20.100000000000001" customHeight="1">
      <c r="A18" s="597"/>
      <c r="B18" s="598"/>
      <c r="C18" s="423" t="s">
        <v>1186</v>
      </c>
      <c r="D18" s="599"/>
      <c r="E18" s="423" t="s">
        <v>9053</v>
      </c>
      <c r="F18" s="423" t="s">
        <v>9054</v>
      </c>
      <c r="H18" s="178"/>
    </row>
    <row r="19" spans="1:8" s="178" customFormat="1" ht="24.95" customHeight="1">
      <c r="A19" s="596" t="s">
        <v>113</v>
      </c>
      <c r="B19" s="179">
        <v>19010</v>
      </c>
      <c r="C19" s="180" t="s">
        <v>9064</v>
      </c>
      <c r="D19" s="181" t="s">
        <v>9086</v>
      </c>
      <c r="E19" s="185">
        <v>5</v>
      </c>
      <c r="F19" s="185">
        <v>14</v>
      </c>
    </row>
    <row r="20" spans="1:8" s="178" customFormat="1" ht="24.95" customHeight="1">
      <c r="A20" s="596"/>
      <c r="B20" s="179">
        <v>19400</v>
      </c>
      <c r="C20" s="180" t="s">
        <v>9065</v>
      </c>
      <c r="D20" s="181" t="s">
        <v>9086</v>
      </c>
      <c r="E20" s="185">
        <v>0</v>
      </c>
      <c r="F20" s="185">
        <v>7.3214285714285712</v>
      </c>
    </row>
    <row r="21" spans="1:8" s="178" customFormat="1" ht="24.95" customHeight="1">
      <c r="A21" s="596"/>
      <c r="B21" s="179">
        <v>19410</v>
      </c>
      <c r="C21" s="180" t="s">
        <v>9066</v>
      </c>
      <c r="D21" s="181" t="s">
        <v>9086</v>
      </c>
      <c r="E21" s="185">
        <v>0</v>
      </c>
      <c r="F21" s="185">
        <v>7.3214285714285712</v>
      </c>
    </row>
    <row r="22" spans="1:8" s="178" customFormat="1" ht="24.95" customHeight="1">
      <c r="A22" s="596"/>
      <c r="B22" s="179">
        <v>13200</v>
      </c>
      <c r="C22" s="176" t="s">
        <v>9067</v>
      </c>
      <c r="D22" s="424" t="s">
        <v>9087</v>
      </c>
      <c r="E22" s="185">
        <v>69</v>
      </c>
      <c r="F22" s="185">
        <v>14</v>
      </c>
    </row>
    <row r="23" spans="1:8" s="178" customFormat="1" ht="24.95" customHeight="1">
      <c r="A23" s="596"/>
      <c r="B23" s="179">
        <v>10000</v>
      </c>
      <c r="C23" s="176" t="s">
        <v>9068</v>
      </c>
      <c r="D23" s="424" t="s">
        <v>9088</v>
      </c>
      <c r="E23" s="185">
        <v>69</v>
      </c>
      <c r="F23" s="185">
        <v>14</v>
      </c>
    </row>
    <row r="24" spans="1:8" s="178" customFormat="1" ht="24.95" customHeight="1">
      <c r="A24" s="596"/>
      <c r="B24" s="179">
        <v>100130</v>
      </c>
      <c r="C24" s="176" t="s">
        <v>1233</v>
      </c>
      <c r="D24" s="424" t="s">
        <v>9088</v>
      </c>
      <c r="E24" s="185">
        <v>69</v>
      </c>
      <c r="F24" s="185">
        <v>14</v>
      </c>
    </row>
    <row r="25" spans="1:8" s="178" customFormat="1" ht="24.95" customHeight="1">
      <c r="A25" s="596"/>
      <c r="B25" s="179">
        <v>10030</v>
      </c>
      <c r="C25" s="176" t="s">
        <v>1469</v>
      </c>
      <c r="D25" s="424" t="s">
        <v>9086</v>
      </c>
      <c r="E25" s="185">
        <v>0</v>
      </c>
      <c r="F25" s="185">
        <v>23.892857142857142</v>
      </c>
    </row>
    <row r="26" spans="1:8" s="178" customFormat="1" ht="24.95" customHeight="1">
      <c r="A26" s="596"/>
      <c r="B26" s="179">
        <v>10650</v>
      </c>
      <c r="C26" s="176" t="s">
        <v>9069</v>
      </c>
      <c r="D26" s="424" t="s">
        <v>9086</v>
      </c>
      <c r="E26" s="185">
        <v>17</v>
      </c>
      <c r="F26" s="185">
        <v>14</v>
      </c>
    </row>
    <row r="27" spans="1:8" s="178" customFormat="1" ht="24.95" customHeight="1">
      <c r="A27" s="596"/>
      <c r="B27" s="179">
        <v>19130</v>
      </c>
      <c r="C27" s="176" t="s">
        <v>9070</v>
      </c>
      <c r="D27" s="424" t="s">
        <v>9086</v>
      </c>
      <c r="E27" s="185">
        <v>17</v>
      </c>
      <c r="F27" s="185">
        <v>14</v>
      </c>
    </row>
    <row r="28" spans="1:8" s="178" customFormat="1" ht="24.95" customHeight="1">
      <c r="A28" s="596"/>
      <c r="B28" s="179">
        <v>19000</v>
      </c>
      <c r="C28" s="176" t="s">
        <v>9071</v>
      </c>
      <c r="D28" s="424" t="s">
        <v>9089</v>
      </c>
      <c r="E28" s="185">
        <v>145</v>
      </c>
      <c r="F28" s="185">
        <v>14</v>
      </c>
    </row>
    <row r="29" spans="1:8" s="178" customFormat="1" ht="24.95" customHeight="1">
      <c r="A29" s="596"/>
      <c r="B29" s="179">
        <v>18100</v>
      </c>
      <c r="C29" s="176" t="s">
        <v>9072</v>
      </c>
      <c r="D29" s="424" t="s">
        <v>9090</v>
      </c>
      <c r="E29" s="185">
        <v>472</v>
      </c>
      <c r="F29" s="185">
        <v>14</v>
      </c>
    </row>
    <row r="30" spans="1:8" ht="20.100000000000001" customHeight="1">
      <c r="A30" s="597" t="s">
        <v>9051</v>
      </c>
      <c r="B30" s="598" t="s">
        <v>156</v>
      </c>
      <c r="C30" s="174" t="s">
        <v>967</v>
      </c>
      <c r="D30" s="599" t="s">
        <v>9052</v>
      </c>
      <c r="E30" s="598" t="s">
        <v>9020</v>
      </c>
      <c r="F30" s="598"/>
      <c r="H30" s="178"/>
    </row>
    <row r="31" spans="1:8" ht="20.100000000000001" customHeight="1">
      <c r="A31" s="597"/>
      <c r="B31" s="598"/>
      <c r="C31" s="423" t="s">
        <v>1186</v>
      </c>
      <c r="D31" s="599"/>
      <c r="E31" s="423" t="s">
        <v>9053</v>
      </c>
      <c r="F31" s="423" t="s">
        <v>9054</v>
      </c>
      <c r="H31" s="178"/>
    </row>
    <row r="32" spans="1:8" s="178" customFormat="1" ht="24.95" customHeight="1">
      <c r="A32" s="596" t="s">
        <v>9056</v>
      </c>
      <c r="B32" s="179">
        <v>10010</v>
      </c>
      <c r="C32" s="180" t="s">
        <v>9073</v>
      </c>
      <c r="D32" s="181" t="s">
        <v>9086</v>
      </c>
      <c r="E32" s="185">
        <v>0</v>
      </c>
      <c r="F32" s="185">
        <v>7.3214285714285712</v>
      </c>
    </row>
    <row r="33" spans="1:8" s="178" customFormat="1" ht="24.95" customHeight="1">
      <c r="A33" s="596"/>
      <c r="B33" s="179">
        <v>10040</v>
      </c>
      <c r="C33" s="180" t="s">
        <v>9074</v>
      </c>
      <c r="D33" s="181" t="s">
        <v>9086</v>
      </c>
      <c r="E33" s="185">
        <v>0</v>
      </c>
      <c r="F33" s="185">
        <v>7.3214285714285712</v>
      </c>
    </row>
    <row r="34" spans="1:8" s="178" customFormat="1" ht="24.95" customHeight="1">
      <c r="A34" s="596"/>
      <c r="B34" s="179">
        <v>10060</v>
      </c>
      <c r="C34" s="180" t="s">
        <v>9075</v>
      </c>
      <c r="D34" s="181" t="s">
        <v>9086</v>
      </c>
      <c r="E34" s="185">
        <v>0</v>
      </c>
      <c r="F34" s="185">
        <v>7.3214285714285712</v>
      </c>
    </row>
    <row r="35" spans="1:8" s="178" customFormat="1" ht="24.95" customHeight="1">
      <c r="A35" s="596"/>
      <c r="B35" s="179">
        <v>19980</v>
      </c>
      <c r="C35" s="180" t="s">
        <v>9076</v>
      </c>
      <c r="D35" s="181" t="s">
        <v>9086</v>
      </c>
      <c r="E35" s="185">
        <v>0</v>
      </c>
      <c r="F35" s="185">
        <v>7.3214285714285712</v>
      </c>
    </row>
    <row r="36" spans="1:8" s="178" customFormat="1" ht="24.95" customHeight="1">
      <c r="A36" s="596"/>
      <c r="B36" s="179">
        <v>11000</v>
      </c>
      <c r="C36" s="180" t="s">
        <v>9077</v>
      </c>
      <c r="D36" s="182" t="s">
        <v>9091</v>
      </c>
      <c r="E36" s="185">
        <v>34</v>
      </c>
      <c r="F36" s="185">
        <v>14</v>
      </c>
    </row>
    <row r="37" spans="1:8" s="178" customFormat="1" ht="24.95" customHeight="1">
      <c r="A37" s="596"/>
      <c r="B37" s="179">
        <v>11000</v>
      </c>
      <c r="C37" s="180" t="s">
        <v>9078</v>
      </c>
      <c r="D37" s="182" t="s">
        <v>9091</v>
      </c>
      <c r="E37" s="185">
        <v>34</v>
      </c>
      <c r="F37" s="185">
        <v>14</v>
      </c>
    </row>
    <row r="38" spans="1:8" s="178" customFormat="1" ht="24.95" customHeight="1">
      <c r="A38" s="596"/>
      <c r="B38" s="179">
        <v>19870</v>
      </c>
      <c r="C38" s="176" t="s">
        <v>9079</v>
      </c>
      <c r="D38" s="424" t="s">
        <v>9092</v>
      </c>
      <c r="E38" s="185">
        <v>0</v>
      </c>
      <c r="F38" s="185">
        <v>9.75</v>
      </c>
    </row>
    <row r="39" spans="1:8" s="178" customFormat="1" ht="24.95" customHeight="1">
      <c r="A39" s="596"/>
      <c r="B39" s="179">
        <v>19990</v>
      </c>
      <c r="C39" s="176" t="s">
        <v>23522</v>
      </c>
      <c r="D39" s="424" t="s">
        <v>9092</v>
      </c>
      <c r="E39" s="185">
        <v>0</v>
      </c>
      <c r="F39" s="185">
        <v>9.75</v>
      </c>
    </row>
    <row r="40" spans="1:8" s="178" customFormat="1" ht="24.95" customHeight="1">
      <c r="A40" s="596"/>
      <c r="B40" s="179">
        <v>19440</v>
      </c>
      <c r="C40" s="176" t="s">
        <v>22746</v>
      </c>
      <c r="D40" s="424" t="s">
        <v>22747</v>
      </c>
      <c r="E40" s="185">
        <v>0</v>
      </c>
      <c r="F40" s="185">
        <v>7.3214285714285712</v>
      </c>
    </row>
    <row r="41" spans="1:8" s="178" customFormat="1" ht="24.95" customHeight="1">
      <c r="A41" s="596"/>
      <c r="B41" s="179">
        <v>19480</v>
      </c>
      <c r="C41" s="176" t="s">
        <v>23521</v>
      </c>
      <c r="D41" s="424" t="s">
        <v>22747</v>
      </c>
      <c r="E41" s="185">
        <v>0</v>
      </c>
      <c r="F41" s="185">
        <v>7.3214285714285712</v>
      </c>
    </row>
    <row r="42" spans="1:8" s="178" customFormat="1" ht="24.95" customHeight="1">
      <c r="A42" s="596"/>
      <c r="B42" s="179">
        <v>10015</v>
      </c>
      <c r="C42" s="176" t="s">
        <v>22763</v>
      </c>
      <c r="D42" s="424" t="s">
        <v>22764</v>
      </c>
      <c r="E42" s="185">
        <v>0</v>
      </c>
      <c r="F42" s="185">
        <v>18.892857142857142</v>
      </c>
    </row>
    <row r="43" spans="1:8">
      <c r="A43" s="596"/>
      <c r="B43" s="179">
        <v>19120</v>
      </c>
      <c r="C43" s="437" t="s">
        <v>1458</v>
      </c>
      <c r="D43" s="438" t="s">
        <v>9091</v>
      </c>
      <c r="E43" s="185">
        <v>40</v>
      </c>
      <c r="F43" s="185">
        <v>14</v>
      </c>
    </row>
    <row r="44" spans="1:8" ht="20.100000000000001" customHeight="1">
      <c r="A44" s="597" t="s">
        <v>9051</v>
      </c>
      <c r="B44" s="598" t="s">
        <v>156</v>
      </c>
      <c r="C44" s="174" t="s">
        <v>967</v>
      </c>
      <c r="D44" s="599" t="s">
        <v>9052</v>
      </c>
      <c r="E44" s="598" t="s">
        <v>9020</v>
      </c>
      <c r="F44" s="598"/>
      <c r="H44" s="178"/>
    </row>
    <row r="45" spans="1:8" ht="20.100000000000001" customHeight="1">
      <c r="A45" s="597"/>
      <c r="B45" s="598"/>
      <c r="C45" s="423" t="s">
        <v>1186</v>
      </c>
      <c r="D45" s="599"/>
      <c r="E45" s="423" t="s">
        <v>9053</v>
      </c>
      <c r="F45" s="423" t="s">
        <v>9054</v>
      </c>
      <c r="H45" s="178"/>
    </row>
    <row r="46" spans="1:8" s="178" customFormat="1" ht="24.95" customHeight="1">
      <c r="A46" s="596" t="s">
        <v>9057</v>
      </c>
      <c r="B46" s="179">
        <v>19490</v>
      </c>
      <c r="C46" s="180" t="s">
        <v>9080</v>
      </c>
      <c r="D46" s="181" t="s">
        <v>9092</v>
      </c>
      <c r="E46" s="185">
        <v>0</v>
      </c>
      <c r="F46" s="185">
        <v>0.5</v>
      </c>
    </row>
    <row r="47" spans="1:8" s="178" customFormat="1" ht="24.95" customHeight="1">
      <c r="A47" s="596"/>
      <c r="B47" s="179">
        <v>19100</v>
      </c>
      <c r="C47" s="180" t="s">
        <v>9081</v>
      </c>
      <c r="D47" s="181" t="s">
        <v>9086</v>
      </c>
      <c r="E47" s="185">
        <v>0</v>
      </c>
      <c r="F47" s="185">
        <v>28</v>
      </c>
    </row>
    <row r="48" spans="1:8" s="178" customFormat="1" ht="24.95" customHeight="1">
      <c r="A48" s="596"/>
      <c r="B48" s="179">
        <v>10200</v>
      </c>
      <c r="C48" s="176" t="s">
        <v>9082</v>
      </c>
      <c r="D48" s="424" t="s">
        <v>9088</v>
      </c>
      <c r="E48" s="185">
        <v>69</v>
      </c>
      <c r="F48" s="185">
        <v>22</v>
      </c>
    </row>
    <row r="49" spans="1:8" s="178" customFormat="1" ht="24.95" customHeight="1">
      <c r="A49" s="596"/>
      <c r="B49" s="179">
        <v>10530</v>
      </c>
      <c r="C49" s="183" t="s">
        <v>9083</v>
      </c>
      <c r="D49" s="182" t="s">
        <v>9091</v>
      </c>
      <c r="E49" s="185">
        <v>34</v>
      </c>
      <c r="F49" s="185">
        <v>22</v>
      </c>
    </row>
    <row r="50" spans="1:8" ht="20.100000000000001" customHeight="1">
      <c r="A50" s="597" t="s">
        <v>9051</v>
      </c>
      <c r="B50" s="598" t="s">
        <v>156</v>
      </c>
      <c r="C50" s="174" t="s">
        <v>967</v>
      </c>
      <c r="D50" s="599" t="s">
        <v>9052</v>
      </c>
      <c r="E50" s="598" t="s">
        <v>9020</v>
      </c>
      <c r="F50" s="598"/>
      <c r="H50" s="178"/>
    </row>
    <row r="51" spans="1:8" ht="20.100000000000001" customHeight="1">
      <c r="A51" s="597"/>
      <c r="B51" s="598"/>
      <c r="C51" s="423" t="s">
        <v>1186</v>
      </c>
      <c r="D51" s="599"/>
      <c r="E51" s="423" t="s">
        <v>9053</v>
      </c>
      <c r="F51" s="423" t="s">
        <v>9054</v>
      </c>
      <c r="H51" s="178"/>
    </row>
    <row r="52" spans="1:8" s="178" customFormat="1" ht="24.95" customHeight="1">
      <c r="A52" s="596" t="s">
        <v>9058</v>
      </c>
      <c r="B52" s="179">
        <v>10090</v>
      </c>
      <c r="C52" s="180" t="s">
        <v>9084</v>
      </c>
      <c r="D52" s="181" t="s">
        <v>9092</v>
      </c>
      <c r="E52" s="185">
        <v>0</v>
      </c>
      <c r="F52" s="185">
        <v>5</v>
      </c>
    </row>
    <row r="53" spans="1:8" s="178" customFormat="1" ht="24.95" customHeight="1">
      <c r="A53" s="596"/>
      <c r="B53" s="179" t="s">
        <v>106</v>
      </c>
      <c r="C53" s="180" t="s">
        <v>9075</v>
      </c>
      <c r="D53" s="181" t="s">
        <v>9086</v>
      </c>
      <c r="E53" s="185">
        <v>0</v>
      </c>
      <c r="F53" s="185">
        <v>0.5</v>
      </c>
    </row>
    <row r="54" spans="1:8" s="178" customFormat="1" ht="24.95" customHeight="1">
      <c r="A54" s="596"/>
      <c r="B54" s="179">
        <v>19390</v>
      </c>
      <c r="C54" s="180" t="s">
        <v>9085</v>
      </c>
      <c r="D54" s="181" t="s">
        <v>9092</v>
      </c>
      <c r="E54" s="185">
        <v>0</v>
      </c>
      <c r="F54" s="185">
        <v>0.5</v>
      </c>
    </row>
    <row r="55" spans="1:8">
      <c r="A55" s="596"/>
      <c r="B55" s="179">
        <v>19111</v>
      </c>
      <c r="C55" s="437" t="s">
        <v>1246</v>
      </c>
      <c r="D55" s="424" t="s">
        <v>9087</v>
      </c>
      <c r="E55" s="185">
        <v>68</v>
      </c>
      <c r="F55" s="185">
        <v>11</v>
      </c>
    </row>
    <row r="56" spans="1:8">
      <c r="A56" s="596"/>
      <c r="B56" s="179">
        <v>19420</v>
      </c>
      <c r="C56" s="437" t="s">
        <v>1393</v>
      </c>
      <c r="D56" s="181" t="s">
        <v>9086</v>
      </c>
      <c r="E56" s="185">
        <v>0</v>
      </c>
      <c r="F56" s="185">
        <v>0.5</v>
      </c>
    </row>
  </sheetData>
  <sortState ref="A12:M36">
    <sortCondition ref="A12:A36"/>
  </sortState>
  <mergeCells count="30">
    <mergeCell ref="E50:F50"/>
    <mergeCell ref="D50:D51"/>
    <mergeCell ref="B50:B51"/>
    <mergeCell ref="A52:A56"/>
    <mergeCell ref="E30:F30"/>
    <mergeCell ref="A44:A45"/>
    <mergeCell ref="D44:D45"/>
    <mergeCell ref="E44:F44"/>
    <mergeCell ref="D30:D31"/>
    <mergeCell ref="B30:B31"/>
    <mergeCell ref="B44:B45"/>
    <mergeCell ref="A32:A43"/>
    <mergeCell ref="E10:F10"/>
    <mergeCell ref="A17:A18"/>
    <mergeCell ref="D17:D18"/>
    <mergeCell ref="E17:F17"/>
    <mergeCell ref="A12:A16"/>
    <mergeCell ref="D10:D11"/>
    <mergeCell ref="B10:B11"/>
    <mergeCell ref="B17:B18"/>
    <mergeCell ref="A2:F2"/>
    <mergeCell ref="A3:F3"/>
    <mergeCell ref="A4:F4"/>
    <mergeCell ref="A5:F5"/>
    <mergeCell ref="A9:F9"/>
    <mergeCell ref="A19:A29"/>
    <mergeCell ref="A46:A49"/>
    <mergeCell ref="A10:A11"/>
    <mergeCell ref="A30:A31"/>
    <mergeCell ref="A50:A51"/>
  </mergeCells>
  <printOptions horizontalCentered="1"/>
  <pageMargins left="0.59055118110236227" right="0.31496062992125984" top="0.39370078740157483" bottom="0.86614173228346458" header="0.31496062992125984" footer="0.31496062992125984"/>
  <pageSetup paperSize="9" scale="65" orientation="landscape" horizontalDpi="1200" verticalDpi="1200" r:id="rId1"/>
  <headerFooter>
    <oddFooter>&amp;L&amp;9AGÊNCIA DE ASSUNTOS METROPOLITANOS DO PARANÁ - AMEP
DIRETORIA DE OBRAS&amp;C&amp;9ENGª CIBELE CRISTINE MELLO FRANCZAK
DIRETORA DE OBRAS&amp;R&amp;9Página &amp;P de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05"/>
  <sheetViews>
    <sheetView showGridLines="0" view="pageBreakPreview" zoomScaleNormal="85" zoomScaleSheetLayoutView="100" workbookViewId="0">
      <pane xSplit="1" ySplit="12" topLeftCell="B93" activePane="bottomRight" state="frozen"/>
      <selection activeCell="B30" sqref="B30"/>
      <selection pane="topRight" activeCell="B30" sqref="B30"/>
      <selection pane="bottomLeft" activeCell="B30" sqref="B30"/>
      <selection pane="bottomRight" activeCell="B97" sqref="B97"/>
    </sheetView>
  </sheetViews>
  <sheetFormatPr defaultRowHeight="15.75"/>
  <cols>
    <col min="1" max="1" width="10.28515625" style="6" customWidth="1"/>
    <col min="2" max="2" width="67.42578125" style="45" customWidth="1"/>
    <col min="3" max="3" width="15.42578125" style="47" bestFit="1" customWidth="1"/>
    <col min="4" max="4" width="11.42578125" style="6" customWidth="1"/>
    <col min="5" max="5" width="21" style="47" bestFit="1" customWidth="1"/>
    <col min="6" max="6" width="10.42578125" style="456" bestFit="1" customWidth="1"/>
    <col min="7" max="7" width="15.85546875" style="49" customWidth="1"/>
    <col min="8" max="8" width="19.140625" style="455" customWidth="1"/>
    <col min="9" max="16384" width="9.140625" style="6"/>
  </cols>
  <sheetData>
    <row r="1" spans="1:8" s="175" customFormat="1">
      <c r="B1" s="184"/>
    </row>
    <row r="2" spans="1:8" s="169" customFormat="1">
      <c r="A2" s="555" t="s">
        <v>167</v>
      </c>
      <c r="B2" s="555"/>
      <c r="C2" s="555"/>
      <c r="D2" s="555"/>
      <c r="E2" s="555"/>
      <c r="F2" s="555"/>
    </row>
    <row r="3" spans="1:8" s="169" customFormat="1">
      <c r="A3" s="556" t="s">
        <v>165</v>
      </c>
      <c r="B3" s="556"/>
      <c r="C3" s="556"/>
      <c r="D3" s="556"/>
      <c r="E3" s="556"/>
      <c r="F3" s="556"/>
    </row>
    <row r="4" spans="1:8" s="169" customFormat="1">
      <c r="A4" s="595"/>
      <c r="B4" s="595"/>
      <c r="C4" s="595"/>
      <c r="D4" s="595"/>
      <c r="E4" s="595"/>
      <c r="F4" s="595"/>
    </row>
    <row r="5" spans="1:8" s="169" customFormat="1">
      <c r="A5" s="595" t="s">
        <v>25931</v>
      </c>
      <c r="B5" s="595"/>
      <c r="C5" s="595"/>
      <c r="D5" s="595"/>
      <c r="E5" s="595"/>
      <c r="F5" s="595"/>
    </row>
    <row r="6" spans="1:8" s="169" customFormat="1">
      <c r="A6" s="170"/>
      <c r="B6" s="171"/>
      <c r="C6" s="172"/>
      <c r="D6" s="172"/>
      <c r="F6" s="173"/>
    </row>
    <row r="7" spans="1:8" s="169" customFormat="1">
      <c r="A7" s="170"/>
      <c r="B7" s="171"/>
      <c r="C7" s="172"/>
      <c r="D7" s="172"/>
      <c r="F7" s="173"/>
    </row>
    <row r="8" spans="1:8" s="169" customFormat="1">
      <c r="A8" s="170"/>
      <c r="B8" s="171"/>
      <c r="C8" s="172"/>
      <c r="D8" s="172"/>
      <c r="F8" s="173"/>
    </row>
    <row r="9" spans="1:8" s="50" customFormat="1">
      <c r="A9" s="606" t="s">
        <v>25932</v>
      </c>
      <c r="B9" s="607"/>
      <c r="C9" s="607"/>
      <c r="D9" s="607"/>
      <c r="E9" s="607"/>
      <c r="F9" s="607"/>
      <c r="G9" s="607"/>
      <c r="H9" s="607"/>
    </row>
    <row r="10" spans="1:8">
      <c r="A10" s="452" t="s">
        <v>156</v>
      </c>
      <c r="B10" s="452" t="s">
        <v>157</v>
      </c>
      <c r="C10" s="453" t="s">
        <v>166</v>
      </c>
      <c r="D10" s="452" t="s">
        <v>158</v>
      </c>
      <c r="E10" s="453" t="s">
        <v>332</v>
      </c>
      <c r="F10" s="454" t="s">
        <v>14</v>
      </c>
      <c r="G10" s="454" t="s">
        <v>25933</v>
      </c>
      <c r="H10" s="454" t="s">
        <v>25934</v>
      </c>
    </row>
    <row r="11" spans="1:8" ht="15.75" customHeight="1">
      <c r="A11" s="459">
        <v>502646</v>
      </c>
      <c r="B11" s="460" t="str">
        <f>VLOOKUP(A11,'13. CUSTOS DER - SERVIÇOS'!A:B,2,0)</f>
        <v>PAVIMENTO DE CONCRETO FCTMK=4,50MPA EXECUTADO COM RÉGUA VIBRATÓRIA</v>
      </c>
      <c r="C11" s="461">
        <v>30371.15</v>
      </c>
      <c r="D11" s="462" t="str">
        <f>VLOOKUP(A11,'13. CUSTOS DER - SERVIÇOS'!A:C,3,0)</f>
        <v>M3</v>
      </c>
      <c r="E11" s="463">
        <v>18373634.615500003</v>
      </c>
      <c r="F11" s="464">
        <f>E11/$E$205</f>
        <v>0.16695213554133723</v>
      </c>
      <c r="G11" s="465">
        <f>F11</f>
        <v>0.16695213554133723</v>
      </c>
      <c r="H11" s="466" t="s">
        <v>23668</v>
      </c>
    </row>
    <row r="12" spans="1:8">
      <c r="A12" s="459">
        <v>502615</v>
      </c>
      <c r="B12" s="460" t="str">
        <f>VLOOKUP(A12,'13. CUSTOS DER - SERVIÇOS'!A:B,2,0)</f>
        <v>CONCRETO COMPACTADO A ROLO FCK= 15MPA</v>
      </c>
      <c r="C12" s="461">
        <v>20114.48</v>
      </c>
      <c r="D12" s="462" t="str">
        <f>VLOOKUP(A12,'13. CUSTOS DER - SERVIÇOS'!A:C,3,0)</f>
        <v>M3</v>
      </c>
      <c r="E12" s="463">
        <v>9232546.3200000003</v>
      </c>
      <c r="F12" s="464">
        <f t="shared" ref="F12:F75" si="0">E12/$E$205</f>
        <v>8.3891584700829663E-2</v>
      </c>
      <c r="G12" s="465">
        <f>F12+G11</f>
        <v>0.25084372024216689</v>
      </c>
      <c r="H12" s="466" t="s">
        <v>23668</v>
      </c>
    </row>
    <row r="13" spans="1:8">
      <c r="A13" s="459">
        <v>531000</v>
      </c>
      <c r="B13" s="460" t="str">
        <f>VLOOKUP(A13,'13. CUSTOS DER - SERVIÇOS'!A:B,2,0)</f>
        <v>BRITA GRADUADA 100% PI</v>
      </c>
      <c r="C13" s="461">
        <v>42115.34</v>
      </c>
      <c r="D13" s="462" t="str">
        <f>VLOOKUP(A13,'13. CUSTOS DER - SERVIÇOS'!A:C,3,0)</f>
        <v>M3</v>
      </c>
      <c r="E13" s="463">
        <v>8769256.0947999991</v>
      </c>
      <c r="F13" s="464">
        <f t="shared" si="0"/>
        <v>7.968189543187483E-2</v>
      </c>
      <c r="G13" s="465">
        <f>F13+G12</f>
        <v>0.33052561567404171</v>
      </c>
      <c r="H13" s="466" t="s">
        <v>23668</v>
      </c>
    </row>
    <row r="14" spans="1:8" ht="31.5">
      <c r="A14" s="459" t="s">
        <v>22643</v>
      </c>
      <c r="B14" s="460" t="s">
        <v>217</v>
      </c>
      <c r="C14" s="461">
        <v>95484.07</v>
      </c>
      <c r="D14" s="462" t="s">
        <v>326</v>
      </c>
      <c r="E14" s="463">
        <v>7678828.9094000012</v>
      </c>
      <c r="F14" s="464">
        <f t="shared" si="0"/>
        <v>6.9773722603550345E-2</v>
      </c>
      <c r="G14" s="465">
        <f t="shared" ref="G14:G77" si="1">F14+G13</f>
        <v>0.40029933827759206</v>
      </c>
      <c r="H14" s="466" t="s">
        <v>23668</v>
      </c>
    </row>
    <row r="15" spans="1:8">
      <c r="A15" s="459" t="s">
        <v>22639</v>
      </c>
      <c r="B15" s="460" t="s">
        <v>214</v>
      </c>
      <c r="C15" s="461">
        <v>44348.29</v>
      </c>
      <c r="D15" s="462" t="s">
        <v>326</v>
      </c>
      <c r="E15" s="463">
        <v>3546976.2342000003</v>
      </c>
      <c r="F15" s="464">
        <f t="shared" si="0"/>
        <v>3.2229619746247766E-2</v>
      </c>
      <c r="G15" s="465">
        <f t="shared" si="1"/>
        <v>0.43252895802383984</v>
      </c>
      <c r="H15" s="466" t="s">
        <v>23668</v>
      </c>
    </row>
    <row r="16" spans="1:8" ht="31.5">
      <c r="A16" s="459" t="s">
        <v>22641</v>
      </c>
      <c r="B16" s="460" t="s">
        <v>216</v>
      </c>
      <c r="C16" s="461">
        <v>45861.36</v>
      </c>
      <c r="D16" s="462" t="s">
        <v>326</v>
      </c>
      <c r="E16" s="463">
        <v>2981905.6272</v>
      </c>
      <c r="F16" s="464">
        <f t="shared" si="0"/>
        <v>2.7095102458595557E-2</v>
      </c>
      <c r="G16" s="465">
        <f t="shared" si="1"/>
        <v>0.45962406048243537</v>
      </c>
      <c r="H16" s="466" t="s">
        <v>23668</v>
      </c>
    </row>
    <row r="17" spans="1:8">
      <c r="A17" s="459" t="s">
        <v>22654</v>
      </c>
      <c r="B17" s="460" t="s">
        <v>259</v>
      </c>
      <c r="C17" s="461">
        <v>19822</v>
      </c>
      <c r="D17" s="467" t="s">
        <v>328</v>
      </c>
      <c r="E17" s="463">
        <v>2915023.32</v>
      </c>
      <c r="F17" s="464">
        <f t="shared" si="0"/>
        <v>2.6487375993438141E-2</v>
      </c>
      <c r="G17" s="465">
        <f t="shared" si="1"/>
        <v>0.48611143647587352</v>
      </c>
      <c r="H17" s="466" t="s">
        <v>23668</v>
      </c>
    </row>
    <row r="18" spans="1:8" ht="31.5">
      <c r="A18" s="459" t="s">
        <v>22640</v>
      </c>
      <c r="B18" s="460" t="s">
        <v>215</v>
      </c>
      <c r="C18" s="461">
        <v>48251.38</v>
      </c>
      <c r="D18" s="462" t="s">
        <v>326</v>
      </c>
      <c r="E18" s="463">
        <v>2857929.2373999995</v>
      </c>
      <c r="F18" s="464">
        <f t="shared" si="0"/>
        <v>2.5968590286836443E-2</v>
      </c>
      <c r="G18" s="465">
        <f t="shared" si="1"/>
        <v>0.51208002676270992</v>
      </c>
      <c r="H18" s="466" t="s">
        <v>23668</v>
      </c>
    </row>
    <row r="19" spans="1:8">
      <c r="A19" s="459">
        <v>650000</v>
      </c>
      <c r="B19" s="460" t="str">
        <f>VLOOKUP(A19,'13. CUSTOS DER - SERVIÇOS'!A:B,2,0)</f>
        <v>SARJETA TRIANGULAR CONCRETO - TIPO  1</v>
      </c>
      <c r="C19" s="461">
        <v>15133</v>
      </c>
      <c r="D19" s="462" t="str">
        <f>VLOOKUP(A19,'13. CUSTOS DER - SERVIÇOS'!A:C,3,0)</f>
        <v>M</v>
      </c>
      <c r="E19" s="463">
        <v>2581084.48</v>
      </c>
      <c r="F19" s="464">
        <f t="shared" si="0"/>
        <v>2.3453038822546287E-2</v>
      </c>
      <c r="G19" s="465">
        <f t="shared" si="1"/>
        <v>0.53553306558525615</v>
      </c>
      <c r="H19" s="466" t="s">
        <v>23668</v>
      </c>
    </row>
    <row r="20" spans="1:8" ht="31.5">
      <c r="A20" s="459" t="s">
        <v>22649</v>
      </c>
      <c r="B20" s="460" t="s">
        <v>248</v>
      </c>
      <c r="C20" s="461">
        <v>22406</v>
      </c>
      <c r="D20" s="467" t="s">
        <v>328</v>
      </c>
      <c r="E20" s="463">
        <v>2521795.2999999998</v>
      </c>
      <c r="F20" s="464">
        <f t="shared" si="0"/>
        <v>2.2914307350922026E-2</v>
      </c>
      <c r="G20" s="465">
        <f t="shared" si="1"/>
        <v>0.55844737293617819</v>
      </c>
      <c r="H20" s="466" t="s">
        <v>23668</v>
      </c>
    </row>
    <row r="21" spans="1:8">
      <c r="A21" s="459">
        <v>505416</v>
      </c>
      <c r="B21" s="460" t="str">
        <f>VLOOKUP(A21,'13. CUSTOS DER - SERVIÇOS'!A:B,2,0)</f>
        <v>CURA ÚMIDA DE PAVIMENTO DE CONCRETO COM MANTA DE CURA</v>
      </c>
      <c r="C21" s="461">
        <v>199124.09</v>
      </c>
      <c r="D21" s="462" t="str">
        <f>VLOOKUP(A21,'13. CUSTOS DER - SERVIÇOS'!A:C,3,0)</f>
        <v>M2</v>
      </c>
      <c r="E21" s="463">
        <v>2481086.1614000001</v>
      </c>
      <c r="F21" s="464">
        <f t="shared" si="0"/>
        <v>2.2544403531261616E-2</v>
      </c>
      <c r="G21" s="465">
        <f t="shared" si="1"/>
        <v>0.58099177646743982</v>
      </c>
      <c r="H21" s="466" t="s">
        <v>23668</v>
      </c>
    </row>
    <row r="22" spans="1:8">
      <c r="A22" s="468" t="s">
        <v>351</v>
      </c>
      <c r="B22" s="460" t="str">
        <f>VLOOKUP(A22,'5. CCU ADMINISTRAÇÃO LOCAL'!A:B,2,0)</f>
        <v>EQUIPE TÉCNICA GERENCIAL</v>
      </c>
      <c r="C22" s="461">
        <v>1</v>
      </c>
      <c r="D22" s="462" t="s">
        <v>331</v>
      </c>
      <c r="E22" s="463">
        <v>2393569</v>
      </c>
      <c r="F22" s="464">
        <f t="shared" si="0"/>
        <v>2.1749178345934379E-2</v>
      </c>
      <c r="G22" s="465">
        <f t="shared" si="1"/>
        <v>0.6027409548133742</v>
      </c>
      <c r="H22" s="466" t="s">
        <v>23668</v>
      </c>
    </row>
    <row r="23" spans="1:8">
      <c r="A23" s="459">
        <v>505415</v>
      </c>
      <c r="B23" s="460" t="str">
        <f>VLOOKUP(A23,'13. CUSTOS DER - SERVIÇOS'!A:B,2,0)</f>
        <v>CURA QUÍMICA DE PAVIMENTO DE CONCRETO</v>
      </c>
      <c r="C23" s="461">
        <v>199124.1</v>
      </c>
      <c r="D23" s="462" t="str">
        <f>VLOOKUP(A23,'13. CUSTOS DER - SERVIÇOS'!A:C,3,0)</f>
        <v>M2</v>
      </c>
      <c r="E23" s="463">
        <v>2106732.9780000001</v>
      </c>
      <c r="F23" s="464">
        <f t="shared" si="0"/>
        <v>1.9142841198972516E-2</v>
      </c>
      <c r="G23" s="465">
        <f t="shared" si="1"/>
        <v>0.62188379601234667</v>
      </c>
      <c r="H23" s="466" t="s">
        <v>23668</v>
      </c>
    </row>
    <row r="24" spans="1:8" ht="15.75" customHeight="1">
      <c r="A24" s="468" t="s">
        <v>360</v>
      </c>
      <c r="B24" s="460" t="str">
        <f>VLOOKUP(A24,'5. CCU ADMINISTRAÇÃO LOCAL'!A:B,2,0)</f>
        <v xml:space="preserve">DESPESAS COM TRANSPORTE </v>
      </c>
      <c r="C24" s="461">
        <v>1</v>
      </c>
      <c r="D24" s="462" t="s">
        <v>331</v>
      </c>
      <c r="E24" s="463">
        <v>2016706.85</v>
      </c>
      <c r="F24" s="464">
        <f t="shared" si="0"/>
        <v>1.8324818274349949E-2</v>
      </c>
      <c r="G24" s="465">
        <f t="shared" si="1"/>
        <v>0.64020861428669662</v>
      </c>
      <c r="H24" s="466" t="s">
        <v>23668</v>
      </c>
    </row>
    <row r="25" spans="1:8">
      <c r="A25" s="459" t="s">
        <v>22636</v>
      </c>
      <c r="B25" s="460" t="s">
        <v>211</v>
      </c>
      <c r="C25" s="461">
        <v>21269.94</v>
      </c>
      <c r="D25" s="462" t="s">
        <v>326</v>
      </c>
      <c r="E25" s="463">
        <v>1701169.8012000001</v>
      </c>
      <c r="F25" s="464">
        <f t="shared" si="0"/>
        <v>1.5457689083964797E-2</v>
      </c>
      <c r="G25" s="465">
        <f t="shared" si="1"/>
        <v>0.65566630337066145</v>
      </c>
      <c r="H25" s="466" t="s">
        <v>23668</v>
      </c>
    </row>
    <row r="26" spans="1:8" ht="31.5">
      <c r="A26" s="468">
        <v>822350</v>
      </c>
      <c r="B26" s="460" t="str">
        <f>VLOOKUP(A26,'13. CUSTOS DER - SERVIÇOS'!A:B,2,0)</f>
        <v>FAIXA DE SINALIZAÇÃO HORIZONTAL - TERMOPLÁSTICO POR ASPERSÃO - E=1,5MM</v>
      </c>
      <c r="C26" s="461">
        <v>24362.959999999999</v>
      </c>
      <c r="D26" s="462" t="str">
        <f>VLOOKUP(A26,'13. CUSTOS DER - SERVIÇOS'!A:C,3,0)</f>
        <v>M2</v>
      </c>
      <c r="E26" s="463">
        <v>1691033.0535999998</v>
      </c>
      <c r="F26" s="464">
        <f t="shared" si="0"/>
        <v>1.5365581469185307E-2</v>
      </c>
      <c r="G26" s="465">
        <f t="shared" si="1"/>
        <v>0.67103188483984677</v>
      </c>
      <c r="H26" s="466" t="s">
        <v>23668</v>
      </c>
    </row>
    <row r="27" spans="1:8">
      <c r="A27" s="468" t="s">
        <v>61</v>
      </c>
      <c r="B27" s="460" t="s">
        <v>314</v>
      </c>
      <c r="C27" s="461">
        <v>1</v>
      </c>
      <c r="D27" s="467" t="s">
        <v>329</v>
      </c>
      <c r="E27" s="463">
        <v>1602728.53</v>
      </c>
      <c r="F27" s="464">
        <f t="shared" si="0"/>
        <v>1.4563201912745042E-2</v>
      </c>
      <c r="G27" s="465">
        <f t="shared" si="1"/>
        <v>0.68559508675259184</v>
      </c>
      <c r="H27" s="466" t="s">
        <v>23668</v>
      </c>
    </row>
    <row r="28" spans="1:8">
      <c r="A28" s="468">
        <v>823000</v>
      </c>
      <c r="B28" s="460" t="str">
        <f>VLOOKUP(A28,'13. CUSTOS DER - SERVIÇOS'!A:B,2,0)</f>
        <v>DEFENSA SIMPLES SEMI-MALEÁVEL C/ ESPAÇADOR E CALÇO</v>
      </c>
      <c r="C28" s="461">
        <v>2527</v>
      </c>
      <c r="D28" s="462" t="str">
        <f>VLOOKUP(A28,'13. CUSTOS DER - SERVIÇOS'!A:C,3,0)</f>
        <v>M</v>
      </c>
      <c r="E28" s="463">
        <v>1545892.25</v>
      </c>
      <c r="F28" s="464">
        <f t="shared" si="0"/>
        <v>1.4046758730936011E-2</v>
      </c>
      <c r="G28" s="465">
        <f t="shared" si="1"/>
        <v>0.69964184548352781</v>
      </c>
      <c r="H28" s="466" t="s">
        <v>23668</v>
      </c>
    </row>
    <row r="29" spans="1:8" ht="31.5">
      <c r="A29" s="459">
        <v>502670</v>
      </c>
      <c r="B29" s="460" t="str">
        <f>VLOOKUP(A29,'13. CUSTOS DER - SERVIÇOS'!A:B,2,0)</f>
        <v>JUNTA TRANSVERSAL , INCLUSIVE CORTE, SELANTE A BASE DE SILICONE E CORDÃO DE POLIPROPILENO</v>
      </c>
      <c r="C29" s="461">
        <v>60895.199999999997</v>
      </c>
      <c r="D29" s="462" t="str">
        <f>VLOOKUP(A29,'13. CUSTOS DER - SERVIÇOS'!A:C,3,0)</f>
        <v>M</v>
      </c>
      <c r="E29" s="463">
        <v>1485233.9280000001</v>
      </c>
      <c r="F29" s="464">
        <f t="shared" si="0"/>
        <v>1.3495586542733742E-2</v>
      </c>
      <c r="G29" s="465">
        <f t="shared" si="1"/>
        <v>0.71313743202626156</v>
      </c>
      <c r="H29" s="466" t="s">
        <v>23668</v>
      </c>
    </row>
    <row r="30" spans="1:8">
      <c r="A30" s="469">
        <v>800000</v>
      </c>
      <c r="B30" s="470" t="str">
        <f>VLOOKUP(A30,'13. CUSTOS DER - SERVIÇOS'!A:B,2,0)</f>
        <v>ENLEIVAMENTO</v>
      </c>
      <c r="C30" s="471">
        <v>84086.8</v>
      </c>
      <c r="D30" s="472" t="str">
        <f>VLOOKUP(A30,'13. CUSTOS DER - SERVIÇOS'!A:C,3,0)</f>
        <v>M2</v>
      </c>
      <c r="E30" s="473">
        <v>1300822.7960000001</v>
      </c>
      <c r="F30" s="474">
        <f t="shared" si="0"/>
        <v>1.1819933741897984E-2</v>
      </c>
      <c r="G30" s="475">
        <f t="shared" si="1"/>
        <v>0.7249573657681595</v>
      </c>
      <c r="H30" s="476" t="s">
        <v>23669</v>
      </c>
    </row>
    <row r="31" spans="1:8" ht="15.75" customHeight="1">
      <c r="A31" s="469">
        <v>511200</v>
      </c>
      <c r="B31" s="470" t="str">
        <f>VLOOKUP(A31,'13. CUSTOS DER - SERVIÇOS'!A:B,2,0)</f>
        <v>REGULARIZAÇÃO COMPAC.SUBLEITO 100% PN (B)</v>
      </c>
      <c r="C31" s="471">
        <v>223262.73</v>
      </c>
      <c r="D31" s="472" t="str">
        <f>VLOOKUP(A31,'13. CUSTOS DER - SERVIÇOS'!A:C,3,0)</f>
        <v>M2</v>
      </c>
      <c r="E31" s="473">
        <v>1290458.5794000002</v>
      </c>
      <c r="F31" s="474">
        <f t="shared" si="0"/>
        <v>1.1725759228754936E-2</v>
      </c>
      <c r="G31" s="475">
        <f t="shared" si="1"/>
        <v>0.73668312499691446</v>
      </c>
      <c r="H31" s="476" t="s">
        <v>23669</v>
      </c>
    </row>
    <row r="32" spans="1:8">
      <c r="A32" s="477" t="s">
        <v>22929</v>
      </c>
      <c r="B32" s="470" t="str">
        <f>VLOOKUP(A32,'23. CUSTOS COTAÇÕES DE MERCADO'!A:F,2,0)</f>
        <v>ESTUDOS E PROGRAMAS DA LICENÇA AMBIENTAL SIMPLIFICADA</v>
      </c>
      <c r="C32" s="471">
        <v>1</v>
      </c>
      <c r="D32" s="472" t="s">
        <v>331</v>
      </c>
      <c r="E32" s="473">
        <v>1268047.32</v>
      </c>
      <c r="F32" s="474">
        <f t="shared" si="0"/>
        <v>1.1522119192621614E-2</v>
      </c>
      <c r="G32" s="475">
        <f t="shared" si="1"/>
        <v>0.74820524418953605</v>
      </c>
      <c r="H32" s="476" t="s">
        <v>23669</v>
      </c>
    </row>
    <row r="33" spans="1:8" ht="15.75" customHeight="1">
      <c r="A33" s="469" t="s">
        <v>22648</v>
      </c>
      <c r="B33" s="470" t="s">
        <v>22802</v>
      </c>
      <c r="C33" s="471">
        <v>1873</v>
      </c>
      <c r="D33" s="478" t="s">
        <v>328</v>
      </c>
      <c r="E33" s="473">
        <v>1214041.1399999999</v>
      </c>
      <c r="F33" s="474">
        <f t="shared" si="0"/>
        <v>1.103139173057534E-2</v>
      </c>
      <c r="G33" s="475">
        <f t="shared" si="1"/>
        <v>0.75923663592011137</v>
      </c>
      <c r="H33" s="476" t="s">
        <v>23669</v>
      </c>
    </row>
    <row r="34" spans="1:8" ht="15.75" customHeight="1">
      <c r="A34" s="469">
        <v>401100</v>
      </c>
      <c r="B34" s="470" t="str">
        <f>VLOOKUP(A34,'13. CUSTOS DER - SERVIÇOS'!A:B,2,0)</f>
        <v>COMPACTAÇÃO DE ATERROS 100% PN (B)</v>
      </c>
      <c r="C34" s="471">
        <v>146256.16</v>
      </c>
      <c r="D34" s="472" t="str">
        <f>VLOOKUP(A34,'13. CUSTOS DER - SERVIÇOS'!A:C,3,0)</f>
        <v>M3</v>
      </c>
      <c r="E34" s="473">
        <v>1213926.128</v>
      </c>
      <c r="F34" s="474">
        <f t="shared" si="0"/>
        <v>1.1030346673382537E-2</v>
      </c>
      <c r="G34" s="475">
        <f t="shared" si="1"/>
        <v>0.77026698259349391</v>
      </c>
      <c r="H34" s="476" t="s">
        <v>23669</v>
      </c>
    </row>
    <row r="35" spans="1:8" ht="15.75" customHeight="1">
      <c r="A35" s="469" t="s">
        <v>22675</v>
      </c>
      <c r="B35" s="470" t="s">
        <v>307</v>
      </c>
      <c r="C35" s="471">
        <v>23525.82</v>
      </c>
      <c r="D35" s="479" t="s">
        <v>326</v>
      </c>
      <c r="E35" s="473">
        <v>1000553.1246</v>
      </c>
      <c r="F35" s="474">
        <f t="shared" si="0"/>
        <v>9.091531663180507E-3</v>
      </c>
      <c r="G35" s="475">
        <f t="shared" si="1"/>
        <v>0.77935851425667446</v>
      </c>
      <c r="H35" s="476" t="s">
        <v>23669</v>
      </c>
    </row>
    <row r="36" spans="1:8" ht="15.75" customHeight="1">
      <c r="A36" s="469">
        <v>504840</v>
      </c>
      <c r="B36" s="470" t="str">
        <f>VLOOKUP(A36,'13. CUSTOS DER - SERVIÇOS'!A:B,2,0)</f>
        <v>FORNECIMENTO E APLICAÇÃO DE FIBRA DE POLIPROPILENO MULTIFILAMENTOS (0,600KG/ M³)</v>
      </c>
      <c r="C36" s="471">
        <v>18222.669999999998</v>
      </c>
      <c r="D36" s="472" t="str">
        <f>VLOOKUP(A36,'13. CUSTOS DER - SERVIÇOS'!A:C,3,0)</f>
        <v>KG</v>
      </c>
      <c r="E36" s="473">
        <v>952863.41429999995</v>
      </c>
      <c r="F36" s="474">
        <f t="shared" si="0"/>
        <v>8.6581988390251781E-3</v>
      </c>
      <c r="G36" s="475">
        <f t="shared" si="1"/>
        <v>0.78801671309569965</v>
      </c>
      <c r="H36" s="476" t="s">
        <v>23669</v>
      </c>
    </row>
    <row r="37" spans="1:8" ht="15.75" customHeight="1">
      <c r="A37" s="469" t="s">
        <v>22637</v>
      </c>
      <c r="B37" s="470" t="s">
        <v>212</v>
      </c>
      <c r="C37" s="471">
        <v>11538.48</v>
      </c>
      <c r="D37" s="472" t="s">
        <v>326</v>
      </c>
      <c r="E37" s="473">
        <v>922847.63039999991</v>
      </c>
      <c r="F37" s="474">
        <f t="shared" si="0"/>
        <v>8.3854602477273603E-3</v>
      </c>
      <c r="G37" s="475">
        <f t="shared" si="1"/>
        <v>0.796402173343427</v>
      </c>
      <c r="H37" s="476" t="s">
        <v>23669</v>
      </c>
    </row>
    <row r="38" spans="1:8" ht="15.75" customHeight="1">
      <c r="A38" s="469">
        <v>503110</v>
      </c>
      <c r="B38" s="470" t="str">
        <f>VLOOKUP(A38,'13. CUSTOS DER - SERVIÇOS'!A:B,2,0)</f>
        <v>FORNECIMENTO E APLICAÇÃO DE LONA PLÁSTICA PRETA 200 MICRAS</v>
      </c>
      <c r="C38" s="471">
        <v>199124.1</v>
      </c>
      <c r="D38" s="472" t="str">
        <f>VLOOKUP(A38,'13. CUSTOS DER - SERVIÇOS'!A:C,3,0)</f>
        <v>M2</v>
      </c>
      <c r="E38" s="473">
        <v>896058.45000000007</v>
      </c>
      <c r="F38" s="474">
        <f t="shared" si="0"/>
        <v>8.1420402075024888E-3</v>
      </c>
      <c r="G38" s="475">
        <f t="shared" si="1"/>
        <v>0.80454421355092953</v>
      </c>
      <c r="H38" s="476" t="s">
        <v>23669</v>
      </c>
    </row>
    <row r="39" spans="1:8" ht="31.5">
      <c r="A39" s="480">
        <v>502680</v>
      </c>
      <c r="B39" s="481" t="str">
        <f>VLOOKUP(A39,'13. CUSTOS DER - SERVIÇOS'!A:B,2,0)</f>
        <v>JUNTA LONGITUDINAL, INCLUSIVE CORTE, SELANTE A BASE DE SILICONE E CORDÃO DE POLIPROPILENO</v>
      </c>
      <c r="C39" s="482">
        <v>40016.620000000003</v>
      </c>
      <c r="D39" s="483" t="str">
        <f>VLOOKUP(A39,'13. CUSTOS DER - SERVIÇOS'!A:C,3,0)</f>
        <v>M</v>
      </c>
      <c r="E39" s="319">
        <v>744709.29820000008</v>
      </c>
      <c r="F39" s="484">
        <f t="shared" si="0"/>
        <v>6.7668052779875703E-3</v>
      </c>
      <c r="G39" s="485">
        <f t="shared" si="1"/>
        <v>0.8113110188289171</v>
      </c>
      <c r="H39" s="486" t="s">
        <v>23674</v>
      </c>
    </row>
    <row r="40" spans="1:8" ht="15.75" customHeight="1">
      <c r="A40" s="480">
        <v>92400</v>
      </c>
      <c r="B40" s="481" t="str">
        <f>VLOOKUP(A40,'21. CUSTOS SINAPI - SERVIÇOS'!A:B,2,0)</f>
        <v>EXECUÇÃO DE PAVIMENTO EM PISO INTERTRAVADO, COM BLOCO RETANGULAR DE 20 X 10 CM, ESPESSURA 10 CM. AF_10/2022</v>
      </c>
      <c r="C40" s="482">
        <v>7606.59</v>
      </c>
      <c r="D40" s="483" t="str">
        <f>VLOOKUP(A40,'21. CUSTOS SINAPI - SERVIÇOS'!A:C,3,0)</f>
        <v>M2</v>
      </c>
      <c r="E40" s="319">
        <v>714106.6692</v>
      </c>
      <c r="F40" s="484">
        <f t="shared" si="0"/>
        <v>6.4887343153474854E-3</v>
      </c>
      <c r="G40" s="485">
        <f t="shared" si="1"/>
        <v>0.81779975314426456</v>
      </c>
      <c r="H40" s="486" t="s">
        <v>23674</v>
      </c>
    </row>
    <row r="41" spans="1:8" ht="15.75" customHeight="1">
      <c r="A41" s="487" t="s">
        <v>352</v>
      </c>
      <c r="B41" s="481" t="str">
        <f>VLOOKUP(A41,'5. CCU ADMINISTRAÇÃO LOCAL'!A:B,2,0)</f>
        <v>EQUIPE TÉCNICA OPERACIONAL</v>
      </c>
      <c r="C41" s="482">
        <v>1</v>
      </c>
      <c r="D41" s="483" t="s">
        <v>331</v>
      </c>
      <c r="E41" s="319">
        <v>706976.62</v>
      </c>
      <c r="F41" s="484">
        <f t="shared" si="0"/>
        <v>6.423947082697795E-3</v>
      </c>
      <c r="G41" s="485">
        <f t="shared" si="1"/>
        <v>0.82422370022696234</v>
      </c>
      <c r="H41" s="486" t="s">
        <v>23674</v>
      </c>
    </row>
    <row r="42" spans="1:8" ht="15.75" customHeight="1">
      <c r="A42" s="480">
        <v>97096</v>
      </c>
      <c r="B42" s="481" t="str">
        <f>VLOOKUP(A42,'21. CUSTOS SINAPI - SERVIÇOS'!A:B,2,0)</f>
        <v>CONCRETAGEM DE RADIER, PISO DE CONCRETO OU LAJE SOBRE SOLO, FCK 30 MPA - LANÇAMENTO, ADENSAMENTO E ACABAMENTO. AF_09/2021</v>
      </c>
      <c r="C42" s="482">
        <v>1053.43</v>
      </c>
      <c r="D42" s="483" t="str">
        <f>VLOOKUP(A42,'21. CUSTOS SINAPI - SERVIÇOS'!A:C,3,0)</f>
        <v>M3</v>
      </c>
      <c r="E42" s="319">
        <v>686499.26240000001</v>
      </c>
      <c r="F42" s="484">
        <f t="shared" si="0"/>
        <v>6.2378794562805602E-3</v>
      </c>
      <c r="G42" s="485">
        <f t="shared" si="1"/>
        <v>0.83046157968324286</v>
      </c>
      <c r="H42" s="486" t="s">
        <v>23674</v>
      </c>
    </row>
    <row r="43" spans="1:8" ht="15.75" customHeight="1">
      <c r="A43" s="487" t="s">
        <v>22682</v>
      </c>
      <c r="B43" s="481" t="s">
        <v>317</v>
      </c>
      <c r="C43" s="482">
        <v>486</v>
      </c>
      <c r="D43" s="488" t="s">
        <v>330</v>
      </c>
      <c r="E43" s="319">
        <v>636864.12</v>
      </c>
      <c r="F43" s="484">
        <f t="shared" si="0"/>
        <v>5.7868694522725493E-3</v>
      </c>
      <c r="G43" s="485">
        <f t="shared" si="1"/>
        <v>0.83624844913551544</v>
      </c>
      <c r="H43" s="486" t="s">
        <v>23674</v>
      </c>
    </row>
    <row r="44" spans="1:8" ht="12.75" customHeight="1">
      <c r="A44" s="480">
        <v>660500</v>
      </c>
      <c r="B44" s="481" t="str">
        <f>VLOOKUP(A44,'13. CUSTOS DER - SERVIÇOS'!A:B,2,0)</f>
        <v>VALETA CONCRETO PROTEÇÃO ATERRO - TIPO 7A</v>
      </c>
      <c r="C44" s="482">
        <v>3840</v>
      </c>
      <c r="D44" s="483" t="str">
        <f>VLOOKUP(A44,'13. CUSTOS DER - SERVIÇOS'!A:C,3,0)</f>
        <v>M</v>
      </c>
      <c r="E44" s="319">
        <v>566630.39999999991</v>
      </c>
      <c r="F44" s="484">
        <f t="shared" si="0"/>
        <v>5.1486903556271545E-3</v>
      </c>
      <c r="G44" s="485">
        <f t="shared" si="1"/>
        <v>0.84139713949114259</v>
      </c>
      <c r="H44" s="486" t="s">
        <v>23674</v>
      </c>
    </row>
    <row r="45" spans="1:8">
      <c r="A45" s="487" t="s">
        <v>356</v>
      </c>
      <c r="B45" s="481" t="str">
        <f>VLOOKUP(A45,'5. CCU ADMINISTRAÇÃO LOCAL'!A:B,2,0)</f>
        <v>EQUIPE DE CONTROLE TECNOLÓGICO DE CAMPO</v>
      </c>
      <c r="C45" s="482">
        <v>2</v>
      </c>
      <c r="D45" s="483" t="s">
        <v>331</v>
      </c>
      <c r="E45" s="319">
        <v>546324.6</v>
      </c>
      <c r="F45" s="484">
        <f t="shared" si="0"/>
        <v>4.9641815883190582E-3</v>
      </c>
      <c r="G45" s="485">
        <f t="shared" si="1"/>
        <v>0.8463613210794616</v>
      </c>
      <c r="H45" s="486" t="s">
        <v>23674</v>
      </c>
    </row>
    <row r="46" spans="1:8">
      <c r="A46" s="480">
        <v>610900</v>
      </c>
      <c r="B46" s="481" t="str">
        <f>VLOOKUP(A46,'13. CUSTOS DER - SERVIÇOS'!A:B,2,0)</f>
        <v>CORPO DE BSTC 0,80M COM BERÇO</v>
      </c>
      <c r="C46" s="482">
        <v>607</v>
      </c>
      <c r="D46" s="483" t="str">
        <f>VLOOKUP(A46,'13. CUSTOS DER - SERVIÇOS'!A:C,3,0)</f>
        <v>M</v>
      </c>
      <c r="E46" s="319">
        <v>539610.86</v>
      </c>
      <c r="F46" s="484">
        <f t="shared" si="0"/>
        <v>4.9031771515853639E-3</v>
      </c>
      <c r="G46" s="485">
        <f t="shared" si="1"/>
        <v>0.851264498231047</v>
      </c>
      <c r="H46" s="486" t="s">
        <v>23674</v>
      </c>
    </row>
    <row r="47" spans="1:8">
      <c r="A47" s="487">
        <v>873000</v>
      </c>
      <c r="B47" s="481" t="str">
        <f>VLOOKUP(A47,'13. CUSTOS DER - SERVIÇOS'!A:B,2,0)</f>
        <v>TACHÃO REFLETIVO BIDIRECIONAL</v>
      </c>
      <c r="C47" s="482">
        <v>12960</v>
      </c>
      <c r="D47" s="483" t="str">
        <f>VLOOKUP(A47,'13. CUSTOS DER - SERVIÇOS'!A:C,3,0)</f>
        <v>UD</v>
      </c>
      <c r="E47" s="319">
        <v>513993.6</v>
      </c>
      <c r="F47" s="484">
        <f t="shared" si="0"/>
        <v>4.6704057727472471E-3</v>
      </c>
      <c r="G47" s="485">
        <f t="shared" si="1"/>
        <v>0.85593490400379424</v>
      </c>
      <c r="H47" s="486" t="s">
        <v>23674</v>
      </c>
    </row>
    <row r="48" spans="1:8">
      <c r="A48" s="487" t="s">
        <v>355</v>
      </c>
      <c r="B48" s="481" t="str">
        <f>VLOOKUP(A48,'5. CCU ADMINISTRAÇÃO LOCAL'!A:B,2,0)</f>
        <v>EQUIPE DE SEGURANÇA PATRIMONIAL</v>
      </c>
      <c r="C48" s="482">
        <v>1</v>
      </c>
      <c r="D48" s="483" t="s">
        <v>331</v>
      </c>
      <c r="E48" s="319">
        <v>510177.66</v>
      </c>
      <c r="F48" s="484">
        <f t="shared" si="0"/>
        <v>4.6357322122117517E-3</v>
      </c>
      <c r="G48" s="485">
        <f t="shared" si="1"/>
        <v>0.86057063621600594</v>
      </c>
      <c r="H48" s="486" t="s">
        <v>23674</v>
      </c>
    </row>
    <row r="49" spans="1:8">
      <c r="A49" s="487" t="s">
        <v>22667</v>
      </c>
      <c r="B49" s="481" t="s">
        <v>298</v>
      </c>
      <c r="C49" s="482">
        <v>4251.83</v>
      </c>
      <c r="D49" s="488" t="s">
        <v>328</v>
      </c>
      <c r="E49" s="319">
        <v>489980.88919999998</v>
      </c>
      <c r="F49" s="484">
        <f t="shared" si="0"/>
        <v>4.4522141393501967E-3</v>
      </c>
      <c r="G49" s="485">
        <f t="shared" si="1"/>
        <v>0.86502285035535609</v>
      </c>
      <c r="H49" s="486" t="s">
        <v>23674</v>
      </c>
    </row>
    <row r="50" spans="1:8">
      <c r="A50" s="489" t="s">
        <v>22653</v>
      </c>
      <c r="B50" s="481" t="s">
        <v>258</v>
      </c>
      <c r="C50" s="482">
        <v>3504</v>
      </c>
      <c r="D50" s="488" t="s">
        <v>328</v>
      </c>
      <c r="E50" s="319">
        <v>465261.12</v>
      </c>
      <c r="F50" s="484">
        <f t="shared" si="0"/>
        <v>4.2275978157760132E-3</v>
      </c>
      <c r="G50" s="485">
        <f t="shared" si="1"/>
        <v>0.86925044817113206</v>
      </c>
      <c r="H50" s="486" t="s">
        <v>23674</v>
      </c>
    </row>
    <row r="51" spans="1:8">
      <c r="A51" s="490">
        <v>860150</v>
      </c>
      <c r="B51" s="481" t="str">
        <f>VLOOKUP(A51,'13. CUSTOS DER - SERVIÇOS'!A:B,2,0)</f>
        <v>GABIÃO TIPO CAIXA 2X1X1,00M ZN/AL + PVC (NBR 8964)</v>
      </c>
      <c r="C51" s="482">
        <v>517.20000000000005</v>
      </c>
      <c r="D51" s="483" t="str">
        <f>VLOOKUP(A51,'13. CUSTOS DER - SERVIÇOS'!A:C,3,0)</f>
        <v>M3</v>
      </c>
      <c r="E51" s="319">
        <v>458585.72400000005</v>
      </c>
      <c r="F51" s="484">
        <f t="shared" si="0"/>
        <v>4.1669417920166246E-3</v>
      </c>
      <c r="G51" s="485">
        <f t="shared" si="1"/>
        <v>0.87341738996314866</v>
      </c>
      <c r="H51" s="486" t="s">
        <v>23674</v>
      </c>
    </row>
    <row r="52" spans="1:8">
      <c r="A52" s="490">
        <v>589220</v>
      </c>
      <c r="B52" s="481" t="str">
        <f>VLOOKUP(A52,'13. CUSTOS DER - SERVIÇOS'!A:B,2,0)</f>
        <v>FORNECIMENTO DE EMULSÃO ASFÁLTICA RM-1C</v>
      </c>
      <c r="C52" s="482">
        <v>96.69</v>
      </c>
      <c r="D52" s="483" t="str">
        <f>VLOOKUP(A52,'13. CUSTOS DER - SERVIÇOS'!A:C,3,0)</f>
        <v>T</v>
      </c>
      <c r="E52" s="319">
        <v>455757.0171</v>
      </c>
      <c r="F52" s="484">
        <f t="shared" si="0"/>
        <v>4.1412387306649463E-3</v>
      </c>
      <c r="G52" s="485">
        <f t="shared" si="1"/>
        <v>0.87755862869381362</v>
      </c>
      <c r="H52" s="486" t="s">
        <v>23674</v>
      </c>
    </row>
    <row r="53" spans="1:8" ht="31.5">
      <c r="A53" s="491">
        <v>93584</v>
      </c>
      <c r="B53" s="481" t="str">
        <f>VLOOKUP(A53,'21. CUSTOS SINAPI - SERVIÇOS'!A:B,2,0)</f>
        <v>EXECUÇÃO DE DEPÓSITO EM CANTEIRO DE OBRA EM CHAPA DE MADEIRA COMPENSADA, NÃO INCLUSO MOBILIÁRIO. AF_04/2016</v>
      </c>
      <c r="C53" s="482">
        <v>313.08</v>
      </c>
      <c r="D53" s="483" t="str">
        <f>VLOOKUP(A53,'21. CUSTOS SINAPI - SERVIÇOS'!A:C,3,0)</f>
        <v>M2</v>
      </c>
      <c r="E53" s="319">
        <v>436712.16120000003</v>
      </c>
      <c r="F53" s="484">
        <f t="shared" si="0"/>
        <v>3.9681875391005001E-3</v>
      </c>
      <c r="G53" s="485">
        <f t="shared" si="1"/>
        <v>0.88152681623291418</v>
      </c>
      <c r="H53" s="486" t="s">
        <v>23674</v>
      </c>
    </row>
    <row r="54" spans="1:8">
      <c r="A54" s="487" t="s">
        <v>359</v>
      </c>
      <c r="B54" s="481" t="str">
        <f>VLOOKUP(A54,'5. CCU ADMINISTRAÇÃO LOCAL'!A:B,2,0)</f>
        <v>EQUIPE DE TOPOGRAFIA</v>
      </c>
      <c r="C54" s="482">
        <v>2</v>
      </c>
      <c r="D54" s="483" t="s">
        <v>331</v>
      </c>
      <c r="E54" s="319">
        <v>435722.98</v>
      </c>
      <c r="F54" s="484">
        <f t="shared" si="0"/>
        <v>3.9591993384949413E-3</v>
      </c>
      <c r="G54" s="485">
        <f t="shared" si="1"/>
        <v>0.88548601557140916</v>
      </c>
      <c r="H54" s="486" t="s">
        <v>23674</v>
      </c>
    </row>
    <row r="55" spans="1:8" ht="47.25">
      <c r="A55" s="487" t="s">
        <v>22670</v>
      </c>
      <c r="B55" s="481" t="s">
        <v>302</v>
      </c>
      <c r="C55" s="482">
        <v>546.83000000000004</v>
      </c>
      <c r="D55" s="488" t="s">
        <v>328</v>
      </c>
      <c r="E55" s="319">
        <v>412873.0549000001</v>
      </c>
      <c r="F55" s="484">
        <f t="shared" si="0"/>
        <v>3.751573363981092E-3</v>
      </c>
      <c r="G55" s="485">
        <f t="shared" si="1"/>
        <v>0.88923758893539029</v>
      </c>
      <c r="H55" s="486" t="s">
        <v>23674</v>
      </c>
    </row>
    <row r="56" spans="1:8">
      <c r="A56" s="487">
        <v>831000</v>
      </c>
      <c r="B56" s="481" t="str">
        <f>VLOOKUP(A56,'13. CUSTOS DER - SERVIÇOS'!A:B,2,0)</f>
        <v>CERCA 4 FIOS C/ MOURÕES DE CONCRETO</v>
      </c>
      <c r="C56" s="482">
        <v>7947.31</v>
      </c>
      <c r="D56" s="483" t="str">
        <f>VLOOKUP(A56,'13. CUSTOS DER - SERVIÇOS'!A:C,3,0)</f>
        <v>M</v>
      </c>
      <c r="E56" s="319">
        <v>410637.50770000002</v>
      </c>
      <c r="F56" s="484">
        <f t="shared" si="0"/>
        <v>3.7312600516205309E-3</v>
      </c>
      <c r="G56" s="485">
        <f t="shared" si="1"/>
        <v>0.89296884898701079</v>
      </c>
      <c r="H56" s="486" t="s">
        <v>23674</v>
      </c>
    </row>
    <row r="57" spans="1:8">
      <c r="A57" s="487">
        <v>98510</v>
      </c>
      <c r="B57" s="481" t="s">
        <v>310</v>
      </c>
      <c r="C57" s="482">
        <v>5750</v>
      </c>
      <c r="D57" s="488" t="s">
        <v>329</v>
      </c>
      <c r="E57" s="319">
        <v>408767.5</v>
      </c>
      <c r="F57" s="484">
        <f t="shared" si="0"/>
        <v>3.7142682160078658E-3</v>
      </c>
      <c r="G57" s="485">
        <f t="shared" si="1"/>
        <v>0.89668311720301863</v>
      </c>
      <c r="H57" s="486" t="s">
        <v>23674</v>
      </c>
    </row>
    <row r="58" spans="1:8">
      <c r="A58" s="487" t="s">
        <v>357</v>
      </c>
      <c r="B58" s="481" t="str">
        <f>VLOOKUP(A58,'5. CCU ADMINISTRAÇÃO LOCAL'!A:B,2,0)</f>
        <v>EQUIPE DE CONTROLE TECNOLÓGICO DE LABORATÓRIO</v>
      </c>
      <c r="C58" s="482">
        <v>1</v>
      </c>
      <c r="D58" s="483" t="s">
        <v>331</v>
      </c>
      <c r="E58" s="319">
        <v>389849.01</v>
      </c>
      <c r="F58" s="484">
        <f t="shared" si="0"/>
        <v>3.5423652489132151E-3</v>
      </c>
      <c r="G58" s="485">
        <f t="shared" si="1"/>
        <v>0.90022548245193179</v>
      </c>
      <c r="H58" s="486" t="s">
        <v>23674</v>
      </c>
    </row>
    <row r="59" spans="1:8">
      <c r="A59" s="480">
        <v>610800</v>
      </c>
      <c r="B59" s="481" t="str">
        <f>VLOOKUP(A59,'13. CUSTOS DER - SERVIÇOS'!A:B,2,0)</f>
        <v>CORPO DE BSTC 0,80M SEM BERÇO</v>
      </c>
      <c r="C59" s="482">
        <v>573</v>
      </c>
      <c r="D59" s="483" t="str">
        <f>VLOOKUP(A59,'13. CUSTOS DER - SERVIÇOS'!A:C,3,0)</f>
        <v>M</v>
      </c>
      <c r="E59" s="319">
        <v>383749.55999999994</v>
      </c>
      <c r="F59" s="484">
        <f t="shared" si="0"/>
        <v>3.4869425617618894E-3</v>
      </c>
      <c r="G59" s="485">
        <f t="shared" si="1"/>
        <v>0.90371242501369364</v>
      </c>
      <c r="H59" s="486" t="s">
        <v>23674</v>
      </c>
    </row>
    <row r="60" spans="1:8" ht="31.5">
      <c r="A60" s="480">
        <v>804205</v>
      </c>
      <c r="B60" s="481" t="str">
        <f>UPPER(VLOOKUP(A60,'18. CUSTOS DNIT - SERVIÇOS'!A:B,2,0))</f>
        <v>CORPO DE BDTC D = 1,50 M PA1 - AREIA, BRITA E PEDRA DE MÃO COMERCIAIS</v>
      </c>
      <c r="C60" s="482">
        <v>100</v>
      </c>
      <c r="D60" s="483" t="str">
        <f>UPPER(VLOOKUP(A60,'18. CUSTOS DNIT - SERVIÇOS'!A:C,3,0))</f>
        <v>M</v>
      </c>
      <c r="E60" s="319">
        <v>333554</v>
      </c>
      <c r="F60" s="484">
        <f t="shared" si="0"/>
        <v>3.0308403200408245E-3</v>
      </c>
      <c r="G60" s="485">
        <f t="shared" si="1"/>
        <v>0.9067432653337345</v>
      </c>
      <c r="H60" s="486" t="s">
        <v>23674</v>
      </c>
    </row>
    <row r="61" spans="1:8" ht="31.5">
      <c r="A61" s="487" t="s">
        <v>22679</v>
      </c>
      <c r="B61" s="481" t="s">
        <v>313</v>
      </c>
      <c r="C61" s="482">
        <v>113</v>
      </c>
      <c r="D61" s="488" t="s">
        <v>329</v>
      </c>
      <c r="E61" s="319">
        <v>326719.16000000003</v>
      </c>
      <c r="F61" s="484">
        <f t="shared" si="0"/>
        <v>2.9687355074676644E-3</v>
      </c>
      <c r="G61" s="485">
        <f t="shared" si="1"/>
        <v>0.90971200084120218</v>
      </c>
      <c r="H61" s="486" t="s">
        <v>23674</v>
      </c>
    </row>
    <row r="62" spans="1:8">
      <c r="A62" s="487" t="s">
        <v>354</v>
      </c>
      <c r="B62" s="481" t="str">
        <f>VLOOKUP(A62,'5. CCU ADMINISTRAÇÃO LOCAL'!A:B,2,0)</f>
        <v>EQUIPE DE SEGURANÇA DO TRABALHO</v>
      </c>
      <c r="C62" s="482">
        <v>1</v>
      </c>
      <c r="D62" s="483" t="s">
        <v>331</v>
      </c>
      <c r="E62" s="319">
        <v>319709.73</v>
      </c>
      <c r="F62" s="484">
        <f t="shared" si="0"/>
        <v>2.9050442818655013E-3</v>
      </c>
      <c r="G62" s="485">
        <f t="shared" si="1"/>
        <v>0.91261704512306774</v>
      </c>
      <c r="H62" s="486" t="s">
        <v>23674</v>
      </c>
    </row>
    <row r="63" spans="1:8">
      <c r="A63" s="487" t="s">
        <v>22668</v>
      </c>
      <c r="B63" s="481" t="s">
        <v>299</v>
      </c>
      <c r="C63" s="482">
        <v>2803.41</v>
      </c>
      <c r="D63" s="488" t="s">
        <v>328</v>
      </c>
      <c r="E63" s="319">
        <v>316196.6139</v>
      </c>
      <c r="F63" s="484">
        <f t="shared" si="0"/>
        <v>2.8731223324214399E-3</v>
      </c>
      <c r="G63" s="485">
        <f t="shared" si="1"/>
        <v>0.91549016745548917</v>
      </c>
      <c r="H63" s="486" t="s">
        <v>23674</v>
      </c>
    </row>
    <row r="64" spans="1:8" ht="31.5">
      <c r="A64" s="480">
        <v>6817833</v>
      </c>
      <c r="B64" s="481" t="str">
        <f>UPPER(VLOOKUP(A64,'18. CUSTOS DNIT - SERVIÇOS'!A:B,2,0))</f>
        <v>CORPO DE BSCC - SEÇÃO FECHADA DE 1,5 X 1,5 M - PRÉ-MOLDADO - ALTURA DO ATERRO DE 2,50 A 5,00 M - AREIA E BRITA COMERCIAIS</v>
      </c>
      <c r="C64" s="482">
        <v>150</v>
      </c>
      <c r="D64" s="483" t="str">
        <f>UPPER(VLOOKUP(A64,'18. CUSTOS DNIT - SERVIÇOS'!A:C,3,0))</f>
        <v>M</v>
      </c>
      <c r="E64" s="319">
        <v>310038</v>
      </c>
      <c r="F64" s="484">
        <f t="shared" si="0"/>
        <v>2.8171620521559239E-3</v>
      </c>
      <c r="G64" s="485">
        <f t="shared" si="1"/>
        <v>0.91830732950764504</v>
      </c>
      <c r="H64" s="486" t="s">
        <v>23674</v>
      </c>
    </row>
    <row r="65" spans="1:8">
      <c r="A65" s="480">
        <v>610600</v>
      </c>
      <c r="B65" s="481" t="str">
        <f>VLOOKUP(A65,'13. CUSTOS DER - SERVIÇOS'!A:B,2,0)</f>
        <v>CORPO DE BSTC 0,60M SEM BERÇO</v>
      </c>
      <c r="C65" s="482">
        <v>762</v>
      </c>
      <c r="D65" s="483" t="str">
        <f>VLOOKUP(A65,'13. CUSTOS DER - SERVIÇOS'!A:C,3,0)</f>
        <v>M</v>
      </c>
      <c r="E65" s="319">
        <v>306651.65999999997</v>
      </c>
      <c r="F65" s="484">
        <f t="shared" si="0"/>
        <v>2.7863920544662934E-3</v>
      </c>
      <c r="G65" s="485">
        <f t="shared" si="1"/>
        <v>0.92109372156211133</v>
      </c>
      <c r="H65" s="486" t="s">
        <v>23674</v>
      </c>
    </row>
    <row r="66" spans="1:8" ht="47.25">
      <c r="A66" s="487" t="s">
        <v>22684</v>
      </c>
      <c r="B66" s="481" t="s">
        <v>319</v>
      </c>
      <c r="C66" s="482">
        <v>90</v>
      </c>
      <c r="D66" s="488" t="s">
        <v>329</v>
      </c>
      <c r="E66" s="319">
        <v>297109.8</v>
      </c>
      <c r="F66" s="484">
        <f t="shared" si="0"/>
        <v>2.6996898892511115E-3</v>
      </c>
      <c r="G66" s="485">
        <f t="shared" si="1"/>
        <v>0.9237934114513624</v>
      </c>
      <c r="H66" s="486" t="s">
        <v>23674</v>
      </c>
    </row>
    <row r="67" spans="1:8">
      <c r="A67" s="480">
        <v>413000</v>
      </c>
      <c r="B67" s="481" t="str">
        <f>VLOOKUP(A67,'13. CUSTOS DER - SERVIÇOS'!A:B,2,0)</f>
        <v>ESC. CARGA E TRANSP. 1A. CAT.  2000-3000M</v>
      </c>
      <c r="C67" s="482">
        <v>15507.57</v>
      </c>
      <c r="D67" s="483" t="str">
        <f>VLOOKUP(A67,'13. CUSTOS DER - SERVIÇOS'!A:C,3,0)</f>
        <v>M3</v>
      </c>
      <c r="E67" s="319">
        <v>261147.47879999998</v>
      </c>
      <c r="F67" s="484">
        <f t="shared" si="0"/>
        <v>2.3729180529211053E-3</v>
      </c>
      <c r="G67" s="485">
        <f t="shared" si="1"/>
        <v>0.92616632950428346</v>
      </c>
      <c r="H67" s="486" t="s">
        <v>23674</v>
      </c>
    </row>
    <row r="68" spans="1:8">
      <c r="A68" s="480" t="s">
        <v>22638</v>
      </c>
      <c r="B68" s="481" t="s">
        <v>213</v>
      </c>
      <c r="C68" s="482">
        <v>3186.77</v>
      </c>
      <c r="D68" s="483" t="s">
        <v>326</v>
      </c>
      <c r="E68" s="319">
        <v>254877.86460000003</v>
      </c>
      <c r="F68" s="484">
        <f t="shared" si="0"/>
        <v>2.3159491677976758E-3</v>
      </c>
      <c r="G68" s="485">
        <f t="shared" si="1"/>
        <v>0.92848227867208111</v>
      </c>
      <c r="H68" s="486" t="s">
        <v>23674</v>
      </c>
    </row>
    <row r="69" spans="1:8" ht="31.5">
      <c r="A69" s="480">
        <v>705224</v>
      </c>
      <c r="B69" s="481" t="str">
        <f>UPPER(VLOOKUP(A69,'18. CUSTOS DNIT - SERVIÇOS'!A:B,2,0))</f>
        <v>BOCA DE BSCC 1,50 X 1,50 M - ESCONSIDADE 0° - AREIA EXTRAÍDA E BRITA PRODUZIDA</v>
      </c>
      <c r="C69" s="482">
        <v>19</v>
      </c>
      <c r="D69" s="483" t="str">
        <f>UPPER(VLOOKUP(A69,'18. CUSTOS DNIT - SERVIÇOS'!A:C,3,0))</f>
        <v>UN</v>
      </c>
      <c r="E69" s="319">
        <v>250244.82</v>
      </c>
      <c r="F69" s="484">
        <f t="shared" si="0"/>
        <v>2.2738509816622151E-3</v>
      </c>
      <c r="G69" s="485">
        <f t="shared" si="1"/>
        <v>0.93075612965374332</v>
      </c>
      <c r="H69" s="486" t="s">
        <v>23674</v>
      </c>
    </row>
    <row r="70" spans="1:8">
      <c r="A70" s="487" t="s">
        <v>22676</v>
      </c>
      <c r="B70" s="481" t="s">
        <v>308</v>
      </c>
      <c r="C70" s="482">
        <v>6708.54</v>
      </c>
      <c r="D70" s="488" t="s">
        <v>328</v>
      </c>
      <c r="E70" s="319">
        <v>237079.80360000001</v>
      </c>
      <c r="F70" s="484">
        <f t="shared" si="0"/>
        <v>2.1542269851905233E-3</v>
      </c>
      <c r="G70" s="485">
        <f t="shared" si="1"/>
        <v>0.93291035663893385</v>
      </c>
      <c r="H70" s="486" t="s">
        <v>23674</v>
      </c>
    </row>
    <row r="71" spans="1:8">
      <c r="A71" s="480">
        <v>602100</v>
      </c>
      <c r="B71" s="481" t="str">
        <f>VLOOKUP(A71,'13. CUSTOS DER - SERVIÇOS'!A:B,2,0)</f>
        <v>FORMAS DE MADEIRA COMPENSADA  RESINADA</v>
      </c>
      <c r="C71" s="482">
        <v>2424.12</v>
      </c>
      <c r="D71" s="483" t="str">
        <f>VLOOKUP(A71,'13. CUSTOS DER - SERVIÇOS'!A:C,3,0)</f>
        <v>M2</v>
      </c>
      <c r="E71" s="319">
        <v>236715.318</v>
      </c>
      <c r="F71" s="484">
        <f t="shared" si="0"/>
        <v>2.150915084710978E-3</v>
      </c>
      <c r="G71" s="485">
        <f t="shared" si="1"/>
        <v>0.93506127172364484</v>
      </c>
      <c r="H71" s="486" t="s">
        <v>23674</v>
      </c>
    </row>
    <row r="72" spans="1:8">
      <c r="A72" s="491" t="s">
        <v>23511</v>
      </c>
      <c r="B72" s="481" t="str">
        <f>VLOOKUP(A72,'23. CUSTOS COTAÇÕES DE MERCADO'!A:F,2,0)</f>
        <v>ESTUDOS E PROGRAMAS DA AUTORIZAÇÃO AMBIENTAL DE FAUNA</v>
      </c>
      <c r="C72" s="482">
        <v>1</v>
      </c>
      <c r="D72" s="483" t="s">
        <v>331</v>
      </c>
      <c r="E72" s="319">
        <v>216714.23</v>
      </c>
      <c r="F72" s="484">
        <f t="shared" si="0"/>
        <v>1.9691750847257139E-3</v>
      </c>
      <c r="G72" s="485">
        <f t="shared" si="1"/>
        <v>0.93703044680837055</v>
      </c>
      <c r="H72" s="486" t="s">
        <v>23674</v>
      </c>
    </row>
    <row r="73" spans="1:8">
      <c r="A73" s="480">
        <v>605500</v>
      </c>
      <c r="B73" s="481" t="str">
        <f>VLOOKUP(A73,'13. CUSTOS DER - SERVIÇOS'!A:B,2,0)</f>
        <v>CONCRETO FCK = 20 MPA, PREPARO EM BETONEIRA E LANÇ.</v>
      </c>
      <c r="C73" s="482">
        <v>282.56</v>
      </c>
      <c r="D73" s="483" t="str">
        <f>VLOOKUP(A73,'13. CUSTOS DER - SERVIÇOS'!A:C,3,0)</f>
        <v>M3</v>
      </c>
      <c r="E73" s="319">
        <v>209122.65599999999</v>
      </c>
      <c r="F73" s="484">
        <f t="shared" si="0"/>
        <v>1.9001942043531997E-3</v>
      </c>
      <c r="G73" s="485">
        <f t="shared" si="1"/>
        <v>0.93893064101272372</v>
      </c>
      <c r="H73" s="486" t="s">
        <v>23674</v>
      </c>
    </row>
    <row r="74" spans="1:8">
      <c r="A74" s="480" t="s">
        <v>22652</v>
      </c>
      <c r="B74" s="481" t="s">
        <v>257</v>
      </c>
      <c r="C74" s="482">
        <v>3050</v>
      </c>
      <c r="D74" s="488" t="s">
        <v>328</v>
      </c>
      <c r="E74" s="319">
        <v>202947.00000000003</v>
      </c>
      <c r="F74" s="484">
        <f t="shared" si="0"/>
        <v>1.8440790709490075E-3</v>
      </c>
      <c r="G74" s="485">
        <f t="shared" si="1"/>
        <v>0.94077472008367269</v>
      </c>
      <c r="H74" s="486" t="s">
        <v>23674</v>
      </c>
    </row>
    <row r="75" spans="1:8">
      <c r="A75" s="487">
        <v>800100</v>
      </c>
      <c r="B75" s="481" t="str">
        <f>VLOOKUP(A75,'13. CUSTOS DER - SERVIÇOS'!A:B,2,0)</f>
        <v>HIDROSSEMEADURA</v>
      </c>
      <c r="C75" s="482">
        <v>14098.66</v>
      </c>
      <c r="D75" s="483" t="str">
        <f>VLOOKUP(A75,'13. CUSTOS DER - SERVIÇOS'!A:C,3,0)</f>
        <v>M2</v>
      </c>
      <c r="E75" s="319">
        <v>202597.74419999999</v>
      </c>
      <c r="F75" s="484">
        <f t="shared" si="0"/>
        <v>1.8409055561338704E-3</v>
      </c>
      <c r="G75" s="485">
        <f t="shared" si="1"/>
        <v>0.94261562563980661</v>
      </c>
      <c r="H75" s="486" t="s">
        <v>23674</v>
      </c>
    </row>
    <row r="76" spans="1:8">
      <c r="A76" s="487" t="s">
        <v>353</v>
      </c>
      <c r="B76" s="481" t="str">
        <f>VLOOKUP(A76,'5. CCU ADMINISTRAÇÃO LOCAL'!A:B,2,0)</f>
        <v>EQUIPE ADMINISTRATIVA</v>
      </c>
      <c r="C76" s="482">
        <v>1</v>
      </c>
      <c r="D76" s="483" t="s">
        <v>331</v>
      </c>
      <c r="E76" s="319">
        <v>197972.17</v>
      </c>
      <c r="F76" s="484">
        <f t="shared" ref="F76:F139" si="2">E76/$E$205</f>
        <v>1.7988752498305418E-3</v>
      </c>
      <c r="G76" s="485">
        <f t="shared" si="1"/>
        <v>0.94441450088963719</v>
      </c>
      <c r="H76" s="486" t="s">
        <v>23674</v>
      </c>
    </row>
    <row r="77" spans="1:8" ht="15.75" customHeight="1">
      <c r="A77" s="487">
        <v>93207</v>
      </c>
      <c r="B77" s="481" t="str">
        <f>VLOOKUP(A77,'21. CUSTOS SINAPI - SERVIÇOS'!A:B,2,0)</f>
        <v>EXECUÇÃO DE ESCRITÓRIO EM CANTEIRO DE OBRA EM CHAPA DE MADEIRA COMPENSADA, NÃO INCLUSO MOBILIÁRIO E EQUIPAMENTOS. AF_02/2016</v>
      </c>
      <c r="C77" s="482">
        <v>121.76</v>
      </c>
      <c r="D77" s="483" t="str">
        <f>VLOOKUP(A77,'21. CUSTOS SINAPI - SERVIÇOS'!A:C,3,0)</f>
        <v>M2</v>
      </c>
      <c r="E77" s="319">
        <v>193876.0128</v>
      </c>
      <c r="F77" s="484">
        <f t="shared" si="2"/>
        <v>1.7616554941118708E-3</v>
      </c>
      <c r="G77" s="485">
        <f t="shared" si="1"/>
        <v>0.94617615638374908</v>
      </c>
      <c r="H77" s="486" t="s">
        <v>23674</v>
      </c>
    </row>
    <row r="78" spans="1:8">
      <c r="A78" s="487">
        <v>841000</v>
      </c>
      <c r="B78" s="481" t="str">
        <f>VLOOKUP(A78,'13. CUSTOS DER - SERVIÇOS'!A:B,2,0)</f>
        <v>REMOÇÃO DE CERCAS</v>
      </c>
      <c r="C78" s="482">
        <v>12259.68</v>
      </c>
      <c r="D78" s="483" t="str">
        <f>VLOOKUP(A78,'13. CUSTOS DER - SERVIÇOS'!A:C,3,0)</f>
        <v>M</v>
      </c>
      <c r="E78" s="319">
        <v>191128.4112</v>
      </c>
      <c r="F78" s="484">
        <f t="shared" si="2"/>
        <v>1.7366893965304036E-3</v>
      </c>
      <c r="G78" s="485">
        <f t="shared" ref="G78:G141" si="3">F78+G77</f>
        <v>0.94791284578027946</v>
      </c>
      <c r="H78" s="486" t="s">
        <v>23674</v>
      </c>
    </row>
    <row r="79" spans="1:8">
      <c r="A79" s="480">
        <v>400000</v>
      </c>
      <c r="B79" s="481" t="str">
        <f>VLOOKUP(A79,'13. CUSTOS DER - SERVIÇOS'!A:B,2,0)</f>
        <v>DESMATAMENTO E LIMPEZA DIAM. ATÉ 30CM</v>
      </c>
      <c r="C79" s="482">
        <v>131842.15</v>
      </c>
      <c r="D79" s="483" t="str">
        <f>VLOOKUP(A79,'13. CUSTOS DER - SERVIÇOS'!A:C,3,0)</f>
        <v>M2</v>
      </c>
      <c r="E79" s="319">
        <v>187215.85299999997</v>
      </c>
      <c r="F79" s="484">
        <f t="shared" si="2"/>
        <v>1.7011379141705265E-3</v>
      </c>
      <c r="G79" s="485">
        <f t="shared" si="3"/>
        <v>0.94961398369444994</v>
      </c>
      <c r="H79" s="486" t="s">
        <v>23674</v>
      </c>
    </row>
    <row r="80" spans="1:8" ht="31.5">
      <c r="A80" s="480">
        <v>6817857</v>
      </c>
      <c r="B80" s="481" t="str">
        <f>UPPER(VLOOKUP(A80,'18. CUSTOS DNIT - SERVIÇOS'!A:B,2,0))</f>
        <v>CORPO DE BSCC - SEÇÃO FECHADA DE 2,5 X 2,5 M - PRÉ-MOLDADO - ALTURA DO ATERRO DE 0,25 A 1,00 M - AREIA E BRITA COMERCIAIS</v>
      </c>
      <c r="C80" s="482">
        <v>45</v>
      </c>
      <c r="D80" s="483" t="str">
        <f>UPPER(VLOOKUP(A80,'18. CUSTOS DNIT - SERVIÇOS'!A:C,3,0))</f>
        <v>M</v>
      </c>
      <c r="E80" s="319">
        <v>183939.75</v>
      </c>
      <c r="F80" s="484">
        <f t="shared" si="2"/>
        <v>1.6713695856090144E-3</v>
      </c>
      <c r="G80" s="485">
        <f t="shared" si="3"/>
        <v>0.95128535328005892</v>
      </c>
      <c r="H80" s="486" t="s">
        <v>23674</v>
      </c>
    </row>
    <row r="81" spans="1:8">
      <c r="A81" s="480">
        <v>603900</v>
      </c>
      <c r="B81" s="481" t="str">
        <f>VLOOKUP(A81,'13. CUSTOS DER - SERVIÇOS'!A:B,2,0)</f>
        <v>LASTRO DE BRITA</v>
      </c>
      <c r="C81" s="482">
        <v>944.57</v>
      </c>
      <c r="D81" s="483" t="str">
        <f>VLOOKUP(A81,'13. CUSTOS DER - SERVIÇOS'!A:C,3,0)</f>
        <v>M3</v>
      </c>
      <c r="E81" s="319">
        <v>175331.08340000003</v>
      </c>
      <c r="F81" s="484">
        <f t="shared" si="2"/>
        <v>1.5931468875359329E-3</v>
      </c>
      <c r="G81" s="485">
        <f t="shared" si="3"/>
        <v>0.9528785001675949</v>
      </c>
      <c r="H81" s="486" t="s">
        <v>23674</v>
      </c>
    </row>
    <row r="82" spans="1:8">
      <c r="A82" s="487">
        <v>850000</v>
      </c>
      <c r="B82" s="481" t="str">
        <f>VLOOKUP(A82,'13. CUSTOS DER - SERVIÇOS'!A:B,2,0)</f>
        <v>ABRIGO EM PARADA DE ÔNIBUS</v>
      </c>
      <c r="C82" s="482">
        <v>17</v>
      </c>
      <c r="D82" s="483" t="str">
        <f>VLOOKUP(A82,'13. CUSTOS DER - SERVIÇOS'!A:C,3,0)</f>
        <v>UD</v>
      </c>
      <c r="E82" s="319">
        <v>172382.89</v>
      </c>
      <c r="F82" s="484">
        <f t="shared" si="2"/>
        <v>1.5663581114217255E-3</v>
      </c>
      <c r="G82" s="485">
        <f t="shared" si="3"/>
        <v>0.95444485827901659</v>
      </c>
      <c r="H82" s="486" t="s">
        <v>23674</v>
      </c>
    </row>
    <row r="83" spans="1:8" ht="31.5">
      <c r="A83" s="480">
        <v>6817845</v>
      </c>
      <c r="B83" s="481" t="str">
        <f>UPPER(VLOOKUP(A83,'18. CUSTOS DNIT - SERVIÇOS'!A:B,2,0))</f>
        <v>CORPO DE BSCC - SEÇÃO FECHADA DE 2,0 X 2,0 M - PRÉ-MOLDADO - ALTURA DO ATERRO DE 1,00 A 2,50 M - AREIA E BRITA COMERCIAIS</v>
      </c>
      <c r="C83" s="482">
        <v>65</v>
      </c>
      <c r="D83" s="483" t="str">
        <f>UPPER(VLOOKUP(A83,'18. CUSTOS DNIT - SERVIÇOS'!A:C,3,0))</f>
        <v>M</v>
      </c>
      <c r="E83" s="319">
        <v>170661.4</v>
      </c>
      <c r="F83" s="484">
        <f t="shared" si="2"/>
        <v>1.5507157827356743E-3</v>
      </c>
      <c r="G83" s="485">
        <f t="shared" si="3"/>
        <v>0.95599557406175228</v>
      </c>
      <c r="H83" s="486" t="s">
        <v>23674</v>
      </c>
    </row>
    <row r="84" spans="1:8" ht="47.25">
      <c r="A84" s="480" t="s">
        <v>22646</v>
      </c>
      <c r="B84" s="481" t="s">
        <v>220</v>
      </c>
      <c r="C84" s="482">
        <v>1092</v>
      </c>
      <c r="D84" s="483" t="s">
        <v>326</v>
      </c>
      <c r="E84" s="319">
        <v>164619</v>
      </c>
      <c r="F84" s="484">
        <f t="shared" si="2"/>
        <v>1.4958114807341553E-3</v>
      </c>
      <c r="G84" s="485">
        <f t="shared" si="3"/>
        <v>0.95749138554248647</v>
      </c>
      <c r="H84" s="486" t="s">
        <v>23674</v>
      </c>
    </row>
    <row r="85" spans="1:8">
      <c r="A85" s="480">
        <v>601200</v>
      </c>
      <c r="B85" s="481" t="str">
        <f>VLOOKUP(A85,'13. CUSTOS DER - SERVIÇOS'!A:B,2,0)</f>
        <v>REATERRO E APILOAMENTO MECÂNICO</v>
      </c>
      <c r="C85" s="482">
        <v>3781.87</v>
      </c>
      <c r="D85" s="483" t="str">
        <f>VLOOKUP(A85,'13. CUSTOS DER - SERVIÇOS'!A:C,3,0)</f>
        <v>M3</v>
      </c>
      <c r="E85" s="319">
        <v>160842.93109999999</v>
      </c>
      <c r="F85" s="484">
        <f t="shared" si="2"/>
        <v>1.4615002091758103E-3</v>
      </c>
      <c r="G85" s="485">
        <f t="shared" si="3"/>
        <v>0.95895288575166227</v>
      </c>
      <c r="H85" s="486" t="s">
        <v>23674</v>
      </c>
    </row>
    <row r="86" spans="1:8">
      <c r="A86" s="480">
        <v>401950</v>
      </c>
      <c r="B86" s="481" t="str">
        <f>VLOOKUP(A86,'13. CUSTOS DER - SERVIÇOS'!A:B,2,0)</f>
        <v>COMPACTAÇÃO DE ATERROS  95% PN (B)</v>
      </c>
      <c r="C86" s="482">
        <v>22121.14</v>
      </c>
      <c r="D86" s="483" t="str">
        <f>VLOOKUP(A86,'13. CUSTOS DER - SERVIÇOS'!A:C,3,0)</f>
        <v>M3</v>
      </c>
      <c r="E86" s="319">
        <v>152635.86600000001</v>
      </c>
      <c r="F86" s="484">
        <f t="shared" si="2"/>
        <v>1.386926665418938E-3</v>
      </c>
      <c r="G86" s="485">
        <f t="shared" si="3"/>
        <v>0.96033981241708122</v>
      </c>
      <c r="H86" s="486" t="s">
        <v>23674</v>
      </c>
    </row>
    <row r="87" spans="1:8">
      <c r="A87" s="480" t="s">
        <v>22742</v>
      </c>
      <c r="B87" s="481" t="str">
        <f>VLOOKUP(A87,'12. CCU - PAVIMENTAÇÃO'!A:B,2,0)</f>
        <v>GUIA DE CONTENÇÃO LATERAL</v>
      </c>
      <c r="C87" s="482">
        <v>5615.13</v>
      </c>
      <c r="D87" s="483" t="str">
        <f>VLOOKUP(A87,'12. CCU - PAVIMENTAÇÃO'!A:G,7,0)</f>
        <v>M</v>
      </c>
      <c r="E87" s="319">
        <v>142624.302</v>
      </c>
      <c r="F87" s="484">
        <f t="shared" si="2"/>
        <v>1.2959565321335651E-3</v>
      </c>
      <c r="G87" s="485">
        <f t="shared" si="3"/>
        <v>0.96163576894921476</v>
      </c>
      <c r="H87" s="486" t="s">
        <v>23674</v>
      </c>
    </row>
    <row r="88" spans="1:8">
      <c r="A88" s="480" t="s">
        <v>22740</v>
      </c>
      <c r="B88" s="481" t="str">
        <f>VLOOKUP(A88,'12. CCU - PAVIMENTAÇÃO'!A:B,2,0)</f>
        <v>VIGA DE CONCRETO 15X14CM, COM BARRA DE 12,5MM</v>
      </c>
      <c r="C88" s="482">
        <v>1300.6199999999999</v>
      </c>
      <c r="D88" s="483" t="str">
        <f>VLOOKUP(A88,'12. CCU - PAVIMENTAÇÃO'!A:G,7,0)</f>
        <v>M</v>
      </c>
      <c r="E88" s="319">
        <v>137943.75719999999</v>
      </c>
      <c r="F88" s="484">
        <f t="shared" si="2"/>
        <v>1.253426735160369E-3</v>
      </c>
      <c r="G88" s="485">
        <f t="shared" si="3"/>
        <v>0.96288919568437514</v>
      </c>
      <c r="H88" s="486" t="s">
        <v>23674</v>
      </c>
    </row>
    <row r="89" spans="1:8">
      <c r="A89" s="491">
        <v>10389</v>
      </c>
      <c r="B89" s="481" t="s">
        <v>22777</v>
      </c>
      <c r="C89" s="482">
        <v>190</v>
      </c>
      <c r="D89" s="483" t="s">
        <v>22778</v>
      </c>
      <c r="E89" s="319">
        <v>126771.8</v>
      </c>
      <c r="F89" s="484">
        <f t="shared" si="2"/>
        <v>1.1519126824566677E-3</v>
      </c>
      <c r="G89" s="485">
        <f t="shared" si="3"/>
        <v>0.96404110836683177</v>
      </c>
      <c r="H89" s="486" t="s">
        <v>23674</v>
      </c>
    </row>
    <row r="90" spans="1:8">
      <c r="A90" s="480">
        <v>516100</v>
      </c>
      <c r="B90" s="481" t="str">
        <f>VLOOKUP(A90,'13. CUSTOS DER - SERVIÇOS'!A:B,2,0)</f>
        <v>PREENCHIMENTO REBAIXO C/ RACHÃO</v>
      </c>
      <c r="C90" s="482">
        <v>870.3</v>
      </c>
      <c r="D90" s="483" t="str">
        <f>VLOOKUP(A90,'13. CUSTOS DER - SERVIÇOS'!A:C,3,0)</f>
        <v>M3</v>
      </c>
      <c r="E90" s="319">
        <v>126550.323</v>
      </c>
      <c r="F90" s="484">
        <f t="shared" si="2"/>
        <v>1.149900230435221E-3</v>
      </c>
      <c r="G90" s="485">
        <f t="shared" si="3"/>
        <v>0.96519100859726703</v>
      </c>
      <c r="H90" s="486" t="s">
        <v>23674</v>
      </c>
    </row>
    <row r="91" spans="1:8">
      <c r="A91" s="480">
        <v>423000</v>
      </c>
      <c r="B91" s="481" t="str">
        <f>VLOOKUP(A91,'13. CUSTOS DER - SERVIÇOS'!A:B,2,0)</f>
        <v>ESC. CARGA E TRANSP. 2A. CAT.  2000-3000M</v>
      </c>
      <c r="C91" s="482">
        <v>5716.22</v>
      </c>
      <c r="D91" s="483" t="str">
        <f>VLOOKUP(A91,'13. CUSTOS DER - SERVIÇOS'!A:C,3,0)</f>
        <v>M3</v>
      </c>
      <c r="E91" s="319">
        <v>122041.29700000002</v>
      </c>
      <c r="F91" s="484">
        <f t="shared" si="2"/>
        <v>1.1089289400147424E-3</v>
      </c>
      <c r="G91" s="485">
        <f t="shared" si="3"/>
        <v>0.96629993753728183</v>
      </c>
      <c r="H91" s="486" t="s">
        <v>23674</v>
      </c>
    </row>
    <row r="92" spans="1:8" ht="47.25">
      <c r="A92" s="487" t="s">
        <v>22683</v>
      </c>
      <c r="B92" s="481" t="s">
        <v>318</v>
      </c>
      <c r="C92" s="482">
        <v>298</v>
      </c>
      <c r="D92" s="488" t="s">
        <v>329</v>
      </c>
      <c r="E92" s="319">
        <v>120511.2</v>
      </c>
      <c r="F92" s="484">
        <f t="shared" si="2"/>
        <v>1.0950257049128591E-3</v>
      </c>
      <c r="G92" s="485">
        <f t="shared" si="3"/>
        <v>0.96739496324219465</v>
      </c>
      <c r="H92" s="486" t="s">
        <v>23674</v>
      </c>
    </row>
    <row r="93" spans="1:8">
      <c r="A93" s="487">
        <v>820000</v>
      </c>
      <c r="B93" s="481" t="str">
        <f>VLOOKUP(A93,'13. CUSTOS DER - SERVIÇOS'!A:B,2,0)</f>
        <v>PLACA SINALIZAÇÃO C/ PELÍCULA REFLETIVA</v>
      </c>
      <c r="C93" s="482">
        <v>176.32</v>
      </c>
      <c r="D93" s="483" t="str">
        <f>VLOOKUP(A93,'13. CUSTOS DER - SERVIÇOS'!A:C,3,0)</f>
        <v>M2</v>
      </c>
      <c r="E93" s="319">
        <v>119202.89919999999</v>
      </c>
      <c r="F93" s="484">
        <f t="shared" si="2"/>
        <v>1.0831378222450399E-3</v>
      </c>
      <c r="G93" s="485">
        <f t="shared" si="3"/>
        <v>0.96847810106443966</v>
      </c>
      <c r="H93" s="486" t="s">
        <v>23674</v>
      </c>
    </row>
    <row r="94" spans="1:8" ht="15.75" customHeight="1">
      <c r="A94" s="480">
        <v>705000</v>
      </c>
      <c r="B94" s="481" t="str">
        <f>VLOOKUP(A94,'13. CUSTOS DER - SERVIÇOS'!A:B,2,0)</f>
        <v>REATERRO E APILOAMENTO MECÂNICO</v>
      </c>
      <c r="C94" s="482">
        <v>2704.67</v>
      </c>
      <c r="D94" s="483" t="str">
        <f>VLOOKUP(A94,'13. CUSTOS DER - SERVIÇOS'!A:C,3,0)</f>
        <v>M3</v>
      </c>
      <c r="E94" s="319">
        <v>115029.61510000001</v>
      </c>
      <c r="F94" s="484">
        <f t="shared" si="2"/>
        <v>1.0452172525104086E-3</v>
      </c>
      <c r="G94" s="485">
        <f t="shared" si="3"/>
        <v>0.96952331831695004</v>
      </c>
      <c r="H94" s="486" t="s">
        <v>23674</v>
      </c>
    </row>
    <row r="95" spans="1:8" ht="15.75" customHeight="1">
      <c r="A95" s="487">
        <v>871000</v>
      </c>
      <c r="B95" s="481" t="str">
        <f>VLOOKUP(A95,'13. CUSTOS DER - SERVIÇOS'!A:B,2,0)</f>
        <v>TACHA REFLETIVA BIDIRECIONAL</v>
      </c>
      <c r="C95" s="482">
        <v>4935</v>
      </c>
      <c r="D95" s="483" t="str">
        <f>VLOOKUP(A95,'13. CUSTOS DER - SERVIÇOS'!A:C,3,0)</f>
        <v>UD</v>
      </c>
      <c r="E95" s="319">
        <v>112419.3</v>
      </c>
      <c r="F95" s="484">
        <f t="shared" si="2"/>
        <v>1.0214986094928121E-3</v>
      </c>
      <c r="G95" s="485">
        <f t="shared" si="3"/>
        <v>0.9705448169264429</v>
      </c>
      <c r="H95" s="486" t="s">
        <v>23674</v>
      </c>
    </row>
    <row r="96" spans="1:8" ht="15.75" customHeight="1">
      <c r="A96" s="480" t="s">
        <v>22644</v>
      </c>
      <c r="B96" s="481" t="s">
        <v>218</v>
      </c>
      <c r="C96" s="482">
        <v>896</v>
      </c>
      <c r="D96" s="483" t="s">
        <v>326</v>
      </c>
      <c r="E96" s="319">
        <v>110396.16</v>
      </c>
      <c r="F96" s="484">
        <f t="shared" si="2"/>
        <v>1.003115336364361E-3</v>
      </c>
      <c r="G96" s="485">
        <f t="shared" si="3"/>
        <v>0.97154793226280722</v>
      </c>
      <c r="H96" s="486" t="s">
        <v>23674</v>
      </c>
    </row>
    <row r="97" spans="1:8" ht="31.5">
      <c r="A97" s="491" t="s">
        <v>23515</v>
      </c>
      <c r="B97" s="481" t="str">
        <f>VLOOKUP(A97,'23. CUSTOS COTAÇÕES DE MERCADO'!A:F,2,0)</f>
        <v>ESTUDOS E PROGRAMAS DA AUTORIZAÇÃO AMBIENTAL DE SUPRESSÃO VEGETAL</v>
      </c>
      <c r="C97" s="482">
        <v>1</v>
      </c>
      <c r="D97" s="483" t="s">
        <v>331</v>
      </c>
      <c r="E97" s="319">
        <v>106186.57</v>
      </c>
      <c r="F97" s="484">
        <f t="shared" si="2"/>
        <v>9.6486487286267717E-4</v>
      </c>
      <c r="G97" s="485">
        <f t="shared" si="3"/>
        <v>0.97251279713566985</v>
      </c>
      <c r="H97" s="486" t="s">
        <v>23674</v>
      </c>
    </row>
    <row r="98" spans="1:8">
      <c r="A98" s="487">
        <v>821000</v>
      </c>
      <c r="B98" s="481" t="str">
        <f>VLOOKUP(A98,'13. CUSTOS DER - SERVIÇOS'!A:B,2,0)</f>
        <v>SUPORTE DE MADEIRA 3"X3" P/ PLACA SINALIZAÇÃO, H=3,00M</v>
      </c>
      <c r="C98" s="482">
        <v>450</v>
      </c>
      <c r="D98" s="483" t="str">
        <f>VLOOKUP(A98,'13. CUSTOS DER - SERVIÇOS'!A:C,3,0)</f>
        <v>UD</v>
      </c>
      <c r="E98" s="319">
        <v>94072.5</v>
      </c>
      <c r="F98" s="484">
        <f t="shared" si="2"/>
        <v>8.5479030683799459E-4</v>
      </c>
      <c r="G98" s="485">
        <f t="shared" si="3"/>
        <v>0.97336758744250784</v>
      </c>
      <c r="H98" s="486" t="s">
        <v>23674</v>
      </c>
    </row>
    <row r="99" spans="1:8" ht="47.25">
      <c r="A99" s="491">
        <v>93212</v>
      </c>
      <c r="B99" s="481" t="str">
        <f>VLOOKUP(A99,'21. CUSTOS SINAPI - SERVIÇOS'!A:B,2,0)</f>
        <v>EXECUÇÃO DE SANITÁRIO E VESTIÁRIO EM CANTEIRO DE OBRA EM CHAPA DE MADEIRA COMPENSADA, NÃO INCLUSO MOBILIÁRIO. AF_02/2016</v>
      </c>
      <c r="C99" s="482">
        <v>65.59</v>
      </c>
      <c r="D99" s="483" t="str">
        <f>VLOOKUP(A99,'21. CUSTOS SINAPI - SERVIÇOS'!A:C,3,0)</f>
        <v>M2</v>
      </c>
      <c r="E99" s="319">
        <v>93636.284</v>
      </c>
      <c r="F99" s="484">
        <f t="shared" si="2"/>
        <v>8.5082662767046264E-4</v>
      </c>
      <c r="G99" s="485">
        <f t="shared" si="3"/>
        <v>0.97421841407017828</v>
      </c>
      <c r="H99" s="486" t="s">
        <v>23674</v>
      </c>
    </row>
    <row r="100" spans="1:8">
      <c r="A100" s="480">
        <v>402000</v>
      </c>
      <c r="B100" s="481" t="str">
        <f>VLOOKUP(A100,'13. CUSTOS DER - SERVIÇOS'!A:B,2,0)</f>
        <v>COMPACTAÇÃO DE ATERROS EM 2A. CAT.</v>
      </c>
      <c r="C100" s="482">
        <v>10272.42</v>
      </c>
      <c r="D100" s="483" t="str">
        <f>VLOOKUP(A100,'13. CUSTOS DER - SERVIÇOS'!A:C,3,0)</f>
        <v>M3</v>
      </c>
      <c r="E100" s="319">
        <v>93273.573600000003</v>
      </c>
      <c r="F100" s="484">
        <f t="shared" si="2"/>
        <v>8.4753085755582419E-4</v>
      </c>
      <c r="G100" s="485">
        <f t="shared" si="3"/>
        <v>0.97506594492773413</v>
      </c>
      <c r="H100" s="486" t="s">
        <v>23674</v>
      </c>
    </row>
    <row r="101" spans="1:8">
      <c r="A101" s="480">
        <v>620900</v>
      </c>
      <c r="B101" s="481" t="str">
        <f>VLOOKUP(A101,'13. CUSTOS DER - SERVIÇOS'!A:B,2,0)</f>
        <v>BOCA DE BDTC 1,50M</v>
      </c>
      <c r="C101" s="482">
        <v>12</v>
      </c>
      <c r="D101" s="483" t="str">
        <f>VLOOKUP(A101,'13. CUSTOS DER - SERVIÇOS'!A:C,3,0)</f>
        <v>UD</v>
      </c>
      <c r="E101" s="319">
        <v>92415.12</v>
      </c>
      <c r="F101" s="484">
        <f t="shared" si="2"/>
        <v>8.3973051403194441E-4</v>
      </c>
      <c r="G101" s="485">
        <f t="shared" si="3"/>
        <v>0.9759056754417661</v>
      </c>
      <c r="H101" s="486" t="s">
        <v>23674</v>
      </c>
    </row>
    <row r="102" spans="1:8">
      <c r="A102" s="480">
        <v>620200</v>
      </c>
      <c r="B102" s="481" t="str">
        <f>VLOOKUP(A102,'13. CUSTOS DER - SERVIÇOS'!A:B,2,0)</f>
        <v>BOCA DE BSTC 0,80M</v>
      </c>
      <c r="C102" s="482">
        <v>53</v>
      </c>
      <c r="D102" s="483" t="str">
        <f>VLOOKUP(A102,'13. CUSTOS DER - SERVIÇOS'!A:C,3,0)</f>
        <v>UD</v>
      </c>
      <c r="E102" s="319">
        <v>91689.470000000016</v>
      </c>
      <c r="F102" s="484">
        <f t="shared" si="2"/>
        <v>8.3313689117556254E-4</v>
      </c>
      <c r="G102" s="485">
        <f t="shared" si="3"/>
        <v>0.97673881233294169</v>
      </c>
      <c r="H102" s="486" t="s">
        <v>23674</v>
      </c>
    </row>
    <row r="103" spans="1:8">
      <c r="A103" s="480">
        <v>411400</v>
      </c>
      <c r="B103" s="481" t="str">
        <f>VLOOKUP(A103,'13. CUSTOS DER - SERVIÇOS'!A:B,2,0)</f>
        <v>ESC. CARGA E TRANSP. 1A. CAT.  1200-1400M</v>
      </c>
      <c r="C103" s="482">
        <v>6753.26</v>
      </c>
      <c r="D103" s="483" t="str">
        <f>VLOOKUP(A103,'13. CUSTOS DER - SERVIÇOS'!A:C,3,0)</f>
        <v>M3</v>
      </c>
      <c r="E103" s="319">
        <v>91033.944800000012</v>
      </c>
      <c r="F103" s="484">
        <f t="shared" si="2"/>
        <v>8.2718045771362585E-4</v>
      </c>
      <c r="G103" s="485">
        <f t="shared" si="3"/>
        <v>0.97756599279065526</v>
      </c>
      <c r="H103" s="486" t="s">
        <v>23674</v>
      </c>
    </row>
    <row r="104" spans="1:8">
      <c r="A104" s="480">
        <v>600000</v>
      </c>
      <c r="B104" s="481" t="str">
        <f>VLOOKUP(A104,'13. CUSTOS DER - SERVIÇOS'!A:B,2,0)</f>
        <v>ESCAVAÇÃO MANUAL DE VALA 1A. CAT.</v>
      </c>
      <c r="C104" s="482">
        <v>1425.41</v>
      </c>
      <c r="D104" s="483" t="str">
        <f>VLOOKUP(A104,'13. CUSTOS DER - SERVIÇOS'!A:C,3,0)</f>
        <v>M3</v>
      </c>
      <c r="E104" s="319">
        <v>88019.067500000005</v>
      </c>
      <c r="F104" s="484">
        <f t="shared" si="2"/>
        <v>7.9978575796241366E-4</v>
      </c>
      <c r="G104" s="485">
        <f t="shared" si="3"/>
        <v>0.97836577854861773</v>
      </c>
      <c r="H104" s="486" t="s">
        <v>23674</v>
      </c>
    </row>
    <row r="105" spans="1:8">
      <c r="A105" s="480">
        <v>600300</v>
      </c>
      <c r="B105" s="481" t="str">
        <f>VLOOKUP(A105,'13. CUSTOS DER - SERVIÇOS'!A:B,2,0)</f>
        <v>ESCAVAÇÃO DE BUEIROS EM 1A. CAT.</v>
      </c>
      <c r="C105" s="482">
        <v>5817.89</v>
      </c>
      <c r="D105" s="483" t="str">
        <f>VLOOKUP(A105,'13. CUSTOS DER - SERVIÇOS'!A:C,3,0)</f>
        <v>M3</v>
      </c>
      <c r="E105" s="319">
        <v>85755.698600000003</v>
      </c>
      <c r="F105" s="484">
        <f t="shared" si="2"/>
        <v>7.7921964356640443E-4</v>
      </c>
      <c r="G105" s="485">
        <f t="shared" si="3"/>
        <v>0.97914499819218415</v>
      </c>
      <c r="H105" s="486" t="s">
        <v>23674</v>
      </c>
    </row>
    <row r="106" spans="1:8" ht="31.5">
      <c r="A106" s="487">
        <v>93208</v>
      </c>
      <c r="B106" s="481" t="str">
        <f>VLOOKUP(A106,'21. CUSTOS SINAPI - SERVIÇOS'!A:B,2,0)</f>
        <v>EXECUÇÃO DE ALMOXARIFADO EM CANTEIRO DE OBRA EM CHAPA DE MADEIRA COMPENSADA, INCLUSO PRATELEIRAS. AF_02/2016</v>
      </c>
      <c r="C106" s="482">
        <v>59.4</v>
      </c>
      <c r="D106" s="483" t="str">
        <f>VLOOKUP(A106,'21. CUSTOS SINAPI - SERVIÇOS'!A:C,3,0)</f>
        <v>M2</v>
      </c>
      <c r="E106" s="319">
        <v>80702.622000000003</v>
      </c>
      <c r="F106" s="484">
        <f t="shared" si="2"/>
        <v>7.3330483427155326E-4</v>
      </c>
      <c r="G106" s="485">
        <f t="shared" si="3"/>
        <v>0.97987830302645573</v>
      </c>
      <c r="H106" s="486" t="s">
        <v>23674</v>
      </c>
    </row>
    <row r="107" spans="1:8" ht="31.5">
      <c r="A107" s="480">
        <v>804309</v>
      </c>
      <c r="B107" s="481" t="str">
        <f>UPPER(VLOOKUP(A107,'18. CUSTOS DNIT - SERVIÇOS'!A:B,2,0))</f>
        <v>CORPO DE BTTC D = 1,50 M PA1 - AREIA, BRITA E PEDRA DE MÃO COMERCIAIS</v>
      </c>
      <c r="C107" s="482">
        <v>16</v>
      </c>
      <c r="D107" s="483" t="str">
        <f>UPPER(VLOOKUP(A107,'18. CUSTOS DNIT - SERVIÇOS'!A:C,3,0))</f>
        <v>M</v>
      </c>
      <c r="E107" s="319">
        <v>79448.160000000003</v>
      </c>
      <c r="F107" s="484">
        <f t="shared" si="2"/>
        <v>7.2190615816645771E-4</v>
      </c>
      <c r="G107" s="485">
        <f t="shared" si="3"/>
        <v>0.98060020918462221</v>
      </c>
      <c r="H107" s="486" t="s">
        <v>23674</v>
      </c>
    </row>
    <row r="108" spans="1:8">
      <c r="A108" s="480">
        <v>404300</v>
      </c>
      <c r="B108" s="481" t="str">
        <f>VLOOKUP(A108,'13. CUSTOS DER - SERVIÇOS'!A:B,2,0)</f>
        <v>ESPALHAMENTO E CONFORMAÇÃO DE BOTA-FORA</v>
      </c>
      <c r="C108" s="482">
        <v>80343.48</v>
      </c>
      <c r="D108" s="483" t="str">
        <f>VLOOKUP(A108,'13. CUSTOS DER - SERVIÇOS'!A:C,3,0)</f>
        <v>M3</v>
      </c>
      <c r="E108" s="319">
        <v>78736.61039999999</v>
      </c>
      <c r="F108" s="484">
        <f t="shared" si="2"/>
        <v>7.1544065867495423E-4</v>
      </c>
      <c r="G108" s="485">
        <f t="shared" si="3"/>
        <v>0.98131564984329711</v>
      </c>
      <c r="H108" s="486" t="s">
        <v>23674</v>
      </c>
    </row>
    <row r="109" spans="1:8">
      <c r="A109" s="480">
        <v>701100</v>
      </c>
      <c r="B109" s="481" t="str">
        <f>VLOOKUP(A109,'13. CUSTOS DER - SERVIÇOS'!A:B,2,0)</f>
        <v>ESCAVAÇÃO 1A. CAT. P/GALERIAS CELULARES</v>
      </c>
      <c r="C109" s="482">
        <v>4874.91</v>
      </c>
      <c r="D109" s="483" t="str">
        <f>VLOOKUP(A109,'13. CUSTOS DER - SERVIÇOS'!A:C,3,0)</f>
        <v>M3</v>
      </c>
      <c r="E109" s="319">
        <v>71856.1734</v>
      </c>
      <c r="F109" s="484">
        <f t="shared" si="2"/>
        <v>6.529215287016944E-4</v>
      </c>
      <c r="G109" s="485">
        <f t="shared" si="3"/>
        <v>0.98196857137199878</v>
      </c>
      <c r="H109" s="486" t="s">
        <v>23674</v>
      </c>
    </row>
    <row r="110" spans="1:8" ht="31.5">
      <c r="A110" s="480">
        <v>1506055</v>
      </c>
      <c r="B110" s="481" t="str">
        <f>UPPER(VLOOKUP(A110,'18. CUSTOS DNIT - SERVIÇOS'!A:B,2,0))</f>
        <v>PEDRA ARGAMASSADA COM CIMENTO E AREIA 1:3 - AREIA E PEDRA DE MÃO COMERCIAL - FORNECIMENTO E ASSENTAMENTO</v>
      </c>
      <c r="C110" s="482">
        <v>142.16999999999999</v>
      </c>
      <c r="D110" s="483" t="str">
        <f>UPPER(VLOOKUP(A110,'18. CUSTOS DNIT - SERVIÇOS'!A:C,3,0))</f>
        <v>M³</v>
      </c>
      <c r="E110" s="319">
        <v>70719.623099999997</v>
      </c>
      <c r="F110" s="484">
        <f t="shared" si="2"/>
        <v>6.425942579299617E-4</v>
      </c>
      <c r="G110" s="485">
        <f t="shared" si="3"/>
        <v>0.98261116562992878</v>
      </c>
      <c r="H110" s="486" t="s">
        <v>23674</v>
      </c>
    </row>
    <row r="111" spans="1:8" ht="31.5">
      <c r="A111" s="480">
        <v>507210</v>
      </c>
      <c r="B111" s="481" t="str">
        <f>VLOOKUP(A111,'13. CUSTOS DER - SERVIÇOS'!A:B,2,0)</f>
        <v>FORNECIMENTO E COLOCAÇÃO DE AÇO CA 50 PARA BARRAS DE LIGAÇÃO</v>
      </c>
      <c r="C111" s="482">
        <v>6631.68</v>
      </c>
      <c r="D111" s="483" t="str">
        <f>VLOOKUP(A111,'13. CUSTOS DER - SERVIÇOS'!A:C,3,0)</f>
        <v>KG</v>
      </c>
      <c r="E111" s="319">
        <v>69433.689600000012</v>
      </c>
      <c r="F111" s="484">
        <f t="shared" si="2"/>
        <v>6.309096158609379E-4</v>
      </c>
      <c r="G111" s="485">
        <f t="shared" si="3"/>
        <v>0.98324207524578977</v>
      </c>
      <c r="H111" s="486" t="s">
        <v>23674</v>
      </c>
    </row>
    <row r="112" spans="1:8">
      <c r="A112" s="480">
        <v>512050</v>
      </c>
      <c r="B112" s="481" t="str">
        <f>VLOOKUP(A112,'13. CUSTOS DER - SERVIÇOS'!A:B,2,0)</f>
        <v>DEMOLIÇÃO MECÂNICA DE PAVIMENTO</v>
      </c>
      <c r="C112" s="482">
        <v>633.36</v>
      </c>
      <c r="D112" s="483" t="str">
        <f>VLOOKUP(A112,'13. CUSTOS DER - SERVIÇOS'!A:C,3,0)</f>
        <v>M3</v>
      </c>
      <c r="E112" s="319">
        <v>63975.693599999999</v>
      </c>
      <c r="F112" s="484">
        <f t="shared" si="2"/>
        <v>5.8131550413263733E-4</v>
      </c>
      <c r="G112" s="485">
        <f t="shared" si="3"/>
        <v>0.98382339074992242</v>
      </c>
      <c r="H112" s="486" t="s">
        <v>23674</v>
      </c>
    </row>
    <row r="113" spans="1:8">
      <c r="A113" s="480">
        <v>603300</v>
      </c>
      <c r="B113" s="481" t="str">
        <f>VLOOKUP(A113,'13. CUSTOS DER - SERVIÇOS'!A:B,2,0)</f>
        <v>AÇO CA-60 FORNEC. DOBR. COLOCAÇÃO</v>
      </c>
      <c r="C113" s="482">
        <v>2343</v>
      </c>
      <c r="D113" s="483" t="str">
        <f>VLOOKUP(A113,'13. CUSTOS DER - SERVIÇOS'!A:C,3,0)</f>
        <v>KG</v>
      </c>
      <c r="E113" s="319">
        <v>61058.579999999994</v>
      </c>
      <c r="F113" s="484">
        <f t="shared" si="2"/>
        <v>5.5480913479807848E-4</v>
      </c>
      <c r="G113" s="485">
        <f t="shared" si="3"/>
        <v>0.98437819988472053</v>
      </c>
      <c r="H113" s="486" t="s">
        <v>23674</v>
      </c>
    </row>
    <row r="114" spans="1:8">
      <c r="A114" s="487">
        <v>98459</v>
      </c>
      <c r="B114" s="481" t="str">
        <f>VLOOKUP(A114,'21. CUSTOS SINAPI - SERVIÇOS'!A:B,2,0)</f>
        <v>TAPUME COM TELHA METÁLICA. AF_05/2018</v>
      </c>
      <c r="C114" s="482">
        <v>342</v>
      </c>
      <c r="D114" s="483" t="str">
        <f>VLOOKUP(A114,'21. CUSTOS SINAPI - SERVIÇOS'!A:C,3,0)</f>
        <v>M2</v>
      </c>
      <c r="E114" s="319">
        <v>60725.520000000004</v>
      </c>
      <c r="F114" s="484">
        <f t="shared" si="2"/>
        <v>5.517827832118502E-4</v>
      </c>
      <c r="G114" s="485">
        <f t="shared" si="3"/>
        <v>0.98492998266793241</v>
      </c>
      <c r="H114" s="486" t="s">
        <v>23674</v>
      </c>
    </row>
    <row r="115" spans="1:8">
      <c r="A115" s="480">
        <v>532500</v>
      </c>
      <c r="B115" s="481" t="str">
        <f>VLOOKUP(A115,'13. CUSTOS DER - SERVIÇOS'!A:B,2,0)</f>
        <v>COLCHÃO DE AREIA PARA PARALELEPÍPEDO</v>
      </c>
      <c r="C115" s="482">
        <v>323.5</v>
      </c>
      <c r="D115" s="483" t="str">
        <f>VLOOKUP(A115,'13. CUSTOS DER - SERVIÇOS'!A:C,3,0)</f>
        <v>M3</v>
      </c>
      <c r="E115" s="319">
        <v>58301.17</v>
      </c>
      <c r="F115" s="484">
        <f t="shared" si="2"/>
        <v>5.2975391313416864E-4</v>
      </c>
      <c r="G115" s="485">
        <f t="shared" si="3"/>
        <v>0.98545973658106656</v>
      </c>
      <c r="H115" s="486" t="s">
        <v>23674</v>
      </c>
    </row>
    <row r="116" spans="1:8">
      <c r="A116" s="480">
        <v>610700</v>
      </c>
      <c r="B116" s="481" t="str">
        <f>VLOOKUP(A116,'13. CUSTOS DER - SERVIÇOS'!A:B,2,0)</f>
        <v>CORPO DE BSTC 0,60M COM BERÇO</v>
      </c>
      <c r="C116" s="482">
        <v>106</v>
      </c>
      <c r="D116" s="483" t="str">
        <f>VLOOKUP(A116,'13. CUSTOS DER - SERVIÇOS'!A:C,3,0)</f>
        <v>M</v>
      </c>
      <c r="E116" s="319">
        <v>56695.159999999996</v>
      </c>
      <c r="F116" s="484">
        <f t="shared" si="2"/>
        <v>5.1516089412558604E-4</v>
      </c>
      <c r="G116" s="485">
        <f t="shared" si="3"/>
        <v>0.98597489747519218</v>
      </c>
      <c r="H116" s="486" t="s">
        <v>23674</v>
      </c>
    </row>
    <row r="117" spans="1:8">
      <c r="A117" s="480">
        <v>421400</v>
      </c>
      <c r="B117" s="481" t="str">
        <f>VLOOKUP(A117,'13. CUSTOS DER - SERVIÇOS'!A:B,2,0)</f>
        <v>ESC. CARGA E TRANSP. 2A. CAT.  1200-1400M</v>
      </c>
      <c r="C117" s="482">
        <v>3308.5</v>
      </c>
      <c r="D117" s="483" t="str">
        <f>VLOOKUP(A117,'13. CUSTOS DER - SERVIÇOS'!A:C,3,0)</f>
        <v>M3</v>
      </c>
      <c r="E117" s="319">
        <v>56575.350000000006</v>
      </c>
      <c r="F117" s="484">
        <f t="shared" si="2"/>
        <v>5.1407223987846547E-4</v>
      </c>
      <c r="G117" s="485">
        <f t="shared" si="3"/>
        <v>0.98648896971507061</v>
      </c>
      <c r="H117" s="486" t="s">
        <v>23674</v>
      </c>
    </row>
    <row r="118" spans="1:8">
      <c r="A118" s="480">
        <v>421200</v>
      </c>
      <c r="B118" s="481" t="str">
        <f>VLOOKUP(A118,'13. CUSTOS DER - SERVIÇOS'!A:B,2,0)</f>
        <v>ESC. CARGA E TRANSP. 2A. CAT.  1000-1200M</v>
      </c>
      <c r="C118" s="482">
        <v>3302.2</v>
      </c>
      <c r="D118" s="483" t="str">
        <f>VLOOKUP(A118,'13. CUSTOS DER - SERVIÇOS'!A:C,3,0)</f>
        <v>M3</v>
      </c>
      <c r="E118" s="319">
        <v>54156.079999999994</v>
      </c>
      <c r="F118" s="484">
        <f t="shared" si="2"/>
        <v>4.9208952924970604E-4</v>
      </c>
      <c r="G118" s="485">
        <f t="shared" si="3"/>
        <v>0.98698105924432034</v>
      </c>
      <c r="H118" s="486" t="s">
        <v>23674</v>
      </c>
    </row>
    <row r="119" spans="1:8">
      <c r="A119" s="487">
        <v>606500</v>
      </c>
      <c r="B119" s="481" t="str">
        <f>VLOOKUP(A119,'13. CUSTOS DER - SERVIÇOS'!A:B,2,0)</f>
        <v>DEMOLIÇÃO DE ALVENARIA</v>
      </c>
      <c r="C119" s="482">
        <v>234.83</v>
      </c>
      <c r="D119" s="483" t="str">
        <f>VLOOKUP(A119,'13. CUSTOS DER - SERVIÇOS'!A:C,3,0)</f>
        <v>M3</v>
      </c>
      <c r="E119" s="319">
        <v>53414.431800000006</v>
      </c>
      <c r="F119" s="484">
        <f t="shared" si="2"/>
        <v>4.8535053865794085E-4</v>
      </c>
      <c r="G119" s="485">
        <f t="shared" si="3"/>
        <v>0.98746640978297828</v>
      </c>
      <c r="H119" s="486" t="s">
        <v>23674</v>
      </c>
    </row>
    <row r="120" spans="1:8" ht="47.25">
      <c r="A120" s="487">
        <v>93210</v>
      </c>
      <c r="B120" s="481" t="str">
        <f>VLOOKUP(A120,'21. CUSTOS SINAPI - SERVIÇOS'!A:B,2,0)</f>
        <v>EXECUÇÃO DE REFEITÓRIO EM CANTEIRO DE OBRA EM CHAPA DE MADEIRA COMPENSADA, NÃO INCLUSO MOBILIÁRIO E EQUIPAMENTOS. AF_02/2016</v>
      </c>
      <c r="C120" s="482">
        <v>62.96</v>
      </c>
      <c r="D120" s="483" t="str">
        <f>VLOOKUP(A120,'21. CUSTOS SINAPI - SERVIÇOS'!A:C,3,0)</f>
        <v>M2</v>
      </c>
      <c r="E120" s="319">
        <v>52929.212800000001</v>
      </c>
      <c r="F120" s="484">
        <f t="shared" si="2"/>
        <v>4.8094159345191752E-4</v>
      </c>
      <c r="G120" s="485">
        <f t="shared" si="3"/>
        <v>0.98794735137643019</v>
      </c>
      <c r="H120" s="486" t="s">
        <v>23674</v>
      </c>
    </row>
    <row r="121" spans="1:8">
      <c r="A121" s="490">
        <v>860023</v>
      </c>
      <c r="B121" s="481" t="str">
        <f>VLOOKUP(A121,'13. CUSTOS DER - SERVIÇOS'!A:B,2,0)</f>
        <v>GABIÃO TIPO COLCHÃO ZN/AL + PVC E=0,23M (NBR 8964)</v>
      </c>
      <c r="C121" s="482">
        <v>156</v>
      </c>
      <c r="D121" s="483" t="str">
        <f>VLOOKUP(A121,'13. CUSTOS DER - SERVIÇOS'!A:C,3,0)</f>
        <v>M2</v>
      </c>
      <c r="E121" s="319">
        <v>51163.32</v>
      </c>
      <c r="F121" s="484">
        <f t="shared" si="2"/>
        <v>4.648957984708656E-4</v>
      </c>
      <c r="G121" s="485">
        <f t="shared" si="3"/>
        <v>0.98841224717490106</v>
      </c>
      <c r="H121" s="486" t="s">
        <v>23674</v>
      </c>
    </row>
    <row r="122" spans="1:8" ht="31.5">
      <c r="A122" s="480" t="s">
        <v>22655</v>
      </c>
      <c r="B122" s="481" t="s">
        <v>280</v>
      </c>
      <c r="C122" s="482">
        <v>360.04</v>
      </c>
      <c r="D122" s="488" t="s">
        <v>326</v>
      </c>
      <c r="E122" s="319">
        <v>49984.353200000005</v>
      </c>
      <c r="F122" s="484">
        <f t="shared" si="2"/>
        <v>4.5418310993039095E-4</v>
      </c>
      <c r="G122" s="485">
        <f t="shared" si="3"/>
        <v>0.98886643028483145</v>
      </c>
      <c r="H122" s="486" t="s">
        <v>23674</v>
      </c>
    </row>
    <row r="123" spans="1:8" ht="31.5">
      <c r="A123" s="480">
        <v>705321</v>
      </c>
      <c r="B123" s="481" t="str">
        <f>UPPER(VLOOKUP(A123,'18. CUSTOS DNIT - SERVIÇOS'!A:B,2,0))</f>
        <v>BOCA DE BDCC 2,00 X 2,00 M - ESCONSIDADE 0° - AREIA EXTRAÍDA E BRITA PRODUZIDA</v>
      </c>
      <c r="C123" s="482">
        <v>2</v>
      </c>
      <c r="D123" s="483" t="str">
        <f>UPPER(VLOOKUP(A123,'18. CUSTOS DNIT - SERVIÇOS'!A:C,3,0))</f>
        <v>UN</v>
      </c>
      <c r="E123" s="319">
        <v>47550.46</v>
      </c>
      <c r="F123" s="484">
        <f t="shared" si="2"/>
        <v>4.3206752551157659E-4</v>
      </c>
      <c r="G123" s="485">
        <f t="shared" si="3"/>
        <v>0.98929849781034307</v>
      </c>
      <c r="H123" s="486" t="s">
        <v>23674</v>
      </c>
    </row>
    <row r="124" spans="1:8">
      <c r="A124" s="491" t="s">
        <v>17675</v>
      </c>
      <c r="B124" s="481" t="str">
        <f>VLOOKUP(A124,'8. CCU PLACA DE OBRA'!A:D,4,0)</f>
        <v>PLACA DE OBRA</v>
      </c>
      <c r="C124" s="482">
        <v>90</v>
      </c>
      <c r="D124" s="488" t="str">
        <f>VLOOKUP(A124,'8. CCU PLACA DE OBRA'!A:C,3,0)</f>
        <v>M2</v>
      </c>
      <c r="E124" s="319">
        <v>46182.6</v>
      </c>
      <c r="F124" s="484">
        <f t="shared" si="2"/>
        <v>4.196384578338661E-4</v>
      </c>
      <c r="G124" s="485">
        <f t="shared" si="3"/>
        <v>0.98971813626817695</v>
      </c>
      <c r="H124" s="486" t="s">
        <v>23674</v>
      </c>
    </row>
    <row r="125" spans="1:8">
      <c r="A125" s="480">
        <v>531500</v>
      </c>
      <c r="B125" s="481" t="str">
        <f>VLOOKUP(A125,'13. CUSTOS DER - SERVIÇOS'!A:B,2,0)</f>
        <v>MACADAME SECO BRITADO PREENCHIDO C/PÓ DE PEDRA</v>
      </c>
      <c r="C125" s="482">
        <v>245.67</v>
      </c>
      <c r="D125" s="483" t="str">
        <f>VLOOKUP(A125,'13. CUSTOS DER - SERVIÇOS'!A:C,3,0)</f>
        <v>M3</v>
      </c>
      <c r="E125" s="319">
        <v>41471.5527</v>
      </c>
      <c r="F125" s="484">
        <f t="shared" si="2"/>
        <v>3.7683149972075859E-4</v>
      </c>
      <c r="G125" s="485">
        <f t="shared" si="3"/>
        <v>0.99009496776789774</v>
      </c>
      <c r="H125" s="486" t="s">
        <v>23674</v>
      </c>
    </row>
    <row r="126" spans="1:8" ht="15.75" customHeight="1">
      <c r="A126" s="480">
        <v>705232</v>
      </c>
      <c r="B126" s="481" t="str">
        <f>UPPER(VLOOKUP(A126,'18. CUSTOS DNIT - SERVIÇOS'!A:B,2,0))</f>
        <v>BOCA DE BSCC 2,00 X 2,00 M - ESCONSIDADE 0° - AREIA EXTRAÍDA E BRITA PRODUZIDA</v>
      </c>
      <c r="C126" s="482">
        <v>2</v>
      </c>
      <c r="D126" s="483" t="str">
        <f>UPPER(VLOOKUP(A126,'18. CUSTOS DNIT - SERVIÇOS'!A:C,3,0))</f>
        <v>UN</v>
      </c>
      <c r="E126" s="319">
        <v>40923.5</v>
      </c>
      <c r="F126" s="484">
        <f t="shared" si="2"/>
        <v>3.7185161574195084E-4</v>
      </c>
      <c r="G126" s="485">
        <f t="shared" si="3"/>
        <v>0.99046681938363967</v>
      </c>
      <c r="H126" s="486" t="s">
        <v>23674</v>
      </c>
    </row>
    <row r="127" spans="1:8" ht="31.5">
      <c r="A127" s="480">
        <v>4011538</v>
      </c>
      <c r="B127" s="481" t="str">
        <f>UPPER(VLOOKUP(A127,'18. CUSTOS DNIT - SERVIÇOS'!A:B,2,0))</f>
        <v>CURA COM PINTURA ASFÁLTICA PARA PAVIMENTO DE CONCRETO COMPACTADO COM ROLO</v>
      </c>
      <c r="C127" s="482">
        <v>201973.23</v>
      </c>
      <c r="D127" s="483" t="str">
        <f>UPPER((VLOOKUP(A127,'18. CUSTOS DNIT - SERVIÇOS'!A:C,3,0)))</f>
        <v>M²</v>
      </c>
      <c r="E127" s="319">
        <v>38374.913700000005</v>
      </c>
      <c r="F127" s="484">
        <f t="shared" si="2"/>
        <v>3.4869387181699822E-4</v>
      </c>
      <c r="G127" s="485">
        <f t="shared" si="3"/>
        <v>0.99081551325545669</v>
      </c>
      <c r="H127" s="486" t="s">
        <v>23674</v>
      </c>
    </row>
    <row r="128" spans="1:8" ht="31.5">
      <c r="A128" s="480">
        <v>507220</v>
      </c>
      <c r="B128" s="481" t="str">
        <f>VLOOKUP(A128,'13. CUSTOS DER - SERVIÇOS'!A:B,2,0)</f>
        <v>FORNECIMENTO E COLOCAÇÃO DE AÇO CA-25 PARA BARRA DE TRANSFERÊNCIA Ø= 20MM</v>
      </c>
      <c r="C128" s="482">
        <v>4074.09</v>
      </c>
      <c r="D128" s="483" t="str">
        <f>VLOOKUP(A128,'13. CUSTOS DER - SERVIÇOS'!A:C,3,0)</f>
        <v>KG</v>
      </c>
      <c r="E128" s="319">
        <v>37970.518800000005</v>
      </c>
      <c r="F128" s="484">
        <f t="shared" si="2"/>
        <v>3.4501933525578511E-4</v>
      </c>
      <c r="G128" s="485">
        <f t="shared" si="3"/>
        <v>0.99116053259071246</v>
      </c>
      <c r="H128" s="486" t="s">
        <v>23674</v>
      </c>
    </row>
    <row r="129" spans="1:8" ht="47.25">
      <c r="A129" s="487" t="s">
        <v>22677</v>
      </c>
      <c r="B129" s="481" t="s">
        <v>309</v>
      </c>
      <c r="C129" s="482">
        <v>141.01</v>
      </c>
      <c r="D129" s="488" t="s">
        <v>326</v>
      </c>
      <c r="E129" s="319">
        <v>36221.238700000002</v>
      </c>
      <c r="F129" s="484">
        <f t="shared" si="2"/>
        <v>3.2912449166786514E-4</v>
      </c>
      <c r="G129" s="485">
        <f t="shared" si="3"/>
        <v>0.99148965708238035</v>
      </c>
      <c r="H129" s="486" t="s">
        <v>23674</v>
      </c>
    </row>
    <row r="130" spans="1:8">
      <c r="A130" s="487" t="s">
        <v>22685</v>
      </c>
      <c r="B130" s="481" t="s">
        <v>320</v>
      </c>
      <c r="C130" s="482">
        <v>214</v>
      </c>
      <c r="D130" s="488" t="s">
        <v>329</v>
      </c>
      <c r="E130" s="319">
        <v>34710.799999999996</v>
      </c>
      <c r="F130" s="484">
        <f t="shared" si="2"/>
        <v>3.153998818208537E-4</v>
      </c>
      <c r="G130" s="485">
        <f t="shared" si="3"/>
        <v>0.99180505696420118</v>
      </c>
      <c r="H130" s="486" t="s">
        <v>23674</v>
      </c>
    </row>
    <row r="131" spans="1:8">
      <c r="A131" s="480">
        <v>611500</v>
      </c>
      <c r="B131" s="481" t="str">
        <f>VLOOKUP(A131,'13. CUSTOS DER - SERVIÇOS'!A:B,2,0)</f>
        <v>CORPO DE BSTC 1,50M COM BERÇO</v>
      </c>
      <c r="C131" s="482">
        <v>15</v>
      </c>
      <c r="D131" s="483" t="str">
        <f>VLOOKUP(A131,'13. CUSTOS DER - SERVIÇOS'!A:C,3,0)</f>
        <v>M</v>
      </c>
      <c r="E131" s="319">
        <v>34481.699999999997</v>
      </c>
      <c r="F131" s="484">
        <f t="shared" si="2"/>
        <v>3.133181633665064E-4</v>
      </c>
      <c r="G131" s="485">
        <f t="shared" si="3"/>
        <v>0.99211837512756773</v>
      </c>
      <c r="H131" s="486" t="s">
        <v>23674</v>
      </c>
    </row>
    <row r="132" spans="1:8">
      <c r="A132" s="480">
        <v>411200</v>
      </c>
      <c r="B132" s="481" t="str">
        <f>VLOOKUP(A132,'13. CUSTOS DER - SERVIÇOS'!A:B,2,0)</f>
        <v>ESC. CARGA E TRANSP. 1A. CAT.  1000-1200M</v>
      </c>
      <c r="C132" s="482">
        <v>2742.31</v>
      </c>
      <c r="D132" s="483" t="str">
        <f>VLOOKUP(A132,'13. CUSTOS DER - SERVIÇOS'!A:C,3,0)</f>
        <v>M3</v>
      </c>
      <c r="E132" s="319">
        <v>33565.874400000001</v>
      </c>
      <c r="F132" s="484">
        <f t="shared" si="2"/>
        <v>3.0499650883798757E-4</v>
      </c>
      <c r="G132" s="485">
        <f t="shared" si="3"/>
        <v>0.9924233716364057</v>
      </c>
      <c r="H132" s="486" t="s">
        <v>23674</v>
      </c>
    </row>
    <row r="133" spans="1:8" ht="31.5">
      <c r="A133" s="480">
        <v>705329</v>
      </c>
      <c r="B133" s="481" t="str">
        <f>UPPER(VLOOKUP(A133,'18. CUSTOS DNIT - SERVIÇOS'!A:B,2,0))</f>
        <v>BOCA DE BDCC 2,50 X 2,50 M - ESCONSIDADE 0° - AREIA EXTRAÍDA E BRITA PRODUZIDA</v>
      </c>
      <c r="C133" s="482">
        <v>1</v>
      </c>
      <c r="D133" s="483" t="str">
        <f>UPPER(VLOOKUP(A133,'18. CUSTOS DNIT - SERVIÇOS'!A:C,3,0))</f>
        <v>UN</v>
      </c>
      <c r="E133" s="319">
        <v>33075.599999999999</v>
      </c>
      <c r="F133" s="484">
        <f t="shared" si="2"/>
        <v>3.005416277110821E-4</v>
      </c>
      <c r="G133" s="485">
        <f t="shared" si="3"/>
        <v>0.9927239132641168</v>
      </c>
      <c r="H133" s="486" t="s">
        <v>23674</v>
      </c>
    </row>
    <row r="134" spans="1:8">
      <c r="A134" s="480">
        <v>603000</v>
      </c>
      <c r="B134" s="481" t="str">
        <f>VLOOKUP(A134,'13. CUSTOS DER - SERVIÇOS'!A:B,2,0)</f>
        <v>AÇO CA-50 FORNEC. DOBR. COLOCAÇÃO</v>
      </c>
      <c r="C134" s="482">
        <v>1284.74</v>
      </c>
      <c r="D134" s="483" t="str">
        <f>VLOOKUP(A134,'13. CUSTOS DER - SERVIÇOS'!A:C,3,0)</f>
        <v>KG</v>
      </c>
      <c r="E134" s="319">
        <v>29369.1564</v>
      </c>
      <c r="F134" s="484">
        <f t="shared" si="2"/>
        <v>2.668630068375886E-4</v>
      </c>
      <c r="G134" s="485">
        <f t="shared" si="3"/>
        <v>0.99299077627095433</v>
      </c>
      <c r="H134" s="486" t="s">
        <v>23674</v>
      </c>
    </row>
    <row r="135" spans="1:8">
      <c r="A135" s="487" t="s">
        <v>22674</v>
      </c>
      <c r="B135" s="481" t="s">
        <v>306</v>
      </c>
      <c r="C135" s="482">
        <v>572.12</v>
      </c>
      <c r="D135" s="488" t="s">
        <v>326</v>
      </c>
      <c r="E135" s="319">
        <v>28852.011600000002</v>
      </c>
      <c r="F135" s="484">
        <f t="shared" si="2"/>
        <v>2.6216396766810048E-4</v>
      </c>
      <c r="G135" s="485">
        <f t="shared" si="3"/>
        <v>0.99325294023862243</v>
      </c>
      <c r="H135" s="486" t="s">
        <v>23674</v>
      </c>
    </row>
    <row r="136" spans="1:8">
      <c r="A136" s="480">
        <v>620500</v>
      </c>
      <c r="B136" s="481" t="str">
        <f>VLOOKUP(A136,'13. CUSTOS DER - SERVIÇOS'!A:B,2,0)</f>
        <v>BOCA DE BSTC 1,50M</v>
      </c>
      <c r="C136" s="482">
        <v>5</v>
      </c>
      <c r="D136" s="483" t="str">
        <f>VLOOKUP(A136,'13. CUSTOS DER - SERVIÇOS'!A:C,3,0)</f>
        <v>UD</v>
      </c>
      <c r="E136" s="319">
        <v>28497.449999999997</v>
      </c>
      <c r="F136" s="484">
        <f t="shared" si="2"/>
        <v>2.589422416710559E-4</v>
      </c>
      <c r="G136" s="485">
        <f t="shared" si="3"/>
        <v>0.99351188248029343</v>
      </c>
      <c r="H136" s="486" t="s">
        <v>23674</v>
      </c>
    </row>
    <row r="137" spans="1:8">
      <c r="A137" s="480">
        <v>601100</v>
      </c>
      <c r="B137" s="481" t="str">
        <f>VLOOKUP(A137,'13. CUSTOS DER - SERVIÇOS'!A:B,2,0)</f>
        <v>APILOAMENTO MANUAL</v>
      </c>
      <c r="C137" s="482">
        <v>420.36</v>
      </c>
      <c r="D137" s="483" t="str">
        <f>VLOOKUP(A137,'13. CUSTOS DER - SERVIÇOS'!A:C,3,0)</f>
        <v>M3</v>
      </c>
      <c r="E137" s="319">
        <v>28323.856799999998</v>
      </c>
      <c r="F137" s="484">
        <f t="shared" si="2"/>
        <v>2.5736488607092843E-4</v>
      </c>
      <c r="G137" s="485">
        <f t="shared" si="3"/>
        <v>0.99376924736636441</v>
      </c>
      <c r="H137" s="486" t="s">
        <v>23674</v>
      </c>
    </row>
    <row r="138" spans="1:8">
      <c r="A138" s="480">
        <v>531350</v>
      </c>
      <c r="B138" s="481" t="str">
        <f>VLOOKUP(A138,'13. CUSTOS DER - SERVIÇOS'!A:B,2,0)</f>
        <v>MACADAME SECO BRITADO PREENCHIDO C/BICA CORRIDA</v>
      </c>
      <c r="C138" s="482">
        <v>175.8</v>
      </c>
      <c r="D138" s="483" t="str">
        <f>VLOOKUP(A138,'13. CUSTOS DER - SERVIÇOS'!A:C,3,0)</f>
        <v>M3</v>
      </c>
      <c r="E138" s="319">
        <v>28120.968000000004</v>
      </c>
      <c r="F138" s="484">
        <f t="shared" si="2"/>
        <v>2.5552133583461086E-4</v>
      </c>
      <c r="G138" s="485">
        <f t="shared" si="3"/>
        <v>0.99402476870219902</v>
      </c>
      <c r="H138" s="486" t="s">
        <v>23674</v>
      </c>
    </row>
    <row r="139" spans="1:8">
      <c r="A139" s="480">
        <v>622100</v>
      </c>
      <c r="B139" s="481" t="str">
        <f>VLOOKUP(A139,'13. CUSTOS DER - SERVIÇOS'!A:B,2,0)</f>
        <v>BOCA DE SAÍDA DRENO PROFUNDO - TIPO 2</v>
      </c>
      <c r="C139" s="482">
        <v>73</v>
      </c>
      <c r="D139" s="483" t="str">
        <f>VLOOKUP(A139,'13. CUSTOS DER - SERVIÇOS'!A:C,3,0)</f>
        <v>UD</v>
      </c>
      <c r="E139" s="319">
        <v>27992.58</v>
      </c>
      <c r="F139" s="484">
        <f t="shared" si="2"/>
        <v>2.5435473754165257E-4</v>
      </c>
      <c r="G139" s="485">
        <f t="shared" si="3"/>
        <v>0.99427912343974068</v>
      </c>
      <c r="H139" s="486" t="s">
        <v>23674</v>
      </c>
    </row>
    <row r="140" spans="1:8" ht="31.5">
      <c r="A140" s="480">
        <v>705240</v>
      </c>
      <c r="B140" s="481" t="str">
        <f>UPPER(VLOOKUP(A140,'18. CUSTOS DNIT - SERVIÇOS'!A:B,2,0))</f>
        <v>BOCA DE BSCC 2,50 X 2,50 M - ESCONSIDADE 0° - AREIA EXTRAÍDA E BRITA PRODUZIDA</v>
      </c>
      <c r="C140" s="482">
        <v>1</v>
      </c>
      <c r="D140" s="483" t="str">
        <f>UPPER(VLOOKUP(A140,'18. CUSTOS DNIT - SERVIÇOS'!A:C,3,0))</f>
        <v>UN</v>
      </c>
      <c r="E140" s="319">
        <v>27598.91</v>
      </c>
      <c r="F140" s="484">
        <f t="shared" ref="F140:F203" si="4">E140/$E$205</f>
        <v>2.5077765284535009E-4</v>
      </c>
      <c r="G140" s="485">
        <f t="shared" si="3"/>
        <v>0.99452990109258599</v>
      </c>
      <c r="H140" s="486" t="s">
        <v>23674</v>
      </c>
    </row>
    <row r="141" spans="1:8" ht="47.25">
      <c r="A141" s="491">
        <v>98064</v>
      </c>
      <c r="B141" s="481" t="str">
        <f>VLOOKUP(A141,'21. CUSTOS SINAPI - SERVIÇOS'!A:B,2,0)</f>
        <v>SUMIDOURO CIRCULAR, EM CONCRETO PRÉ-MOLDADO, DIÂMETRO INTERNO = 2,38 M, ALTURA INTERNA = 3,0 M, ÁREA DE INFILTRAÇÃO: 25 M² (PARA 10 CONTRIBUINTES). AF_12/2020_PA</v>
      </c>
      <c r="C141" s="482">
        <v>5</v>
      </c>
      <c r="D141" s="483" t="str">
        <f>VLOOKUP(A141,'21. CUSTOS SINAPI - SERVIÇOS'!A:C,3,0)</f>
        <v>UN</v>
      </c>
      <c r="E141" s="319">
        <v>25546.95</v>
      </c>
      <c r="F141" s="484">
        <f t="shared" si="4"/>
        <v>2.321325066228165E-4</v>
      </c>
      <c r="G141" s="485">
        <f t="shared" si="3"/>
        <v>0.99476203359920878</v>
      </c>
      <c r="H141" s="486" t="s">
        <v>23674</v>
      </c>
    </row>
    <row r="142" spans="1:8">
      <c r="A142" s="491" t="s">
        <v>362</v>
      </c>
      <c r="B142" s="481" t="str">
        <f>VLOOKUP(A142,'6. CCU MOBILIZAÇÃO EQUIPTOS'!A:C,3,0)</f>
        <v>MOBILIZAÇÃO DE EQUIPAMENTOS DE GRANDE PORTE</v>
      </c>
      <c r="C142" s="482">
        <v>1</v>
      </c>
      <c r="D142" s="483" t="s">
        <v>331</v>
      </c>
      <c r="E142" s="319">
        <v>24730.63</v>
      </c>
      <c r="F142" s="484">
        <f t="shared" si="4"/>
        <v>2.2471501029521822E-4</v>
      </c>
      <c r="G142" s="485">
        <f t="shared" ref="G142:G204" si="5">F142+G141</f>
        <v>0.99498674860950398</v>
      </c>
      <c r="H142" s="486" t="s">
        <v>23674</v>
      </c>
    </row>
    <row r="143" spans="1:8" ht="15.75" customHeight="1">
      <c r="A143" s="491" t="s">
        <v>22719</v>
      </c>
      <c r="B143" s="481" t="s">
        <v>323</v>
      </c>
      <c r="C143" s="482">
        <v>1</v>
      </c>
      <c r="D143" s="483" t="s">
        <v>331</v>
      </c>
      <c r="E143" s="319">
        <v>24730.63</v>
      </c>
      <c r="F143" s="484">
        <f t="shared" si="4"/>
        <v>2.2471501029521822E-4</v>
      </c>
      <c r="G143" s="485">
        <f t="shared" si="5"/>
        <v>0.99521146361979917</v>
      </c>
      <c r="H143" s="486" t="s">
        <v>23674</v>
      </c>
    </row>
    <row r="144" spans="1:8">
      <c r="A144" s="487" t="s">
        <v>22669</v>
      </c>
      <c r="B144" s="481" t="s">
        <v>301</v>
      </c>
      <c r="C144" s="482">
        <v>457.1</v>
      </c>
      <c r="D144" s="488" t="s">
        <v>325</v>
      </c>
      <c r="E144" s="319">
        <v>23261.819000000003</v>
      </c>
      <c r="F144" s="484">
        <f t="shared" si="4"/>
        <v>2.1136865078125801E-4</v>
      </c>
      <c r="G144" s="485">
        <f t="shared" si="5"/>
        <v>0.99542283227058048</v>
      </c>
      <c r="H144" s="486" t="s">
        <v>23674</v>
      </c>
    </row>
    <row r="145" spans="1:8">
      <c r="A145" s="487">
        <v>606600</v>
      </c>
      <c r="B145" s="481" t="str">
        <f>VLOOKUP(A145,'13. CUSTOS DER - SERVIÇOS'!A:B,2,0)</f>
        <v>DEMOLIÇÃO DE CONCRETO ARMADO</v>
      </c>
      <c r="C145" s="482">
        <v>54.52</v>
      </c>
      <c r="D145" s="483" t="str">
        <f>VLOOKUP(A145,'13. CUSTOS DER - SERVIÇOS'!A:C,3,0)</f>
        <v>M3</v>
      </c>
      <c r="E145" s="319">
        <v>21038.177600000003</v>
      </c>
      <c r="F145" s="484">
        <f t="shared" si="4"/>
        <v>1.9116352054018151E-4</v>
      </c>
      <c r="G145" s="485">
        <f t="shared" si="5"/>
        <v>0.99561399579112064</v>
      </c>
      <c r="H145" s="486" t="s">
        <v>23674</v>
      </c>
    </row>
    <row r="146" spans="1:8">
      <c r="A146" s="480">
        <v>600600</v>
      </c>
      <c r="B146" s="481" t="str">
        <f>VLOOKUP(A146,'13. CUSTOS DER - SERVIÇOS'!A:B,2,0)</f>
        <v>ESCAVAÇÃO VALAS DE DRENAGEM 1A. CAT.</v>
      </c>
      <c r="C146" s="482">
        <v>906</v>
      </c>
      <c r="D146" s="483" t="str">
        <f>VLOOKUP(A146,'13. CUSTOS DER - SERVIÇOS'!A:C,3,0)</f>
        <v>M3</v>
      </c>
      <c r="E146" s="319">
        <v>20955.78</v>
      </c>
      <c r="F146" s="484">
        <f t="shared" si="4"/>
        <v>1.9041481427866283E-4</v>
      </c>
      <c r="G146" s="485">
        <f t="shared" si="5"/>
        <v>0.99580441060539926</v>
      </c>
      <c r="H146" s="486" t="s">
        <v>23674</v>
      </c>
    </row>
    <row r="147" spans="1:8">
      <c r="A147" s="480">
        <v>401010</v>
      </c>
      <c r="B147" s="481" t="str">
        <f>VLOOKUP(A147,'13. CUSTOS DER - SERVIÇOS'!A:B,2,0)</f>
        <v>DESTOCAMENTO ÁRVORES DIAM. &gt; 30CM</v>
      </c>
      <c r="C147" s="482">
        <v>334</v>
      </c>
      <c r="D147" s="483" t="str">
        <f>VLOOKUP(A147,'13. CUSTOS DER - SERVIÇOS'!A:C,3,0)</f>
        <v>UD</v>
      </c>
      <c r="E147" s="319">
        <v>20544.34</v>
      </c>
      <c r="F147" s="484">
        <f t="shared" si="4"/>
        <v>1.866762623761895E-4</v>
      </c>
      <c r="G147" s="485">
        <f t="shared" si="5"/>
        <v>0.99599108686777549</v>
      </c>
      <c r="H147" s="486" t="s">
        <v>23674</v>
      </c>
    </row>
    <row r="148" spans="1:8">
      <c r="A148" s="487" t="s">
        <v>22681</v>
      </c>
      <c r="B148" s="481" t="s">
        <v>316</v>
      </c>
      <c r="C148" s="482">
        <v>894</v>
      </c>
      <c r="D148" s="488" t="s">
        <v>329</v>
      </c>
      <c r="E148" s="319">
        <v>19498.14</v>
      </c>
      <c r="F148" s="484">
        <f t="shared" si="4"/>
        <v>1.7716996011980308E-4</v>
      </c>
      <c r="G148" s="485">
        <f t="shared" si="5"/>
        <v>0.99616825682789534</v>
      </c>
      <c r="H148" s="486" t="s">
        <v>23674</v>
      </c>
    </row>
    <row r="149" spans="1:8">
      <c r="A149" s="480">
        <v>621300</v>
      </c>
      <c r="B149" s="481" t="str">
        <f>VLOOKUP(A149,'13. CUSTOS DER - SERVIÇOS'!A:B,2,0)</f>
        <v>BOCA DE BTTC 1,50M</v>
      </c>
      <c r="C149" s="482">
        <v>2</v>
      </c>
      <c r="D149" s="483" t="str">
        <f>VLOOKUP(A149,'13. CUSTOS DER - SERVIÇOS'!A:C,3,0)</f>
        <v>UD</v>
      </c>
      <c r="E149" s="319">
        <v>19412.82</v>
      </c>
      <c r="F149" s="484">
        <f t="shared" si="4"/>
        <v>1.7639469945404616E-4</v>
      </c>
      <c r="G149" s="485">
        <f t="shared" si="5"/>
        <v>0.99634465152734941</v>
      </c>
      <c r="H149" s="486" t="s">
        <v>23674</v>
      </c>
    </row>
    <row r="150" spans="1:8">
      <c r="A150" s="480">
        <v>403000</v>
      </c>
      <c r="B150" s="481" t="str">
        <f>VLOOKUP(A150,'13. CUSTOS DER - SERVIÇOS'!A:B,2,0)</f>
        <v>COMPACTAÇÃO DE ATERROS EM 3A. CAT.</v>
      </c>
      <c r="C150" s="482">
        <v>2072</v>
      </c>
      <c r="D150" s="483" t="str">
        <f>VLOOKUP(A150,'13. CUSTOS DER - SERVIÇOS'!A:C,3,0)</f>
        <v>M3</v>
      </c>
      <c r="E150" s="319">
        <v>18668.72</v>
      </c>
      <c r="F150" s="484">
        <f t="shared" si="4"/>
        <v>1.6963343056762185E-4</v>
      </c>
      <c r="G150" s="485">
        <f t="shared" si="5"/>
        <v>0.99651428495791705</v>
      </c>
      <c r="H150" s="486" t="s">
        <v>23674</v>
      </c>
    </row>
    <row r="151" spans="1:8" ht="15.75" customHeight="1">
      <c r="A151" s="480">
        <v>661500</v>
      </c>
      <c r="B151" s="481" t="str">
        <f>VLOOKUP(A151,'13. CUSTOS DER - SERVIÇOS'!A:B,2,0)</f>
        <v>VALETA CONCRETO PROTEÇÃO CORTE - TIPO 7A</v>
      </c>
      <c r="C151" s="482">
        <v>101</v>
      </c>
      <c r="D151" s="483" t="str">
        <f>VLOOKUP(A151,'13. CUSTOS DER - SERVIÇOS'!A:C,3,0)</f>
        <v>M</v>
      </c>
      <c r="E151" s="319">
        <v>18373.919999999998</v>
      </c>
      <c r="F151" s="484">
        <f t="shared" si="4"/>
        <v>1.6695472868922121E-4</v>
      </c>
      <c r="G151" s="485">
        <f t="shared" si="5"/>
        <v>0.99668123968660627</v>
      </c>
      <c r="H151" s="486" t="s">
        <v>23674</v>
      </c>
    </row>
    <row r="152" spans="1:8" ht="15.75" customHeight="1">
      <c r="A152" s="490">
        <v>589000</v>
      </c>
      <c r="B152" s="481" t="str">
        <f>VLOOKUP(A152,'13. CUSTOS DER - SERVIÇOS'!A:B,2,0)</f>
        <v>FORNECIMENTO DE CAP-50/70</v>
      </c>
      <c r="C152" s="482">
        <v>3.14</v>
      </c>
      <c r="D152" s="483" t="str">
        <f>VLOOKUP(A152,'13. CUSTOS DER - SERVIÇOS'!A:C,3,0)</f>
        <v>T</v>
      </c>
      <c r="E152" s="319">
        <v>17386.462600000003</v>
      </c>
      <c r="F152" s="484">
        <f t="shared" si="4"/>
        <v>1.5798219140217724E-4</v>
      </c>
      <c r="G152" s="485">
        <f t="shared" si="5"/>
        <v>0.99683922187800844</v>
      </c>
      <c r="H152" s="486" t="s">
        <v>23674</v>
      </c>
    </row>
    <row r="153" spans="1:8">
      <c r="A153" s="487">
        <v>843000</v>
      </c>
      <c r="B153" s="481" t="str">
        <f>VLOOKUP(A153,'13. CUSTOS DER - SERVIÇOS'!A:B,2,0)</f>
        <v>REMOÇÃO DE CASA DE ALVENARIA</v>
      </c>
      <c r="C153" s="482">
        <v>39.67</v>
      </c>
      <c r="D153" s="483" t="str">
        <f>VLOOKUP(A153,'13. CUSTOS DER - SERVIÇOS'!A:C,3,0)</f>
        <v>M2</v>
      </c>
      <c r="E153" s="319">
        <v>17227.0942</v>
      </c>
      <c r="F153" s="484">
        <f t="shared" si="4"/>
        <v>1.5653408952823658E-4</v>
      </c>
      <c r="G153" s="485">
        <f t="shared" si="5"/>
        <v>0.99699575596753665</v>
      </c>
      <c r="H153" s="486" t="s">
        <v>23674</v>
      </c>
    </row>
    <row r="154" spans="1:8">
      <c r="A154" s="480" t="s">
        <v>22647</v>
      </c>
      <c r="B154" s="481" t="s">
        <v>230</v>
      </c>
      <c r="C154" s="482">
        <v>77.58</v>
      </c>
      <c r="D154" s="488" t="s">
        <v>325</v>
      </c>
      <c r="E154" s="319">
        <v>16840.2906</v>
      </c>
      <c r="F154" s="484">
        <f t="shared" si="4"/>
        <v>1.5301939641462696E-4</v>
      </c>
      <c r="G154" s="485">
        <f t="shared" si="5"/>
        <v>0.9971487753639513</v>
      </c>
      <c r="H154" s="486" t="s">
        <v>23674</v>
      </c>
    </row>
    <row r="155" spans="1:8">
      <c r="A155" s="487" t="s">
        <v>22671</v>
      </c>
      <c r="B155" s="481" t="s">
        <v>303</v>
      </c>
      <c r="C155" s="482">
        <v>200</v>
      </c>
      <c r="D155" s="488" t="s">
        <v>328</v>
      </c>
      <c r="E155" s="319">
        <v>16257.999999999998</v>
      </c>
      <c r="F155" s="484">
        <f t="shared" si="4"/>
        <v>1.4772840956254075E-4</v>
      </c>
      <c r="G155" s="485">
        <f t="shared" si="5"/>
        <v>0.99729650377351386</v>
      </c>
      <c r="H155" s="486" t="s">
        <v>23674</v>
      </c>
    </row>
    <row r="156" spans="1:8" ht="31.5">
      <c r="A156" s="491" t="s">
        <v>22715</v>
      </c>
      <c r="B156" s="481" t="str">
        <f>VLOOKUP(A156,'9. CCU''S GERAIS AMEP'!A:D,4,0)</f>
        <v>EXECUÇÃO DE RESERVATÓRIO ELEVADO DE ÁGUA DE 5.000 LITROS EM CANTEIRO DE OBRAS, APOIADO SOBRE ESTURUTRA DE MADEIRA</v>
      </c>
      <c r="C156" s="482">
        <v>1</v>
      </c>
      <c r="D156" s="488" t="str">
        <f>VLOOKUP(A156,'9. CCU''S GERAIS AMEP'!A:C,3,0)</f>
        <v>UN</v>
      </c>
      <c r="E156" s="319">
        <v>15917.38</v>
      </c>
      <c r="F156" s="484">
        <f t="shared" si="4"/>
        <v>1.4463336399327069E-4</v>
      </c>
      <c r="G156" s="485">
        <f t="shared" si="5"/>
        <v>0.99744113713750715</v>
      </c>
      <c r="H156" s="486" t="s">
        <v>23674</v>
      </c>
    </row>
    <row r="157" spans="1:8" ht="15.75" customHeight="1">
      <c r="A157" s="491" t="s">
        <v>17670</v>
      </c>
      <c r="B157" s="481" t="str">
        <f>VLOOKUP(A157,'7. CCU SINALIZAÇÃO DE OBRA'!A:D,4,0)</f>
        <v>SINALIZAÇÃO DE OBRA - TIPO 3</v>
      </c>
      <c r="C157" s="482">
        <v>4</v>
      </c>
      <c r="D157" s="488" t="str">
        <f>VLOOKUP(A157,'7. CCU SINALIZAÇÃO DE OBRA'!A:C,3,0)</f>
        <v>UN</v>
      </c>
      <c r="E157" s="319">
        <v>15907</v>
      </c>
      <c r="F157" s="484">
        <f t="shared" si="4"/>
        <v>1.445390460641737E-4</v>
      </c>
      <c r="G157" s="485">
        <f t="shared" si="5"/>
        <v>0.9975856761835713</v>
      </c>
      <c r="H157" s="486" t="s">
        <v>23674</v>
      </c>
    </row>
    <row r="158" spans="1:8" ht="15.75" customHeight="1">
      <c r="A158" s="480">
        <v>570000</v>
      </c>
      <c r="B158" s="481" t="str">
        <f>VLOOKUP(A158,'13. CUSTOS DER - SERVIÇOS'!A:B,2,0)</f>
        <v>C.B.U.Q. EXCL. FORNEC. DO CAP (ATÉ 10.000 T)</v>
      </c>
      <c r="C158" s="482">
        <v>58.07</v>
      </c>
      <c r="D158" s="483" t="str">
        <f>VLOOKUP(A158,'13. CUSTOS DER - SERVIÇOS'!A:C,3,0)</f>
        <v>T</v>
      </c>
      <c r="E158" s="319">
        <v>15788.6523</v>
      </c>
      <c r="F158" s="484">
        <f t="shared" si="4"/>
        <v>1.4346367901432841E-4</v>
      </c>
      <c r="G158" s="485">
        <f t="shared" si="5"/>
        <v>0.9977291398625856</v>
      </c>
      <c r="H158" s="486" t="s">
        <v>23674</v>
      </c>
    </row>
    <row r="159" spans="1:8" ht="15.75" customHeight="1">
      <c r="A159" s="480">
        <v>620100</v>
      </c>
      <c r="B159" s="481" t="str">
        <f>VLOOKUP(A159,'13. CUSTOS DER - SERVIÇOS'!A:B,2,0)</f>
        <v>BOCA DE BSTC 0,60M</v>
      </c>
      <c r="C159" s="482">
        <v>12</v>
      </c>
      <c r="D159" s="483" t="str">
        <f>VLOOKUP(A159,'13. CUSTOS DER - SERVIÇOS'!A:C,3,0)</f>
        <v>UD</v>
      </c>
      <c r="E159" s="319">
        <v>14957.28</v>
      </c>
      <c r="F159" s="484">
        <f t="shared" si="4"/>
        <v>1.3590940987708204E-4</v>
      </c>
      <c r="G159" s="485">
        <f t="shared" si="5"/>
        <v>0.99786504927246267</v>
      </c>
      <c r="H159" s="486" t="s">
        <v>23674</v>
      </c>
    </row>
    <row r="160" spans="1:8">
      <c r="A160" s="480">
        <v>1600441</v>
      </c>
      <c r="B160" s="481" t="str">
        <f>UPPER(VLOOKUP(A160,'18. CUSTOS DNIT - SERVIÇOS'!A:B,2,0))</f>
        <v>REMOÇÃO DE PARALELEPÍPEDOS</v>
      </c>
      <c r="C160" s="482">
        <v>2523.67</v>
      </c>
      <c r="D160" s="483" t="str">
        <f>UPPER((VLOOKUP(A160,'18. CUSTOS DNIT - SERVIÇOS'!A:C,3,0)))</f>
        <v>M²</v>
      </c>
      <c r="E160" s="319">
        <v>14839.179599999999</v>
      </c>
      <c r="F160" s="484">
        <f t="shared" si="4"/>
        <v>1.3483628992009471E-4</v>
      </c>
      <c r="G160" s="485">
        <f t="shared" si="5"/>
        <v>0.99799988556238273</v>
      </c>
      <c r="H160" s="486" t="s">
        <v>23674</v>
      </c>
    </row>
    <row r="161" spans="1:8">
      <c r="A161" s="480">
        <v>531100</v>
      </c>
      <c r="B161" s="481" t="str">
        <f>VLOOKUP(A161,'13. CUSTOS DER - SERVIÇOS'!A:B,2,0)</f>
        <v>BRITA GRADUADA 100% PM</v>
      </c>
      <c r="C161" s="482">
        <v>70.790000000000006</v>
      </c>
      <c r="D161" s="483" t="str">
        <f>VLOOKUP(A161,'13. CUSTOS DER - SERVIÇOS'!A:C,3,0)</f>
        <v>M3</v>
      </c>
      <c r="E161" s="319">
        <v>14696.711900000002</v>
      </c>
      <c r="F161" s="484">
        <f t="shared" si="4"/>
        <v>1.3354175635292575E-4</v>
      </c>
      <c r="G161" s="485">
        <f t="shared" si="5"/>
        <v>0.99813342731873567</v>
      </c>
      <c r="H161" s="486" t="s">
        <v>23674</v>
      </c>
    </row>
    <row r="162" spans="1:8" ht="47.25">
      <c r="A162" s="480">
        <v>101850</v>
      </c>
      <c r="B162" s="481" t="str">
        <f>VLOOKUP(A162,'21. CUSTOS SINAPI - SERVIÇOS'!A:B,2,0)</f>
        <v>REASSENTAMENTO DE PARALELEPÍPEDOS, REJUNTAMENTO COM PÓ DE PEDRA, COM REAPROVEITAMENTO DOS PARALELEPÍPEDOS - INCLUSO RETIRADA E COLOCAÇÃO DO MATERIAL. AF_12/2020</v>
      </c>
      <c r="C162" s="482">
        <v>173.94</v>
      </c>
      <c r="D162" s="483" t="str">
        <f>VLOOKUP(A162,'21. CUSTOS SINAPI - SERVIÇOS'!A:C,3,0)</f>
        <v>M2</v>
      </c>
      <c r="E162" s="319">
        <v>13476.871200000001</v>
      </c>
      <c r="F162" s="484">
        <f t="shared" si="4"/>
        <v>1.2245766688739147E-4</v>
      </c>
      <c r="G162" s="485">
        <f t="shared" si="5"/>
        <v>0.99825588498562301</v>
      </c>
      <c r="H162" s="486" t="s">
        <v>23674</v>
      </c>
    </row>
    <row r="163" spans="1:8" ht="31.5">
      <c r="A163" s="480">
        <v>407819</v>
      </c>
      <c r="B163" s="481" t="str">
        <f>UPPER(VLOOKUP(A163,'18. CUSTOS DNIT - SERVIÇOS'!A:B,2,0))</f>
        <v>ARMAÇÃO EM AÇO CA-50 - FORNECIMENTO, PREPARO E COLOCAÇÃO</v>
      </c>
      <c r="C163" s="482">
        <v>783.1</v>
      </c>
      <c r="D163" s="483" t="str">
        <f>UPPER((VLOOKUP(A163,'18. CUSTOS DNIT - SERVIÇOS'!A:C,3,0)))</f>
        <v>KG</v>
      </c>
      <c r="E163" s="319">
        <v>12435.628000000001</v>
      </c>
      <c r="F163" s="484">
        <f t="shared" si="4"/>
        <v>1.1299640462242587E-4</v>
      </c>
      <c r="G163" s="485">
        <f t="shared" si="5"/>
        <v>0.99836888139024549</v>
      </c>
      <c r="H163" s="486" t="s">
        <v>23674</v>
      </c>
    </row>
    <row r="164" spans="1:8" ht="15.75" customHeight="1">
      <c r="A164" s="480">
        <v>530200</v>
      </c>
      <c r="B164" s="481" t="str">
        <f>VLOOKUP(A164,'13. CUSTOS DER - SERVIÇOS'!A:B,2,0)</f>
        <v>BICA CORRIDA</v>
      </c>
      <c r="C164" s="482">
        <v>78.55</v>
      </c>
      <c r="D164" s="483" t="str">
        <f>VLOOKUP(A164,'13. CUSTOS DER - SERVIÇOS'!A:C,3,0)</f>
        <v>M3</v>
      </c>
      <c r="E164" s="319">
        <v>12075.4915</v>
      </c>
      <c r="F164" s="484">
        <f t="shared" si="4"/>
        <v>1.0972402226479147E-4</v>
      </c>
      <c r="G164" s="485">
        <f t="shared" si="5"/>
        <v>0.99847860541251032</v>
      </c>
      <c r="H164" s="486" t="s">
        <v>23674</v>
      </c>
    </row>
    <row r="165" spans="1:8" ht="15.75" customHeight="1">
      <c r="A165" s="487" t="s">
        <v>22680</v>
      </c>
      <c r="B165" s="481" t="s">
        <v>315</v>
      </c>
      <c r="C165" s="482">
        <v>911.88</v>
      </c>
      <c r="D165" s="488" t="s">
        <v>328</v>
      </c>
      <c r="E165" s="319">
        <v>12055.053600000001</v>
      </c>
      <c r="F165" s="484">
        <f t="shared" si="4"/>
        <v>1.0953831317008129E-4</v>
      </c>
      <c r="G165" s="485">
        <f t="shared" si="5"/>
        <v>0.99858814372568039</v>
      </c>
      <c r="H165" s="486" t="s">
        <v>23674</v>
      </c>
    </row>
    <row r="166" spans="1:8" ht="15.75" customHeight="1">
      <c r="A166" s="491">
        <v>98059</v>
      </c>
      <c r="B166" s="481" t="str">
        <f>VLOOKUP(A166,'21. CUSTOS SINAPI - SERVIÇOS'!A:B,2,0)</f>
        <v>FILTRO ANAERÓBIO CIRCULAR, EM CONCRETO PRÉ-MOLDADO, DIÂMETRO INTERNO = 1,88 M, ALTURA INTERNA = 1,50 M, VOLUME ÚTIL: 3331,1 L (PARA 19 CONTRIBUINTES). AF_12/2020_PA</v>
      </c>
      <c r="C166" s="482">
        <v>3</v>
      </c>
      <c r="D166" s="483" t="str">
        <f>VLOOKUP(A166,'21. CUSTOS SINAPI - SERVIÇOS'!A:C,3,0)</f>
        <v>UN</v>
      </c>
      <c r="E166" s="319">
        <v>11129.64</v>
      </c>
      <c r="F166" s="484">
        <f t="shared" si="4"/>
        <v>1.0112953722497454E-4</v>
      </c>
      <c r="G166" s="485">
        <f t="shared" si="5"/>
        <v>0.99868927326290535</v>
      </c>
      <c r="H166" s="486" t="s">
        <v>23674</v>
      </c>
    </row>
    <row r="167" spans="1:8" ht="15.75" customHeight="1">
      <c r="A167" s="491">
        <v>98053</v>
      </c>
      <c r="B167" s="481" t="str">
        <f>VLOOKUP(A167,'21. CUSTOS SINAPI - SERVIÇOS'!A:B,2,0)</f>
        <v>TANQUE SÉPTICO CIRCULAR, EM CONCRETO PRÉ-MOLDADO, DIÂMETRO INTERNO = 1,40 M, ALTURA INTERNA = 2,50 M, VOLUME ÚTIL: 3463,6 L (PARA 13 CONTRIBUINTES). AF_12/2020_PA</v>
      </c>
      <c r="C167" s="482">
        <v>4</v>
      </c>
      <c r="D167" s="483" t="str">
        <f>VLOOKUP(A167,'21. CUSTOS SINAPI - SERVIÇOS'!A:C,3,0)</f>
        <v>UN</v>
      </c>
      <c r="E167" s="319">
        <v>10915.4</v>
      </c>
      <c r="F167" s="484">
        <f t="shared" si="4"/>
        <v>9.9182844245230501E-5</v>
      </c>
      <c r="G167" s="485">
        <f t="shared" si="5"/>
        <v>0.99878845610715061</v>
      </c>
      <c r="H167" s="486" t="s">
        <v>23674</v>
      </c>
    </row>
    <row r="168" spans="1:8" ht="15.75" customHeight="1">
      <c r="A168" s="480" t="s">
        <v>22645</v>
      </c>
      <c r="B168" s="481" t="s">
        <v>219</v>
      </c>
      <c r="C168" s="482">
        <v>84</v>
      </c>
      <c r="D168" s="483" t="s">
        <v>326</v>
      </c>
      <c r="E168" s="319">
        <v>10349.64</v>
      </c>
      <c r="F168" s="484">
        <f t="shared" si="4"/>
        <v>9.4042062784158831E-5</v>
      </c>
      <c r="G168" s="485">
        <f t="shared" si="5"/>
        <v>0.9988824981699348</v>
      </c>
      <c r="H168" s="486" t="s">
        <v>23674</v>
      </c>
    </row>
    <row r="169" spans="1:8" ht="15.75" customHeight="1">
      <c r="A169" s="491">
        <v>93585</v>
      </c>
      <c r="B169" s="481" t="str">
        <f>VLOOKUP(A169,'21. CUSTOS SINAPI - SERVIÇOS'!A:B,2,0)</f>
        <v>EXECUÇÃO DE GUARITA EM CANTEIRO DE OBRA EM CHAPA DE MADEIRA COMPENSADA, NÃO INCLUSO MOBILIÁRIO. AF_04/2016</v>
      </c>
      <c r="C169" s="482">
        <v>6.1</v>
      </c>
      <c r="D169" s="483" t="str">
        <f>VLOOKUP(A169,'21. CUSTOS SINAPI - SERVIÇOS'!A:C,3,0)</f>
        <v>M2</v>
      </c>
      <c r="E169" s="319">
        <v>10183.583999999999</v>
      </c>
      <c r="F169" s="484">
        <f t="shared" si="4"/>
        <v>9.2533193994743328E-5</v>
      </c>
      <c r="G169" s="485">
        <f t="shared" si="5"/>
        <v>0.99897503136392951</v>
      </c>
      <c r="H169" s="486" t="s">
        <v>23674</v>
      </c>
    </row>
    <row r="170" spans="1:8" ht="15.75" customHeight="1">
      <c r="A170" s="491" t="s">
        <v>17669</v>
      </c>
      <c r="B170" s="481" t="str">
        <f>VLOOKUP(A170,'7. CCU SINALIZAÇÃO DE OBRA'!A:D,4,0)</f>
        <v>SINALIZAÇÃO DE OBRA - TIPO 2</v>
      </c>
      <c r="C170" s="482">
        <v>4</v>
      </c>
      <c r="D170" s="488" t="str">
        <f>VLOOKUP(A170,'7. CCU SINALIZAÇÃO DE OBRA'!A:C,3,0)</f>
        <v>UN</v>
      </c>
      <c r="E170" s="319">
        <v>9828.84</v>
      </c>
      <c r="F170" s="484">
        <f t="shared" si="4"/>
        <v>8.9309810619060356E-5</v>
      </c>
      <c r="G170" s="485">
        <f t="shared" si="5"/>
        <v>0.99906434117454856</v>
      </c>
      <c r="H170" s="486" t="s">
        <v>23674</v>
      </c>
    </row>
    <row r="171" spans="1:8" ht="15.75" customHeight="1">
      <c r="A171" s="491" t="s">
        <v>361</v>
      </c>
      <c r="B171" s="481" t="str">
        <f>VLOOKUP(A171,'6. CCU MOBILIZAÇÃO EQUIPTOS'!A:C,3,0)</f>
        <v>MOBILIZAÇÃO DE VEÍCULOS LEVES E CAMINHÕES COMUNS</v>
      </c>
      <c r="C171" s="482">
        <v>1</v>
      </c>
      <c r="D171" s="483" t="s">
        <v>331</v>
      </c>
      <c r="E171" s="319">
        <v>8539.69</v>
      </c>
      <c r="F171" s="484">
        <f t="shared" si="4"/>
        <v>7.7595941804473728E-5</v>
      </c>
      <c r="G171" s="485">
        <f t="shared" si="5"/>
        <v>0.99914193711635302</v>
      </c>
      <c r="H171" s="486" t="s">
        <v>23674</v>
      </c>
    </row>
    <row r="172" spans="1:8">
      <c r="A172" s="491" t="s">
        <v>22714</v>
      </c>
      <c r="B172" s="481" t="s">
        <v>322</v>
      </c>
      <c r="C172" s="482">
        <v>1</v>
      </c>
      <c r="D172" s="483" t="s">
        <v>331</v>
      </c>
      <c r="E172" s="319">
        <v>8539.69</v>
      </c>
      <c r="F172" s="484">
        <f t="shared" si="4"/>
        <v>7.7595941804473728E-5</v>
      </c>
      <c r="G172" s="485">
        <f t="shared" si="5"/>
        <v>0.99921953305815747</v>
      </c>
      <c r="H172" s="486" t="s">
        <v>23674</v>
      </c>
    </row>
    <row r="173" spans="1:8">
      <c r="A173" s="480">
        <v>633000</v>
      </c>
      <c r="B173" s="481" t="str">
        <f>VLOOKUP(A173,'13. CUSTOS DER - SERVIÇOS'!A:B,2,0)</f>
        <v>LIMPEZA E DESOBSTRUÇÃO DE BUEIROS SIMPLES</v>
      </c>
      <c r="C173" s="482">
        <v>80</v>
      </c>
      <c r="D173" s="483" t="str">
        <f>VLOOKUP(A173,'13. CUSTOS DER - SERVIÇOS'!A:C,3,0)</f>
        <v>M</v>
      </c>
      <c r="E173" s="319">
        <v>8235.2000000000007</v>
      </c>
      <c r="F173" s="484">
        <f t="shared" si="4"/>
        <v>7.4829191685904533E-5</v>
      </c>
      <c r="G173" s="485">
        <f t="shared" si="5"/>
        <v>0.99929436224984336</v>
      </c>
      <c r="H173" s="486" t="s">
        <v>23674</v>
      </c>
    </row>
    <row r="174" spans="1:8" ht="15.75" customHeight="1">
      <c r="A174" s="487">
        <v>810250</v>
      </c>
      <c r="B174" s="481" t="str">
        <f>VLOOKUP(A174,'13. CUSTOS DER - SERVIÇOS'!A:B,2,0)</f>
        <v>MEIO FIO DE CONCRETO TIPO 3 (PRÉ-MOLDADO)</v>
      </c>
      <c r="C174" s="482">
        <v>140.49</v>
      </c>
      <c r="D174" s="483" t="str">
        <f>VLOOKUP(A174,'13. CUSTOS DER - SERVIÇOS'!A:C,3,0)</f>
        <v>M</v>
      </c>
      <c r="E174" s="319">
        <v>7385.5593000000008</v>
      </c>
      <c r="F174" s="484">
        <f t="shared" si="4"/>
        <v>6.710892662804969E-5</v>
      </c>
      <c r="G174" s="485">
        <f t="shared" si="5"/>
        <v>0.99936147117647145</v>
      </c>
      <c r="H174" s="486" t="s">
        <v>23674</v>
      </c>
    </row>
    <row r="175" spans="1:8" ht="15.75" customHeight="1">
      <c r="A175" s="487">
        <v>606700</v>
      </c>
      <c r="B175" s="481" t="str">
        <f>VLOOKUP(A175,'13. CUSTOS DER - SERVIÇOS'!A:B,2,0)</f>
        <v>DEMOLIÇÃO DE CONCRETO SIMPLES</v>
      </c>
      <c r="C175" s="482">
        <v>37.58</v>
      </c>
      <c r="D175" s="483" t="str">
        <f>VLOOKUP(A175,'13. CUSTOS DER - SERVIÇOS'!A:C,3,0)</f>
        <v>M3</v>
      </c>
      <c r="E175" s="319">
        <v>6935.3890000000001</v>
      </c>
      <c r="F175" s="484">
        <f t="shared" si="4"/>
        <v>6.3018451634121051E-5</v>
      </c>
      <c r="G175" s="485">
        <f t="shared" si="5"/>
        <v>0.99942448962810559</v>
      </c>
      <c r="H175" s="486" t="s">
        <v>23674</v>
      </c>
    </row>
    <row r="176" spans="1:8">
      <c r="A176" s="490">
        <v>410200</v>
      </c>
      <c r="B176" s="481" t="str">
        <f>VLOOKUP(A176,'13. CUSTOS DER - SERVIÇOS'!A:B,2,0)</f>
        <v>ESC. CARGA E TRANSP. 1A. CAT.     0-200M</v>
      </c>
      <c r="C176" s="482">
        <v>589.17999999999995</v>
      </c>
      <c r="D176" s="483" t="str">
        <f>VLOOKUP(A176,'13. CUSTOS DER - SERVIÇOS'!A:C,3,0)</f>
        <v>M3</v>
      </c>
      <c r="E176" s="319">
        <v>6115.6884</v>
      </c>
      <c r="F176" s="484">
        <f t="shared" si="4"/>
        <v>5.5570237465375791E-5</v>
      </c>
      <c r="G176" s="485">
        <f t="shared" si="5"/>
        <v>0.99948005986557098</v>
      </c>
      <c r="H176" s="486" t="s">
        <v>23674</v>
      </c>
    </row>
    <row r="177" spans="1:8">
      <c r="A177" s="487" t="s">
        <v>22673</v>
      </c>
      <c r="B177" s="481" t="s">
        <v>305</v>
      </c>
      <c r="C177" s="482">
        <v>142.87</v>
      </c>
      <c r="D177" s="488" t="s">
        <v>328</v>
      </c>
      <c r="E177" s="319">
        <v>5269.0456000000004</v>
      </c>
      <c r="F177" s="484">
        <f t="shared" si="4"/>
        <v>4.787721284293907E-5</v>
      </c>
      <c r="G177" s="485">
        <f t="shared" si="5"/>
        <v>0.99952793707841392</v>
      </c>
      <c r="H177" s="486" t="s">
        <v>23674</v>
      </c>
    </row>
    <row r="178" spans="1:8">
      <c r="A178" s="480">
        <v>630600</v>
      </c>
      <c r="B178" s="481" t="str">
        <f>VLOOKUP(A178,'13. CUSTOS DER - SERVIÇOS'!A:B,2,0)</f>
        <v>REMOÇÃO DE BUEIRO 0,60M</v>
      </c>
      <c r="C178" s="482">
        <v>174.5</v>
      </c>
      <c r="D178" s="483" t="str">
        <f>VLOOKUP(A178,'13. CUSTOS DER - SERVIÇOS'!A:C,3,0)</f>
        <v>M</v>
      </c>
      <c r="E178" s="319">
        <v>5170.4349999999995</v>
      </c>
      <c r="F178" s="484">
        <f t="shared" si="4"/>
        <v>4.698118706461406E-5</v>
      </c>
      <c r="G178" s="485">
        <f t="shared" si="5"/>
        <v>0.99957491826547851</v>
      </c>
      <c r="H178" s="486" t="s">
        <v>23674</v>
      </c>
    </row>
    <row r="179" spans="1:8" ht="15.75" customHeight="1">
      <c r="A179" s="480">
        <v>630400</v>
      </c>
      <c r="B179" s="481" t="str">
        <f>VLOOKUP(A179,'13. CUSTOS DER - SERVIÇOS'!A:B,2,0)</f>
        <v>REMOÇÃO DE BUEIRO 0,40M</v>
      </c>
      <c r="C179" s="482">
        <v>180.5</v>
      </c>
      <c r="D179" s="483" t="str">
        <f>VLOOKUP(A179,'13. CUSTOS DER - SERVIÇOS'!A:C,3,0)</f>
        <v>M</v>
      </c>
      <c r="E179" s="319">
        <v>4456.5450000000001</v>
      </c>
      <c r="F179" s="484">
        <f t="shared" si="4"/>
        <v>4.0494421515185951E-5</v>
      </c>
      <c r="G179" s="485">
        <f t="shared" si="5"/>
        <v>0.99961541268699372</v>
      </c>
      <c r="H179" s="486" t="s">
        <v>23674</v>
      </c>
    </row>
    <row r="180" spans="1:8" ht="31.5">
      <c r="A180" s="480">
        <v>504920</v>
      </c>
      <c r="B180" s="481" t="str">
        <f>VLOOKUP(A180,'13. CUSTOS DER - SERVIÇOS'!A:B,2,0)</f>
        <v>FORNECIMENTO E COLOCAÇÃO DE TELA TELCON Q-138 OU EQUIVALENTE</v>
      </c>
      <c r="C180" s="482">
        <v>286.83</v>
      </c>
      <c r="D180" s="483" t="str">
        <f>VLOOKUP(A180,'13. CUSTOS DER - SERVIÇOS'!A:C,3,0)</f>
        <v>KG</v>
      </c>
      <c r="E180" s="319">
        <v>4093.0641000000001</v>
      </c>
      <c r="F180" s="484">
        <f t="shared" si="4"/>
        <v>3.7191650247910709E-5</v>
      </c>
      <c r="G180" s="485">
        <f t="shared" si="5"/>
        <v>0.99965260433724168</v>
      </c>
      <c r="H180" s="486" t="s">
        <v>23674</v>
      </c>
    </row>
    <row r="181" spans="1:8" ht="15.75" customHeight="1">
      <c r="A181" s="480">
        <v>630800</v>
      </c>
      <c r="B181" s="481" t="str">
        <f>VLOOKUP(A181,'13. CUSTOS DER - SERVIÇOS'!A:B,2,0)</f>
        <v>REMOÇÃO DE BUEIRO 0,80M</v>
      </c>
      <c r="C181" s="482">
        <v>69</v>
      </c>
      <c r="D181" s="483" t="str">
        <f>VLOOKUP(A181,'13. CUSTOS DER - SERVIÇOS'!A:C,3,0)</f>
        <v>M</v>
      </c>
      <c r="E181" s="319">
        <v>4089.63</v>
      </c>
      <c r="F181" s="484">
        <f t="shared" si="4"/>
        <v>3.7160446278709161E-5</v>
      </c>
      <c r="G181" s="485">
        <f t="shared" si="5"/>
        <v>0.99968976478352034</v>
      </c>
      <c r="H181" s="486" t="s">
        <v>23674</v>
      </c>
    </row>
    <row r="182" spans="1:8">
      <c r="A182" s="480">
        <v>631200</v>
      </c>
      <c r="B182" s="481" t="str">
        <f>VLOOKUP(A182,'13. CUSTOS DER - SERVIÇOS'!A:B,2,0)</f>
        <v>REMOÇÃO DE BUEIRO 1,20M</v>
      </c>
      <c r="C182" s="482">
        <v>57</v>
      </c>
      <c r="D182" s="483" t="str">
        <f>VLOOKUP(A182,'13. CUSTOS DER - SERVIÇOS'!A:C,3,0)</f>
        <v>M</v>
      </c>
      <c r="E182" s="319">
        <v>4068.09</v>
      </c>
      <c r="F182" s="484">
        <f t="shared" si="4"/>
        <v>3.696472294607433E-5</v>
      </c>
      <c r="G182" s="485">
        <f t="shared" si="5"/>
        <v>0.99972672950646646</v>
      </c>
      <c r="H182" s="486" t="s">
        <v>23674</v>
      </c>
    </row>
    <row r="183" spans="1:8" ht="15.75" customHeight="1">
      <c r="A183" s="487" t="s">
        <v>22666</v>
      </c>
      <c r="B183" s="481" t="s">
        <v>290</v>
      </c>
      <c r="C183" s="482">
        <v>9</v>
      </c>
      <c r="D183" s="488" t="s">
        <v>328</v>
      </c>
      <c r="E183" s="319">
        <v>3788.6400000000003</v>
      </c>
      <c r="F183" s="484">
        <f t="shared" si="4"/>
        <v>3.4425498930066705E-5</v>
      </c>
      <c r="G183" s="485">
        <f t="shared" si="5"/>
        <v>0.99976115500539653</v>
      </c>
      <c r="H183" s="486" t="s">
        <v>23674</v>
      </c>
    </row>
    <row r="184" spans="1:8">
      <c r="A184" s="480">
        <v>411000</v>
      </c>
      <c r="B184" s="481" t="str">
        <f>VLOOKUP(A184,'13. CUSTOS DER - SERVIÇOS'!A:B,2,0)</f>
        <v>ESC. CARGA E TRANSP. 1A. CAT.   800-1000M</v>
      </c>
      <c r="C184" s="482">
        <v>228.07</v>
      </c>
      <c r="D184" s="483" t="str">
        <f>VLOOKUP(A184,'13. CUSTOS DER - SERVIÇOS'!A:C,3,0)</f>
        <v>M3</v>
      </c>
      <c r="E184" s="319">
        <v>2702.6295</v>
      </c>
      <c r="F184" s="484">
        <f t="shared" si="4"/>
        <v>2.4557458338775051E-5</v>
      </c>
      <c r="G184" s="485">
        <f t="shared" si="5"/>
        <v>0.99978571246373527</v>
      </c>
      <c r="H184" s="486" t="s">
        <v>23674</v>
      </c>
    </row>
    <row r="185" spans="1:8">
      <c r="A185" s="490">
        <v>589190</v>
      </c>
      <c r="B185" s="481" t="str">
        <f>VLOOKUP(A185,'13. CUSTOS DER - SERVIÇOS'!A:B,2,0)</f>
        <v>FORNECIMENTO DE EMULSÃO ASFÁLTICA EAI P/IMPRIMAÇÃO</v>
      </c>
      <c r="C185" s="482">
        <v>0.49</v>
      </c>
      <c r="D185" s="483" t="str">
        <f>VLOOKUP(A185,'13. CUSTOS DER - SERVIÇOS'!A:C,3,0)</f>
        <v>T</v>
      </c>
      <c r="E185" s="319">
        <v>2658.1716000000001</v>
      </c>
      <c r="F185" s="484">
        <f t="shared" si="4"/>
        <v>2.4153491377310512E-5</v>
      </c>
      <c r="G185" s="485">
        <f t="shared" si="5"/>
        <v>0.99980986595511256</v>
      </c>
      <c r="H185" s="486" t="s">
        <v>23674</v>
      </c>
    </row>
    <row r="186" spans="1:8">
      <c r="A186" s="491" t="s">
        <v>17668</v>
      </c>
      <c r="B186" s="481" t="str">
        <f>VLOOKUP(A186,'7. CCU SINALIZAÇÃO DE OBRA'!A:D,4,0)</f>
        <v>SINALIZAÇÃO DE OBRA - TIPO 1</v>
      </c>
      <c r="C186" s="482">
        <v>4</v>
      </c>
      <c r="D186" s="488" t="str">
        <f>VLOOKUP(A186,'7. CCU SINALIZAÇÃO DE OBRA'!A:C,3,0)</f>
        <v>UN</v>
      </c>
      <c r="E186" s="319">
        <v>2625.88</v>
      </c>
      <c r="F186" s="484">
        <f t="shared" si="4"/>
        <v>2.3860073570063018E-5</v>
      </c>
      <c r="G186" s="485">
        <f t="shared" si="5"/>
        <v>0.99983372602868259</v>
      </c>
      <c r="H186" s="486" t="s">
        <v>23674</v>
      </c>
    </row>
    <row r="187" spans="1:8">
      <c r="A187" s="480">
        <v>631500</v>
      </c>
      <c r="B187" s="481" t="str">
        <f>VLOOKUP(A187,'13. CUSTOS DER - SERVIÇOS'!A:B,2,0)</f>
        <v>REMOÇÃO DE BUEIRO 1,50M</v>
      </c>
      <c r="C187" s="482">
        <v>24.5</v>
      </c>
      <c r="D187" s="483" t="str">
        <f>VLOOKUP(A187,'13. CUSTOS DER - SERVIÇOS'!A:C,3,0)</f>
        <v>M</v>
      </c>
      <c r="E187" s="319">
        <v>2185.645</v>
      </c>
      <c r="F187" s="484">
        <f t="shared" si="4"/>
        <v>1.9859875736149552E-5</v>
      </c>
      <c r="G187" s="485">
        <f t="shared" si="5"/>
        <v>0.99985358590441875</v>
      </c>
      <c r="H187" s="486" t="s">
        <v>23674</v>
      </c>
    </row>
    <row r="188" spans="1:8">
      <c r="A188" s="487" t="s">
        <v>22672</v>
      </c>
      <c r="B188" s="481" t="s">
        <v>304</v>
      </c>
      <c r="C188" s="482">
        <v>2</v>
      </c>
      <c r="D188" s="488" t="s">
        <v>331</v>
      </c>
      <c r="E188" s="319">
        <v>2038.3000000000002</v>
      </c>
      <c r="F188" s="484">
        <f t="shared" si="4"/>
        <v>1.8521024554762386E-5</v>
      </c>
      <c r="G188" s="485">
        <f t="shared" si="5"/>
        <v>0.99987210692897355</v>
      </c>
      <c r="H188" s="486" t="s">
        <v>23674</v>
      </c>
    </row>
    <row r="189" spans="1:8">
      <c r="A189" s="480">
        <v>706700</v>
      </c>
      <c r="B189" s="481" t="str">
        <f>VLOOKUP(A189,'13. CUSTOS DER - SERVIÇOS'!A:B,2,0)</f>
        <v>DEMOLIÇÃO DE CONCRETO SIMPLES</v>
      </c>
      <c r="C189" s="482">
        <v>8.49</v>
      </c>
      <c r="D189" s="483" t="str">
        <f>VLOOKUP(A189,'13. CUSTOS DER - SERVIÇOS'!A:C,3,0)</f>
        <v>M3</v>
      </c>
      <c r="E189" s="319">
        <v>1566.8295000000001</v>
      </c>
      <c r="F189" s="484">
        <f t="shared" si="4"/>
        <v>1.4237005172264175E-5</v>
      </c>
      <c r="G189" s="485">
        <f t="shared" si="5"/>
        <v>0.99988634393414577</v>
      </c>
      <c r="H189" s="486" t="s">
        <v>23674</v>
      </c>
    </row>
    <row r="190" spans="1:8">
      <c r="A190" s="480">
        <v>410800</v>
      </c>
      <c r="B190" s="481" t="str">
        <f>VLOOKUP(A190,'13. CUSTOS DER - SERVIÇOS'!A:B,2,0)</f>
        <v>ESC. CARGA E TRANSP. 1A. CAT.   600-800M</v>
      </c>
      <c r="C190" s="482">
        <v>137.05000000000001</v>
      </c>
      <c r="D190" s="483" t="str">
        <f>VLOOKUP(A190,'13. CUSTOS DER - SERVIÇOS'!A:C,3,0)</f>
        <v>M3</v>
      </c>
      <c r="E190" s="319">
        <v>1566.4815000000001</v>
      </c>
      <c r="F190" s="484">
        <f t="shared" si="4"/>
        <v>1.4233843068282889E-5</v>
      </c>
      <c r="G190" s="485">
        <f t="shared" si="5"/>
        <v>0.99990057777721408</v>
      </c>
      <c r="H190" s="486" t="s">
        <v>23674</v>
      </c>
    </row>
    <row r="191" spans="1:8" ht="47.25">
      <c r="A191" s="487">
        <v>98525</v>
      </c>
      <c r="B191" s="481" t="str">
        <f>VLOOKUP(A191,'21. CUSTOS SINAPI - SERVIÇOS'!A:B,2,0)</f>
        <v>LIMPEZA MECANIZADA DE CAMADA VEGETAL, VEGETAÇÃO E PEQUENAS ÁRVORES (DIÂMETRO DE TRONCO MENOR QUE 0,20 M), COM TRATOR DE ESTEIRAS.AF_05/2018</v>
      </c>
      <c r="C191" s="482">
        <v>2456.73</v>
      </c>
      <c r="D191" s="483" t="str">
        <f>VLOOKUP(A191,'21. CUSTOS SINAPI - SERVIÇOS'!A:C,3,0)</f>
        <v>M2</v>
      </c>
      <c r="E191" s="319">
        <v>1277.4996000000001</v>
      </c>
      <c r="F191" s="484">
        <f t="shared" si="4"/>
        <v>1.1608007388656786E-5</v>
      </c>
      <c r="G191" s="485">
        <f t="shared" si="5"/>
        <v>0.99991218578460273</v>
      </c>
      <c r="H191" s="486" t="s">
        <v>23674</v>
      </c>
    </row>
    <row r="192" spans="1:8">
      <c r="A192" s="487" t="s">
        <v>22664</v>
      </c>
      <c r="B192" s="481" t="s">
        <v>288</v>
      </c>
      <c r="C192" s="482">
        <v>21.84</v>
      </c>
      <c r="D192" s="488" t="s">
        <v>325</v>
      </c>
      <c r="E192" s="319">
        <v>1246.1904</v>
      </c>
      <c r="F192" s="484">
        <f t="shared" si="4"/>
        <v>1.1323516164602442E-5</v>
      </c>
      <c r="G192" s="485">
        <f t="shared" si="5"/>
        <v>0.99992350930076734</v>
      </c>
      <c r="H192" s="486" t="s">
        <v>23674</v>
      </c>
    </row>
    <row r="193" spans="1:8">
      <c r="A193" s="487">
        <v>870000</v>
      </c>
      <c r="B193" s="481" t="str">
        <f>VLOOKUP(A193,'13. CUSTOS DER - SERVIÇOS'!A:B,2,0)</f>
        <v>TACHA REFLETIVA MONODIRECIONAL</v>
      </c>
      <c r="C193" s="482">
        <v>54</v>
      </c>
      <c r="D193" s="483" t="str">
        <f>VLOOKUP(A193,'13. CUSTOS DER - SERVIÇOS'!A:C,3,0)</f>
        <v>UD</v>
      </c>
      <c r="E193" s="319">
        <v>1186.3799999999999</v>
      </c>
      <c r="F193" s="484">
        <f t="shared" si="4"/>
        <v>1.0780048624480692E-5</v>
      </c>
      <c r="G193" s="485">
        <f t="shared" si="5"/>
        <v>0.99993428934939177</v>
      </c>
      <c r="H193" s="486" t="s">
        <v>23674</v>
      </c>
    </row>
    <row r="194" spans="1:8">
      <c r="A194" s="480" t="s">
        <v>22651</v>
      </c>
      <c r="B194" s="481" t="s">
        <v>249</v>
      </c>
      <c r="C194" s="482">
        <v>1.98</v>
      </c>
      <c r="D194" s="488" t="s">
        <v>326</v>
      </c>
      <c r="E194" s="319">
        <v>1083.4956</v>
      </c>
      <c r="F194" s="484">
        <f t="shared" si="4"/>
        <v>9.8451889381234369E-6</v>
      </c>
      <c r="G194" s="485">
        <f t="shared" si="5"/>
        <v>0.99994413453832987</v>
      </c>
      <c r="H194" s="486" t="s">
        <v>23674</v>
      </c>
    </row>
    <row r="195" spans="1:8">
      <c r="A195" s="480">
        <v>610200</v>
      </c>
      <c r="B195" s="481" t="str">
        <f>VLOOKUP(A195,'13. CUSTOS DER - SERVIÇOS'!A:B,2,0)</f>
        <v>LIMPEZA MANUAL DE VALETA</v>
      </c>
      <c r="C195" s="482">
        <v>208</v>
      </c>
      <c r="D195" s="483" t="str">
        <f>VLOOKUP(A195,'13. CUSTOS DER - SERVIÇOS'!A:C,3,0)</f>
        <v>M</v>
      </c>
      <c r="E195" s="319">
        <v>969.28</v>
      </c>
      <c r="F195" s="484">
        <f t="shared" si="4"/>
        <v>8.8073682384536547E-6</v>
      </c>
      <c r="G195" s="485">
        <f t="shared" si="5"/>
        <v>0.99995294190656836</v>
      </c>
      <c r="H195" s="486" t="s">
        <v>23674</v>
      </c>
    </row>
    <row r="196" spans="1:8">
      <c r="A196" s="480">
        <v>604000</v>
      </c>
      <c r="B196" s="481" t="str">
        <f>VLOOKUP(A196,'13. CUSTOS DER - SERVIÇOS'!A:B,2,0)</f>
        <v>ARGAMASSA CIMENTO E AREIA 1:3</v>
      </c>
      <c r="C196" s="482">
        <v>1.23</v>
      </c>
      <c r="D196" s="483" t="str">
        <f>VLOOKUP(A196,'13. CUSTOS DER - SERVIÇOS'!A:C,3,0)</f>
        <v>M3</v>
      </c>
      <c r="E196" s="319">
        <v>907.96140000000003</v>
      </c>
      <c r="F196" s="484">
        <f t="shared" si="4"/>
        <v>8.2501964304451897E-6</v>
      </c>
      <c r="G196" s="485">
        <f t="shared" si="5"/>
        <v>0.99996119210299883</v>
      </c>
      <c r="H196" s="486" t="s">
        <v>23674</v>
      </c>
    </row>
    <row r="197" spans="1:8">
      <c r="A197" s="490">
        <v>589420</v>
      </c>
      <c r="B197" s="481" t="str">
        <f>VLOOKUP(A197,'13. CUSTOS DER - SERVIÇOS'!A:B,2,0)</f>
        <v>FORNECIMENTO DE EMULSÃO ASFÁLTICA RR-1C</v>
      </c>
      <c r="C197" s="482">
        <v>0.2</v>
      </c>
      <c r="D197" s="483" t="str">
        <f>VLOOKUP(A197,'13. CUSTOS DER - SERVIÇOS'!A:C,3,0)</f>
        <v>T</v>
      </c>
      <c r="E197" s="319">
        <v>885.54</v>
      </c>
      <c r="F197" s="484">
        <f t="shared" si="4"/>
        <v>8.0464642516922334E-6</v>
      </c>
      <c r="G197" s="485">
        <f t="shared" si="5"/>
        <v>0.99996923856725051</v>
      </c>
      <c r="H197" s="486" t="s">
        <v>23674</v>
      </c>
    </row>
    <row r="198" spans="1:8">
      <c r="A198" s="480">
        <v>630300</v>
      </c>
      <c r="B198" s="481" t="str">
        <f>VLOOKUP(A198,'13. CUSTOS DER - SERVIÇOS'!A:B,2,0)</f>
        <v>REMOÇÃO DE BUEIRO 0,30M</v>
      </c>
      <c r="C198" s="482">
        <v>44</v>
      </c>
      <c r="D198" s="483" t="str">
        <f>VLOOKUP(A198,'13. CUSTOS DER - SERVIÇOS'!A:C,3,0)</f>
        <v>M</v>
      </c>
      <c r="E198" s="319">
        <v>869</v>
      </c>
      <c r="F198" s="484">
        <f t="shared" si="4"/>
        <v>7.8961734475241675E-6</v>
      </c>
      <c r="G198" s="485">
        <f t="shared" si="5"/>
        <v>0.99997713474069805</v>
      </c>
      <c r="H198" s="486" t="s">
        <v>23674</v>
      </c>
    </row>
    <row r="199" spans="1:8">
      <c r="A199" s="487" t="s">
        <v>22665</v>
      </c>
      <c r="B199" s="481" t="s">
        <v>289</v>
      </c>
      <c r="C199" s="482">
        <v>17</v>
      </c>
      <c r="D199" s="488" t="s">
        <v>328</v>
      </c>
      <c r="E199" s="319">
        <v>552.16</v>
      </c>
      <c r="F199" s="484">
        <f t="shared" si="4"/>
        <v>5.0172049836420535E-6</v>
      </c>
      <c r="G199" s="485">
        <f t="shared" si="5"/>
        <v>0.99998215194568174</v>
      </c>
      <c r="H199" s="486" t="s">
        <v>23674</v>
      </c>
    </row>
    <row r="200" spans="1:8">
      <c r="A200" s="487">
        <v>800900</v>
      </c>
      <c r="B200" s="481" t="str">
        <f>VLOOKUP(A200,'13. CUSTOS DER - SERVIÇOS'!A:B,2,0)</f>
        <v>LIMPEZA E LAVAGEM DE SINALIZAÇÃO VERTICAL</v>
      </c>
      <c r="C200" s="482">
        <v>31.38</v>
      </c>
      <c r="D200" s="483" t="str">
        <f>VLOOKUP(A200,'13. CUSTOS DER - SERVIÇOS'!A:C,3,0)</f>
        <v>M2</v>
      </c>
      <c r="E200" s="319">
        <v>518.0838</v>
      </c>
      <c r="F200" s="484">
        <f t="shared" si="4"/>
        <v>4.7075713983342022E-6</v>
      </c>
      <c r="G200" s="485">
        <f t="shared" si="5"/>
        <v>0.99998685951708011</v>
      </c>
      <c r="H200" s="486" t="s">
        <v>23674</v>
      </c>
    </row>
    <row r="201" spans="1:8" ht="15.75" customHeight="1">
      <c r="A201" s="487" t="s">
        <v>22663</v>
      </c>
      <c r="B201" s="481" t="s">
        <v>287</v>
      </c>
      <c r="C201" s="482">
        <v>14.26</v>
      </c>
      <c r="D201" s="488" t="s">
        <v>325</v>
      </c>
      <c r="E201" s="319">
        <v>490.54399999999998</v>
      </c>
      <c r="F201" s="484">
        <f t="shared" si="4"/>
        <v>4.457330848840386E-6</v>
      </c>
      <c r="G201" s="485">
        <f t="shared" si="5"/>
        <v>0.99999131684792897</v>
      </c>
      <c r="H201" s="486" t="s">
        <v>23674</v>
      </c>
    </row>
    <row r="202" spans="1:8">
      <c r="A202" s="480">
        <v>631000</v>
      </c>
      <c r="B202" s="481" t="str">
        <f>VLOOKUP(A202,'13. CUSTOS DER - SERVIÇOS'!A:B,2,0)</f>
        <v>REMOÇÃO DE BUEIRO 1,00M</v>
      </c>
      <c r="C202" s="482">
        <v>8</v>
      </c>
      <c r="D202" s="483" t="str">
        <f>VLOOKUP(A202,'13. CUSTOS DER - SERVIÇOS'!A:C,3,0)</f>
        <v>M</v>
      </c>
      <c r="E202" s="319">
        <v>475.68</v>
      </c>
      <c r="F202" s="484">
        <f t="shared" si="4"/>
        <v>4.3222690282143798E-6</v>
      </c>
      <c r="G202" s="485">
        <f t="shared" si="5"/>
        <v>0.99999563911695721</v>
      </c>
      <c r="H202" s="486" t="s">
        <v>23674</v>
      </c>
    </row>
    <row r="203" spans="1:8">
      <c r="A203" s="480">
        <v>560100</v>
      </c>
      <c r="B203" s="481" t="str">
        <f>VLOOKUP(A203,'13. CUSTOS DER - SERVIÇOS'!A:B,2,0)</f>
        <v>IMPRIMAÇÃO IMPERMEAB. EXCLUSIVE FORNEC. DA EMULSÃO</v>
      </c>
      <c r="C203" s="482">
        <v>406.72</v>
      </c>
      <c r="D203" s="483" t="str">
        <f>VLOOKUP(A203,'13. CUSTOS DER - SERVIÇOS'!A:C,3,0)</f>
        <v>M2</v>
      </c>
      <c r="E203" s="319">
        <v>292.83840000000004</v>
      </c>
      <c r="F203" s="484">
        <f t="shared" si="4"/>
        <v>2.6608777888325221E-6</v>
      </c>
      <c r="G203" s="485">
        <f t="shared" si="5"/>
        <v>0.9999982999947461</v>
      </c>
      <c r="H203" s="486" t="s">
        <v>23674</v>
      </c>
    </row>
    <row r="204" spans="1:8">
      <c r="A204" s="480">
        <v>561100</v>
      </c>
      <c r="B204" s="481" t="str">
        <f>VLOOKUP(A204,'13. CUSTOS DER - SERVIÇOS'!A:B,2,0)</f>
        <v>PINTURA DE LIGAÇÃO EXCLUSIVE FORNEC. DA EMULSÃO</v>
      </c>
      <c r="C204" s="482">
        <v>406.72</v>
      </c>
      <c r="D204" s="483" t="str">
        <f>VLOOKUP(A204,'13. CUSTOS DER - SERVIÇOS'!A:C,3,0)</f>
        <v>M2</v>
      </c>
      <c r="E204" s="319">
        <v>187.09120000000001</v>
      </c>
      <c r="F204" s="484">
        <f t="shared" ref="F204" si="6">E204/$E$205</f>
        <v>1.7000052539763335E-6</v>
      </c>
      <c r="G204" s="485">
        <f t="shared" si="5"/>
        <v>1</v>
      </c>
      <c r="H204" s="486" t="s">
        <v>23674</v>
      </c>
    </row>
    <row r="205" spans="1:8">
      <c r="A205" s="603"/>
      <c r="B205" s="604"/>
      <c r="C205" s="604"/>
      <c r="D205" s="605"/>
      <c r="E205" s="207">
        <f>SUM(E11:E204)</f>
        <v>110053306.93089999</v>
      </c>
      <c r="F205" s="457">
        <f>SUM(F11:F204)</f>
        <v>1</v>
      </c>
      <c r="G205" s="457">
        <f>G204</f>
        <v>1</v>
      </c>
      <c r="H205" s="458"/>
    </row>
  </sheetData>
  <sortState ref="A1:Q240">
    <sortCondition descending="1" ref="E1:E240"/>
  </sortState>
  <mergeCells count="6">
    <mergeCell ref="A205:D205"/>
    <mergeCell ref="A2:F2"/>
    <mergeCell ref="A3:F3"/>
    <mergeCell ref="A4:F4"/>
    <mergeCell ref="A5:F5"/>
    <mergeCell ref="A9:H9"/>
  </mergeCells>
  <printOptions horizontalCentered="1"/>
  <pageMargins left="0.39370078740157483" right="0.31496062992125984" top="0.39370078740157483" bottom="0.59055118110236227" header="0.31496062992125984" footer="0.31496062992125984"/>
  <pageSetup paperSize="9" scale="83" fitToHeight="0" orientation="landscape" r:id="rId1"/>
  <headerFooter>
    <oddFooter>&amp;L&amp;9AGÊNCIA DE ASSUNTOS METROPOLITANOS DO PARANÁ - AMEP
DIRETORIA DE OBRAS&amp;C&amp;9ENGª CIBELE CRISTINE MELLO FRANCZAK
DIRETORA DE OBRAS&amp;R&amp;9Página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tabColor rgb="FF002060"/>
    <pageSetUpPr fitToPage="1"/>
  </sheetPr>
  <dimension ref="A2:S983"/>
  <sheetViews>
    <sheetView showGridLines="0" zoomScale="85" zoomScaleNormal="85" zoomScaleSheetLayoutView="70" workbookViewId="0">
      <pane xSplit="2" ySplit="12" topLeftCell="C619" activePane="bottomRight" state="frozen"/>
      <selection activeCell="B30" sqref="B30"/>
      <selection pane="topRight" activeCell="B30" sqref="B30"/>
      <selection pane="bottomLeft" activeCell="B30" sqref="B30"/>
      <selection pane="bottomRight" activeCell="E627" sqref="E627"/>
    </sheetView>
  </sheetViews>
  <sheetFormatPr defaultRowHeight="15.75"/>
  <cols>
    <col min="1" max="1" width="8.7109375" style="6" customWidth="1"/>
    <col min="2" max="2" width="10.5703125" style="6" customWidth="1"/>
    <col min="3" max="3" width="10.28515625" style="6" customWidth="1"/>
    <col min="4" max="4" width="67.42578125" style="45" customWidth="1"/>
    <col min="5" max="5" width="15.42578125" style="47" bestFit="1" customWidth="1"/>
    <col min="6" max="6" width="11.42578125" style="6" customWidth="1"/>
    <col min="7" max="7" width="14.5703125" style="47" customWidth="1"/>
    <col min="8" max="8" width="15.7109375" style="47" customWidth="1"/>
    <col min="9" max="9" width="7.85546875" style="49" customWidth="1"/>
    <col min="10" max="10" width="14.5703125" style="47" customWidth="1"/>
    <col min="11" max="11" width="16.7109375" style="47" customWidth="1"/>
    <col min="12" max="12" width="19.5703125" style="47" customWidth="1"/>
    <col min="13" max="13" width="18.28515625" style="47" customWidth="1"/>
    <col min="14" max="14" width="19.5703125" style="47" customWidth="1"/>
    <col min="15" max="15" width="7.140625" customWidth="1"/>
    <col min="16" max="19" width="19.5703125" style="47" customWidth="1"/>
    <col min="20" max="16384" width="9.140625" style="6"/>
  </cols>
  <sheetData>
    <row r="2" spans="1:19">
      <c r="E2" s="408"/>
      <c r="G2" s="408"/>
      <c r="H2" s="408"/>
      <c r="I2" s="409"/>
      <c r="J2" s="408"/>
      <c r="K2" s="408"/>
      <c r="L2" s="408"/>
      <c r="M2" s="408"/>
      <c r="N2" s="408"/>
      <c r="P2" s="408"/>
      <c r="Q2" s="408"/>
      <c r="R2" s="408"/>
      <c r="S2" s="408"/>
    </row>
    <row r="3" spans="1:19">
      <c r="A3" s="502" t="s">
        <v>167</v>
      </c>
      <c r="B3" s="502"/>
      <c r="C3" s="502"/>
      <c r="D3" s="502"/>
      <c r="E3" s="502"/>
      <c r="F3" s="502"/>
      <c r="G3" s="502"/>
      <c r="H3" s="502"/>
      <c r="I3" s="502"/>
      <c r="J3" s="502"/>
      <c r="K3" s="502"/>
      <c r="L3" s="502"/>
      <c r="M3" s="502"/>
      <c r="N3" s="502"/>
      <c r="P3"/>
      <c r="Q3"/>
      <c r="R3"/>
    </row>
    <row r="4" spans="1:19">
      <c r="A4" s="503" t="s">
        <v>165</v>
      </c>
      <c r="B4" s="503"/>
      <c r="C4" s="503"/>
      <c r="D4" s="503"/>
      <c r="E4" s="503"/>
      <c r="F4" s="503"/>
      <c r="G4" s="503"/>
      <c r="H4" s="503"/>
      <c r="I4" s="503"/>
      <c r="J4" s="503"/>
      <c r="K4" s="503"/>
      <c r="L4" s="503"/>
      <c r="M4" s="503"/>
      <c r="N4" s="503"/>
      <c r="P4"/>
      <c r="Q4"/>
      <c r="R4"/>
    </row>
    <row r="5" spans="1:19">
      <c r="A5" s="410"/>
      <c r="B5" s="411"/>
      <c r="C5" s="410"/>
      <c r="D5" s="412"/>
      <c r="E5" s="413"/>
      <c r="F5" s="7"/>
      <c r="G5" s="414"/>
      <c r="H5" s="414"/>
      <c r="I5" s="415"/>
      <c r="J5" s="416"/>
      <c r="K5" s="416"/>
      <c r="L5" s="416"/>
      <c r="M5" s="416"/>
      <c r="N5" s="416"/>
      <c r="P5" s="416"/>
      <c r="Q5" s="416"/>
      <c r="R5" s="416"/>
      <c r="S5" s="416"/>
    </row>
    <row r="6" spans="1:19">
      <c r="A6" s="410" t="s">
        <v>25931</v>
      </c>
      <c r="B6" s="417"/>
      <c r="C6" s="418"/>
      <c r="D6" s="419"/>
      <c r="E6" s="413"/>
      <c r="F6" s="7"/>
      <c r="G6" s="414"/>
      <c r="H6" s="414"/>
      <c r="I6" s="415"/>
      <c r="J6" s="420"/>
      <c r="K6" s="420"/>
      <c r="L6" s="420"/>
      <c r="M6" s="420"/>
      <c r="N6" s="421"/>
      <c r="P6" s="421"/>
      <c r="Q6" s="421"/>
      <c r="R6" s="421"/>
      <c r="S6" s="421"/>
    </row>
    <row r="7" spans="1:19">
      <c r="A7" s="410"/>
      <c r="B7" s="417"/>
      <c r="C7" s="418"/>
      <c r="D7" s="419"/>
      <c r="E7" s="413"/>
      <c r="F7" s="7"/>
      <c r="G7" s="414"/>
      <c r="H7" s="414"/>
      <c r="I7" s="415"/>
      <c r="J7" s="420"/>
      <c r="K7" s="420"/>
      <c r="L7" s="420"/>
      <c r="M7" s="420"/>
      <c r="N7" s="422"/>
      <c r="P7" s="422"/>
      <c r="Q7" s="422"/>
      <c r="R7" s="422"/>
      <c r="S7" s="422"/>
    </row>
    <row r="8" spans="1:19">
      <c r="A8" s="410"/>
      <c r="B8" s="417"/>
      <c r="C8" s="418"/>
      <c r="D8" s="419"/>
      <c r="E8" s="413"/>
      <c r="F8" s="7"/>
      <c r="G8" s="414"/>
      <c r="H8" s="414"/>
      <c r="I8" s="415"/>
      <c r="J8" s="420"/>
      <c r="K8" s="420"/>
      <c r="L8" s="420"/>
      <c r="M8" s="420"/>
      <c r="N8" s="422"/>
      <c r="P8" s="422"/>
      <c r="Q8" s="422"/>
      <c r="R8" s="422"/>
      <c r="S8" s="422"/>
    </row>
    <row r="9" spans="1:19">
      <c r="A9" s="410"/>
      <c r="B9" s="417"/>
      <c r="C9" s="418"/>
      <c r="D9" s="419"/>
      <c r="E9" s="413"/>
      <c r="F9" s="7"/>
      <c r="G9" s="414"/>
      <c r="H9" s="414"/>
      <c r="I9" s="415"/>
      <c r="J9" s="420"/>
      <c r="K9" s="420"/>
      <c r="L9" s="420"/>
      <c r="M9" s="420"/>
      <c r="N9" s="422"/>
      <c r="P9" s="422"/>
      <c r="Q9" s="422"/>
      <c r="R9" s="422"/>
      <c r="S9" s="422"/>
    </row>
    <row r="10" spans="1:19" ht="21">
      <c r="A10" s="501" t="s">
        <v>153</v>
      </c>
      <c r="B10" s="501"/>
      <c r="C10" s="501"/>
      <c r="D10" s="501"/>
      <c r="E10" s="501"/>
      <c r="F10" s="501"/>
      <c r="G10" s="501"/>
      <c r="H10" s="501"/>
      <c r="I10" s="501"/>
      <c r="J10" s="501"/>
      <c r="K10" s="501"/>
      <c r="L10" s="501"/>
      <c r="M10" s="501"/>
      <c r="N10" s="501"/>
      <c r="P10" s="506"/>
      <c r="Q10" s="507"/>
      <c r="R10" s="507"/>
      <c r="S10" s="508"/>
    </row>
    <row r="11" spans="1:19">
      <c r="A11" s="504" t="s">
        <v>154</v>
      </c>
      <c r="B11" s="504" t="s">
        <v>155</v>
      </c>
      <c r="C11" s="504" t="s">
        <v>156</v>
      </c>
      <c r="D11" s="504" t="s">
        <v>157</v>
      </c>
      <c r="E11" s="505" t="s">
        <v>166</v>
      </c>
      <c r="F11" s="504" t="s">
        <v>158</v>
      </c>
      <c r="G11" s="505" t="s">
        <v>159</v>
      </c>
      <c r="H11" s="505"/>
      <c r="I11" s="512" t="s">
        <v>164</v>
      </c>
      <c r="J11" s="505" t="s">
        <v>162</v>
      </c>
      <c r="K11" s="505"/>
      <c r="L11" s="505" t="s">
        <v>163</v>
      </c>
      <c r="M11" s="505"/>
      <c r="N11" s="505"/>
      <c r="P11" s="505"/>
      <c r="Q11" s="505"/>
      <c r="R11" s="447"/>
      <c r="S11" s="447"/>
    </row>
    <row r="12" spans="1:19" ht="31.5">
      <c r="A12" s="504"/>
      <c r="B12" s="504"/>
      <c r="C12" s="504"/>
      <c r="D12" s="504"/>
      <c r="E12" s="505"/>
      <c r="F12" s="504"/>
      <c r="G12" s="114" t="s">
        <v>160</v>
      </c>
      <c r="H12" s="114" t="s">
        <v>161</v>
      </c>
      <c r="I12" s="512"/>
      <c r="J12" s="114" t="s">
        <v>160</v>
      </c>
      <c r="K12" s="114" t="s">
        <v>161</v>
      </c>
      <c r="L12" s="114" t="s">
        <v>160</v>
      </c>
      <c r="M12" s="114" t="s">
        <v>161</v>
      </c>
      <c r="N12" s="114" t="s">
        <v>332</v>
      </c>
      <c r="P12" s="114" t="s">
        <v>25920</v>
      </c>
      <c r="Q12" s="114" t="s">
        <v>25918</v>
      </c>
      <c r="R12" s="114" t="s">
        <v>25929</v>
      </c>
      <c r="S12" s="114" t="s">
        <v>25930</v>
      </c>
    </row>
    <row r="13" spans="1:19">
      <c r="A13" s="310" t="s">
        <v>333</v>
      </c>
      <c r="B13" s="311"/>
      <c r="C13" s="312"/>
      <c r="D13" s="313" t="s">
        <v>93</v>
      </c>
      <c r="E13" s="314"/>
      <c r="F13" s="315" t="s">
        <v>195</v>
      </c>
      <c r="G13" s="314"/>
      <c r="H13" s="314"/>
      <c r="I13" s="316"/>
      <c r="J13" s="314"/>
      <c r="K13" s="314"/>
      <c r="L13" s="314">
        <f t="shared" ref="L13:M13" si="0">SUM(L14:L22)</f>
        <v>7517008.6199999992</v>
      </c>
      <c r="M13" s="314">
        <f t="shared" si="0"/>
        <v>0</v>
      </c>
      <c r="N13" s="314">
        <f>SUM(N14:N22)</f>
        <v>7517008.6199999992</v>
      </c>
      <c r="P13" s="314">
        <f>SUM(P14:P22)</f>
        <v>3926184.49</v>
      </c>
      <c r="Q13" s="314">
        <f>SUM(Q14:Q22)</f>
        <v>4284514.8</v>
      </c>
      <c r="R13" s="314">
        <f>SUM(R14:R22)</f>
        <v>5341363.3499999996</v>
      </c>
      <c r="S13" s="314">
        <f>SUM(S14:S22)</f>
        <v>2175645.27</v>
      </c>
    </row>
    <row r="14" spans="1:19">
      <c r="A14" s="9" t="s">
        <v>22878</v>
      </c>
      <c r="B14" s="10" t="s">
        <v>358</v>
      </c>
      <c r="C14" s="12" t="s">
        <v>351</v>
      </c>
      <c r="D14" s="43" t="str">
        <f>VLOOKUP(C14,'5. CCU ADMINISTRAÇÃO LOCAL'!A:B,2,0)</f>
        <v>EQUIPE TÉCNICA GERENCIAL</v>
      </c>
      <c r="E14" s="11">
        <v>1</v>
      </c>
      <c r="F14" s="26" t="s">
        <v>331</v>
      </c>
      <c r="G14" s="24">
        <f>VLOOKUP(C14,'5. CCU ADMINISTRAÇÃO LOCAL'!A:J,10,0)</f>
        <v>1919974.5599999996</v>
      </c>
      <c r="H14" s="24">
        <v>0</v>
      </c>
      <c r="I14" s="25">
        <f>'3. BDI'!$C$19</f>
        <v>0.24666704095238123</v>
      </c>
      <c r="J14" s="24">
        <f t="shared" ref="J14" si="1">TRUNC(G14+(G14*I14),2)</f>
        <v>2393569</v>
      </c>
      <c r="K14" s="24">
        <f t="shared" ref="K14" si="2">TRUNC(H14+(H14*I14),2)</f>
        <v>0</v>
      </c>
      <c r="L14" s="24">
        <f t="shared" ref="L14" si="3">J14*E14</f>
        <v>2393569</v>
      </c>
      <c r="M14" s="24">
        <f t="shared" ref="M14" si="4">K14*E14</f>
        <v>0</v>
      </c>
      <c r="N14" s="24">
        <f t="shared" ref="N14" si="5">L14+M14</f>
        <v>2393569</v>
      </c>
      <c r="P14" s="24">
        <f>VLOOKUP(C14,'5. CCU ADMINISTRAÇÃO LOCAL'!A:M,12,)</f>
        <v>1887054.54</v>
      </c>
      <c r="Q14" s="24">
        <f>VLOOKUP(C14,'5. CCU ADMINISTRAÇÃO LOCAL'!A:M,12,)*E14</f>
        <v>1887054.54</v>
      </c>
      <c r="R14" s="24">
        <f t="shared" ref="R14:R22" si="6">TRUNC((Q14*I14+Q14),2)</f>
        <v>2352528.69</v>
      </c>
      <c r="S14" s="24">
        <f t="shared" ref="S14:S22" si="7">N14-R14</f>
        <v>41040.310000000056</v>
      </c>
    </row>
    <row r="15" spans="1:19">
      <c r="A15" s="9" t="s">
        <v>22879</v>
      </c>
      <c r="B15" s="10" t="s">
        <v>358</v>
      </c>
      <c r="C15" s="12" t="s">
        <v>352</v>
      </c>
      <c r="D15" s="43" t="str">
        <f>VLOOKUP(C15,'5. CCU ADMINISTRAÇÃO LOCAL'!A:B,2,0)</f>
        <v>EQUIPE TÉCNICA OPERACIONAL</v>
      </c>
      <c r="E15" s="11">
        <v>1</v>
      </c>
      <c r="F15" s="26" t="s">
        <v>331</v>
      </c>
      <c r="G15" s="24">
        <f>VLOOKUP(C15,'5. CCU ADMINISTRAÇÃO LOCAL'!A:J,10,0)</f>
        <v>567093.38</v>
      </c>
      <c r="H15" s="24">
        <v>0</v>
      </c>
      <c r="I15" s="25">
        <f>'3. BDI'!$C$19</f>
        <v>0.24666704095238123</v>
      </c>
      <c r="J15" s="24">
        <f t="shared" ref="J15:J21" si="8">TRUNC(G15+(G15*I15),2)</f>
        <v>706976.62</v>
      </c>
      <c r="K15" s="24">
        <f t="shared" ref="K15:K21" si="9">TRUNC(H15+(H15*I15),2)</f>
        <v>0</v>
      </c>
      <c r="L15" s="24">
        <f t="shared" ref="L15:L21" si="10">J15*E15</f>
        <v>706976.62</v>
      </c>
      <c r="M15" s="24">
        <f t="shared" ref="M15:M21" si="11">K15*E15</f>
        <v>0</v>
      </c>
      <c r="N15" s="24">
        <f t="shared" ref="N15:N21" si="12">L15+M15</f>
        <v>706976.62</v>
      </c>
      <c r="P15" s="24">
        <f>VLOOKUP(C15,'5. CCU ADMINISTRAÇÃO LOCAL'!A:M,12,)</f>
        <v>487189.44999999995</v>
      </c>
      <c r="Q15" s="24">
        <f>VLOOKUP(C15,'5. CCU ADMINISTRAÇÃO LOCAL'!A:M,12,)*E15</f>
        <v>487189.44999999995</v>
      </c>
      <c r="R15" s="24">
        <f t="shared" si="6"/>
        <v>607363.03</v>
      </c>
      <c r="S15" s="24">
        <f t="shared" si="7"/>
        <v>99613.589999999967</v>
      </c>
    </row>
    <row r="16" spans="1:19">
      <c r="A16" s="9" t="s">
        <v>22880</v>
      </c>
      <c r="B16" s="10" t="s">
        <v>358</v>
      </c>
      <c r="C16" s="12" t="s">
        <v>353</v>
      </c>
      <c r="D16" s="43" t="str">
        <f>VLOOKUP(C16,'5. CCU ADMINISTRAÇÃO LOCAL'!A:B,2,0)</f>
        <v>EQUIPE ADMINISTRATIVA</v>
      </c>
      <c r="E16" s="11">
        <v>1</v>
      </c>
      <c r="F16" s="26" t="s">
        <v>331</v>
      </c>
      <c r="G16" s="24">
        <f>VLOOKUP(C16,'5. CCU ADMINISTRAÇÃO LOCAL'!A:J,10,0)</f>
        <v>158801.16</v>
      </c>
      <c r="H16" s="24">
        <v>0</v>
      </c>
      <c r="I16" s="25">
        <f>'3. BDI'!$C$19</f>
        <v>0.24666704095238123</v>
      </c>
      <c r="J16" s="24">
        <f t="shared" si="8"/>
        <v>197972.17</v>
      </c>
      <c r="K16" s="24">
        <f t="shared" si="9"/>
        <v>0</v>
      </c>
      <c r="L16" s="24">
        <f t="shared" si="10"/>
        <v>197972.17</v>
      </c>
      <c r="M16" s="24">
        <f t="shared" si="11"/>
        <v>0</v>
      </c>
      <c r="N16" s="24">
        <f t="shared" si="12"/>
        <v>197972.17</v>
      </c>
      <c r="P16" s="24">
        <f>VLOOKUP(C16,'5. CCU ADMINISTRAÇÃO LOCAL'!A:M,12,)</f>
        <v>142852.07999999999</v>
      </c>
      <c r="Q16" s="24">
        <f>VLOOKUP(C16,'5. CCU ADMINISTRAÇÃO LOCAL'!A:M,12,)*E16</f>
        <v>142852.07999999999</v>
      </c>
      <c r="R16" s="24">
        <f t="shared" si="6"/>
        <v>178088.97</v>
      </c>
      <c r="S16" s="24">
        <f t="shared" si="7"/>
        <v>19883.200000000012</v>
      </c>
    </row>
    <row r="17" spans="1:19">
      <c r="A17" s="9" t="s">
        <v>22881</v>
      </c>
      <c r="B17" s="10" t="s">
        <v>358</v>
      </c>
      <c r="C17" s="12" t="s">
        <v>354</v>
      </c>
      <c r="D17" s="43" t="str">
        <f>VLOOKUP(C17,'5. CCU ADMINISTRAÇÃO LOCAL'!A:B,2,0)</f>
        <v>EQUIPE DE SEGURANÇA DO TRABALHO</v>
      </c>
      <c r="E17" s="11">
        <v>1</v>
      </c>
      <c r="F17" s="26" t="s">
        <v>331</v>
      </c>
      <c r="G17" s="24">
        <f>VLOOKUP(C17,'5. CCU ADMINISTRAÇÃO LOCAL'!A:J,10,0)</f>
        <v>256451.58</v>
      </c>
      <c r="H17" s="24">
        <v>0</v>
      </c>
      <c r="I17" s="25">
        <f>'3. BDI'!$C$19</f>
        <v>0.24666704095238123</v>
      </c>
      <c r="J17" s="24">
        <f t="shared" ref="J17" si="13">TRUNC(G17+(G17*I17),2)</f>
        <v>319709.73</v>
      </c>
      <c r="K17" s="24">
        <f t="shared" ref="K17" si="14">TRUNC(H17+(H17*I17),2)</f>
        <v>0</v>
      </c>
      <c r="L17" s="24">
        <f t="shared" ref="L17" si="15">J17*E17</f>
        <v>319709.73</v>
      </c>
      <c r="M17" s="24">
        <f t="shared" ref="M17" si="16">K17*E17</f>
        <v>0</v>
      </c>
      <c r="N17" s="24">
        <f t="shared" ref="N17" si="17">L17+M17</f>
        <v>319709.73</v>
      </c>
      <c r="P17" s="24">
        <f>VLOOKUP(C17,'5. CCU ADMINISTRAÇÃO LOCAL'!A:M,12,)</f>
        <v>240502.5</v>
      </c>
      <c r="Q17" s="24">
        <f>VLOOKUP(C17,'5. CCU ADMINISTRAÇÃO LOCAL'!A:M,12,)*E17</f>
        <v>240502.5</v>
      </c>
      <c r="R17" s="24">
        <f t="shared" si="6"/>
        <v>299826.53999999998</v>
      </c>
      <c r="S17" s="24">
        <f t="shared" si="7"/>
        <v>19883.190000000002</v>
      </c>
    </row>
    <row r="18" spans="1:19">
      <c r="A18" s="9" t="s">
        <v>22882</v>
      </c>
      <c r="B18" s="10" t="s">
        <v>358</v>
      </c>
      <c r="C18" s="12" t="s">
        <v>355</v>
      </c>
      <c r="D18" s="43" t="str">
        <f>VLOOKUP(C18,'5. CCU ADMINISTRAÇÃO LOCAL'!A:B,2,0)</f>
        <v>EQUIPE DE SEGURANÇA PATRIMONIAL</v>
      </c>
      <c r="E18" s="11">
        <v>1</v>
      </c>
      <c r="F18" s="26" t="s">
        <v>331</v>
      </c>
      <c r="G18" s="24">
        <f>VLOOKUP(C18,'5. CCU ADMINISTRAÇÃO LOCAL'!A:J,10,0)</f>
        <v>409233.30000000005</v>
      </c>
      <c r="H18" s="24">
        <v>0</v>
      </c>
      <c r="I18" s="25">
        <f>'3. BDI'!$C$19</f>
        <v>0.24666704095238123</v>
      </c>
      <c r="J18" s="24">
        <f t="shared" si="8"/>
        <v>510177.66</v>
      </c>
      <c r="K18" s="24">
        <f t="shared" si="9"/>
        <v>0</v>
      </c>
      <c r="L18" s="24">
        <f t="shared" si="10"/>
        <v>510177.66</v>
      </c>
      <c r="M18" s="24">
        <f t="shared" si="11"/>
        <v>0</v>
      </c>
      <c r="N18" s="24">
        <f t="shared" si="12"/>
        <v>510177.66</v>
      </c>
      <c r="P18" s="24">
        <f>VLOOKUP(C18,'5. CCU ADMINISTRAÇÃO LOCAL'!A:M,12,)</f>
        <v>301137.69</v>
      </c>
      <c r="Q18" s="24">
        <f>VLOOKUP(C18,'5. CCU ADMINISTRAÇÃO LOCAL'!A:M,12,)*E18</f>
        <v>301137.69</v>
      </c>
      <c r="R18" s="24">
        <f t="shared" si="6"/>
        <v>375418.43</v>
      </c>
      <c r="S18" s="24">
        <f t="shared" si="7"/>
        <v>134759.22999999998</v>
      </c>
    </row>
    <row r="19" spans="1:19">
      <c r="A19" s="9" t="s">
        <v>22883</v>
      </c>
      <c r="B19" s="10" t="s">
        <v>358</v>
      </c>
      <c r="C19" s="12" t="s">
        <v>356</v>
      </c>
      <c r="D19" s="43" t="str">
        <f>VLOOKUP(C19,'5. CCU ADMINISTRAÇÃO LOCAL'!A:B,2,0)</f>
        <v>EQUIPE DE CONTROLE TECNOLÓGICO DE CAMPO</v>
      </c>
      <c r="E19" s="11">
        <v>2</v>
      </c>
      <c r="F19" s="26" t="s">
        <v>331</v>
      </c>
      <c r="G19" s="24">
        <f>VLOOKUP(C19,'5. CCU ADMINISTRAÇÃO LOCAL'!A:J,10,0)</f>
        <v>219114.08000000002</v>
      </c>
      <c r="H19" s="24">
        <v>0</v>
      </c>
      <c r="I19" s="25">
        <f>'3. BDI'!$C$19</f>
        <v>0.24666704095238123</v>
      </c>
      <c r="J19" s="24">
        <f t="shared" si="8"/>
        <v>273162.3</v>
      </c>
      <c r="K19" s="24">
        <f t="shared" si="9"/>
        <v>0</v>
      </c>
      <c r="L19" s="24">
        <f t="shared" si="10"/>
        <v>546324.6</v>
      </c>
      <c r="M19" s="24">
        <f t="shared" si="11"/>
        <v>0</v>
      </c>
      <c r="N19" s="24">
        <f t="shared" si="12"/>
        <v>546324.6</v>
      </c>
      <c r="P19" s="24">
        <f>VLOOKUP(C19,'5. CCU ADMINISTRAÇÃO LOCAL'!A:M,12,)</f>
        <v>204683.96</v>
      </c>
      <c r="Q19" s="24">
        <f>VLOOKUP(C19,'5. CCU ADMINISTRAÇÃO LOCAL'!A:M,12,)*E19</f>
        <v>409367.92</v>
      </c>
      <c r="R19" s="24">
        <f t="shared" si="6"/>
        <v>510345.49</v>
      </c>
      <c r="S19" s="24">
        <f t="shared" si="7"/>
        <v>35979.109999999986</v>
      </c>
    </row>
    <row r="20" spans="1:19">
      <c r="A20" s="9" t="s">
        <v>22884</v>
      </c>
      <c r="B20" s="10" t="s">
        <v>358</v>
      </c>
      <c r="C20" s="12" t="s">
        <v>357</v>
      </c>
      <c r="D20" s="43" t="str">
        <f>VLOOKUP(C20,'5. CCU ADMINISTRAÇÃO LOCAL'!A:B,2,0)</f>
        <v>EQUIPE DE CONTROLE TECNOLÓGICO DE LABORATÓRIO</v>
      </c>
      <c r="E20" s="11">
        <v>1</v>
      </c>
      <c r="F20" s="26" t="s">
        <v>331</v>
      </c>
      <c r="G20" s="24">
        <f>VLOOKUP(C20,'5. CCU ADMINISTRAÇÃO LOCAL'!A:J,10,0)</f>
        <v>312713.02</v>
      </c>
      <c r="H20" s="24">
        <v>0</v>
      </c>
      <c r="I20" s="25">
        <f>'3. BDI'!$C$19</f>
        <v>0.24666704095238123</v>
      </c>
      <c r="J20" s="24">
        <f t="shared" si="8"/>
        <v>389849.01</v>
      </c>
      <c r="K20" s="24">
        <f t="shared" si="9"/>
        <v>0</v>
      </c>
      <c r="L20" s="24">
        <f t="shared" si="10"/>
        <v>389849.01</v>
      </c>
      <c r="M20" s="24">
        <f t="shared" si="11"/>
        <v>0</v>
      </c>
      <c r="N20" s="24">
        <f t="shared" si="12"/>
        <v>389849.01</v>
      </c>
      <c r="P20" s="24">
        <f>VLOOKUP(C20,'5. CCU ADMINISTRAÇÃO LOCAL'!A:M,12,)</f>
        <v>291067.83999999997</v>
      </c>
      <c r="Q20" s="24">
        <f>VLOOKUP(C20,'5. CCU ADMINISTRAÇÃO LOCAL'!A:M,12,)*E20</f>
        <v>291067.83999999997</v>
      </c>
      <c r="R20" s="24">
        <f t="shared" si="6"/>
        <v>362864.68</v>
      </c>
      <c r="S20" s="24">
        <f t="shared" si="7"/>
        <v>26984.330000000016</v>
      </c>
    </row>
    <row r="21" spans="1:19">
      <c r="A21" s="9" t="s">
        <v>22885</v>
      </c>
      <c r="B21" s="10" t="s">
        <v>358</v>
      </c>
      <c r="C21" s="12" t="s">
        <v>359</v>
      </c>
      <c r="D21" s="43" t="str">
        <f>VLOOKUP(C21,'5. CCU ADMINISTRAÇÃO LOCAL'!A:B,2,0)</f>
        <v>EQUIPE DE TOPOGRAFIA</v>
      </c>
      <c r="E21" s="11">
        <v>2</v>
      </c>
      <c r="F21" s="26" t="s">
        <v>331</v>
      </c>
      <c r="G21" s="24">
        <f>VLOOKUP(C21,'5. CCU ADMINISTRAÇÃO LOCAL'!A:J,10,0)</f>
        <v>174755.16</v>
      </c>
      <c r="H21" s="24">
        <v>0</v>
      </c>
      <c r="I21" s="25">
        <f>'3. BDI'!$C$19</f>
        <v>0.24666704095238123</v>
      </c>
      <c r="J21" s="24">
        <f t="shared" si="8"/>
        <v>217861.49</v>
      </c>
      <c r="K21" s="24">
        <f t="shared" si="9"/>
        <v>0</v>
      </c>
      <c r="L21" s="24">
        <f t="shared" si="10"/>
        <v>435722.98</v>
      </c>
      <c r="M21" s="24">
        <f t="shared" si="11"/>
        <v>0</v>
      </c>
      <c r="N21" s="24">
        <f t="shared" si="12"/>
        <v>435722.98</v>
      </c>
      <c r="P21" s="24">
        <f>VLOOKUP(C21,'5. CCU ADMINISTRAÇÃO LOCAL'!A:M,12,)</f>
        <v>153646.35</v>
      </c>
      <c r="Q21" s="24">
        <f>VLOOKUP(C21,'5. CCU ADMINISTRAÇÃO LOCAL'!A:M,12,)*E21</f>
        <v>307292.7</v>
      </c>
      <c r="R21" s="24">
        <f t="shared" si="6"/>
        <v>383091.68</v>
      </c>
      <c r="S21" s="24">
        <f t="shared" si="7"/>
        <v>52631.299999999988</v>
      </c>
    </row>
    <row r="22" spans="1:19">
      <c r="A22" s="9" t="s">
        <v>22886</v>
      </c>
      <c r="B22" s="10" t="s">
        <v>358</v>
      </c>
      <c r="C22" s="12" t="s">
        <v>360</v>
      </c>
      <c r="D22" s="43" t="str">
        <f>VLOOKUP(C22,'5. CCU ADMINISTRAÇÃO LOCAL'!A:B,2,0)</f>
        <v xml:space="preserve">DESPESAS COM TRANSPORTE </v>
      </c>
      <c r="E22" s="11">
        <v>1</v>
      </c>
      <c r="F22" s="26" t="s">
        <v>331</v>
      </c>
      <c r="G22" s="24">
        <f>VLOOKUP(C22,'5. CCU ADMINISTRAÇÃO LOCAL'!A:J,10,0)</f>
        <v>1617678.8100000003</v>
      </c>
      <c r="H22" s="24">
        <v>0</v>
      </c>
      <c r="I22" s="25">
        <f>'3. BDI'!$C$19</f>
        <v>0.24666704095238123</v>
      </c>
      <c r="J22" s="24">
        <f t="shared" ref="J22" si="18">TRUNC(G22+(G22*I22),2)</f>
        <v>2016706.85</v>
      </c>
      <c r="K22" s="24">
        <f t="shared" ref="K22" si="19">TRUNC(H22+(H22*I22),2)</f>
        <v>0</v>
      </c>
      <c r="L22" s="24">
        <f t="shared" ref="L22" si="20">J22*E22</f>
        <v>2016706.85</v>
      </c>
      <c r="M22" s="24">
        <f t="shared" ref="M22" si="21">K22*E22</f>
        <v>0</v>
      </c>
      <c r="N22" s="24">
        <f t="shared" ref="N22" si="22">L22+M22</f>
        <v>2016706.85</v>
      </c>
      <c r="P22" s="24">
        <f>VLOOKUP(C22,'5. CCU ADMINISTRAÇÃO LOCAL'!A:M,12,)</f>
        <v>218050.08000000002</v>
      </c>
      <c r="Q22" s="24">
        <f>VLOOKUP(C22,'5. CCU ADMINISTRAÇÃO LOCAL'!A:M,12,)*E22</f>
        <v>218050.08000000002</v>
      </c>
      <c r="R22" s="24">
        <f t="shared" si="6"/>
        <v>271835.84000000003</v>
      </c>
      <c r="S22" s="24">
        <f t="shared" si="7"/>
        <v>1744871.01</v>
      </c>
    </row>
    <row r="23" spans="1:19">
      <c r="A23" s="310" t="s">
        <v>334</v>
      </c>
      <c r="B23" s="311"/>
      <c r="C23" s="312"/>
      <c r="D23" s="313" t="s">
        <v>23616</v>
      </c>
      <c r="E23" s="314"/>
      <c r="F23" s="315" t="s">
        <v>195</v>
      </c>
      <c r="G23" s="314"/>
      <c r="H23" s="314"/>
      <c r="I23" s="316"/>
      <c r="J23" s="314"/>
      <c r="K23" s="314"/>
      <c r="L23" s="314">
        <f>SUM(L24:L28)</f>
        <v>2032654.1459000001</v>
      </c>
      <c r="M23" s="314">
        <f>SUM(M24:M28)</f>
        <v>3282.7127999999998</v>
      </c>
      <c r="N23" s="314">
        <f>SUM(N24:N28)</f>
        <v>2035936.8587000002</v>
      </c>
      <c r="P23" s="314">
        <f>SUM(P24:P28)</f>
        <v>15.98</v>
      </c>
      <c r="Q23" s="314">
        <f t="shared" ref="Q23:S23" si="23">SUM(Q24:Q28)</f>
        <v>91885</v>
      </c>
      <c r="R23" s="314">
        <f t="shared" si="23"/>
        <v>114550</v>
      </c>
      <c r="S23" s="314">
        <f t="shared" si="23"/>
        <v>1921386.8587000002</v>
      </c>
    </row>
    <row r="24" spans="1:19">
      <c r="A24" s="9" t="s">
        <v>22887</v>
      </c>
      <c r="B24" s="10" t="s">
        <v>22707</v>
      </c>
      <c r="C24" s="23" t="s">
        <v>22929</v>
      </c>
      <c r="D24" s="43" t="str">
        <f>VLOOKUP(C24,'23. CUSTOS COTAÇÕES DE MERCADO'!A:F,2,0)</f>
        <v>ESTUDOS E PROGRAMAS DA LICENÇA AMBIENTAL SIMPLIFICADA</v>
      </c>
      <c r="E24" s="11">
        <v>1</v>
      </c>
      <c r="F24" s="26" t="s">
        <v>331</v>
      </c>
      <c r="G24" s="24">
        <f>VLOOKUP(C24,'23. CUSTOS COTAÇÕES DE MERCADO'!A:F,6,0)</f>
        <v>1017149.9533333333</v>
      </c>
      <c r="H24" s="24"/>
      <c r="I24" s="25">
        <f>'3. BDI'!$C$19</f>
        <v>0.24666704095238123</v>
      </c>
      <c r="J24" s="24">
        <f t="shared" ref="J24" si="24">TRUNC(G24+(G24*I24),2)</f>
        <v>1268047.32</v>
      </c>
      <c r="K24" s="24">
        <f t="shared" ref="K24" si="25">TRUNC(H24+(H24*I24),2)</f>
        <v>0</v>
      </c>
      <c r="L24" s="24">
        <f t="shared" ref="L24" si="26">J24*E24</f>
        <v>1268047.32</v>
      </c>
      <c r="M24" s="24">
        <f t="shared" ref="M24" si="27">K24*E24</f>
        <v>0</v>
      </c>
      <c r="N24" s="24">
        <f t="shared" ref="N24" si="28">L24+M24</f>
        <v>1268047.32</v>
      </c>
      <c r="P24" s="24">
        <v>0</v>
      </c>
      <c r="Q24" s="24">
        <f t="shared" ref="Q24:Q27" si="29">TRUNC((P24*E24),2)</f>
        <v>0</v>
      </c>
      <c r="R24" s="24">
        <f>TRUNC((Q24*I24+Q24),2)</f>
        <v>0</v>
      </c>
      <c r="S24" s="24">
        <f>N24-R24</f>
        <v>1268047.32</v>
      </c>
    </row>
    <row r="25" spans="1:19">
      <c r="A25" s="9" t="s">
        <v>23612</v>
      </c>
      <c r="B25" s="10" t="s">
        <v>22707</v>
      </c>
      <c r="C25" s="23" t="s">
        <v>23511</v>
      </c>
      <c r="D25" s="43" t="str">
        <f>VLOOKUP(C25,'23. CUSTOS COTAÇÕES DE MERCADO'!A:F,2,0)</f>
        <v>ESTUDOS E PROGRAMAS DA AUTORIZAÇÃO AMBIENTAL DE FAUNA</v>
      </c>
      <c r="E25" s="11">
        <v>1</v>
      </c>
      <c r="F25" s="26" t="s">
        <v>331</v>
      </c>
      <c r="G25" s="24">
        <f>VLOOKUP(C25,'23. CUSTOS COTAÇÕES DE MERCADO'!A:F,6,0)</f>
        <v>173834.89333333334</v>
      </c>
      <c r="H25" s="24"/>
      <c r="I25" s="25">
        <f>'3. BDI'!$C$19</f>
        <v>0.24666704095238123</v>
      </c>
      <c r="J25" s="24">
        <f t="shared" ref="J25" si="30">TRUNC(G25+(G25*I25),2)</f>
        <v>216714.23</v>
      </c>
      <c r="K25" s="24">
        <f t="shared" ref="K25" si="31">TRUNC(H25+(H25*I25),2)</f>
        <v>0</v>
      </c>
      <c r="L25" s="24">
        <f t="shared" ref="L25" si="32">J25*E25</f>
        <v>216714.23</v>
      </c>
      <c r="M25" s="24">
        <f t="shared" ref="M25" si="33">K25*E25</f>
        <v>0</v>
      </c>
      <c r="N25" s="24">
        <f t="shared" ref="N25" si="34">L25+M25</f>
        <v>216714.23</v>
      </c>
      <c r="P25" s="24">
        <v>0</v>
      </c>
      <c r="Q25" s="24">
        <f t="shared" si="29"/>
        <v>0</v>
      </c>
      <c r="R25" s="24">
        <f>TRUNC((Q25*I25+Q25),2)</f>
        <v>0</v>
      </c>
      <c r="S25" s="24">
        <f>N25-R25</f>
        <v>216714.23</v>
      </c>
    </row>
    <row r="26" spans="1:19" ht="31.5">
      <c r="A26" s="9" t="s">
        <v>23613</v>
      </c>
      <c r="B26" s="10" t="s">
        <v>22707</v>
      </c>
      <c r="C26" s="23" t="s">
        <v>23515</v>
      </c>
      <c r="D26" s="43" t="str">
        <f>VLOOKUP(C26,'23. CUSTOS COTAÇÕES DE MERCADO'!A:F,2,0)</f>
        <v>ESTUDOS E PROGRAMAS DA AUTORIZAÇÃO AMBIENTAL DE SUPRESSÃO VEGETAL</v>
      </c>
      <c r="E26" s="11">
        <v>1</v>
      </c>
      <c r="F26" s="26" t="s">
        <v>331</v>
      </c>
      <c r="G26" s="24">
        <f>VLOOKUP(C26,'23. CUSTOS COTAÇÕES DE MERCADO'!A:F,6,0)</f>
        <v>85176.373333333337</v>
      </c>
      <c r="H26" s="24"/>
      <c r="I26" s="25">
        <f>'3. BDI'!$C$19</f>
        <v>0.24666704095238123</v>
      </c>
      <c r="J26" s="24">
        <f t="shared" ref="J26" si="35">TRUNC(G26+(G26*I26),2)</f>
        <v>106186.57</v>
      </c>
      <c r="K26" s="24">
        <f t="shared" ref="K26" si="36">TRUNC(H26+(H26*I26),2)</f>
        <v>0</v>
      </c>
      <c r="L26" s="24">
        <f t="shared" ref="L26" si="37">J26*E26</f>
        <v>106186.57</v>
      </c>
      <c r="M26" s="24">
        <f t="shared" ref="M26" si="38">K26*E26</f>
        <v>0</v>
      </c>
      <c r="N26" s="24">
        <f t="shared" ref="N26" si="39">L26+M26</f>
        <v>106186.57</v>
      </c>
      <c r="P26" s="24">
        <v>0</v>
      </c>
      <c r="Q26" s="24">
        <f t="shared" si="29"/>
        <v>0</v>
      </c>
      <c r="R26" s="24">
        <f>TRUNC((Q26*I26+Q26),2)</f>
        <v>0</v>
      </c>
      <c r="S26" s="24">
        <f>N26-R26</f>
        <v>106186.57</v>
      </c>
    </row>
    <row r="27" spans="1:19" ht="47.25">
      <c r="A27" s="9" t="s">
        <v>23614</v>
      </c>
      <c r="B27" s="10" t="s">
        <v>358</v>
      </c>
      <c r="C27" s="12" t="s">
        <v>22677</v>
      </c>
      <c r="D27" s="43" t="s">
        <v>309</v>
      </c>
      <c r="E27" s="11">
        <v>141.01</v>
      </c>
      <c r="F27" s="13" t="s">
        <v>326</v>
      </c>
      <c r="G27" s="24">
        <f>VLOOKUP(C27,'9. CCU''S GERAIS AMEP'!A:K,11,0)</f>
        <v>187.37377000000001</v>
      </c>
      <c r="H27" s="24">
        <f>VLOOKUP(C27,'10. CCU TRANSPORTE'!B:J,9,0)</f>
        <v>18.68</v>
      </c>
      <c r="I27" s="25">
        <f>'3. BDI'!$C$19</f>
        <v>0.24666704095238123</v>
      </c>
      <c r="J27" s="24">
        <f>TRUNC(G27+(G27*I27),2)</f>
        <v>233.59</v>
      </c>
      <c r="K27" s="24">
        <f>TRUNC(H27+(H27*I27),2)</f>
        <v>23.28</v>
      </c>
      <c r="L27" s="24">
        <f>J27*E27</f>
        <v>32938.525900000001</v>
      </c>
      <c r="M27" s="24">
        <f>K27*E27</f>
        <v>3282.7127999999998</v>
      </c>
      <c r="N27" s="24">
        <f>L27+M27</f>
        <v>36221.238700000002</v>
      </c>
      <c r="P27" s="24">
        <v>0</v>
      </c>
      <c r="Q27" s="24">
        <f t="shared" si="29"/>
        <v>0</v>
      </c>
      <c r="R27" s="24">
        <f>TRUNC((Q27*I27+Q27),2)</f>
        <v>0</v>
      </c>
      <c r="S27" s="24">
        <f>N27-R27</f>
        <v>36221.238700000002</v>
      </c>
    </row>
    <row r="28" spans="1:19">
      <c r="A28" s="9" t="s">
        <v>23615</v>
      </c>
      <c r="B28" s="10" t="s">
        <v>9008</v>
      </c>
      <c r="C28" s="12">
        <v>98510</v>
      </c>
      <c r="D28" s="445" t="s">
        <v>310</v>
      </c>
      <c r="E28" s="11">
        <v>5750</v>
      </c>
      <c r="F28" s="13" t="s">
        <v>329</v>
      </c>
      <c r="G28" s="24">
        <f>VLOOKUP(C28,'21. CUSTOS SINAPI - SERVIÇOS'!A:D,4,0)</f>
        <v>57.03</v>
      </c>
      <c r="H28" s="24">
        <v>0</v>
      </c>
      <c r="I28" s="25">
        <f>'3. BDI'!$C$19</f>
        <v>0.24666704095238123</v>
      </c>
      <c r="J28" s="24">
        <f>TRUNC(G28+(G28*I28),2)</f>
        <v>71.09</v>
      </c>
      <c r="K28" s="24">
        <f>TRUNC(H28+(H28*I28),2)</f>
        <v>0</v>
      </c>
      <c r="L28" s="24">
        <f>J28*E28</f>
        <v>408767.5</v>
      </c>
      <c r="M28" s="24">
        <f>K28*E28</f>
        <v>0</v>
      </c>
      <c r="N28" s="24">
        <f>L28+M28</f>
        <v>408767.5</v>
      </c>
      <c r="P28" s="24">
        <v>15.98</v>
      </c>
      <c r="Q28" s="24">
        <f>TRUNC((P28*E28),2)</f>
        <v>91885</v>
      </c>
      <c r="R28" s="24">
        <f>TRUNC((Q28*I28+Q28),2)</f>
        <v>114550</v>
      </c>
      <c r="S28" s="24">
        <f>N28-R28</f>
        <v>294217.5</v>
      </c>
    </row>
    <row r="29" spans="1:19">
      <c r="A29" s="310" t="s">
        <v>335</v>
      </c>
      <c r="B29" s="315"/>
      <c r="C29" s="315"/>
      <c r="D29" s="317" t="s">
        <v>112</v>
      </c>
      <c r="E29" s="314"/>
      <c r="F29" s="315"/>
      <c r="G29" s="314"/>
      <c r="H29" s="314"/>
      <c r="I29" s="316"/>
      <c r="J29" s="314"/>
      <c r="K29" s="314"/>
      <c r="L29" s="314">
        <f t="shared" ref="L29:M29" si="40">SUM(L30:L31)</f>
        <v>33270.32</v>
      </c>
      <c r="M29" s="314">
        <f t="shared" si="40"/>
        <v>0</v>
      </c>
      <c r="N29" s="314">
        <f>SUM(N30:N31)</f>
        <v>33270.32</v>
      </c>
      <c r="P29" s="314">
        <f>SUM(P30:P31)</f>
        <v>0</v>
      </c>
      <c r="Q29" s="314">
        <f t="shared" ref="Q29:S29" si="41">SUM(Q30:Q31)</f>
        <v>0</v>
      </c>
      <c r="R29" s="314">
        <f t="shared" si="41"/>
        <v>0</v>
      </c>
      <c r="S29" s="314">
        <f t="shared" si="41"/>
        <v>33270.32</v>
      </c>
    </row>
    <row r="30" spans="1:19">
      <c r="A30" s="9" t="s">
        <v>22888</v>
      </c>
      <c r="B30" s="10" t="s">
        <v>358</v>
      </c>
      <c r="C30" s="23" t="s">
        <v>361</v>
      </c>
      <c r="D30" s="43" t="str">
        <f>VLOOKUP(C30,'6. CCU MOBILIZAÇÃO EQUIPTOS'!A:C,3,0)</f>
        <v>MOBILIZAÇÃO DE VEÍCULOS LEVES E CAMINHÕES COMUNS</v>
      </c>
      <c r="E30" s="11">
        <v>1</v>
      </c>
      <c r="F30" s="26" t="s">
        <v>331</v>
      </c>
      <c r="G30" s="24">
        <f>'6. CCU MOBILIZAÇÃO EQUIPTOS'!K12</f>
        <v>6850.02</v>
      </c>
      <c r="H30" s="24">
        <v>0</v>
      </c>
      <c r="I30" s="25">
        <f>'3. BDI'!$C$19</f>
        <v>0.24666704095238123</v>
      </c>
      <c r="J30" s="24">
        <f>TRUNC(G30+(G30*I30),2)</f>
        <v>8539.69</v>
      </c>
      <c r="K30" s="24">
        <f>TRUNC(H30+(H30*I30),2)</f>
        <v>0</v>
      </c>
      <c r="L30" s="24">
        <f>J30*E30</f>
        <v>8539.69</v>
      </c>
      <c r="M30" s="24">
        <f>K30*E30</f>
        <v>0</v>
      </c>
      <c r="N30" s="24">
        <f>L30+M30</f>
        <v>8539.69</v>
      </c>
      <c r="P30" s="24">
        <v>0</v>
      </c>
      <c r="Q30" s="24"/>
      <c r="R30" s="24">
        <f>TRUNC((Q30*I30+Q30),2)</f>
        <v>0</v>
      </c>
      <c r="S30" s="24">
        <f>N30-R30</f>
        <v>8539.69</v>
      </c>
    </row>
    <row r="31" spans="1:19">
      <c r="A31" s="9" t="s">
        <v>22889</v>
      </c>
      <c r="B31" s="10" t="s">
        <v>358</v>
      </c>
      <c r="C31" s="23" t="s">
        <v>362</v>
      </c>
      <c r="D31" s="43" t="str">
        <f>VLOOKUP(C31,'6. CCU MOBILIZAÇÃO EQUIPTOS'!A:C,3,0)</f>
        <v>MOBILIZAÇÃO DE EQUIPAMENTOS DE GRANDE PORTE</v>
      </c>
      <c r="E31" s="11">
        <v>1</v>
      </c>
      <c r="F31" s="26" t="s">
        <v>331</v>
      </c>
      <c r="G31" s="24">
        <f>'6. CCU MOBILIZAÇÃO EQUIPTOS'!K22</f>
        <v>19837.400000000005</v>
      </c>
      <c r="H31" s="24">
        <v>0</v>
      </c>
      <c r="I31" s="25">
        <f>'3. BDI'!$C$19</f>
        <v>0.24666704095238123</v>
      </c>
      <c r="J31" s="24">
        <f t="shared" ref="J31" si="42">TRUNC(G31+(G31*I31),2)</f>
        <v>24730.63</v>
      </c>
      <c r="K31" s="24">
        <f t="shared" ref="K31" si="43">TRUNC(H31+(H31*I31),2)</f>
        <v>0</v>
      </c>
      <c r="L31" s="24">
        <f t="shared" ref="L31" si="44">J31*E31</f>
        <v>24730.63</v>
      </c>
      <c r="M31" s="24">
        <f t="shared" ref="M31" si="45">K31*E31</f>
        <v>0</v>
      </c>
      <c r="N31" s="24">
        <f t="shared" ref="N31" si="46">L31+M31</f>
        <v>24730.63</v>
      </c>
      <c r="P31" s="24">
        <v>0</v>
      </c>
      <c r="Q31" s="24"/>
      <c r="R31" s="24">
        <f>TRUNC((Q31*I31+Q31),2)</f>
        <v>0</v>
      </c>
      <c r="S31" s="24">
        <f>N31-R31</f>
        <v>24730.63</v>
      </c>
    </row>
    <row r="32" spans="1:19">
      <c r="A32" s="310" t="s">
        <v>336</v>
      </c>
      <c r="B32" s="311"/>
      <c r="C32" s="312"/>
      <c r="D32" s="313" t="s">
        <v>113</v>
      </c>
      <c r="E32" s="314"/>
      <c r="F32" s="315" t="s">
        <v>195</v>
      </c>
      <c r="G32" s="314"/>
      <c r="H32" s="314"/>
      <c r="I32" s="316"/>
      <c r="J32" s="314"/>
      <c r="K32" s="314"/>
      <c r="L32" s="314">
        <f>L33+L35+L37+L40+L42+L44+L46+L48+L50+L52+L54+L56+L58+L60+L62+L64</f>
        <v>1198819.6415000004</v>
      </c>
      <c r="M32" s="314">
        <f>M33+M35+M37+M40+M42+M44+M46+M48+M50+M52+M54+M56+M58+M60+M62+M64</f>
        <v>9158.5776000000005</v>
      </c>
      <c r="N32" s="314">
        <f>N33+N35+N37+N40+N42+N44+N46+N48+N50+N52+N54+N56+N58+N60+N62+N64</f>
        <v>1207978.2191000003</v>
      </c>
      <c r="P32" s="314">
        <f t="shared" ref="P32:S32" si="47">P33+P35+P37+P40+P42+P44+P46+P48+P50+P52+P54+P56+P58+P60+P62+P64</f>
        <v>3622.0232785739249</v>
      </c>
      <c r="Q32" s="314">
        <f t="shared" si="47"/>
        <v>150779.10999999999</v>
      </c>
      <c r="R32" s="314">
        <f t="shared" si="47"/>
        <v>187971.27999999997</v>
      </c>
      <c r="S32" s="314">
        <f t="shared" si="47"/>
        <v>1020006.9391</v>
      </c>
    </row>
    <row r="33" spans="1:19">
      <c r="A33" s="28" t="s">
        <v>22925</v>
      </c>
      <c r="B33" s="48"/>
      <c r="C33" s="32"/>
      <c r="D33" s="301" t="s">
        <v>17674</v>
      </c>
      <c r="E33" s="33"/>
      <c r="F33" s="32" t="s">
        <v>195</v>
      </c>
      <c r="G33" s="33"/>
      <c r="H33" s="33"/>
      <c r="I33" s="34"/>
      <c r="J33" s="33"/>
      <c r="K33" s="33"/>
      <c r="L33" s="33">
        <f t="shared" ref="L33:M33" si="48">L34</f>
        <v>46182.6</v>
      </c>
      <c r="M33" s="33">
        <f t="shared" si="48"/>
        <v>0</v>
      </c>
      <c r="N33" s="33">
        <f>N34</f>
        <v>46182.6</v>
      </c>
      <c r="P33" s="33">
        <f t="shared" ref="P33:S33" si="49">P34</f>
        <v>97.24</v>
      </c>
      <c r="Q33" s="33">
        <f t="shared" si="49"/>
        <v>8751.6</v>
      </c>
      <c r="R33" s="33">
        <f t="shared" si="49"/>
        <v>10910.33</v>
      </c>
      <c r="S33" s="33">
        <f t="shared" si="49"/>
        <v>35272.269999999997</v>
      </c>
    </row>
    <row r="34" spans="1:19">
      <c r="A34" s="9" t="s">
        <v>22940</v>
      </c>
      <c r="B34" s="10" t="s">
        <v>17665</v>
      </c>
      <c r="C34" s="23" t="s">
        <v>17675</v>
      </c>
      <c r="D34" s="43" t="str">
        <f>VLOOKUP(C34,'8. CCU PLACA DE OBRA'!A:D,4,0)</f>
        <v>PLACA DE OBRA</v>
      </c>
      <c r="E34" s="11">
        <v>90</v>
      </c>
      <c r="F34" s="13" t="str">
        <f>VLOOKUP(C34,'8. CCU PLACA DE OBRA'!A:C,3,0)</f>
        <v>M2</v>
      </c>
      <c r="G34" s="24">
        <f>'8. CCU PLACA DE OBRA'!K10</f>
        <v>411.61140000000006</v>
      </c>
      <c r="H34" s="24"/>
      <c r="I34" s="25">
        <f>'3. BDI'!$C$19</f>
        <v>0.24666704095238123</v>
      </c>
      <c r="J34" s="24">
        <f t="shared" ref="J34" si="50">TRUNC(G34+(G34*I34),2)</f>
        <v>513.14</v>
      </c>
      <c r="K34" s="24">
        <f t="shared" ref="K34" si="51">TRUNC(H34+(H34*I34),2)</f>
        <v>0</v>
      </c>
      <c r="L34" s="24">
        <f t="shared" ref="L34" si="52">J34*E34</f>
        <v>46182.6</v>
      </c>
      <c r="M34" s="24">
        <f t="shared" ref="M34" si="53">K34*E34</f>
        <v>0</v>
      </c>
      <c r="N34" s="24">
        <f t="shared" ref="N34" si="54">L34+M34</f>
        <v>46182.6</v>
      </c>
      <c r="P34" s="24">
        <f>(97.24/1)</f>
        <v>97.24</v>
      </c>
      <c r="Q34" s="24">
        <f>P34*E34</f>
        <v>8751.6</v>
      </c>
      <c r="R34" s="24">
        <f>TRUNC((Q34*I34+Q34),2)</f>
        <v>10910.33</v>
      </c>
      <c r="S34" s="24">
        <f>N34-R34</f>
        <v>35272.269999999997</v>
      </c>
    </row>
    <row r="35" spans="1:19">
      <c r="A35" s="28" t="s">
        <v>22926</v>
      </c>
      <c r="B35" s="48"/>
      <c r="C35" s="32"/>
      <c r="D35" s="301" t="s">
        <v>22924</v>
      </c>
      <c r="E35" s="33"/>
      <c r="F35" s="32" t="s">
        <v>195</v>
      </c>
      <c r="G35" s="33"/>
      <c r="H35" s="33"/>
      <c r="I35" s="34"/>
      <c r="J35" s="33"/>
      <c r="K35" s="33"/>
      <c r="L35" s="33">
        <f t="shared" ref="L35:M35" si="55">L36</f>
        <v>60725.520000000004</v>
      </c>
      <c r="M35" s="33">
        <f t="shared" si="55"/>
        <v>0</v>
      </c>
      <c r="N35" s="33">
        <f>N36</f>
        <v>60725.520000000004</v>
      </c>
      <c r="P35" s="33">
        <f t="shared" ref="P35:S35" si="56">P36</f>
        <v>18.18</v>
      </c>
      <c r="Q35" s="33">
        <f t="shared" si="56"/>
        <v>6217.56</v>
      </c>
      <c r="R35" s="33">
        <f t="shared" si="56"/>
        <v>7751.22</v>
      </c>
      <c r="S35" s="33">
        <f t="shared" si="56"/>
        <v>52974.3</v>
      </c>
    </row>
    <row r="36" spans="1:19">
      <c r="A36" s="9" t="s">
        <v>22941</v>
      </c>
      <c r="B36" s="10" t="s">
        <v>9008</v>
      </c>
      <c r="C36" s="12">
        <v>98459</v>
      </c>
      <c r="D36" s="445" t="str">
        <f>VLOOKUP(C36,'21. CUSTOS SINAPI - SERVIÇOS'!A:B,2,0)</f>
        <v>TAPUME COM TELHA METÁLICA. AF_05/2018</v>
      </c>
      <c r="E36" s="11">
        <v>342</v>
      </c>
      <c r="F36" s="26" t="str">
        <f>VLOOKUP(C36,'21. CUSTOS SINAPI - SERVIÇOS'!A:C,3,0)</f>
        <v>M2</v>
      </c>
      <c r="G36" s="24">
        <f>VLOOKUP(C36,'21. CUSTOS SINAPI - SERVIÇOS'!A:D,4,0)</f>
        <v>142.43</v>
      </c>
      <c r="H36" s="24"/>
      <c r="I36" s="25">
        <f>'3. BDI'!$C$19</f>
        <v>0.24666704095238123</v>
      </c>
      <c r="J36" s="24">
        <f t="shared" ref="J36" si="57">TRUNC(G36+(G36*I36),2)</f>
        <v>177.56</v>
      </c>
      <c r="K36" s="24">
        <f t="shared" ref="K36" si="58">TRUNC(H36+(H36*I36),2)</f>
        <v>0</v>
      </c>
      <c r="L36" s="24">
        <f t="shared" ref="L36" si="59">J36*E36</f>
        <v>60725.520000000004</v>
      </c>
      <c r="M36" s="24">
        <f t="shared" ref="M36" si="60">K36*E36</f>
        <v>0</v>
      </c>
      <c r="N36" s="24">
        <f t="shared" ref="N36" si="61">L36+M36</f>
        <v>60725.520000000004</v>
      </c>
      <c r="P36" s="24">
        <v>18.18</v>
      </c>
      <c r="Q36" s="24">
        <f>TRUNC((P36*E36),2)</f>
        <v>6217.56</v>
      </c>
      <c r="R36" s="24">
        <f>TRUNC((Q36*I36+Q36),2)</f>
        <v>7751.22</v>
      </c>
      <c r="S36" s="24">
        <f>N36-R36</f>
        <v>52974.3</v>
      </c>
    </row>
    <row r="37" spans="1:19">
      <c r="A37" s="28" t="s">
        <v>22927</v>
      </c>
      <c r="B37" s="48"/>
      <c r="C37" s="32"/>
      <c r="D37" s="301" t="s">
        <v>22923</v>
      </c>
      <c r="E37" s="33"/>
      <c r="F37" s="32" t="s">
        <v>195</v>
      </c>
      <c r="G37" s="33"/>
      <c r="H37" s="33"/>
      <c r="I37" s="34"/>
      <c r="J37" s="33"/>
      <c r="K37" s="33"/>
      <c r="L37" s="33">
        <f t="shared" ref="L37:M37" si="62">SUM(L38:L39)</f>
        <v>33590.474699999999</v>
      </c>
      <c r="M37" s="33">
        <f t="shared" si="62"/>
        <v>9158.5776000000005</v>
      </c>
      <c r="N37" s="33">
        <f>SUM(N38:N39)</f>
        <v>42749.052300000003</v>
      </c>
      <c r="P37" s="33">
        <f t="shared" ref="P37:S37" si="63">SUM(P38:P39)</f>
        <v>6.1432785739252012</v>
      </c>
      <c r="Q37" s="33">
        <f t="shared" si="63"/>
        <v>1995.65</v>
      </c>
      <c r="R37" s="33">
        <f t="shared" si="63"/>
        <v>2487.8999999999996</v>
      </c>
      <c r="S37" s="33">
        <f t="shared" si="63"/>
        <v>40261.152300000002</v>
      </c>
    </row>
    <row r="38" spans="1:19" ht="47.25">
      <c r="A38" s="9" t="s">
        <v>22942</v>
      </c>
      <c r="B38" s="10" t="s">
        <v>9008</v>
      </c>
      <c r="C38" s="12">
        <v>98525</v>
      </c>
      <c r="D38" s="445" t="str">
        <f>VLOOKUP(C38,'21. CUSTOS SINAPI - SERVIÇOS'!A:B,2,0)</f>
        <v>LIMPEZA MECANIZADA DE CAMADA VEGETAL, VEGETAÇÃO E PEQUENAS ÁRVORES (DIÂMETRO DE TRONCO MENOR QUE 0,20 M), COM TRATOR DE ESTEIRAS.AF_05/2018</v>
      </c>
      <c r="E38" s="11">
        <v>2456.73</v>
      </c>
      <c r="F38" s="26" t="str">
        <f>VLOOKUP(C38,'21. CUSTOS SINAPI - SERVIÇOS'!A:C,3,0)</f>
        <v>M2</v>
      </c>
      <c r="G38" s="24">
        <f>VLOOKUP(C38,'21. CUSTOS SINAPI - SERVIÇOS'!A:D,4,0)</f>
        <v>0.42</v>
      </c>
      <c r="H38" s="24"/>
      <c r="I38" s="25">
        <f>'3. BDI'!$C$19</f>
        <v>0.24666704095238123</v>
      </c>
      <c r="J38" s="24">
        <f t="shared" ref="J38" si="64">TRUNC(G38+(G38*I38),2)</f>
        <v>0.52</v>
      </c>
      <c r="K38" s="24">
        <f t="shared" ref="K38" si="65">TRUNC(H38+(H38*I38),2)</f>
        <v>0</v>
      </c>
      <c r="L38" s="24">
        <f t="shared" ref="L38" si="66">J38*E38</f>
        <v>1277.4996000000001</v>
      </c>
      <c r="M38" s="24">
        <f t="shared" ref="M38" si="67">K38*E38</f>
        <v>0</v>
      </c>
      <c r="N38" s="24">
        <f t="shared" ref="N38" si="68">L38+M38</f>
        <v>1277.4996000000001</v>
      </c>
      <c r="P38" s="24">
        <v>0.22</v>
      </c>
      <c r="Q38" s="24">
        <f>TRUNC((P38*E38),2)</f>
        <v>540.48</v>
      </c>
      <c r="R38" s="24">
        <f>TRUNC((Q38*I38+Q38),2)</f>
        <v>673.79</v>
      </c>
      <c r="S38" s="24">
        <f>N38-R38</f>
        <v>603.70960000000014</v>
      </c>
    </row>
    <row r="39" spans="1:19">
      <c r="A39" s="9" t="s">
        <v>22943</v>
      </c>
      <c r="B39" s="10" t="s">
        <v>9016</v>
      </c>
      <c r="C39" s="10">
        <v>531500</v>
      </c>
      <c r="D39" s="43" t="str">
        <f>VLOOKUP(C39,'13. CUSTOS DER - SERVIÇOS'!A:B,2,0)</f>
        <v>MACADAME SECO BRITADO PREENCHIDO C/PÓ DE PEDRA</v>
      </c>
      <c r="E39" s="11">
        <v>245.67</v>
      </c>
      <c r="F39" s="26" t="str">
        <f>VLOOKUP(C39,'13. CUSTOS DER - SERVIÇOS'!A:C,3,0)</f>
        <v>M3</v>
      </c>
      <c r="G39" s="24">
        <f>VLOOKUP(C39,'13. CUSTOS DER - SERVIÇOS'!A:G,7,0)</f>
        <v>105.51</v>
      </c>
      <c r="H39" s="24">
        <f>VLOOKUP(C39,'10. CCU TRANSPORTE'!B:J,9,0)</f>
        <v>29.91</v>
      </c>
      <c r="I39" s="25">
        <f>'3. BDI'!$C$19</f>
        <v>0.24666704095238123</v>
      </c>
      <c r="J39" s="24">
        <f>TRUNC(G39+(G39*I39),2)</f>
        <v>131.53</v>
      </c>
      <c r="K39" s="24">
        <f>TRUNC(H39+(H39*I39),2)</f>
        <v>37.28</v>
      </c>
      <c r="L39" s="24">
        <f>J39*E39</f>
        <v>32312.9751</v>
      </c>
      <c r="M39" s="24">
        <f>K39*E39</f>
        <v>9158.5776000000005</v>
      </c>
      <c r="N39" s="24">
        <f>L39+M39</f>
        <v>41471.5527</v>
      </c>
      <c r="P39" s="24">
        <f>338.93/57.22</f>
        <v>5.9232785739252014</v>
      </c>
      <c r="Q39" s="24">
        <f>TRUNC(P39*E39,2)</f>
        <v>1455.17</v>
      </c>
      <c r="R39" s="24">
        <f>TRUNC((Q39*I39+Q39),2)</f>
        <v>1814.11</v>
      </c>
      <c r="S39" s="24">
        <f>N39-R39</f>
        <v>39657.4427</v>
      </c>
    </row>
    <row r="40" spans="1:19" ht="31.5">
      <c r="A40" s="28" t="s">
        <v>22928</v>
      </c>
      <c r="B40" s="48"/>
      <c r="C40" s="32"/>
      <c r="D40" s="301" t="s">
        <v>22911</v>
      </c>
      <c r="E40" s="33"/>
      <c r="F40" s="32" t="s">
        <v>195</v>
      </c>
      <c r="G40" s="33"/>
      <c r="H40" s="33"/>
      <c r="I40" s="34"/>
      <c r="J40" s="33"/>
      <c r="K40" s="33"/>
      <c r="L40" s="33">
        <f t="shared" ref="L40:M40" si="69">L41</f>
        <v>120408.2136</v>
      </c>
      <c r="M40" s="33">
        <f t="shared" si="69"/>
        <v>0</v>
      </c>
      <c r="N40" s="33">
        <f>N41</f>
        <v>120408.2136</v>
      </c>
      <c r="P40" s="33">
        <f t="shared" ref="P40:S40" si="70">P41</f>
        <v>244.74</v>
      </c>
      <c r="Q40" s="33">
        <f t="shared" si="70"/>
        <v>18507.23</v>
      </c>
      <c r="R40" s="33">
        <f t="shared" si="70"/>
        <v>23072.35</v>
      </c>
      <c r="S40" s="33">
        <f t="shared" si="70"/>
        <v>97335.863600000012</v>
      </c>
    </row>
    <row r="41" spans="1:19" ht="47.25">
      <c r="A41" s="9" t="s">
        <v>22944</v>
      </c>
      <c r="B41" s="10" t="s">
        <v>9008</v>
      </c>
      <c r="C41" s="12">
        <v>93207</v>
      </c>
      <c r="D41" s="445" t="str">
        <f>VLOOKUP(C41,'21. CUSTOS SINAPI - SERVIÇOS'!A:B,2,0)</f>
        <v>EXECUÇÃO DE ESCRITÓRIO EM CANTEIRO DE OBRA EM CHAPA DE MADEIRA COMPENSADA, NÃO INCLUSO MOBILIÁRIO E EQUIPAMENTOS. AF_02/2016</v>
      </c>
      <c r="E41" s="11">
        <v>75.62</v>
      </c>
      <c r="F41" s="26" t="str">
        <f>VLOOKUP(C41,'21. CUSTOS SINAPI - SERVIÇOS'!A:C,3,0)</f>
        <v>M2</v>
      </c>
      <c r="G41" s="24">
        <f>VLOOKUP(C41,'21. CUSTOS SINAPI - SERVIÇOS'!A:D,4,0)</f>
        <v>1277.23</v>
      </c>
      <c r="H41" s="24"/>
      <c r="I41" s="25">
        <f>'3. BDI'!$C$19</f>
        <v>0.24666704095238123</v>
      </c>
      <c r="J41" s="24">
        <f t="shared" ref="J41:J47" si="71">TRUNC(G41+(G41*I41),2)</f>
        <v>1592.28</v>
      </c>
      <c r="K41" s="24">
        <f t="shared" ref="K41:K47" si="72">TRUNC(H41+(H41*I41),2)</f>
        <v>0</v>
      </c>
      <c r="L41" s="24">
        <f t="shared" ref="L41:L47" si="73">J41*E41</f>
        <v>120408.2136</v>
      </c>
      <c r="M41" s="24">
        <f t="shared" ref="M41:M47" si="74">K41*E41</f>
        <v>0</v>
      </c>
      <c r="N41" s="24">
        <f t="shared" ref="N41:N47" si="75">L41+M41</f>
        <v>120408.2136</v>
      </c>
      <c r="P41" s="24">
        <v>244.74</v>
      </c>
      <c r="Q41" s="24">
        <f>TRUNC((P41*E41),2)</f>
        <v>18507.23</v>
      </c>
      <c r="R41" s="24">
        <f>TRUNC((Q41*I41+Q41),2)</f>
        <v>23072.35</v>
      </c>
      <c r="S41" s="24">
        <f>N41-R41</f>
        <v>97335.863600000012</v>
      </c>
    </row>
    <row r="42" spans="1:19">
      <c r="A42" s="28" t="s">
        <v>22930</v>
      </c>
      <c r="B42" s="48"/>
      <c r="C42" s="32"/>
      <c r="D42" s="301" t="s">
        <v>22912</v>
      </c>
      <c r="E42" s="33"/>
      <c r="F42" s="32" t="s">
        <v>195</v>
      </c>
      <c r="G42" s="33"/>
      <c r="H42" s="33"/>
      <c r="I42" s="34"/>
      <c r="J42" s="33"/>
      <c r="K42" s="33"/>
      <c r="L42" s="33">
        <f t="shared" ref="L42:M42" si="76">L43</f>
        <v>44806.7592</v>
      </c>
      <c r="M42" s="33">
        <f t="shared" si="76"/>
        <v>0</v>
      </c>
      <c r="N42" s="33">
        <f>N43</f>
        <v>44806.7592</v>
      </c>
      <c r="P42" s="33">
        <f t="shared" ref="P42:S42" si="77">P43</f>
        <v>244.74</v>
      </c>
      <c r="Q42" s="33">
        <f t="shared" si="77"/>
        <v>6886.98</v>
      </c>
      <c r="R42" s="33">
        <f t="shared" si="77"/>
        <v>8585.77</v>
      </c>
      <c r="S42" s="33">
        <f t="shared" si="77"/>
        <v>36220.989199999996</v>
      </c>
    </row>
    <row r="43" spans="1:19" ht="47.25">
      <c r="A43" s="9" t="s">
        <v>22945</v>
      </c>
      <c r="B43" s="10" t="s">
        <v>9008</v>
      </c>
      <c r="C43" s="23">
        <v>93207</v>
      </c>
      <c r="D43" s="445" t="str">
        <f>VLOOKUP(C43,'21. CUSTOS SINAPI - SERVIÇOS'!A:B,2,0)</f>
        <v>EXECUÇÃO DE ESCRITÓRIO EM CANTEIRO DE OBRA EM CHAPA DE MADEIRA COMPENSADA, NÃO INCLUSO MOBILIÁRIO E EQUIPAMENTOS. AF_02/2016</v>
      </c>
      <c r="E43" s="11">
        <v>28.14</v>
      </c>
      <c r="F43" s="26" t="str">
        <f>VLOOKUP(C43,'21. CUSTOS SINAPI - SERVIÇOS'!A:C,3,0)</f>
        <v>M2</v>
      </c>
      <c r="G43" s="24">
        <f>VLOOKUP(C43,'21. CUSTOS SINAPI - SERVIÇOS'!A:D,4,0)</f>
        <v>1277.23</v>
      </c>
      <c r="H43" s="24"/>
      <c r="I43" s="25">
        <f>'3. BDI'!$C$19</f>
        <v>0.24666704095238123</v>
      </c>
      <c r="J43" s="24">
        <f t="shared" si="71"/>
        <v>1592.28</v>
      </c>
      <c r="K43" s="24">
        <f t="shared" si="72"/>
        <v>0</v>
      </c>
      <c r="L43" s="24">
        <f t="shared" si="73"/>
        <v>44806.7592</v>
      </c>
      <c r="M43" s="24">
        <f t="shared" si="74"/>
        <v>0</v>
      </c>
      <c r="N43" s="24">
        <f t="shared" si="75"/>
        <v>44806.7592</v>
      </c>
      <c r="P43" s="24">
        <v>244.74</v>
      </c>
      <c r="Q43" s="24">
        <f>TRUNC((P43*E43),2)</f>
        <v>6886.98</v>
      </c>
      <c r="R43" s="24">
        <f>TRUNC((Q43*I43+Q43),2)</f>
        <v>8585.77</v>
      </c>
      <c r="S43" s="24">
        <f>N43-R43</f>
        <v>36220.989199999996</v>
      </c>
    </row>
    <row r="44" spans="1:19">
      <c r="A44" s="28" t="s">
        <v>22931</v>
      </c>
      <c r="B44" s="48"/>
      <c r="C44" s="32"/>
      <c r="D44" s="301" t="s">
        <v>22913</v>
      </c>
      <c r="E44" s="33"/>
      <c r="F44" s="32" t="s">
        <v>195</v>
      </c>
      <c r="G44" s="33"/>
      <c r="H44" s="33"/>
      <c r="I44" s="34"/>
      <c r="J44" s="33"/>
      <c r="K44" s="33"/>
      <c r="L44" s="33">
        <f t="shared" ref="L44:M44" si="78">L45</f>
        <v>80702.622000000003</v>
      </c>
      <c r="M44" s="33">
        <f t="shared" si="78"/>
        <v>0</v>
      </c>
      <c r="N44" s="33">
        <f>N45</f>
        <v>80702.622000000003</v>
      </c>
      <c r="P44" s="33">
        <f t="shared" ref="P44:S44" si="79">P45</f>
        <v>179.46</v>
      </c>
      <c r="Q44" s="33">
        <f t="shared" si="79"/>
        <v>10659.92</v>
      </c>
      <c r="R44" s="33">
        <f t="shared" si="79"/>
        <v>13289.37</v>
      </c>
      <c r="S44" s="33">
        <f t="shared" si="79"/>
        <v>67413.252000000008</v>
      </c>
    </row>
    <row r="45" spans="1:19" ht="31.5">
      <c r="A45" s="9" t="s">
        <v>22946</v>
      </c>
      <c r="B45" s="10" t="s">
        <v>9008</v>
      </c>
      <c r="C45" s="12">
        <v>93208</v>
      </c>
      <c r="D45" s="445" t="str">
        <f>VLOOKUP(C45,'21. CUSTOS SINAPI - SERVIÇOS'!A:B,2,0)</f>
        <v>EXECUÇÃO DE ALMOXARIFADO EM CANTEIRO DE OBRA EM CHAPA DE MADEIRA COMPENSADA, INCLUSO PRATELEIRAS. AF_02/2016</v>
      </c>
      <c r="E45" s="11">
        <v>59.4</v>
      </c>
      <c r="F45" s="26" t="str">
        <f>VLOOKUP(C45,'21. CUSTOS SINAPI - SERVIÇOS'!A:C,3,0)</f>
        <v>M2</v>
      </c>
      <c r="G45" s="24">
        <f>VLOOKUP(C45,'21. CUSTOS SINAPI - SERVIÇOS'!A:D,4,0)</f>
        <v>1089.81</v>
      </c>
      <c r="H45" s="24"/>
      <c r="I45" s="25">
        <f>'3. BDI'!$C$19</f>
        <v>0.24666704095238123</v>
      </c>
      <c r="J45" s="24">
        <f t="shared" si="71"/>
        <v>1358.63</v>
      </c>
      <c r="K45" s="24">
        <f t="shared" si="72"/>
        <v>0</v>
      </c>
      <c r="L45" s="24">
        <f t="shared" si="73"/>
        <v>80702.622000000003</v>
      </c>
      <c r="M45" s="24">
        <f t="shared" si="74"/>
        <v>0</v>
      </c>
      <c r="N45" s="24">
        <f t="shared" si="75"/>
        <v>80702.622000000003</v>
      </c>
      <c r="P45" s="24">
        <v>179.46</v>
      </c>
      <c r="Q45" s="24">
        <f>TRUNC((P45*E45),2)</f>
        <v>10659.92</v>
      </c>
      <c r="R45" s="24">
        <f>TRUNC((Q45*I45+Q45),2)</f>
        <v>13289.37</v>
      </c>
      <c r="S45" s="24">
        <f>N45-R45</f>
        <v>67413.252000000008</v>
      </c>
    </row>
    <row r="46" spans="1:19">
      <c r="A46" s="28" t="s">
        <v>22932</v>
      </c>
      <c r="B46" s="48"/>
      <c r="C46" s="32"/>
      <c r="D46" s="301" t="s">
        <v>22914</v>
      </c>
      <c r="E46" s="33"/>
      <c r="F46" s="32" t="s">
        <v>195</v>
      </c>
      <c r="G46" s="33"/>
      <c r="H46" s="33"/>
      <c r="I46" s="34"/>
      <c r="J46" s="33"/>
      <c r="K46" s="33"/>
      <c r="L46" s="33">
        <f t="shared" ref="L46:M46" si="80">L47</f>
        <v>41456.130799999999</v>
      </c>
      <c r="M46" s="33">
        <f t="shared" si="80"/>
        <v>0</v>
      </c>
      <c r="N46" s="33">
        <f>N47</f>
        <v>41456.130799999999</v>
      </c>
      <c r="P46" s="33">
        <f t="shared" ref="P46:S46" si="81">P47</f>
        <v>195.39</v>
      </c>
      <c r="Q46" s="33">
        <f t="shared" si="81"/>
        <v>5806.99</v>
      </c>
      <c r="R46" s="33">
        <f t="shared" si="81"/>
        <v>7239.38</v>
      </c>
      <c r="S46" s="33">
        <f t="shared" si="81"/>
        <v>34216.750800000002</v>
      </c>
    </row>
    <row r="47" spans="1:19" ht="31.5">
      <c r="A47" s="9" t="s">
        <v>22947</v>
      </c>
      <c r="B47" s="10" t="s">
        <v>9008</v>
      </c>
      <c r="C47" s="23">
        <v>93584</v>
      </c>
      <c r="D47" s="445" t="str">
        <f>VLOOKUP(C47,'21. CUSTOS SINAPI - SERVIÇOS'!A:B,2,0)</f>
        <v>EXECUÇÃO DE DEPÓSITO EM CANTEIRO DE OBRA EM CHAPA DE MADEIRA COMPENSADA, NÃO INCLUSO MOBILIÁRIO. AF_04/2016</v>
      </c>
      <c r="E47" s="11">
        <v>29.72</v>
      </c>
      <c r="F47" s="26" t="str">
        <f>VLOOKUP(C47,'21. CUSTOS SINAPI - SERVIÇOS'!A:C,3,0)</f>
        <v>M2</v>
      </c>
      <c r="G47" s="24">
        <f>VLOOKUP(C47,'21. CUSTOS SINAPI - SERVIÇOS'!A:D,4,0)</f>
        <v>1118.9000000000001</v>
      </c>
      <c r="H47" s="24"/>
      <c r="I47" s="25">
        <f>'3. BDI'!$C$19</f>
        <v>0.24666704095238123</v>
      </c>
      <c r="J47" s="24">
        <f t="shared" si="71"/>
        <v>1394.89</v>
      </c>
      <c r="K47" s="24">
        <f t="shared" si="72"/>
        <v>0</v>
      </c>
      <c r="L47" s="24">
        <f t="shared" si="73"/>
        <v>41456.130799999999</v>
      </c>
      <c r="M47" s="24">
        <f t="shared" si="74"/>
        <v>0</v>
      </c>
      <c r="N47" s="24">
        <f t="shared" si="75"/>
        <v>41456.130799999999</v>
      </c>
      <c r="P47" s="24">
        <v>195.39</v>
      </c>
      <c r="Q47" s="24">
        <f>TRUNC((P47*E47),2)</f>
        <v>5806.99</v>
      </c>
      <c r="R47" s="24">
        <f>TRUNC((Q47*I47+Q47),2)</f>
        <v>7239.38</v>
      </c>
      <c r="S47" s="24">
        <f>N47-R47</f>
        <v>34216.750800000002</v>
      </c>
    </row>
    <row r="48" spans="1:19">
      <c r="A48" s="28" t="s">
        <v>22933</v>
      </c>
      <c r="B48" s="48"/>
      <c r="C48" s="32"/>
      <c r="D48" s="301" t="s">
        <v>22915</v>
      </c>
      <c r="E48" s="33"/>
      <c r="F48" s="32" t="s">
        <v>195</v>
      </c>
      <c r="G48" s="33"/>
      <c r="H48" s="33"/>
      <c r="I48" s="34"/>
      <c r="J48" s="33"/>
      <c r="K48" s="33"/>
      <c r="L48" s="33">
        <f t="shared" ref="L48:M48" si="82">L49</f>
        <v>52929.212800000001</v>
      </c>
      <c r="M48" s="33">
        <f t="shared" si="82"/>
        <v>0</v>
      </c>
      <c r="N48" s="33">
        <f>N49</f>
        <v>52929.212800000001</v>
      </c>
      <c r="P48" s="33">
        <f t="shared" ref="P48:S48" si="83">P49</f>
        <v>151.76</v>
      </c>
      <c r="Q48" s="33">
        <f t="shared" si="83"/>
        <v>9554.7999999999993</v>
      </c>
      <c r="R48" s="33">
        <f t="shared" si="83"/>
        <v>11911.65</v>
      </c>
      <c r="S48" s="33">
        <f t="shared" si="83"/>
        <v>41017.5628</v>
      </c>
    </row>
    <row r="49" spans="1:19" ht="47.25">
      <c r="A49" s="9" t="s">
        <v>22948</v>
      </c>
      <c r="B49" s="10" t="s">
        <v>9008</v>
      </c>
      <c r="C49" s="12">
        <v>93210</v>
      </c>
      <c r="D49" s="445" t="str">
        <f>VLOOKUP(C49,'21. CUSTOS SINAPI - SERVIÇOS'!A:B,2,0)</f>
        <v>EXECUÇÃO DE REFEITÓRIO EM CANTEIRO DE OBRA EM CHAPA DE MADEIRA COMPENSADA, NÃO INCLUSO MOBILIÁRIO E EQUIPAMENTOS. AF_02/2016</v>
      </c>
      <c r="E49" s="11">
        <v>62.96</v>
      </c>
      <c r="F49" s="26" t="str">
        <f>VLOOKUP(C49,'21. CUSTOS SINAPI - SERVIÇOS'!A:C,3,0)</f>
        <v>M2</v>
      </c>
      <c r="G49" s="24">
        <f>VLOOKUP(C49,'21. CUSTOS SINAPI - SERVIÇOS'!A:D,4,0)</f>
        <v>674.35</v>
      </c>
      <c r="H49" s="24"/>
      <c r="I49" s="25">
        <f>'3. BDI'!$C$19</f>
        <v>0.24666704095238123</v>
      </c>
      <c r="J49" s="24">
        <f t="shared" ref="J49:J51" si="84">TRUNC(G49+(G49*I49),2)</f>
        <v>840.68</v>
      </c>
      <c r="K49" s="24">
        <f t="shared" ref="K49:K51" si="85">TRUNC(H49+(H49*I49),2)</f>
        <v>0</v>
      </c>
      <c r="L49" s="24">
        <f t="shared" ref="L49:L51" si="86">J49*E49</f>
        <v>52929.212800000001</v>
      </c>
      <c r="M49" s="24">
        <f t="shared" ref="M49:M51" si="87">K49*E49</f>
        <v>0</v>
      </c>
      <c r="N49" s="24">
        <f t="shared" ref="N49:N51" si="88">L49+M49</f>
        <v>52929.212800000001</v>
      </c>
      <c r="P49" s="24">
        <v>151.76</v>
      </c>
      <c r="Q49" s="24">
        <f>TRUNC((P49*E49),2)</f>
        <v>9554.7999999999993</v>
      </c>
      <c r="R49" s="24">
        <f>TRUNC((Q49*I49+Q49),2)</f>
        <v>11911.65</v>
      </c>
      <c r="S49" s="24">
        <f>N49-R49</f>
        <v>41017.5628</v>
      </c>
    </row>
    <row r="50" spans="1:19">
      <c r="A50" s="28" t="s">
        <v>22934</v>
      </c>
      <c r="B50" s="48"/>
      <c r="C50" s="32"/>
      <c r="D50" s="301" t="s">
        <v>22916</v>
      </c>
      <c r="E50" s="33"/>
      <c r="F50" s="32" t="s">
        <v>195</v>
      </c>
      <c r="G50" s="33"/>
      <c r="H50" s="33"/>
      <c r="I50" s="34"/>
      <c r="J50" s="33"/>
      <c r="K50" s="33"/>
      <c r="L50" s="33">
        <f t="shared" ref="L50:M50" si="89">L51</f>
        <v>93636.284</v>
      </c>
      <c r="M50" s="33">
        <f t="shared" si="89"/>
        <v>0</v>
      </c>
      <c r="N50" s="33">
        <f>N51</f>
        <v>93636.284</v>
      </c>
      <c r="P50" s="33">
        <f t="shared" ref="P50:S50" si="90">P51</f>
        <v>251.97</v>
      </c>
      <c r="Q50" s="33">
        <f t="shared" si="90"/>
        <v>16526.71</v>
      </c>
      <c r="R50" s="33">
        <f t="shared" si="90"/>
        <v>20603.3</v>
      </c>
      <c r="S50" s="33">
        <f t="shared" si="90"/>
        <v>73032.983999999997</v>
      </c>
    </row>
    <row r="51" spans="1:19" ht="47.25">
      <c r="A51" s="9" t="s">
        <v>22950</v>
      </c>
      <c r="B51" s="10" t="s">
        <v>9008</v>
      </c>
      <c r="C51" s="23">
        <v>93212</v>
      </c>
      <c r="D51" s="445" t="str">
        <f>VLOOKUP(C51,'21. CUSTOS SINAPI - SERVIÇOS'!A:B,2,0)</f>
        <v>EXECUÇÃO DE SANITÁRIO E VESTIÁRIO EM CANTEIRO DE OBRA EM CHAPA DE MADEIRA COMPENSADA, NÃO INCLUSO MOBILIÁRIO. AF_02/2016</v>
      </c>
      <c r="E51" s="11">
        <v>65.59</v>
      </c>
      <c r="F51" s="26" t="str">
        <f>VLOOKUP(C51,'21. CUSTOS SINAPI - SERVIÇOS'!A:C,3,0)</f>
        <v>M2</v>
      </c>
      <c r="G51" s="24">
        <f>VLOOKUP(C51,'21. CUSTOS SINAPI - SERVIÇOS'!A:D,4,0)</f>
        <v>1145.1400000000001</v>
      </c>
      <c r="H51" s="24"/>
      <c r="I51" s="25">
        <f>'3. BDI'!$C$19</f>
        <v>0.24666704095238123</v>
      </c>
      <c r="J51" s="24">
        <f t="shared" si="84"/>
        <v>1427.6</v>
      </c>
      <c r="K51" s="24">
        <f t="shared" si="85"/>
        <v>0</v>
      </c>
      <c r="L51" s="24">
        <f t="shared" si="86"/>
        <v>93636.284</v>
      </c>
      <c r="M51" s="24">
        <f t="shared" si="87"/>
        <v>0</v>
      </c>
      <c r="N51" s="24">
        <f t="shared" si="88"/>
        <v>93636.284</v>
      </c>
      <c r="P51" s="24">
        <v>251.97</v>
      </c>
      <c r="Q51" s="24">
        <f>TRUNC((P51*E51),2)</f>
        <v>16526.71</v>
      </c>
      <c r="R51" s="24">
        <f>TRUNC((Q51*I51+Q51),2)</f>
        <v>20603.3</v>
      </c>
      <c r="S51" s="24">
        <f>N51-R51</f>
        <v>73032.983999999997</v>
      </c>
    </row>
    <row r="52" spans="1:19">
      <c r="A52" s="28" t="s">
        <v>22935</v>
      </c>
      <c r="B52" s="48"/>
      <c r="C52" s="32"/>
      <c r="D52" s="301" t="s">
        <v>22917</v>
      </c>
      <c r="E52" s="33"/>
      <c r="F52" s="32" t="s">
        <v>195</v>
      </c>
      <c r="G52" s="33"/>
      <c r="H52" s="33"/>
      <c r="I52" s="34"/>
      <c r="J52" s="33"/>
      <c r="K52" s="33"/>
      <c r="L52" s="33">
        <f t="shared" ref="L52:M52" si="91">L53</f>
        <v>165099.18040000001</v>
      </c>
      <c r="M52" s="33">
        <f t="shared" si="91"/>
        <v>0</v>
      </c>
      <c r="N52" s="33">
        <f>N53</f>
        <v>165099.18040000001</v>
      </c>
      <c r="P52" s="33">
        <f t="shared" ref="P52:S52" si="92">P53</f>
        <v>195.39</v>
      </c>
      <c r="Q52" s="33">
        <f t="shared" si="92"/>
        <v>23126.36</v>
      </c>
      <c r="R52" s="33">
        <f t="shared" si="92"/>
        <v>28830.87</v>
      </c>
      <c r="S52" s="33">
        <f t="shared" si="92"/>
        <v>136268.31040000002</v>
      </c>
    </row>
    <row r="53" spans="1:19" ht="31.5">
      <c r="A53" s="9" t="s">
        <v>22951</v>
      </c>
      <c r="B53" s="10" t="s">
        <v>9008</v>
      </c>
      <c r="C53" s="12">
        <v>93584</v>
      </c>
      <c r="D53" s="445" t="s">
        <v>22918</v>
      </c>
      <c r="E53" s="11">
        <v>118.36</v>
      </c>
      <c r="F53" s="26" t="str">
        <f>VLOOKUP(C53,'21. CUSTOS SINAPI - SERVIÇOS'!A:C,3,0)</f>
        <v>M2</v>
      </c>
      <c r="G53" s="24">
        <f>VLOOKUP(C53,'21. CUSTOS SINAPI - SERVIÇOS'!A:D,4,0)</f>
        <v>1118.9000000000001</v>
      </c>
      <c r="H53" s="24"/>
      <c r="I53" s="25">
        <f>'3. BDI'!$C$19</f>
        <v>0.24666704095238123</v>
      </c>
      <c r="J53" s="24">
        <f t="shared" ref="J53" si="93">TRUNC(G53+(G53*I53),2)</f>
        <v>1394.89</v>
      </c>
      <c r="K53" s="24">
        <f t="shared" ref="K53" si="94">TRUNC(H53+(H53*I53),2)</f>
        <v>0</v>
      </c>
      <c r="L53" s="24">
        <f t="shared" ref="L53" si="95">J53*E53</f>
        <v>165099.18040000001</v>
      </c>
      <c r="M53" s="24">
        <f t="shared" ref="M53" si="96">K53*E53</f>
        <v>0</v>
      </c>
      <c r="N53" s="24">
        <f t="shared" ref="N53" si="97">L53+M53</f>
        <v>165099.18040000001</v>
      </c>
      <c r="P53" s="24">
        <v>195.39</v>
      </c>
      <c r="Q53" s="24">
        <f>TRUNC((P53*E53),2)</f>
        <v>23126.36</v>
      </c>
      <c r="R53" s="24">
        <f>TRUNC((Q53*I53+Q53),2)</f>
        <v>28830.87</v>
      </c>
      <c r="S53" s="24">
        <f>N53-R53</f>
        <v>136268.31040000002</v>
      </c>
    </row>
    <row r="54" spans="1:19">
      <c r="A54" s="28" t="s">
        <v>22936</v>
      </c>
      <c r="B54" s="48"/>
      <c r="C54" s="32"/>
      <c r="D54" s="301" t="s">
        <v>22919</v>
      </c>
      <c r="E54" s="33"/>
      <c r="F54" s="32" t="s">
        <v>195</v>
      </c>
      <c r="G54" s="33"/>
      <c r="H54" s="33"/>
      <c r="I54" s="34"/>
      <c r="J54" s="33"/>
      <c r="K54" s="33"/>
      <c r="L54" s="33">
        <f t="shared" ref="L54:M54" si="98">L55</f>
        <v>28661.040000000001</v>
      </c>
      <c r="M54" s="33">
        <f t="shared" si="98"/>
        <v>0</v>
      </c>
      <c r="N54" s="33">
        <f>N55</f>
        <v>28661.040000000001</v>
      </c>
      <c r="P54" s="33">
        <f t="shared" ref="P54:S54" si="99">P55</f>
        <v>244.74</v>
      </c>
      <c r="Q54" s="33">
        <f t="shared" si="99"/>
        <v>4405.32</v>
      </c>
      <c r="R54" s="33">
        <f t="shared" si="99"/>
        <v>5491.96</v>
      </c>
      <c r="S54" s="33">
        <f t="shared" si="99"/>
        <v>23169.08</v>
      </c>
    </row>
    <row r="55" spans="1:19" ht="47.25">
      <c r="A55" s="9" t="s">
        <v>22952</v>
      </c>
      <c r="B55" s="10" t="s">
        <v>9008</v>
      </c>
      <c r="C55" s="23">
        <v>93207</v>
      </c>
      <c r="D55" s="445" t="str">
        <f>VLOOKUP(C55,'21. CUSTOS SINAPI - SERVIÇOS'!A:B,2,0)</f>
        <v>EXECUÇÃO DE ESCRITÓRIO EM CANTEIRO DE OBRA EM CHAPA DE MADEIRA COMPENSADA, NÃO INCLUSO MOBILIÁRIO E EQUIPAMENTOS. AF_02/2016</v>
      </c>
      <c r="E55" s="11">
        <v>18</v>
      </c>
      <c r="F55" s="26" t="str">
        <f>VLOOKUP(C55,'21. CUSTOS SINAPI - SERVIÇOS'!A:C,3,0)</f>
        <v>M2</v>
      </c>
      <c r="G55" s="24">
        <f>VLOOKUP(C55,'21. CUSTOS SINAPI - SERVIÇOS'!A:D,4,0)</f>
        <v>1277.23</v>
      </c>
      <c r="H55" s="24"/>
      <c r="I55" s="25">
        <f>'3. BDI'!$C$19</f>
        <v>0.24666704095238123</v>
      </c>
      <c r="J55" s="24">
        <f t="shared" ref="J55" si="100">TRUNC(G55+(G55*I55),2)</f>
        <v>1592.28</v>
      </c>
      <c r="K55" s="24">
        <f t="shared" ref="K55" si="101">TRUNC(H55+(H55*I55),2)</f>
        <v>0</v>
      </c>
      <c r="L55" s="24">
        <f t="shared" ref="L55" si="102">J55*E55</f>
        <v>28661.040000000001</v>
      </c>
      <c r="M55" s="24">
        <f t="shared" ref="M55" si="103">K55*E55</f>
        <v>0</v>
      </c>
      <c r="N55" s="24">
        <f t="shared" ref="N55" si="104">L55+M55</f>
        <v>28661.040000000001</v>
      </c>
      <c r="P55" s="24">
        <v>244.74</v>
      </c>
      <c r="Q55" s="24">
        <f>TRUNC((P55*E55),2)</f>
        <v>4405.32</v>
      </c>
      <c r="R55" s="24">
        <f>TRUNC((Q55*I55+Q55),2)</f>
        <v>5491.96</v>
      </c>
      <c r="S55" s="24">
        <f>N55-R55</f>
        <v>23169.08</v>
      </c>
    </row>
    <row r="56" spans="1:19">
      <c r="A56" s="28" t="s">
        <v>22937</v>
      </c>
      <c r="B56" s="48"/>
      <c r="C56" s="32"/>
      <c r="D56" s="301" t="s">
        <v>22920</v>
      </c>
      <c r="E56" s="33"/>
      <c r="F56" s="32" t="s">
        <v>195</v>
      </c>
      <c r="G56" s="33"/>
      <c r="H56" s="33"/>
      <c r="I56" s="34"/>
      <c r="J56" s="33"/>
      <c r="K56" s="33"/>
      <c r="L56" s="33">
        <f t="shared" ref="L56:M56" si="105">L57</f>
        <v>153437.90000000002</v>
      </c>
      <c r="M56" s="33">
        <f t="shared" si="105"/>
        <v>0</v>
      </c>
      <c r="N56" s="33">
        <f>N57</f>
        <v>153437.90000000002</v>
      </c>
      <c r="P56" s="33">
        <f t="shared" ref="P56:S56" si="106">P57</f>
        <v>195.39</v>
      </c>
      <c r="Q56" s="33">
        <f t="shared" si="106"/>
        <v>21492.9</v>
      </c>
      <c r="R56" s="33">
        <f t="shared" si="106"/>
        <v>26794.49</v>
      </c>
      <c r="S56" s="33">
        <f t="shared" si="106"/>
        <v>126643.41000000002</v>
      </c>
    </row>
    <row r="57" spans="1:19" ht="31.5">
      <c r="A57" s="9" t="s">
        <v>22953</v>
      </c>
      <c r="B57" s="10" t="s">
        <v>9008</v>
      </c>
      <c r="C57" s="12">
        <v>93584</v>
      </c>
      <c r="D57" s="445" t="s">
        <v>22921</v>
      </c>
      <c r="E57" s="11">
        <v>110</v>
      </c>
      <c r="F57" s="26" t="str">
        <f>VLOOKUP(C57,'21. CUSTOS SINAPI - SERVIÇOS'!A:C,3,0)</f>
        <v>M2</v>
      </c>
      <c r="G57" s="24">
        <f>VLOOKUP(C57,'21. CUSTOS SINAPI - SERVIÇOS'!A:D,4,0)</f>
        <v>1118.9000000000001</v>
      </c>
      <c r="H57" s="24"/>
      <c r="I57" s="25">
        <f>'3. BDI'!$C$19</f>
        <v>0.24666704095238123</v>
      </c>
      <c r="J57" s="24">
        <f t="shared" ref="J57" si="107">TRUNC(G57+(G57*I57),2)</f>
        <v>1394.89</v>
      </c>
      <c r="K57" s="24">
        <f t="shared" ref="K57" si="108">TRUNC(H57+(H57*I57),2)</f>
        <v>0</v>
      </c>
      <c r="L57" s="24">
        <f t="shared" ref="L57" si="109">J57*E57</f>
        <v>153437.90000000002</v>
      </c>
      <c r="M57" s="24">
        <f t="shared" ref="M57" si="110">K57*E57</f>
        <v>0</v>
      </c>
      <c r="N57" s="24">
        <f t="shared" ref="N57" si="111">L57+M57</f>
        <v>153437.90000000002</v>
      </c>
      <c r="P57" s="24">
        <v>195.39</v>
      </c>
      <c r="Q57" s="24">
        <f>TRUNC((P57*E57),2)</f>
        <v>21492.9</v>
      </c>
      <c r="R57" s="24">
        <f>TRUNC((Q57*I57+Q57),2)</f>
        <v>26794.49</v>
      </c>
      <c r="S57" s="24">
        <f>N57-R57</f>
        <v>126643.41000000002</v>
      </c>
    </row>
    <row r="58" spans="1:19">
      <c r="A58" s="28" t="s">
        <v>22938</v>
      </c>
      <c r="B58" s="48"/>
      <c r="C58" s="32"/>
      <c r="D58" s="301" t="s">
        <v>22922</v>
      </c>
      <c r="E58" s="33"/>
      <c r="F58" s="32" t="s">
        <v>195</v>
      </c>
      <c r="G58" s="33"/>
      <c r="H58" s="33"/>
      <c r="I58" s="34"/>
      <c r="J58" s="33"/>
      <c r="K58" s="33"/>
      <c r="L58" s="33">
        <f t="shared" ref="L58:M58" si="112">L59</f>
        <v>76718.950000000012</v>
      </c>
      <c r="M58" s="33">
        <f t="shared" si="112"/>
        <v>0</v>
      </c>
      <c r="N58" s="33">
        <f>N59</f>
        <v>76718.950000000012</v>
      </c>
      <c r="P58" s="33">
        <f t="shared" ref="P58:S58" si="113">P59</f>
        <v>195.39</v>
      </c>
      <c r="Q58" s="33">
        <f t="shared" si="113"/>
        <v>10746.45</v>
      </c>
      <c r="R58" s="33">
        <f t="shared" si="113"/>
        <v>13397.24</v>
      </c>
      <c r="S58" s="33">
        <f t="shared" si="113"/>
        <v>63321.710000000014</v>
      </c>
    </row>
    <row r="59" spans="1:19" ht="31.5">
      <c r="A59" s="9" t="s">
        <v>22954</v>
      </c>
      <c r="B59" s="10" t="s">
        <v>9008</v>
      </c>
      <c r="C59" s="12">
        <v>93584</v>
      </c>
      <c r="D59" s="445" t="s">
        <v>22921</v>
      </c>
      <c r="E59" s="11">
        <v>55</v>
      </c>
      <c r="F59" s="26" t="str">
        <f>VLOOKUP(C59,'21. CUSTOS SINAPI - SERVIÇOS'!A:C,3,0)</f>
        <v>M2</v>
      </c>
      <c r="G59" s="24">
        <f>VLOOKUP(C59,'21. CUSTOS SINAPI - SERVIÇOS'!A:D,4,0)</f>
        <v>1118.9000000000001</v>
      </c>
      <c r="H59" s="24"/>
      <c r="I59" s="25">
        <f>'3. BDI'!$C$19</f>
        <v>0.24666704095238123</v>
      </c>
      <c r="J59" s="24">
        <f t="shared" ref="J59" si="114">TRUNC(G59+(G59*I59),2)</f>
        <v>1394.89</v>
      </c>
      <c r="K59" s="24">
        <f t="shared" ref="K59" si="115">TRUNC(H59+(H59*I59),2)</f>
        <v>0</v>
      </c>
      <c r="L59" s="24">
        <f t="shared" ref="L59" si="116">J59*E59</f>
        <v>76718.950000000012</v>
      </c>
      <c r="M59" s="24">
        <f t="shared" ref="M59" si="117">K59*E59</f>
        <v>0</v>
      </c>
      <c r="N59" s="24">
        <f t="shared" ref="N59" si="118">L59+M59</f>
        <v>76718.950000000012</v>
      </c>
      <c r="P59" s="24">
        <v>195.39</v>
      </c>
      <c r="Q59" s="24">
        <f>TRUNC((P59*E59),2)</f>
        <v>10746.45</v>
      </c>
      <c r="R59" s="24">
        <f>TRUNC((Q59*I59+Q59),2)</f>
        <v>13397.24</v>
      </c>
      <c r="S59" s="24">
        <f>N59-R59</f>
        <v>63321.710000000014</v>
      </c>
    </row>
    <row r="60" spans="1:19">
      <c r="A60" s="28" t="s">
        <v>22939</v>
      </c>
      <c r="B60" s="48"/>
      <c r="C60" s="32"/>
      <c r="D60" s="301" t="s">
        <v>22922</v>
      </c>
      <c r="E60" s="33"/>
      <c r="F60" s="32" t="s">
        <v>195</v>
      </c>
      <c r="G60" s="33"/>
      <c r="H60" s="33"/>
      <c r="I60" s="34"/>
      <c r="J60" s="33"/>
      <c r="K60" s="33"/>
      <c r="L60" s="33">
        <f t="shared" ref="L60:M60" si="119">L61</f>
        <v>10183.583999999999</v>
      </c>
      <c r="M60" s="33">
        <f t="shared" si="119"/>
        <v>0</v>
      </c>
      <c r="N60" s="33">
        <f>N61</f>
        <v>10183.583999999999</v>
      </c>
      <c r="P60" s="33">
        <f t="shared" ref="P60:S60" si="120">P61</f>
        <v>231.31</v>
      </c>
      <c r="Q60" s="33">
        <f t="shared" si="120"/>
        <v>1410.99</v>
      </c>
      <c r="R60" s="33">
        <f t="shared" si="120"/>
        <v>1759.03</v>
      </c>
      <c r="S60" s="33">
        <f t="shared" si="120"/>
        <v>8424.5539999999983</v>
      </c>
    </row>
    <row r="61" spans="1:19" ht="31.5">
      <c r="A61" s="9" t="s">
        <v>22955</v>
      </c>
      <c r="B61" s="10" t="s">
        <v>9008</v>
      </c>
      <c r="C61" s="23">
        <v>93585</v>
      </c>
      <c r="D61" s="445" t="str">
        <f>VLOOKUP(C61,'21. CUSTOS SINAPI - SERVIÇOS'!A:B,2,0)</f>
        <v>EXECUÇÃO DE GUARITA EM CANTEIRO DE OBRA EM CHAPA DE MADEIRA COMPENSADA, NÃO INCLUSO MOBILIÁRIO. AF_04/2016</v>
      </c>
      <c r="E61" s="11">
        <v>6.1</v>
      </c>
      <c r="F61" s="26" t="str">
        <f>VLOOKUP(C61,'21. CUSTOS SINAPI - SERVIÇOS'!A:C,3,0)</f>
        <v>M2</v>
      </c>
      <c r="G61" s="24">
        <f>VLOOKUP(C61,'21. CUSTOS SINAPI - SERVIÇOS'!A:D,4,0)</f>
        <v>1339.13</v>
      </c>
      <c r="H61" s="24"/>
      <c r="I61" s="25">
        <f>'3. BDI'!$C$19</f>
        <v>0.24666704095238123</v>
      </c>
      <c r="J61" s="24">
        <f t="shared" ref="J61" si="121">TRUNC(G61+(G61*I61),2)</f>
        <v>1669.44</v>
      </c>
      <c r="K61" s="24">
        <f t="shared" ref="K61" si="122">TRUNC(H61+(H61*I61),2)</f>
        <v>0</v>
      </c>
      <c r="L61" s="24">
        <f t="shared" ref="L61" si="123">J61*E61</f>
        <v>10183.583999999999</v>
      </c>
      <c r="M61" s="24">
        <f t="shared" ref="M61" si="124">K61*E61</f>
        <v>0</v>
      </c>
      <c r="N61" s="24">
        <f t="shared" ref="N61" si="125">L61+M61</f>
        <v>10183.583999999999</v>
      </c>
      <c r="P61" s="24">
        <v>231.31</v>
      </c>
      <c r="Q61" s="24">
        <f>TRUNC((P61*E61),2)</f>
        <v>1410.99</v>
      </c>
      <c r="R61" s="24">
        <f>TRUNC((Q61*I61+Q61),2)</f>
        <v>1759.03</v>
      </c>
      <c r="S61" s="24">
        <f>N61-R61</f>
        <v>8424.5539999999983</v>
      </c>
    </row>
    <row r="62" spans="1:19">
      <c r="A62" s="28" t="s">
        <v>23681</v>
      </c>
      <c r="B62" s="48"/>
      <c r="C62" s="32"/>
      <c r="D62" s="301" t="s">
        <v>23680</v>
      </c>
      <c r="E62" s="33"/>
      <c r="F62" s="32" t="s">
        <v>195</v>
      </c>
      <c r="G62" s="33"/>
      <c r="H62" s="33"/>
      <c r="I62" s="34"/>
      <c r="J62" s="33"/>
      <c r="K62" s="33"/>
      <c r="L62" s="33">
        <f t="shared" ref="L62:M62" si="126">L63</f>
        <v>126771.8</v>
      </c>
      <c r="M62" s="33">
        <f t="shared" si="126"/>
        <v>0</v>
      </c>
      <c r="N62" s="33">
        <f>N63</f>
        <v>126771.8</v>
      </c>
      <c r="P62" s="33">
        <f t="shared" ref="P62:S62" si="127">P63</f>
        <v>0</v>
      </c>
      <c r="Q62" s="33">
        <f t="shared" si="127"/>
        <v>0</v>
      </c>
      <c r="R62" s="33">
        <f t="shared" si="127"/>
        <v>0</v>
      </c>
      <c r="S62" s="33">
        <f t="shared" si="127"/>
        <v>126771.8</v>
      </c>
    </row>
    <row r="63" spans="1:19">
      <c r="A63" s="9" t="s">
        <v>23682</v>
      </c>
      <c r="B63" s="10" t="s">
        <v>75</v>
      </c>
      <c r="C63" s="23">
        <v>10389</v>
      </c>
      <c r="D63" s="43" t="s">
        <v>22777</v>
      </c>
      <c r="E63" s="11">
        <v>190</v>
      </c>
      <c r="F63" s="26" t="s">
        <v>22778</v>
      </c>
      <c r="G63" s="24">
        <v>535.21</v>
      </c>
      <c r="H63" s="24"/>
      <c r="I63" s="25">
        <f>'3. BDI'!$C$19</f>
        <v>0.24666704095238123</v>
      </c>
      <c r="J63" s="24">
        <f t="shared" ref="J63" si="128">TRUNC(G63+(G63*I63),2)</f>
        <v>667.22</v>
      </c>
      <c r="K63" s="24">
        <f t="shared" ref="K63" si="129">TRUNC(H63+(H63*I63),2)</f>
        <v>0</v>
      </c>
      <c r="L63" s="24">
        <f t="shared" ref="L63" si="130">J63*E63</f>
        <v>126771.8</v>
      </c>
      <c r="M63" s="24">
        <f t="shared" ref="M63" si="131">K63*E63</f>
        <v>0</v>
      </c>
      <c r="N63" s="24">
        <f t="shared" ref="N63" si="132">L63+M63</f>
        <v>126771.8</v>
      </c>
      <c r="P63" s="24">
        <v>0</v>
      </c>
      <c r="Q63" s="24"/>
      <c r="R63" s="24">
        <f>TRUNC((Q63*I63+Q63),2)</f>
        <v>0</v>
      </c>
      <c r="S63" s="24">
        <f>N63-R63</f>
        <v>126771.8</v>
      </c>
    </row>
    <row r="64" spans="1:19">
      <c r="A64" s="28" t="s">
        <v>23683</v>
      </c>
      <c r="B64" s="48"/>
      <c r="C64" s="32"/>
      <c r="D64" s="301" t="s">
        <v>23687</v>
      </c>
      <c r="E64" s="33"/>
      <c r="F64" s="32" t="s">
        <v>195</v>
      </c>
      <c r="G64" s="33"/>
      <c r="H64" s="33"/>
      <c r="I64" s="34"/>
      <c r="J64" s="33"/>
      <c r="K64" s="33"/>
      <c r="L64" s="33">
        <f t="shared" ref="L64:M64" si="133">SUM(L65:L68)</f>
        <v>63509.37</v>
      </c>
      <c r="M64" s="33">
        <f t="shared" si="133"/>
        <v>0</v>
      </c>
      <c r="N64" s="33">
        <f>SUM(N65:N68)</f>
        <v>63509.37</v>
      </c>
      <c r="P64" s="33">
        <f t="shared" ref="P64:S64" si="134">SUM(P65:P68)</f>
        <v>1170.1799999999998</v>
      </c>
      <c r="Q64" s="33">
        <f t="shared" si="134"/>
        <v>4689.6499999999996</v>
      </c>
      <c r="R64" s="33">
        <f t="shared" si="134"/>
        <v>5846.42</v>
      </c>
      <c r="S64" s="33">
        <f t="shared" si="134"/>
        <v>57662.95</v>
      </c>
    </row>
    <row r="65" spans="1:19" ht="47.25">
      <c r="A65" s="9" t="s">
        <v>23684</v>
      </c>
      <c r="B65" s="10" t="s">
        <v>9008</v>
      </c>
      <c r="C65" s="23">
        <v>98053</v>
      </c>
      <c r="D65" s="445" t="str">
        <f>VLOOKUP(C65,'21. CUSTOS SINAPI - SERVIÇOS'!A:B,2,0)</f>
        <v>TANQUE SÉPTICO CIRCULAR, EM CONCRETO PRÉ-MOLDADO, DIÂMETRO INTERNO = 1,40 M, ALTURA INTERNA = 2,50 M, VOLUME ÚTIL: 3463,6 L (PARA 13 CONTRIBUINTES). AF_12/2020_PA</v>
      </c>
      <c r="E65" s="11">
        <v>4</v>
      </c>
      <c r="F65" s="26" t="str">
        <f>VLOOKUP(C65,'21. CUSTOS SINAPI - SERVIÇOS'!A:C,3,0)</f>
        <v>UN</v>
      </c>
      <c r="G65" s="24">
        <f>VLOOKUP(C65,'21. CUSTOS SINAPI - SERVIÇOS'!A:D,4,0)</f>
        <v>2188.92</v>
      </c>
      <c r="H65" s="24"/>
      <c r="I65" s="25">
        <f>'3. BDI'!$C$19</f>
        <v>0.24666704095238123</v>
      </c>
      <c r="J65" s="24">
        <f t="shared" ref="J65" si="135">TRUNC(G65+(G65*I65),2)</f>
        <v>2728.85</v>
      </c>
      <c r="K65" s="24">
        <f t="shared" ref="K65" si="136">TRUNC(H65+(H65*I65),2)</f>
        <v>0</v>
      </c>
      <c r="L65" s="24">
        <f t="shared" ref="L65" si="137">J65*E65</f>
        <v>10915.4</v>
      </c>
      <c r="M65" s="24">
        <f t="shared" ref="M65" si="138">K65*E65</f>
        <v>0</v>
      </c>
      <c r="N65" s="24">
        <f t="shared" ref="N65" si="139">L65+M65</f>
        <v>10915.4</v>
      </c>
      <c r="P65" s="24">
        <v>326.81</v>
      </c>
      <c r="Q65" s="24">
        <f t="shared" ref="Q65:Q67" si="140">TRUNC((P65*E65),2)</f>
        <v>1307.24</v>
      </c>
      <c r="R65" s="24">
        <f>TRUNC((Q65*I65+Q65),2)</f>
        <v>1629.69</v>
      </c>
      <c r="S65" s="24">
        <f>N65-R65</f>
        <v>9285.7099999999991</v>
      </c>
    </row>
    <row r="66" spans="1:19" ht="47.25">
      <c r="A66" s="9" t="s">
        <v>23685</v>
      </c>
      <c r="B66" s="10" t="s">
        <v>9008</v>
      </c>
      <c r="C66" s="23">
        <v>98059</v>
      </c>
      <c r="D66" s="445" t="str">
        <f>VLOOKUP(C66,'21. CUSTOS SINAPI - SERVIÇOS'!A:B,2,0)</f>
        <v>FILTRO ANAERÓBIO CIRCULAR, EM CONCRETO PRÉ-MOLDADO, DIÂMETRO INTERNO = 1,88 M, ALTURA INTERNA = 1,50 M, VOLUME ÚTIL: 3331,1 L (PARA 19 CONTRIBUINTES). AF_12/2020_PA</v>
      </c>
      <c r="E66" s="11">
        <v>3</v>
      </c>
      <c r="F66" s="26" t="str">
        <f>VLOOKUP(C66,'21. CUSTOS SINAPI - SERVIÇOS'!A:C,3,0)</f>
        <v>UN</v>
      </c>
      <c r="G66" s="24">
        <f>VLOOKUP(C66,'21. CUSTOS SINAPI - SERVIÇOS'!A:D,4,0)</f>
        <v>2975.84</v>
      </c>
      <c r="H66" s="24"/>
      <c r="I66" s="25">
        <f>'3. BDI'!$C$19</f>
        <v>0.24666704095238123</v>
      </c>
      <c r="J66" s="24">
        <f t="shared" ref="J66" si="141">TRUNC(G66+(G66*I66),2)</f>
        <v>3709.88</v>
      </c>
      <c r="K66" s="24">
        <f t="shared" ref="K66" si="142">TRUNC(H66+(H66*I66),2)</f>
        <v>0</v>
      </c>
      <c r="L66" s="24">
        <f t="shared" ref="L66" si="143">J66*E66</f>
        <v>11129.64</v>
      </c>
      <c r="M66" s="24">
        <f t="shared" ref="M66" si="144">K66*E66</f>
        <v>0</v>
      </c>
      <c r="N66" s="24">
        <f t="shared" ref="N66" si="145">L66+M66</f>
        <v>11129.64</v>
      </c>
      <c r="P66" s="24">
        <v>417.22</v>
      </c>
      <c r="Q66" s="24">
        <f t="shared" si="140"/>
        <v>1251.6600000000001</v>
      </c>
      <c r="R66" s="24">
        <f>TRUNC((Q66*I66+Q66),2)</f>
        <v>1560.4</v>
      </c>
      <c r="S66" s="24">
        <f>N66-R66</f>
        <v>9569.24</v>
      </c>
    </row>
    <row r="67" spans="1:19" ht="47.25">
      <c r="A67" s="9" t="s">
        <v>23686</v>
      </c>
      <c r="B67" s="10" t="s">
        <v>9008</v>
      </c>
      <c r="C67" s="23">
        <v>98064</v>
      </c>
      <c r="D67" s="445" t="str">
        <f>VLOOKUP(C67,'21. CUSTOS SINAPI - SERVIÇOS'!A:B,2,0)</f>
        <v>SUMIDOURO CIRCULAR, EM CONCRETO PRÉ-MOLDADO, DIÂMETRO INTERNO = 2,38 M, ALTURA INTERNA = 3,0 M, ÁREA DE INFILTRAÇÃO: 25 M² (PARA 10 CONTRIBUINTES). AF_12/2020_PA</v>
      </c>
      <c r="E67" s="11">
        <v>5</v>
      </c>
      <c r="F67" s="26" t="str">
        <f>VLOOKUP(C67,'21. CUSTOS SINAPI - SERVIÇOS'!A:C,3,0)</f>
        <v>UN</v>
      </c>
      <c r="G67" s="24">
        <f>VLOOKUP(C67,'21. CUSTOS SINAPI - SERVIÇOS'!A:D,4,0)</f>
        <v>4098.4399999999996</v>
      </c>
      <c r="H67" s="24"/>
      <c r="I67" s="25">
        <f>'3. BDI'!$C$19</f>
        <v>0.24666704095238123</v>
      </c>
      <c r="J67" s="24">
        <f t="shared" ref="J67:J68" si="146">TRUNC(G67+(G67*I67),2)</f>
        <v>5109.3900000000003</v>
      </c>
      <c r="K67" s="24">
        <f t="shared" ref="K67:K68" si="147">TRUNC(H67+(H67*I67),2)</f>
        <v>0</v>
      </c>
      <c r="L67" s="24">
        <f t="shared" ref="L67:L68" si="148">J67*E67</f>
        <v>25546.95</v>
      </c>
      <c r="M67" s="24">
        <f t="shared" ref="M67:M68" si="149">K67*E67</f>
        <v>0</v>
      </c>
      <c r="N67" s="24">
        <f t="shared" ref="N67:N68" si="150">L67+M67</f>
        <v>25546.95</v>
      </c>
      <c r="P67" s="24">
        <v>426.15</v>
      </c>
      <c r="Q67" s="24">
        <f t="shared" si="140"/>
        <v>2130.75</v>
      </c>
      <c r="R67" s="24">
        <f>TRUNC((Q67*I67+Q67),2)</f>
        <v>2656.33</v>
      </c>
      <c r="S67" s="24">
        <f>N67-R67</f>
        <v>22890.620000000003</v>
      </c>
    </row>
    <row r="68" spans="1:19" ht="31.5">
      <c r="A68" s="9" t="s">
        <v>23688</v>
      </c>
      <c r="B68" s="10" t="s">
        <v>358</v>
      </c>
      <c r="C68" s="23" t="s">
        <v>22715</v>
      </c>
      <c r="D68" s="43" t="str">
        <f>VLOOKUP(C68,'9. CCU''S GERAIS AMEP'!A:D,4,0)</f>
        <v>EXECUÇÃO DE RESERVATÓRIO ELEVADO DE ÁGUA DE 5.000 LITROS EM CANTEIRO DE OBRAS, APOIADO SOBRE ESTURUTRA DE MADEIRA</v>
      </c>
      <c r="E68" s="11">
        <v>1</v>
      </c>
      <c r="F68" s="13" t="str">
        <f>VLOOKUP(C68,'9. CCU''S GERAIS AMEP'!A:C,3,0)</f>
        <v>UN</v>
      </c>
      <c r="G68" s="24">
        <f>VLOOKUP(C68,'9. CCU''S GERAIS AMEP'!A:K,11,0)</f>
        <v>12767.949999999999</v>
      </c>
      <c r="H68" s="24">
        <v>0</v>
      </c>
      <c r="I68" s="25">
        <f>'3. BDI'!$C$19</f>
        <v>0.24666704095238123</v>
      </c>
      <c r="J68" s="24">
        <f t="shared" si="146"/>
        <v>15917.38</v>
      </c>
      <c r="K68" s="24">
        <f t="shared" si="147"/>
        <v>0</v>
      </c>
      <c r="L68" s="24">
        <f t="shared" si="148"/>
        <v>15917.38</v>
      </c>
      <c r="M68" s="24">
        <f t="shared" si="149"/>
        <v>0</v>
      </c>
      <c r="N68" s="24">
        <f t="shared" si="150"/>
        <v>15917.38</v>
      </c>
      <c r="P68" s="24">
        <v>0</v>
      </c>
      <c r="Q68" s="24">
        <f>P68*E68</f>
        <v>0</v>
      </c>
      <c r="R68" s="24">
        <f>TRUNC((Q68*I68+Q68),2)</f>
        <v>0</v>
      </c>
      <c r="S68" s="24">
        <f>N68-R68</f>
        <v>15917.38</v>
      </c>
    </row>
    <row r="69" spans="1:19">
      <c r="A69" s="310" t="s">
        <v>337</v>
      </c>
      <c r="B69" s="311"/>
      <c r="C69" s="312"/>
      <c r="D69" s="313" t="s">
        <v>9019</v>
      </c>
      <c r="E69" s="314"/>
      <c r="F69" s="315" t="s">
        <v>195</v>
      </c>
      <c r="G69" s="314"/>
      <c r="H69" s="314"/>
      <c r="I69" s="316"/>
      <c r="J69" s="314"/>
      <c r="K69" s="314"/>
      <c r="L69" s="314">
        <f t="shared" ref="L69:M69" si="151">SUM(L70:L72)</f>
        <v>28361.72</v>
      </c>
      <c r="M69" s="314">
        <f t="shared" si="151"/>
        <v>0</v>
      </c>
      <c r="N69" s="314">
        <f>SUM(N70:N72)</f>
        <v>28361.72</v>
      </c>
      <c r="P69" s="314">
        <f t="shared" ref="P69:S69" si="152">SUM(P70:P72)</f>
        <v>1978.83</v>
      </c>
      <c r="Q69" s="314">
        <f t="shared" si="152"/>
        <v>7915.32</v>
      </c>
      <c r="R69" s="314">
        <f t="shared" si="152"/>
        <v>9867.76</v>
      </c>
      <c r="S69" s="314">
        <f t="shared" si="152"/>
        <v>18493.96</v>
      </c>
    </row>
    <row r="70" spans="1:19" ht="12.75" customHeight="1">
      <c r="A70" s="9" t="s">
        <v>22890</v>
      </c>
      <c r="B70" s="10" t="s">
        <v>358</v>
      </c>
      <c r="C70" s="23" t="s">
        <v>17668</v>
      </c>
      <c r="D70" s="43" t="str">
        <f>VLOOKUP(C70,'7. CCU SINALIZAÇÃO DE OBRA'!A:D,4,0)</f>
        <v>SINALIZAÇÃO DE OBRA - TIPO 1</v>
      </c>
      <c r="E70" s="11">
        <v>4</v>
      </c>
      <c r="F70" s="13" t="str">
        <f>VLOOKUP(C70,'7. CCU SINALIZAÇÃO DE OBRA'!A:C,3,0)</f>
        <v>UN</v>
      </c>
      <c r="G70" s="24">
        <f>'7. CCU SINALIZAÇÃO DE OBRA'!K11</f>
        <v>526.58415317500317</v>
      </c>
      <c r="H70" s="24">
        <v>0</v>
      </c>
      <c r="I70" s="25">
        <f>'3. BDI'!$C$19</f>
        <v>0.24666704095238123</v>
      </c>
      <c r="J70" s="24">
        <f t="shared" ref="J70:J72" si="153">TRUNC(G70+(G70*I70),2)</f>
        <v>656.47</v>
      </c>
      <c r="K70" s="24">
        <f t="shared" ref="K70:K72" si="154">TRUNC(H70+(H70*I70),2)</f>
        <v>0</v>
      </c>
      <c r="L70" s="24">
        <f t="shared" ref="L70:L72" si="155">J70*E70</f>
        <v>2625.88</v>
      </c>
      <c r="M70" s="24">
        <f t="shared" ref="M70:M72" si="156">K70*E70</f>
        <v>0</v>
      </c>
      <c r="N70" s="24">
        <f t="shared" ref="N70:N72" si="157">L70+M70</f>
        <v>2625.88</v>
      </c>
      <c r="P70" s="24">
        <f>59.77</f>
        <v>59.77</v>
      </c>
      <c r="Q70" s="24">
        <f>P70*E70</f>
        <v>239.08</v>
      </c>
      <c r="R70" s="24">
        <f>TRUNC((Q70*I70+Q70),2)</f>
        <v>298.05</v>
      </c>
      <c r="S70" s="24">
        <f>N70-R70</f>
        <v>2327.83</v>
      </c>
    </row>
    <row r="71" spans="1:19">
      <c r="A71" s="9" t="s">
        <v>22891</v>
      </c>
      <c r="B71" s="10" t="s">
        <v>358</v>
      </c>
      <c r="C71" s="23" t="s">
        <v>17669</v>
      </c>
      <c r="D71" s="43" t="str">
        <f>VLOOKUP(C71,'7. CCU SINALIZAÇÃO DE OBRA'!A:D,4,0)</f>
        <v>SINALIZAÇÃO DE OBRA - TIPO 2</v>
      </c>
      <c r="E71" s="11">
        <v>4</v>
      </c>
      <c r="F71" s="13" t="str">
        <f>VLOOKUP(C71,'7. CCU SINALIZAÇÃO DE OBRA'!A:C,3,0)</f>
        <v>UN</v>
      </c>
      <c r="G71" s="24">
        <f>'7. CCU SINALIZAÇÃO DE OBRA'!K40</f>
        <v>1971.0249192133385</v>
      </c>
      <c r="H71" s="24"/>
      <c r="I71" s="25">
        <f>'3. BDI'!$C$19</f>
        <v>0.24666704095238123</v>
      </c>
      <c r="J71" s="24">
        <f t="shared" si="153"/>
        <v>2457.21</v>
      </c>
      <c r="K71" s="24">
        <f t="shared" si="154"/>
        <v>0</v>
      </c>
      <c r="L71" s="24">
        <f t="shared" si="155"/>
        <v>9828.84</v>
      </c>
      <c r="M71" s="24">
        <f t="shared" si="156"/>
        <v>0</v>
      </c>
      <c r="N71" s="24">
        <f t="shared" si="157"/>
        <v>9828.84</v>
      </c>
      <c r="P71" s="24">
        <f>336.62</f>
        <v>336.62</v>
      </c>
      <c r="Q71" s="24">
        <f t="shared" ref="Q71:Q72" si="158">P71*E71</f>
        <v>1346.48</v>
      </c>
      <c r="R71" s="24">
        <f>TRUNC((Q71*I71+Q71),2)</f>
        <v>1678.61</v>
      </c>
      <c r="S71" s="24">
        <f>N71-R71</f>
        <v>8150.2300000000005</v>
      </c>
    </row>
    <row r="72" spans="1:19">
      <c r="A72" s="9" t="s">
        <v>22892</v>
      </c>
      <c r="B72" s="10" t="s">
        <v>358</v>
      </c>
      <c r="C72" s="23" t="s">
        <v>17670</v>
      </c>
      <c r="D72" s="43" t="str">
        <f>VLOOKUP(C72,'7. CCU SINALIZAÇÃO DE OBRA'!A:D,4,0)</f>
        <v>SINALIZAÇÃO DE OBRA - TIPO 3</v>
      </c>
      <c r="E72" s="11">
        <v>4</v>
      </c>
      <c r="F72" s="13" t="str">
        <f>VLOOKUP(C72,'7. CCU SINALIZAÇÃO DE OBRA'!A:C,3,0)</f>
        <v>UN</v>
      </c>
      <c r="G72" s="24">
        <f>'7. CCU SINALIZAÇÃO DE OBRA'!K70</f>
        <v>3189.9082085466716</v>
      </c>
      <c r="H72" s="24"/>
      <c r="I72" s="25">
        <f>'3. BDI'!$C$19</f>
        <v>0.24666704095238123</v>
      </c>
      <c r="J72" s="24">
        <f t="shared" si="153"/>
        <v>3976.75</v>
      </c>
      <c r="K72" s="24">
        <f t="shared" si="154"/>
        <v>0</v>
      </c>
      <c r="L72" s="24">
        <f t="shared" si="155"/>
        <v>15907</v>
      </c>
      <c r="M72" s="24">
        <f t="shared" si="156"/>
        <v>0</v>
      </c>
      <c r="N72" s="24">
        <f t="shared" si="157"/>
        <v>15907</v>
      </c>
      <c r="P72" s="24">
        <f>1582.44</f>
        <v>1582.44</v>
      </c>
      <c r="Q72" s="24">
        <f t="shared" si="158"/>
        <v>6329.76</v>
      </c>
      <c r="R72" s="24">
        <f>TRUNC((Q72*I72+Q72),2)</f>
        <v>7891.1</v>
      </c>
      <c r="S72" s="24">
        <f>N72-R72</f>
        <v>8015.9</v>
      </c>
    </row>
    <row r="73" spans="1:19">
      <c r="A73" s="310" t="s">
        <v>338</v>
      </c>
      <c r="B73" s="311"/>
      <c r="C73" s="315"/>
      <c r="D73" s="317" t="s">
        <v>4</v>
      </c>
      <c r="E73" s="314"/>
      <c r="F73" s="315" t="s">
        <v>195</v>
      </c>
      <c r="G73" s="314"/>
      <c r="H73" s="314"/>
      <c r="I73" s="316"/>
      <c r="J73" s="314"/>
      <c r="K73" s="314"/>
      <c r="L73" s="314">
        <f t="shared" ref="L73:M73" si="159">L74+L90+L101+L119+L133</f>
        <v>13981140.513900001</v>
      </c>
      <c r="M73" s="314">
        <f t="shared" si="159"/>
        <v>8586993.4043000005</v>
      </c>
      <c r="N73" s="314">
        <f>N74+N90+N101+N119+N133</f>
        <v>22568133.918200001</v>
      </c>
      <c r="P73" s="314">
        <f t="shared" ref="P73:S73" si="160">P74+P90+P101+P119+P133</f>
        <v>98.31041855523253</v>
      </c>
      <c r="Q73" s="314">
        <f t="shared" si="160"/>
        <v>301794.08696892194</v>
      </c>
      <c r="R73" s="314">
        <f t="shared" si="160"/>
        <v>376236.51</v>
      </c>
      <c r="S73" s="314">
        <f t="shared" si="160"/>
        <v>22191897.408200003</v>
      </c>
    </row>
    <row r="74" spans="1:19">
      <c r="A74" s="28" t="s">
        <v>9104</v>
      </c>
      <c r="B74" s="48"/>
      <c r="C74" s="32"/>
      <c r="D74" s="301" t="s">
        <v>22779</v>
      </c>
      <c r="E74" s="33"/>
      <c r="F74" s="32" t="s">
        <v>195</v>
      </c>
      <c r="G74" s="33"/>
      <c r="H74" s="33"/>
      <c r="I74" s="34"/>
      <c r="J74" s="33"/>
      <c r="K74" s="33"/>
      <c r="L74" s="33">
        <f t="shared" ref="L74:M74" si="161">SUM(L75:L89)</f>
        <v>3190167.2742000003</v>
      </c>
      <c r="M74" s="33">
        <f t="shared" si="161"/>
        <v>1711933.3802</v>
      </c>
      <c r="N74" s="33">
        <f>SUM(N75:N89)</f>
        <v>4902100.6543999994</v>
      </c>
      <c r="P74" s="33">
        <f t="shared" ref="P74:S74" si="162">SUM(P75:P89)</f>
        <v>20.25095666353447</v>
      </c>
      <c r="Q74" s="33">
        <f t="shared" si="162"/>
        <v>64445.112014260252</v>
      </c>
      <c r="R74" s="33">
        <f t="shared" si="162"/>
        <v>80341.560000000012</v>
      </c>
      <c r="S74" s="33">
        <f t="shared" si="162"/>
        <v>4821759.0943999998</v>
      </c>
    </row>
    <row r="75" spans="1:19">
      <c r="A75" s="338"/>
      <c r="B75" s="44"/>
      <c r="C75" s="167"/>
      <c r="D75" s="341" t="s">
        <v>22786</v>
      </c>
      <c r="E75" s="339"/>
      <c r="F75" s="167"/>
      <c r="G75" s="339"/>
      <c r="H75" s="339"/>
      <c r="I75" s="340"/>
      <c r="J75" s="339"/>
      <c r="K75" s="339"/>
      <c r="L75" s="339"/>
      <c r="M75" s="339"/>
      <c r="N75" s="339"/>
      <c r="P75" s="339"/>
      <c r="Q75" s="339"/>
      <c r="R75" s="24">
        <f t="shared" ref="R75:R89" si="163">TRUNC((Q75*I75+Q75),2)</f>
        <v>0</v>
      </c>
      <c r="S75" s="24">
        <f t="shared" ref="S75:S89" si="164">N75-R75</f>
        <v>0</v>
      </c>
    </row>
    <row r="76" spans="1:19">
      <c r="A76" s="9" t="s">
        <v>22965</v>
      </c>
      <c r="B76" s="10" t="s">
        <v>9016</v>
      </c>
      <c r="C76" s="10">
        <v>401010</v>
      </c>
      <c r="D76" s="43" t="str">
        <f>VLOOKUP(C76,'13. CUSTOS DER - SERVIÇOS'!A:B,2,0)</f>
        <v>DESTOCAMENTO ÁRVORES DIAM. &gt; 30CM</v>
      </c>
      <c r="E76" s="11">
        <v>106</v>
      </c>
      <c r="F76" s="26" t="str">
        <f>VLOOKUP(C76,'13. CUSTOS DER - SERVIÇOS'!A:C,3,0)</f>
        <v>UD</v>
      </c>
      <c r="G76" s="24">
        <f>VLOOKUP(C76,'13. CUSTOS DER - SERVIÇOS'!A:G,7,0)</f>
        <v>49.34</v>
      </c>
      <c r="H76" s="24">
        <v>0</v>
      </c>
      <c r="I76" s="25">
        <f>'3. BDI'!$C$19</f>
        <v>0.24666704095238123</v>
      </c>
      <c r="J76" s="24">
        <f>TRUNC(G76+(G76*I76),2)</f>
        <v>61.51</v>
      </c>
      <c r="K76" s="24">
        <f>TRUNC(H76+(H76*I76),2)</f>
        <v>0</v>
      </c>
      <c r="L76" s="24">
        <f>J76*E76</f>
        <v>6520.0599999999995</v>
      </c>
      <c r="M76" s="24">
        <f>K76*E76</f>
        <v>0</v>
      </c>
      <c r="N76" s="24">
        <f t="shared" ref="N76" si="165">L76+M76</f>
        <v>6520.0599999999995</v>
      </c>
      <c r="P76" s="24">
        <f>165.88/12</f>
        <v>13.823333333333332</v>
      </c>
      <c r="Q76" s="24">
        <f t="shared" ref="Q76:Q77" si="166">TRUNC(P76*E76,2)</f>
        <v>1465.27</v>
      </c>
      <c r="R76" s="24">
        <f t="shared" si="163"/>
        <v>1826.7</v>
      </c>
      <c r="S76" s="24">
        <f t="shared" si="164"/>
        <v>4693.3599999999997</v>
      </c>
    </row>
    <row r="77" spans="1:19">
      <c r="A77" s="9" t="s">
        <v>22966</v>
      </c>
      <c r="B77" s="10" t="s">
        <v>9016</v>
      </c>
      <c r="C77" s="10">
        <v>400000</v>
      </c>
      <c r="D77" s="43" t="str">
        <f>VLOOKUP(C77,'13. CUSTOS DER - SERVIÇOS'!A:B,2,0)</f>
        <v>DESMATAMENTO E LIMPEZA DIAM. ATÉ 30CM</v>
      </c>
      <c r="E77" s="11">
        <v>26548.5</v>
      </c>
      <c r="F77" s="26" t="str">
        <f>VLOOKUP(C77,'13. CUSTOS DER - SERVIÇOS'!A:C,3,0)</f>
        <v>M2</v>
      </c>
      <c r="G77" s="24">
        <f>VLOOKUP(C77,'13. CUSTOS DER - SERVIÇOS'!A:G,7,0)</f>
        <v>1.1399999999999999</v>
      </c>
      <c r="H77" s="24">
        <v>0</v>
      </c>
      <c r="I77" s="25">
        <f>'3. BDI'!$C$19</f>
        <v>0.24666704095238123</v>
      </c>
      <c r="J77" s="24">
        <f t="shared" ref="J77" si="167">TRUNC(G77+(G77*I77),2)</f>
        <v>1.42</v>
      </c>
      <c r="K77" s="24">
        <f t="shared" ref="K77" si="168">TRUNC(H77+(H77*I77),2)</f>
        <v>0</v>
      </c>
      <c r="L77" s="24">
        <f t="shared" ref="L77" si="169">J77*E77</f>
        <v>37698.869999999995</v>
      </c>
      <c r="M77" s="24">
        <f t="shared" ref="M77" si="170">K77*E77</f>
        <v>0</v>
      </c>
      <c r="N77" s="24">
        <f t="shared" ref="N77" si="171">L77+M77</f>
        <v>37698.869999999995</v>
      </c>
      <c r="P77" s="24">
        <f>102.96/463.68</f>
        <v>0.22204968944099376</v>
      </c>
      <c r="Q77" s="24">
        <f t="shared" si="166"/>
        <v>5895.08</v>
      </c>
      <c r="R77" s="24">
        <f t="shared" si="163"/>
        <v>7349.2</v>
      </c>
      <c r="S77" s="24">
        <f t="shared" si="164"/>
        <v>30349.669999999995</v>
      </c>
    </row>
    <row r="78" spans="1:19">
      <c r="A78" s="338"/>
      <c r="B78" s="44"/>
      <c r="C78" s="167"/>
      <c r="D78" s="341" t="s">
        <v>22784</v>
      </c>
      <c r="E78" s="339"/>
      <c r="F78" s="167"/>
      <c r="G78" s="339"/>
      <c r="H78" s="339"/>
      <c r="I78" s="340"/>
      <c r="J78" s="339"/>
      <c r="K78" s="339"/>
      <c r="L78" s="339"/>
      <c r="M78" s="339"/>
      <c r="N78" s="339"/>
      <c r="P78" s="339"/>
      <c r="Q78" s="339"/>
      <c r="R78" s="24">
        <f t="shared" si="163"/>
        <v>0</v>
      </c>
      <c r="S78" s="24">
        <f t="shared" si="164"/>
        <v>0</v>
      </c>
    </row>
    <row r="79" spans="1:19">
      <c r="A79" s="9" t="s">
        <v>22967</v>
      </c>
      <c r="B79" s="10" t="s">
        <v>9016</v>
      </c>
      <c r="C79" s="10">
        <v>411200</v>
      </c>
      <c r="D79" s="43" t="str">
        <f>VLOOKUP(C79,'13. CUSTOS DER - SERVIÇOS'!A:B,2,0)</f>
        <v>ESC. CARGA E TRANSP. 1A. CAT.  1000-1200M</v>
      </c>
      <c r="E79" s="11">
        <v>2742.31</v>
      </c>
      <c r="F79" s="26" t="str">
        <f>VLOOKUP(C79,'13. CUSTOS DER - SERVIÇOS'!A:C,3,0)</f>
        <v>M3</v>
      </c>
      <c r="G79" s="24">
        <f>VLOOKUP(C79,'13. CUSTOS DER - SERVIÇOS'!A:G,7,0)</f>
        <v>9.82</v>
      </c>
      <c r="H79" s="24">
        <v>0</v>
      </c>
      <c r="I79" s="25">
        <f>'3. BDI'!$C$19</f>
        <v>0.24666704095238123</v>
      </c>
      <c r="J79" s="24">
        <f>TRUNC(G79+(G79*I79),2)</f>
        <v>12.24</v>
      </c>
      <c r="K79" s="24">
        <f>TRUNC(H79+(H79*I79),2)</f>
        <v>0</v>
      </c>
      <c r="L79" s="24">
        <f>J79*E79</f>
        <v>33565.874400000001</v>
      </c>
      <c r="M79" s="24">
        <f>K79*E79</f>
        <v>0</v>
      </c>
      <c r="N79" s="24">
        <f>L79+M79</f>
        <v>33565.874400000001</v>
      </c>
      <c r="P79" s="24">
        <f>180.91/129.03</f>
        <v>1.4020770363481361</v>
      </c>
      <c r="Q79" s="24">
        <f t="shared" ref="Q79:Q80" si="172">TRUNC(P79*E79,2)</f>
        <v>3844.92</v>
      </c>
      <c r="R79" s="24">
        <f t="shared" si="163"/>
        <v>4793.33</v>
      </c>
      <c r="S79" s="24">
        <f t="shared" si="164"/>
        <v>28772.544399999999</v>
      </c>
    </row>
    <row r="80" spans="1:19">
      <c r="A80" s="9" t="s">
        <v>22968</v>
      </c>
      <c r="B80" s="10" t="s">
        <v>9016</v>
      </c>
      <c r="C80" s="10">
        <v>421200</v>
      </c>
      <c r="D80" s="43" t="str">
        <f>VLOOKUP(C80,'13. CUSTOS DER - SERVIÇOS'!A:B,2,0)</f>
        <v>ESC. CARGA E TRANSP. 2A. CAT.  1000-1200M</v>
      </c>
      <c r="E80" s="11">
        <v>3302.2</v>
      </c>
      <c r="F80" s="26" t="str">
        <f>VLOOKUP(C80,'13. CUSTOS DER - SERVIÇOS'!A:C,3,0)</f>
        <v>M3</v>
      </c>
      <c r="G80" s="24">
        <f>VLOOKUP(C80,'13. CUSTOS DER - SERVIÇOS'!A:G,7,0)</f>
        <v>13.16</v>
      </c>
      <c r="H80" s="24">
        <v>0</v>
      </c>
      <c r="I80" s="25">
        <f>'3. BDI'!$C$19</f>
        <v>0.24666704095238123</v>
      </c>
      <c r="J80" s="24">
        <f>TRUNC(G80+(G80*I80),2)</f>
        <v>16.399999999999999</v>
      </c>
      <c r="K80" s="24">
        <f>TRUNC(H80+(H80*I80),2)</f>
        <v>0</v>
      </c>
      <c r="L80" s="24">
        <f>J80*E80</f>
        <v>54156.079999999994</v>
      </c>
      <c r="M80" s="24">
        <f>K80*E80</f>
        <v>0</v>
      </c>
      <c r="N80" s="24">
        <f>L80+M80</f>
        <v>54156.079999999994</v>
      </c>
      <c r="P80" s="24">
        <f>180.91/99.59</f>
        <v>1.8165478461692941</v>
      </c>
      <c r="Q80" s="24">
        <f t="shared" si="172"/>
        <v>5998.6</v>
      </c>
      <c r="R80" s="24">
        <f t="shared" si="163"/>
        <v>7478.25</v>
      </c>
      <c r="S80" s="24">
        <f t="shared" si="164"/>
        <v>46677.829999999994</v>
      </c>
    </row>
    <row r="81" spans="1:19">
      <c r="A81" s="338"/>
      <c r="B81" s="44"/>
      <c r="C81" s="167"/>
      <c r="D81" s="341" t="s">
        <v>22787</v>
      </c>
      <c r="E81" s="339"/>
      <c r="F81" s="167"/>
      <c r="G81" s="339"/>
      <c r="H81" s="339"/>
      <c r="I81" s="340"/>
      <c r="J81" s="339"/>
      <c r="K81" s="339"/>
      <c r="L81" s="339"/>
      <c r="M81" s="339"/>
      <c r="N81" s="339"/>
      <c r="P81" s="339"/>
      <c r="Q81" s="339"/>
      <c r="R81" s="24">
        <f t="shared" si="163"/>
        <v>0</v>
      </c>
      <c r="S81" s="24">
        <f t="shared" si="164"/>
        <v>0</v>
      </c>
    </row>
    <row r="82" spans="1:19" ht="31.5">
      <c r="A82" s="9" t="s">
        <v>22969</v>
      </c>
      <c r="B82" s="10" t="s">
        <v>358</v>
      </c>
      <c r="C82" s="10" t="s">
        <v>22641</v>
      </c>
      <c r="D82" s="43" t="s">
        <v>216</v>
      </c>
      <c r="E82" s="11">
        <v>45861.36</v>
      </c>
      <c r="F82" s="26" t="s">
        <v>326</v>
      </c>
      <c r="G82" s="24">
        <f>VLOOKUP(C82,'9. CCU''S GERAIS AMEP'!A:K,11,0)</f>
        <v>36.5913509493394</v>
      </c>
      <c r="H82" s="24">
        <f>VLOOKUP(C82,'10. CCU TRANSPORTE'!B:J,9,0)</f>
        <v>15.57</v>
      </c>
      <c r="I82" s="25">
        <f>'3. BDI'!$C$19</f>
        <v>0.24666704095238123</v>
      </c>
      <c r="J82" s="24">
        <f>TRUNC(G82+(G82*I82),2)</f>
        <v>45.61</v>
      </c>
      <c r="K82" s="24">
        <f>TRUNC(H82+(H82*I82),2)</f>
        <v>19.41</v>
      </c>
      <c r="L82" s="24">
        <f>J82*E82</f>
        <v>2091736.6296000001</v>
      </c>
      <c r="M82" s="24">
        <f>K82*E82</f>
        <v>890168.9976</v>
      </c>
      <c r="N82" s="24">
        <f>L82+M82</f>
        <v>2981905.6272</v>
      </c>
      <c r="P82" s="24">
        <v>0</v>
      </c>
      <c r="Q82" s="24">
        <f t="shared" ref="Q82" si="173">P82*E82</f>
        <v>0</v>
      </c>
      <c r="R82" s="24">
        <f t="shared" si="163"/>
        <v>0</v>
      </c>
      <c r="S82" s="24">
        <f t="shared" si="164"/>
        <v>2981905.6272</v>
      </c>
    </row>
    <row r="83" spans="1:19">
      <c r="A83" s="338"/>
      <c r="B83" s="44"/>
      <c r="C83" s="167"/>
      <c r="D83" s="341" t="s">
        <v>22785</v>
      </c>
      <c r="E83" s="339"/>
      <c r="F83" s="167"/>
      <c r="G83" s="339"/>
      <c r="H83" s="339"/>
      <c r="I83" s="340"/>
      <c r="J83" s="339"/>
      <c r="K83" s="339"/>
      <c r="L83" s="339"/>
      <c r="M83" s="339"/>
      <c r="N83" s="339"/>
      <c r="P83" s="339"/>
      <c r="Q83" s="339"/>
      <c r="R83" s="24">
        <f t="shared" si="163"/>
        <v>0</v>
      </c>
      <c r="S83" s="24">
        <f t="shared" si="164"/>
        <v>0</v>
      </c>
    </row>
    <row r="84" spans="1:19">
      <c r="A84" s="9" t="s">
        <v>22970</v>
      </c>
      <c r="B84" s="10" t="s">
        <v>9016</v>
      </c>
      <c r="C84" s="10">
        <v>401100</v>
      </c>
      <c r="D84" s="43" t="str">
        <f>VLOOKUP(C84,'13. CUSTOS DER - SERVIÇOS'!A:B,2,0)</f>
        <v>COMPACTAÇÃO DE ATERROS 100% PN (B)</v>
      </c>
      <c r="E84" s="11">
        <v>33503.980000000003</v>
      </c>
      <c r="F84" s="26" t="str">
        <f>VLOOKUP(C84,'13. CUSTOS DER - SERVIÇOS'!A:C,3,0)</f>
        <v>M3</v>
      </c>
      <c r="G84" s="24">
        <f>VLOOKUP(C84,'13. CUSTOS DER - SERVIÇOS'!A:G,7,0)</f>
        <v>6.66</v>
      </c>
      <c r="H84" s="24">
        <v>0</v>
      </c>
      <c r="I84" s="25">
        <f>'3. BDI'!$C$19</f>
        <v>0.24666704095238123</v>
      </c>
      <c r="J84" s="24">
        <f>TRUNC(G84+(G84*I84),2)</f>
        <v>8.3000000000000007</v>
      </c>
      <c r="K84" s="24">
        <f>TRUNC(H84+(H84*I84),2)</f>
        <v>0</v>
      </c>
      <c r="L84" s="24">
        <f>J84*E84</f>
        <v>278083.03400000004</v>
      </c>
      <c r="M84" s="24">
        <f>K84*E84</f>
        <v>0</v>
      </c>
      <c r="N84" s="24">
        <f>L84+M84</f>
        <v>278083.03400000004</v>
      </c>
      <c r="P84" s="24">
        <f>71.5/136.18</f>
        <v>0.52504038772213246</v>
      </c>
      <c r="Q84" s="24">
        <f t="shared" ref="Q84:Q86" si="174">TRUNC(P84*E84,2)</f>
        <v>17590.939999999999</v>
      </c>
      <c r="R84" s="24">
        <f t="shared" si="163"/>
        <v>21930.04</v>
      </c>
      <c r="S84" s="24">
        <f t="shared" si="164"/>
        <v>256152.99400000004</v>
      </c>
    </row>
    <row r="85" spans="1:19">
      <c r="A85" s="9" t="s">
        <v>22971</v>
      </c>
      <c r="B85" s="10" t="s">
        <v>9016</v>
      </c>
      <c r="C85" s="10">
        <v>401950</v>
      </c>
      <c r="D85" s="43" t="str">
        <f>VLOOKUP(C85,'13. CUSTOS DER - SERVIÇOS'!A:B,2,0)</f>
        <v>COMPACTAÇÃO DE ATERROS  95% PN (B)</v>
      </c>
      <c r="E85" s="11">
        <v>4443.18</v>
      </c>
      <c r="F85" s="26" t="str">
        <f>VLOOKUP(C85,'13. CUSTOS DER - SERVIÇOS'!A:C,3,0)</f>
        <v>M3</v>
      </c>
      <c r="G85" s="24">
        <f>VLOOKUP(C85,'13. CUSTOS DER - SERVIÇOS'!A:G,7,0)</f>
        <v>5.54</v>
      </c>
      <c r="H85" s="24">
        <v>0</v>
      </c>
      <c r="I85" s="25">
        <f>'3. BDI'!$C$19</f>
        <v>0.24666704095238123</v>
      </c>
      <c r="J85" s="24">
        <f>TRUNC(G85+(G85*I85),2)</f>
        <v>6.9</v>
      </c>
      <c r="K85" s="24">
        <f>TRUNC(H85+(H85*I85),2)</f>
        <v>0</v>
      </c>
      <c r="L85" s="24">
        <f>J85*E85</f>
        <v>30657.942000000003</v>
      </c>
      <c r="M85" s="24">
        <f>K85*E85</f>
        <v>0</v>
      </c>
      <c r="N85" s="24">
        <f>L85+M85</f>
        <v>30657.942000000003</v>
      </c>
      <c r="P85" s="24">
        <f>71.5/170.23</f>
        <v>0.42001997297773602</v>
      </c>
      <c r="Q85" s="24">
        <f t="shared" si="174"/>
        <v>1866.22</v>
      </c>
      <c r="R85" s="24">
        <f t="shared" si="163"/>
        <v>2326.5500000000002</v>
      </c>
      <c r="S85" s="24">
        <f t="shared" si="164"/>
        <v>28331.392000000003</v>
      </c>
    </row>
    <row r="86" spans="1:19">
      <c r="A86" s="9" t="s">
        <v>22972</v>
      </c>
      <c r="B86" s="10" t="s">
        <v>9016</v>
      </c>
      <c r="C86" s="10">
        <v>402000</v>
      </c>
      <c r="D86" s="43" t="str">
        <f>VLOOKUP(C86,'13. CUSTOS DER - SERVIÇOS'!A:B,2,0)</f>
        <v>COMPACTAÇÃO DE ATERROS EM 2A. CAT.</v>
      </c>
      <c r="E86" s="11">
        <v>2751.83</v>
      </c>
      <c r="F86" s="26" t="str">
        <f>VLOOKUP(C86,'13. CUSTOS DER - SERVIÇOS'!A:C,3,0)</f>
        <v>M3</v>
      </c>
      <c r="G86" s="24">
        <f>VLOOKUP(C86,'13. CUSTOS DER - SERVIÇOS'!A:G,7,0)</f>
        <v>7.29</v>
      </c>
      <c r="H86" s="24">
        <v>0</v>
      </c>
      <c r="I86" s="25">
        <f>'3. BDI'!$C$19</f>
        <v>0.24666704095238123</v>
      </c>
      <c r="J86" s="24">
        <f>TRUNC(G86+(G86*I86),2)</f>
        <v>9.08</v>
      </c>
      <c r="K86" s="24">
        <f>TRUNC(H86+(H86*I86),2)</f>
        <v>0</v>
      </c>
      <c r="L86" s="24">
        <f>J86*E86</f>
        <v>24986.616399999999</v>
      </c>
      <c r="M86" s="24">
        <f>K86*E86</f>
        <v>0</v>
      </c>
      <c r="N86" s="24">
        <f>L86+M86</f>
        <v>24986.616399999999</v>
      </c>
      <c r="P86" s="24">
        <f>71.5/122.22</f>
        <v>0.58501063655702834</v>
      </c>
      <c r="Q86" s="24">
        <f t="shared" si="174"/>
        <v>1609.84</v>
      </c>
      <c r="R86" s="24">
        <f t="shared" si="163"/>
        <v>2006.93</v>
      </c>
      <c r="S86" s="24">
        <f t="shared" si="164"/>
        <v>22979.686399999999</v>
      </c>
    </row>
    <row r="87" spans="1:19" ht="15" customHeight="1">
      <c r="A87" s="338"/>
      <c r="B87" s="44"/>
      <c r="C87" s="167"/>
      <c r="D87" s="341" t="s">
        <v>9055</v>
      </c>
      <c r="E87" s="339"/>
      <c r="F87" s="167"/>
      <c r="G87" s="339"/>
      <c r="H87" s="339"/>
      <c r="I87" s="340"/>
      <c r="J87" s="339"/>
      <c r="K87" s="339"/>
      <c r="L87" s="339"/>
      <c r="M87" s="339"/>
      <c r="N87" s="339"/>
      <c r="P87" s="339"/>
      <c r="Q87" s="339"/>
      <c r="R87" s="24">
        <f t="shared" si="163"/>
        <v>0</v>
      </c>
      <c r="S87" s="24">
        <f t="shared" si="164"/>
        <v>0</v>
      </c>
    </row>
    <row r="88" spans="1:19">
      <c r="A88" s="9" t="s">
        <v>22973</v>
      </c>
      <c r="B88" s="10" t="s">
        <v>358</v>
      </c>
      <c r="C88" s="10" t="s">
        <v>22636</v>
      </c>
      <c r="D88" s="43" t="s">
        <v>211</v>
      </c>
      <c r="E88" s="11">
        <v>17965.990000000002</v>
      </c>
      <c r="F88" s="26" t="s">
        <v>326</v>
      </c>
      <c r="G88" s="24">
        <f>VLOOKUP(C88,'9. CCU''S GERAIS AMEP'!A:K,11,0)</f>
        <v>27.468131442300237</v>
      </c>
      <c r="H88" s="24">
        <f>VLOOKUP(C88,'10. CCU TRANSPORTE'!B:J,9,0)</f>
        <v>36.69</v>
      </c>
      <c r="I88" s="25">
        <f>'3. BDI'!$C$19</f>
        <v>0.24666704095238123</v>
      </c>
      <c r="J88" s="24">
        <f>TRUNC(G88+(G88*I88),2)</f>
        <v>34.24</v>
      </c>
      <c r="K88" s="24">
        <f>TRUNC(H88+(H88*I88),2)</f>
        <v>45.74</v>
      </c>
      <c r="L88" s="24">
        <f>J88*E88</f>
        <v>615155.49760000012</v>
      </c>
      <c r="M88" s="24">
        <f>K88*E88</f>
        <v>821764.38260000013</v>
      </c>
      <c r="N88" s="24">
        <f>L88+M88</f>
        <v>1436919.8802000002</v>
      </c>
      <c r="P88" s="24">
        <f>180.91/129.03</f>
        <v>1.4020770363481361</v>
      </c>
      <c r="Q88" s="24">
        <f t="shared" ref="Q88" si="175">P88*E88</f>
        <v>25189.702014260252</v>
      </c>
      <c r="R88" s="24">
        <f t="shared" si="163"/>
        <v>31403.17</v>
      </c>
      <c r="S88" s="24">
        <f t="shared" si="164"/>
        <v>1405516.7102000003</v>
      </c>
    </row>
    <row r="89" spans="1:19">
      <c r="A89" s="9" t="s">
        <v>22974</v>
      </c>
      <c r="B89" s="10" t="s">
        <v>9016</v>
      </c>
      <c r="C89" s="10">
        <v>404300</v>
      </c>
      <c r="D89" s="43" t="str">
        <f>VLOOKUP(C89,'13. CUSTOS DER - SERVIÇOS'!A:B,2,0)</f>
        <v>ESPALHAMENTO E CONFORMAÇÃO DE BOTA-FORA</v>
      </c>
      <c r="E89" s="11">
        <v>17965.990000000002</v>
      </c>
      <c r="F89" s="26" t="str">
        <f>VLOOKUP(C89,'13. CUSTOS DER - SERVIÇOS'!A:C,3,0)</f>
        <v>M3</v>
      </c>
      <c r="G89" s="24">
        <f>VLOOKUP(C89,'13. CUSTOS DER - SERVIÇOS'!A:G,7,0)</f>
        <v>0.79</v>
      </c>
      <c r="H89" s="24">
        <v>0</v>
      </c>
      <c r="I89" s="25">
        <f>'3. BDI'!$C$19</f>
        <v>0.24666704095238123</v>
      </c>
      <c r="J89" s="24">
        <f t="shared" ref="J89" si="176">TRUNC(G89+(G89*I89),2)</f>
        <v>0.98</v>
      </c>
      <c r="K89" s="24">
        <f t="shared" ref="K89" si="177">TRUNC(H89+(H89*I89),2)</f>
        <v>0</v>
      </c>
      <c r="L89" s="24">
        <f t="shared" ref="L89" si="178">J89*E89</f>
        <v>17606.6702</v>
      </c>
      <c r="M89" s="24">
        <f t="shared" ref="M89" si="179">K89*E89</f>
        <v>0</v>
      </c>
      <c r="N89" s="24">
        <f t="shared" ref="N89" si="180">L89+M89</f>
        <v>17606.6702</v>
      </c>
      <c r="P89" s="24">
        <f>31.46/574.08</f>
        <v>5.480072463768116E-2</v>
      </c>
      <c r="Q89" s="24">
        <f>TRUNC(P89*E89,2)</f>
        <v>984.54</v>
      </c>
      <c r="R89" s="24">
        <f t="shared" si="163"/>
        <v>1227.3900000000001</v>
      </c>
      <c r="S89" s="24">
        <f t="shared" si="164"/>
        <v>16379.280200000001</v>
      </c>
    </row>
    <row r="90" spans="1:19">
      <c r="A90" s="28" t="s">
        <v>9105</v>
      </c>
      <c r="B90" s="48"/>
      <c r="C90" s="32"/>
      <c r="D90" s="301" t="s">
        <v>22780</v>
      </c>
      <c r="E90" s="33"/>
      <c r="F90" s="32" t="s">
        <v>195</v>
      </c>
      <c r="G90" s="33"/>
      <c r="H90" s="33"/>
      <c r="I90" s="34"/>
      <c r="J90" s="33"/>
      <c r="K90" s="33"/>
      <c r="L90" s="33">
        <f t="shared" ref="L90:M90" si="181">SUM(L91:L100)</f>
        <v>104373.60510000002</v>
      </c>
      <c r="M90" s="33">
        <f t="shared" si="181"/>
        <v>125283.23220000001</v>
      </c>
      <c r="N90" s="33">
        <f>SUM(N91:N100)</f>
        <v>229656.83730000001</v>
      </c>
      <c r="P90" s="33">
        <f t="shared" ref="P90:S90" si="182">SUM(P91:P100)</f>
        <v>17.42937820783041</v>
      </c>
      <c r="Q90" s="33">
        <f t="shared" si="182"/>
        <v>5238.1510648686362</v>
      </c>
      <c r="R90" s="33">
        <f t="shared" si="182"/>
        <v>6530.19</v>
      </c>
      <c r="S90" s="33">
        <f t="shared" si="182"/>
        <v>223126.64730000004</v>
      </c>
    </row>
    <row r="91" spans="1:19">
      <c r="A91" s="338"/>
      <c r="B91" s="44"/>
      <c r="C91" s="167"/>
      <c r="D91" s="341" t="s">
        <v>22786</v>
      </c>
      <c r="E91" s="339"/>
      <c r="F91" s="167"/>
      <c r="G91" s="339"/>
      <c r="H91" s="339"/>
      <c r="I91" s="340"/>
      <c r="J91" s="339"/>
      <c r="K91" s="339"/>
      <c r="L91" s="339"/>
      <c r="M91" s="339"/>
      <c r="N91" s="339"/>
      <c r="P91" s="339"/>
      <c r="Q91" s="339"/>
      <c r="R91" s="24">
        <f t="shared" ref="R91:R100" si="183">TRUNC((Q91*I91+Q91),2)</f>
        <v>0</v>
      </c>
      <c r="S91" s="24">
        <f t="shared" ref="S91:S100" si="184">N91-R91</f>
        <v>0</v>
      </c>
    </row>
    <row r="92" spans="1:19">
      <c r="A92" s="9" t="s">
        <v>22999</v>
      </c>
      <c r="B92" s="10" t="s">
        <v>9016</v>
      </c>
      <c r="C92" s="10">
        <v>401010</v>
      </c>
      <c r="D92" s="43" t="str">
        <f>VLOOKUP(C92,'13. CUSTOS DER - SERVIÇOS'!A:B,2,0)</f>
        <v>DESTOCAMENTO ÁRVORES DIAM. &gt; 30CM</v>
      </c>
      <c r="E92" s="11">
        <v>35</v>
      </c>
      <c r="F92" s="26" t="str">
        <f>VLOOKUP(C92,'13. CUSTOS DER - SERVIÇOS'!A:C,3,0)</f>
        <v>UD</v>
      </c>
      <c r="G92" s="24">
        <f>VLOOKUP(C92,'13. CUSTOS DER - SERVIÇOS'!A:G,7,0)</f>
        <v>49.34</v>
      </c>
      <c r="H92" s="24">
        <v>0</v>
      </c>
      <c r="I92" s="25">
        <f>'3. BDI'!$C$19</f>
        <v>0.24666704095238123</v>
      </c>
      <c r="J92" s="24">
        <f>TRUNC(G92+(G92*I92),2)</f>
        <v>61.51</v>
      </c>
      <c r="K92" s="24">
        <f>TRUNC(H92+(H92*I92),2)</f>
        <v>0</v>
      </c>
      <c r="L92" s="24">
        <f>J92*E92</f>
        <v>2152.85</v>
      </c>
      <c r="M92" s="24">
        <f>K92*E92</f>
        <v>0</v>
      </c>
      <c r="N92" s="24">
        <f t="shared" ref="N92:N93" si="185">L92+M92</f>
        <v>2152.85</v>
      </c>
      <c r="P92" s="24">
        <f>165.88/12</f>
        <v>13.823333333333332</v>
      </c>
      <c r="Q92" s="24">
        <f t="shared" ref="Q92:Q93" si="186">TRUNC(P92*E92,2)</f>
        <v>483.81</v>
      </c>
      <c r="R92" s="24">
        <f t="shared" si="183"/>
        <v>603.14</v>
      </c>
      <c r="S92" s="24">
        <f t="shared" si="184"/>
        <v>1549.71</v>
      </c>
    </row>
    <row r="93" spans="1:19">
      <c r="A93" s="9" t="s">
        <v>23000</v>
      </c>
      <c r="B93" s="10" t="s">
        <v>9016</v>
      </c>
      <c r="C93" s="10">
        <v>400000</v>
      </c>
      <c r="D93" s="43" t="str">
        <f>VLOOKUP(C93,'13. CUSTOS DER - SERVIÇOS'!A:B,2,0)</f>
        <v>DESMATAMENTO E LIMPEZA DIAM. ATÉ 30CM</v>
      </c>
      <c r="E93" s="11">
        <v>2321.8000000000002</v>
      </c>
      <c r="F93" s="26" t="str">
        <f>VLOOKUP(C93,'13. CUSTOS DER - SERVIÇOS'!A:C,3,0)</f>
        <v>M2</v>
      </c>
      <c r="G93" s="24">
        <f>VLOOKUP(C93,'13. CUSTOS DER - SERVIÇOS'!A:G,7,0)</f>
        <v>1.1399999999999999</v>
      </c>
      <c r="H93" s="24">
        <v>0</v>
      </c>
      <c r="I93" s="25">
        <f>'3. BDI'!$C$19</f>
        <v>0.24666704095238123</v>
      </c>
      <c r="J93" s="24">
        <f t="shared" ref="J93" si="187">TRUNC(G93+(G93*I93),2)</f>
        <v>1.42</v>
      </c>
      <c r="K93" s="24">
        <f t="shared" ref="K93" si="188">TRUNC(H93+(H93*I93),2)</f>
        <v>0</v>
      </c>
      <c r="L93" s="24">
        <f t="shared" ref="L93" si="189">J93*E93</f>
        <v>3296.9560000000001</v>
      </c>
      <c r="M93" s="24">
        <f t="shared" ref="M93" si="190">K93*E93</f>
        <v>0</v>
      </c>
      <c r="N93" s="24">
        <f t="shared" si="185"/>
        <v>3296.9560000000001</v>
      </c>
      <c r="P93" s="24">
        <f>102.96/463.68</f>
        <v>0.22204968944099376</v>
      </c>
      <c r="Q93" s="24">
        <f t="shared" si="186"/>
        <v>515.54999999999995</v>
      </c>
      <c r="R93" s="24">
        <f t="shared" si="183"/>
        <v>642.71</v>
      </c>
      <c r="S93" s="24">
        <f t="shared" si="184"/>
        <v>2654.2460000000001</v>
      </c>
    </row>
    <row r="94" spans="1:19">
      <c r="A94" s="338"/>
      <c r="B94" s="44"/>
      <c r="C94" s="167"/>
      <c r="D94" s="341" t="s">
        <v>22784</v>
      </c>
      <c r="E94" s="339"/>
      <c r="F94" s="167"/>
      <c r="G94" s="339"/>
      <c r="H94" s="339"/>
      <c r="I94" s="340"/>
      <c r="J94" s="339"/>
      <c r="K94" s="339"/>
      <c r="L94" s="339"/>
      <c r="M94" s="339"/>
      <c r="N94" s="339"/>
      <c r="P94" s="339"/>
      <c r="Q94" s="339"/>
      <c r="R94" s="24">
        <f t="shared" si="183"/>
        <v>0</v>
      </c>
      <c r="S94" s="24">
        <f t="shared" si="184"/>
        <v>0</v>
      </c>
    </row>
    <row r="95" spans="1:19">
      <c r="A95" s="9" t="s">
        <v>23001</v>
      </c>
      <c r="B95" s="10" t="s">
        <v>9016</v>
      </c>
      <c r="C95" s="10">
        <v>410800</v>
      </c>
      <c r="D95" s="43" t="str">
        <f>VLOOKUP(C95,'13. CUSTOS DER - SERVIÇOS'!A:B,2,0)</f>
        <v>ESC. CARGA E TRANSP. 1A. CAT.   600-800M</v>
      </c>
      <c r="E95" s="11">
        <v>137.05000000000001</v>
      </c>
      <c r="F95" s="26" t="str">
        <f>VLOOKUP(C95,'13. CUSTOS DER - SERVIÇOS'!A:C,3,0)</f>
        <v>M3</v>
      </c>
      <c r="G95" s="24">
        <f>VLOOKUP(C95,'13. CUSTOS DER - SERVIÇOS'!A:G,7,0)</f>
        <v>9.17</v>
      </c>
      <c r="H95" s="24">
        <v>0</v>
      </c>
      <c r="I95" s="25">
        <f>'3. BDI'!$C$19</f>
        <v>0.24666704095238123</v>
      </c>
      <c r="J95" s="24">
        <f>TRUNC(G95+(G95*I95),2)</f>
        <v>11.43</v>
      </c>
      <c r="K95" s="24">
        <f>TRUNC(H95+(H95*I95),2)</f>
        <v>0</v>
      </c>
      <c r="L95" s="24">
        <f>J95*E95</f>
        <v>1566.4815000000001</v>
      </c>
      <c r="M95" s="24">
        <f>K95*E95</f>
        <v>0</v>
      </c>
      <c r="N95" s="24">
        <f>L95+M95</f>
        <v>1566.4815000000001</v>
      </c>
      <c r="P95" s="24">
        <f>180.91/129.03</f>
        <v>1.4020770363481361</v>
      </c>
      <c r="Q95" s="24">
        <f>TRUNC(P95*E95,2)</f>
        <v>192.15</v>
      </c>
      <c r="R95" s="24">
        <f t="shared" si="183"/>
        <v>239.54</v>
      </c>
      <c r="S95" s="24">
        <f t="shared" si="184"/>
        <v>1326.9415000000001</v>
      </c>
    </row>
    <row r="96" spans="1:19">
      <c r="A96" s="338"/>
      <c r="B96" s="44"/>
      <c r="C96" s="167"/>
      <c r="D96" s="341" t="s">
        <v>22785</v>
      </c>
      <c r="E96" s="339"/>
      <c r="F96" s="167"/>
      <c r="G96" s="339"/>
      <c r="H96" s="339"/>
      <c r="I96" s="340"/>
      <c r="J96" s="339"/>
      <c r="K96" s="339"/>
      <c r="L96" s="339"/>
      <c r="M96" s="339"/>
      <c r="N96" s="339"/>
      <c r="P96" s="339"/>
      <c r="Q96" s="339"/>
      <c r="R96" s="24">
        <f t="shared" si="183"/>
        <v>0</v>
      </c>
      <c r="S96" s="24">
        <f t="shared" si="184"/>
        <v>0</v>
      </c>
    </row>
    <row r="97" spans="1:19">
      <c r="A97" s="9" t="s">
        <v>23002</v>
      </c>
      <c r="B97" s="10" t="s">
        <v>9016</v>
      </c>
      <c r="C97" s="10">
        <v>401100</v>
      </c>
      <c r="D97" s="43" t="str">
        <f>VLOOKUP(C97,'13. CUSTOS DER - SERVIÇOS'!A:B,2,0)</f>
        <v>COMPACTAÇÃO DE ATERROS 100% PN (B)</v>
      </c>
      <c r="E97" s="11">
        <v>107.07</v>
      </c>
      <c r="F97" s="26" t="str">
        <f>VLOOKUP(C97,'13. CUSTOS DER - SERVIÇOS'!A:C,3,0)</f>
        <v>M3</v>
      </c>
      <c r="G97" s="24">
        <f>VLOOKUP(C97,'13. CUSTOS DER - SERVIÇOS'!A:G,7,0)</f>
        <v>6.66</v>
      </c>
      <c r="H97" s="24">
        <v>0</v>
      </c>
      <c r="I97" s="25">
        <f>'3. BDI'!$C$19</f>
        <v>0.24666704095238123</v>
      </c>
      <c r="J97" s="24">
        <f>TRUNC(G97+(G97*I97),2)</f>
        <v>8.3000000000000007</v>
      </c>
      <c r="K97" s="24">
        <f>TRUNC(H97+(H97*I97),2)</f>
        <v>0</v>
      </c>
      <c r="L97" s="24">
        <f>J97*E97</f>
        <v>888.68100000000004</v>
      </c>
      <c r="M97" s="24">
        <f>K97*E97</f>
        <v>0</v>
      </c>
      <c r="N97" s="24">
        <f>L97+M97</f>
        <v>888.68100000000004</v>
      </c>
      <c r="P97" s="24">
        <f>71.5/136.18</f>
        <v>0.52504038772213246</v>
      </c>
      <c r="Q97" s="24">
        <f>TRUNC(P97*E97,2)</f>
        <v>56.21</v>
      </c>
      <c r="R97" s="24">
        <f t="shared" si="183"/>
        <v>70.069999999999993</v>
      </c>
      <c r="S97" s="24">
        <f t="shared" si="184"/>
        <v>818.6110000000001</v>
      </c>
    </row>
    <row r="98" spans="1:19" ht="15" customHeight="1">
      <c r="A98" s="338"/>
      <c r="B98" s="44"/>
      <c r="C98" s="167"/>
      <c r="D98" s="341" t="s">
        <v>9055</v>
      </c>
      <c r="E98" s="339"/>
      <c r="F98" s="167"/>
      <c r="G98" s="339"/>
      <c r="H98" s="339"/>
      <c r="I98" s="340"/>
      <c r="J98" s="339"/>
      <c r="K98" s="339"/>
      <c r="L98" s="339"/>
      <c r="M98" s="339"/>
      <c r="N98" s="339"/>
      <c r="P98" s="339"/>
      <c r="Q98" s="339"/>
      <c r="R98" s="24">
        <f t="shared" si="183"/>
        <v>0</v>
      </c>
      <c r="S98" s="24">
        <f t="shared" si="184"/>
        <v>0</v>
      </c>
    </row>
    <row r="99" spans="1:19">
      <c r="A99" s="9" t="s">
        <v>23003</v>
      </c>
      <c r="B99" s="10" t="s">
        <v>358</v>
      </c>
      <c r="C99" s="10" t="s">
        <v>22636</v>
      </c>
      <c r="D99" s="43" t="s">
        <v>211</v>
      </c>
      <c r="E99" s="11">
        <v>2739.03</v>
      </c>
      <c r="F99" s="26" t="s">
        <v>326</v>
      </c>
      <c r="G99" s="24">
        <f>VLOOKUP(C99,'9. CCU''S GERAIS AMEP'!A:K,11,0)</f>
        <v>27.468131442300237</v>
      </c>
      <c r="H99" s="24">
        <f>VLOOKUP(C99,'10. CCU TRANSPORTE'!B:J,9,0)</f>
        <v>36.69</v>
      </c>
      <c r="I99" s="25">
        <f>'3. BDI'!$C$19</f>
        <v>0.24666704095238123</v>
      </c>
      <c r="J99" s="24">
        <f t="shared" ref="J99:J100" si="191">TRUNC(G99+(G99*I99),2)</f>
        <v>34.24</v>
      </c>
      <c r="K99" s="24">
        <f t="shared" ref="K99:K100" si="192">TRUNC(H99+(H99*I99),2)</f>
        <v>45.74</v>
      </c>
      <c r="L99" s="24">
        <f t="shared" ref="L99:L100" si="193">J99*E99</f>
        <v>93784.387200000012</v>
      </c>
      <c r="M99" s="24">
        <f t="shared" ref="M99:M100" si="194">K99*E99</f>
        <v>125283.23220000001</v>
      </c>
      <c r="N99" s="24">
        <f t="shared" ref="N99:N100" si="195">L99+M99</f>
        <v>219067.61940000003</v>
      </c>
      <c r="P99" s="24">
        <f>180.91/129.03</f>
        <v>1.4020770363481361</v>
      </c>
      <c r="Q99" s="24">
        <f t="shared" ref="Q99" si="196">P99*E99</f>
        <v>3840.3310648686356</v>
      </c>
      <c r="R99" s="24">
        <f t="shared" si="183"/>
        <v>4787.6099999999997</v>
      </c>
      <c r="S99" s="24">
        <f t="shared" si="184"/>
        <v>214280.00940000004</v>
      </c>
    </row>
    <row r="100" spans="1:19">
      <c r="A100" s="9" t="s">
        <v>23004</v>
      </c>
      <c r="B100" s="10" t="s">
        <v>9016</v>
      </c>
      <c r="C100" s="10">
        <v>404300</v>
      </c>
      <c r="D100" s="43" t="str">
        <f>VLOOKUP(C100,'13. CUSTOS DER - SERVIÇOS'!A:B,2,0)</f>
        <v>ESPALHAMENTO E CONFORMAÇÃO DE BOTA-FORA</v>
      </c>
      <c r="E100" s="11">
        <v>2739.03</v>
      </c>
      <c r="F100" s="26" t="str">
        <f>VLOOKUP(C100,'13. CUSTOS DER - SERVIÇOS'!A:C,3,0)</f>
        <v>M3</v>
      </c>
      <c r="G100" s="24">
        <f>VLOOKUP(C100,'13. CUSTOS DER - SERVIÇOS'!A:G,7,0)</f>
        <v>0.79</v>
      </c>
      <c r="H100" s="24">
        <v>0</v>
      </c>
      <c r="I100" s="25">
        <f>'3. BDI'!$C$19</f>
        <v>0.24666704095238123</v>
      </c>
      <c r="J100" s="24">
        <f t="shared" si="191"/>
        <v>0.98</v>
      </c>
      <c r="K100" s="24">
        <f t="shared" si="192"/>
        <v>0</v>
      </c>
      <c r="L100" s="24">
        <f t="shared" si="193"/>
        <v>2684.2494000000002</v>
      </c>
      <c r="M100" s="24">
        <f t="shared" si="194"/>
        <v>0</v>
      </c>
      <c r="N100" s="24">
        <f t="shared" si="195"/>
        <v>2684.2494000000002</v>
      </c>
      <c r="P100" s="24">
        <f>31.46/574.08</f>
        <v>5.480072463768116E-2</v>
      </c>
      <c r="Q100" s="24">
        <f>TRUNC(P100*E100,2)</f>
        <v>150.1</v>
      </c>
      <c r="R100" s="24">
        <f t="shared" si="183"/>
        <v>187.12</v>
      </c>
      <c r="S100" s="24">
        <f t="shared" si="184"/>
        <v>2497.1294000000003</v>
      </c>
    </row>
    <row r="101" spans="1:19">
      <c r="A101" s="28" t="s">
        <v>9106</v>
      </c>
      <c r="B101" s="48"/>
      <c r="C101" s="32"/>
      <c r="D101" s="301" t="s">
        <v>22781</v>
      </c>
      <c r="E101" s="33"/>
      <c r="F101" s="32" t="s">
        <v>195</v>
      </c>
      <c r="G101" s="33"/>
      <c r="H101" s="33"/>
      <c r="I101" s="34"/>
      <c r="J101" s="33"/>
      <c r="K101" s="33"/>
      <c r="L101" s="33">
        <f t="shared" ref="L101:M101" si="197">SUM(L102:L118)</f>
        <v>3274337.6595999999</v>
      </c>
      <c r="M101" s="33">
        <f t="shared" si="197"/>
        <v>1200822.0307999998</v>
      </c>
      <c r="N101" s="33">
        <f>SUM(N102:N118)</f>
        <v>4475159.6903999997</v>
      </c>
      <c r="P101" s="33">
        <f t="shared" ref="P101:S101" si="198">SUM(P102:P118)</f>
        <v>21.150554046523901</v>
      </c>
      <c r="Q101" s="33">
        <f t="shared" si="198"/>
        <v>64113.817842362238</v>
      </c>
      <c r="R101" s="33">
        <f t="shared" si="198"/>
        <v>79928.529999999984</v>
      </c>
      <c r="S101" s="33">
        <f t="shared" si="198"/>
        <v>4395231.1603999995</v>
      </c>
    </row>
    <row r="102" spans="1:19">
      <c r="A102" s="338"/>
      <c r="B102" s="44"/>
      <c r="C102" s="167"/>
      <c r="D102" s="341" t="s">
        <v>22786</v>
      </c>
      <c r="E102" s="339"/>
      <c r="F102" s="167"/>
      <c r="G102" s="339"/>
      <c r="H102" s="339"/>
      <c r="I102" s="340"/>
      <c r="J102" s="339"/>
      <c r="K102" s="339"/>
      <c r="L102" s="339"/>
      <c r="M102" s="339"/>
      <c r="N102" s="339"/>
      <c r="P102" s="339"/>
      <c r="Q102" s="339"/>
      <c r="R102" s="24">
        <f t="shared" ref="R102:R118" si="199">TRUNC((Q102*I102+Q102),2)</f>
        <v>0</v>
      </c>
      <c r="S102" s="24">
        <f t="shared" ref="S102:S118" si="200">N102-R102</f>
        <v>0</v>
      </c>
    </row>
    <row r="103" spans="1:19">
      <c r="A103" s="9" t="s">
        <v>23005</v>
      </c>
      <c r="B103" s="10" t="s">
        <v>9016</v>
      </c>
      <c r="C103" s="10">
        <v>401010</v>
      </c>
      <c r="D103" s="43" t="str">
        <f>VLOOKUP(C103,'13. CUSTOS DER - SERVIÇOS'!A:B,2,0)</f>
        <v>DESTOCAMENTO ÁRVORES DIAM. &gt; 30CM</v>
      </c>
      <c r="E103" s="11">
        <v>115</v>
      </c>
      <c r="F103" s="26" t="str">
        <f>VLOOKUP(C103,'13. CUSTOS DER - SERVIÇOS'!A:C,3,0)</f>
        <v>UD</v>
      </c>
      <c r="G103" s="24">
        <f>VLOOKUP(C103,'13. CUSTOS DER - SERVIÇOS'!A:G,7,0)</f>
        <v>49.34</v>
      </c>
      <c r="H103" s="24">
        <v>0</v>
      </c>
      <c r="I103" s="25">
        <f>'3. BDI'!$C$19</f>
        <v>0.24666704095238123</v>
      </c>
      <c r="J103" s="24">
        <f>TRUNC(G103+(G103*I103),2)</f>
        <v>61.51</v>
      </c>
      <c r="K103" s="24">
        <f>TRUNC(H103+(H103*I103),2)</f>
        <v>0</v>
      </c>
      <c r="L103" s="24">
        <f>J103*E103</f>
        <v>7073.65</v>
      </c>
      <c r="M103" s="24">
        <f>K103*E103</f>
        <v>0</v>
      </c>
      <c r="N103" s="24">
        <f t="shared" ref="N103" si="201">L103+M103</f>
        <v>7073.65</v>
      </c>
      <c r="P103" s="24">
        <f>165.88/12</f>
        <v>13.823333333333332</v>
      </c>
      <c r="Q103" s="24">
        <f t="shared" ref="Q103:Q104" si="202">TRUNC(P103*E103,2)</f>
        <v>1589.68</v>
      </c>
      <c r="R103" s="24">
        <f t="shared" si="199"/>
        <v>1981.8</v>
      </c>
      <c r="S103" s="24">
        <f t="shared" si="200"/>
        <v>5091.8499999999995</v>
      </c>
    </row>
    <row r="104" spans="1:19">
      <c r="A104" s="9" t="s">
        <v>23006</v>
      </c>
      <c r="B104" s="10" t="s">
        <v>9016</v>
      </c>
      <c r="C104" s="10">
        <v>400000</v>
      </c>
      <c r="D104" s="43" t="str">
        <f>VLOOKUP(C104,'13. CUSTOS DER - SERVIÇOS'!A:B,2,0)</f>
        <v>DESMATAMENTO E LIMPEZA DIAM. ATÉ 30CM</v>
      </c>
      <c r="E104" s="11">
        <v>27157.1</v>
      </c>
      <c r="F104" s="26" t="str">
        <f>VLOOKUP(C104,'13. CUSTOS DER - SERVIÇOS'!A:C,3,0)</f>
        <v>M2</v>
      </c>
      <c r="G104" s="24">
        <f>VLOOKUP(C104,'13. CUSTOS DER - SERVIÇOS'!A:G,7,0)</f>
        <v>1.1399999999999999</v>
      </c>
      <c r="H104" s="24">
        <v>0</v>
      </c>
      <c r="I104" s="25">
        <f>'3. BDI'!$C$19</f>
        <v>0.24666704095238123</v>
      </c>
      <c r="J104" s="24">
        <f t="shared" ref="J104" si="203">TRUNC(G104+(G104*I104),2)</f>
        <v>1.42</v>
      </c>
      <c r="K104" s="24">
        <f t="shared" ref="K104" si="204">TRUNC(H104+(H104*I104),2)</f>
        <v>0</v>
      </c>
      <c r="L104" s="24">
        <f t="shared" ref="L104" si="205">J104*E104</f>
        <v>38563.081999999995</v>
      </c>
      <c r="M104" s="24">
        <f t="shared" ref="M104" si="206">K104*E104</f>
        <v>0</v>
      </c>
      <c r="N104" s="24">
        <f t="shared" ref="N104" si="207">L104+M104</f>
        <v>38563.081999999995</v>
      </c>
      <c r="P104" s="24">
        <f>102.96/463.68</f>
        <v>0.22204968944099376</v>
      </c>
      <c r="Q104" s="24">
        <f t="shared" si="202"/>
        <v>6030.22</v>
      </c>
      <c r="R104" s="24">
        <f t="shared" si="199"/>
        <v>7517.67</v>
      </c>
      <c r="S104" s="24">
        <f t="shared" si="200"/>
        <v>31045.411999999997</v>
      </c>
    </row>
    <row r="105" spans="1:19">
      <c r="A105" s="338"/>
      <c r="B105" s="44"/>
      <c r="C105" s="167"/>
      <c r="D105" s="341" t="s">
        <v>22784</v>
      </c>
      <c r="E105" s="339"/>
      <c r="F105" s="167"/>
      <c r="G105" s="339"/>
      <c r="H105" s="339"/>
      <c r="I105" s="340"/>
      <c r="J105" s="339"/>
      <c r="K105" s="339"/>
      <c r="L105" s="339"/>
      <c r="M105" s="339"/>
      <c r="N105" s="339"/>
      <c r="P105" s="339"/>
      <c r="Q105" s="339"/>
      <c r="R105" s="24">
        <f t="shared" si="199"/>
        <v>0</v>
      </c>
      <c r="S105" s="24">
        <f t="shared" si="200"/>
        <v>0</v>
      </c>
    </row>
    <row r="106" spans="1:19">
      <c r="A106" s="9" t="s">
        <v>23007</v>
      </c>
      <c r="B106" s="10" t="s">
        <v>9016</v>
      </c>
      <c r="C106" s="10">
        <v>411400</v>
      </c>
      <c r="D106" s="43" t="str">
        <f>VLOOKUP(C106,'13. CUSTOS DER - SERVIÇOS'!A:B,2,0)</f>
        <v>ESC. CARGA E TRANSP. 1A. CAT.  1200-1400M</v>
      </c>
      <c r="E106" s="11">
        <v>6753.26</v>
      </c>
      <c r="F106" s="26" t="str">
        <f>VLOOKUP(C106,'13. CUSTOS DER - SERVIÇOS'!A:C,3,0)</f>
        <v>M3</v>
      </c>
      <c r="G106" s="24">
        <f>VLOOKUP(C106,'13. CUSTOS DER - SERVIÇOS'!A:G,7,0)</f>
        <v>10.82</v>
      </c>
      <c r="H106" s="24">
        <v>0</v>
      </c>
      <c r="I106" s="25">
        <f>'3. BDI'!$C$19</f>
        <v>0.24666704095238123</v>
      </c>
      <c r="J106" s="24">
        <f>TRUNC(G106+(G106*I106),2)</f>
        <v>13.48</v>
      </c>
      <c r="K106" s="24">
        <f>TRUNC(H106+(H106*I106),2)</f>
        <v>0</v>
      </c>
      <c r="L106" s="24">
        <f>J106*E106</f>
        <v>91033.944800000012</v>
      </c>
      <c r="M106" s="24">
        <f>K106*E106</f>
        <v>0</v>
      </c>
      <c r="N106" s="24">
        <f>L106+M106</f>
        <v>91033.944800000012</v>
      </c>
      <c r="P106" s="24">
        <f>180.91/129.03</f>
        <v>1.4020770363481361</v>
      </c>
      <c r="Q106" s="24">
        <f t="shared" ref="Q106:Q107" si="208">TRUNC(P106*E106,2)</f>
        <v>9468.59</v>
      </c>
      <c r="R106" s="24">
        <f t="shared" si="199"/>
        <v>11804.17</v>
      </c>
      <c r="S106" s="24">
        <f t="shared" si="200"/>
        <v>79229.774800000014</v>
      </c>
    </row>
    <row r="107" spans="1:19">
      <c r="A107" s="9" t="s">
        <v>23008</v>
      </c>
      <c r="B107" s="10" t="s">
        <v>9016</v>
      </c>
      <c r="C107" s="10">
        <v>421400</v>
      </c>
      <c r="D107" s="43" t="str">
        <f>VLOOKUP(C107,'13. CUSTOS DER - SERVIÇOS'!A:B,2,0)</f>
        <v>ESC. CARGA E TRANSP. 2A. CAT.  1200-1400M</v>
      </c>
      <c r="E107" s="11">
        <v>3308.5</v>
      </c>
      <c r="F107" s="26" t="str">
        <f>VLOOKUP(C107,'13. CUSTOS DER - SERVIÇOS'!A:C,3,0)</f>
        <v>M3</v>
      </c>
      <c r="G107" s="24">
        <f>VLOOKUP(C107,'13. CUSTOS DER - SERVIÇOS'!A:G,7,0)</f>
        <v>13.72</v>
      </c>
      <c r="H107" s="24">
        <v>0</v>
      </c>
      <c r="I107" s="25">
        <f>'3. BDI'!$C$19</f>
        <v>0.24666704095238123</v>
      </c>
      <c r="J107" s="24">
        <f t="shared" ref="J107" si="209">TRUNC(G107+(G107*I107),2)</f>
        <v>17.100000000000001</v>
      </c>
      <c r="K107" s="24">
        <f t="shared" ref="K107" si="210">TRUNC(H107+(H107*I107),2)</f>
        <v>0</v>
      </c>
      <c r="L107" s="24">
        <f t="shared" ref="L107" si="211">J107*E107</f>
        <v>56575.350000000006</v>
      </c>
      <c r="M107" s="24">
        <f t="shared" ref="M107" si="212">K107*E107</f>
        <v>0</v>
      </c>
      <c r="N107" s="24">
        <f t="shared" ref="N107" si="213">L107+M107</f>
        <v>56575.350000000006</v>
      </c>
      <c r="P107" s="24">
        <f>180.91/99.59</f>
        <v>1.8165478461692941</v>
      </c>
      <c r="Q107" s="24">
        <f t="shared" si="208"/>
        <v>6010.04</v>
      </c>
      <c r="R107" s="24">
        <f t="shared" si="199"/>
        <v>7492.51</v>
      </c>
      <c r="S107" s="24">
        <f t="shared" si="200"/>
        <v>49082.840000000004</v>
      </c>
    </row>
    <row r="108" spans="1:19">
      <c r="A108" s="338"/>
      <c r="B108" s="44"/>
      <c r="C108" s="167"/>
      <c r="D108" s="341" t="s">
        <v>22787</v>
      </c>
      <c r="E108" s="339"/>
      <c r="F108" s="167"/>
      <c r="G108" s="339"/>
      <c r="H108" s="339"/>
      <c r="I108" s="340"/>
      <c r="J108" s="339"/>
      <c r="K108" s="339"/>
      <c r="L108" s="339"/>
      <c r="M108" s="339"/>
      <c r="N108" s="339"/>
      <c r="P108" s="339"/>
      <c r="Q108" s="339"/>
      <c r="R108" s="24">
        <f t="shared" si="199"/>
        <v>0</v>
      </c>
      <c r="S108" s="24">
        <f t="shared" si="200"/>
        <v>0</v>
      </c>
    </row>
    <row r="109" spans="1:19" ht="31.5">
      <c r="A109" s="9" t="s">
        <v>23009</v>
      </c>
      <c r="B109" s="10" t="s">
        <v>358</v>
      </c>
      <c r="C109" s="10" t="s">
        <v>22640</v>
      </c>
      <c r="D109" s="43" t="s">
        <v>215</v>
      </c>
      <c r="E109" s="11">
        <v>48251.38</v>
      </c>
      <c r="F109" s="26" t="s">
        <v>326</v>
      </c>
      <c r="G109" s="24">
        <f>VLOOKUP(C109,'9. CCU''S GERAIS AMEP'!A:K,11,0)</f>
        <v>36.5913509493394</v>
      </c>
      <c r="H109" s="24">
        <f>VLOOKUP(C109,'10. CCU TRANSPORTE'!B:J,9,0)</f>
        <v>10.93</v>
      </c>
      <c r="I109" s="25">
        <f>'3. BDI'!$C$19</f>
        <v>0.24666704095238123</v>
      </c>
      <c r="J109" s="24">
        <f>TRUNC(G109+(G109*I109),2)</f>
        <v>45.61</v>
      </c>
      <c r="K109" s="24">
        <f>TRUNC(H109+(H109*I109),2)</f>
        <v>13.62</v>
      </c>
      <c r="L109" s="24">
        <f>J109*E109</f>
        <v>2200745.4417999997</v>
      </c>
      <c r="M109" s="24">
        <f>K109*E109</f>
        <v>657183.79559999995</v>
      </c>
      <c r="N109" s="24">
        <f>L109+M109</f>
        <v>2857929.2373999995</v>
      </c>
      <c r="P109" s="24">
        <v>0</v>
      </c>
      <c r="Q109" s="24">
        <f t="shared" ref="Q109:Q110" si="214">P109*E109</f>
        <v>0</v>
      </c>
      <c r="R109" s="24">
        <f t="shared" si="199"/>
        <v>0</v>
      </c>
      <c r="S109" s="24">
        <f t="shared" si="200"/>
        <v>2857929.2373999995</v>
      </c>
    </row>
    <row r="110" spans="1:19" ht="47.25">
      <c r="A110" s="9" t="s">
        <v>23010</v>
      </c>
      <c r="B110" s="10" t="s">
        <v>358</v>
      </c>
      <c r="C110" s="10" t="s">
        <v>22644</v>
      </c>
      <c r="D110" s="43" t="s">
        <v>218</v>
      </c>
      <c r="E110" s="11">
        <v>896</v>
      </c>
      <c r="F110" s="26" t="s">
        <v>326</v>
      </c>
      <c r="G110" s="24">
        <f>VLOOKUP(C110,'9. CCU''S GERAIS AMEP'!A:K,11,0)</f>
        <v>84.631756234141221</v>
      </c>
      <c r="H110" s="24">
        <f>VLOOKUP(C110,'10. CCU TRANSPORTE'!B:J,9,0)</f>
        <v>14.21</v>
      </c>
      <c r="I110" s="25">
        <f>'3. BDI'!$C$19</f>
        <v>0.24666704095238123</v>
      </c>
      <c r="J110" s="24">
        <f t="shared" ref="J110" si="215">TRUNC(G110+(G110*I110),2)</f>
        <v>105.5</v>
      </c>
      <c r="K110" s="24">
        <f t="shared" ref="K110" si="216">TRUNC(H110+(H110*I110),2)</f>
        <v>17.71</v>
      </c>
      <c r="L110" s="24">
        <f t="shared" ref="L110" si="217">J110*E110</f>
        <v>94528</v>
      </c>
      <c r="M110" s="24">
        <f t="shared" ref="M110" si="218">K110*E110</f>
        <v>15868.16</v>
      </c>
      <c r="N110" s="24">
        <f t="shared" ref="N110" si="219">L110+M110</f>
        <v>110396.16</v>
      </c>
      <c r="P110" s="24">
        <v>0</v>
      </c>
      <c r="Q110" s="24">
        <f t="shared" si="214"/>
        <v>0</v>
      </c>
      <c r="R110" s="24">
        <f t="shared" si="199"/>
        <v>0</v>
      </c>
      <c r="S110" s="24">
        <f t="shared" si="200"/>
        <v>110396.16</v>
      </c>
    </row>
    <row r="111" spans="1:19">
      <c r="A111" s="338"/>
      <c r="B111" s="44"/>
      <c r="C111" s="167"/>
      <c r="D111" s="341" t="s">
        <v>22785</v>
      </c>
      <c r="E111" s="339"/>
      <c r="F111" s="167"/>
      <c r="G111" s="339"/>
      <c r="H111" s="339"/>
      <c r="I111" s="340"/>
      <c r="J111" s="339"/>
      <c r="K111" s="339"/>
      <c r="L111" s="339"/>
      <c r="M111" s="339"/>
      <c r="N111" s="339"/>
      <c r="P111" s="339"/>
      <c r="Q111" s="339"/>
      <c r="R111" s="24">
        <f t="shared" si="199"/>
        <v>0</v>
      </c>
      <c r="S111" s="24">
        <f t="shared" si="200"/>
        <v>0</v>
      </c>
    </row>
    <row r="112" spans="1:19">
      <c r="A112" s="9" t="s">
        <v>23011</v>
      </c>
      <c r="B112" s="10" t="s">
        <v>9016</v>
      </c>
      <c r="C112" s="10">
        <v>401100</v>
      </c>
      <c r="D112" s="43" t="str">
        <f>VLOOKUP(C112,'13. CUSTOS DER - SERVIÇOS'!A:B,2,0)</f>
        <v>COMPACTAÇÃO DE ATERROS 100% PN (B)</v>
      </c>
      <c r="E112" s="11">
        <v>35583.089999999997</v>
      </c>
      <c r="F112" s="26" t="str">
        <f>VLOOKUP(C112,'13. CUSTOS DER - SERVIÇOS'!A:C,3,0)</f>
        <v>M3</v>
      </c>
      <c r="G112" s="24">
        <f>VLOOKUP(C112,'13. CUSTOS DER - SERVIÇOS'!A:G,7,0)</f>
        <v>6.66</v>
      </c>
      <c r="H112" s="24">
        <v>0</v>
      </c>
      <c r="I112" s="25">
        <f>'3. BDI'!$C$19</f>
        <v>0.24666704095238123</v>
      </c>
      <c r="J112" s="24">
        <f>TRUNC(G112+(G112*I112),2)</f>
        <v>8.3000000000000007</v>
      </c>
      <c r="K112" s="24">
        <f>TRUNC(H112+(H112*I112),2)</f>
        <v>0</v>
      </c>
      <c r="L112" s="24">
        <f>J112*E112</f>
        <v>295339.647</v>
      </c>
      <c r="M112" s="24">
        <f>K112*E112</f>
        <v>0</v>
      </c>
      <c r="N112" s="24">
        <f>L112+M112</f>
        <v>295339.647</v>
      </c>
      <c r="P112" s="24">
        <f>71.5/136.18</f>
        <v>0.52504038772213246</v>
      </c>
      <c r="Q112" s="24">
        <f t="shared" ref="Q112:Q115" si="220">TRUNC(P112*E112,2)</f>
        <v>18682.55</v>
      </c>
      <c r="R112" s="24">
        <f t="shared" si="199"/>
        <v>23290.91</v>
      </c>
      <c r="S112" s="24">
        <f t="shared" si="200"/>
        <v>272048.73700000002</v>
      </c>
    </row>
    <row r="113" spans="1:19">
      <c r="A113" s="9" t="s">
        <v>23012</v>
      </c>
      <c r="B113" s="10" t="s">
        <v>9016</v>
      </c>
      <c r="C113" s="10">
        <v>401950</v>
      </c>
      <c r="D113" s="43" t="str">
        <f>VLOOKUP(C113,'13. CUSTOS DER - SERVIÇOS'!A:B,2,0)</f>
        <v>COMPACTAÇÃO DE ATERROS  95% PN (B)</v>
      </c>
      <c r="E113" s="11">
        <v>7389.28</v>
      </c>
      <c r="F113" s="26" t="str">
        <f>VLOOKUP(C113,'13. CUSTOS DER - SERVIÇOS'!A:C,3,0)</f>
        <v>M3</v>
      </c>
      <c r="G113" s="24">
        <f>VLOOKUP(C113,'13. CUSTOS DER - SERVIÇOS'!A:G,7,0)</f>
        <v>5.54</v>
      </c>
      <c r="H113" s="24">
        <v>0</v>
      </c>
      <c r="I113" s="25">
        <f>'3. BDI'!$C$19</f>
        <v>0.24666704095238123</v>
      </c>
      <c r="J113" s="24">
        <f>TRUNC(G113+(G113*I113),2)</f>
        <v>6.9</v>
      </c>
      <c r="K113" s="24">
        <f>TRUNC(H113+(H113*I113),2)</f>
        <v>0</v>
      </c>
      <c r="L113" s="24">
        <f>J113*E113</f>
        <v>50986.031999999999</v>
      </c>
      <c r="M113" s="24">
        <f>K113*E113</f>
        <v>0</v>
      </c>
      <c r="N113" s="24">
        <f>L113+M113</f>
        <v>50986.031999999999</v>
      </c>
      <c r="P113" s="24">
        <f>71.5/170.23</f>
        <v>0.42001997297773602</v>
      </c>
      <c r="Q113" s="24">
        <f t="shared" si="220"/>
        <v>3103.64</v>
      </c>
      <c r="R113" s="24">
        <f t="shared" si="199"/>
        <v>3869.2</v>
      </c>
      <c r="S113" s="24">
        <f t="shared" si="200"/>
        <v>47116.832000000002</v>
      </c>
    </row>
    <row r="114" spans="1:19">
      <c r="A114" s="9" t="s">
        <v>23013</v>
      </c>
      <c r="B114" s="10" t="s">
        <v>9016</v>
      </c>
      <c r="C114" s="10">
        <v>402000</v>
      </c>
      <c r="D114" s="43" t="str">
        <f>VLOOKUP(C114,'13. CUSTOS DER - SERVIÇOS'!A:B,2,0)</f>
        <v>COMPACTAÇÃO DE ATERROS EM 2A. CAT.</v>
      </c>
      <c r="E114" s="11">
        <v>2757.08</v>
      </c>
      <c r="F114" s="26" t="str">
        <f>VLOOKUP(C114,'13. CUSTOS DER - SERVIÇOS'!A:C,3,0)</f>
        <v>M3</v>
      </c>
      <c r="G114" s="24">
        <f>VLOOKUP(C114,'13. CUSTOS DER - SERVIÇOS'!A:G,7,0)</f>
        <v>7.29</v>
      </c>
      <c r="H114" s="24">
        <v>0</v>
      </c>
      <c r="I114" s="25">
        <f>'3. BDI'!$C$19</f>
        <v>0.24666704095238123</v>
      </c>
      <c r="J114" s="24">
        <f>TRUNC(G114+(G114*I114),2)</f>
        <v>9.08</v>
      </c>
      <c r="K114" s="24">
        <f>TRUNC(H114+(H114*I114),2)</f>
        <v>0</v>
      </c>
      <c r="L114" s="24">
        <f>J114*E114</f>
        <v>25034.286400000001</v>
      </c>
      <c r="M114" s="24">
        <f>K114*E114</f>
        <v>0</v>
      </c>
      <c r="N114" s="24">
        <f>L114+M114</f>
        <v>25034.286400000001</v>
      </c>
      <c r="P114" s="24">
        <f>71.5/122.22</f>
        <v>0.58501063655702834</v>
      </c>
      <c r="Q114" s="24">
        <f t="shared" si="220"/>
        <v>1612.92</v>
      </c>
      <c r="R114" s="24">
        <f t="shared" si="199"/>
        <v>2010.77</v>
      </c>
      <c r="S114" s="24">
        <f t="shared" si="200"/>
        <v>23023.5164</v>
      </c>
    </row>
    <row r="115" spans="1:19">
      <c r="A115" s="9" t="s">
        <v>23014</v>
      </c>
      <c r="B115" s="10" t="s">
        <v>9016</v>
      </c>
      <c r="C115" s="10">
        <v>403000</v>
      </c>
      <c r="D115" s="43" t="str">
        <f>VLOOKUP(C115,'13. CUSTOS DER - SERVIÇOS'!A:B,2,0)</f>
        <v>COMPACTAÇÃO DE ATERROS EM 3A. CAT.</v>
      </c>
      <c r="E115" s="11">
        <v>896</v>
      </c>
      <c r="F115" s="26" t="str">
        <f>VLOOKUP(C115,'13. CUSTOS DER - SERVIÇOS'!A:C,3,0)</f>
        <v>M3</v>
      </c>
      <c r="G115" s="24">
        <f>VLOOKUP(C115,'13. CUSTOS DER - SERVIÇOS'!A:G,7,0)</f>
        <v>7.23</v>
      </c>
      <c r="H115" s="24">
        <v>0</v>
      </c>
      <c r="I115" s="25">
        <f>'3. BDI'!$C$19</f>
        <v>0.24666704095238123</v>
      </c>
      <c r="J115" s="24">
        <f>TRUNC(G115+(G115*I115),2)</f>
        <v>9.01</v>
      </c>
      <c r="K115" s="24">
        <f>TRUNC(H115+(H115*I115),2)</f>
        <v>0</v>
      </c>
      <c r="L115" s="24">
        <f>J115*E115</f>
        <v>8072.96</v>
      </c>
      <c r="M115" s="24">
        <f>K115*E115</f>
        <v>0</v>
      </c>
      <c r="N115" s="24">
        <f>L115+M115</f>
        <v>8072.96</v>
      </c>
      <c r="P115" s="24">
        <f>71.5/79.48</f>
        <v>0.89959738298943126</v>
      </c>
      <c r="Q115" s="24">
        <f t="shared" si="220"/>
        <v>806.03</v>
      </c>
      <c r="R115" s="24">
        <f t="shared" si="199"/>
        <v>1004.85</v>
      </c>
      <c r="S115" s="24">
        <f t="shared" si="200"/>
        <v>7068.11</v>
      </c>
    </row>
    <row r="116" spans="1:19">
      <c r="A116" s="338"/>
      <c r="B116" s="44"/>
      <c r="C116" s="167"/>
      <c r="D116" s="341" t="s">
        <v>9055</v>
      </c>
      <c r="E116" s="339"/>
      <c r="F116" s="167"/>
      <c r="G116" s="339"/>
      <c r="H116" s="339"/>
      <c r="I116" s="340"/>
      <c r="J116" s="339"/>
      <c r="K116" s="339"/>
      <c r="L116" s="339"/>
      <c r="M116" s="339"/>
      <c r="N116" s="339"/>
      <c r="P116" s="339"/>
      <c r="Q116" s="339"/>
      <c r="R116" s="24">
        <f t="shared" si="199"/>
        <v>0</v>
      </c>
      <c r="S116" s="24">
        <f t="shared" si="200"/>
        <v>0</v>
      </c>
    </row>
    <row r="117" spans="1:19">
      <c r="A117" s="9" t="s">
        <v>23015</v>
      </c>
      <c r="B117" s="10" t="s">
        <v>358</v>
      </c>
      <c r="C117" s="10" t="s">
        <v>22637</v>
      </c>
      <c r="D117" s="43" t="s">
        <v>212</v>
      </c>
      <c r="E117" s="11">
        <v>11538.48</v>
      </c>
      <c r="F117" s="26" t="s">
        <v>326</v>
      </c>
      <c r="G117" s="24">
        <f>VLOOKUP(C117,'9. CCU''S GERAIS AMEP'!A:K,11,0)</f>
        <v>27.468131442300237</v>
      </c>
      <c r="H117" s="24">
        <f>VLOOKUP(C117,'10. CCU TRANSPORTE'!B:J,9,0)</f>
        <v>36.69</v>
      </c>
      <c r="I117" s="25">
        <f>'3. BDI'!$C$19</f>
        <v>0.24666704095238123</v>
      </c>
      <c r="J117" s="24">
        <f t="shared" ref="J117:J118" si="221">TRUNC(G117+(G117*I117),2)</f>
        <v>34.24</v>
      </c>
      <c r="K117" s="24">
        <f t="shared" ref="K117:K118" si="222">TRUNC(H117+(H117*I117),2)</f>
        <v>45.74</v>
      </c>
      <c r="L117" s="24">
        <f t="shared" ref="L117:L118" si="223">J117*E117</f>
        <v>395077.5552</v>
      </c>
      <c r="M117" s="24">
        <f t="shared" ref="M117:M118" si="224">K117*E117</f>
        <v>527770.07519999996</v>
      </c>
      <c r="N117" s="24">
        <f t="shared" ref="N117:N118" si="225">L117+M117</f>
        <v>922847.63039999991</v>
      </c>
      <c r="P117" s="24">
        <f>180.91/129.03</f>
        <v>1.4020770363481361</v>
      </c>
      <c r="Q117" s="24">
        <f t="shared" ref="Q117" si="226">P117*E117</f>
        <v>16177.83784236224</v>
      </c>
      <c r="R117" s="24">
        <f t="shared" si="199"/>
        <v>20168.37</v>
      </c>
      <c r="S117" s="24">
        <f t="shared" si="200"/>
        <v>902679.26039999991</v>
      </c>
    </row>
    <row r="118" spans="1:19">
      <c r="A118" s="9" t="s">
        <v>23016</v>
      </c>
      <c r="B118" s="10" t="s">
        <v>9016</v>
      </c>
      <c r="C118" s="10">
        <v>404300</v>
      </c>
      <c r="D118" s="43" t="str">
        <f>VLOOKUP(C118,'13. CUSTOS DER - SERVIÇOS'!A:B,2,0)</f>
        <v>ESPALHAMENTO E CONFORMAÇÃO DE BOTA-FORA</v>
      </c>
      <c r="E118" s="11">
        <v>11538.48</v>
      </c>
      <c r="F118" s="26" t="str">
        <f>VLOOKUP(C118,'13. CUSTOS DER - SERVIÇOS'!A:C,3,0)</f>
        <v>M3</v>
      </c>
      <c r="G118" s="24">
        <f>VLOOKUP(C118,'13. CUSTOS DER - SERVIÇOS'!A:G,7,0)</f>
        <v>0.79</v>
      </c>
      <c r="H118" s="24">
        <v>0</v>
      </c>
      <c r="I118" s="25">
        <f>'3. BDI'!$C$19</f>
        <v>0.24666704095238123</v>
      </c>
      <c r="J118" s="24">
        <f t="shared" si="221"/>
        <v>0.98</v>
      </c>
      <c r="K118" s="24">
        <f t="shared" si="222"/>
        <v>0</v>
      </c>
      <c r="L118" s="24">
        <f t="shared" si="223"/>
        <v>11307.7104</v>
      </c>
      <c r="M118" s="24">
        <f t="shared" si="224"/>
        <v>0</v>
      </c>
      <c r="N118" s="24">
        <f t="shared" si="225"/>
        <v>11307.7104</v>
      </c>
      <c r="P118" s="24">
        <f>31.46/574.08</f>
        <v>5.480072463768116E-2</v>
      </c>
      <c r="Q118" s="24">
        <f>TRUNC(P118*E118,2)</f>
        <v>632.30999999999995</v>
      </c>
      <c r="R118" s="24">
        <f t="shared" si="199"/>
        <v>788.28</v>
      </c>
      <c r="S118" s="24">
        <f t="shared" si="200"/>
        <v>10519.430399999999</v>
      </c>
    </row>
    <row r="119" spans="1:19">
      <c r="A119" s="28" t="s">
        <v>9107</v>
      </c>
      <c r="B119" s="48"/>
      <c r="C119" s="32"/>
      <c r="D119" s="301" t="s">
        <v>22782</v>
      </c>
      <c r="E119" s="33"/>
      <c r="F119" s="32" t="s">
        <v>195</v>
      </c>
      <c r="G119" s="33"/>
      <c r="H119" s="33"/>
      <c r="I119" s="34"/>
      <c r="J119" s="33"/>
      <c r="K119" s="33"/>
      <c r="L119" s="33">
        <f t="shared" ref="L119:M119" si="227">SUM(L120:L132)</f>
        <v>143690.76290000003</v>
      </c>
      <c r="M119" s="33">
        <f t="shared" si="227"/>
        <v>147250.49980000002</v>
      </c>
      <c r="N119" s="33">
        <f>SUM(N120:N132)</f>
        <v>290941.26270000002</v>
      </c>
      <c r="P119" s="33">
        <f t="shared" ref="P119:S119" si="228">SUM(P120:P132)</f>
        <v>18.328975590819841</v>
      </c>
      <c r="Q119" s="33">
        <f t="shared" si="228"/>
        <v>8001.27703712315</v>
      </c>
      <c r="R119" s="33">
        <f t="shared" si="228"/>
        <v>9974.89</v>
      </c>
      <c r="S119" s="33">
        <f t="shared" si="228"/>
        <v>280966.37270000001</v>
      </c>
    </row>
    <row r="120" spans="1:19">
      <c r="A120" s="338"/>
      <c r="B120" s="44"/>
      <c r="C120" s="167"/>
      <c r="D120" s="341" t="s">
        <v>22786</v>
      </c>
      <c r="E120" s="339"/>
      <c r="F120" s="167"/>
      <c r="G120" s="339"/>
      <c r="H120" s="339"/>
      <c r="I120" s="340"/>
      <c r="J120" s="339"/>
      <c r="K120" s="339"/>
      <c r="L120" s="339"/>
      <c r="M120" s="339"/>
      <c r="N120" s="339"/>
      <c r="P120" s="339"/>
      <c r="Q120" s="339"/>
      <c r="R120" s="24">
        <f t="shared" ref="R120:R132" si="229">TRUNC((Q120*I120+Q120),2)</f>
        <v>0</v>
      </c>
      <c r="S120" s="24">
        <f t="shared" ref="S120:S132" si="230">N120-R120</f>
        <v>0</v>
      </c>
    </row>
    <row r="121" spans="1:19">
      <c r="A121" s="9" t="s">
        <v>23017</v>
      </c>
      <c r="B121" s="10" t="s">
        <v>9016</v>
      </c>
      <c r="C121" s="10">
        <v>401010</v>
      </c>
      <c r="D121" s="43" t="str">
        <f>VLOOKUP(C121,'13. CUSTOS DER - SERVIÇOS'!A:B,2,0)</f>
        <v>DESTOCAMENTO ÁRVORES DIAM. &gt; 30CM</v>
      </c>
      <c r="E121" s="11">
        <v>26</v>
      </c>
      <c r="F121" s="26" t="str">
        <f>VLOOKUP(C121,'13. CUSTOS DER - SERVIÇOS'!A:C,3,0)</f>
        <v>UD</v>
      </c>
      <c r="G121" s="24">
        <f>VLOOKUP(C121,'13. CUSTOS DER - SERVIÇOS'!A:G,7,0)</f>
        <v>49.34</v>
      </c>
      <c r="H121" s="24">
        <v>0</v>
      </c>
      <c r="I121" s="25">
        <f>'3. BDI'!$C$19</f>
        <v>0.24666704095238123</v>
      </c>
      <c r="J121" s="24">
        <f>TRUNC(G121+(G121*I121),2)</f>
        <v>61.51</v>
      </c>
      <c r="K121" s="24">
        <f>TRUNC(H121+(H121*I121),2)</f>
        <v>0</v>
      </c>
      <c r="L121" s="24">
        <f>J121*E121</f>
        <v>1599.26</v>
      </c>
      <c r="M121" s="24">
        <f>K121*E121</f>
        <v>0</v>
      </c>
      <c r="N121" s="24">
        <f t="shared" ref="N121:N122" si="231">L121+M121</f>
        <v>1599.26</v>
      </c>
      <c r="P121" s="24">
        <f>165.88/12</f>
        <v>13.823333333333332</v>
      </c>
      <c r="Q121" s="24">
        <f t="shared" ref="Q121:Q122" si="232">TRUNC(P121*E121,2)</f>
        <v>359.4</v>
      </c>
      <c r="R121" s="24">
        <f t="shared" si="229"/>
        <v>448.05</v>
      </c>
      <c r="S121" s="24">
        <f t="shared" si="230"/>
        <v>1151.21</v>
      </c>
    </row>
    <row r="122" spans="1:19">
      <c r="A122" s="9" t="s">
        <v>23018</v>
      </c>
      <c r="B122" s="10" t="s">
        <v>9016</v>
      </c>
      <c r="C122" s="10">
        <v>400000</v>
      </c>
      <c r="D122" s="43" t="str">
        <f>VLOOKUP(C122,'13. CUSTOS DER - SERVIÇOS'!A:B,2,0)</f>
        <v>DESMATAMENTO E LIMPEZA DIAM. ATÉ 30CM</v>
      </c>
      <c r="E122" s="11">
        <v>11305</v>
      </c>
      <c r="F122" s="26" t="str">
        <f>VLOOKUP(C122,'13. CUSTOS DER - SERVIÇOS'!A:C,3,0)</f>
        <v>M2</v>
      </c>
      <c r="G122" s="24">
        <f>VLOOKUP(C122,'13. CUSTOS DER - SERVIÇOS'!A:G,7,0)</f>
        <v>1.1399999999999999</v>
      </c>
      <c r="H122" s="24">
        <v>0</v>
      </c>
      <c r="I122" s="25">
        <f>'3. BDI'!$C$19</f>
        <v>0.24666704095238123</v>
      </c>
      <c r="J122" s="24">
        <f t="shared" ref="J122" si="233">TRUNC(G122+(G122*I122),2)</f>
        <v>1.42</v>
      </c>
      <c r="K122" s="24">
        <f t="shared" ref="K122" si="234">TRUNC(H122+(H122*I122),2)</f>
        <v>0</v>
      </c>
      <c r="L122" s="24">
        <f t="shared" ref="L122" si="235">J122*E122</f>
        <v>16053.099999999999</v>
      </c>
      <c r="M122" s="24">
        <f t="shared" ref="M122" si="236">K122*E122</f>
        <v>0</v>
      </c>
      <c r="N122" s="24">
        <f t="shared" si="231"/>
        <v>16053.099999999999</v>
      </c>
      <c r="P122" s="24">
        <f>102.96/463.68</f>
        <v>0.22204968944099376</v>
      </c>
      <c r="Q122" s="24">
        <f t="shared" si="232"/>
        <v>2510.27</v>
      </c>
      <c r="R122" s="24">
        <f t="shared" si="229"/>
        <v>3129.47</v>
      </c>
      <c r="S122" s="24">
        <f t="shared" si="230"/>
        <v>12923.63</v>
      </c>
    </row>
    <row r="123" spans="1:19">
      <c r="A123" s="338"/>
      <c r="B123" s="44"/>
      <c r="C123" s="167"/>
      <c r="D123" s="341" t="s">
        <v>22784</v>
      </c>
      <c r="E123" s="339"/>
      <c r="F123" s="167"/>
      <c r="G123" s="339"/>
      <c r="H123" s="339"/>
      <c r="I123" s="340"/>
      <c r="J123" s="339"/>
      <c r="K123" s="339"/>
      <c r="L123" s="339"/>
      <c r="M123" s="339"/>
      <c r="N123" s="339"/>
      <c r="P123" s="339"/>
      <c r="Q123" s="339"/>
      <c r="R123" s="24">
        <f t="shared" si="229"/>
        <v>0</v>
      </c>
      <c r="S123" s="24">
        <f t="shared" si="230"/>
        <v>0</v>
      </c>
    </row>
    <row r="124" spans="1:19">
      <c r="A124" s="9" t="s">
        <v>23019</v>
      </c>
      <c r="B124" s="10" t="s">
        <v>9016</v>
      </c>
      <c r="C124" s="10">
        <v>411000</v>
      </c>
      <c r="D124" s="43" t="str">
        <f>VLOOKUP(C124,'13. CUSTOS DER - SERVIÇOS'!A:B,2,0)</f>
        <v>ESC. CARGA E TRANSP. 1A. CAT.   800-1000M</v>
      </c>
      <c r="E124" s="11">
        <v>228.07</v>
      </c>
      <c r="F124" s="26" t="str">
        <f>VLOOKUP(C124,'13. CUSTOS DER - SERVIÇOS'!A:C,3,0)</f>
        <v>M3</v>
      </c>
      <c r="G124" s="24">
        <f>VLOOKUP(C124,'13. CUSTOS DER - SERVIÇOS'!A:G,7,0)</f>
        <v>9.51</v>
      </c>
      <c r="H124" s="24">
        <v>0</v>
      </c>
      <c r="I124" s="25">
        <f>'3. BDI'!$C$19</f>
        <v>0.24666704095238123</v>
      </c>
      <c r="J124" s="24">
        <f>TRUNC(G124+(G124*I124),2)</f>
        <v>11.85</v>
      </c>
      <c r="K124" s="24">
        <f>TRUNC(H124+(H124*I124),2)</f>
        <v>0</v>
      </c>
      <c r="L124" s="24">
        <f>J124*E124</f>
        <v>2702.6295</v>
      </c>
      <c r="M124" s="24">
        <f>K124*E124</f>
        <v>0</v>
      </c>
      <c r="N124" s="24">
        <f>L124+M124</f>
        <v>2702.6295</v>
      </c>
      <c r="P124" s="24">
        <f>180.91/129.03</f>
        <v>1.4020770363481361</v>
      </c>
      <c r="Q124" s="24">
        <f>TRUNC(P124*E124,2)</f>
        <v>319.77</v>
      </c>
      <c r="R124" s="24">
        <f t="shared" si="229"/>
        <v>398.64</v>
      </c>
      <c r="S124" s="24">
        <f t="shared" si="230"/>
        <v>2303.9895000000001</v>
      </c>
    </row>
    <row r="125" spans="1:19">
      <c r="A125" s="338"/>
      <c r="B125" s="44"/>
      <c r="C125" s="167"/>
      <c r="D125" s="341" t="s">
        <v>22787</v>
      </c>
      <c r="E125" s="339"/>
      <c r="F125" s="167"/>
      <c r="G125" s="339"/>
      <c r="H125" s="339"/>
      <c r="I125" s="340"/>
      <c r="J125" s="339"/>
      <c r="K125" s="339"/>
      <c r="L125" s="339"/>
      <c r="M125" s="339"/>
      <c r="N125" s="339"/>
      <c r="P125" s="339"/>
      <c r="Q125" s="339"/>
      <c r="R125" s="24">
        <f t="shared" si="229"/>
        <v>0</v>
      </c>
      <c r="S125" s="24">
        <f t="shared" si="230"/>
        <v>0</v>
      </c>
    </row>
    <row r="126" spans="1:19" ht="47.25">
      <c r="A126" s="9" t="s">
        <v>23020</v>
      </c>
      <c r="B126" s="10" t="s">
        <v>358</v>
      </c>
      <c r="C126" s="10" t="s">
        <v>22645</v>
      </c>
      <c r="D126" s="43" t="s">
        <v>219</v>
      </c>
      <c r="E126" s="11">
        <v>84</v>
      </c>
      <c r="F126" s="26" t="s">
        <v>326</v>
      </c>
      <c r="G126" s="24">
        <f>VLOOKUP(C126,'9. CCU''S GERAIS AMEP'!A:K,11,0)</f>
        <v>84.631756234141221</v>
      </c>
      <c r="H126" s="24">
        <f>VLOOKUP(C126,'10. CCU TRANSPORTE'!B:J,9,0)</f>
        <v>14.21</v>
      </c>
      <c r="I126" s="25">
        <f>'3. BDI'!$C$19</f>
        <v>0.24666704095238123</v>
      </c>
      <c r="J126" s="24">
        <f>TRUNC(G126+(G126*I126),2)</f>
        <v>105.5</v>
      </c>
      <c r="K126" s="24">
        <f>TRUNC(H126+(H126*I126),2)</f>
        <v>17.71</v>
      </c>
      <c r="L126" s="24">
        <f>J126*E126</f>
        <v>8862</v>
      </c>
      <c r="M126" s="24">
        <f>K126*E126</f>
        <v>1487.64</v>
      </c>
      <c r="N126" s="24">
        <f>L126+M126</f>
        <v>10349.64</v>
      </c>
      <c r="P126" s="24">
        <v>0</v>
      </c>
      <c r="Q126" s="24">
        <f t="shared" ref="Q126" si="237">P126*E126</f>
        <v>0</v>
      </c>
      <c r="R126" s="24">
        <f t="shared" si="229"/>
        <v>0</v>
      </c>
      <c r="S126" s="24">
        <f t="shared" si="230"/>
        <v>10349.64</v>
      </c>
    </row>
    <row r="127" spans="1:19">
      <c r="A127" s="338"/>
      <c r="B127" s="44"/>
      <c r="C127" s="167"/>
      <c r="D127" s="341" t="s">
        <v>22785</v>
      </c>
      <c r="E127" s="339"/>
      <c r="F127" s="167"/>
      <c r="G127" s="339"/>
      <c r="H127" s="339"/>
      <c r="I127" s="340"/>
      <c r="J127" s="339"/>
      <c r="K127" s="339"/>
      <c r="L127" s="339"/>
      <c r="M127" s="339"/>
      <c r="N127" s="339"/>
      <c r="P127" s="339"/>
      <c r="Q127" s="339"/>
      <c r="R127" s="24">
        <f t="shared" si="229"/>
        <v>0</v>
      </c>
      <c r="S127" s="24">
        <f t="shared" si="230"/>
        <v>0</v>
      </c>
    </row>
    <row r="128" spans="1:19">
      <c r="A128" s="9" t="s">
        <v>23021</v>
      </c>
      <c r="B128" s="10" t="s">
        <v>9016</v>
      </c>
      <c r="C128" s="10">
        <v>401100</v>
      </c>
      <c r="D128" s="43" t="str">
        <f>VLOOKUP(C128,'13. CUSTOS DER - SERVIÇOS'!A:B,2,0)</f>
        <v>COMPACTAÇÃO DE ATERROS 100% PN (B)</v>
      </c>
      <c r="E128" s="11">
        <v>178.18</v>
      </c>
      <c r="F128" s="26" t="str">
        <f>VLOOKUP(C128,'13. CUSTOS DER - SERVIÇOS'!A:C,3,0)</f>
        <v>M3</v>
      </c>
      <c r="G128" s="24">
        <f>VLOOKUP(C128,'13. CUSTOS DER - SERVIÇOS'!A:G,7,0)</f>
        <v>6.66</v>
      </c>
      <c r="H128" s="24">
        <v>0</v>
      </c>
      <c r="I128" s="25">
        <f>'3. BDI'!$C$19</f>
        <v>0.24666704095238123</v>
      </c>
      <c r="J128" s="24">
        <f>TRUNC(G128+(G128*I128),2)</f>
        <v>8.3000000000000007</v>
      </c>
      <c r="K128" s="24">
        <f>TRUNC(H128+(H128*I128),2)</f>
        <v>0</v>
      </c>
      <c r="L128" s="24">
        <f>J128*E128</f>
        <v>1478.8940000000002</v>
      </c>
      <c r="M128" s="24">
        <f>K128*E128</f>
        <v>0</v>
      </c>
      <c r="N128" s="24">
        <f>L128+M128</f>
        <v>1478.8940000000002</v>
      </c>
      <c r="P128" s="24">
        <f>71.5/136.18</f>
        <v>0.52504038772213246</v>
      </c>
      <c r="Q128" s="24">
        <f t="shared" ref="Q128:Q129" si="238">TRUNC(P128*E128,2)</f>
        <v>93.55</v>
      </c>
      <c r="R128" s="24">
        <f t="shared" si="229"/>
        <v>116.62</v>
      </c>
      <c r="S128" s="24">
        <f t="shared" si="230"/>
        <v>1362.2740000000003</v>
      </c>
    </row>
    <row r="129" spans="1:19">
      <c r="A129" s="9" t="s">
        <v>23022</v>
      </c>
      <c r="B129" s="10" t="s">
        <v>9016</v>
      </c>
      <c r="C129" s="10">
        <v>403000</v>
      </c>
      <c r="D129" s="43" t="str">
        <f>VLOOKUP(C129,'13. CUSTOS DER - SERVIÇOS'!A:B,2,0)</f>
        <v>COMPACTAÇÃO DE ATERROS EM 3A. CAT.</v>
      </c>
      <c r="E129" s="11">
        <v>84</v>
      </c>
      <c r="F129" s="26" t="str">
        <f>VLOOKUP(C129,'13. CUSTOS DER - SERVIÇOS'!A:C,3,0)</f>
        <v>M3</v>
      </c>
      <c r="G129" s="24">
        <f>VLOOKUP(C129,'13. CUSTOS DER - SERVIÇOS'!A:G,7,0)</f>
        <v>7.23</v>
      </c>
      <c r="H129" s="24">
        <v>0</v>
      </c>
      <c r="I129" s="25">
        <f>'3. BDI'!$C$19</f>
        <v>0.24666704095238123</v>
      </c>
      <c r="J129" s="24">
        <f>TRUNC(G129+(G129*I129),2)</f>
        <v>9.01</v>
      </c>
      <c r="K129" s="24">
        <f>TRUNC(H129+(H129*I129),2)</f>
        <v>0</v>
      </c>
      <c r="L129" s="24">
        <f>J129*E129</f>
        <v>756.84</v>
      </c>
      <c r="M129" s="24">
        <f>K129*E129</f>
        <v>0</v>
      </c>
      <c r="N129" s="24">
        <f>L129+M129</f>
        <v>756.84</v>
      </c>
      <c r="P129" s="24">
        <f>71.5/79.48</f>
        <v>0.89959738298943126</v>
      </c>
      <c r="Q129" s="24">
        <f t="shared" si="238"/>
        <v>75.56</v>
      </c>
      <c r="R129" s="24">
        <f t="shared" si="229"/>
        <v>94.19</v>
      </c>
      <c r="S129" s="24">
        <f t="shared" si="230"/>
        <v>662.65000000000009</v>
      </c>
    </row>
    <row r="130" spans="1:19">
      <c r="A130" s="338"/>
      <c r="B130" s="44"/>
      <c r="C130" s="167"/>
      <c r="D130" s="341" t="s">
        <v>9055</v>
      </c>
      <c r="E130" s="339"/>
      <c r="F130" s="167"/>
      <c r="G130" s="339"/>
      <c r="H130" s="339"/>
      <c r="I130" s="340"/>
      <c r="J130" s="339"/>
      <c r="K130" s="339"/>
      <c r="L130" s="339"/>
      <c r="M130" s="339"/>
      <c r="N130" s="339"/>
      <c r="P130" s="339"/>
      <c r="Q130" s="339"/>
      <c r="R130" s="24">
        <f t="shared" si="229"/>
        <v>0</v>
      </c>
      <c r="S130" s="24">
        <f t="shared" si="230"/>
        <v>0</v>
      </c>
    </row>
    <row r="131" spans="1:19">
      <c r="A131" s="9" t="s">
        <v>23023</v>
      </c>
      <c r="B131" s="10" t="s">
        <v>358</v>
      </c>
      <c r="C131" s="10" t="s">
        <v>22638</v>
      </c>
      <c r="D131" s="43" t="s">
        <v>213</v>
      </c>
      <c r="E131" s="11">
        <v>3186.77</v>
      </c>
      <c r="F131" s="26" t="s">
        <v>326</v>
      </c>
      <c r="G131" s="24">
        <f>VLOOKUP(C131,'9. CCU''S GERAIS AMEP'!A:K,11,0)</f>
        <v>27.468131442300237</v>
      </c>
      <c r="H131" s="24">
        <f>VLOOKUP(C131,'10. CCU TRANSPORTE'!B:J,9,0)</f>
        <v>36.69</v>
      </c>
      <c r="I131" s="25">
        <f>'3. BDI'!$C$19</f>
        <v>0.24666704095238123</v>
      </c>
      <c r="J131" s="24">
        <f t="shared" ref="J131:J149" si="239">TRUNC(G131+(G131*I131),2)</f>
        <v>34.24</v>
      </c>
      <c r="K131" s="24">
        <f t="shared" ref="K131:K149" si="240">TRUNC(H131+(H131*I131),2)</f>
        <v>45.74</v>
      </c>
      <c r="L131" s="24">
        <f t="shared" ref="L131:L149" si="241">J131*E131</f>
        <v>109115.00480000001</v>
      </c>
      <c r="M131" s="24">
        <f t="shared" ref="M131:M149" si="242">K131*E131</f>
        <v>145762.85980000001</v>
      </c>
      <c r="N131" s="24">
        <f t="shared" ref="N131:N149" si="243">L131+M131</f>
        <v>254877.86460000003</v>
      </c>
      <c r="P131" s="24">
        <f>180.91/129.03</f>
        <v>1.4020770363481361</v>
      </c>
      <c r="Q131" s="24">
        <f t="shared" ref="Q131" si="244">P131*E131</f>
        <v>4468.0970371231497</v>
      </c>
      <c r="R131" s="24">
        <f t="shared" si="229"/>
        <v>5570.22</v>
      </c>
      <c r="S131" s="24">
        <f t="shared" si="230"/>
        <v>249307.64460000003</v>
      </c>
    </row>
    <row r="132" spans="1:19">
      <c r="A132" s="9" t="s">
        <v>23024</v>
      </c>
      <c r="B132" s="10" t="s">
        <v>9016</v>
      </c>
      <c r="C132" s="10">
        <v>404300</v>
      </c>
      <c r="D132" s="43" t="str">
        <f>VLOOKUP(C132,'13. CUSTOS DER - SERVIÇOS'!A:B,2,0)</f>
        <v>ESPALHAMENTO E CONFORMAÇÃO DE BOTA-FORA</v>
      </c>
      <c r="E132" s="11">
        <v>3186.77</v>
      </c>
      <c r="F132" s="26" t="str">
        <f>VLOOKUP(C132,'13. CUSTOS DER - SERVIÇOS'!A:C,3,0)</f>
        <v>M3</v>
      </c>
      <c r="G132" s="24">
        <f>VLOOKUP(C132,'13. CUSTOS DER - SERVIÇOS'!A:G,7,0)</f>
        <v>0.79</v>
      </c>
      <c r="H132" s="24">
        <v>0</v>
      </c>
      <c r="I132" s="25">
        <f>'3. BDI'!$C$19</f>
        <v>0.24666704095238123</v>
      </c>
      <c r="J132" s="24">
        <f t="shared" si="239"/>
        <v>0.98</v>
      </c>
      <c r="K132" s="24">
        <f t="shared" si="240"/>
        <v>0</v>
      </c>
      <c r="L132" s="24">
        <f t="shared" si="241"/>
        <v>3123.0346</v>
      </c>
      <c r="M132" s="24">
        <f t="shared" si="242"/>
        <v>0</v>
      </c>
      <c r="N132" s="24">
        <f t="shared" si="243"/>
        <v>3123.0346</v>
      </c>
      <c r="P132" s="24">
        <f>31.46/574.08</f>
        <v>5.480072463768116E-2</v>
      </c>
      <c r="Q132" s="24">
        <f>TRUNC(P132*E132,2)</f>
        <v>174.63</v>
      </c>
      <c r="R132" s="24">
        <f t="shared" si="229"/>
        <v>217.7</v>
      </c>
      <c r="S132" s="24">
        <f t="shared" si="230"/>
        <v>2905.3346000000001</v>
      </c>
    </row>
    <row r="133" spans="1:19">
      <c r="A133" s="28" t="s">
        <v>22975</v>
      </c>
      <c r="B133" s="48"/>
      <c r="C133" s="32"/>
      <c r="D133" s="301" t="s">
        <v>22783</v>
      </c>
      <c r="E133" s="33"/>
      <c r="F133" s="32" t="s">
        <v>195</v>
      </c>
      <c r="G133" s="33"/>
      <c r="H133" s="33"/>
      <c r="I133" s="34"/>
      <c r="J133" s="33"/>
      <c r="K133" s="33"/>
      <c r="L133" s="33">
        <f t="shared" ref="L133:M133" si="245">SUM(L134:L150)</f>
        <v>7268571.2121000011</v>
      </c>
      <c r="M133" s="33">
        <f t="shared" si="245"/>
        <v>5401704.2613000004</v>
      </c>
      <c r="N133" s="33">
        <f>SUM(N134:N150)</f>
        <v>12670275.473400004</v>
      </c>
      <c r="P133" s="33">
        <f t="shared" ref="P133:S133" si="246">SUM(P134:P150)</f>
        <v>21.150554046523901</v>
      </c>
      <c r="Q133" s="33">
        <f t="shared" si="246"/>
        <v>159995.72901030767</v>
      </c>
      <c r="R133" s="33">
        <f t="shared" si="246"/>
        <v>199461.34</v>
      </c>
      <c r="S133" s="33">
        <f t="shared" si="246"/>
        <v>12470814.133400002</v>
      </c>
    </row>
    <row r="134" spans="1:19">
      <c r="A134" s="338"/>
      <c r="B134" s="44"/>
      <c r="C134" s="167"/>
      <c r="D134" s="341" t="s">
        <v>22786</v>
      </c>
      <c r="E134" s="339"/>
      <c r="F134" s="167"/>
      <c r="G134" s="339"/>
      <c r="H134" s="339"/>
      <c r="I134" s="340"/>
      <c r="J134" s="339"/>
      <c r="K134" s="339"/>
      <c r="L134" s="339"/>
      <c r="M134" s="339"/>
      <c r="N134" s="339"/>
      <c r="P134" s="339"/>
      <c r="Q134" s="339"/>
      <c r="R134" s="24">
        <f t="shared" ref="R134:R150" si="247">TRUNC((Q134*I134+Q134),2)</f>
        <v>0</v>
      </c>
      <c r="S134" s="24">
        <f t="shared" ref="S134:S150" si="248">N134-R134</f>
        <v>0</v>
      </c>
    </row>
    <row r="135" spans="1:19">
      <c r="A135" s="9" t="s">
        <v>23025</v>
      </c>
      <c r="B135" s="10" t="s">
        <v>9016</v>
      </c>
      <c r="C135" s="10">
        <v>401010</v>
      </c>
      <c r="D135" s="43" t="str">
        <f>VLOOKUP(C135,'13. CUSTOS DER - SERVIÇOS'!A:B,2,0)</f>
        <v>DESTOCAMENTO ÁRVORES DIAM. &gt; 30CM</v>
      </c>
      <c r="E135" s="11">
        <v>52</v>
      </c>
      <c r="F135" s="26" t="str">
        <f>VLOOKUP(C135,'13. CUSTOS DER - SERVIÇOS'!A:C,3,0)</f>
        <v>UD</v>
      </c>
      <c r="G135" s="24">
        <f>VLOOKUP(C135,'13. CUSTOS DER - SERVIÇOS'!A:G,7,0)</f>
        <v>49.34</v>
      </c>
      <c r="H135" s="24">
        <v>0</v>
      </c>
      <c r="I135" s="25">
        <f>'3. BDI'!$C$19</f>
        <v>0.24666704095238123</v>
      </c>
      <c r="J135" s="24">
        <f>TRUNC(G135+(G135*I135),2)</f>
        <v>61.51</v>
      </c>
      <c r="K135" s="24">
        <f>TRUNC(H135+(H135*I135),2)</f>
        <v>0</v>
      </c>
      <c r="L135" s="24">
        <f>J135*E135</f>
        <v>3198.52</v>
      </c>
      <c r="M135" s="24">
        <f>K135*E135</f>
        <v>0</v>
      </c>
      <c r="N135" s="24">
        <f t="shared" ref="N135" si="249">L135+M135</f>
        <v>3198.52</v>
      </c>
      <c r="P135" s="24">
        <f>165.88/12</f>
        <v>13.823333333333332</v>
      </c>
      <c r="Q135" s="24">
        <f t="shared" ref="Q135:Q136" si="250">TRUNC(P135*E135,2)</f>
        <v>718.81</v>
      </c>
      <c r="R135" s="24">
        <f t="shared" si="247"/>
        <v>896.11</v>
      </c>
      <c r="S135" s="24">
        <f t="shared" si="248"/>
        <v>2302.41</v>
      </c>
    </row>
    <row r="136" spans="1:19">
      <c r="A136" s="9" t="s">
        <v>23026</v>
      </c>
      <c r="B136" s="10" t="s">
        <v>9016</v>
      </c>
      <c r="C136" s="10">
        <v>400000</v>
      </c>
      <c r="D136" s="43" t="str">
        <f>VLOOKUP(C136,'13. CUSTOS DER - SERVIÇOS'!A:B,2,0)</f>
        <v>DESMATAMENTO E LIMPEZA DIAM. ATÉ 30CM</v>
      </c>
      <c r="E136" s="11">
        <v>64509.75</v>
      </c>
      <c r="F136" s="26" t="str">
        <f>VLOOKUP(C136,'13. CUSTOS DER - SERVIÇOS'!A:C,3,0)</f>
        <v>M2</v>
      </c>
      <c r="G136" s="24">
        <f>VLOOKUP(C136,'13. CUSTOS DER - SERVIÇOS'!A:G,7,0)</f>
        <v>1.1399999999999999</v>
      </c>
      <c r="H136" s="24">
        <v>0</v>
      </c>
      <c r="I136" s="25">
        <f>'3. BDI'!$C$19</f>
        <v>0.24666704095238123</v>
      </c>
      <c r="J136" s="24">
        <f t="shared" ref="J136" si="251">TRUNC(G136+(G136*I136),2)</f>
        <v>1.42</v>
      </c>
      <c r="K136" s="24">
        <f t="shared" ref="K136" si="252">TRUNC(H136+(H136*I136),2)</f>
        <v>0</v>
      </c>
      <c r="L136" s="24">
        <f t="shared" ref="L136" si="253">J136*E136</f>
        <v>91603.845000000001</v>
      </c>
      <c r="M136" s="24">
        <f t="shared" ref="M136" si="254">K136*E136</f>
        <v>0</v>
      </c>
      <c r="N136" s="24">
        <f t="shared" ref="N136" si="255">L136+M136</f>
        <v>91603.845000000001</v>
      </c>
      <c r="P136" s="24">
        <f>102.96/463.68</f>
        <v>0.22204968944099376</v>
      </c>
      <c r="Q136" s="24">
        <f t="shared" si="250"/>
        <v>14324.36</v>
      </c>
      <c r="R136" s="24">
        <f t="shared" si="247"/>
        <v>17857.7</v>
      </c>
      <c r="S136" s="24">
        <f t="shared" si="248"/>
        <v>73746.145000000004</v>
      </c>
    </row>
    <row r="137" spans="1:19">
      <c r="A137" s="338"/>
      <c r="B137" s="44"/>
      <c r="C137" s="167"/>
      <c r="D137" s="341" t="s">
        <v>22784</v>
      </c>
      <c r="E137" s="339"/>
      <c r="F137" s="167"/>
      <c r="G137" s="339"/>
      <c r="H137" s="339"/>
      <c r="I137" s="340"/>
      <c r="J137" s="339"/>
      <c r="K137" s="339"/>
      <c r="L137" s="339"/>
      <c r="M137" s="339"/>
      <c r="N137" s="339"/>
      <c r="P137" s="339"/>
      <c r="Q137" s="339"/>
      <c r="R137" s="24">
        <f t="shared" si="247"/>
        <v>0</v>
      </c>
      <c r="S137" s="24">
        <f t="shared" si="248"/>
        <v>0</v>
      </c>
    </row>
    <row r="138" spans="1:19">
      <c r="A138" s="9" t="s">
        <v>23027</v>
      </c>
      <c r="B138" s="10" t="s">
        <v>9016</v>
      </c>
      <c r="C138" s="10">
        <v>413000</v>
      </c>
      <c r="D138" s="43" t="str">
        <f>VLOOKUP(C138,'13. CUSTOS DER - SERVIÇOS'!A:B,2,0)</f>
        <v>ESC. CARGA E TRANSP. 1A. CAT.  2000-3000M</v>
      </c>
      <c r="E138" s="11">
        <v>15507.57</v>
      </c>
      <c r="F138" s="26" t="str">
        <f>VLOOKUP(C138,'13. CUSTOS DER - SERVIÇOS'!A:C,3,0)</f>
        <v>M3</v>
      </c>
      <c r="G138" s="24">
        <f>VLOOKUP(C138,'13. CUSTOS DER - SERVIÇOS'!A:G,7,0)</f>
        <v>13.51</v>
      </c>
      <c r="H138" s="24">
        <v>0</v>
      </c>
      <c r="I138" s="25">
        <f>'3. BDI'!$C$19</f>
        <v>0.24666704095238123</v>
      </c>
      <c r="J138" s="24">
        <f>TRUNC(G138+(G138*I138),2)</f>
        <v>16.84</v>
      </c>
      <c r="K138" s="24">
        <f>TRUNC(H138+(H138*I138),2)</f>
        <v>0</v>
      </c>
      <c r="L138" s="24">
        <f>J138*E138</f>
        <v>261147.47879999998</v>
      </c>
      <c r="M138" s="24">
        <f>K138*E138</f>
        <v>0</v>
      </c>
      <c r="N138" s="24">
        <f>L138+M138</f>
        <v>261147.47879999998</v>
      </c>
      <c r="P138" s="24">
        <f>180.91/129.03</f>
        <v>1.4020770363481361</v>
      </c>
      <c r="Q138" s="24">
        <f t="shared" ref="Q138:Q139" si="256">TRUNC(P138*E138,2)</f>
        <v>21742.799999999999</v>
      </c>
      <c r="R138" s="24">
        <f t="shared" si="247"/>
        <v>27106.03</v>
      </c>
      <c r="S138" s="24">
        <f t="shared" si="248"/>
        <v>234041.44879999998</v>
      </c>
    </row>
    <row r="139" spans="1:19">
      <c r="A139" s="9" t="s">
        <v>23028</v>
      </c>
      <c r="B139" s="10" t="s">
        <v>9016</v>
      </c>
      <c r="C139" s="10">
        <v>423000</v>
      </c>
      <c r="D139" s="43" t="str">
        <f>VLOOKUP(C139,'13. CUSTOS DER - SERVIÇOS'!A:B,2,0)</f>
        <v>ESC. CARGA E TRANSP. 2A. CAT.  2000-3000M</v>
      </c>
      <c r="E139" s="11">
        <v>5716.22</v>
      </c>
      <c r="F139" s="26" t="str">
        <f>VLOOKUP(C139,'13. CUSTOS DER - SERVIÇOS'!A:C,3,0)</f>
        <v>M3</v>
      </c>
      <c r="G139" s="24">
        <f>VLOOKUP(C139,'13. CUSTOS DER - SERVIÇOS'!A:G,7,0)</f>
        <v>17.13</v>
      </c>
      <c r="H139" s="24">
        <v>0</v>
      </c>
      <c r="I139" s="25">
        <f>'3. BDI'!$C$19</f>
        <v>0.24666704095238123</v>
      </c>
      <c r="J139" s="24">
        <f t="shared" ref="J139" si="257">TRUNC(G139+(G139*I139),2)</f>
        <v>21.35</v>
      </c>
      <c r="K139" s="24">
        <f t="shared" ref="K139" si="258">TRUNC(H139+(H139*I139),2)</f>
        <v>0</v>
      </c>
      <c r="L139" s="24">
        <f t="shared" ref="L139" si="259">J139*E139</f>
        <v>122041.29700000002</v>
      </c>
      <c r="M139" s="24">
        <f t="shared" ref="M139" si="260">K139*E139</f>
        <v>0</v>
      </c>
      <c r="N139" s="24">
        <f t="shared" ref="N139" si="261">L139+M139</f>
        <v>122041.29700000002</v>
      </c>
      <c r="P139" s="24">
        <f>180.91/99.59</f>
        <v>1.8165478461692941</v>
      </c>
      <c r="Q139" s="24">
        <f t="shared" si="256"/>
        <v>10383.780000000001</v>
      </c>
      <c r="R139" s="24">
        <f t="shared" si="247"/>
        <v>12945.11</v>
      </c>
      <c r="S139" s="24">
        <f t="shared" si="248"/>
        <v>109096.18700000002</v>
      </c>
    </row>
    <row r="140" spans="1:19">
      <c r="A140" s="338"/>
      <c r="B140" s="44"/>
      <c r="C140" s="167"/>
      <c r="D140" s="341" t="s">
        <v>22787</v>
      </c>
      <c r="E140" s="339"/>
      <c r="F140" s="167"/>
      <c r="G140" s="339"/>
      <c r="H140" s="339"/>
      <c r="I140" s="340"/>
      <c r="J140" s="339"/>
      <c r="K140" s="339"/>
      <c r="L140" s="339"/>
      <c r="M140" s="339"/>
      <c r="N140" s="339"/>
      <c r="P140" s="339"/>
      <c r="Q140" s="339"/>
      <c r="R140" s="24">
        <f t="shared" si="247"/>
        <v>0</v>
      </c>
      <c r="S140" s="24">
        <f t="shared" si="248"/>
        <v>0</v>
      </c>
    </row>
    <row r="141" spans="1:19" ht="31.5">
      <c r="A141" s="9" t="s">
        <v>23029</v>
      </c>
      <c r="B141" s="10" t="s">
        <v>358</v>
      </c>
      <c r="C141" s="10" t="s">
        <v>22643</v>
      </c>
      <c r="D141" s="43" t="s">
        <v>217</v>
      </c>
      <c r="E141" s="11">
        <v>95484.07</v>
      </c>
      <c r="F141" s="26" t="s">
        <v>326</v>
      </c>
      <c r="G141" s="24">
        <f>VLOOKUP(C141,'9. CCU''S GERAIS AMEP'!A:K,11,0)</f>
        <v>36.5913509493394</v>
      </c>
      <c r="H141" s="24">
        <f>VLOOKUP(C141,'10. CCU TRANSPORTE'!B:J,9,0)</f>
        <v>27.93</v>
      </c>
      <c r="I141" s="25">
        <f>'3. BDI'!$C$19</f>
        <v>0.24666704095238123</v>
      </c>
      <c r="J141" s="24">
        <f t="shared" ref="J141" si="262">TRUNC(G141+(G141*I141),2)</f>
        <v>45.61</v>
      </c>
      <c r="K141" s="24">
        <f t="shared" ref="K141" si="263">TRUNC(H141+(H141*I141),2)</f>
        <v>34.81</v>
      </c>
      <c r="L141" s="24">
        <f t="shared" ref="L141" si="264">J141*E141</f>
        <v>4355028.4327000007</v>
      </c>
      <c r="M141" s="24">
        <f t="shared" ref="M141" si="265">K141*E141</f>
        <v>3323800.4767000005</v>
      </c>
      <c r="N141" s="24">
        <f t="shared" ref="N141" si="266">L141+M141</f>
        <v>7678828.9094000012</v>
      </c>
      <c r="P141" s="24">
        <v>0</v>
      </c>
      <c r="Q141" s="24">
        <f t="shared" ref="Q141:Q142" si="267">P141*E141</f>
        <v>0</v>
      </c>
      <c r="R141" s="24">
        <f t="shared" si="247"/>
        <v>0</v>
      </c>
      <c r="S141" s="24">
        <f t="shared" si="248"/>
        <v>7678828.9094000012</v>
      </c>
    </row>
    <row r="142" spans="1:19" ht="47.25">
      <c r="A142" s="9" t="s">
        <v>23030</v>
      </c>
      <c r="B142" s="10" t="s">
        <v>358</v>
      </c>
      <c r="C142" s="10" t="s">
        <v>22646</v>
      </c>
      <c r="D142" s="43" t="s">
        <v>220</v>
      </c>
      <c r="E142" s="11">
        <v>1092</v>
      </c>
      <c r="F142" s="26" t="s">
        <v>326</v>
      </c>
      <c r="G142" s="24">
        <f>VLOOKUP(C142,'9. CCU''S GERAIS AMEP'!A:K,11,0)</f>
        <v>84.631756234141221</v>
      </c>
      <c r="H142" s="24">
        <f>VLOOKUP(C142,'10. CCU TRANSPORTE'!B:J,9,0)</f>
        <v>36.299999999999997</v>
      </c>
      <c r="I142" s="25">
        <f>'3. BDI'!$C$19</f>
        <v>0.24666704095238123</v>
      </c>
      <c r="J142" s="24">
        <f>TRUNC(G142+(G142*I142),2)</f>
        <v>105.5</v>
      </c>
      <c r="K142" s="24">
        <f>TRUNC(H142+(H142*I142),2)</f>
        <v>45.25</v>
      </c>
      <c r="L142" s="24">
        <f>J142*E142</f>
        <v>115206</v>
      </c>
      <c r="M142" s="24">
        <f>K142*E142</f>
        <v>49413</v>
      </c>
      <c r="N142" s="24">
        <f>L142+M142</f>
        <v>164619</v>
      </c>
      <c r="P142" s="24">
        <v>0</v>
      </c>
      <c r="Q142" s="24">
        <f t="shared" si="267"/>
        <v>0</v>
      </c>
      <c r="R142" s="24">
        <f t="shared" si="247"/>
        <v>0</v>
      </c>
      <c r="S142" s="24">
        <f t="shared" si="248"/>
        <v>164619</v>
      </c>
    </row>
    <row r="143" spans="1:19">
      <c r="A143" s="338"/>
      <c r="B143" s="44"/>
      <c r="C143" s="167"/>
      <c r="D143" s="341" t="s">
        <v>22785</v>
      </c>
      <c r="E143" s="339"/>
      <c r="F143" s="167"/>
      <c r="G143" s="339"/>
      <c r="H143" s="339"/>
      <c r="I143" s="340"/>
      <c r="J143" s="339"/>
      <c r="K143" s="339"/>
      <c r="L143" s="339"/>
      <c r="M143" s="339"/>
      <c r="N143" s="339"/>
      <c r="P143" s="339"/>
      <c r="Q143" s="339"/>
      <c r="R143" s="24">
        <f t="shared" si="247"/>
        <v>0</v>
      </c>
      <c r="S143" s="24">
        <f t="shared" si="248"/>
        <v>0</v>
      </c>
    </row>
    <row r="144" spans="1:19">
      <c r="A144" s="9" t="s">
        <v>23031</v>
      </c>
      <c r="B144" s="10" t="s">
        <v>9016</v>
      </c>
      <c r="C144" s="10">
        <v>401100</v>
      </c>
      <c r="D144" s="43" t="str">
        <f>VLOOKUP(C144,'13. CUSTOS DER - SERVIÇOS'!A:B,2,0)</f>
        <v>COMPACTAÇÃO DE ATERROS 100% PN (B)</v>
      </c>
      <c r="E144" s="11">
        <v>76423.539999999994</v>
      </c>
      <c r="F144" s="26" t="str">
        <f>VLOOKUP(C144,'13. CUSTOS DER - SERVIÇOS'!A:C,3,0)</f>
        <v>M3</v>
      </c>
      <c r="G144" s="24">
        <f>VLOOKUP(C144,'13. CUSTOS DER - SERVIÇOS'!A:G,7,0)</f>
        <v>6.66</v>
      </c>
      <c r="H144" s="24">
        <v>0</v>
      </c>
      <c r="I144" s="25">
        <f>'3. BDI'!$C$19</f>
        <v>0.24666704095238123</v>
      </c>
      <c r="J144" s="24">
        <f>TRUNC(G144+(G144*I144),2)</f>
        <v>8.3000000000000007</v>
      </c>
      <c r="K144" s="24">
        <f>TRUNC(H144+(H144*I144),2)</f>
        <v>0</v>
      </c>
      <c r="L144" s="24">
        <f>J144*E144</f>
        <v>634315.38199999998</v>
      </c>
      <c r="M144" s="24">
        <f>K144*E144</f>
        <v>0</v>
      </c>
      <c r="N144" s="24">
        <f>L144+M144</f>
        <v>634315.38199999998</v>
      </c>
      <c r="P144" s="24">
        <f>71.5/136.18</f>
        <v>0.52504038772213246</v>
      </c>
      <c r="Q144" s="24">
        <f t="shared" ref="Q144:Q147" si="268">TRUNC(P144*E144,2)</f>
        <v>40125.440000000002</v>
      </c>
      <c r="R144" s="24">
        <f t="shared" si="247"/>
        <v>50023.06</v>
      </c>
      <c r="S144" s="24">
        <f t="shared" si="248"/>
        <v>584292.32199999993</v>
      </c>
    </row>
    <row r="145" spans="1:19">
      <c r="A145" s="9" t="s">
        <v>23032</v>
      </c>
      <c r="B145" s="10" t="s">
        <v>9016</v>
      </c>
      <c r="C145" s="10">
        <v>401950</v>
      </c>
      <c r="D145" s="43" t="str">
        <f>VLOOKUP(C145,'13. CUSTOS DER - SERVIÇOS'!A:B,2,0)</f>
        <v>COMPACTAÇÃO DE ATERROS  95% PN (B)</v>
      </c>
      <c r="E145" s="11">
        <v>10288.68</v>
      </c>
      <c r="F145" s="26" t="str">
        <f>VLOOKUP(C145,'13. CUSTOS DER - SERVIÇOS'!A:C,3,0)</f>
        <v>M3</v>
      </c>
      <c r="G145" s="24">
        <f>VLOOKUP(C145,'13. CUSTOS DER - SERVIÇOS'!A:G,7,0)</f>
        <v>5.54</v>
      </c>
      <c r="H145" s="24">
        <v>0</v>
      </c>
      <c r="I145" s="25">
        <f>'3. BDI'!$C$19</f>
        <v>0.24666704095238123</v>
      </c>
      <c r="J145" s="24">
        <f>TRUNC(G145+(G145*I145),2)</f>
        <v>6.9</v>
      </c>
      <c r="K145" s="24">
        <f>TRUNC(H145+(H145*I145),2)</f>
        <v>0</v>
      </c>
      <c r="L145" s="24">
        <f>J145*E145</f>
        <v>70991.892000000007</v>
      </c>
      <c r="M145" s="24">
        <f>K145*E145</f>
        <v>0</v>
      </c>
      <c r="N145" s="24">
        <f>L145+M145</f>
        <v>70991.892000000007</v>
      </c>
      <c r="P145" s="24">
        <f>71.5/170.23</f>
        <v>0.42001997297773602</v>
      </c>
      <c r="Q145" s="24">
        <f t="shared" si="268"/>
        <v>4321.45</v>
      </c>
      <c r="R145" s="24">
        <f t="shared" si="247"/>
        <v>5387.4</v>
      </c>
      <c r="S145" s="24">
        <f t="shared" si="248"/>
        <v>65604.492000000013</v>
      </c>
    </row>
    <row r="146" spans="1:19">
      <c r="A146" s="9" t="s">
        <v>23033</v>
      </c>
      <c r="B146" s="10" t="s">
        <v>9016</v>
      </c>
      <c r="C146" s="10">
        <v>402000</v>
      </c>
      <c r="D146" s="43" t="str">
        <f>VLOOKUP(C146,'13. CUSTOS DER - SERVIÇOS'!A:B,2,0)</f>
        <v>COMPACTAÇÃO DE ATERROS EM 2A. CAT.</v>
      </c>
      <c r="E146" s="11">
        <v>4763.51</v>
      </c>
      <c r="F146" s="26" t="str">
        <f>VLOOKUP(C146,'13. CUSTOS DER - SERVIÇOS'!A:C,3,0)</f>
        <v>M3</v>
      </c>
      <c r="G146" s="24">
        <f>VLOOKUP(C146,'13. CUSTOS DER - SERVIÇOS'!A:G,7,0)</f>
        <v>7.29</v>
      </c>
      <c r="H146" s="24">
        <v>0</v>
      </c>
      <c r="I146" s="25">
        <f>'3. BDI'!$C$19</f>
        <v>0.24666704095238123</v>
      </c>
      <c r="J146" s="24">
        <f>TRUNC(G146+(G146*I146),2)</f>
        <v>9.08</v>
      </c>
      <c r="K146" s="24">
        <f>TRUNC(H146+(H146*I146),2)</f>
        <v>0</v>
      </c>
      <c r="L146" s="24">
        <f>J146*E146</f>
        <v>43252.6708</v>
      </c>
      <c r="M146" s="24">
        <f>K146*E146</f>
        <v>0</v>
      </c>
      <c r="N146" s="24">
        <f>L146+M146</f>
        <v>43252.6708</v>
      </c>
      <c r="P146" s="24">
        <f>71.5/122.22</f>
        <v>0.58501063655702834</v>
      </c>
      <c r="Q146" s="24">
        <f t="shared" si="268"/>
        <v>2786.7</v>
      </c>
      <c r="R146" s="24">
        <f t="shared" si="247"/>
        <v>3474.08</v>
      </c>
      <c r="S146" s="24">
        <f t="shared" si="248"/>
        <v>39778.590799999998</v>
      </c>
    </row>
    <row r="147" spans="1:19">
      <c r="A147" s="9" t="s">
        <v>23034</v>
      </c>
      <c r="B147" s="10" t="s">
        <v>9016</v>
      </c>
      <c r="C147" s="10">
        <v>403000</v>
      </c>
      <c r="D147" s="43" t="str">
        <f>VLOOKUP(C147,'13. CUSTOS DER - SERVIÇOS'!A:B,2,0)</f>
        <v>COMPACTAÇÃO DE ATERROS EM 3A. CAT.</v>
      </c>
      <c r="E147" s="11">
        <v>1092</v>
      </c>
      <c r="F147" s="26" t="str">
        <f>VLOOKUP(C147,'13. CUSTOS DER - SERVIÇOS'!A:C,3,0)</f>
        <v>M3</v>
      </c>
      <c r="G147" s="24">
        <f>VLOOKUP(C147,'13. CUSTOS DER - SERVIÇOS'!A:G,7,0)</f>
        <v>7.23</v>
      </c>
      <c r="H147" s="24">
        <v>0</v>
      </c>
      <c r="I147" s="25">
        <f>'3. BDI'!$C$19</f>
        <v>0.24666704095238123</v>
      </c>
      <c r="J147" s="24">
        <f>TRUNC(G147+(G147*I147),2)</f>
        <v>9.01</v>
      </c>
      <c r="K147" s="24">
        <f>TRUNC(H147+(H147*I147),2)</f>
        <v>0</v>
      </c>
      <c r="L147" s="24">
        <f>J147*E147</f>
        <v>9838.92</v>
      </c>
      <c r="M147" s="24">
        <f>K147*E147</f>
        <v>0</v>
      </c>
      <c r="N147" s="24">
        <f>L147+M147</f>
        <v>9838.92</v>
      </c>
      <c r="P147" s="24">
        <f>71.5/79.48</f>
        <v>0.89959738298943126</v>
      </c>
      <c r="Q147" s="24">
        <f t="shared" si="268"/>
        <v>982.36</v>
      </c>
      <c r="R147" s="24">
        <f t="shared" si="247"/>
        <v>1224.67</v>
      </c>
      <c r="S147" s="24">
        <f t="shared" si="248"/>
        <v>8614.25</v>
      </c>
    </row>
    <row r="148" spans="1:19">
      <c r="A148" s="338"/>
      <c r="B148" s="44"/>
      <c r="C148" s="167"/>
      <c r="D148" s="341" t="s">
        <v>9055</v>
      </c>
      <c r="E148" s="339"/>
      <c r="F148" s="167"/>
      <c r="G148" s="339"/>
      <c r="H148" s="339"/>
      <c r="I148" s="340"/>
      <c r="J148" s="339"/>
      <c r="K148" s="339"/>
      <c r="L148" s="339"/>
      <c r="M148" s="339"/>
      <c r="N148" s="339"/>
      <c r="P148" s="339"/>
      <c r="Q148" s="339"/>
      <c r="R148" s="24">
        <f t="shared" si="247"/>
        <v>0</v>
      </c>
      <c r="S148" s="24">
        <f t="shared" si="248"/>
        <v>0</v>
      </c>
    </row>
    <row r="149" spans="1:19">
      <c r="A149" s="9" t="s">
        <v>23035</v>
      </c>
      <c r="B149" s="10" t="s">
        <v>358</v>
      </c>
      <c r="C149" s="10" t="s">
        <v>22639</v>
      </c>
      <c r="D149" s="43" t="s">
        <v>214</v>
      </c>
      <c r="E149" s="11">
        <v>44348.29</v>
      </c>
      <c r="F149" s="26" t="s">
        <v>326</v>
      </c>
      <c r="G149" s="24">
        <f>VLOOKUP(C149,'9. CCU''S GERAIS AMEP'!A:K,11,0)</f>
        <v>27.468131442300237</v>
      </c>
      <c r="H149" s="24">
        <f>VLOOKUP(C149,'10. CCU TRANSPORTE'!B:J,9,0)</f>
        <v>36.69</v>
      </c>
      <c r="I149" s="25">
        <f>'3. BDI'!$C$19</f>
        <v>0.24666704095238123</v>
      </c>
      <c r="J149" s="24">
        <f t="shared" si="239"/>
        <v>34.24</v>
      </c>
      <c r="K149" s="24">
        <f t="shared" si="240"/>
        <v>45.74</v>
      </c>
      <c r="L149" s="24">
        <f t="shared" si="241"/>
        <v>1518485.4496000002</v>
      </c>
      <c r="M149" s="24">
        <f t="shared" si="242"/>
        <v>2028490.7846000001</v>
      </c>
      <c r="N149" s="24">
        <f t="shared" si="243"/>
        <v>3546976.2342000003</v>
      </c>
      <c r="P149" s="24">
        <f>180.91/129.03</f>
        <v>1.4020770363481361</v>
      </c>
      <c r="Q149" s="24">
        <f t="shared" ref="Q149" si="269">P149*E149</f>
        <v>62179.719010307679</v>
      </c>
      <c r="R149" s="24">
        <f t="shared" si="247"/>
        <v>77517.399999999994</v>
      </c>
      <c r="S149" s="24">
        <f t="shared" si="248"/>
        <v>3469458.8342000004</v>
      </c>
    </row>
    <row r="150" spans="1:19">
      <c r="A150" s="9" t="s">
        <v>23036</v>
      </c>
      <c r="B150" s="10" t="s">
        <v>9016</v>
      </c>
      <c r="C150" s="10">
        <v>404300</v>
      </c>
      <c r="D150" s="43" t="str">
        <f>VLOOKUP(C150,'13. CUSTOS DER - SERVIÇOS'!A:B,2,0)</f>
        <v>ESPALHAMENTO E CONFORMAÇÃO DE BOTA-FORA</v>
      </c>
      <c r="E150" s="11">
        <v>44348.29</v>
      </c>
      <c r="F150" s="26" t="str">
        <f>VLOOKUP(C150,'13. CUSTOS DER - SERVIÇOS'!A:C,3,0)</f>
        <v>M3</v>
      </c>
      <c r="G150" s="24">
        <f>VLOOKUP(C150,'13. CUSTOS DER - SERVIÇOS'!A:G,7,0)</f>
        <v>0.79</v>
      </c>
      <c r="H150" s="24">
        <v>0</v>
      </c>
      <c r="I150" s="25">
        <f>'3. BDI'!$C$19</f>
        <v>0.24666704095238123</v>
      </c>
      <c r="J150" s="24">
        <f t="shared" ref="J150" si="270">TRUNC(G150+(G150*I150),2)</f>
        <v>0.98</v>
      </c>
      <c r="K150" s="24">
        <f t="shared" ref="K150" si="271">TRUNC(H150+(H150*I150),2)</f>
        <v>0</v>
      </c>
      <c r="L150" s="24">
        <f t="shared" ref="L150" si="272">J150*E150</f>
        <v>43461.324200000003</v>
      </c>
      <c r="M150" s="24">
        <f t="shared" ref="M150" si="273">K150*E150</f>
        <v>0</v>
      </c>
      <c r="N150" s="24">
        <f t="shared" ref="N150" si="274">L150+M150</f>
        <v>43461.324200000003</v>
      </c>
      <c r="P150" s="24">
        <f>31.46/574.08</f>
        <v>5.480072463768116E-2</v>
      </c>
      <c r="Q150" s="24">
        <f>TRUNC(P150*E150,2)</f>
        <v>2430.31</v>
      </c>
      <c r="R150" s="24">
        <f t="shared" si="247"/>
        <v>3029.78</v>
      </c>
      <c r="S150" s="24">
        <f t="shared" si="248"/>
        <v>40431.544200000004</v>
      </c>
    </row>
    <row r="151" spans="1:19">
      <c r="A151" s="310" t="s">
        <v>339</v>
      </c>
      <c r="B151" s="311"/>
      <c r="C151" s="315"/>
      <c r="D151" s="317" t="s">
        <v>22870</v>
      </c>
      <c r="E151" s="314"/>
      <c r="F151" s="315" t="s">
        <v>195</v>
      </c>
      <c r="G151" s="314"/>
      <c r="H151" s="314"/>
      <c r="I151" s="316"/>
      <c r="J151" s="314"/>
      <c r="K151" s="314"/>
      <c r="L151" s="314">
        <f t="shared" ref="L151:M151" si="275">L152+L235+L285+L384+L441</f>
        <v>12369072.859400004</v>
      </c>
      <c r="M151" s="314">
        <f t="shared" si="275"/>
        <v>275438.98090000002</v>
      </c>
      <c r="N151" s="314">
        <f>N152+N235+N285+N384+N441</f>
        <v>12644511.840300001</v>
      </c>
      <c r="P151" s="314">
        <f t="shared" ref="P151:S151" si="276">P152+P235+P285+P384+P441</f>
        <v>17445.049341599501</v>
      </c>
      <c r="Q151" s="314">
        <f t="shared" si="276"/>
        <v>3214416.1580819655</v>
      </c>
      <c r="R151" s="314">
        <f t="shared" si="276"/>
        <v>4007305.3800000004</v>
      </c>
      <c r="S151" s="314">
        <f t="shared" si="276"/>
        <v>8637206.4602999985</v>
      </c>
    </row>
    <row r="152" spans="1:19">
      <c r="A152" s="28" t="s">
        <v>22976</v>
      </c>
      <c r="B152" s="48"/>
      <c r="C152" s="32"/>
      <c r="D152" s="301" t="s">
        <v>22779</v>
      </c>
      <c r="E152" s="33"/>
      <c r="F152" s="32" t="s">
        <v>195</v>
      </c>
      <c r="G152" s="33"/>
      <c r="H152" s="33"/>
      <c r="I152" s="34"/>
      <c r="J152" s="33"/>
      <c r="K152" s="33"/>
      <c r="L152" s="33">
        <f t="shared" ref="L152:M152" si="277">SUM(L153:L234)</f>
        <v>2627464.753800001</v>
      </c>
      <c r="M152" s="33">
        <f t="shared" si="277"/>
        <v>59708.472200000004</v>
      </c>
      <c r="N152" s="33">
        <f>SUM(N153:N234)</f>
        <v>2687173.2260000007</v>
      </c>
      <c r="P152" s="33">
        <f t="shared" ref="P152:S152" si="278">SUM(P153:P234)</f>
        <v>3086.909164373008</v>
      </c>
      <c r="Q152" s="33">
        <f t="shared" si="278"/>
        <v>663989.55658057542</v>
      </c>
      <c r="R152" s="33">
        <f t="shared" si="278"/>
        <v>827773.64</v>
      </c>
      <c r="S152" s="33">
        <f t="shared" si="278"/>
        <v>1859399.5860000004</v>
      </c>
    </row>
    <row r="153" spans="1:19">
      <c r="A153" s="338"/>
      <c r="B153" s="44"/>
      <c r="C153" s="167"/>
      <c r="D153" s="341" t="s">
        <v>22794</v>
      </c>
      <c r="E153" s="339"/>
      <c r="F153" s="167"/>
      <c r="G153" s="339"/>
      <c r="H153" s="339"/>
      <c r="I153" s="340"/>
      <c r="J153" s="339"/>
      <c r="K153" s="339"/>
      <c r="L153" s="339"/>
      <c r="M153" s="339"/>
      <c r="N153" s="339"/>
      <c r="P153" s="339"/>
      <c r="Q153" s="339"/>
      <c r="R153" s="24">
        <f t="shared" ref="R153:R184" si="279">TRUNC((Q153*I153+Q153),2)</f>
        <v>0</v>
      </c>
      <c r="S153" s="24">
        <f t="shared" ref="S153:S184" si="280">N153-R153</f>
        <v>0</v>
      </c>
    </row>
    <row r="154" spans="1:19" ht="31.5">
      <c r="A154" s="9" t="s">
        <v>23524</v>
      </c>
      <c r="B154" s="10" t="s">
        <v>358</v>
      </c>
      <c r="C154" s="10" t="s">
        <v>22649</v>
      </c>
      <c r="D154" s="43" t="s">
        <v>248</v>
      </c>
      <c r="E154" s="11">
        <v>5017</v>
      </c>
      <c r="F154" s="13" t="s">
        <v>328</v>
      </c>
      <c r="G154" s="24">
        <f>VLOOKUP(C154,'9. CCU''S GERAIS AMEP'!A:K,11,0)</f>
        <v>90.283322123893797</v>
      </c>
      <c r="H154" s="24">
        <v>0</v>
      </c>
      <c r="I154" s="25">
        <f>'3. BDI'!$C$19</f>
        <v>0.24666704095238123</v>
      </c>
      <c r="J154" s="24">
        <f t="shared" ref="J154" si="281">TRUNC(G154+(G154*I154),2)</f>
        <v>112.55</v>
      </c>
      <c r="K154" s="24">
        <f t="shared" ref="K154" si="282">TRUNC(H154+(H154*I154),2)</f>
        <v>0</v>
      </c>
      <c r="L154" s="24">
        <f t="shared" ref="L154" si="283">J154*E154</f>
        <v>564663.35</v>
      </c>
      <c r="M154" s="24">
        <f t="shared" ref="M154" si="284">K154*E154</f>
        <v>0</v>
      </c>
      <c r="N154" s="24">
        <f t="shared" ref="N154" si="285">L154+M154</f>
        <v>564663.35</v>
      </c>
      <c r="P154" s="24">
        <f>103.68/113</f>
        <v>0.91752212389380539</v>
      </c>
      <c r="Q154" s="24">
        <f t="shared" ref="Q154" si="286">P154*E154</f>
        <v>4603.2084955752216</v>
      </c>
      <c r="R154" s="24">
        <f t="shared" si="279"/>
        <v>5738.66</v>
      </c>
      <c r="S154" s="24">
        <f t="shared" si="280"/>
        <v>558924.68999999994</v>
      </c>
    </row>
    <row r="155" spans="1:19">
      <c r="A155" s="338"/>
      <c r="B155" s="44"/>
      <c r="C155" s="167"/>
      <c r="D155" s="341" t="s">
        <v>22795</v>
      </c>
      <c r="E155" s="339"/>
      <c r="F155" s="167"/>
      <c r="G155" s="339"/>
      <c r="H155" s="339"/>
      <c r="I155" s="340"/>
      <c r="J155" s="339"/>
      <c r="K155" s="339"/>
      <c r="L155" s="339"/>
      <c r="M155" s="339"/>
      <c r="N155" s="339"/>
      <c r="P155" s="339"/>
      <c r="Q155" s="339"/>
      <c r="R155" s="24">
        <f t="shared" si="279"/>
        <v>0</v>
      </c>
      <c r="S155" s="24">
        <f t="shared" si="280"/>
        <v>0</v>
      </c>
    </row>
    <row r="156" spans="1:19">
      <c r="A156" s="9" t="s">
        <v>23525</v>
      </c>
      <c r="B156" s="10" t="s">
        <v>358</v>
      </c>
      <c r="C156" s="248" t="s">
        <v>22653</v>
      </c>
      <c r="D156" s="43" t="s">
        <v>258</v>
      </c>
      <c r="E156" s="11">
        <v>659</v>
      </c>
      <c r="F156" s="13" t="s">
        <v>328</v>
      </c>
      <c r="G156" s="24">
        <f>VLOOKUP(C156,'9. CCU''S GERAIS AMEP'!A:K,11,0)</f>
        <v>106.51</v>
      </c>
      <c r="H156" s="24">
        <v>0</v>
      </c>
      <c r="I156" s="25">
        <f>'3. BDI'!$C$19</f>
        <v>0.24666704095238123</v>
      </c>
      <c r="J156" s="24">
        <f t="shared" ref="J156" si="287">TRUNC(G156+(G156*I156),2)</f>
        <v>132.78</v>
      </c>
      <c r="K156" s="24">
        <f t="shared" ref="K156" si="288">TRUNC(H156+(H156*I156),2)</f>
        <v>0</v>
      </c>
      <c r="L156" s="24">
        <f t="shared" ref="L156" si="289">J156*E156</f>
        <v>87502.02</v>
      </c>
      <c r="M156" s="24">
        <f t="shared" ref="M156" si="290">K156*E156</f>
        <v>0</v>
      </c>
      <c r="N156" s="24">
        <f t="shared" ref="N156" si="291">L156+M156</f>
        <v>87502.02</v>
      </c>
      <c r="P156" s="24">
        <f>72.22/1</f>
        <v>72.22</v>
      </c>
      <c r="Q156" s="24">
        <f t="shared" ref="Q156" si="292">P156*E156</f>
        <v>47592.979999999996</v>
      </c>
      <c r="R156" s="24">
        <f t="shared" si="279"/>
        <v>59332.59</v>
      </c>
      <c r="S156" s="24">
        <f t="shared" si="280"/>
        <v>28169.430000000008</v>
      </c>
    </row>
    <row r="157" spans="1:19">
      <c r="A157" s="338"/>
      <c r="B157" s="44"/>
      <c r="C157" s="167"/>
      <c r="D157" s="341" t="s">
        <v>22796</v>
      </c>
      <c r="E157" s="339"/>
      <c r="F157" s="167"/>
      <c r="G157" s="339"/>
      <c r="H157" s="339"/>
      <c r="I157" s="340"/>
      <c r="J157" s="339"/>
      <c r="K157" s="339"/>
      <c r="L157" s="339"/>
      <c r="M157" s="339"/>
      <c r="N157" s="339"/>
      <c r="P157" s="339"/>
      <c r="Q157" s="339"/>
      <c r="R157" s="24">
        <f t="shared" si="279"/>
        <v>0</v>
      </c>
      <c r="S157" s="24">
        <f t="shared" si="280"/>
        <v>0</v>
      </c>
    </row>
    <row r="158" spans="1:19">
      <c r="A158" s="9" t="s">
        <v>23526</v>
      </c>
      <c r="B158" s="10" t="s">
        <v>358</v>
      </c>
      <c r="C158" s="10" t="s">
        <v>22652</v>
      </c>
      <c r="D158" s="43" t="s">
        <v>257</v>
      </c>
      <c r="E158" s="11">
        <v>1311</v>
      </c>
      <c r="F158" s="13" t="s">
        <v>328</v>
      </c>
      <c r="G158" s="24">
        <f>VLOOKUP(C158,'9. CCU''S GERAIS AMEP'!A:K,11,0)</f>
        <v>53.376099999999994</v>
      </c>
      <c r="H158" s="24">
        <v>0</v>
      </c>
      <c r="I158" s="25">
        <f>'3. BDI'!$C$19</f>
        <v>0.24666704095238123</v>
      </c>
      <c r="J158" s="24">
        <f t="shared" ref="J158" si="293">TRUNC(G158+(G158*I158),2)</f>
        <v>66.540000000000006</v>
      </c>
      <c r="K158" s="24">
        <f t="shared" ref="K158" si="294">TRUNC(H158+(H158*I158),2)</f>
        <v>0</v>
      </c>
      <c r="L158" s="24">
        <f t="shared" ref="L158" si="295">J158*E158</f>
        <v>87233.94</v>
      </c>
      <c r="M158" s="24">
        <f t="shared" ref="M158" si="296">K158*E158</f>
        <v>0</v>
      </c>
      <c r="N158" s="24">
        <f t="shared" ref="N158" si="297">L158+M158</f>
        <v>87233.94</v>
      </c>
      <c r="P158" s="24">
        <f>13.73/1</f>
        <v>13.73</v>
      </c>
      <c r="Q158" s="24">
        <f t="shared" ref="Q158" si="298">P158*E158</f>
        <v>18000.03</v>
      </c>
      <c r="R158" s="24">
        <f t="shared" si="279"/>
        <v>22440.04</v>
      </c>
      <c r="S158" s="24">
        <f t="shared" si="280"/>
        <v>64793.9</v>
      </c>
    </row>
    <row r="159" spans="1:19">
      <c r="A159" s="338"/>
      <c r="B159" s="44"/>
      <c r="C159" s="167"/>
      <c r="D159" s="341" t="s">
        <v>22788</v>
      </c>
      <c r="E159" s="339"/>
      <c r="F159" s="167"/>
      <c r="G159" s="339"/>
      <c r="H159" s="339"/>
      <c r="I159" s="340"/>
      <c r="J159" s="339"/>
      <c r="K159" s="339"/>
      <c r="L159" s="339"/>
      <c r="M159" s="339"/>
      <c r="N159" s="339"/>
      <c r="P159" s="339"/>
      <c r="Q159" s="339"/>
      <c r="R159" s="24">
        <f t="shared" si="279"/>
        <v>0</v>
      </c>
      <c r="S159" s="24">
        <f t="shared" si="280"/>
        <v>0</v>
      </c>
    </row>
    <row r="160" spans="1:19">
      <c r="A160" s="9" t="s">
        <v>23527</v>
      </c>
      <c r="B160" s="10" t="s">
        <v>9016</v>
      </c>
      <c r="C160" s="10">
        <v>622100</v>
      </c>
      <c r="D160" s="43" t="str">
        <f>VLOOKUP(C160,'13. CUSTOS DER - SERVIÇOS'!A:B,2,0)</f>
        <v>BOCA DE SAÍDA DRENO PROFUNDO - TIPO 2</v>
      </c>
      <c r="E160" s="11">
        <v>17</v>
      </c>
      <c r="F160" s="26" t="str">
        <f>VLOOKUP(C160,'13. CUSTOS DER - SERVIÇOS'!A:C,3,0)</f>
        <v>UD</v>
      </c>
      <c r="G160" s="24">
        <f>VLOOKUP(C160,'13. CUSTOS DER - SERVIÇOS'!A:G,7,0)</f>
        <v>294.64999999999998</v>
      </c>
      <c r="H160" s="24">
        <f>VLOOKUP(C160,'10. CCU TRANSPORTE'!B:J,9,0)</f>
        <v>12.94</v>
      </c>
      <c r="I160" s="25">
        <f>'3. BDI'!$C$19</f>
        <v>0.24666704095238123</v>
      </c>
      <c r="J160" s="24">
        <f t="shared" ref="J160" si="299">TRUNC(G160+(G160*I160),2)</f>
        <v>367.33</v>
      </c>
      <c r="K160" s="24">
        <f t="shared" ref="K160" si="300">TRUNC(H160+(H160*I160),2)</f>
        <v>16.13</v>
      </c>
      <c r="L160" s="24">
        <f t="shared" ref="L160" si="301">J160*E160</f>
        <v>6244.61</v>
      </c>
      <c r="M160" s="24">
        <f t="shared" ref="M160" si="302">K160*E160</f>
        <v>274.20999999999998</v>
      </c>
      <c r="N160" s="24">
        <f t="shared" ref="N160" si="303">L160+M160</f>
        <v>6518.82</v>
      </c>
      <c r="P160" s="24">
        <f>26.09/1</f>
        <v>26.09</v>
      </c>
      <c r="Q160" s="24">
        <f>TRUNC(P160*E160,2)</f>
        <v>443.53</v>
      </c>
      <c r="R160" s="24">
        <f t="shared" si="279"/>
        <v>552.92999999999995</v>
      </c>
      <c r="S160" s="24">
        <f t="shared" si="280"/>
        <v>5965.8899999999994</v>
      </c>
    </row>
    <row r="161" spans="1:19">
      <c r="A161" s="338"/>
      <c r="B161" s="44"/>
      <c r="C161" s="167"/>
      <c r="D161" s="341" t="s">
        <v>22797</v>
      </c>
      <c r="E161" s="336"/>
      <c r="F161" s="167"/>
      <c r="G161" s="339"/>
      <c r="H161" s="339"/>
      <c r="I161" s="340"/>
      <c r="J161" s="339"/>
      <c r="K161" s="339"/>
      <c r="L161" s="339"/>
      <c r="M161" s="339"/>
      <c r="N161" s="339"/>
      <c r="P161" s="339"/>
      <c r="Q161" s="339"/>
      <c r="R161" s="24">
        <f t="shared" si="279"/>
        <v>0</v>
      </c>
      <c r="S161" s="24">
        <f t="shared" si="280"/>
        <v>0</v>
      </c>
    </row>
    <row r="162" spans="1:19">
      <c r="A162" s="9" t="s">
        <v>23528</v>
      </c>
      <c r="B162" s="10" t="s">
        <v>9016</v>
      </c>
      <c r="C162" s="10">
        <v>600000</v>
      </c>
      <c r="D162" s="43" t="str">
        <f>VLOOKUP(C162,'13. CUSTOS DER - SERVIÇOS'!A:B,2,0)</f>
        <v>ESCAVAÇÃO MANUAL DE VALA 1A. CAT.</v>
      </c>
      <c r="E162" s="11">
        <v>18.920000000000002</v>
      </c>
      <c r="F162" s="26" t="str">
        <f>VLOOKUP(C162,'13. CUSTOS DER - SERVIÇOS'!A:C,3,0)</f>
        <v>M3</v>
      </c>
      <c r="G162" s="24">
        <f>VLOOKUP(C162,'13. CUSTOS DER - SERVIÇOS'!A:G,7,0)</f>
        <v>49.54</v>
      </c>
      <c r="H162" s="24">
        <v>0</v>
      </c>
      <c r="I162" s="25">
        <f>'3. BDI'!$C$19</f>
        <v>0.24666704095238123</v>
      </c>
      <c r="J162" s="24">
        <f t="shared" ref="J162:J166" si="304">TRUNC(G162+(G162*I162),2)</f>
        <v>61.75</v>
      </c>
      <c r="K162" s="24">
        <f t="shared" ref="K162:K166" si="305">TRUNC(H162+(H162*I162),2)</f>
        <v>0</v>
      </c>
      <c r="L162" s="24">
        <f t="shared" ref="L162:L166" si="306">J162*E162</f>
        <v>1168.3100000000002</v>
      </c>
      <c r="M162" s="24">
        <f t="shared" ref="M162:M166" si="307">K162*E162</f>
        <v>0</v>
      </c>
      <c r="N162" s="24">
        <f t="shared" ref="N162:N166" si="308">L162+M162</f>
        <v>1168.3100000000002</v>
      </c>
      <c r="P162" s="24">
        <f>47.19/1</f>
        <v>47.19</v>
      </c>
      <c r="Q162" s="24">
        <f>TRUNC(P162*E162,2)</f>
        <v>892.83</v>
      </c>
      <c r="R162" s="24">
        <f t="shared" si="279"/>
        <v>1113.06</v>
      </c>
      <c r="S162" s="24">
        <f t="shared" si="280"/>
        <v>55.250000000000227</v>
      </c>
    </row>
    <row r="163" spans="1:19" ht="31.5">
      <c r="A163" s="9" t="s">
        <v>23529</v>
      </c>
      <c r="B163" s="10" t="s">
        <v>22708</v>
      </c>
      <c r="C163" s="10">
        <v>1506055</v>
      </c>
      <c r="D163" s="43" t="str">
        <f>UPPER(VLOOKUP(C163,'18. CUSTOS DNIT - SERVIÇOS'!A:B,2,0))</f>
        <v>PEDRA ARGAMASSADA COM CIMENTO E AREIA 1:3 - AREIA E PEDRA DE MÃO COMERCIAL - FORNECIMENTO E ASSENTAMENTO</v>
      </c>
      <c r="E163" s="11">
        <v>14</v>
      </c>
      <c r="F163" s="26" t="str">
        <f>UPPER(VLOOKUP(C163,'18. CUSTOS DNIT - SERVIÇOS'!A:C,3,0))</f>
        <v>M³</v>
      </c>
      <c r="G163" s="24">
        <f>VLOOKUP(C163,'18. CUSTOS DNIT - SERVIÇOS'!A:D,4,0)</f>
        <v>399.01</v>
      </c>
      <c r="H163" s="24"/>
      <c r="I163" s="25">
        <f>'3. BDI'!$C$19</f>
        <v>0.24666704095238123</v>
      </c>
      <c r="J163" s="24">
        <f>TRUNC(G163+(G163*I163),2)</f>
        <v>497.43</v>
      </c>
      <c r="K163" s="24">
        <f>TRUNC(H163+(H163*I163),2)</f>
        <v>0</v>
      </c>
      <c r="L163" s="24">
        <f>J163*E163</f>
        <v>6964.02</v>
      </c>
      <c r="M163" s="24">
        <f>K163*E163</f>
        <v>0</v>
      </c>
      <c r="N163" s="24">
        <f>L163+M163</f>
        <v>6964.02</v>
      </c>
      <c r="P163" s="24">
        <f>133.9364/1</f>
        <v>133.93639999999999</v>
      </c>
      <c r="Q163" s="24">
        <f>TRUNC((P163*E163),2)</f>
        <v>1875.1</v>
      </c>
      <c r="R163" s="24">
        <f t="shared" si="279"/>
        <v>2337.62</v>
      </c>
      <c r="S163" s="24">
        <f t="shared" si="280"/>
        <v>4626.4000000000005</v>
      </c>
    </row>
    <row r="164" spans="1:19">
      <c r="A164" s="9" t="s">
        <v>23530</v>
      </c>
      <c r="B164" s="10" t="s">
        <v>9016</v>
      </c>
      <c r="C164" s="10">
        <v>601100</v>
      </c>
      <c r="D164" s="43" t="str">
        <f>VLOOKUP(C164,'13. CUSTOS DER - SERVIÇOS'!A:B,2,0)</f>
        <v>APILOAMENTO MANUAL</v>
      </c>
      <c r="E164" s="11">
        <v>1.2</v>
      </c>
      <c r="F164" s="26" t="str">
        <f>VLOOKUP(C164,'13. CUSTOS DER - SERVIÇOS'!A:C,3,0)</f>
        <v>M3</v>
      </c>
      <c r="G164" s="24">
        <f>VLOOKUP(C164,'13. CUSTOS DER - SERVIÇOS'!A:G,7,0)</f>
        <v>54.05</v>
      </c>
      <c r="H164" s="24"/>
      <c r="I164" s="25">
        <f>'3. BDI'!$C$19</f>
        <v>0.24666704095238123</v>
      </c>
      <c r="J164" s="24">
        <f t="shared" si="304"/>
        <v>67.38</v>
      </c>
      <c r="K164" s="24">
        <f t="shared" si="305"/>
        <v>0</v>
      </c>
      <c r="L164" s="24">
        <f t="shared" si="306"/>
        <v>80.855999999999995</v>
      </c>
      <c r="M164" s="24">
        <f t="shared" si="307"/>
        <v>0</v>
      </c>
      <c r="N164" s="24">
        <f t="shared" si="308"/>
        <v>80.855999999999995</v>
      </c>
      <c r="P164" s="24">
        <f>51.48/1</f>
        <v>51.48</v>
      </c>
      <c r="Q164" s="24">
        <f t="shared" ref="Q164:Q166" si="309">TRUNC(P164*E164,2)</f>
        <v>61.77</v>
      </c>
      <c r="R164" s="24">
        <f t="shared" si="279"/>
        <v>77</v>
      </c>
      <c r="S164" s="24">
        <f t="shared" si="280"/>
        <v>3.8559999999999945</v>
      </c>
    </row>
    <row r="165" spans="1:19">
      <c r="A165" s="9" t="s">
        <v>23531</v>
      </c>
      <c r="B165" s="10" t="s">
        <v>9016</v>
      </c>
      <c r="C165" s="10">
        <v>602100</v>
      </c>
      <c r="D165" s="43" t="str">
        <f>VLOOKUP(C165,'13. CUSTOS DER - SERVIÇOS'!A:B,2,0)</f>
        <v>FORMAS DE MADEIRA COMPENSADA  RESINADA</v>
      </c>
      <c r="E165" s="11">
        <v>40.56</v>
      </c>
      <c r="F165" s="26" t="str">
        <f>VLOOKUP(C165,'13. CUSTOS DER - SERVIÇOS'!A:C,3,0)</f>
        <v>M2</v>
      </c>
      <c r="G165" s="24">
        <f>VLOOKUP(C165,'13. CUSTOS DER - SERVIÇOS'!A:G,7,0)</f>
        <v>78.33</v>
      </c>
      <c r="H165" s="24"/>
      <c r="I165" s="25">
        <f>'3. BDI'!$C$19</f>
        <v>0.24666704095238123</v>
      </c>
      <c r="J165" s="24">
        <f t="shared" si="304"/>
        <v>97.65</v>
      </c>
      <c r="K165" s="24">
        <f t="shared" si="305"/>
        <v>0</v>
      </c>
      <c r="L165" s="24">
        <f t="shared" si="306"/>
        <v>3960.6840000000007</v>
      </c>
      <c r="M165" s="24">
        <f t="shared" si="307"/>
        <v>0</v>
      </c>
      <c r="N165" s="24">
        <f t="shared" si="308"/>
        <v>3960.6840000000007</v>
      </c>
      <c r="P165" s="24">
        <f>78.65/2</f>
        <v>39.325000000000003</v>
      </c>
      <c r="Q165" s="24">
        <f t="shared" si="309"/>
        <v>1595.02</v>
      </c>
      <c r="R165" s="24">
        <f t="shared" si="279"/>
        <v>1988.45</v>
      </c>
      <c r="S165" s="24">
        <f t="shared" si="280"/>
        <v>1972.2340000000006</v>
      </c>
    </row>
    <row r="166" spans="1:19">
      <c r="A166" s="9" t="s">
        <v>23532</v>
      </c>
      <c r="B166" s="10" t="s">
        <v>9016</v>
      </c>
      <c r="C166" s="10">
        <v>605500</v>
      </c>
      <c r="D166" s="43" t="str">
        <f>VLOOKUP(C166,'13. CUSTOS DER - SERVIÇOS'!A:B,2,0)</f>
        <v>CONCRETO FCK = 20 MPA, PREPARO EM BETONEIRA E LANÇ.</v>
      </c>
      <c r="E166" s="11">
        <v>9.32</v>
      </c>
      <c r="F166" s="26" t="str">
        <f>VLOOKUP(C166,'13. CUSTOS DER - SERVIÇOS'!A:C,3,0)</f>
        <v>M3</v>
      </c>
      <c r="G166" s="24">
        <f>VLOOKUP(C166,'13. CUSTOS DER - SERVIÇOS'!A:G,7,0)</f>
        <v>532.64</v>
      </c>
      <c r="H166" s="24">
        <f>VLOOKUP(C166,'10. CCU TRANSPORTE'!B:J,9,0)</f>
        <v>61.030000000000008</v>
      </c>
      <c r="I166" s="25">
        <f>'3. BDI'!$C$19</f>
        <v>0.24666704095238123</v>
      </c>
      <c r="J166" s="24">
        <f t="shared" si="304"/>
        <v>664.02</v>
      </c>
      <c r="K166" s="24">
        <f t="shared" si="305"/>
        <v>76.08</v>
      </c>
      <c r="L166" s="24">
        <f t="shared" si="306"/>
        <v>6188.6664000000001</v>
      </c>
      <c r="M166" s="24">
        <f t="shared" si="307"/>
        <v>709.06560000000002</v>
      </c>
      <c r="N166" s="24">
        <f t="shared" si="308"/>
        <v>6897.732</v>
      </c>
      <c r="P166" s="24">
        <f>498.36/2.5</f>
        <v>199.34399999999999</v>
      </c>
      <c r="Q166" s="24">
        <f t="shared" si="309"/>
        <v>1857.88</v>
      </c>
      <c r="R166" s="24">
        <f t="shared" si="279"/>
        <v>2316.15</v>
      </c>
      <c r="S166" s="24">
        <f t="shared" si="280"/>
        <v>4581.5820000000003</v>
      </c>
    </row>
    <row r="167" spans="1:19">
      <c r="A167" s="338"/>
      <c r="B167" s="44"/>
      <c r="C167" s="167"/>
      <c r="D167" s="341" t="s">
        <v>22798</v>
      </c>
      <c r="E167" s="339"/>
      <c r="F167" s="167"/>
      <c r="G167" s="339"/>
      <c r="H167" s="339"/>
      <c r="I167" s="340"/>
      <c r="J167" s="339"/>
      <c r="K167" s="339"/>
      <c r="L167" s="339"/>
      <c r="M167" s="339"/>
      <c r="N167" s="339"/>
      <c r="P167" s="339"/>
      <c r="Q167" s="339"/>
      <c r="R167" s="24">
        <f t="shared" si="279"/>
        <v>0</v>
      </c>
      <c r="S167" s="24">
        <f t="shared" si="280"/>
        <v>0</v>
      </c>
    </row>
    <row r="168" spans="1:19">
      <c r="A168" s="9" t="s">
        <v>23533</v>
      </c>
      <c r="B168" s="10" t="s">
        <v>9016</v>
      </c>
      <c r="C168" s="10">
        <v>600000</v>
      </c>
      <c r="D168" s="43" t="str">
        <f>VLOOKUP(C168,'13. CUSTOS DER - SERVIÇOS'!A:B,2,0)</f>
        <v>ESCAVAÇÃO MANUAL DE VALA 1A. CAT.</v>
      </c>
      <c r="E168" s="11">
        <v>75</v>
      </c>
      <c r="F168" s="26" t="str">
        <f>VLOOKUP(C168,'13. CUSTOS DER - SERVIÇOS'!A:C,3,0)</f>
        <v>M3</v>
      </c>
      <c r="G168" s="24">
        <f>VLOOKUP(C168,'13. CUSTOS DER - SERVIÇOS'!A:G,7,0)</f>
        <v>49.54</v>
      </c>
      <c r="H168" s="24">
        <v>0</v>
      </c>
      <c r="I168" s="25">
        <f>'3. BDI'!$C$19</f>
        <v>0.24666704095238123</v>
      </c>
      <c r="J168" s="24">
        <f t="shared" ref="J168:J169" si="310">TRUNC(G168+(G168*I168),2)</f>
        <v>61.75</v>
      </c>
      <c r="K168" s="24">
        <f t="shared" ref="K168:K169" si="311">TRUNC(H168+(H168*I168),2)</f>
        <v>0</v>
      </c>
      <c r="L168" s="24">
        <f t="shared" ref="L168:L169" si="312">J168*E168</f>
        <v>4631.25</v>
      </c>
      <c r="M168" s="24">
        <f t="shared" ref="M168:M169" si="313">K168*E168</f>
        <v>0</v>
      </c>
      <c r="N168" s="24">
        <f t="shared" ref="N168:N169" si="314">L168+M168</f>
        <v>4631.25</v>
      </c>
      <c r="P168" s="24">
        <f>47.19/1</f>
        <v>47.19</v>
      </c>
      <c r="Q168" s="24">
        <f t="shared" ref="Q168:Q172" si="315">TRUNC(P168*E168,2)</f>
        <v>3539.25</v>
      </c>
      <c r="R168" s="24">
        <f t="shared" si="279"/>
        <v>4412.26</v>
      </c>
      <c r="S168" s="24">
        <f t="shared" si="280"/>
        <v>218.98999999999978</v>
      </c>
    </row>
    <row r="169" spans="1:19">
      <c r="A169" s="9" t="s">
        <v>23534</v>
      </c>
      <c r="B169" s="10" t="s">
        <v>9016</v>
      </c>
      <c r="C169" s="10">
        <v>601100</v>
      </c>
      <c r="D169" s="43" t="str">
        <f>VLOOKUP(C169,'13. CUSTOS DER - SERVIÇOS'!A:B,2,0)</f>
        <v>APILOAMENTO MANUAL</v>
      </c>
      <c r="E169" s="11">
        <v>25</v>
      </c>
      <c r="F169" s="26" t="str">
        <f>VLOOKUP(C169,'13. CUSTOS DER - SERVIÇOS'!A:C,3,0)</f>
        <v>M3</v>
      </c>
      <c r="G169" s="24">
        <f>VLOOKUP(C169,'13. CUSTOS DER - SERVIÇOS'!A:G,7,0)</f>
        <v>54.05</v>
      </c>
      <c r="H169" s="24"/>
      <c r="I169" s="25">
        <f>'3. BDI'!$C$19</f>
        <v>0.24666704095238123</v>
      </c>
      <c r="J169" s="24">
        <f t="shared" si="310"/>
        <v>67.38</v>
      </c>
      <c r="K169" s="24">
        <f t="shared" si="311"/>
        <v>0</v>
      </c>
      <c r="L169" s="24">
        <f t="shared" si="312"/>
        <v>1684.5</v>
      </c>
      <c r="M169" s="24">
        <f t="shared" si="313"/>
        <v>0</v>
      </c>
      <c r="N169" s="24">
        <f t="shared" si="314"/>
        <v>1684.5</v>
      </c>
      <c r="P169" s="24">
        <f>51.48/1</f>
        <v>51.48</v>
      </c>
      <c r="Q169" s="24">
        <f t="shared" si="315"/>
        <v>1287</v>
      </c>
      <c r="R169" s="24">
        <f t="shared" si="279"/>
        <v>1604.46</v>
      </c>
      <c r="S169" s="24">
        <f t="shared" si="280"/>
        <v>80.039999999999964</v>
      </c>
    </row>
    <row r="170" spans="1:19">
      <c r="A170" s="9" t="s">
        <v>23535</v>
      </c>
      <c r="B170" s="10" t="s">
        <v>9016</v>
      </c>
      <c r="C170" s="10">
        <v>602100</v>
      </c>
      <c r="D170" s="43" t="str">
        <f>VLOOKUP(C170,'13. CUSTOS DER - SERVIÇOS'!A:B,2,0)</f>
        <v>FORMAS DE MADEIRA COMPENSADA  RESINADA</v>
      </c>
      <c r="E170" s="11">
        <v>101.5</v>
      </c>
      <c r="F170" s="26" t="str">
        <f>VLOOKUP(C170,'13. CUSTOS DER - SERVIÇOS'!A:C,3,0)</f>
        <v>M2</v>
      </c>
      <c r="G170" s="24">
        <f>VLOOKUP(C170,'13. CUSTOS DER - SERVIÇOS'!A:G,7,0)</f>
        <v>78.33</v>
      </c>
      <c r="H170" s="24"/>
      <c r="I170" s="25">
        <f>'3. BDI'!$C$19</f>
        <v>0.24666704095238123</v>
      </c>
      <c r="J170" s="24">
        <f t="shared" ref="J170:J172" si="316">TRUNC(G170+(G170*I170),2)</f>
        <v>97.65</v>
      </c>
      <c r="K170" s="24">
        <f t="shared" ref="K170:K172" si="317">TRUNC(H170+(H170*I170),2)</f>
        <v>0</v>
      </c>
      <c r="L170" s="24">
        <f t="shared" ref="L170:L172" si="318">J170*E170</f>
        <v>9911.4750000000004</v>
      </c>
      <c r="M170" s="24">
        <f t="shared" ref="M170:M172" si="319">K170*E170</f>
        <v>0</v>
      </c>
      <c r="N170" s="24">
        <f t="shared" ref="N170:N172" si="320">L170+M170</f>
        <v>9911.4750000000004</v>
      </c>
      <c r="P170" s="24">
        <f>78.65/2</f>
        <v>39.325000000000003</v>
      </c>
      <c r="Q170" s="24">
        <f t="shared" si="315"/>
        <v>3991.48</v>
      </c>
      <c r="R170" s="24">
        <f t="shared" si="279"/>
        <v>4976.04</v>
      </c>
      <c r="S170" s="24">
        <f t="shared" si="280"/>
        <v>4935.4350000000004</v>
      </c>
    </row>
    <row r="171" spans="1:19">
      <c r="A171" s="9" t="s">
        <v>23536</v>
      </c>
      <c r="B171" s="10" t="s">
        <v>9016</v>
      </c>
      <c r="C171" s="10">
        <v>603000</v>
      </c>
      <c r="D171" s="43" t="str">
        <f>VLOOKUP(C171,'13. CUSTOS DER - SERVIÇOS'!A:B,2,0)</f>
        <v>AÇO CA-50 FORNEC. DOBR. COLOCAÇÃO</v>
      </c>
      <c r="E171" s="11">
        <v>35</v>
      </c>
      <c r="F171" s="26" t="str">
        <f>VLOOKUP(C171,'13. CUSTOS DER - SERVIÇOS'!A:C,3,0)</f>
        <v>KG</v>
      </c>
      <c r="G171" s="24">
        <f>VLOOKUP(C171,'13. CUSTOS DER - SERVIÇOS'!A:G,7,0)</f>
        <v>18.34</v>
      </c>
      <c r="H171" s="24"/>
      <c r="I171" s="25">
        <f>'3. BDI'!$C$19</f>
        <v>0.24666704095238123</v>
      </c>
      <c r="J171" s="24">
        <f t="shared" si="316"/>
        <v>22.86</v>
      </c>
      <c r="K171" s="24">
        <f t="shared" si="317"/>
        <v>0</v>
      </c>
      <c r="L171" s="24">
        <f t="shared" si="318"/>
        <v>800.1</v>
      </c>
      <c r="M171" s="24">
        <f t="shared" si="319"/>
        <v>0</v>
      </c>
      <c r="N171" s="24">
        <f t="shared" si="320"/>
        <v>800.1</v>
      </c>
      <c r="P171" s="24">
        <f>8.97/1</f>
        <v>8.9700000000000006</v>
      </c>
      <c r="Q171" s="24">
        <f t="shared" si="315"/>
        <v>313.95</v>
      </c>
      <c r="R171" s="24">
        <f t="shared" si="279"/>
        <v>391.39</v>
      </c>
      <c r="S171" s="24">
        <f t="shared" si="280"/>
        <v>408.71000000000004</v>
      </c>
    </row>
    <row r="172" spans="1:19">
      <c r="A172" s="9" t="s">
        <v>23537</v>
      </c>
      <c r="B172" s="10" t="s">
        <v>9016</v>
      </c>
      <c r="C172" s="10">
        <v>605500</v>
      </c>
      <c r="D172" s="43" t="str">
        <f>VLOOKUP(C172,'13. CUSTOS DER - SERVIÇOS'!A:B,2,0)</f>
        <v>CONCRETO FCK = 20 MPA, PREPARO EM BETONEIRA E LANÇ.</v>
      </c>
      <c r="E172" s="11">
        <v>11</v>
      </c>
      <c r="F172" s="26" t="str">
        <f>VLOOKUP(C172,'13. CUSTOS DER - SERVIÇOS'!A:C,3,0)</f>
        <v>M3</v>
      </c>
      <c r="G172" s="24">
        <f>VLOOKUP(C172,'13. CUSTOS DER - SERVIÇOS'!A:G,7,0)</f>
        <v>532.64</v>
      </c>
      <c r="H172" s="24">
        <f>VLOOKUP(C172,'10. CCU TRANSPORTE'!B:J,9,0)</f>
        <v>61.030000000000008</v>
      </c>
      <c r="I172" s="25">
        <f>'3. BDI'!$C$19</f>
        <v>0.24666704095238123</v>
      </c>
      <c r="J172" s="24">
        <f t="shared" si="316"/>
        <v>664.02</v>
      </c>
      <c r="K172" s="24">
        <f t="shared" si="317"/>
        <v>76.08</v>
      </c>
      <c r="L172" s="24">
        <f t="shared" si="318"/>
        <v>7304.2199999999993</v>
      </c>
      <c r="M172" s="24">
        <f t="shared" si="319"/>
        <v>836.88</v>
      </c>
      <c r="N172" s="24">
        <f t="shared" si="320"/>
        <v>8141.0999999999995</v>
      </c>
      <c r="P172" s="24">
        <f>498.36/2.5</f>
        <v>199.34399999999999</v>
      </c>
      <c r="Q172" s="24">
        <f t="shared" si="315"/>
        <v>2192.7800000000002</v>
      </c>
      <c r="R172" s="24">
        <f t="shared" si="279"/>
        <v>2733.66</v>
      </c>
      <c r="S172" s="24">
        <f t="shared" si="280"/>
        <v>5407.44</v>
      </c>
    </row>
    <row r="173" spans="1:19">
      <c r="A173" s="338"/>
      <c r="B173" s="44"/>
      <c r="C173" s="167"/>
      <c r="D173" s="341" t="s">
        <v>22800</v>
      </c>
      <c r="E173" s="339"/>
      <c r="F173" s="167"/>
      <c r="G173" s="339"/>
      <c r="H173" s="339"/>
      <c r="I173" s="340"/>
      <c r="J173" s="339"/>
      <c r="K173" s="339"/>
      <c r="L173" s="339"/>
      <c r="M173" s="339"/>
      <c r="N173" s="339"/>
      <c r="P173" s="339"/>
      <c r="Q173" s="339"/>
      <c r="R173" s="24">
        <f t="shared" si="279"/>
        <v>0</v>
      </c>
      <c r="S173" s="24">
        <f t="shared" si="280"/>
        <v>0</v>
      </c>
    </row>
    <row r="174" spans="1:19">
      <c r="A174" s="9" t="s">
        <v>23538</v>
      </c>
      <c r="B174" s="10" t="s">
        <v>9016</v>
      </c>
      <c r="C174" s="10">
        <v>600000</v>
      </c>
      <c r="D174" s="43" t="str">
        <f>VLOOKUP(C174,'13. CUSTOS DER - SERVIÇOS'!A:B,2,0)</f>
        <v>ESCAVAÇÃO MANUAL DE VALA 1A. CAT.</v>
      </c>
      <c r="E174" s="11">
        <v>95</v>
      </c>
      <c r="F174" s="26" t="str">
        <f>VLOOKUP(C174,'13. CUSTOS DER - SERVIÇOS'!A:C,3,0)</f>
        <v>M3</v>
      </c>
      <c r="G174" s="24">
        <f>VLOOKUP(C174,'13. CUSTOS DER - SERVIÇOS'!A:G,7,0)</f>
        <v>49.54</v>
      </c>
      <c r="H174" s="24">
        <v>0</v>
      </c>
      <c r="I174" s="25">
        <f>'3. BDI'!$C$19</f>
        <v>0.24666704095238123</v>
      </c>
      <c r="J174" s="24">
        <f t="shared" ref="J174:J178" si="321">TRUNC(G174+(G174*I174),2)</f>
        <v>61.75</v>
      </c>
      <c r="K174" s="24">
        <f t="shared" ref="K174:K178" si="322">TRUNC(H174+(H174*I174),2)</f>
        <v>0</v>
      </c>
      <c r="L174" s="24">
        <f t="shared" ref="L174:L178" si="323">J174*E174</f>
        <v>5866.25</v>
      </c>
      <c r="M174" s="24">
        <f t="shared" ref="M174:M178" si="324">K174*E174</f>
        <v>0</v>
      </c>
      <c r="N174" s="24">
        <f t="shared" ref="N174:N178" si="325">L174+M174</f>
        <v>5866.25</v>
      </c>
      <c r="P174" s="24">
        <f>47.19/1</f>
        <v>47.19</v>
      </c>
      <c r="Q174" s="24">
        <f t="shared" ref="Q174:Q178" si="326">TRUNC(P174*E174,2)</f>
        <v>4483.05</v>
      </c>
      <c r="R174" s="24">
        <f t="shared" si="279"/>
        <v>5588.87</v>
      </c>
      <c r="S174" s="24">
        <f t="shared" si="280"/>
        <v>277.38000000000011</v>
      </c>
    </row>
    <row r="175" spans="1:19">
      <c r="A175" s="9" t="s">
        <v>23539</v>
      </c>
      <c r="B175" s="10" t="s">
        <v>9016</v>
      </c>
      <c r="C175" s="10">
        <v>601100</v>
      </c>
      <c r="D175" s="43" t="str">
        <f>VLOOKUP(C175,'13. CUSTOS DER - SERVIÇOS'!A:B,2,0)</f>
        <v>APILOAMENTO MANUAL</v>
      </c>
      <c r="E175" s="11">
        <v>30</v>
      </c>
      <c r="F175" s="26" t="str">
        <f>VLOOKUP(C175,'13. CUSTOS DER - SERVIÇOS'!A:C,3,0)</f>
        <v>M3</v>
      </c>
      <c r="G175" s="24">
        <f>VLOOKUP(C175,'13. CUSTOS DER - SERVIÇOS'!A:G,7,0)</f>
        <v>54.05</v>
      </c>
      <c r="H175" s="24"/>
      <c r="I175" s="25">
        <f>'3. BDI'!$C$19</f>
        <v>0.24666704095238123</v>
      </c>
      <c r="J175" s="24">
        <f t="shared" si="321"/>
        <v>67.38</v>
      </c>
      <c r="K175" s="24">
        <f t="shared" si="322"/>
        <v>0</v>
      </c>
      <c r="L175" s="24">
        <f t="shared" si="323"/>
        <v>2021.3999999999999</v>
      </c>
      <c r="M175" s="24">
        <f t="shared" si="324"/>
        <v>0</v>
      </c>
      <c r="N175" s="24">
        <f t="shared" si="325"/>
        <v>2021.3999999999999</v>
      </c>
      <c r="P175" s="24">
        <f>51.48/1</f>
        <v>51.48</v>
      </c>
      <c r="Q175" s="24">
        <f t="shared" si="326"/>
        <v>1544.4</v>
      </c>
      <c r="R175" s="24">
        <f t="shared" si="279"/>
        <v>1925.35</v>
      </c>
      <c r="S175" s="24">
        <f t="shared" si="280"/>
        <v>96.049999999999955</v>
      </c>
    </row>
    <row r="176" spans="1:19">
      <c r="A176" s="9" t="s">
        <v>23540</v>
      </c>
      <c r="B176" s="10" t="s">
        <v>9016</v>
      </c>
      <c r="C176" s="10">
        <v>602100</v>
      </c>
      <c r="D176" s="43" t="str">
        <f>VLOOKUP(C176,'13. CUSTOS DER - SERVIÇOS'!A:B,2,0)</f>
        <v>FORMAS DE MADEIRA COMPENSADA  RESINADA</v>
      </c>
      <c r="E176" s="11">
        <v>128</v>
      </c>
      <c r="F176" s="26" t="str">
        <f>VLOOKUP(C176,'13. CUSTOS DER - SERVIÇOS'!A:C,3,0)</f>
        <v>M2</v>
      </c>
      <c r="G176" s="24">
        <f>VLOOKUP(C176,'13. CUSTOS DER - SERVIÇOS'!A:G,7,0)</f>
        <v>78.33</v>
      </c>
      <c r="H176" s="24"/>
      <c r="I176" s="25">
        <f>'3. BDI'!$C$19</f>
        <v>0.24666704095238123</v>
      </c>
      <c r="J176" s="24">
        <f t="shared" si="321"/>
        <v>97.65</v>
      </c>
      <c r="K176" s="24">
        <f t="shared" si="322"/>
        <v>0</v>
      </c>
      <c r="L176" s="24">
        <f t="shared" si="323"/>
        <v>12499.2</v>
      </c>
      <c r="M176" s="24">
        <f t="shared" si="324"/>
        <v>0</v>
      </c>
      <c r="N176" s="24">
        <f t="shared" si="325"/>
        <v>12499.2</v>
      </c>
      <c r="P176" s="24">
        <f>78.65/2</f>
        <v>39.325000000000003</v>
      </c>
      <c r="Q176" s="24">
        <f t="shared" si="326"/>
        <v>5033.6000000000004</v>
      </c>
      <c r="R176" s="24">
        <f t="shared" si="279"/>
        <v>6275.22</v>
      </c>
      <c r="S176" s="24">
        <f t="shared" si="280"/>
        <v>6223.9800000000005</v>
      </c>
    </row>
    <row r="177" spans="1:19">
      <c r="A177" s="9" t="s">
        <v>23541</v>
      </c>
      <c r="B177" s="10" t="s">
        <v>9016</v>
      </c>
      <c r="C177" s="10">
        <v>603000</v>
      </c>
      <c r="D177" s="43" t="str">
        <f>VLOOKUP(C177,'13. CUSTOS DER - SERVIÇOS'!A:B,2,0)</f>
        <v>AÇO CA-50 FORNEC. DOBR. COLOCAÇÃO</v>
      </c>
      <c r="E177" s="11">
        <v>40</v>
      </c>
      <c r="F177" s="26" t="str">
        <f>VLOOKUP(C177,'13. CUSTOS DER - SERVIÇOS'!A:C,3,0)</f>
        <v>KG</v>
      </c>
      <c r="G177" s="24">
        <f>VLOOKUP(C177,'13. CUSTOS DER - SERVIÇOS'!A:G,7,0)</f>
        <v>18.34</v>
      </c>
      <c r="H177" s="24"/>
      <c r="I177" s="25">
        <f>'3. BDI'!$C$19</f>
        <v>0.24666704095238123</v>
      </c>
      <c r="J177" s="24">
        <f t="shared" si="321"/>
        <v>22.86</v>
      </c>
      <c r="K177" s="24">
        <f t="shared" si="322"/>
        <v>0</v>
      </c>
      <c r="L177" s="24">
        <f t="shared" si="323"/>
        <v>914.4</v>
      </c>
      <c r="M177" s="24">
        <f t="shared" si="324"/>
        <v>0</v>
      </c>
      <c r="N177" s="24">
        <f t="shared" si="325"/>
        <v>914.4</v>
      </c>
      <c r="P177" s="24">
        <f>8.97/1</f>
        <v>8.9700000000000006</v>
      </c>
      <c r="Q177" s="24">
        <f t="shared" si="326"/>
        <v>358.8</v>
      </c>
      <c r="R177" s="24">
        <f t="shared" si="279"/>
        <v>447.3</v>
      </c>
      <c r="S177" s="24">
        <f t="shared" si="280"/>
        <v>467.09999999999997</v>
      </c>
    </row>
    <row r="178" spans="1:19">
      <c r="A178" s="9" t="s">
        <v>23542</v>
      </c>
      <c r="B178" s="10" t="s">
        <v>9016</v>
      </c>
      <c r="C178" s="10">
        <v>605500</v>
      </c>
      <c r="D178" s="43" t="str">
        <f>VLOOKUP(C178,'13. CUSTOS DER - SERVIÇOS'!A:B,2,0)</f>
        <v>CONCRETO FCK = 20 MPA, PREPARO EM BETONEIRA E LANÇ.</v>
      </c>
      <c r="E178" s="11">
        <v>10.5</v>
      </c>
      <c r="F178" s="26" t="str">
        <f>VLOOKUP(C178,'13. CUSTOS DER - SERVIÇOS'!A:C,3,0)</f>
        <v>M3</v>
      </c>
      <c r="G178" s="24">
        <f>VLOOKUP(C178,'13. CUSTOS DER - SERVIÇOS'!A:G,7,0)</f>
        <v>532.64</v>
      </c>
      <c r="H178" s="24">
        <f>VLOOKUP(C178,'10. CCU TRANSPORTE'!B:J,9,0)</f>
        <v>61.030000000000008</v>
      </c>
      <c r="I178" s="25">
        <f>'3. BDI'!$C$19</f>
        <v>0.24666704095238123</v>
      </c>
      <c r="J178" s="24">
        <f t="shared" si="321"/>
        <v>664.02</v>
      </c>
      <c r="K178" s="24">
        <f t="shared" si="322"/>
        <v>76.08</v>
      </c>
      <c r="L178" s="24">
        <f t="shared" si="323"/>
        <v>6972.21</v>
      </c>
      <c r="M178" s="24">
        <f t="shared" si="324"/>
        <v>798.84</v>
      </c>
      <c r="N178" s="24">
        <f t="shared" si="325"/>
        <v>7771.05</v>
      </c>
      <c r="P178" s="24">
        <f>498.36/2.5</f>
        <v>199.34399999999999</v>
      </c>
      <c r="Q178" s="24">
        <f t="shared" si="326"/>
        <v>2093.11</v>
      </c>
      <c r="R178" s="24">
        <f t="shared" si="279"/>
        <v>2609.41</v>
      </c>
      <c r="S178" s="24">
        <f t="shared" si="280"/>
        <v>5161.6400000000003</v>
      </c>
    </row>
    <row r="179" spans="1:19">
      <c r="A179" s="338"/>
      <c r="B179" s="44"/>
      <c r="C179" s="167"/>
      <c r="D179" s="341" t="s">
        <v>22799</v>
      </c>
      <c r="E179" s="339"/>
      <c r="F179" s="167"/>
      <c r="G179" s="339"/>
      <c r="H179" s="339"/>
      <c r="I179" s="340"/>
      <c r="J179" s="339"/>
      <c r="K179" s="339"/>
      <c r="L179" s="339"/>
      <c r="M179" s="339"/>
      <c r="N179" s="339"/>
      <c r="P179" s="339"/>
      <c r="Q179" s="339"/>
      <c r="R179" s="24">
        <f t="shared" si="279"/>
        <v>0</v>
      </c>
      <c r="S179" s="24">
        <f t="shared" si="280"/>
        <v>0</v>
      </c>
    </row>
    <row r="180" spans="1:19">
      <c r="A180" s="9" t="s">
        <v>23543</v>
      </c>
      <c r="B180" s="10" t="s">
        <v>9016</v>
      </c>
      <c r="C180" s="10">
        <v>600000</v>
      </c>
      <c r="D180" s="43" t="str">
        <f>VLOOKUP(C180,'13. CUSTOS DER - SERVIÇOS'!A:B,2,0)</f>
        <v>ESCAVAÇÃO MANUAL DE VALA 1A. CAT.</v>
      </c>
      <c r="E180" s="11">
        <v>6</v>
      </c>
      <c r="F180" s="26" t="str">
        <f>VLOOKUP(C180,'13. CUSTOS DER - SERVIÇOS'!A:C,3,0)</f>
        <v>M3</v>
      </c>
      <c r="G180" s="24">
        <f>VLOOKUP(C180,'13. CUSTOS DER - SERVIÇOS'!A:G,7,0)</f>
        <v>49.54</v>
      </c>
      <c r="H180" s="24">
        <v>0</v>
      </c>
      <c r="I180" s="25">
        <f>'3. BDI'!$C$19</f>
        <v>0.24666704095238123</v>
      </c>
      <c r="J180" s="24">
        <f t="shared" ref="J180:J186" si="327">TRUNC(G180+(G180*I180),2)</f>
        <v>61.75</v>
      </c>
      <c r="K180" s="24">
        <f t="shared" ref="K180:K186" si="328">TRUNC(H180+(H180*I180),2)</f>
        <v>0</v>
      </c>
      <c r="L180" s="24">
        <f t="shared" ref="L180:L186" si="329">J180*E180</f>
        <v>370.5</v>
      </c>
      <c r="M180" s="24">
        <f t="shared" ref="M180:M186" si="330">K180*E180</f>
        <v>0</v>
      </c>
      <c r="N180" s="24">
        <f t="shared" ref="N180:N186" si="331">L180+M180</f>
        <v>370.5</v>
      </c>
      <c r="P180" s="24">
        <f>47.19/1</f>
        <v>47.19</v>
      </c>
      <c r="Q180" s="24">
        <f t="shared" ref="Q180:Q184" si="332">TRUNC(P180*E180,2)</f>
        <v>283.14</v>
      </c>
      <c r="R180" s="24">
        <f t="shared" si="279"/>
        <v>352.98</v>
      </c>
      <c r="S180" s="24">
        <f t="shared" si="280"/>
        <v>17.519999999999982</v>
      </c>
    </row>
    <row r="181" spans="1:19">
      <c r="A181" s="9" t="s">
        <v>23544</v>
      </c>
      <c r="B181" s="10" t="s">
        <v>9016</v>
      </c>
      <c r="C181" s="10">
        <v>601100</v>
      </c>
      <c r="D181" s="43" t="str">
        <f>VLOOKUP(C181,'13. CUSTOS DER - SERVIÇOS'!A:B,2,0)</f>
        <v>APILOAMENTO MANUAL</v>
      </c>
      <c r="E181" s="11">
        <v>2</v>
      </c>
      <c r="F181" s="26" t="str">
        <f>VLOOKUP(C181,'13. CUSTOS DER - SERVIÇOS'!A:C,3,0)</f>
        <v>M3</v>
      </c>
      <c r="G181" s="24">
        <f>VLOOKUP(C181,'13. CUSTOS DER - SERVIÇOS'!A:G,7,0)</f>
        <v>54.05</v>
      </c>
      <c r="H181" s="24"/>
      <c r="I181" s="25">
        <f>'3. BDI'!$C$19</f>
        <v>0.24666704095238123</v>
      </c>
      <c r="J181" s="24">
        <f t="shared" si="327"/>
        <v>67.38</v>
      </c>
      <c r="K181" s="24">
        <f t="shared" si="328"/>
        <v>0</v>
      </c>
      <c r="L181" s="24">
        <f t="shared" si="329"/>
        <v>134.76</v>
      </c>
      <c r="M181" s="24">
        <f t="shared" si="330"/>
        <v>0</v>
      </c>
      <c r="N181" s="24">
        <f t="shared" si="331"/>
        <v>134.76</v>
      </c>
      <c r="P181" s="24">
        <f>51.48/1</f>
        <v>51.48</v>
      </c>
      <c r="Q181" s="24">
        <f t="shared" si="332"/>
        <v>102.96</v>
      </c>
      <c r="R181" s="24">
        <f t="shared" si="279"/>
        <v>128.35</v>
      </c>
      <c r="S181" s="24">
        <f t="shared" si="280"/>
        <v>6.4099999999999966</v>
      </c>
    </row>
    <row r="182" spans="1:19">
      <c r="A182" s="9" t="s">
        <v>23545</v>
      </c>
      <c r="B182" s="10" t="s">
        <v>9016</v>
      </c>
      <c r="C182" s="10">
        <v>602100</v>
      </c>
      <c r="D182" s="43" t="str">
        <f>VLOOKUP(C182,'13. CUSTOS DER - SERVIÇOS'!A:B,2,0)</f>
        <v>FORMAS DE MADEIRA COMPENSADA  RESINADA</v>
      </c>
      <c r="E182" s="11">
        <v>6.2</v>
      </c>
      <c r="F182" s="26" t="str">
        <f>VLOOKUP(C182,'13. CUSTOS DER - SERVIÇOS'!A:C,3,0)</f>
        <v>M2</v>
      </c>
      <c r="G182" s="24">
        <f>VLOOKUP(C182,'13. CUSTOS DER - SERVIÇOS'!A:G,7,0)</f>
        <v>78.33</v>
      </c>
      <c r="H182" s="24"/>
      <c r="I182" s="25">
        <f>'3. BDI'!$C$19</f>
        <v>0.24666704095238123</v>
      </c>
      <c r="J182" s="24">
        <f t="shared" si="327"/>
        <v>97.65</v>
      </c>
      <c r="K182" s="24">
        <f t="shared" si="328"/>
        <v>0</v>
      </c>
      <c r="L182" s="24">
        <f t="shared" si="329"/>
        <v>605.43000000000006</v>
      </c>
      <c r="M182" s="24">
        <f t="shared" si="330"/>
        <v>0</v>
      </c>
      <c r="N182" s="24">
        <f t="shared" si="331"/>
        <v>605.43000000000006</v>
      </c>
      <c r="P182" s="24">
        <f>78.65/2</f>
        <v>39.325000000000003</v>
      </c>
      <c r="Q182" s="24">
        <f t="shared" si="332"/>
        <v>243.81</v>
      </c>
      <c r="R182" s="24">
        <f t="shared" si="279"/>
        <v>303.94</v>
      </c>
      <c r="S182" s="24">
        <f t="shared" si="280"/>
        <v>301.49000000000007</v>
      </c>
    </row>
    <row r="183" spans="1:19">
      <c r="A183" s="9" t="s">
        <v>23546</v>
      </c>
      <c r="B183" s="10" t="s">
        <v>9016</v>
      </c>
      <c r="C183" s="10">
        <v>603000</v>
      </c>
      <c r="D183" s="43" t="str">
        <f>VLOOKUP(C183,'13. CUSTOS DER - SERVIÇOS'!A:B,2,0)</f>
        <v>AÇO CA-50 FORNEC. DOBR. COLOCAÇÃO</v>
      </c>
      <c r="E183" s="11">
        <v>8.1999999999999993</v>
      </c>
      <c r="F183" s="26" t="str">
        <f>VLOOKUP(C183,'13. CUSTOS DER - SERVIÇOS'!A:C,3,0)</f>
        <v>KG</v>
      </c>
      <c r="G183" s="24">
        <f>VLOOKUP(C183,'13. CUSTOS DER - SERVIÇOS'!A:G,7,0)</f>
        <v>18.34</v>
      </c>
      <c r="H183" s="24"/>
      <c r="I183" s="25">
        <f>'3. BDI'!$C$19</f>
        <v>0.24666704095238123</v>
      </c>
      <c r="J183" s="24">
        <f t="shared" si="327"/>
        <v>22.86</v>
      </c>
      <c r="K183" s="24">
        <f t="shared" si="328"/>
        <v>0</v>
      </c>
      <c r="L183" s="24">
        <f t="shared" si="329"/>
        <v>187.45199999999997</v>
      </c>
      <c r="M183" s="24">
        <f t="shared" si="330"/>
        <v>0</v>
      </c>
      <c r="N183" s="24">
        <f t="shared" si="331"/>
        <v>187.45199999999997</v>
      </c>
      <c r="P183" s="24">
        <f>8.97/1</f>
        <v>8.9700000000000006</v>
      </c>
      <c r="Q183" s="24">
        <f t="shared" si="332"/>
        <v>73.55</v>
      </c>
      <c r="R183" s="24">
        <f t="shared" si="279"/>
        <v>91.69</v>
      </c>
      <c r="S183" s="24">
        <f t="shared" si="280"/>
        <v>95.761999999999972</v>
      </c>
    </row>
    <row r="184" spans="1:19">
      <c r="A184" s="9" t="s">
        <v>23547</v>
      </c>
      <c r="B184" s="10" t="s">
        <v>9016</v>
      </c>
      <c r="C184" s="10">
        <v>605500</v>
      </c>
      <c r="D184" s="43" t="str">
        <f>VLOOKUP(C184,'13. CUSTOS DER - SERVIÇOS'!A:B,2,0)</f>
        <v>CONCRETO FCK = 20 MPA, PREPARO EM BETONEIRA E LANÇ.</v>
      </c>
      <c r="E184" s="11">
        <v>0.62</v>
      </c>
      <c r="F184" s="26" t="str">
        <f>VLOOKUP(C184,'13. CUSTOS DER - SERVIÇOS'!A:C,3,0)</f>
        <v>M3</v>
      </c>
      <c r="G184" s="24">
        <f>VLOOKUP(C184,'13. CUSTOS DER - SERVIÇOS'!A:G,7,0)</f>
        <v>532.64</v>
      </c>
      <c r="H184" s="24">
        <f>VLOOKUP(C184,'10. CCU TRANSPORTE'!B:J,9,0)</f>
        <v>61.030000000000008</v>
      </c>
      <c r="I184" s="25">
        <f>'3. BDI'!$C$19</f>
        <v>0.24666704095238123</v>
      </c>
      <c r="J184" s="24">
        <f t="shared" si="327"/>
        <v>664.02</v>
      </c>
      <c r="K184" s="24">
        <f t="shared" si="328"/>
        <v>76.08</v>
      </c>
      <c r="L184" s="24">
        <f t="shared" si="329"/>
        <v>411.69239999999996</v>
      </c>
      <c r="M184" s="24">
        <f t="shared" si="330"/>
        <v>47.169599999999996</v>
      </c>
      <c r="N184" s="24">
        <f t="shared" si="331"/>
        <v>458.86199999999997</v>
      </c>
      <c r="P184" s="24">
        <f>498.36/2.5</f>
        <v>199.34399999999999</v>
      </c>
      <c r="Q184" s="24">
        <f t="shared" si="332"/>
        <v>123.59</v>
      </c>
      <c r="R184" s="24">
        <f t="shared" si="279"/>
        <v>154.07</v>
      </c>
      <c r="S184" s="24">
        <f t="shared" si="280"/>
        <v>304.79199999999997</v>
      </c>
    </row>
    <row r="185" spans="1:19">
      <c r="A185" s="9" t="s">
        <v>23548</v>
      </c>
      <c r="B185" s="10" t="s">
        <v>358</v>
      </c>
      <c r="C185" s="10" t="s">
        <v>22647</v>
      </c>
      <c r="D185" s="43" t="s">
        <v>230</v>
      </c>
      <c r="E185" s="11">
        <v>11.36</v>
      </c>
      <c r="F185" s="13" t="s">
        <v>325</v>
      </c>
      <c r="G185" s="24">
        <f>VLOOKUP(C185,'9. CCU''S GERAIS AMEP'!A:K,11,0)</f>
        <v>129.01800000000003</v>
      </c>
      <c r="H185" s="24">
        <f>VLOOKUP(C185,'10. CCU TRANSPORTE'!B:J,9,0)</f>
        <v>45.11</v>
      </c>
      <c r="I185" s="25">
        <f>'3. BDI'!$C$19</f>
        <v>0.24666704095238123</v>
      </c>
      <c r="J185" s="24">
        <f t="shared" si="327"/>
        <v>160.84</v>
      </c>
      <c r="K185" s="24">
        <f t="shared" si="328"/>
        <v>56.23</v>
      </c>
      <c r="L185" s="24">
        <f t="shared" si="329"/>
        <v>1827.1424</v>
      </c>
      <c r="M185" s="24">
        <f t="shared" si="330"/>
        <v>638.77279999999996</v>
      </c>
      <c r="N185" s="24">
        <f t="shared" si="331"/>
        <v>2465.9151999999999</v>
      </c>
      <c r="P185" s="24">
        <f>101.76/1</f>
        <v>101.76</v>
      </c>
      <c r="Q185" s="24">
        <f t="shared" ref="Q185" si="333">P185*E185</f>
        <v>1155.9936</v>
      </c>
      <c r="R185" s="24">
        <f t="shared" ref="R185:R216" si="334">TRUNC((Q185*I185+Q185),2)</f>
        <v>1441.13</v>
      </c>
      <c r="S185" s="24">
        <f t="shared" ref="S185:S216" si="335">N185-R185</f>
        <v>1024.7851999999998</v>
      </c>
    </row>
    <row r="186" spans="1:19">
      <c r="A186" s="9" t="s">
        <v>23549</v>
      </c>
      <c r="B186" s="10" t="s">
        <v>9016</v>
      </c>
      <c r="C186" s="10">
        <v>604000</v>
      </c>
      <c r="D186" s="43" t="str">
        <f>VLOOKUP(C186,'13. CUSTOS DER - SERVIÇOS'!A:B,2,0)</f>
        <v>ARGAMASSA CIMENTO E AREIA 1:3</v>
      </c>
      <c r="E186" s="11">
        <v>0.18</v>
      </c>
      <c r="F186" s="26" t="str">
        <f>VLOOKUP(C186,'13. CUSTOS DER - SERVIÇOS'!A:C,3,0)</f>
        <v>M3</v>
      </c>
      <c r="G186" s="24">
        <f>VLOOKUP(C186,'13. CUSTOS DER - SERVIÇOS'!A:G,7,0)</f>
        <v>523.20000000000005</v>
      </c>
      <c r="H186" s="24">
        <f>VLOOKUP(C186,'10. CCU TRANSPORTE'!B:J,9,0)</f>
        <v>68.930000000000007</v>
      </c>
      <c r="I186" s="25">
        <f>'3. BDI'!$C$19</f>
        <v>0.24666704095238123</v>
      </c>
      <c r="J186" s="24">
        <f t="shared" si="327"/>
        <v>652.25</v>
      </c>
      <c r="K186" s="24">
        <f t="shared" si="328"/>
        <v>85.93</v>
      </c>
      <c r="L186" s="24">
        <f t="shared" si="329"/>
        <v>117.405</v>
      </c>
      <c r="M186" s="24">
        <f t="shared" si="330"/>
        <v>15.467400000000001</v>
      </c>
      <c r="N186" s="24">
        <f t="shared" si="331"/>
        <v>132.8724</v>
      </c>
      <c r="P186" s="24">
        <f>481.2/2.5</f>
        <v>192.48</v>
      </c>
      <c r="Q186" s="24">
        <f>TRUNC(P186*E186,2)</f>
        <v>34.64</v>
      </c>
      <c r="R186" s="24">
        <f t="shared" si="334"/>
        <v>43.18</v>
      </c>
      <c r="S186" s="24">
        <f t="shared" si="335"/>
        <v>89.692399999999992</v>
      </c>
    </row>
    <row r="187" spans="1:19">
      <c r="A187" s="338"/>
      <c r="B187" s="44"/>
      <c r="C187" s="167"/>
      <c r="D187" s="341" t="s">
        <v>22801</v>
      </c>
      <c r="E187" s="339"/>
      <c r="F187" s="167"/>
      <c r="G187" s="339"/>
      <c r="H187" s="339"/>
      <c r="I187" s="340"/>
      <c r="J187" s="339"/>
      <c r="K187" s="339"/>
      <c r="L187" s="339"/>
      <c r="M187" s="339"/>
      <c r="N187" s="339"/>
      <c r="P187" s="339"/>
      <c r="Q187" s="339"/>
      <c r="R187" s="24">
        <f t="shared" si="334"/>
        <v>0</v>
      </c>
      <c r="S187" s="24">
        <f t="shared" si="335"/>
        <v>0</v>
      </c>
    </row>
    <row r="188" spans="1:19">
      <c r="A188" s="9" t="s">
        <v>23550</v>
      </c>
      <c r="B188" s="10" t="s">
        <v>9016</v>
      </c>
      <c r="C188" s="10">
        <v>600000</v>
      </c>
      <c r="D188" s="43" t="str">
        <f>VLOOKUP(C188,'13. CUSTOS DER - SERVIÇOS'!A:B,2,0)</f>
        <v>ESCAVAÇÃO MANUAL DE VALA 1A. CAT.</v>
      </c>
      <c r="E188" s="11">
        <v>32</v>
      </c>
      <c r="F188" s="26" t="str">
        <f>VLOOKUP(C188,'13. CUSTOS DER - SERVIÇOS'!A:C,3,0)</f>
        <v>M3</v>
      </c>
      <c r="G188" s="24">
        <f>VLOOKUP(C188,'13. CUSTOS DER - SERVIÇOS'!A:G,7,0)</f>
        <v>49.54</v>
      </c>
      <c r="H188" s="24">
        <v>0</v>
      </c>
      <c r="I188" s="25">
        <f>'3. BDI'!$C$19</f>
        <v>0.24666704095238123</v>
      </c>
      <c r="J188" s="24">
        <f t="shared" ref="J188:J194" si="336">TRUNC(G188+(G188*I188),2)</f>
        <v>61.75</v>
      </c>
      <c r="K188" s="24">
        <f t="shared" ref="K188:K194" si="337">TRUNC(H188+(H188*I188),2)</f>
        <v>0</v>
      </c>
      <c r="L188" s="24">
        <f t="shared" ref="L188:L194" si="338">J188*E188</f>
        <v>1976</v>
      </c>
      <c r="M188" s="24">
        <f t="shared" ref="M188:M194" si="339">K188*E188</f>
        <v>0</v>
      </c>
      <c r="N188" s="24">
        <f t="shared" ref="N188:N194" si="340">L188+M188</f>
        <v>1976</v>
      </c>
      <c r="P188" s="24">
        <f>47.19/1</f>
        <v>47.19</v>
      </c>
      <c r="Q188" s="24">
        <f t="shared" ref="Q188:Q193" si="341">TRUNC(P188*E188,2)</f>
        <v>1510.08</v>
      </c>
      <c r="R188" s="24">
        <f t="shared" si="334"/>
        <v>1882.56</v>
      </c>
      <c r="S188" s="24">
        <f t="shared" si="335"/>
        <v>93.440000000000055</v>
      </c>
    </row>
    <row r="189" spans="1:19">
      <c r="A189" s="9" t="s">
        <v>23551</v>
      </c>
      <c r="B189" s="10" t="s">
        <v>9016</v>
      </c>
      <c r="C189" s="10">
        <v>601100</v>
      </c>
      <c r="D189" s="43" t="str">
        <f>VLOOKUP(C189,'13. CUSTOS DER - SERVIÇOS'!A:B,2,0)</f>
        <v>APILOAMENTO MANUAL</v>
      </c>
      <c r="E189" s="11">
        <v>12</v>
      </c>
      <c r="F189" s="26" t="str">
        <f>VLOOKUP(C189,'13. CUSTOS DER - SERVIÇOS'!A:C,3,0)</f>
        <v>M3</v>
      </c>
      <c r="G189" s="24">
        <f>VLOOKUP(C189,'13. CUSTOS DER - SERVIÇOS'!A:G,7,0)</f>
        <v>54.05</v>
      </c>
      <c r="H189" s="24"/>
      <c r="I189" s="25">
        <f>'3. BDI'!$C$19</f>
        <v>0.24666704095238123</v>
      </c>
      <c r="J189" s="24">
        <f t="shared" si="336"/>
        <v>67.38</v>
      </c>
      <c r="K189" s="24">
        <f t="shared" si="337"/>
        <v>0</v>
      </c>
      <c r="L189" s="24">
        <f t="shared" si="338"/>
        <v>808.56</v>
      </c>
      <c r="M189" s="24">
        <f t="shared" si="339"/>
        <v>0</v>
      </c>
      <c r="N189" s="24">
        <f t="shared" si="340"/>
        <v>808.56</v>
      </c>
      <c r="P189" s="24">
        <f>51.48/1</f>
        <v>51.48</v>
      </c>
      <c r="Q189" s="24">
        <f t="shared" si="341"/>
        <v>617.76</v>
      </c>
      <c r="R189" s="24">
        <f t="shared" si="334"/>
        <v>770.14</v>
      </c>
      <c r="S189" s="24">
        <f t="shared" si="335"/>
        <v>38.419999999999959</v>
      </c>
    </row>
    <row r="190" spans="1:19">
      <c r="A190" s="9" t="s">
        <v>23552</v>
      </c>
      <c r="B190" s="10" t="s">
        <v>9016</v>
      </c>
      <c r="C190" s="10">
        <v>602100</v>
      </c>
      <c r="D190" s="43" t="str">
        <f>VLOOKUP(C190,'13. CUSTOS DER - SERVIÇOS'!A:B,2,0)</f>
        <v>FORMAS DE MADEIRA COMPENSADA  RESINADA</v>
      </c>
      <c r="E190" s="11">
        <v>108.96</v>
      </c>
      <c r="F190" s="26" t="str">
        <f>VLOOKUP(C190,'13. CUSTOS DER - SERVIÇOS'!A:C,3,0)</f>
        <v>M2</v>
      </c>
      <c r="G190" s="24">
        <f>VLOOKUP(C190,'13. CUSTOS DER - SERVIÇOS'!A:G,7,0)</f>
        <v>78.33</v>
      </c>
      <c r="H190" s="24"/>
      <c r="I190" s="25">
        <f>'3. BDI'!$C$19</f>
        <v>0.24666704095238123</v>
      </c>
      <c r="J190" s="24">
        <f t="shared" si="336"/>
        <v>97.65</v>
      </c>
      <c r="K190" s="24">
        <f t="shared" si="337"/>
        <v>0</v>
      </c>
      <c r="L190" s="24">
        <f t="shared" si="338"/>
        <v>10639.944</v>
      </c>
      <c r="M190" s="24">
        <f t="shared" si="339"/>
        <v>0</v>
      </c>
      <c r="N190" s="24">
        <f t="shared" si="340"/>
        <v>10639.944</v>
      </c>
      <c r="P190" s="24">
        <f>78.65/2</f>
        <v>39.325000000000003</v>
      </c>
      <c r="Q190" s="24">
        <f t="shared" si="341"/>
        <v>4284.8500000000004</v>
      </c>
      <c r="R190" s="24">
        <f t="shared" si="334"/>
        <v>5341.78</v>
      </c>
      <c r="S190" s="24">
        <f t="shared" si="335"/>
        <v>5298.1639999999998</v>
      </c>
    </row>
    <row r="191" spans="1:19">
      <c r="A191" s="9" t="s">
        <v>23553</v>
      </c>
      <c r="B191" s="10" t="s">
        <v>9016</v>
      </c>
      <c r="C191" s="10">
        <v>603000</v>
      </c>
      <c r="D191" s="43" t="str">
        <f>VLOOKUP(C191,'13. CUSTOS DER - SERVIÇOS'!A:B,2,0)</f>
        <v>AÇO CA-50 FORNEC. DOBR. COLOCAÇÃO</v>
      </c>
      <c r="E191" s="11">
        <v>80</v>
      </c>
      <c r="F191" s="26" t="str">
        <f>VLOOKUP(C191,'13. CUSTOS DER - SERVIÇOS'!A:C,3,0)</f>
        <v>KG</v>
      </c>
      <c r="G191" s="24">
        <f>VLOOKUP(C191,'13. CUSTOS DER - SERVIÇOS'!A:G,7,0)</f>
        <v>18.34</v>
      </c>
      <c r="H191" s="24"/>
      <c r="I191" s="25">
        <f>'3. BDI'!$C$19</f>
        <v>0.24666704095238123</v>
      </c>
      <c r="J191" s="24">
        <f t="shared" si="336"/>
        <v>22.86</v>
      </c>
      <c r="K191" s="24">
        <f t="shared" si="337"/>
        <v>0</v>
      </c>
      <c r="L191" s="24">
        <f t="shared" si="338"/>
        <v>1828.8</v>
      </c>
      <c r="M191" s="24">
        <f t="shared" si="339"/>
        <v>0</v>
      </c>
      <c r="N191" s="24">
        <f t="shared" si="340"/>
        <v>1828.8</v>
      </c>
      <c r="P191" s="24">
        <f>8.97/1</f>
        <v>8.9700000000000006</v>
      </c>
      <c r="Q191" s="24">
        <f t="shared" si="341"/>
        <v>717.6</v>
      </c>
      <c r="R191" s="24">
        <f t="shared" si="334"/>
        <v>894.6</v>
      </c>
      <c r="S191" s="24">
        <f t="shared" si="335"/>
        <v>934.19999999999993</v>
      </c>
    </row>
    <row r="192" spans="1:19">
      <c r="A192" s="9" t="s">
        <v>23554</v>
      </c>
      <c r="B192" s="10" t="s">
        <v>9016</v>
      </c>
      <c r="C192" s="10">
        <v>603300</v>
      </c>
      <c r="D192" s="43" t="str">
        <f>VLOOKUP(C192,'13. CUSTOS DER - SERVIÇOS'!A:B,2,0)</f>
        <v>AÇO CA-60 FORNEC. DOBR. COLOCAÇÃO</v>
      </c>
      <c r="E192" s="11">
        <v>852</v>
      </c>
      <c r="F192" s="26" t="str">
        <f>VLOOKUP(C192,'13. CUSTOS DER - SERVIÇOS'!A:C,3,0)</f>
        <v>KG</v>
      </c>
      <c r="G192" s="24">
        <f>VLOOKUP(C192,'13. CUSTOS DER - SERVIÇOS'!A:G,7,0)</f>
        <v>20.91</v>
      </c>
      <c r="H192" s="24"/>
      <c r="I192" s="25">
        <f>'3. BDI'!$C$19</f>
        <v>0.24666704095238123</v>
      </c>
      <c r="J192" s="24">
        <f>TRUNC(G192+(G192*I192),2)</f>
        <v>26.06</v>
      </c>
      <c r="K192" s="24">
        <f>TRUNC(H192+(H192*I192),2)</f>
        <v>0</v>
      </c>
      <c r="L192" s="24">
        <f>J192*E192</f>
        <v>22203.119999999999</v>
      </c>
      <c r="M192" s="24">
        <f>K192*E192</f>
        <v>0</v>
      </c>
      <c r="N192" s="24">
        <f>L192+M192</f>
        <v>22203.119999999999</v>
      </c>
      <c r="P192" s="24">
        <f>8.97/1</f>
        <v>8.9700000000000006</v>
      </c>
      <c r="Q192" s="24">
        <f t="shared" si="341"/>
        <v>7642.44</v>
      </c>
      <c r="R192" s="24">
        <f t="shared" si="334"/>
        <v>9527.57</v>
      </c>
      <c r="S192" s="24">
        <f t="shared" si="335"/>
        <v>12675.55</v>
      </c>
    </row>
    <row r="193" spans="1:19">
      <c r="A193" s="9" t="s">
        <v>23555</v>
      </c>
      <c r="B193" s="10" t="s">
        <v>9016</v>
      </c>
      <c r="C193" s="10">
        <v>605500</v>
      </c>
      <c r="D193" s="43" t="str">
        <f>VLOOKUP(C193,'13. CUSTOS DER - SERVIÇOS'!A:B,2,0)</f>
        <v>CONCRETO FCK = 20 MPA, PREPARO EM BETONEIRA E LANÇ.</v>
      </c>
      <c r="E193" s="11">
        <v>8.9600000000000009</v>
      </c>
      <c r="F193" s="26" t="str">
        <f>VLOOKUP(C193,'13. CUSTOS DER - SERVIÇOS'!A:C,3,0)</f>
        <v>M3</v>
      </c>
      <c r="G193" s="24">
        <f>VLOOKUP(C193,'13. CUSTOS DER - SERVIÇOS'!A:G,7,0)</f>
        <v>532.64</v>
      </c>
      <c r="H193" s="24">
        <f>VLOOKUP(C193,'10. CCU TRANSPORTE'!B:J,9,0)</f>
        <v>61.030000000000008</v>
      </c>
      <c r="I193" s="25">
        <f>'3. BDI'!$C$19</f>
        <v>0.24666704095238123</v>
      </c>
      <c r="J193" s="24">
        <f t="shared" si="336"/>
        <v>664.02</v>
      </c>
      <c r="K193" s="24">
        <f t="shared" si="337"/>
        <v>76.08</v>
      </c>
      <c r="L193" s="24">
        <f t="shared" si="338"/>
        <v>5949.6192000000001</v>
      </c>
      <c r="M193" s="24">
        <f t="shared" si="339"/>
        <v>681.67680000000007</v>
      </c>
      <c r="N193" s="24">
        <f t="shared" si="340"/>
        <v>6631.2960000000003</v>
      </c>
      <c r="P193" s="24">
        <f>498.36/2.5</f>
        <v>199.34399999999999</v>
      </c>
      <c r="Q193" s="24">
        <f t="shared" si="341"/>
        <v>1786.12</v>
      </c>
      <c r="R193" s="24">
        <f t="shared" si="334"/>
        <v>2226.69</v>
      </c>
      <c r="S193" s="24">
        <f t="shared" si="335"/>
        <v>4404.6059999999998</v>
      </c>
    </row>
    <row r="194" spans="1:19">
      <c r="A194" s="9" t="s">
        <v>23556</v>
      </c>
      <c r="B194" s="10" t="s">
        <v>358</v>
      </c>
      <c r="C194" s="10" t="s">
        <v>22651</v>
      </c>
      <c r="D194" s="43" t="s">
        <v>249</v>
      </c>
      <c r="E194" s="11">
        <v>0.72</v>
      </c>
      <c r="F194" s="13" t="s">
        <v>326</v>
      </c>
      <c r="G194" s="24">
        <f>VLOOKUP(C194,'9. CCU''S GERAIS AMEP'!A:K,11,0)</f>
        <v>438.94809520000007</v>
      </c>
      <c r="H194" s="24">
        <v>0</v>
      </c>
      <c r="I194" s="25">
        <f>'3. BDI'!$C$19</f>
        <v>0.24666704095238123</v>
      </c>
      <c r="J194" s="24">
        <f t="shared" si="336"/>
        <v>547.22</v>
      </c>
      <c r="K194" s="24">
        <f t="shared" si="337"/>
        <v>0</v>
      </c>
      <c r="L194" s="24">
        <f t="shared" si="338"/>
        <v>393.9984</v>
      </c>
      <c r="M194" s="24">
        <f t="shared" si="339"/>
        <v>0</v>
      </c>
      <c r="N194" s="24">
        <f t="shared" si="340"/>
        <v>393.9984</v>
      </c>
      <c r="P194" s="24">
        <f>62.77/2.5</f>
        <v>25.108000000000001</v>
      </c>
      <c r="Q194" s="24">
        <f t="shared" ref="Q194" si="342">P194*E194</f>
        <v>18.077760000000001</v>
      </c>
      <c r="R194" s="24">
        <f t="shared" si="334"/>
        <v>22.53</v>
      </c>
      <c r="S194" s="24">
        <f t="shared" si="335"/>
        <v>371.46839999999997</v>
      </c>
    </row>
    <row r="195" spans="1:19">
      <c r="A195" s="338"/>
      <c r="B195" s="44"/>
      <c r="C195" s="167"/>
      <c r="D195" s="341" t="s">
        <v>22789</v>
      </c>
      <c r="E195" s="339"/>
      <c r="F195" s="167"/>
      <c r="G195" s="339"/>
      <c r="H195" s="339"/>
      <c r="I195" s="340"/>
      <c r="J195" s="339"/>
      <c r="K195" s="339"/>
      <c r="L195" s="339"/>
      <c r="M195" s="339"/>
      <c r="N195" s="339"/>
      <c r="P195" s="339"/>
      <c r="Q195" s="339"/>
      <c r="R195" s="24">
        <f t="shared" si="334"/>
        <v>0</v>
      </c>
      <c r="S195" s="24">
        <f t="shared" si="335"/>
        <v>0</v>
      </c>
    </row>
    <row r="196" spans="1:19">
      <c r="A196" s="9" t="s">
        <v>23557</v>
      </c>
      <c r="B196" s="10" t="s">
        <v>358</v>
      </c>
      <c r="C196" s="10" t="s">
        <v>22648</v>
      </c>
      <c r="D196" s="43" t="s">
        <v>22802</v>
      </c>
      <c r="E196" s="11">
        <v>358</v>
      </c>
      <c r="F196" s="13" t="s">
        <v>328</v>
      </c>
      <c r="G196" s="24">
        <f>VLOOKUP(C196,'9. CCU''S GERAIS AMEP'!A:K,11,0)</f>
        <v>482.42695200000003</v>
      </c>
      <c r="H196" s="24">
        <f>VLOOKUP(C196,'10. CCU TRANSPORTE'!B:J,9,0)</f>
        <v>37.510000000000005</v>
      </c>
      <c r="I196" s="25">
        <f>'3. BDI'!$C$19</f>
        <v>0.24666704095238123</v>
      </c>
      <c r="J196" s="24">
        <f t="shared" ref="J196" si="343">TRUNC(G196+(G196*I196),2)</f>
        <v>601.41999999999996</v>
      </c>
      <c r="K196" s="24">
        <f t="shared" ref="K196" si="344">TRUNC(H196+(H196*I196),2)</f>
        <v>46.76</v>
      </c>
      <c r="L196" s="24">
        <f t="shared" ref="L196" si="345">J196*E196</f>
        <v>215308.36</v>
      </c>
      <c r="M196" s="24">
        <f t="shared" ref="M196" si="346">K196*E196</f>
        <v>16740.079999999998</v>
      </c>
      <c r="N196" s="24">
        <f t="shared" ref="N196" si="347">L196+M196</f>
        <v>232048.43999999997</v>
      </c>
      <c r="P196" s="24">
        <f>64.68/1</f>
        <v>64.680000000000007</v>
      </c>
      <c r="Q196" s="24">
        <f t="shared" ref="Q196" si="348">P196*E196</f>
        <v>23155.440000000002</v>
      </c>
      <c r="R196" s="24">
        <f t="shared" si="334"/>
        <v>28867.119999999999</v>
      </c>
      <c r="S196" s="24">
        <f t="shared" si="335"/>
        <v>203181.31999999998</v>
      </c>
    </row>
    <row r="197" spans="1:19">
      <c r="A197" s="338"/>
      <c r="B197" s="44"/>
      <c r="C197" s="167"/>
      <c r="D197" s="341" t="s">
        <v>22803</v>
      </c>
      <c r="E197" s="339"/>
      <c r="F197" s="167"/>
      <c r="G197" s="339"/>
      <c r="H197" s="339"/>
      <c r="I197" s="340"/>
      <c r="J197" s="339"/>
      <c r="K197" s="339"/>
      <c r="L197" s="339"/>
      <c r="M197" s="339"/>
      <c r="N197" s="339"/>
      <c r="P197" s="339"/>
      <c r="Q197" s="339"/>
      <c r="R197" s="24">
        <f t="shared" si="334"/>
        <v>0</v>
      </c>
      <c r="S197" s="24">
        <f t="shared" si="335"/>
        <v>0</v>
      </c>
    </row>
    <row r="198" spans="1:19">
      <c r="A198" s="9" t="s">
        <v>23558</v>
      </c>
      <c r="B198" s="10" t="s">
        <v>9016</v>
      </c>
      <c r="C198" s="10">
        <v>620100</v>
      </c>
      <c r="D198" s="43" t="str">
        <f>VLOOKUP(C198,'13. CUSTOS DER - SERVIÇOS'!A:B,2,0)</f>
        <v>BOCA DE BSTC 0,60M</v>
      </c>
      <c r="E198" s="11">
        <v>7</v>
      </c>
      <c r="F198" s="26" t="str">
        <f>VLOOKUP(C198,'13. CUSTOS DER - SERVIÇOS'!A:C,3,0)</f>
        <v>UD</v>
      </c>
      <c r="G198" s="24">
        <f>VLOOKUP(C198,'13. CUSTOS DER - SERVIÇOS'!A:G,7,0)</f>
        <v>954.15</v>
      </c>
      <c r="H198" s="24">
        <f>VLOOKUP(C198,'10. CCU TRANSPORTE'!B:J,9,0)</f>
        <v>45.68</v>
      </c>
      <c r="I198" s="25">
        <f>'3. BDI'!$C$19</f>
        <v>0.24666704095238123</v>
      </c>
      <c r="J198" s="24">
        <f t="shared" ref="J198:J202" si="349">TRUNC(G198+(G198*I198),2)</f>
        <v>1189.5</v>
      </c>
      <c r="K198" s="24">
        <f t="shared" ref="K198:K202" si="350">TRUNC(H198+(H198*I198),2)</f>
        <v>56.94</v>
      </c>
      <c r="L198" s="24">
        <f t="shared" ref="L198:L202" si="351">J198*E198</f>
        <v>8326.5</v>
      </c>
      <c r="M198" s="24">
        <f t="shared" ref="M198:M202" si="352">K198*E198</f>
        <v>398.58</v>
      </c>
      <c r="N198" s="24">
        <f t="shared" ref="N198:N202" si="353">L198+M198</f>
        <v>8725.08</v>
      </c>
      <c r="P198" s="24">
        <f>112.26/1</f>
        <v>112.26</v>
      </c>
      <c r="Q198" s="24">
        <f>TRUNC(P198*E198,2)</f>
        <v>785.82</v>
      </c>
      <c r="R198" s="24">
        <f t="shared" si="334"/>
        <v>979.65</v>
      </c>
      <c r="S198" s="24">
        <f t="shared" si="335"/>
        <v>7745.43</v>
      </c>
    </row>
    <row r="199" spans="1:19">
      <c r="A199" s="338"/>
      <c r="B199" s="44"/>
      <c r="C199" s="167"/>
      <c r="D199" s="341" t="s">
        <v>22804</v>
      </c>
      <c r="E199" s="339"/>
      <c r="F199" s="167"/>
      <c r="G199" s="339"/>
      <c r="H199" s="339"/>
      <c r="I199" s="340"/>
      <c r="J199" s="339"/>
      <c r="K199" s="339"/>
      <c r="L199" s="339"/>
      <c r="M199" s="339"/>
      <c r="N199" s="339"/>
      <c r="P199" s="339"/>
      <c r="Q199" s="339"/>
      <c r="R199" s="24">
        <f t="shared" si="334"/>
        <v>0</v>
      </c>
      <c r="S199" s="24">
        <f t="shared" si="335"/>
        <v>0</v>
      </c>
    </row>
    <row r="200" spans="1:19">
      <c r="A200" s="9" t="s">
        <v>23559</v>
      </c>
      <c r="B200" s="10" t="s">
        <v>9016</v>
      </c>
      <c r="C200" s="10">
        <v>620200</v>
      </c>
      <c r="D200" s="43" t="str">
        <f>VLOOKUP(C200,'13. CUSTOS DER - SERVIÇOS'!A:B,2,0)</f>
        <v>BOCA DE BSTC 0,80M</v>
      </c>
      <c r="E200" s="11">
        <v>8</v>
      </c>
      <c r="F200" s="26" t="str">
        <f>VLOOKUP(C200,'13. CUSTOS DER - SERVIÇOS'!A:C,3,0)</f>
        <v>UD</v>
      </c>
      <c r="G200" s="24">
        <f>VLOOKUP(C200,'13. CUSTOS DER - SERVIÇOS'!A:G,7,0)</f>
        <v>1321.46</v>
      </c>
      <c r="H200" s="24">
        <f>VLOOKUP(C200,'10. CCU TRANSPORTE'!B:J,9,0)</f>
        <v>66.239999999999995</v>
      </c>
      <c r="I200" s="25">
        <f>'3. BDI'!$C$19</f>
        <v>0.24666704095238123</v>
      </c>
      <c r="J200" s="24">
        <f t="shared" si="349"/>
        <v>1647.42</v>
      </c>
      <c r="K200" s="24">
        <f t="shared" si="350"/>
        <v>82.57</v>
      </c>
      <c r="L200" s="24">
        <f t="shared" si="351"/>
        <v>13179.36</v>
      </c>
      <c r="M200" s="24">
        <f t="shared" si="352"/>
        <v>660.56</v>
      </c>
      <c r="N200" s="24">
        <f t="shared" si="353"/>
        <v>13839.92</v>
      </c>
      <c r="P200" s="24">
        <f>112.26/1</f>
        <v>112.26</v>
      </c>
      <c r="Q200" s="24">
        <f>TRUNC(P200*E200,2)</f>
        <v>898.08</v>
      </c>
      <c r="R200" s="24">
        <f t="shared" si="334"/>
        <v>1119.5999999999999</v>
      </c>
      <c r="S200" s="24">
        <f t="shared" si="335"/>
        <v>12720.32</v>
      </c>
    </row>
    <row r="201" spans="1:19">
      <c r="A201" s="338"/>
      <c r="B201" s="44"/>
      <c r="C201" s="167"/>
      <c r="D201" s="341" t="s">
        <v>22805</v>
      </c>
      <c r="E201" s="339"/>
      <c r="F201" s="167"/>
      <c r="G201" s="339"/>
      <c r="H201" s="339"/>
      <c r="I201" s="340"/>
      <c r="J201" s="339"/>
      <c r="K201" s="339"/>
      <c r="L201" s="339"/>
      <c r="M201" s="339"/>
      <c r="N201" s="339"/>
      <c r="P201" s="339"/>
      <c r="Q201" s="339"/>
      <c r="R201" s="24">
        <f t="shared" si="334"/>
        <v>0</v>
      </c>
      <c r="S201" s="24">
        <f t="shared" si="335"/>
        <v>0</v>
      </c>
    </row>
    <row r="202" spans="1:19">
      <c r="A202" s="9" t="s">
        <v>23560</v>
      </c>
      <c r="B202" s="10" t="s">
        <v>9016</v>
      </c>
      <c r="C202" s="10">
        <v>620500</v>
      </c>
      <c r="D202" s="43" t="str">
        <f>VLOOKUP(C202,'13. CUSTOS DER - SERVIÇOS'!A:B,2,0)</f>
        <v>BOCA DE BSTC 1,50M</v>
      </c>
      <c r="E202" s="11">
        <v>1</v>
      </c>
      <c r="F202" s="26" t="str">
        <f>VLOOKUP(C202,'13. CUSTOS DER - SERVIÇOS'!A:C,3,0)</f>
        <v>UD</v>
      </c>
      <c r="G202" s="24">
        <f>VLOOKUP(C202,'13. CUSTOS DER - SERVIÇOS'!A:G,7,0)</f>
        <v>4302.26</v>
      </c>
      <c r="H202" s="24">
        <f>VLOOKUP(C202,'10. CCU TRANSPORTE'!B:J,9,0)</f>
        <v>269.53000000000003</v>
      </c>
      <c r="I202" s="25">
        <f>'3. BDI'!$C$19</f>
        <v>0.24666704095238123</v>
      </c>
      <c r="J202" s="24">
        <f t="shared" si="349"/>
        <v>5363.48</v>
      </c>
      <c r="K202" s="24">
        <f t="shared" si="350"/>
        <v>336.01</v>
      </c>
      <c r="L202" s="24">
        <f t="shared" si="351"/>
        <v>5363.48</v>
      </c>
      <c r="M202" s="24">
        <f t="shared" si="352"/>
        <v>336.01</v>
      </c>
      <c r="N202" s="24">
        <f t="shared" si="353"/>
        <v>5699.49</v>
      </c>
      <c r="P202" s="24">
        <f>206.64/1</f>
        <v>206.64</v>
      </c>
      <c r="Q202" s="24">
        <f>TRUNC(P202*E202,2)</f>
        <v>206.64</v>
      </c>
      <c r="R202" s="24">
        <f t="shared" si="334"/>
        <v>257.61</v>
      </c>
      <c r="S202" s="24">
        <f t="shared" si="335"/>
        <v>5441.88</v>
      </c>
    </row>
    <row r="203" spans="1:19">
      <c r="A203" s="338"/>
      <c r="B203" s="44"/>
      <c r="C203" s="167"/>
      <c r="D203" s="341" t="s">
        <v>22806</v>
      </c>
      <c r="E203" s="339"/>
      <c r="F203" s="167"/>
      <c r="G203" s="339"/>
      <c r="H203" s="339"/>
      <c r="I203" s="340"/>
      <c r="J203" s="339"/>
      <c r="K203" s="339"/>
      <c r="L203" s="339"/>
      <c r="M203" s="339"/>
      <c r="N203" s="339"/>
      <c r="P203" s="339"/>
      <c r="Q203" s="339"/>
      <c r="R203" s="24">
        <f t="shared" si="334"/>
        <v>0</v>
      </c>
      <c r="S203" s="24">
        <f t="shared" si="335"/>
        <v>0</v>
      </c>
    </row>
    <row r="204" spans="1:19" ht="31.5">
      <c r="A204" s="9" t="s">
        <v>23561</v>
      </c>
      <c r="B204" s="10" t="s">
        <v>22708</v>
      </c>
      <c r="C204" s="10">
        <v>705224</v>
      </c>
      <c r="D204" s="43" t="str">
        <f>UPPER(VLOOKUP(C204,'18. CUSTOS DNIT - SERVIÇOS'!A:B,2,0))</f>
        <v>BOCA DE BSCC 1,50 X 1,50 M - ESCONSIDADE 0° - AREIA EXTRAÍDA E BRITA PRODUZIDA</v>
      </c>
      <c r="E204" s="11">
        <v>3</v>
      </c>
      <c r="F204" s="26" t="str">
        <f>UPPER(VLOOKUP(C204,'18. CUSTOS DNIT - SERVIÇOS'!A:C,3,0))</f>
        <v>UN</v>
      </c>
      <c r="G204" s="24">
        <f>VLOOKUP(C204,'18. CUSTOS DNIT - SERVIÇOS'!A:D,4,0)</f>
        <v>10564.8</v>
      </c>
      <c r="H204" s="24"/>
      <c r="I204" s="25">
        <f>'3. BDI'!$C$19</f>
        <v>0.24666704095238123</v>
      </c>
      <c r="J204" s="24">
        <f>TRUNC(G204+(G204*I204),2)</f>
        <v>13170.78</v>
      </c>
      <c r="K204" s="24">
        <f>TRUNC(H204+(H204*I204),2)</f>
        <v>0</v>
      </c>
      <c r="L204" s="24">
        <f>J204*E204</f>
        <v>39512.340000000004</v>
      </c>
      <c r="M204" s="24">
        <f>K204*E204</f>
        <v>0</v>
      </c>
      <c r="N204" s="24">
        <f>L204+M204</f>
        <v>39512.340000000004</v>
      </c>
      <c r="P204" s="24">
        <v>0</v>
      </c>
      <c r="Q204" s="24">
        <f>TRUNC((P204*E204),2)</f>
        <v>0</v>
      </c>
      <c r="R204" s="24">
        <f t="shared" si="334"/>
        <v>0</v>
      </c>
      <c r="S204" s="24">
        <f t="shared" si="335"/>
        <v>39512.340000000004</v>
      </c>
    </row>
    <row r="205" spans="1:19">
      <c r="A205" s="338"/>
      <c r="B205" s="44"/>
      <c r="C205" s="167"/>
      <c r="D205" s="341" t="s">
        <v>22807</v>
      </c>
      <c r="E205" s="339"/>
      <c r="F205" s="167"/>
      <c r="G205" s="339"/>
      <c r="H205" s="339"/>
      <c r="I205" s="340"/>
      <c r="J205" s="339"/>
      <c r="K205" s="339"/>
      <c r="L205" s="339"/>
      <c r="M205" s="339"/>
      <c r="N205" s="339"/>
      <c r="P205" s="339"/>
      <c r="Q205" s="339"/>
      <c r="R205" s="24">
        <f t="shared" si="334"/>
        <v>0</v>
      </c>
      <c r="S205" s="24">
        <f t="shared" si="335"/>
        <v>0</v>
      </c>
    </row>
    <row r="206" spans="1:19" ht="31.5">
      <c r="A206" s="9" t="s">
        <v>23562</v>
      </c>
      <c r="B206" s="10" t="s">
        <v>22708</v>
      </c>
      <c r="C206" s="10">
        <v>705240</v>
      </c>
      <c r="D206" s="43" t="str">
        <f>UPPER(VLOOKUP(C206,'18. CUSTOS DNIT - SERVIÇOS'!A:B,2,0))</f>
        <v>BOCA DE BSCC 2,50 X 2,50 M - ESCONSIDADE 0° - AREIA EXTRAÍDA E BRITA PRODUZIDA</v>
      </c>
      <c r="E206" s="11">
        <v>1</v>
      </c>
      <c r="F206" s="26" t="str">
        <f>UPPER(VLOOKUP(C206,'18. CUSTOS DNIT - SERVIÇOS'!A:C,3,0))</f>
        <v>UN</v>
      </c>
      <c r="G206" s="24">
        <f>VLOOKUP(C206,'18. CUSTOS DNIT - SERVIÇOS'!A:D,4,0)</f>
        <v>22138.16</v>
      </c>
      <c r="H206" s="24"/>
      <c r="I206" s="25">
        <f>'3. BDI'!$C$19</f>
        <v>0.24666704095238123</v>
      </c>
      <c r="J206" s="24">
        <f>TRUNC(G206+(G206*I206),2)</f>
        <v>27598.91</v>
      </c>
      <c r="K206" s="24">
        <f>TRUNC(H206+(H206*I206),2)</f>
        <v>0</v>
      </c>
      <c r="L206" s="24">
        <f>J206*E206</f>
        <v>27598.91</v>
      </c>
      <c r="M206" s="24">
        <f>K206*E206</f>
        <v>0</v>
      </c>
      <c r="N206" s="24">
        <f>L206+M206</f>
        <v>27598.91</v>
      </c>
      <c r="P206" s="24">
        <v>0</v>
      </c>
      <c r="Q206" s="24">
        <f>TRUNC((P206*E206),2)</f>
        <v>0</v>
      </c>
      <c r="R206" s="24">
        <f t="shared" si="334"/>
        <v>0</v>
      </c>
      <c r="S206" s="24">
        <f t="shared" si="335"/>
        <v>27598.91</v>
      </c>
    </row>
    <row r="207" spans="1:19">
      <c r="A207" s="338"/>
      <c r="B207" s="44"/>
      <c r="C207" s="167"/>
      <c r="D207" s="341" t="s">
        <v>22808</v>
      </c>
      <c r="E207" s="339"/>
      <c r="F207" s="167"/>
      <c r="G207" s="339"/>
      <c r="H207" s="339"/>
      <c r="I207" s="340"/>
      <c r="J207" s="339"/>
      <c r="K207" s="339"/>
      <c r="L207" s="339"/>
      <c r="M207" s="339"/>
      <c r="N207" s="339"/>
      <c r="P207" s="339"/>
      <c r="Q207" s="339"/>
      <c r="R207" s="24">
        <f t="shared" si="334"/>
        <v>0</v>
      </c>
      <c r="S207" s="24">
        <f t="shared" si="335"/>
        <v>0</v>
      </c>
    </row>
    <row r="208" spans="1:19" ht="31.5">
      <c r="A208" s="9" t="s">
        <v>23563</v>
      </c>
      <c r="B208" s="10" t="s">
        <v>22708</v>
      </c>
      <c r="C208" s="10">
        <v>705329</v>
      </c>
      <c r="D208" s="43" t="str">
        <f>UPPER(VLOOKUP(C208,'18. CUSTOS DNIT - SERVIÇOS'!A:B,2,0))</f>
        <v>BOCA DE BDCC 2,50 X 2,50 M - ESCONSIDADE 0° - AREIA EXTRAÍDA E BRITA PRODUZIDA</v>
      </c>
      <c r="E208" s="11">
        <v>1</v>
      </c>
      <c r="F208" s="26" t="str">
        <f>UPPER(VLOOKUP(C208,'18. CUSTOS DNIT - SERVIÇOS'!A:C,3,0))</f>
        <v>UN</v>
      </c>
      <c r="G208" s="24">
        <f>VLOOKUP(C208,'18. CUSTOS DNIT - SERVIÇOS'!A:D,4,0)</f>
        <v>26531.23</v>
      </c>
      <c r="H208" s="24"/>
      <c r="I208" s="25">
        <f>'3. BDI'!$C$19</f>
        <v>0.24666704095238123</v>
      </c>
      <c r="J208" s="24">
        <f>TRUNC(G208+(G208*I208),2)</f>
        <v>33075.599999999999</v>
      </c>
      <c r="K208" s="24">
        <f>TRUNC(H208+(H208*I208),2)</f>
        <v>0</v>
      </c>
      <c r="L208" s="24">
        <f>J208*E208</f>
        <v>33075.599999999999</v>
      </c>
      <c r="M208" s="24">
        <f>K208*E208</f>
        <v>0</v>
      </c>
      <c r="N208" s="24">
        <f>L208+M208</f>
        <v>33075.599999999999</v>
      </c>
      <c r="P208" s="24">
        <f>0</f>
        <v>0</v>
      </c>
      <c r="Q208" s="24">
        <f>TRUNC((P208*E208),2)</f>
        <v>0</v>
      </c>
      <c r="R208" s="24">
        <f t="shared" si="334"/>
        <v>0</v>
      </c>
      <c r="S208" s="24">
        <f t="shared" si="335"/>
        <v>33075.599999999999</v>
      </c>
    </row>
    <row r="209" spans="1:19">
      <c r="A209" s="338"/>
      <c r="B209" s="44"/>
      <c r="C209" s="167"/>
      <c r="D209" s="341" t="s">
        <v>22809</v>
      </c>
      <c r="E209" s="339"/>
      <c r="F209" s="167"/>
      <c r="G209" s="339"/>
      <c r="H209" s="339"/>
      <c r="I209" s="340"/>
      <c r="J209" s="339"/>
      <c r="K209" s="339"/>
      <c r="L209" s="339"/>
      <c r="M209" s="339"/>
      <c r="N209" s="339"/>
      <c r="P209" s="339"/>
      <c r="Q209" s="339"/>
      <c r="R209" s="24">
        <f t="shared" si="334"/>
        <v>0</v>
      </c>
      <c r="S209" s="24">
        <f t="shared" si="335"/>
        <v>0</v>
      </c>
    </row>
    <row r="210" spans="1:19">
      <c r="A210" s="9" t="s">
        <v>23564</v>
      </c>
      <c r="B210" s="10" t="s">
        <v>9016</v>
      </c>
      <c r="C210" s="10">
        <v>600600</v>
      </c>
      <c r="D210" s="43" t="str">
        <f>VLOOKUP(C210,'13. CUSTOS DER - SERVIÇOS'!A:B,2,0)</f>
        <v>ESCAVAÇÃO VALAS DE DRENAGEM 1A. CAT.</v>
      </c>
      <c r="E210" s="11">
        <v>110</v>
      </c>
      <c r="F210" s="26" t="str">
        <f>VLOOKUP(C210,'13. CUSTOS DER - SERVIÇOS'!A:C,3,0)</f>
        <v>M3</v>
      </c>
      <c r="G210" s="24">
        <f>VLOOKUP(C210,'13. CUSTOS DER - SERVIÇOS'!A:G,7,0)</f>
        <v>18.559999999999999</v>
      </c>
      <c r="H210" s="24">
        <v>0</v>
      </c>
      <c r="I210" s="25">
        <f>'3. BDI'!$C$19</f>
        <v>0.24666704095238123</v>
      </c>
      <c r="J210" s="24">
        <f t="shared" ref="J210:J211" si="354">TRUNC(G210+(G210*I210),2)</f>
        <v>23.13</v>
      </c>
      <c r="K210" s="24">
        <f t="shared" ref="K210:K211" si="355">TRUNC(H210+(H210*I210),2)</f>
        <v>0</v>
      </c>
      <c r="L210" s="24">
        <f t="shared" ref="L210:L211" si="356">J210*E210</f>
        <v>2544.2999999999997</v>
      </c>
      <c r="M210" s="24">
        <f t="shared" ref="M210:M211" si="357">K210*E210</f>
        <v>0</v>
      </c>
      <c r="N210" s="24">
        <f t="shared" ref="N210:N211" si="358">L210+M210</f>
        <v>2544.2999999999997</v>
      </c>
      <c r="P210" s="24">
        <f>40.04/10.32</f>
        <v>3.8798449612403099</v>
      </c>
      <c r="Q210" s="24">
        <f t="shared" ref="Q210:Q211" si="359">TRUNC(P210*E210,2)</f>
        <v>426.78</v>
      </c>
      <c r="R210" s="24">
        <f t="shared" si="334"/>
        <v>532.04999999999995</v>
      </c>
      <c r="S210" s="24">
        <f t="shared" si="335"/>
        <v>2012.2499999999998</v>
      </c>
    </row>
    <row r="211" spans="1:19">
      <c r="A211" s="9" t="s">
        <v>23565</v>
      </c>
      <c r="B211" s="10" t="s">
        <v>9016</v>
      </c>
      <c r="C211" s="10">
        <v>800000</v>
      </c>
      <c r="D211" s="43" t="str">
        <f>VLOOKUP(C211,'13. CUSTOS DER - SERVIÇOS'!A:B,2,0)</f>
        <v>ENLEIVAMENTO</v>
      </c>
      <c r="E211" s="11">
        <v>210.59</v>
      </c>
      <c r="F211" s="26" t="str">
        <f>VLOOKUP(C211,'13. CUSTOS DER - SERVIÇOS'!A:C,3,0)</f>
        <v>M2</v>
      </c>
      <c r="G211" s="24">
        <f>VLOOKUP(C211,'13. CUSTOS DER - SERVIÇOS'!A:G,7,0)</f>
        <v>12.41</v>
      </c>
      <c r="H211" s="24"/>
      <c r="I211" s="25">
        <f>'3. BDI'!$C$19</f>
        <v>0.24666704095238123</v>
      </c>
      <c r="J211" s="24">
        <f t="shared" si="354"/>
        <v>15.47</v>
      </c>
      <c r="K211" s="24">
        <f t="shared" si="355"/>
        <v>0</v>
      </c>
      <c r="L211" s="24">
        <f t="shared" si="356"/>
        <v>3257.8273000000004</v>
      </c>
      <c r="M211" s="24">
        <f t="shared" si="357"/>
        <v>0</v>
      </c>
      <c r="N211" s="24">
        <f t="shared" si="358"/>
        <v>3257.8273000000004</v>
      </c>
      <c r="P211" s="24">
        <f>722.16/130</f>
        <v>5.555076923076923</v>
      </c>
      <c r="Q211" s="24">
        <f t="shared" si="359"/>
        <v>1169.8399999999999</v>
      </c>
      <c r="R211" s="24">
        <f t="shared" si="334"/>
        <v>1458.4</v>
      </c>
      <c r="S211" s="24">
        <f t="shared" si="335"/>
        <v>1799.4273000000003</v>
      </c>
    </row>
    <row r="212" spans="1:19">
      <c r="A212" s="338"/>
      <c r="B212" s="44"/>
      <c r="C212" s="167"/>
      <c r="D212" s="341" t="s">
        <v>22810</v>
      </c>
      <c r="E212" s="339"/>
      <c r="F212" s="167"/>
      <c r="G212" s="339"/>
      <c r="H212" s="339"/>
      <c r="I212" s="340"/>
      <c r="J212" s="339"/>
      <c r="K212" s="339"/>
      <c r="L212" s="339"/>
      <c r="M212" s="339"/>
      <c r="N212" s="339"/>
      <c r="P212" s="339"/>
      <c r="Q212" s="339"/>
      <c r="R212" s="24">
        <f t="shared" si="334"/>
        <v>0</v>
      </c>
      <c r="S212" s="24">
        <f t="shared" si="335"/>
        <v>0</v>
      </c>
    </row>
    <row r="213" spans="1:19">
      <c r="A213" s="9" t="s">
        <v>23566</v>
      </c>
      <c r="B213" s="10" t="s">
        <v>9016</v>
      </c>
      <c r="C213" s="10">
        <v>600600</v>
      </c>
      <c r="D213" s="43" t="str">
        <f>VLOOKUP(C213,'13. CUSTOS DER - SERVIÇOS'!A:B,2,0)</f>
        <v>ESCAVAÇÃO VALAS DE DRENAGEM 1A. CAT.</v>
      </c>
      <c r="E213" s="11">
        <v>80</v>
      </c>
      <c r="F213" s="26" t="str">
        <f>VLOOKUP(C213,'13. CUSTOS DER - SERVIÇOS'!A:C,3,0)</f>
        <v>M3</v>
      </c>
      <c r="G213" s="24">
        <f>VLOOKUP(C213,'13. CUSTOS DER - SERVIÇOS'!A:G,7,0)</f>
        <v>18.559999999999999</v>
      </c>
      <c r="H213" s="24">
        <v>0</v>
      </c>
      <c r="I213" s="25">
        <f>'3. BDI'!$C$19</f>
        <v>0.24666704095238123</v>
      </c>
      <c r="J213" s="24">
        <f t="shared" ref="J213:J214" si="360">TRUNC(G213+(G213*I213),2)</f>
        <v>23.13</v>
      </c>
      <c r="K213" s="24">
        <f t="shared" ref="K213:K214" si="361">TRUNC(H213+(H213*I213),2)</f>
        <v>0</v>
      </c>
      <c r="L213" s="24">
        <f t="shared" ref="L213:L214" si="362">J213*E213</f>
        <v>1850.3999999999999</v>
      </c>
      <c r="M213" s="24">
        <f t="shared" ref="M213:M214" si="363">K213*E213</f>
        <v>0</v>
      </c>
      <c r="N213" s="24">
        <f t="shared" ref="N213:N214" si="364">L213+M213</f>
        <v>1850.3999999999999</v>
      </c>
      <c r="P213" s="24">
        <f>40.04/10.32</f>
        <v>3.8798449612403099</v>
      </c>
      <c r="Q213" s="24">
        <f t="shared" ref="Q213:Q214" si="365">TRUNC(P213*E213,2)</f>
        <v>310.38</v>
      </c>
      <c r="R213" s="24">
        <f t="shared" si="334"/>
        <v>386.94</v>
      </c>
      <c r="S213" s="24">
        <f t="shared" si="335"/>
        <v>1463.4599999999998</v>
      </c>
    </row>
    <row r="214" spans="1:19">
      <c r="A214" s="9" t="s">
        <v>23567</v>
      </c>
      <c r="B214" s="10" t="s">
        <v>9016</v>
      </c>
      <c r="C214" s="10">
        <v>800000</v>
      </c>
      <c r="D214" s="43" t="str">
        <f>VLOOKUP(C214,'13. CUSTOS DER - SERVIÇOS'!A:B,2,0)</f>
        <v>ENLEIVAMENTO</v>
      </c>
      <c r="E214" s="11">
        <v>116.58</v>
      </c>
      <c r="F214" s="26" t="str">
        <f>VLOOKUP(C214,'13. CUSTOS DER - SERVIÇOS'!A:C,3,0)</f>
        <v>M2</v>
      </c>
      <c r="G214" s="24">
        <f>VLOOKUP(C214,'13. CUSTOS DER - SERVIÇOS'!A:G,7,0)</f>
        <v>12.41</v>
      </c>
      <c r="H214" s="24"/>
      <c r="I214" s="25">
        <f>'3. BDI'!$C$19</f>
        <v>0.24666704095238123</v>
      </c>
      <c r="J214" s="24">
        <f t="shared" si="360"/>
        <v>15.47</v>
      </c>
      <c r="K214" s="24">
        <f t="shared" si="361"/>
        <v>0</v>
      </c>
      <c r="L214" s="24">
        <f t="shared" si="362"/>
        <v>1803.4926</v>
      </c>
      <c r="M214" s="24">
        <f t="shared" si="363"/>
        <v>0</v>
      </c>
      <c r="N214" s="24">
        <f t="shared" si="364"/>
        <v>1803.4926</v>
      </c>
      <c r="P214" s="24">
        <f>722.16/130</f>
        <v>5.555076923076923</v>
      </c>
      <c r="Q214" s="24">
        <f t="shared" si="365"/>
        <v>647.61</v>
      </c>
      <c r="R214" s="24">
        <f t="shared" si="334"/>
        <v>807.35</v>
      </c>
      <c r="S214" s="24">
        <f t="shared" si="335"/>
        <v>996.14260000000002</v>
      </c>
    </row>
    <row r="215" spans="1:19">
      <c r="A215" s="338"/>
      <c r="B215" s="44"/>
      <c r="C215" s="167"/>
      <c r="D215" s="341" t="s">
        <v>22790</v>
      </c>
      <c r="E215" s="339"/>
      <c r="F215" s="167"/>
      <c r="G215" s="339"/>
      <c r="H215" s="339"/>
      <c r="I215" s="340"/>
      <c r="J215" s="339"/>
      <c r="K215" s="339"/>
      <c r="L215" s="339"/>
      <c r="M215" s="339"/>
      <c r="N215" s="339"/>
      <c r="P215" s="339"/>
      <c r="Q215" s="339"/>
      <c r="R215" s="24">
        <f t="shared" si="334"/>
        <v>0</v>
      </c>
      <c r="S215" s="24">
        <f t="shared" si="335"/>
        <v>0</v>
      </c>
    </row>
    <row r="216" spans="1:19">
      <c r="A216" s="9" t="s">
        <v>23568</v>
      </c>
      <c r="B216" s="10" t="s">
        <v>9016</v>
      </c>
      <c r="C216" s="10">
        <v>650000</v>
      </c>
      <c r="D216" s="43" t="str">
        <f>VLOOKUP(C216,'13. CUSTOS DER - SERVIÇOS'!A:B,2,0)</f>
        <v>SARJETA TRIANGULAR CONCRETO - TIPO  1</v>
      </c>
      <c r="E216" s="11">
        <v>3652</v>
      </c>
      <c r="F216" s="26" t="str">
        <f>VLOOKUP(C216,'13. CUSTOS DER - SERVIÇOS'!A:C,3,0)</f>
        <v>M</v>
      </c>
      <c r="G216" s="24">
        <f>VLOOKUP(C216,'13. CUSTOS DER - SERVIÇOS'!A:G,7,0)</f>
        <v>130.34</v>
      </c>
      <c r="H216" s="24">
        <f>VLOOKUP(C216,'10. CCU TRANSPORTE'!B:J,9,0)</f>
        <v>6.4799999999999995</v>
      </c>
      <c r="I216" s="25">
        <f>'3. BDI'!$C$19</f>
        <v>0.24666704095238123</v>
      </c>
      <c r="J216" s="24">
        <f t="shared" ref="J216:J218" si="366">TRUNC(G216+(G216*I216),2)</f>
        <v>162.49</v>
      </c>
      <c r="K216" s="24">
        <f t="shared" ref="K216:K218" si="367">TRUNC(H216+(H216*I216),2)</f>
        <v>8.07</v>
      </c>
      <c r="L216" s="24">
        <f t="shared" ref="L216:L218" si="368">J216*E216</f>
        <v>593413.48</v>
      </c>
      <c r="M216" s="24">
        <f t="shared" ref="M216:M218" si="369">K216*E216</f>
        <v>29471.64</v>
      </c>
      <c r="N216" s="24">
        <f t="shared" ref="N216:N218" si="370">L216+M216</f>
        <v>622885.12</v>
      </c>
      <c r="P216" s="24">
        <f>58.19/1</f>
        <v>58.19</v>
      </c>
      <c r="Q216" s="24">
        <f>TRUNC(P216*E216,2)</f>
        <v>212509.88</v>
      </c>
      <c r="R216" s="24">
        <f t="shared" si="334"/>
        <v>264929.06</v>
      </c>
      <c r="S216" s="24">
        <f t="shared" si="335"/>
        <v>357956.06</v>
      </c>
    </row>
    <row r="217" spans="1:19">
      <c r="A217" s="338"/>
      <c r="B217" s="44"/>
      <c r="C217" s="167"/>
      <c r="D217" s="341" t="s">
        <v>22791</v>
      </c>
      <c r="E217" s="339"/>
      <c r="F217" s="167"/>
      <c r="G217" s="339"/>
      <c r="H217" s="339"/>
      <c r="I217" s="340"/>
      <c r="J217" s="339"/>
      <c r="K217" s="339"/>
      <c r="L217" s="339"/>
      <c r="M217" s="339"/>
      <c r="N217" s="339"/>
      <c r="P217" s="339"/>
      <c r="Q217" s="339"/>
      <c r="R217" s="24">
        <f t="shared" ref="R217:R234" si="371">TRUNC((Q217*I217+Q217),2)</f>
        <v>0</v>
      </c>
      <c r="S217" s="24">
        <f t="shared" ref="S217:S234" si="372">N217-R217</f>
        <v>0</v>
      </c>
    </row>
    <row r="218" spans="1:19">
      <c r="A218" s="9" t="s">
        <v>23569</v>
      </c>
      <c r="B218" s="10" t="s">
        <v>358</v>
      </c>
      <c r="C218" s="10" t="s">
        <v>22654</v>
      </c>
      <c r="D218" s="43" t="s">
        <v>259</v>
      </c>
      <c r="E218" s="11">
        <v>3336</v>
      </c>
      <c r="F218" s="13" t="s">
        <v>328</v>
      </c>
      <c r="G218" s="24">
        <f>VLOOKUP(C218,'9. CCU''S GERAIS AMEP'!A:K,11,0)</f>
        <v>117.9667</v>
      </c>
      <c r="H218" s="24">
        <v>0</v>
      </c>
      <c r="I218" s="25">
        <f>'3. BDI'!$C$19</f>
        <v>0.24666704095238123</v>
      </c>
      <c r="J218" s="24">
        <f t="shared" si="366"/>
        <v>147.06</v>
      </c>
      <c r="K218" s="24">
        <f t="shared" si="367"/>
        <v>0</v>
      </c>
      <c r="L218" s="24">
        <f t="shared" si="368"/>
        <v>490592.16000000003</v>
      </c>
      <c r="M218" s="24">
        <f t="shared" si="369"/>
        <v>0</v>
      </c>
      <c r="N218" s="24">
        <f t="shared" si="370"/>
        <v>490592.16000000003</v>
      </c>
      <c r="P218" s="24">
        <f>58.2/1</f>
        <v>58.2</v>
      </c>
      <c r="Q218" s="24">
        <f t="shared" ref="Q218" si="373">P218*E218</f>
        <v>194155.2</v>
      </c>
      <c r="R218" s="24">
        <f t="shared" si="371"/>
        <v>242046.88</v>
      </c>
      <c r="S218" s="24">
        <f t="shared" si="372"/>
        <v>248545.28000000003</v>
      </c>
    </row>
    <row r="219" spans="1:19">
      <c r="A219" s="338"/>
      <c r="B219" s="44"/>
      <c r="C219" s="167"/>
      <c r="D219" s="341" t="s">
        <v>22792</v>
      </c>
      <c r="E219" s="339"/>
      <c r="F219" s="167"/>
      <c r="G219" s="339"/>
      <c r="H219" s="339"/>
      <c r="I219" s="340"/>
      <c r="J219" s="339"/>
      <c r="K219" s="339"/>
      <c r="L219" s="339"/>
      <c r="M219" s="339"/>
      <c r="N219" s="339"/>
      <c r="P219" s="339"/>
      <c r="Q219" s="339"/>
      <c r="R219" s="24">
        <f t="shared" si="371"/>
        <v>0</v>
      </c>
      <c r="S219" s="24">
        <f t="shared" si="372"/>
        <v>0</v>
      </c>
    </row>
    <row r="220" spans="1:19">
      <c r="A220" s="9" t="s">
        <v>23570</v>
      </c>
      <c r="B220" s="10" t="s">
        <v>9016</v>
      </c>
      <c r="C220" s="10">
        <v>660500</v>
      </c>
      <c r="D220" s="43" t="str">
        <f>VLOOKUP(C220,'13. CUSTOS DER - SERVIÇOS'!A:B,2,0)</f>
        <v>VALETA CONCRETO PROTEÇÃO ATERRO - TIPO 7A</v>
      </c>
      <c r="E220" s="11">
        <v>1248</v>
      </c>
      <c r="F220" s="26" t="str">
        <f>VLOOKUP(C220,'13. CUSTOS DER - SERVIÇOS'!A:C,3,0)</f>
        <v>M</v>
      </c>
      <c r="G220" s="24">
        <f>VLOOKUP(C220,'13. CUSTOS DER - SERVIÇOS'!A:G,7,0)</f>
        <v>113.16</v>
      </c>
      <c r="H220" s="24">
        <f>VLOOKUP(C220,'10. CCU TRANSPORTE'!B:J,9,0)</f>
        <v>5.21</v>
      </c>
      <c r="I220" s="25">
        <f>'3. BDI'!$C$19</f>
        <v>0.24666704095238123</v>
      </c>
      <c r="J220" s="24">
        <f t="shared" ref="J220" si="374">TRUNC(G220+(G220*I220),2)</f>
        <v>141.07</v>
      </c>
      <c r="K220" s="24">
        <f t="shared" ref="K220" si="375">TRUNC(H220+(H220*I220),2)</f>
        <v>6.49</v>
      </c>
      <c r="L220" s="24">
        <f t="shared" ref="L220" si="376">J220*E220</f>
        <v>176055.36</v>
      </c>
      <c r="M220" s="24">
        <f t="shared" ref="M220" si="377">K220*E220</f>
        <v>8099.52</v>
      </c>
      <c r="N220" s="24">
        <f t="shared" ref="N220" si="378">L220+M220</f>
        <v>184154.87999999998</v>
      </c>
      <c r="P220" s="24">
        <f>47.82/1</f>
        <v>47.82</v>
      </c>
      <c r="Q220" s="24">
        <f>TRUNC(P220*E220,2)</f>
        <v>59679.360000000001</v>
      </c>
      <c r="R220" s="24">
        <f t="shared" si="371"/>
        <v>74400.289999999994</v>
      </c>
      <c r="S220" s="24">
        <f t="shared" si="372"/>
        <v>109754.58999999998</v>
      </c>
    </row>
    <row r="221" spans="1:19">
      <c r="A221" s="338"/>
      <c r="B221" s="44"/>
      <c r="C221" s="167"/>
      <c r="D221" s="341" t="s">
        <v>22876</v>
      </c>
      <c r="E221" s="339"/>
      <c r="F221" s="167"/>
      <c r="G221" s="339"/>
      <c r="H221" s="339"/>
      <c r="I221" s="340"/>
      <c r="J221" s="339"/>
      <c r="K221" s="339"/>
      <c r="L221" s="339"/>
      <c r="M221" s="339"/>
      <c r="N221" s="339"/>
      <c r="P221" s="339"/>
      <c r="Q221" s="339"/>
      <c r="R221" s="24">
        <f t="shared" si="371"/>
        <v>0</v>
      </c>
      <c r="S221" s="24">
        <f t="shared" si="372"/>
        <v>0</v>
      </c>
    </row>
    <row r="222" spans="1:19">
      <c r="A222" s="9" t="s">
        <v>23571</v>
      </c>
      <c r="B222" s="10" t="s">
        <v>9016</v>
      </c>
      <c r="C222" s="10">
        <v>600300</v>
      </c>
      <c r="D222" s="43" t="str">
        <f>VLOOKUP(C222,'13. CUSTOS DER - SERVIÇOS'!A:B,2,0)</f>
        <v>ESCAVAÇÃO DE BUEIROS EM 1A. CAT.</v>
      </c>
      <c r="E222" s="11">
        <v>1249.44</v>
      </c>
      <c r="F222" s="26" t="str">
        <f>VLOOKUP(C222,'13. CUSTOS DER - SERVIÇOS'!A:C,3,0)</f>
        <v>M3</v>
      </c>
      <c r="G222" s="24">
        <f>VLOOKUP(C222,'13. CUSTOS DER - SERVIÇOS'!A:G,7,0)</f>
        <v>11.83</v>
      </c>
      <c r="H222" s="24"/>
      <c r="I222" s="25">
        <f>'3. BDI'!$C$19</f>
        <v>0.24666704095238123</v>
      </c>
      <c r="J222" s="24">
        <f t="shared" ref="J222:J223" si="379">TRUNC(G222+(G222*I222),2)</f>
        <v>14.74</v>
      </c>
      <c r="K222" s="24">
        <f t="shared" ref="K222:K223" si="380">TRUNC(H222+(H222*I222),2)</f>
        <v>0</v>
      </c>
      <c r="L222" s="24">
        <f t="shared" ref="L222:L223" si="381">J222*E222</f>
        <v>18416.745600000002</v>
      </c>
      <c r="M222" s="24">
        <f t="shared" ref="M222:M223" si="382">K222*E222</f>
        <v>0</v>
      </c>
      <c r="N222" s="24">
        <f t="shared" ref="N222:N223" si="383">L222+M222</f>
        <v>18416.745600000002</v>
      </c>
      <c r="P222" s="24">
        <f>40.04/27.74</f>
        <v>1.4434030281182408</v>
      </c>
      <c r="Q222" s="24">
        <f t="shared" ref="Q222:Q223" si="384">TRUNC(P222*E222,2)</f>
        <v>1803.44</v>
      </c>
      <c r="R222" s="24">
        <f t="shared" si="371"/>
        <v>2248.2800000000002</v>
      </c>
      <c r="S222" s="24">
        <f t="shared" si="372"/>
        <v>16168.465600000001</v>
      </c>
    </row>
    <row r="223" spans="1:19">
      <c r="A223" s="9" t="s">
        <v>23572</v>
      </c>
      <c r="B223" s="10" t="s">
        <v>9016</v>
      </c>
      <c r="C223" s="10">
        <v>601200</v>
      </c>
      <c r="D223" s="43" t="str">
        <f>VLOOKUP(C223,'13. CUSTOS DER - SERVIÇOS'!A:B,2,0)</f>
        <v>REATERRO E APILOAMENTO MECÂNICO</v>
      </c>
      <c r="E223" s="11">
        <v>914.56</v>
      </c>
      <c r="F223" s="26" t="str">
        <f>VLOOKUP(C223,'13. CUSTOS DER - SERVIÇOS'!A:C,3,0)</f>
        <v>M3</v>
      </c>
      <c r="G223" s="24">
        <f>VLOOKUP(C223,'13. CUSTOS DER - SERVIÇOS'!A:G,7,0)</f>
        <v>34.119999999999997</v>
      </c>
      <c r="H223" s="24"/>
      <c r="I223" s="25">
        <f>'3. BDI'!$C$19</f>
        <v>0.24666704095238123</v>
      </c>
      <c r="J223" s="24">
        <f t="shared" si="379"/>
        <v>42.53</v>
      </c>
      <c r="K223" s="24">
        <f t="shared" si="380"/>
        <v>0</v>
      </c>
      <c r="L223" s="24">
        <f t="shared" si="381"/>
        <v>38896.236799999999</v>
      </c>
      <c r="M223" s="24">
        <f t="shared" si="382"/>
        <v>0</v>
      </c>
      <c r="N223" s="24">
        <f t="shared" si="383"/>
        <v>38896.236799999999</v>
      </c>
      <c r="P223" s="24">
        <f>318.18/11</f>
        <v>28.925454545454546</v>
      </c>
      <c r="Q223" s="24">
        <f t="shared" si="384"/>
        <v>26454.06</v>
      </c>
      <c r="R223" s="24">
        <f t="shared" si="371"/>
        <v>32979.4</v>
      </c>
      <c r="S223" s="24">
        <f t="shared" si="372"/>
        <v>5916.8367999999973</v>
      </c>
    </row>
    <row r="224" spans="1:19">
      <c r="A224" s="338"/>
      <c r="B224" s="44"/>
      <c r="C224" s="167"/>
      <c r="D224" s="341" t="s">
        <v>22877</v>
      </c>
      <c r="E224" s="339"/>
      <c r="F224" s="167"/>
      <c r="G224" s="339"/>
      <c r="H224" s="339"/>
      <c r="I224" s="340"/>
      <c r="J224" s="339"/>
      <c r="K224" s="339"/>
      <c r="L224" s="339"/>
      <c r="M224" s="339"/>
      <c r="N224" s="339"/>
      <c r="P224" s="339"/>
      <c r="Q224" s="339"/>
      <c r="R224" s="24">
        <f t="shared" si="371"/>
        <v>0</v>
      </c>
      <c r="S224" s="24">
        <f t="shared" si="372"/>
        <v>0</v>
      </c>
    </row>
    <row r="225" spans="1:19">
      <c r="A225" s="9" t="s">
        <v>23573</v>
      </c>
      <c r="B225" s="10" t="s">
        <v>9016</v>
      </c>
      <c r="C225" s="10">
        <v>701100</v>
      </c>
      <c r="D225" s="43" t="str">
        <f>VLOOKUP(C225,'13. CUSTOS DER - SERVIÇOS'!A:B,2,0)</f>
        <v>ESCAVAÇÃO 1A. CAT. P/GALERIAS CELULARES</v>
      </c>
      <c r="E225" s="11">
        <v>1302.75</v>
      </c>
      <c r="F225" s="26" t="str">
        <f>VLOOKUP(C225,'13. CUSTOS DER - SERVIÇOS'!A:C,3,0)</f>
        <v>M3</v>
      </c>
      <c r="G225" s="24">
        <f>VLOOKUP(C225,'13. CUSTOS DER - SERVIÇOS'!A:G,7,0)</f>
        <v>11.83</v>
      </c>
      <c r="H225" s="24"/>
      <c r="I225" s="25">
        <f>'3. BDI'!$C$19</f>
        <v>0.24666704095238123</v>
      </c>
      <c r="J225" s="24">
        <f t="shared" ref="J225" si="385">TRUNC(G225+(G225*I225),2)</f>
        <v>14.74</v>
      </c>
      <c r="K225" s="24">
        <f t="shared" ref="K225" si="386">TRUNC(H225+(H225*I225),2)</f>
        <v>0</v>
      </c>
      <c r="L225" s="24">
        <f t="shared" ref="L225" si="387">J225*E225</f>
        <v>19202.535</v>
      </c>
      <c r="M225" s="24">
        <f t="shared" ref="M225" si="388">K225*E225</f>
        <v>0</v>
      </c>
      <c r="N225" s="24">
        <f t="shared" ref="N225" si="389">L225+M225</f>
        <v>19202.535</v>
      </c>
      <c r="P225" s="24">
        <f>40.04/27.74</f>
        <v>1.4434030281182408</v>
      </c>
      <c r="Q225" s="24">
        <f t="shared" ref="Q225:Q226" si="390">TRUNC(P225*E225,2)</f>
        <v>1880.39</v>
      </c>
      <c r="R225" s="24">
        <f t="shared" si="371"/>
        <v>2344.2199999999998</v>
      </c>
      <c r="S225" s="24">
        <f t="shared" si="372"/>
        <v>16858.314999999999</v>
      </c>
    </row>
    <row r="226" spans="1:19">
      <c r="A226" s="9" t="s">
        <v>23574</v>
      </c>
      <c r="B226" s="10" t="s">
        <v>9016</v>
      </c>
      <c r="C226" s="10">
        <v>705000</v>
      </c>
      <c r="D226" s="43" t="str">
        <f>VLOOKUP(C226,'13. CUSTOS DER - SERVIÇOS'!A:B,2,0)</f>
        <v>REATERRO E APILOAMENTO MECÂNICO</v>
      </c>
      <c r="E226" s="11">
        <v>538.39</v>
      </c>
      <c r="F226" s="26" t="str">
        <f>VLOOKUP(C226,'13. CUSTOS DER - SERVIÇOS'!A:C,3,0)</f>
        <v>M3</v>
      </c>
      <c r="G226" s="24">
        <f>VLOOKUP(C226,'13. CUSTOS DER - SERVIÇOS'!A:G,7,0)</f>
        <v>34.119999999999997</v>
      </c>
      <c r="H226" s="24"/>
      <c r="I226" s="25">
        <f>'3. BDI'!$C$19</f>
        <v>0.24666704095238123</v>
      </c>
      <c r="J226" s="24">
        <f t="shared" ref="J226" si="391">TRUNC(G226+(G226*I226),2)</f>
        <v>42.53</v>
      </c>
      <c r="K226" s="24">
        <f t="shared" ref="K226" si="392">TRUNC(H226+(H226*I226),2)</f>
        <v>0</v>
      </c>
      <c r="L226" s="24">
        <f t="shared" ref="L226" si="393">J226*E226</f>
        <v>22897.726699999999</v>
      </c>
      <c r="M226" s="24">
        <f t="shared" ref="M226" si="394">K226*E226</f>
        <v>0</v>
      </c>
      <c r="N226" s="24">
        <f t="shared" ref="N226" si="395">L226+M226</f>
        <v>22897.726699999999</v>
      </c>
      <c r="P226" s="24">
        <f>318.18/11</f>
        <v>28.925454545454546</v>
      </c>
      <c r="Q226" s="24">
        <f t="shared" si="390"/>
        <v>15573.17</v>
      </c>
      <c r="R226" s="24">
        <f t="shared" si="371"/>
        <v>19414.55</v>
      </c>
      <c r="S226" s="24">
        <f t="shared" si="372"/>
        <v>3483.1767</v>
      </c>
    </row>
    <row r="227" spans="1:19">
      <c r="A227" s="338"/>
      <c r="B227" s="44"/>
      <c r="C227" s="167"/>
      <c r="D227" s="341" t="s">
        <v>23523</v>
      </c>
      <c r="E227" s="339"/>
      <c r="F227" s="167"/>
      <c r="G227" s="339"/>
      <c r="H227" s="339"/>
      <c r="I227" s="340"/>
      <c r="J227" s="339"/>
      <c r="K227" s="339"/>
      <c r="L227" s="339"/>
      <c r="M227" s="339"/>
      <c r="N227" s="339"/>
      <c r="P227" s="339"/>
      <c r="Q227" s="339"/>
      <c r="R227" s="24">
        <f t="shared" si="371"/>
        <v>0</v>
      </c>
      <c r="S227" s="24">
        <f t="shared" si="372"/>
        <v>0</v>
      </c>
    </row>
    <row r="228" spans="1:19">
      <c r="A228" s="9" t="s">
        <v>23575</v>
      </c>
      <c r="B228" s="10" t="s">
        <v>9016</v>
      </c>
      <c r="C228" s="10">
        <v>630400</v>
      </c>
      <c r="D228" s="43" t="str">
        <f>VLOOKUP(C228,'13. CUSTOS DER - SERVIÇOS'!A:B,2,0)</f>
        <v>REMOÇÃO DE BUEIRO 0,40M</v>
      </c>
      <c r="E228" s="11">
        <v>50.5</v>
      </c>
      <c r="F228" s="26" t="str">
        <f>VLOOKUP(C228,'13. CUSTOS DER - SERVIÇOS'!A:C,3,0)</f>
        <v>M</v>
      </c>
      <c r="G228" s="24">
        <f>VLOOKUP(C228,'13. CUSTOS DER - SERVIÇOS'!A:G,7,0)</f>
        <v>19.809999999999999</v>
      </c>
      <c r="H228" s="24"/>
      <c r="I228" s="25">
        <f>'3. BDI'!$C$19</f>
        <v>0.24666704095238123</v>
      </c>
      <c r="J228" s="24">
        <f t="shared" ref="J228:J229" si="396">TRUNC(G228+(G228*I228),2)</f>
        <v>24.69</v>
      </c>
      <c r="K228" s="24">
        <f t="shared" ref="K228:K229" si="397">TRUNC(H228+(H228*I228),2)</f>
        <v>0</v>
      </c>
      <c r="L228" s="24">
        <f t="shared" ref="L228:L229" si="398">J228*E228</f>
        <v>1246.845</v>
      </c>
      <c r="M228" s="24">
        <f t="shared" ref="M228:M229" si="399">K228*E228</f>
        <v>0</v>
      </c>
      <c r="N228" s="24">
        <f t="shared" ref="N228:N229" si="400">L228+M228</f>
        <v>1246.845</v>
      </c>
      <c r="P228" s="24">
        <f>71.5/12</f>
        <v>5.958333333333333</v>
      </c>
      <c r="Q228" s="24">
        <f t="shared" ref="Q228:Q232" si="401">TRUNC(P228*E228,2)</f>
        <v>300.89</v>
      </c>
      <c r="R228" s="24">
        <f t="shared" si="371"/>
        <v>375.1</v>
      </c>
      <c r="S228" s="24">
        <f t="shared" si="372"/>
        <v>871.745</v>
      </c>
    </row>
    <row r="229" spans="1:19">
      <c r="A229" s="9" t="s">
        <v>23576</v>
      </c>
      <c r="B229" s="10" t="s">
        <v>9016</v>
      </c>
      <c r="C229" s="10">
        <v>630600</v>
      </c>
      <c r="D229" s="43" t="str">
        <f>VLOOKUP(C229,'13. CUSTOS DER - SERVIÇOS'!A:B,2,0)</f>
        <v>REMOÇÃO DE BUEIRO 0,60M</v>
      </c>
      <c r="E229" s="11">
        <v>25</v>
      </c>
      <c r="F229" s="26" t="str">
        <f>VLOOKUP(C229,'13. CUSTOS DER - SERVIÇOS'!A:C,3,0)</f>
        <v>M</v>
      </c>
      <c r="G229" s="24">
        <f>VLOOKUP(C229,'13. CUSTOS DER - SERVIÇOS'!A:G,7,0)</f>
        <v>23.77</v>
      </c>
      <c r="H229" s="24"/>
      <c r="I229" s="25">
        <f>'3. BDI'!$C$19</f>
        <v>0.24666704095238123</v>
      </c>
      <c r="J229" s="24">
        <f t="shared" si="396"/>
        <v>29.63</v>
      </c>
      <c r="K229" s="24">
        <f t="shared" si="397"/>
        <v>0</v>
      </c>
      <c r="L229" s="24">
        <f t="shared" si="398"/>
        <v>740.75</v>
      </c>
      <c r="M229" s="24">
        <f t="shared" si="399"/>
        <v>0</v>
      </c>
      <c r="N229" s="24">
        <f t="shared" si="400"/>
        <v>740.75</v>
      </c>
      <c r="P229" s="24">
        <f>71.5/10</f>
        <v>7.15</v>
      </c>
      <c r="Q229" s="24">
        <f t="shared" si="401"/>
        <v>178.75</v>
      </c>
      <c r="R229" s="24">
        <f t="shared" si="371"/>
        <v>222.84</v>
      </c>
      <c r="S229" s="24">
        <f t="shared" si="372"/>
        <v>517.91</v>
      </c>
    </row>
    <row r="230" spans="1:19">
      <c r="A230" s="9" t="s">
        <v>23577</v>
      </c>
      <c r="B230" s="10" t="s">
        <v>9016</v>
      </c>
      <c r="C230" s="10">
        <v>631200</v>
      </c>
      <c r="D230" s="43" t="str">
        <f>VLOOKUP(C230,'13. CUSTOS DER - SERVIÇOS'!A:B,2,0)</f>
        <v>REMOÇÃO DE BUEIRO 1,20M</v>
      </c>
      <c r="E230" s="11">
        <v>16</v>
      </c>
      <c r="F230" s="26" t="str">
        <f>VLOOKUP(C230,'13. CUSTOS DER - SERVIÇOS'!A:C,3,0)</f>
        <v>M</v>
      </c>
      <c r="G230" s="24">
        <f>VLOOKUP(C230,'13. CUSTOS DER - SERVIÇOS'!A:G,7,0)</f>
        <v>57.25</v>
      </c>
      <c r="H230" s="24"/>
      <c r="I230" s="25">
        <f>'3. BDI'!$C$19</f>
        <v>0.24666704095238123</v>
      </c>
      <c r="J230" s="24">
        <f t="shared" ref="J230:J232" si="402">TRUNC(G230+(G230*I230),2)</f>
        <v>71.37</v>
      </c>
      <c r="K230" s="24">
        <f t="shared" ref="K230:K232" si="403">TRUNC(H230+(H230*I230),2)</f>
        <v>0</v>
      </c>
      <c r="L230" s="24">
        <f t="shared" ref="L230:L232" si="404">J230*E230</f>
        <v>1141.92</v>
      </c>
      <c r="M230" s="24">
        <f t="shared" ref="M230:M232" si="405">K230*E230</f>
        <v>0</v>
      </c>
      <c r="N230" s="24">
        <f t="shared" ref="N230:N232" si="406">L230+M230</f>
        <v>1141.92</v>
      </c>
      <c r="P230" s="24">
        <f>71.5/5</f>
        <v>14.3</v>
      </c>
      <c r="Q230" s="24">
        <f t="shared" si="401"/>
        <v>228.8</v>
      </c>
      <c r="R230" s="24">
        <f t="shared" si="371"/>
        <v>285.23</v>
      </c>
      <c r="S230" s="24">
        <f t="shared" si="372"/>
        <v>856.69</v>
      </c>
    </row>
    <row r="231" spans="1:19">
      <c r="A231" s="9" t="s">
        <v>23578</v>
      </c>
      <c r="B231" s="10" t="s">
        <v>9016</v>
      </c>
      <c r="C231" s="10">
        <v>631500</v>
      </c>
      <c r="D231" s="43" t="str">
        <f>VLOOKUP(C231,'13. CUSTOS DER - SERVIÇOS'!A:B,2,0)</f>
        <v>REMOÇÃO DE BUEIRO 1,50M</v>
      </c>
      <c r="E231" s="11">
        <v>24.5</v>
      </c>
      <c r="F231" s="26" t="str">
        <f>VLOOKUP(C231,'13. CUSTOS DER - SERVIÇOS'!A:C,3,0)</f>
        <v>M</v>
      </c>
      <c r="G231" s="24">
        <f>VLOOKUP(C231,'13. CUSTOS DER - SERVIÇOS'!A:G,7,0)</f>
        <v>71.56</v>
      </c>
      <c r="H231" s="24"/>
      <c r="I231" s="25">
        <f>'3. BDI'!$C$19</f>
        <v>0.24666704095238123</v>
      </c>
      <c r="J231" s="24">
        <f t="shared" si="402"/>
        <v>89.21</v>
      </c>
      <c r="K231" s="24">
        <f t="shared" si="403"/>
        <v>0</v>
      </c>
      <c r="L231" s="24">
        <f t="shared" si="404"/>
        <v>2185.645</v>
      </c>
      <c r="M231" s="24">
        <f t="shared" si="405"/>
        <v>0</v>
      </c>
      <c r="N231" s="24">
        <f t="shared" si="406"/>
        <v>2185.645</v>
      </c>
      <c r="P231" s="24">
        <f>71.5/4</f>
        <v>17.875</v>
      </c>
      <c r="Q231" s="24">
        <f t="shared" si="401"/>
        <v>437.93</v>
      </c>
      <c r="R231" s="24">
        <f t="shared" si="371"/>
        <v>545.95000000000005</v>
      </c>
      <c r="S231" s="24">
        <f t="shared" si="372"/>
        <v>1639.6949999999999</v>
      </c>
    </row>
    <row r="232" spans="1:19">
      <c r="A232" s="9" t="s">
        <v>23579</v>
      </c>
      <c r="B232" s="10" t="s">
        <v>9016</v>
      </c>
      <c r="C232" s="10">
        <v>610200</v>
      </c>
      <c r="D232" s="43" t="str">
        <f>VLOOKUP(C232,'13. CUSTOS DER - SERVIÇOS'!A:B,2,0)</f>
        <v>LIMPEZA MANUAL DE VALETA</v>
      </c>
      <c r="E232" s="11">
        <v>13</v>
      </c>
      <c r="F232" s="26" t="str">
        <f>VLOOKUP(C232,'13. CUSTOS DER - SERVIÇOS'!A:C,3,0)</f>
        <v>M</v>
      </c>
      <c r="G232" s="24">
        <f>VLOOKUP(C232,'13. CUSTOS DER - SERVIÇOS'!A:G,7,0)</f>
        <v>3.74</v>
      </c>
      <c r="H232" s="24"/>
      <c r="I232" s="25">
        <f>'3. BDI'!$C$19</f>
        <v>0.24666704095238123</v>
      </c>
      <c r="J232" s="24">
        <f t="shared" si="402"/>
        <v>4.66</v>
      </c>
      <c r="K232" s="24">
        <f t="shared" si="403"/>
        <v>0</v>
      </c>
      <c r="L232" s="24">
        <f t="shared" si="404"/>
        <v>60.58</v>
      </c>
      <c r="M232" s="24">
        <f t="shared" si="405"/>
        <v>0</v>
      </c>
      <c r="N232" s="24">
        <f t="shared" si="406"/>
        <v>60.58</v>
      </c>
      <c r="P232" s="24">
        <f>1235.55/600</f>
        <v>2.05925</v>
      </c>
      <c r="Q232" s="24">
        <f t="shared" si="401"/>
        <v>26.77</v>
      </c>
      <c r="R232" s="24">
        <f t="shared" si="371"/>
        <v>33.369999999999997</v>
      </c>
      <c r="S232" s="24">
        <f t="shared" si="372"/>
        <v>27.21</v>
      </c>
    </row>
    <row r="233" spans="1:19">
      <c r="A233" s="338"/>
      <c r="B233" s="44"/>
      <c r="C233" s="167"/>
      <c r="D233" s="341" t="s">
        <v>35</v>
      </c>
      <c r="E233" s="339"/>
      <c r="F233" s="167"/>
      <c r="G233" s="339"/>
      <c r="H233" s="339"/>
      <c r="I233" s="340"/>
      <c r="J233" s="339"/>
      <c r="K233" s="339"/>
      <c r="L233" s="339"/>
      <c r="M233" s="339"/>
      <c r="N233" s="339"/>
      <c r="P233" s="339"/>
      <c r="Q233" s="339"/>
      <c r="R233" s="24">
        <f t="shared" si="371"/>
        <v>0</v>
      </c>
      <c r="S233" s="24">
        <f t="shared" si="372"/>
        <v>0</v>
      </c>
    </row>
    <row r="234" spans="1:19">
      <c r="A234" s="9" t="s">
        <v>23617</v>
      </c>
      <c r="B234" s="10" t="s">
        <v>358</v>
      </c>
      <c r="C234" s="12" t="s">
        <v>22676</v>
      </c>
      <c r="D234" s="43" t="s">
        <v>308</v>
      </c>
      <c r="E234" s="11">
        <v>1322.25</v>
      </c>
      <c r="F234" s="13" t="s">
        <v>328</v>
      </c>
      <c r="G234" s="24">
        <f>VLOOKUP(C234,'9. CCU''S GERAIS AMEP'!A:K,11,0)</f>
        <v>28.355223000000002</v>
      </c>
      <c r="H234" s="24">
        <v>0</v>
      </c>
      <c r="I234" s="25">
        <f>'3. BDI'!$C$19</f>
        <v>0.24666704095238123</v>
      </c>
      <c r="J234" s="24">
        <f t="shared" ref="J234" si="407">TRUNC(G234+(G234*I234),2)</f>
        <v>35.340000000000003</v>
      </c>
      <c r="K234" s="24">
        <f t="shared" ref="K234" si="408">TRUNC(H234+(H234*I234),2)</f>
        <v>0</v>
      </c>
      <c r="L234" s="24">
        <f t="shared" ref="L234" si="409">J234*E234</f>
        <v>46728.315000000002</v>
      </c>
      <c r="M234" s="24">
        <f t="shared" ref="M234" si="410">K234*E234</f>
        <v>0</v>
      </c>
      <c r="N234" s="24">
        <f t="shared" ref="N234" si="411">L234+M234</f>
        <v>46728.315000000002</v>
      </c>
      <c r="P234" s="24">
        <f>212.21/100</f>
        <v>2.1221000000000001</v>
      </c>
      <c r="Q234" s="24">
        <f t="shared" ref="Q234" si="412">P234*E234</f>
        <v>2805.9467250000002</v>
      </c>
      <c r="R234" s="24">
        <f t="shared" si="371"/>
        <v>3498.08</v>
      </c>
      <c r="S234" s="24">
        <f t="shared" si="372"/>
        <v>43230.235000000001</v>
      </c>
    </row>
    <row r="235" spans="1:19">
      <c r="A235" s="28" t="s">
        <v>22977</v>
      </c>
      <c r="B235" s="48"/>
      <c r="C235" s="32"/>
      <c r="D235" s="301" t="s">
        <v>22780</v>
      </c>
      <c r="E235" s="33"/>
      <c r="F235" s="32" t="s">
        <v>195</v>
      </c>
      <c r="G235" s="33"/>
      <c r="H235" s="33"/>
      <c r="I235" s="34"/>
      <c r="J235" s="33"/>
      <c r="K235" s="33"/>
      <c r="L235" s="33">
        <f t="shared" ref="L235:M235" si="413">SUM(L236:L284)</f>
        <v>438022.85530000005</v>
      </c>
      <c r="M235" s="33">
        <f t="shared" si="413"/>
        <v>12790.8783</v>
      </c>
      <c r="N235" s="33">
        <f>SUM(N236:N284)</f>
        <v>450813.73360000004</v>
      </c>
      <c r="P235" s="33">
        <f t="shared" ref="P235:S235" si="414">SUM(P236:P284)</f>
        <v>2510.5440294578907</v>
      </c>
      <c r="Q235" s="33">
        <f t="shared" si="414"/>
        <v>145186.30000000002</v>
      </c>
      <c r="R235" s="33">
        <f t="shared" si="414"/>
        <v>180998.8</v>
      </c>
      <c r="S235" s="33">
        <f t="shared" si="414"/>
        <v>269814.93359999993</v>
      </c>
    </row>
    <row r="236" spans="1:19">
      <c r="A236" s="338"/>
      <c r="B236" s="44"/>
      <c r="C236" s="167"/>
      <c r="D236" s="341" t="s">
        <v>22811</v>
      </c>
      <c r="E236" s="339"/>
      <c r="F236" s="167"/>
      <c r="G236" s="339"/>
      <c r="H236" s="339"/>
      <c r="I236" s="340"/>
      <c r="J236" s="339"/>
      <c r="K236" s="339"/>
      <c r="L236" s="339"/>
      <c r="M236" s="339"/>
      <c r="N236" s="339"/>
      <c r="P236" s="339"/>
      <c r="Q236" s="339"/>
      <c r="R236" s="24">
        <f t="shared" ref="R236:R267" si="415">TRUNC((Q236*I236+Q236),2)</f>
        <v>0</v>
      </c>
      <c r="S236" s="24">
        <f t="shared" ref="S236:S267" si="416">N236-R236</f>
        <v>0</v>
      </c>
    </row>
    <row r="237" spans="1:19">
      <c r="A237" s="9" t="s">
        <v>23037</v>
      </c>
      <c r="B237" s="10" t="s">
        <v>9016</v>
      </c>
      <c r="C237" s="10">
        <v>600000</v>
      </c>
      <c r="D237" s="43" t="str">
        <f>VLOOKUP(C237,'13. CUSTOS DER - SERVIÇOS'!A:B,2,0)</f>
        <v>ESCAVAÇÃO MANUAL DE VALA 1A. CAT.</v>
      </c>
      <c r="E237" s="11">
        <v>30</v>
      </c>
      <c r="F237" s="26" t="str">
        <f>VLOOKUP(C237,'13. CUSTOS DER - SERVIÇOS'!A:C,3,0)</f>
        <v>M3</v>
      </c>
      <c r="G237" s="24">
        <f>VLOOKUP(C237,'13. CUSTOS DER - SERVIÇOS'!A:G,7,0)</f>
        <v>49.54</v>
      </c>
      <c r="H237" s="24">
        <v>0</v>
      </c>
      <c r="I237" s="25">
        <f>'3. BDI'!$C$19</f>
        <v>0.24666704095238123</v>
      </c>
      <c r="J237" s="24">
        <f t="shared" ref="J237:J241" si="417">TRUNC(G237+(G237*I237),2)</f>
        <v>61.75</v>
      </c>
      <c r="K237" s="24">
        <f t="shared" ref="K237:K241" si="418">TRUNC(H237+(H237*I237),2)</f>
        <v>0</v>
      </c>
      <c r="L237" s="24">
        <f t="shared" ref="L237:L241" si="419">J237*E237</f>
        <v>1852.5</v>
      </c>
      <c r="M237" s="24">
        <f t="shared" ref="M237:M241" si="420">K237*E237</f>
        <v>0</v>
      </c>
      <c r="N237" s="24">
        <f t="shared" ref="N237:N241" si="421">L237+M237</f>
        <v>1852.5</v>
      </c>
      <c r="P237" s="24">
        <f>47.19/1</f>
        <v>47.19</v>
      </c>
      <c r="Q237" s="24">
        <f t="shared" ref="Q237:Q241" si="422">TRUNC(P237*E237,2)</f>
        <v>1415.7</v>
      </c>
      <c r="R237" s="24">
        <f t="shared" si="415"/>
        <v>1764.9</v>
      </c>
      <c r="S237" s="24">
        <f t="shared" si="416"/>
        <v>87.599999999999909</v>
      </c>
    </row>
    <row r="238" spans="1:19">
      <c r="A238" s="9" t="s">
        <v>23038</v>
      </c>
      <c r="B238" s="10" t="s">
        <v>9016</v>
      </c>
      <c r="C238" s="10">
        <v>601100</v>
      </c>
      <c r="D238" s="43" t="str">
        <f>VLOOKUP(C238,'13. CUSTOS DER - SERVIÇOS'!A:B,2,0)</f>
        <v>APILOAMENTO MANUAL</v>
      </c>
      <c r="E238" s="11">
        <v>10</v>
      </c>
      <c r="F238" s="26" t="str">
        <f>VLOOKUP(C238,'13. CUSTOS DER - SERVIÇOS'!A:C,3,0)</f>
        <v>M3</v>
      </c>
      <c r="G238" s="24">
        <f>VLOOKUP(C238,'13. CUSTOS DER - SERVIÇOS'!A:G,7,0)</f>
        <v>54.05</v>
      </c>
      <c r="H238" s="24"/>
      <c r="I238" s="25">
        <f>'3. BDI'!$C$19</f>
        <v>0.24666704095238123</v>
      </c>
      <c r="J238" s="24">
        <f t="shared" si="417"/>
        <v>67.38</v>
      </c>
      <c r="K238" s="24">
        <f t="shared" si="418"/>
        <v>0</v>
      </c>
      <c r="L238" s="24">
        <f t="shared" si="419"/>
        <v>673.8</v>
      </c>
      <c r="M238" s="24">
        <f t="shared" si="420"/>
        <v>0</v>
      </c>
      <c r="N238" s="24">
        <f t="shared" si="421"/>
        <v>673.8</v>
      </c>
      <c r="P238" s="24">
        <f>51.48/1</f>
        <v>51.48</v>
      </c>
      <c r="Q238" s="24">
        <f t="shared" si="422"/>
        <v>514.79999999999995</v>
      </c>
      <c r="R238" s="24">
        <f t="shared" si="415"/>
        <v>641.78</v>
      </c>
      <c r="S238" s="24">
        <f t="shared" si="416"/>
        <v>32.019999999999982</v>
      </c>
    </row>
    <row r="239" spans="1:19">
      <c r="A239" s="9" t="s">
        <v>23039</v>
      </c>
      <c r="B239" s="10" t="s">
        <v>9016</v>
      </c>
      <c r="C239" s="10">
        <v>602100</v>
      </c>
      <c r="D239" s="43" t="str">
        <f>VLOOKUP(C239,'13. CUSTOS DER - SERVIÇOS'!A:B,2,0)</f>
        <v>FORMAS DE MADEIRA COMPENSADA  RESINADA</v>
      </c>
      <c r="E239" s="11">
        <v>40.6</v>
      </c>
      <c r="F239" s="26" t="str">
        <f>VLOOKUP(C239,'13. CUSTOS DER - SERVIÇOS'!A:C,3,0)</f>
        <v>M2</v>
      </c>
      <c r="G239" s="24">
        <f>VLOOKUP(C239,'13. CUSTOS DER - SERVIÇOS'!A:G,7,0)</f>
        <v>78.33</v>
      </c>
      <c r="H239" s="24"/>
      <c r="I239" s="25">
        <f>'3. BDI'!$C$19</f>
        <v>0.24666704095238123</v>
      </c>
      <c r="J239" s="24">
        <f t="shared" si="417"/>
        <v>97.65</v>
      </c>
      <c r="K239" s="24">
        <f t="shared" si="418"/>
        <v>0</v>
      </c>
      <c r="L239" s="24">
        <f t="shared" si="419"/>
        <v>3964.59</v>
      </c>
      <c r="M239" s="24">
        <f t="shared" si="420"/>
        <v>0</v>
      </c>
      <c r="N239" s="24">
        <f t="shared" si="421"/>
        <v>3964.59</v>
      </c>
      <c r="P239" s="24">
        <f>78.65/2</f>
        <v>39.325000000000003</v>
      </c>
      <c r="Q239" s="24">
        <f t="shared" si="422"/>
        <v>1596.59</v>
      </c>
      <c r="R239" s="24">
        <f t="shared" si="415"/>
        <v>1990.41</v>
      </c>
      <c r="S239" s="24">
        <f t="shared" si="416"/>
        <v>1974.18</v>
      </c>
    </row>
    <row r="240" spans="1:19">
      <c r="A240" s="9" t="s">
        <v>23040</v>
      </c>
      <c r="B240" s="10" t="s">
        <v>9016</v>
      </c>
      <c r="C240" s="10">
        <v>603000</v>
      </c>
      <c r="D240" s="43" t="str">
        <f>VLOOKUP(C240,'13. CUSTOS DER - SERVIÇOS'!A:B,2,0)</f>
        <v>AÇO CA-50 FORNEC. DOBR. COLOCAÇÃO</v>
      </c>
      <c r="E240" s="11">
        <v>14</v>
      </c>
      <c r="F240" s="26" t="str">
        <f>VLOOKUP(C240,'13. CUSTOS DER - SERVIÇOS'!A:C,3,0)</f>
        <v>KG</v>
      </c>
      <c r="G240" s="24">
        <f>VLOOKUP(C240,'13. CUSTOS DER - SERVIÇOS'!A:G,7,0)</f>
        <v>18.34</v>
      </c>
      <c r="H240" s="24"/>
      <c r="I240" s="25">
        <f>'3. BDI'!$C$19</f>
        <v>0.24666704095238123</v>
      </c>
      <c r="J240" s="24">
        <f t="shared" si="417"/>
        <v>22.86</v>
      </c>
      <c r="K240" s="24">
        <f t="shared" si="418"/>
        <v>0</v>
      </c>
      <c r="L240" s="24">
        <f t="shared" si="419"/>
        <v>320.03999999999996</v>
      </c>
      <c r="M240" s="24">
        <f t="shared" si="420"/>
        <v>0</v>
      </c>
      <c r="N240" s="24">
        <f t="shared" si="421"/>
        <v>320.03999999999996</v>
      </c>
      <c r="P240" s="24">
        <f>8.97/1</f>
        <v>8.9700000000000006</v>
      </c>
      <c r="Q240" s="24">
        <f t="shared" si="422"/>
        <v>125.58</v>
      </c>
      <c r="R240" s="24">
        <f t="shared" si="415"/>
        <v>156.55000000000001</v>
      </c>
      <c r="S240" s="24">
        <f t="shared" si="416"/>
        <v>163.48999999999995</v>
      </c>
    </row>
    <row r="241" spans="1:19">
      <c r="A241" s="9" t="s">
        <v>23041</v>
      </c>
      <c r="B241" s="10" t="s">
        <v>9016</v>
      </c>
      <c r="C241" s="10">
        <v>605500</v>
      </c>
      <c r="D241" s="43" t="str">
        <f>VLOOKUP(C241,'13. CUSTOS DER - SERVIÇOS'!A:B,2,0)</f>
        <v>CONCRETO FCK = 20 MPA, PREPARO EM BETONEIRA E LANÇ.</v>
      </c>
      <c r="E241" s="11">
        <v>4.4000000000000004</v>
      </c>
      <c r="F241" s="26" t="str">
        <f>VLOOKUP(C241,'13. CUSTOS DER - SERVIÇOS'!A:C,3,0)</f>
        <v>M3</v>
      </c>
      <c r="G241" s="24">
        <f>VLOOKUP(C241,'13. CUSTOS DER - SERVIÇOS'!A:G,7,0)</f>
        <v>532.64</v>
      </c>
      <c r="H241" s="24">
        <f>VLOOKUP(C241,'10. CCU TRANSPORTE'!B:J,9,0)</f>
        <v>61.030000000000008</v>
      </c>
      <c r="I241" s="25">
        <f>'3. BDI'!$C$19</f>
        <v>0.24666704095238123</v>
      </c>
      <c r="J241" s="24">
        <f t="shared" si="417"/>
        <v>664.02</v>
      </c>
      <c r="K241" s="24">
        <f t="shared" si="418"/>
        <v>76.08</v>
      </c>
      <c r="L241" s="24">
        <f t="shared" si="419"/>
        <v>2921.6880000000001</v>
      </c>
      <c r="M241" s="24">
        <f t="shared" si="420"/>
        <v>334.75200000000001</v>
      </c>
      <c r="N241" s="24">
        <f t="shared" si="421"/>
        <v>3256.44</v>
      </c>
      <c r="P241" s="24">
        <f>498.36/2.5</f>
        <v>199.34399999999999</v>
      </c>
      <c r="Q241" s="24">
        <f t="shared" si="422"/>
        <v>877.11</v>
      </c>
      <c r="R241" s="24">
        <f t="shared" si="415"/>
        <v>1093.46</v>
      </c>
      <c r="S241" s="24">
        <f t="shared" si="416"/>
        <v>2162.98</v>
      </c>
    </row>
    <row r="242" spans="1:19">
      <c r="A242" s="338"/>
      <c r="B242" s="44"/>
      <c r="C242" s="167"/>
      <c r="D242" s="341" t="s">
        <v>22812</v>
      </c>
      <c r="E242" s="339"/>
      <c r="F242" s="167"/>
      <c r="G242" s="339"/>
      <c r="H242" s="339"/>
      <c r="I242" s="340"/>
      <c r="J242" s="339"/>
      <c r="K242" s="339"/>
      <c r="L242" s="339"/>
      <c r="M242" s="339"/>
      <c r="N242" s="339"/>
      <c r="P242" s="339"/>
      <c r="Q242" s="339"/>
      <c r="R242" s="24">
        <f t="shared" si="415"/>
        <v>0</v>
      </c>
      <c r="S242" s="24">
        <f t="shared" si="416"/>
        <v>0</v>
      </c>
    </row>
    <row r="243" spans="1:19">
      <c r="A243" s="9" t="s">
        <v>23042</v>
      </c>
      <c r="B243" s="10" t="s">
        <v>9016</v>
      </c>
      <c r="C243" s="10">
        <v>600000</v>
      </c>
      <c r="D243" s="43" t="str">
        <f>VLOOKUP(C243,'13. CUSTOS DER - SERVIÇOS'!A:B,2,0)</f>
        <v>ESCAVAÇÃO MANUAL DE VALA 1A. CAT.</v>
      </c>
      <c r="E243" s="11">
        <v>38</v>
      </c>
      <c r="F243" s="26" t="str">
        <f>VLOOKUP(C243,'13. CUSTOS DER - SERVIÇOS'!A:C,3,0)</f>
        <v>M3</v>
      </c>
      <c r="G243" s="24">
        <f>VLOOKUP(C243,'13. CUSTOS DER - SERVIÇOS'!A:G,7,0)</f>
        <v>49.54</v>
      </c>
      <c r="H243" s="24">
        <v>0</v>
      </c>
      <c r="I243" s="25">
        <f>'3. BDI'!$C$19</f>
        <v>0.24666704095238123</v>
      </c>
      <c r="J243" s="24">
        <f t="shared" ref="J243:J247" si="423">TRUNC(G243+(G243*I243),2)</f>
        <v>61.75</v>
      </c>
      <c r="K243" s="24">
        <f t="shared" ref="K243:K247" si="424">TRUNC(H243+(H243*I243),2)</f>
        <v>0</v>
      </c>
      <c r="L243" s="24">
        <f t="shared" ref="L243:L247" si="425">J243*E243</f>
        <v>2346.5</v>
      </c>
      <c r="M243" s="24">
        <f t="shared" ref="M243:M247" si="426">K243*E243</f>
        <v>0</v>
      </c>
      <c r="N243" s="24">
        <f t="shared" ref="N243:N247" si="427">L243+M243</f>
        <v>2346.5</v>
      </c>
      <c r="P243" s="24">
        <f>47.19/1</f>
        <v>47.19</v>
      </c>
      <c r="Q243" s="24">
        <f t="shared" ref="Q243:Q247" si="428">TRUNC(P243*E243,2)</f>
        <v>1793.22</v>
      </c>
      <c r="R243" s="24">
        <f t="shared" si="415"/>
        <v>2235.54</v>
      </c>
      <c r="S243" s="24">
        <f t="shared" si="416"/>
        <v>110.96000000000004</v>
      </c>
    </row>
    <row r="244" spans="1:19">
      <c r="A244" s="9" t="s">
        <v>23044</v>
      </c>
      <c r="B244" s="10" t="s">
        <v>9016</v>
      </c>
      <c r="C244" s="10">
        <v>601100</v>
      </c>
      <c r="D244" s="43" t="str">
        <f>VLOOKUP(C244,'13. CUSTOS DER - SERVIÇOS'!A:B,2,0)</f>
        <v>APILOAMENTO MANUAL</v>
      </c>
      <c r="E244" s="11">
        <v>12</v>
      </c>
      <c r="F244" s="26" t="str">
        <f>VLOOKUP(C244,'13. CUSTOS DER - SERVIÇOS'!A:C,3,0)</f>
        <v>M3</v>
      </c>
      <c r="G244" s="24">
        <f>VLOOKUP(C244,'13. CUSTOS DER - SERVIÇOS'!A:G,7,0)</f>
        <v>54.05</v>
      </c>
      <c r="H244" s="24"/>
      <c r="I244" s="25">
        <f>'3. BDI'!$C$19</f>
        <v>0.24666704095238123</v>
      </c>
      <c r="J244" s="24">
        <f t="shared" si="423"/>
        <v>67.38</v>
      </c>
      <c r="K244" s="24">
        <f t="shared" si="424"/>
        <v>0</v>
      </c>
      <c r="L244" s="24">
        <f t="shared" si="425"/>
        <v>808.56</v>
      </c>
      <c r="M244" s="24">
        <f t="shared" si="426"/>
        <v>0</v>
      </c>
      <c r="N244" s="24">
        <f t="shared" si="427"/>
        <v>808.56</v>
      </c>
      <c r="P244" s="24">
        <f>51.48/1</f>
        <v>51.48</v>
      </c>
      <c r="Q244" s="24">
        <f t="shared" si="428"/>
        <v>617.76</v>
      </c>
      <c r="R244" s="24">
        <f t="shared" si="415"/>
        <v>770.14</v>
      </c>
      <c r="S244" s="24">
        <f t="shared" si="416"/>
        <v>38.419999999999959</v>
      </c>
    </row>
    <row r="245" spans="1:19">
      <c r="A245" s="9" t="s">
        <v>23045</v>
      </c>
      <c r="B245" s="10" t="s">
        <v>9016</v>
      </c>
      <c r="C245" s="10">
        <v>602100</v>
      </c>
      <c r="D245" s="43" t="str">
        <f>VLOOKUP(C245,'13. CUSTOS DER - SERVIÇOS'!A:B,2,0)</f>
        <v>FORMAS DE MADEIRA COMPENSADA  RESINADA</v>
      </c>
      <c r="E245" s="11">
        <v>51.2</v>
      </c>
      <c r="F245" s="26" t="str">
        <f>VLOOKUP(C245,'13. CUSTOS DER - SERVIÇOS'!A:C,3,0)</f>
        <v>M2</v>
      </c>
      <c r="G245" s="24">
        <f>VLOOKUP(C245,'13. CUSTOS DER - SERVIÇOS'!A:G,7,0)</f>
        <v>78.33</v>
      </c>
      <c r="H245" s="24"/>
      <c r="I245" s="25">
        <f>'3. BDI'!$C$19</f>
        <v>0.24666704095238123</v>
      </c>
      <c r="J245" s="24">
        <f t="shared" si="423"/>
        <v>97.65</v>
      </c>
      <c r="K245" s="24">
        <f t="shared" si="424"/>
        <v>0</v>
      </c>
      <c r="L245" s="24">
        <f t="shared" si="425"/>
        <v>4999.68</v>
      </c>
      <c r="M245" s="24">
        <f t="shared" si="426"/>
        <v>0</v>
      </c>
      <c r="N245" s="24">
        <f t="shared" si="427"/>
        <v>4999.68</v>
      </c>
      <c r="P245" s="24">
        <f>78.65/2</f>
        <v>39.325000000000003</v>
      </c>
      <c r="Q245" s="24">
        <f t="shared" si="428"/>
        <v>2013.44</v>
      </c>
      <c r="R245" s="24">
        <f t="shared" si="415"/>
        <v>2510.08</v>
      </c>
      <c r="S245" s="24">
        <f t="shared" si="416"/>
        <v>2489.6000000000004</v>
      </c>
    </row>
    <row r="246" spans="1:19">
      <c r="A246" s="9" t="s">
        <v>23046</v>
      </c>
      <c r="B246" s="10" t="s">
        <v>9016</v>
      </c>
      <c r="C246" s="10">
        <v>603000</v>
      </c>
      <c r="D246" s="43" t="str">
        <f>VLOOKUP(C246,'13. CUSTOS DER - SERVIÇOS'!A:B,2,0)</f>
        <v>AÇO CA-50 FORNEC. DOBR. COLOCAÇÃO</v>
      </c>
      <c r="E246" s="11">
        <v>16</v>
      </c>
      <c r="F246" s="26" t="str">
        <f>VLOOKUP(C246,'13. CUSTOS DER - SERVIÇOS'!A:C,3,0)</f>
        <v>KG</v>
      </c>
      <c r="G246" s="24">
        <f>VLOOKUP(C246,'13. CUSTOS DER - SERVIÇOS'!A:G,7,0)</f>
        <v>18.34</v>
      </c>
      <c r="H246" s="24"/>
      <c r="I246" s="25">
        <f>'3. BDI'!$C$19</f>
        <v>0.24666704095238123</v>
      </c>
      <c r="J246" s="24">
        <f t="shared" si="423"/>
        <v>22.86</v>
      </c>
      <c r="K246" s="24">
        <f t="shared" si="424"/>
        <v>0</v>
      </c>
      <c r="L246" s="24">
        <f t="shared" si="425"/>
        <v>365.76</v>
      </c>
      <c r="M246" s="24">
        <f t="shared" si="426"/>
        <v>0</v>
      </c>
      <c r="N246" s="24">
        <f t="shared" si="427"/>
        <v>365.76</v>
      </c>
      <c r="P246" s="24">
        <f>8.97/1</f>
        <v>8.9700000000000006</v>
      </c>
      <c r="Q246" s="24">
        <f t="shared" si="428"/>
        <v>143.52000000000001</v>
      </c>
      <c r="R246" s="24">
        <f t="shared" si="415"/>
        <v>178.92</v>
      </c>
      <c r="S246" s="24">
        <f t="shared" si="416"/>
        <v>186.84</v>
      </c>
    </row>
    <row r="247" spans="1:19">
      <c r="A247" s="9" t="s">
        <v>23047</v>
      </c>
      <c r="B247" s="10" t="s">
        <v>9016</v>
      </c>
      <c r="C247" s="10">
        <v>605500</v>
      </c>
      <c r="D247" s="43" t="str">
        <f>VLOOKUP(C247,'13. CUSTOS DER - SERVIÇOS'!A:B,2,0)</f>
        <v>CONCRETO FCK = 20 MPA, PREPARO EM BETONEIRA E LANÇ.</v>
      </c>
      <c r="E247" s="11">
        <v>4.2</v>
      </c>
      <c r="F247" s="26" t="str">
        <f>VLOOKUP(C247,'13. CUSTOS DER - SERVIÇOS'!A:C,3,0)</f>
        <v>M3</v>
      </c>
      <c r="G247" s="24">
        <f>VLOOKUP(C247,'13. CUSTOS DER - SERVIÇOS'!A:G,7,0)</f>
        <v>532.64</v>
      </c>
      <c r="H247" s="24">
        <f>VLOOKUP(C247,'10. CCU TRANSPORTE'!B:J,9,0)</f>
        <v>61.030000000000008</v>
      </c>
      <c r="I247" s="25">
        <f>'3. BDI'!$C$19</f>
        <v>0.24666704095238123</v>
      </c>
      <c r="J247" s="24">
        <f t="shared" si="423"/>
        <v>664.02</v>
      </c>
      <c r="K247" s="24">
        <f t="shared" si="424"/>
        <v>76.08</v>
      </c>
      <c r="L247" s="24">
        <f t="shared" si="425"/>
        <v>2788.884</v>
      </c>
      <c r="M247" s="24">
        <f t="shared" si="426"/>
        <v>319.536</v>
      </c>
      <c r="N247" s="24">
        <f t="shared" si="427"/>
        <v>3108.42</v>
      </c>
      <c r="P247" s="24">
        <f>498.36/2.5</f>
        <v>199.34399999999999</v>
      </c>
      <c r="Q247" s="24">
        <f t="shared" si="428"/>
        <v>837.24</v>
      </c>
      <c r="R247" s="24">
        <f t="shared" si="415"/>
        <v>1043.75</v>
      </c>
      <c r="S247" s="24">
        <f t="shared" si="416"/>
        <v>2064.67</v>
      </c>
    </row>
    <row r="248" spans="1:19">
      <c r="A248" s="338"/>
      <c r="B248" s="44"/>
      <c r="C248" s="167"/>
      <c r="D248" s="341" t="s">
        <v>22814</v>
      </c>
      <c r="E248" s="339"/>
      <c r="F248" s="167"/>
      <c r="G248" s="339"/>
      <c r="H248" s="339"/>
      <c r="I248" s="340"/>
      <c r="J248" s="339"/>
      <c r="K248" s="339"/>
      <c r="L248" s="339"/>
      <c r="M248" s="339"/>
      <c r="N248" s="339"/>
      <c r="P248" s="339"/>
      <c r="Q248" s="339"/>
      <c r="R248" s="24">
        <f t="shared" si="415"/>
        <v>0</v>
      </c>
      <c r="S248" s="24">
        <f t="shared" si="416"/>
        <v>0</v>
      </c>
    </row>
    <row r="249" spans="1:19">
      <c r="A249" s="9" t="s">
        <v>23048</v>
      </c>
      <c r="B249" s="10" t="s">
        <v>9016</v>
      </c>
      <c r="C249" s="10">
        <v>600000</v>
      </c>
      <c r="D249" s="43" t="str">
        <f>VLOOKUP(C249,'13. CUSTOS DER - SERVIÇOS'!A:B,2,0)</f>
        <v>ESCAVAÇÃO MANUAL DE VALA 1A. CAT.</v>
      </c>
      <c r="E249" s="11">
        <v>15</v>
      </c>
      <c r="F249" s="26" t="str">
        <f>VLOOKUP(C249,'13. CUSTOS DER - SERVIÇOS'!A:C,3,0)</f>
        <v>M3</v>
      </c>
      <c r="G249" s="24">
        <f>VLOOKUP(C249,'13. CUSTOS DER - SERVIÇOS'!A:G,7,0)</f>
        <v>49.54</v>
      </c>
      <c r="H249" s="24">
        <v>0</v>
      </c>
      <c r="I249" s="25">
        <f>'3. BDI'!$C$19</f>
        <v>0.24666704095238123</v>
      </c>
      <c r="J249" s="24">
        <f t="shared" ref="J249:J255" si="429">TRUNC(G249+(G249*I249),2)</f>
        <v>61.75</v>
      </c>
      <c r="K249" s="24">
        <f t="shared" ref="K249:K255" si="430">TRUNC(H249+(H249*I249),2)</f>
        <v>0</v>
      </c>
      <c r="L249" s="24">
        <f t="shared" ref="L249:L255" si="431">J249*E249</f>
        <v>926.25</v>
      </c>
      <c r="M249" s="24">
        <f t="shared" ref="M249:M255" si="432">K249*E249</f>
        <v>0</v>
      </c>
      <c r="N249" s="24">
        <f t="shared" ref="N249:N255" si="433">L249+M249</f>
        <v>926.25</v>
      </c>
      <c r="P249" s="24">
        <f>47.19/1</f>
        <v>47.19</v>
      </c>
      <c r="Q249" s="24">
        <f t="shared" ref="Q249:Q253" si="434">TRUNC(P249*E249,2)</f>
        <v>707.85</v>
      </c>
      <c r="R249" s="24">
        <f t="shared" si="415"/>
        <v>882.45</v>
      </c>
      <c r="S249" s="24">
        <f t="shared" si="416"/>
        <v>43.799999999999955</v>
      </c>
    </row>
    <row r="250" spans="1:19">
      <c r="A250" s="9" t="s">
        <v>23049</v>
      </c>
      <c r="B250" s="10" t="s">
        <v>9016</v>
      </c>
      <c r="C250" s="10">
        <v>601100</v>
      </c>
      <c r="D250" s="43" t="str">
        <f>VLOOKUP(C250,'13. CUSTOS DER - SERVIÇOS'!A:B,2,0)</f>
        <v>APILOAMENTO MANUAL</v>
      </c>
      <c r="E250" s="11">
        <v>5</v>
      </c>
      <c r="F250" s="26" t="str">
        <f>VLOOKUP(C250,'13. CUSTOS DER - SERVIÇOS'!A:C,3,0)</f>
        <v>M3</v>
      </c>
      <c r="G250" s="24">
        <f>VLOOKUP(C250,'13. CUSTOS DER - SERVIÇOS'!A:G,7,0)</f>
        <v>54.05</v>
      </c>
      <c r="H250" s="24"/>
      <c r="I250" s="25">
        <f>'3. BDI'!$C$19</f>
        <v>0.24666704095238123</v>
      </c>
      <c r="J250" s="24">
        <f t="shared" si="429"/>
        <v>67.38</v>
      </c>
      <c r="K250" s="24">
        <f t="shared" si="430"/>
        <v>0</v>
      </c>
      <c r="L250" s="24">
        <f t="shared" si="431"/>
        <v>336.9</v>
      </c>
      <c r="M250" s="24">
        <f t="shared" si="432"/>
        <v>0</v>
      </c>
      <c r="N250" s="24">
        <f t="shared" si="433"/>
        <v>336.9</v>
      </c>
      <c r="P250" s="24">
        <f>51.48/1</f>
        <v>51.48</v>
      </c>
      <c r="Q250" s="24">
        <f t="shared" si="434"/>
        <v>257.39999999999998</v>
      </c>
      <c r="R250" s="24">
        <f t="shared" si="415"/>
        <v>320.89</v>
      </c>
      <c r="S250" s="24">
        <f t="shared" si="416"/>
        <v>16.009999999999991</v>
      </c>
    </row>
    <row r="251" spans="1:19">
      <c r="A251" s="9" t="s">
        <v>23050</v>
      </c>
      <c r="B251" s="10" t="s">
        <v>9016</v>
      </c>
      <c r="C251" s="10">
        <v>602100</v>
      </c>
      <c r="D251" s="43" t="str">
        <f>VLOOKUP(C251,'13. CUSTOS DER - SERVIÇOS'!A:B,2,0)</f>
        <v>FORMAS DE MADEIRA COMPENSADA  RESINADA</v>
      </c>
      <c r="E251" s="11">
        <v>15.5</v>
      </c>
      <c r="F251" s="26" t="str">
        <f>VLOOKUP(C251,'13. CUSTOS DER - SERVIÇOS'!A:C,3,0)</f>
        <v>M2</v>
      </c>
      <c r="G251" s="24">
        <f>VLOOKUP(C251,'13. CUSTOS DER - SERVIÇOS'!A:G,7,0)</f>
        <v>78.33</v>
      </c>
      <c r="H251" s="24"/>
      <c r="I251" s="25">
        <f>'3. BDI'!$C$19</f>
        <v>0.24666704095238123</v>
      </c>
      <c r="J251" s="24">
        <f t="shared" si="429"/>
        <v>97.65</v>
      </c>
      <c r="K251" s="24">
        <f t="shared" si="430"/>
        <v>0</v>
      </c>
      <c r="L251" s="24">
        <f t="shared" si="431"/>
        <v>1513.575</v>
      </c>
      <c r="M251" s="24">
        <f t="shared" si="432"/>
        <v>0</v>
      </c>
      <c r="N251" s="24">
        <f t="shared" si="433"/>
        <v>1513.575</v>
      </c>
      <c r="P251" s="24">
        <f>78.65/2</f>
        <v>39.325000000000003</v>
      </c>
      <c r="Q251" s="24">
        <f t="shared" si="434"/>
        <v>609.53</v>
      </c>
      <c r="R251" s="24">
        <f t="shared" si="415"/>
        <v>759.88</v>
      </c>
      <c r="S251" s="24">
        <f t="shared" si="416"/>
        <v>753.69500000000005</v>
      </c>
    </row>
    <row r="252" spans="1:19">
      <c r="A252" s="9" t="s">
        <v>23051</v>
      </c>
      <c r="B252" s="10" t="s">
        <v>9016</v>
      </c>
      <c r="C252" s="10">
        <v>603000</v>
      </c>
      <c r="D252" s="43" t="str">
        <f>VLOOKUP(C252,'13. CUSTOS DER - SERVIÇOS'!A:B,2,0)</f>
        <v>AÇO CA-50 FORNEC. DOBR. COLOCAÇÃO</v>
      </c>
      <c r="E252" s="11">
        <v>20.5</v>
      </c>
      <c r="F252" s="26" t="str">
        <f>VLOOKUP(C252,'13. CUSTOS DER - SERVIÇOS'!A:C,3,0)</f>
        <v>KG</v>
      </c>
      <c r="G252" s="24">
        <f>VLOOKUP(C252,'13. CUSTOS DER - SERVIÇOS'!A:G,7,0)</f>
        <v>18.34</v>
      </c>
      <c r="H252" s="24"/>
      <c r="I252" s="25">
        <f>'3. BDI'!$C$19</f>
        <v>0.24666704095238123</v>
      </c>
      <c r="J252" s="24">
        <f t="shared" si="429"/>
        <v>22.86</v>
      </c>
      <c r="K252" s="24">
        <f t="shared" si="430"/>
        <v>0</v>
      </c>
      <c r="L252" s="24">
        <f t="shared" si="431"/>
        <v>468.63</v>
      </c>
      <c r="M252" s="24">
        <f t="shared" si="432"/>
        <v>0</v>
      </c>
      <c r="N252" s="24">
        <f t="shared" si="433"/>
        <v>468.63</v>
      </c>
      <c r="P252" s="24">
        <f>8.97/1</f>
        <v>8.9700000000000006</v>
      </c>
      <c r="Q252" s="24">
        <f t="shared" si="434"/>
        <v>183.88</v>
      </c>
      <c r="R252" s="24">
        <f t="shared" si="415"/>
        <v>229.23</v>
      </c>
      <c r="S252" s="24">
        <f t="shared" si="416"/>
        <v>239.4</v>
      </c>
    </row>
    <row r="253" spans="1:19">
      <c r="A253" s="9" t="s">
        <v>23052</v>
      </c>
      <c r="B253" s="10" t="s">
        <v>9016</v>
      </c>
      <c r="C253" s="10">
        <v>605500</v>
      </c>
      <c r="D253" s="43" t="str">
        <f>VLOOKUP(C253,'13. CUSTOS DER - SERVIÇOS'!A:B,2,0)</f>
        <v>CONCRETO FCK = 20 MPA, PREPARO EM BETONEIRA E LANÇ.</v>
      </c>
      <c r="E253" s="11">
        <v>1.55</v>
      </c>
      <c r="F253" s="26" t="str">
        <f>VLOOKUP(C253,'13. CUSTOS DER - SERVIÇOS'!A:C,3,0)</f>
        <v>M3</v>
      </c>
      <c r="G253" s="24">
        <f>VLOOKUP(C253,'13. CUSTOS DER - SERVIÇOS'!A:G,7,0)</f>
        <v>532.64</v>
      </c>
      <c r="H253" s="24">
        <f>VLOOKUP(C253,'10. CCU TRANSPORTE'!B:J,9,0)</f>
        <v>61.030000000000008</v>
      </c>
      <c r="I253" s="25">
        <f>'3. BDI'!$C$19</f>
        <v>0.24666704095238123</v>
      </c>
      <c r="J253" s="24">
        <f t="shared" si="429"/>
        <v>664.02</v>
      </c>
      <c r="K253" s="24">
        <f t="shared" si="430"/>
        <v>76.08</v>
      </c>
      <c r="L253" s="24">
        <f t="shared" si="431"/>
        <v>1029.231</v>
      </c>
      <c r="M253" s="24">
        <f t="shared" si="432"/>
        <v>117.92400000000001</v>
      </c>
      <c r="N253" s="24">
        <f t="shared" si="433"/>
        <v>1147.155</v>
      </c>
      <c r="P253" s="24">
        <f>498.36/2.5</f>
        <v>199.34399999999999</v>
      </c>
      <c r="Q253" s="24">
        <f t="shared" si="434"/>
        <v>308.98</v>
      </c>
      <c r="R253" s="24">
        <f t="shared" si="415"/>
        <v>385.19</v>
      </c>
      <c r="S253" s="24">
        <f t="shared" si="416"/>
        <v>761.96499999999992</v>
      </c>
    </row>
    <row r="254" spans="1:19">
      <c r="A254" s="9" t="s">
        <v>23053</v>
      </c>
      <c r="B254" s="10" t="s">
        <v>358</v>
      </c>
      <c r="C254" s="10" t="s">
        <v>22647</v>
      </c>
      <c r="D254" s="43" t="s">
        <v>230</v>
      </c>
      <c r="E254" s="11">
        <v>28.4</v>
      </c>
      <c r="F254" s="13" t="s">
        <v>325</v>
      </c>
      <c r="G254" s="24">
        <f>VLOOKUP(C254,'9. CCU''S GERAIS AMEP'!A:K,11,0)</f>
        <v>129.01800000000003</v>
      </c>
      <c r="H254" s="24">
        <f>VLOOKUP(C254,'10. CCU TRANSPORTE'!B:J,9,0)</f>
        <v>45.11</v>
      </c>
      <c r="I254" s="25">
        <f>'3. BDI'!$C$19</f>
        <v>0.24666704095238123</v>
      </c>
      <c r="J254" s="24">
        <f t="shared" si="429"/>
        <v>160.84</v>
      </c>
      <c r="K254" s="24">
        <f t="shared" si="430"/>
        <v>56.23</v>
      </c>
      <c r="L254" s="24">
        <f t="shared" si="431"/>
        <v>4567.8559999999998</v>
      </c>
      <c r="M254" s="24">
        <f t="shared" si="432"/>
        <v>1596.9319999999998</v>
      </c>
      <c r="N254" s="24">
        <f t="shared" si="433"/>
        <v>6164.7879999999996</v>
      </c>
      <c r="P254" s="24">
        <f>101.76/1</f>
        <v>101.76</v>
      </c>
      <c r="Q254" s="24">
        <f t="shared" ref="Q254" si="435">P254*E254</f>
        <v>2889.9839999999999</v>
      </c>
      <c r="R254" s="24">
        <f t="shared" si="415"/>
        <v>3602.84</v>
      </c>
      <c r="S254" s="24">
        <f t="shared" si="416"/>
        <v>2561.9479999999994</v>
      </c>
    </row>
    <row r="255" spans="1:19">
      <c r="A255" s="9" t="s">
        <v>23054</v>
      </c>
      <c r="B255" s="10" t="s">
        <v>9016</v>
      </c>
      <c r="C255" s="10">
        <v>604000</v>
      </c>
      <c r="D255" s="43" t="str">
        <f>VLOOKUP(C255,'13. CUSTOS DER - SERVIÇOS'!A:B,2,0)</f>
        <v>ARGAMASSA CIMENTO E AREIA 1:3</v>
      </c>
      <c r="E255" s="11">
        <v>0.45</v>
      </c>
      <c r="F255" s="26" t="str">
        <f>VLOOKUP(C255,'13. CUSTOS DER - SERVIÇOS'!A:C,3,0)</f>
        <v>M3</v>
      </c>
      <c r="G255" s="24">
        <f>VLOOKUP(C255,'13. CUSTOS DER - SERVIÇOS'!A:G,7,0)</f>
        <v>523.20000000000005</v>
      </c>
      <c r="H255" s="24">
        <f>VLOOKUP(C255,'10. CCU TRANSPORTE'!B:J,9,0)</f>
        <v>68.930000000000007</v>
      </c>
      <c r="I255" s="25">
        <f>'3. BDI'!$C$19</f>
        <v>0.24666704095238123</v>
      </c>
      <c r="J255" s="24">
        <f t="shared" si="429"/>
        <v>652.25</v>
      </c>
      <c r="K255" s="24">
        <f t="shared" si="430"/>
        <v>85.93</v>
      </c>
      <c r="L255" s="24">
        <f t="shared" si="431"/>
        <v>293.51249999999999</v>
      </c>
      <c r="M255" s="24">
        <f t="shared" si="432"/>
        <v>38.668500000000002</v>
      </c>
      <c r="N255" s="24">
        <f t="shared" si="433"/>
        <v>332.18099999999998</v>
      </c>
      <c r="P255" s="24">
        <f>481.2/2.5</f>
        <v>192.48</v>
      </c>
      <c r="Q255" s="24">
        <f>TRUNC(P255*E255,2)</f>
        <v>86.61</v>
      </c>
      <c r="R255" s="24">
        <f t="shared" si="415"/>
        <v>107.97</v>
      </c>
      <c r="S255" s="24">
        <f t="shared" si="416"/>
        <v>224.21099999999998</v>
      </c>
    </row>
    <row r="256" spans="1:19">
      <c r="A256" s="338"/>
      <c r="B256" s="44"/>
      <c r="C256" s="167"/>
      <c r="D256" s="341" t="s">
        <v>22813</v>
      </c>
      <c r="E256" s="339"/>
      <c r="F256" s="167"/>
      <c r="G256" s="339"/>
      <c r="H256" s="339"/>
      <c r="I256" s="340"/>
      <c r="J256" s="339"/>
      <c r="K256" s="339"/>
      <c r="L256" s="339"/>
      <c r="M256" s="339"/>
      <c r="N256" s="339"/>
      <c r="P256" s="339"/>
      <c r="Q256" s="339"/>
      <c r="R256" s="24">
        <f t="shared" si="415"/>
        <v>0</v>
      </c>
      <c r="S256" s="24">
        <f t="shared" si="416"/>
        <v>0</v>
      </c>
    </row>
    <row r="257" spans="1:19">
      <c r="A257" s="9" t="s">
        <v>23055</v>
      </c>
      <c r="B257" s="10" t="s">
        <v>9016</v>
      </c>
      <c r="C257" s="10">
        <v>600000</v>
      </c>
      <c r="D257" s="43" t="str">
        <f>VLOOKUP(C257,'13. CUSTOS DER - SERVIÇOS'!A:B,2,0)</f>
        <v>ESCAVAÇÃO MANUAL DE VALA 1A. CAT.</v>
      </c>
      <c r="E257" s="11">
        <v>8</v>
      </c>
      <c r="F257" s="26" t="str">
        <f>VLOOKUP(C257,'13. CUSTOS DER - SERVIÇOS'!A:C,3,0)</f>
        <v>M3</v>
      </c>
      <c r="G257" s="24">
        <f>VLOOKUP(C257,'13. CUSTOS DER - SERVIÇOS'!A:G,7,0)</f>
        <v>49.54</v>
      </c>
      <c r="H257" s="24">
        <v>0</v>
      </c>
      <c r="I257" s="25">
        <f>'3. BDI'!$C$19</f>
        <v>0.24666704095238123</v>
      </c>
      <c r="J257" s="24">
        <f t="shared" ref="J257:J263" si="436">TRUNC(G257+(G257*I257),2)</f>
        <v>61.75</v>
      </c>
      <c r="K257" s="24">
        <f t="shared" ref="K257:K263" si="437">TRUNC(H257+(H257*I257),2)</f>
        <v>0</v>
      </c>
      <c r="L257" s="24">
        <f t="shared" ref="L257:L263" si="438">J257*E257</f>
        <v>494</v>
      </c>
      <c r="M257" s="24">
        <f t="shared" ref="M257:M263" si="439">K257*E257</f>
        <v>0</v>
      </c>
      <c r="N257" s="24">
        <f t="shared" ref="N257:N263" si="440">L257+M257</f>
        <v>494</v>
      </c>
      <c r="P257" s="24">
        <f>47.19/1</f>
        <v>47.19</v>
      </c>
      <c r="Q257" s="24">
        <f t="shared" ref="Q257:Q261" si="441">TRUNC(P257*E257,2)</f>
        <v>377.52</v>
      </c>
      <c r="R257" s="24">
        <f t="shared" si="415"/>
        <v>470.64</v>
      </c>
      <c r="S257" s="24">
        <f t="shared" si="416"/>
        <v>23.360000000000014</v>
      </c>
    </row>
    <row r="258" spans="1:19">
      <c r="A258" s="9" t="s">
        <v>23056</v>
      </c>
      <c r="B258" s="10" t="s">
        <v>9016</v>
      </c>
      <c r="C258" s="10">
        <v>601100</v>
      </c>
      <c r="D258" s="43" t="str">
        <f>VLOOKUP(C258,'13. CUSTOS DER - SERVIÇOS'!A:B,2,0)</f>
        <v>APILOAMENTO MANUAL</v>
      </c>
      <c r="E258" s="11">
        <v>4</v>
      </c>
      <c r="F258" s="26" t="str">
        <f>VLOOKUP(C258,'13. CUSTOS DER - SERVIÇOS'!A:C,3,0)</f>
        <v>M3</v>
      </c>
      <c r="G258" s="24">
        <f>VLOOKUP(C258,'13. CUSTOS DER - SERVIÇOS'!A:G,7,0)</f>
        <v>54.05</v>
      </c>
      <c r="H258" s="24"/>
      <c r="I258" s="25">
        <f>'3. BDI'!$C$19</f>
        <v>0.24666704095238123</v>
      </c>
      <c r="J258" s="24">
        <f t="shared" si="436"/>
        <v>67.38</v>
      </c>
      <c r="K258" s="24">
        <f t="shared" si="437"/>
        <v>0</v>
      </c>
      <c r="L258" s="24">
        <f t="shared" si="438"/>
        <v>269.52</v>
      </c>
      <c r="M258" s="24">
        <f t="shared" si="439"/>
        <v>0</v>
      </c>
      <c r="N258" s="24">
        <f t="shared" si="440"/>
        <v>269.52</v>
      </c>
      <c r="P258" s="24">
        <f>51.48/1</f>
        <v>51.48</v>
      </c>
      <c r="Q258" s="24">
        <f t="shared" si="441"/>
        <v>205.92</v>
      </c>
      <c r="R258" s="24">
        <f t="shared" si="415"/>
        <v>256.70999999999998</v>
      </c>
      <c r="S258" s="24">
        <f t="shared" si="416"/>
        <v>12.810000000000002</v>
      </c>
    </row>
    <row r="259" spans="1:19">
      <c r="A259" s="9" t="s">
        <v>23057</v>
      </c>
      <c r="B259" s="10" t="s">
        <v>9016</v>
      </c>
      <c r="C259" s="10">
        <v>602100</v>
      </c>
      <c r="D259" s="43" t="str">
        <f>VLOOKUP(C259,'13. CUSTOS DER - SERVIÇOS'!A:B,2,0)</f>
        <v>FORMAS DE MADEIRA COMPENSADA  RESINADA</v>
      </c>
      <c r="E259" s="11">
        <v>6.2</v>
      </c>
      <c r="F259" s="26" t="str">
        <f>VLOOKUP(C259,'13. CUSTOS DER - SERVIÇOS'!A:C,3,0)</f>
        <v>M2</v>
      </c>
      <c r="G259" s="24">
        <f>VLOOKUP(C259,'13. CUSTOS DER - SERVIÇOS'!A:G,7,0)</f>
        <v>78.33</v>
      </c>
      <c r="H259" s="24"/>
      <c r="I259" s="25">
        <f>'3. BDI'!$C$19</f>
        <v>0.24666704095238123</v>
      </c>
      <c r="J259" s="24">
        <f t="shared" si="436"/>
        <v>97.65</v>
      </c>
      <c r="K259" s="24">
        <f t="shared" si="437"/>
        <v>0</v>
      </c>
      <c r="L259" s="24">
        <f t="shared" si="438"/>
        <v>605.43000000000006</v>
      </c>
      <c r="M259" s="24">
        <f t="shared" si="439"/>
        <v>0</v>
      </c>
      <c r="N259" s="24">
        <f t="shared" si="440"/>
        <v>605.43000000000006</v>
      </c>
      <c r="P259" s="24">
        <f>78.65/2</f>
        <v>39.325000000000003</v>
      </c>
      <c r="Q259" s="24">
        <f t="shared" si="441"/>
        <v>243.81</v>
      </c>
      <c r="R259" s="24">
        <f t="shared" si="415"/>
        <v>303.94</v>
      </c>
      <c r="S259" s="24">
        <f t="shared" si="416"/>
        <v>301.49000000000007</v>
      </c>
    </row>
    <row r="260" spans="1:19">
      <c r="A260" s="9" t="s">
        <v>23058</v>
      </c>
      <c r="B260" s="10" t="s">
        <v>9016</v>
      </c>
      <c r="C260" s="10">
        <v>603000</v>
      </c>
      <c r="D260" s="43" t="str">
        <f>VLOOKUP(C260,'13. CUSTOS DER - SERVIÇOS'!A:B,2,0)</f>
        <v>AÇO CA-50 FORNEC. DOBR. COLOCAÇÃO</v>
      </c>
      <c r="E260" s="11">
        <v>8.1999999999999993</v>
      </c>
      <c r="F260" s="26" t="str">
        <f>VLOOKUP(C260,'13. CUSTOS DER - SERVIÇOS'!A:C,3,0)</f>
        <v>KG</v>
      </c>
      <c r="G260" s="24">
        <f>VLOOKUP(C260,'13. CUSTOS DER - SERVIÇOS'!A:G,7,0)</f>
        <v>18.34</v>
      </c>
      <c r="H260" s="24"/>
      <c r="I260" s="25">
        <f>'3. BDI'!$C$19</f>
        <v>0.24666704095238123</v>
      </c>
      <c r="J260" s="24">
        <f t="shared" si="436"/>
        <v>22.86</v>
      </c>
      <c r="K260" s="24">
        <f t="shared" si="437"/>
        <v>0</v>
      </c>
      <c r="L260" s="24">
        <f t="shared" si="438"/>
        <v>187.45199999999997</v>
      </c>
      <c r="M260" s="24">
        <f t="shared" si="439"/>
        <v>0</v>
      </c>
      <c r="N260" s="24">
        <f t="shared" si="440"/>
        <v>187.45199999999997</v>
      </c>
      <c r="P260" s="24">
        <f>8.97/1</f>
        <v>8.9700000000000006</v>
      </c>
      <c r="Q260" s="24">
        <f t="shared" si="441"/>
        <v>73.55</v>
      </c>
      <c r="R260" s="24">
        <f t="shared" si="415"/>
        <v>91.69</v>
      </c>
      <c r="S260" s="24">
        <f t="shared" si="416"/>
        <v>95.761999999999972</v>
      </c>
    </row>
    <row r="261" spans="1:19">
      <c r="A261" s="9" t="s">
        <v>23059</v>
      </c>
      <c r="B261" s="10" t="s">
        <v>9016</v>
      </c>
      <c r="C261" s="10">
        <v>605500</v>
      </c>
      <c r="D261" s="43" t="str">
        <f>VLOOKUP(C261,'13. CUSTOS DER - SERVIÇOS'!A:B,2,0)</f>
        <v>CONCRETO FCK = 20 MPA, PREPARO EM BETONEIRA E LANÇ.</v>
      </c>
      <c r="E261" s="11">
        <v>0.62</v>
      </c>
      <c r="F261" s="26" t="str">
        <f>VLOOKUP(C261,'13. CUSTOS DER - SERVIÇOS'!A:C,3,0)</f>
        <v>M3</v>
      </c>
      <c r="G261" s="24">
        <f>VLOOKUP(C261,'13. CUSTOS DER - SERVIÇOS'!A:G,7,0)</f>
        <v>532.64</v>
      </c>
      <c r="H261" s="24">
        <f>VLOOKUP(C261,'10. CCU TRANSPORTE'!B:J,9,0)</f>
        <v>61.030000000000008</v>
      </c>
      <c r="I261" s="25">
        <f>'3. BDI'!$C$19</f>
        <v>0.24666704095238123</v>
      </c>
      <c r="J261" s="24">
        <f t="shared" si="436"/>
        <v>664.02</v>
      </c>
      <c r="K261" s="24">
        <f t="shared" si="437"/>
        <v>76.08</v>
      </c>
      <c r="L261" s="24">
        <f t="shared" si="438"/>
        <v>411.69239999999996</v>
      </c>
      <c r="M261" s="24">
        <f t="shared" si="439"/>
        <v>47.169599999999996</v>
      </c>
      <c r="N261" s="24">
        <f t="shared" si="440"/>
        <v>458.86199999999997</v>
      </c>
      <c r="P261" s="24">
        <f>498.36/2.5</f>
        <v>199.34399999999999</v>
      </c>
      <c r="Q261" s="24">
        <f t="shared" si="441"/>
        <v>123.59</v>
      </c>
      <c r="R261" s="24">
        <f t="shared" si="415"/>
        <v>154.07</v>
      </c>
      <c r="S261" s="24">
        <f t="shared" si="416"/>
        <v>304.79199999999997</v>
      </c>
    </row>
    <row r="262" spans="1:19">
      <c r="A262" s="9" t="s">
        <v>23060</v>
      </c>
      <c r="B262" s="10" t="s">
        <v>358</v>
      </c>
      <c r="C262" s="10" t="s">
        <v>22647</v>
      </c>
      <c r="D262" s="43" t="s">
        <v>230</v>
      </c>
      <c r="E262" s="11">
        <v>15.1</v>
      </c>
      <c r="F262" s="13" t="s">
        <v>325</v>
      </c>
      <c r="G262" s="24">
        <f>VLOOKUP(C262,'9. CCU''S GERAIS AMEP'!A:K,11,0)</f>
        <v>129.01800000000003</v>
      </c>
      <c r="H262" s="24">
        <f>VLOOKUP(C262,'10. CCU TRANSPORTE'!B:J,9,0)</f>
        <v>45.11</v>
      </c>
      <c r="I262" s="25">
        <f>'3. BDI'!$C$19</f>
        <v>0.24666704095238123</v>
      </c>
      <c r="J262" s="24">
        <f t="shared" si="436"/>
        <v>160.84</v>
      </c>
      <c r="K262" s="24">
        <f t="shared" si="437"/>
        <v>56.23</v>
      </c>
      <c r="L262" s="24">
        <f t="shared" si="438"/>
        <v>2428.6840000000002</v>
      </c>
      <c r="M262" s="24">
        <f t="shared" si="439"/>
        <v>849.07299999999998</v>
      </c>
      <c r="N262" s="24">
        <f t="shared" si="440"/>
        <v>3277.7570000000001</v>
      </c>
      <c r="P262" s="24">
        <f>101.76/1</f>
        <v>101.76</v>
      </c>
      <c r="Q262" s="24">
        <f t="shared" ref="Q262" si="442">P262*E262</f>
        <v>1536.576</v>
      </c>
      <c r="R262" s="24">
        <f t="shared" si="415"/>
        <v>1915.59</v>
      </c>
      <c r="S262" s="24">
        <f t="shared" si="416"/>
        <v>1362.1670000000001</v>
      </c>
    </row>
    <row r="263" spans="1:19">
      <c r="A263" s="9" t="s">
        <v>23061</v>
      </c>
      <c r="B263" s="10" t="s">
        <v>9016</v>
      </c>
      <c r="C263" s="10">
        <v>604000</v>
      </c>
      <c r="D263" s="43" t="str">
        <f>VLOOKUP(C263,'13. CUSTOS DER - SERVIÇOS'!A:B,2,0)</f>
        <v>ARGAMASSA CIMENTO E AREIA 1:3</v>
      </c>
      <c r="E263" s="11">
        <v>0.24</v>
      </c>
      <c r="F263" s="26" t="str">
        <f>VLOOKUP(C263,'13. CUSTOS DER - SERVIÇOS'!A:C,3,0)</f>
        <v>M3</v>
      </c>
      <c r="G263" s="24">
        <f>VLOOKUP(C263,'13. CUSTOS DER - SERVIÇOS'!A:G,7,0)</f>
        <v>523.20000000000005</v>
      </c>
      <c r="H263" s="24">
        <f>VLOOKUP(C263,'10. CCU TRANSPORTE'!B:J,9,0)</f>
        <v>68.930000000000007</v>
      </c>
      <c r="I263" s="25">
        <f>'3. BDI'!$C$19</f>
        <v>0.24666704095238123</v>
      </c>
      <c r="J263" s="24">
        <f t="shared" si="436"/>
        <v>652.25</v>
      </c>
      <c r="K263" s="24">
        <f t="shared" si="437"/>
        <v>85.93</v>
      </c>
      <c r="L263" s="24">
        <f t="shared" si="438"/>
        <v>156.54</v>
      </c>
      <c r="M263" s="24">
        <f t="shared" si="439"/>
        <v>20.623200000000001</v>
      </c>
      <c r="N263" s="24">
        <f t="shared" si="440"/>
        <v>177.16319999999999</v>
      </c>
      <c r="P263" s="24">
        <f>481.2/2.5</f>
        <v>192.48</v>
      </c>
      <c r="Q263" s="24">
        <f>TRUNC(P263*E263,2)</f>
        <v>46.19</v>
      </c>
      <c r="R263" s="24">
        <f t="shared" si="415"/>
        <v>57.58</v>
      </c>
      <c r="S263" s="24">
        <f t="shared" si="416"/>
        <v>119.58319999999999</v>
      </c>
    </row>
    <row r="264" spans="1:19">
      <c r="A264" s="338"/>
      <c r="B264" s="44"/>
      <c r="C264" s="167"/>
      <c r="D264" s="341" t="s">
        <v>22789</v>
      </c>
      <c r="E264" s="339"/>
      <c r="F264" s="167"/>
      <c r="G264" s="339"/>
      <c r="H264" s="339"/>
      <c r="I264" s="340"/>
      <c r="J264" s="339"/>
      <c r="K264" s="339"/>
      <c r="L264" s="339"/>
      <c r="M264" s="339"/>
      <c r="N264" s="339"/>
      <c r="P264" s="339"/>
      <c r="Q264" s="339"/>
      <c r="R264" s="24">
        <f t="shared" si="415"/>
        <v>0</v>
      </c>
      <c r="S264" s="24">
        <f t="shared" si="416"/>
        <v>0</v>
      </c>
    </row>
    <row r="265" spans="1:19">
      <c r="A265" s="9" t="s">
        <v>23062</v>
      </c>
      <c r="B265" s="10" t="s">
        <v>358</v>
      </c>
      <c r="C265" s="10" t="s">
        <v>22648</v>
      </c>
      <c r="D265" s="43" t="s">
        <v>22802</v>
      </c>
      <c r="E265" s="11">
        <v>190</v>
      </c>
      <c r="F265" s="13" t="s">
        <v>328</v>
      </c>
      <c r="G265" s="24">
        <f>VLOOKUP(C265,'9. CCU''S GERAIS AMEP'!A:K,11,0)</f>
        <v>482.42695200000003</v>
      </c>
      <c r="H265" s="24">
        <f>VLOOKUP(C265,'10. CCU TRANSPORTE'!B:J,9,0)</f>
        <v>37.510000000000005</v>
      </c>
      <c r="I265" s="25">
        <f>'3. BDI'!$C$19</f>
        <v>0.24666704095238123</v>
      </c>
      <c r="J265" s="24">
        <f t="shared" ref="J265" si="443">TRUNC(G265+(G265*I265),2)</f>
        <v>601.41999999999996</v>
      </c>
      <c r="K265" s="24">
        <f t="shared" ref="K265" si="444">TRUNC(H265+(H265*I265),2)</f>
        <v>46.76</v>
      </c>
      <c r="L265" s="24">
        <f t="shared" ref="L265" si="445">J265*E265</f>
        <v>114269.79999999999</v>
      </c>
      <c r="M265" s="24">
        <f t="shared" ref="M265" si="446">K265*E265</f>
        <v>8884.4</v>
      </c>
      <c r="N265" s="24">
        <f t="shared" ref="N265" si="447">L265+M265</f>
        <v>123154.19999999998</v>
      </c>
      <c r="P265" s="24">
        <f>64.68/1</f>
        <v>64.680000000000007</v>
      </c>
      <c r="Q265" s="24">
        <f t="shared" ref="Q265" si="448">P265*E265</f>
        <v>12289.2</v>
      </c>
      <c r="R265" s="24">
        <f t="shared" si="415"/>
        <v>15320.54</v>
      </c>
      <c r="S265" s="24">
        <f t="shared" si="416"/>
        <v>107833.65999999997</v>
      </c>
    </row>
    <row r="266" spans="1:19">
      <c r="A266" s="338"/>
      <c r="B266" s="44"/>
      <c r="C266" s="167"/>
      <c r="D266" s="341" t="s">
        <v>22803</v>
      </c>
      <c r="E266" s="339"/>
      <c r="F266" s="167"/>
      <c r="G266" s="339"/>
      <c r="H266" s="339"/>
      <c r="I266" s="340"/>
      <c r="J266" s="339"/>
      <c r="K266" s="339"/>
      <c r="L266" s="339"/>
      <c r="M266" s="339"/>
      <c r="N266" s="339"/>
      <c r="P266" s="339"/>
      <c r="Q266" s="339"/>
      <c r="R266" s="24">
        <f t="shared" si="415"/>
        <v>0</v>
      </c>
      <c r="S266" s="24">
        <f t="shared" si="416"/>
        <v>0</v>
      </c>
    </row>
    <row r="267" spans="1:19">
      <c r="A267" s="9" t="s">
        <v>23063</v>
      </c>
      <c r="B267" s="10" t="s">
        <v>9016</v>
      </c>
      <c r="C267" s="10">
        <v>620100</v>
      </c>
      <c r="D267" s="43" t="str">
        <f>VLOOKUP(C267,'13. CUSTOS DER - SERVIÇOS'!A:B,2,0)</f>
        <v>BOCA DE BSTC 0,60M</v>
      </c>
      <c r="E267" s="11">
        <v>3</v>
      </c>
      <c r="F267" s="26" t="str">
        <f>VLOOKUP(C267,'13. CUSTOS DER - SERVIÇOS'!A:C,3,0)</f>
        <v>UD</v>
      </c>
      <c r="G267" s="24">
        <f>VLOOKUP(C267,'13. CUSTOS DER - SERVIÇOS'!A:G,7,0)</f>
        <v>954.15</v>
      </c>
      <c r="H267" s="24">
        <f>VLOOKUP(C267,'10. CCU TRANSPORTE'!B:J,9,0)</f>
        <v>45.68</v>
      </c>
      <c r="I267" s="25">
        <f>'3. BDI'!$C$19</f>
        <v>0.24666704095238123</v>
      </c>
      <c r="J267" s="24">
        <f t="shared" ref="J267" si="449">TRUNC(G267+(G267*I267),2)</f>
        <v>1189.5</v>
      </c>
      <c r="K267" s="24">
        <f t="shared" ref="K267" si="450">TRUNC(H267+(H267*I267),2)</f>
        <v>56.94</v>
      </c>
      <c r="L267" s="24">
        <f t="shared" ref="L267" si="451">J267*E267</f>
        <v>3568.5</v>
      </c>
      <c r="M267" s="24">
        <f t="shared" ref="M267" si="452">K267*E267</f>
        <v>170.82</v>
      </c>
      <c r="N267" s="24">
        <f t="shared" ref="N267" si="453">L267+M267</f>
        <v>3739.32</v>
      </c>
      <c r="P267" s="24">
        <f>112.26/1</f>
        <v>112.26</v>
      </c>
      <c r="Q267" s="24">
        <f>TRUNC(P267*E267,2)</f>
        <v>336.78</v>
      </c>
      <c r="R267" s="24">
        <f t="shared" si="415"/>
        <v>419.85</v>
      </c>
      <c r="S267" s="24">
        <f t="shared" si="416"/>
        <v>3319.4700000000003</v>
      </c>
    </row>
    <row r="268" spans="1:19">
      <c r="A268" s="338"/>
      <c r="B268" s="44"/>
      <c r="C268" s="167"/>
      <c r="D268" s="341" t="s">
        <v>22804</v>
      </c>
      <c r="E268" s="339"/>
      <c r="F268" s="167"/>
      <c r="G268" s="339"/>
      <c r="H268" s="339"/>
      <c r="I268" s="340"/>
      <c r="J268" s="339"/>
      <c r="K268" s="339"/>
      <c r="L268" s="339"/>
      <c r="M268" s="339"/>
      <c r="N268" s="339"/>
      <c r="P268" s="339"/>
      <c r="Q268" s="339"/>
      <c r="R268" s="24">
        <f t="shared" ref="R268:R284" si="454">TRUNC((Q268*I268+Q268),2)</f>
        <v>0</v>
      </c>
      <c r="S268" s="24">
        <f t="shared" ref="S268:S284" si="455">N268-R268</f>
        <v>0</v>
      </c>
    </row>
    <row r="269" spans="1:19">
      <c r="A269" s="9" t="s">
        <v>23064</v>
      </c>
      <c r="B269" s="10" t="s">
        <v>9016</v>
      </c>
      <c r="C269" s="10">
        <v>620200</v>
      </c>
      <c r="D269" s="43" t="str">
        <f>VLOOKUP(C269,'13. CUSTOS DER - SERVIÇOS'!A:B,2,0)</f>
        <v>BOCA DE BSTC 0,80M</v>
      </c>
      <c r="E269" s="11">
        <v>4</v>
      </c>
      <c r="F269" s="26" t="str">
        <f>VLOOKUP(C269,'13. CUSTOS DER - SERVIÇOS'!A:C,3,0)</f>
        <v>UD</v>
      </c>
      <c r="G269" s="24">
        <f>VLOOKUP(C269,'13. CUSTOS DER - SERVIÇOS'!A:G,7,0)</f>
        <v>1321.46</v>
      </c>
      <c r="H269" s="24">
        <f>VLOOKUP(C269,'10. CCU TRANSPORTE'!B:J,9,0)</f>
        <v>66.239999999999995</v>
      </c>
      <c r="I269" s="25">
        <f>'3. BDI'!$C$19</f>
        <v>0.24666704095238123</v>
      </c>
      <c r="J269" s="24">
        <f t="shared" ref="J269" si="456">TRUNC(G269+(G269*I269),2)</f>
        <v>1647.42</v>
      </c>
      <c r="K269" s="24">
        <f t="shared" ref="K269" si="457">TRUNC(H269+(H269*I269),2)</f>
        <v>82.57</v>
      </c>
      <c r="L269" s="24">
        <f t="shared" ref="L269" si="458">J269*E269</f>
        <v>6589.68</v>
      </c>
      <c r="M269" s="24">
        <f t="shared" ref="M269" si="459">K269*E269</f>
        <v>330.28</v>
      </c>
      <c r="N269" s="24">
        <f t="shared" ref="N269" si="460">L269+M269</f>
        <v>6919.96</v>
      </c>
      <c r="P269" s="24">
        <f>112.26/1</f>
        <v>112.26</v>
      </c>
      <c r="Q269" s="24">
        <f>TRUNC(P269*E269,2)</f>
        <v>449.04</v>
      </c>
      <c r="R269" s="24">
        <f t="shared" si="454"/>
        <v>559.79999999999995</v>
      </c>
      <c r="S269" s="24">
        <f t="shared" si="455"/>
        <v>6360.16</v>
      </c>
    </row>
    <row r="270" spans="1:19">
      <c r="A270" s="338"/>
      <c r="B270" s="44"/>
      <c r="C270" s="167"/>
      <c r="D270" s="341" t="s">
        <v>22815</v>
      </c>
      <c r="E270" s="339"/>
      <c r="F270" s="167"/>
      <c r="G270" s="339"/>
      <c r="H270" s="339"/>
      <c r="I270" s="340"/>
      <c r="J270" s="339"/>
      <c r="K270" s="339"/>
      <c r="L270" s="339"/>
      <c r="M270" s="339"/>
      <c r="N270" s="339"/>
      <c r="P270" s="339"/>
      <c r="Q270" s="339"/>
      <c r="R270" s="24">
        <f t="shared" si="454"/>
        <v>0</v>
      </c>
      <c r="S270" s="24">
        <f t="shared" si="455"/>
        <v>0</v>
      </c>
    </row>
    <row r="271" spans="1:19">
      <c r="A271" s="9" t="s">
        <v>23065</v>
      </c>
      <c r="B271" s="10" t="s">
        <v>9016</v>
      </c>
      <c r="C271" s="10">
        <v>600600</v>
      </c>
      <c r="D271" s="43" t="str">
        <f>VLOOKUP(C271,'13. CUSTOS DER - SERVIÇOS'!A:B,2,0)</f>
        <v>ESCAVAÇÃO VALAS DE DRENAGEM 1A. CAT.</v>
      </c>
      <c r="E271" s="11">
        <v>106</v>
      </c>
      <c r="F271" s="26" t="str">
        <f>VLOOKUP(C271,'13. CUSTOS DER - SERVIÇOS'!A:C,3,0)</f>
        <v>M3</v>
      </c>
      <c r="G271" s="24">
        <f>VLOOKUP(C271,'13. CUSTOS DER - SERVIÇOS'!A:G,7,0)</f>
        <v>18.559999999999999</v>
      </c>
      <c r="H271" s="24">
        <v>0</v>
      </c>
      <c r="I271" s="25">
        <f>'3. BDI'!$C$19</f>
        <v>0.24666704095238123</v>
      </c>
      <c r="J271" s="24">
        <f t="shared" ref="J271:J272" si="461">TRUNC(G271+(G271*I271),2)</f>
        <v>23.13</v>
      </c>
      <c r="K271" s="24">
        <f t="shared" ref="K271:K272" si="462">TRUNC(H271+(H271*I271),2)</f>
        <v>0</v>
      </c>
      <c r="L271" s="24">
        <f t="shared" ref="L271:L272" si="463">J271*E271</f>
        <v>2451.7799999999997</v>
      </c>
      <c r="M271" s="24">
        <f t="shared" ref="M271:M272" si="464">K271*E271</f>
        <v>0</v>
      </c>
      <c r="N271" s="24">
        <f t="shared" ref="N271:N272" si="465">L271+M271</f>
        <v>2451.7799999999997</v>
      </c>
      <c r="P271" s="24">
        <f>40.04/10.32</f>
        <v>3.8798449612403099</v>
      </c>
      <c r="Q271" s="24">
        <f t="shared" ref="Q271:Q272" si="466">TRUNC(P271*E271,2)</f>
        <v>411.26</v>
      </c>
      <c r="R271" s="24">
        <f t="shared" si="454"/>
        <v>512.70000000000005</v>
      </c>
      <c r="S271" s="24">
        <f t="shared" si="455"/>
        <v>1939.0799999999997</v>
      </c>
    </row>
    <row r="272" spans="1:19">
      <c r="A272" s="9" t="s">
        <v>23066</v>
      </c>
      <c r="B272" s="10" t="s">
        <v>9016</v>
      </c>
      <c r="C272" s="10">
        <v>800000</v>
      </c>
      <c r="D272" s="43" t="str">
        <f>VLOOKUP(C272,'13. CUSTOS DER - SERVIÇOS'!A:B,2,0)</f>
        <v>ENLEIVAMENTO</v>
      </c>
      <c r="E272" s="11">
        <v>202.93</v>
      </c>
      <c r="F272" s="26" t="str">
        <f>VLOOKUP(C272,'13. CUSTOS DER - SERVIÇOS'!A:C,3,0)</f>
        <v>M2</v>
      </c>
      <c r="G272" s="24">
        <f>VLOOKUP(C272,'13. CUSTOS DER - SERVIÇOS'!A:G,7,0)</f>
        <v>12.41</v>
      </c>
      <c r="H272" s="24"/>
      <c r="I272" s="25">
        <f>'3. BDI'!$C$19</f>
        <v>0.24666704095238123</v>
      </c>
      <c r="J272" s="24">
        <f t="shared" si="461"/>
        <v>15.47</v>
      </c>
      <c r="K272" s="24">
        <f t="shared" si="462"/>
        <v>0</v>
      </c>
      <c r="L272" s="24">
        <f t="shared" si="463"/>
        <v>3139.3271000000004</v>
      </c>
      <c r="M272" s="24">
        <f t="shared" si="464"/>
        <v>0</v>
      </c>
      <c r="N272" s="24">
        <f t="shared" si="465"/>
        <v>3139.3271000000004</v>
      </c>
      <c r="P272" s="24">
        <f>722.16/130</f>
        <v>5.555076923076923</v>
      </c>
      <c r="Q272" s="24">
        <f t="shared" si="466"/>
        <v>1127.29</v>
      </c>
      <c r="R272" s="24">
        <f t="shared" si="454"/>
        <v>1405.35</v>
      </c>
      <c r="S272" s="24">
        <f t="shared" si="455"/>
        <v>1733.9771000000005</v>
      </c>
    </row>
    <row r="273" spans="1:19">
      <c r="A273" s="338"/>
      <c r="B273" s="44"/>
      <c r="C273" s="167"/>
      <c r="D273" s="341" t="s">
        <v>22790</v>
      </c>
      <c r="E273" s="339"/>
      <c r="F273" s="167"/>
      <c r="G273" s="339"/>
      <c r="H273" s="339"/>
      <c r="I273" s="340"/>
      <c r="J273" s="339"/>
      <c r="K273" s="339"/>
      <c r="L273" s="339"/>
      <c r="M273" s="339"/>
      <c r="N273" s="339"/>
      <c r="P273" s="339"/>
      <c r="Q273" s="339"/>
      <c r="R273" s="24">
        <f t="shared" si="454"/>
        <v>0</v>
      </c>
      <c r="S273" s="24">
        <f t="shared" si="455"/>
        <v>0</v>
      </c>
    </row>
    <row r="274" spans="1:19">
      <c r="A274" s="9" t="s">
        <v>23568</v>
      </c>
      <c r="B274" s="10" t="s">
        <v>9016</v>
      </c>
      <c r="C274" s="10">
        <v>650000</v>
      </c>
      <c r="D274" s="43" t="str">
        <f>VLOOKUP(C274,'13. CUSTOS DER - SERVIÇOS'!A:B,2,0)</f>
        <v>SARJETA TRIANGULAR CONCRETO - TIPO  1</v>
      </c>
      <c r="E274" s="11">
        <v>10</v>
      </c>
      <c r="F274" s="26" t="str">
        <f>VLOOKUP(C274,'13. CUSTOS DER - SERVIÇOS'!A:C,3,0)</f>
        <v>M</v>
      </c>
      <c r="G274" s="24">
        <f>VLOOKUP(C274,'13. CUSTOS DER - SERVIÇOS'!A:G,7,0)</f>
        <v>130.34</v>
      </c>
      <c r="H274" s="24">
        <f>VLOOKUP(C274,'10. CCU TRANSPORTE'!B:J,9,0)</f>
        <v>6.4799999999999995</v>
      </c>
      <c r="I274" s="25">
        <f>'3. BDI'!$C$19</f>
        <v>0.24666704095238123</v>
      </c>
      <c r="J274" s="24">
        <f t="shared" ref="J274" si="467">TRUNC(G274+(G274*I274),2)</f>
        <v>162.49</v>
      </c>
      <c r="K274" s="24">
        <f t="shared" ref="K274" si="468">TRUNC(H274+(H274*I274),2)</f>
        <v>8.07</v>
      </c>
      <c r="L274" s="24">
        <f t="shared" ref="L274" si="469">J274*E274</f>
        <v>1624.9</v>
      </c>
      <c r="M274" s="24">
        <f t="shared" ref="M274" si="470">K274*E274</f>
        <v>80.7</v>
      </c>
      <c r="N274" s="24">
        <f t="shared" ref="N274" si="471">L274+M274</f>
        <v>1705.6000000000001</v>
      </c>
      <c r="P274" s="24">
        <f>58.19/1</f>
        <v>58.19</v>
      </c>
      <c r="Q274" s="24">
        <f>TRUNC(P274*E274,2)</f>
        <v>581.9</v>
      </c>
      <c r="R274" s="24">
        <f t="shared" si="454"/>
        <v>725.43</v>
      </c>
      <c r="S274" s="24">
        <f t="shared" si="455"/>
        <v>980.17000000000019</v>
      </c>
    </row>
    <row r="275" spans="1:19">
      <c r="A275" s="338"/>
      <c r="B275" s="44"/>
      <c r="C275" s="167"/>
      <c r="D275" s="341" t="s">
        <v>22791</v>
      </c>
      <c r="E275" s="339"/>
      <c r="F275" s="167"/>
      <c r="G275" s="339"/>
      <c r="H275" s="339"/>
      <c r="I275" s="340"/>
      <c r="J275" s="339"/>
      <c r="K275" s="339"/>
      <c r="L275" s="339"/>
      <c r="M275" s="339"/>
      <c r="N275" s="339"/>
      <c r="P275" s="339"/>
      <c r="Q275" s="339"/>
      <c r="R275" s="24">
        <f t="shared" si="454"/>
        <v>0</v>
      </c>
      <c r="S275" s="24">
        <f t="shared" si="455"/>
        <v>0</v>
      </c>
    </row>
    <row r="276" spans="1:19">
      <c r="A276" s="9" t="s">
        <v>23067</v>
      </c>
      <c r="B276" s="10" t="s">
        <v>358</v>
      </c>
      <c r="C276" s="10" t="s">
        <v>22654</v>
      </c>
      <c r="D276" s="43" t="s">
        <v>259</v>
      </c>
      <c r="E276" s="11">
        <v>1636</v>
      </c>
      <c r="F276" s="13" t="s">
        <v>328</v>
      </c>
      <c r="G276" s="24">
        <f>VLOOKUP(C276,'9. CCU''S GERAIS AMEP'!A:K,11,0)</f>
        <v>117.9667</v>
      </c>
      <c r="H276" s="24">
        <v>0</v>
      </c>
      <c r="I276" s="25">
        <f>'3. BDI'!$C$19</f>
        <v>0.24666704095238123</v>
      </c>
      <c r="J276" s="24">
        <f t="shared" ref="J276" si="472">TRUNC(G276+(G276*I276),2)</f>
        <v>147.06</v>
      </c>
      <c r="K276" s="24">
        <f t="shared" ref="K276" si="473">TRUNC(H276+(H276*I276),2)</f>
        <v>0</v>
      </c>
      <c r="L276" s="24">
        <f t="shared" ref="L276" si="474">J276*E276</f>
        <v>240590.16</v>
      </c>
      <c r="M276" s="24">
        <f t="shared" ref="M276" si="475">K276*E276</f>
        <v>0</v>
      </c>
      <c r="N276" s="24">
        <f t="shared" ref="N276" si="476">L276+M276</f>
        <v>240590.16</v>
      </c>
      <c r="P276" s="24">
        <f>58.2/1</f>
        <v>58.2</v>
      </c>
      <c r="Q276" s="24">
        <f t="shared" ref="Q276" si="477">P276*E276</f>
        <v>95215.200000000012</v>
      </c>
      <c r="R276" s="24">
        <f t="shared" si="454"/>
        <v>118701.65</v>
      </c>
      <c r="S276" s="24">
        <f t="shared" si="455"/>
        <v>121888.51000000001</v>
      </c>
    </row>
    <row r="277" spans="1:19">
      <c r="A277" s="338"/>
      <c r="B277" s="44"/>
      <c r="C277" s="167"/>
      <c r="D277" s="341" t="s">
        <v>22876</v>
      </c>
      <c r="E277" s="339"/>
      <c r="F277" s="167"/>
      <c r="G277" s="339"/>
      <c r="H277" s="339"/>
      <c r="I277" s="340"/>
      <c r="J277" s="339"/>
      <c r="K277" s="339"/>
      <c r="L277" s="339"/>
      <c r="M277" s="339"/>
      <c r="N277" s="339"/>
      <c r="P277" s="339"/>
      <c r="Q277" s="339"/>
      <c r="R277" s="24">
        <f t="shared" si="454"/>
        <v>0</v>
      </c>
      <c r="S277" s="24">
        <f t="shared" si="455"/>
        <v>0</v>
      </c>
    </row>
    <row r="278" spans="1:19">
      <c r="A278" s="9" t="s">
        <v>23068</v>
      </c>
      <c r="B278" s="10" t="s">
        <v>9016</v>
      </c>
      <c r="C278" s="10">
        <v>600300</v>
      </c>
      <c r="D278" s="43" t="str">
        <f>VLOOKUP(C278,'13. CUSTOS DER - SERVIÇOS'!A:B,2,0)</f>
        <v>ESCAVAÇÃO DE BUEIROS EM 1A. CAT.</v>
      </c>
      <c r="E278" s="11">
        <v>454.91</v>
      </c>
      <c r="F278" s="26" t="str">
        <f>VLOOKUP(C278,'13. CUSTOS DER - SERVIÇOS'!A:C,3,0)</f>
        <v>M3</v>
      </c>
      <c r="G278" s="24">
        <f>VLOOKUP(C278,'13. CUSTOS DER - SERVIÇOS'!A:G,7,0)</f>
        <v>11.83</v>
      </c>
      <c r="H278" s="24"/>
      <c r="I278" s="25">
        <f>'3. BDI'!$C$19</f>
        <v>0.24666704095238123</v>
      </c>
      <c r="J278" s="24">
        <f t="shared" ref="J278:J279" si="478">TRUNC(G278+(G278*I278),2)</f>
        <v>14.74</v>
      </c>
      <c r="K278" s="24">
        <f t="shared" ref="K278:K279" si="479">TRUNC(H278+(H278*I278),2)</f>
        <v>0</v>
      </c>
      <c r="L278" s="24">
        <f t="shared" ref="L278:L279" si="480">J278*E278</f>
        <v>6705.3734000000004</v>
      </c>
      <c r="M278" s="24">
        <f t="shared" ref="M278:M279" si="481">K278*E278</f>
        <v>0</v>
      </c>
      <c r="N278" s="24">
        <f t="shared" ref="N278:N279" si="482">L278+M278</f>
        <v>6705.3734000000004</v>
      </c>
      <c r="P278" s="24">
        <f>40.04/27.74</f>
        <v>1.4434030281182408</v>
      </c>
      <c r="Q278" s="24">
        <f t="shared" ref="Q278:Q279" si="483">TRUNC(P278*E278,2)</f>
        <v>656.61</v>
      </c>
      <c r="R278" s="24">
        <f t="shared" si="454"/>
        <v>818.57</v>
      </c>
      <c r="S278" s="24">
        <f t="shared" si="455"/>
        <v>5886.8034000000007</v>
      </c>
    </row>
    <row r="279" spans="1:19">
      <c r="A279" s="9" t="s">
        <v>23069</v>
      </c>
      <c r="B279" s="10" t="s">
        <v>9016</v>
      </c>
      <c r="C279" s="10">
        <v>601200</v>
      </c>
      <c r="D279" s="43" t="str">
        <f>VLOOKUP(C279,'13. CUSTOS DER - SERVIÇOS'!A:B,2,0)</f>
        <v>REATERRO E APILOAMENTO MECÂNICO</v>
      </c>
      <c r="E279" s="11">
        <v>337.83</v>
      </c>
      <c r="F279" s="26" t="str">
        <f>VLOOKUP(C279,'13. CUSTOS DER - SERVIÇOS'!A:C,3,0)</f>
        <v>M3</v>
      </c>
      <c r="G279" s="24">
        <f>VLOOKUP(C279,'13. CUSTOS DER - SERVIÇOS'!A:G,7,0)</f>
        <v>34.119999999999997</v>
      </c>
      <c r="H279" s="24"/>
      <c r="I279" s="25">
        <f>'3. BDI'!$C$19</f>
        <v>0.24666704095238123</v>
      </c>
      <c r="J279" s="24">
        <f t="shared" si="478"/>
        <v>42.53</v>
      </c>
      <c r="K279" s="24">
        <f t="shared" si="479"/>
        <v>0</v>
      </c>
      <c r="L279" s="24">
        <f t="shared" si="480"/>
        <v>14367.909900000001</v>
      </c>
      <c r="M279" s="24">
        <f t="shared" si="481"/>
        <v>0</v>
      </c>
      <c r="N279" s="24">
        <f t="shared" si="482"/>
        <v>14367.909900000001</v>
      </c>
      <c r="P279" s="24">
        <f>318.18/11</f>
        <v>28.925454545454546</v>
      </c>
      <c r="Q279" s="24">
        <f t="shared" si="483"/>
        <v>9771.8799999999992</v>
      </c>
      <c r="R279" s="24">
        <f t="shared" si="454"/>
        <v>12182.28</v>
      </c>
      <c r="S279" s="24">
        <f t="shared" si="455"/>
        <v>2185.6298999999999</v>
      </c>
    </row>
    <row r="280" spans="1:19">
      <c r="A280" s="338"/>
      <c r="B280" s="44"/>
      <c r="C280" s="167"/>
      <c r="D280" s="341" t="s">
        <v>23523</v>
      </c>
      <c r="E280" s="339"/>
      <c r="F280" s="167"/>
      <c r="G280" s="339"/>
      <c r="H280" s="339"/>
      <c r="I280" s="340"/>
      <c r="J280" s="339"/>
      <c r="K280" s="339"/>
      <c r="L280" s="339"/>
      <c r="M280" s="339"/>
      <c r="N280" s="339"/>
      <c r="P280" s="339"/>
      <c r="Q280" s="339"/>
      <c r="R280" s="24">
        <f t="shared" si="454"/>
        <v>0</v>
      </c>
      <c r="S280" s="24">
        <f t="shared" si="455"/>
        <v>0</v>
      </c>
    </row>
    <row r="281" spans="1:19">
      <c r="A281" s="9" t="s">
        <v>23592</v>
      </c>
      <c r="B281" s="10" t="s">
        <v>9016</v>
      </c>
      <c r="C281" s="10">
        <v>630300</v>
      </c>
      <c r="D281" s="43" t="str">
        <f>VLOOKUP(C281,'13. CUSTOS DER - SERVIÇOS'!A:B,2,0)</f>
        <v>REMOÇÃO DE BUEIRO 0,30M</v>
      </c>
      <c r="E281" s="11">
        <v>8</v>
      </c>
      <c r="F281" s="26" t="str">
        <f>VLOOKUP(C281,'13. CUSTOS DER - SERVIÇOS'!A:C,3,0)</f>
        <v>M</v>
      </c>
      <c r="G281" s="24">
        <f>VLOOKUP(C281,'13. CUSTOS DER - SERVIÇOS'!A:G,7,0)</f>
        <v>15.85</v>
      </c>
      <c r="H281" s="24"/>
      <c r="I281" s="25">
        <f>'3. BDI'!$C$19</f>
        <v>0.24666704095238123</v>
      </c>
      <c r="J281" s="24">
        <f t="shared" ref="J281:J284" si="484">TRUNC(G281+(G281*I281),2)</f>
        <v>19.75</v>
      </c>
      <c r="K281" s="24">
        <f t="shared" ref="K281:K284" si="485">TRUNC(H281+(H281*I281),2)</f>
        <v>0</v>
      </c>
      <c r="L281" s="24">
        <f t="shared" ref="L281:L284" si="486">J281*E281</f>
        <v>158</v>
      </c>
      <c r="M281" s="24">
        <f t="shared" ref="M281:M284" si="487">K281*E281</f>
        <v>0</v>
      </c>
      <c r="N281" s="24">
        <f t="shared" ref="N281:N284" si="488">L281+M281</f>
        <v>158</v>
      </c>
      <c r="P281" s="24">
        <f>71.5/15</f>
        <v>4.7666666666666666</v>
      </c>
      <c r="Q281" s="24">
        <f t="shared" ref="Q281:Q284" si="489">TRUNC(P281*E281,2)</f>
        <v>38.130000000000003</v>
      </c>
      <c r="R281" s="24">
        <f t="shared" si="454"/>
        <v>47.53</v>
      </c>
      <c r="S281" s="24">
        <f t="shared" si="455"/>
        <v>110.47</v>
      </c>
    </row>
    <row r="282" spans="1:19">
      <c r="A282" s="9" t="s">
        <v>23593</v>
      </c>
      <c r="B282" s="10" t="s">
        <v>9016</v>
      </c>
      <c r="C282" s="10">
        <v>630400</v>
      </c>
      <c r="D282" s="43" t="str">
        <f>VLOOKUP(C282,'13. CUSTOS DER - SERVIÇOS'!A:B,2,0)</f>
        <v>REMOÇÃO DE BUEIRO 0,40M</v>
      </c>
      <c r="E282" s="11">
        <v>55</v>
      </c>
      <c r="F282" s="26" t="str">
        <f>VLOOKUP(C282,'13. CUSTOS DER - SERVIÇOS'!A:C,3,0)</f>
        <v>M</v>
      </c>
      <c r="G282" s="24">
        <f>VLOOKUP(C282,'13. CUSTOS DER - SERVIÇOS'!A:G,7,0)</f>
        <v>19.809999999999999</v>
      </c>
      <c r="H282" s="24"/>
      <c r="I282" s="25">
        <f>'3. BDI'!$C$19</f>
        <v>0.24666704095238123</v>
      </c>
      <c r="J282" s="24">
        <f t="shared" si="484"/>
        <v>24.69</v>
      </c>
      <c r="K282" s="24">
        <f t="shared" si="485"/>
        <v>0</v>
      </c>
      <c r="L282" s="24">
        <f t="shared" si="486"/>
        <v>1357.95</v>
      </c>
      <c r="M282" s="24">
        <f t="shared" si="487"/>
        <v>0</v>
      </c>
      <c r="N282" s="24">
        <f t="shared" si="488"/>
        <v>1357.95</v>
      </c>
      <c r="P282" s="24">
        <f>71.5/12</f>
        <v>5.958333333333333</v>
      </c>
      <c r="Q282" s="24">
        <f t="shared" si="489"/>
        <v>327.7</v>
      </c>
      <c r="R282" s="24">
        <f t="shared" si="454"/>
        <v>408.53</v>
      </c>
      <c r="S282" s="24">
        <f t="shared" si="455"/>
        <v>949.42000000000007</v>
      </c>
    </row>
    <row r="283" spans="1:19">
      <c r="A283" s="9" t="s">
        <v>23594</v>
      </c>
      <c r="B283" s="10" t="s">
        <v>9016</v>
      </c>
      <c r="C283" s="10">
        <v>610200</v>
      </c>
      <c r="D283" s="43" t="str">
        <f>VLOOKUP(C283,'13. CUSTOS DER - SERVIÇOS'!A:B,2,0)</f>
        <v>LIMPEZA MANUAL DE VALETA</v>
      </c>
      <c r="E283" s="11">
        <v>50</v>
      </c>
      <c r="F283" s="26" t="str">
        <f>VLOOKUP(C283,'13. CUSTOS DER - SERVIÇOS'!A:C,3,0)</f>
        <v>M</v>
      </c>
      <c r="G283" s="24">
        <f>VLOOKUP(C283,'13. CUSTOS DER - SERVIÇOS'!A:G,7,0)</f>
        <v>3.74</v>
      </c>
      <c r="H283" s="24"/>
      <c r="I283" s="25">
        <f>'3. BDI'!$C$19</f>
        <v>0.24666704095238123</v>
      </c>
      <c r="J283" s="24">
        <f t="shared" si="484"/>
        <v>4.66</v>
      </c>
      <c r="K283" s="24">
        <f t="shared" si="485"/>
        <v>0</v>
      </c>
      <c r="L283" s="24">
        <f t="shared" si="486"/>
        <v>233</v>
      </c>
      <c r="M283" s="24">
        <f t="shared" si="487"/>
        <v>0</v>
      </c>
      <c r="N283" s="24">
        <f t="shared" si="488"/>
        <v>233</v>
      </c>
      <c r="P283" s="24">
        <f>1235.55/600</f>
        <v>2.05925</v>
      </c>
      <c r="Q283" s="24">
        <f t="shared" si="489"/>
        <v>102.96</v>
      </c>
      <c r="R283" s="24">
        <f t="shared" si="454"/>
        <v>128.35</v>
      </c>
      <c r="S283" s="24">
        <f t="shared" si="455"/>
        <v>104.65</v>
      </c>
    </row>
    <row r="284" spans="1:19">
      <c r="A284" s="9" t="s">
        <v>23595</v>
      </c>
      <c r="B284" s="10" t="s">
        <v>9016</v>
      </c>
      <c r="C284" s="10">
        <v>633000</v>
      </c>
      <c r="D284" s="43" t="str">
        <f>VLOOKUP(C284,'13. CUSTOS DER - SERVIÇOS'!A:B,2,0)</f>
        <v>LIMPEZA E DESOBSTRUÇÃO DE BUEIROS SIMPLES</v>
      </c>
      <c r="E284" s="11">
        <v>80</v>
      </c>
      <c r="F284" s="26" t="str">
        <f>VLOOKUP(C284,'13. CUSTOS DER - SERVIÇOS'!A:C,3,0)</f>
        <v>M</v>
      </c>
      <c r="G284" s="24">
        <f>VLOOKUP(C284,'13. CUSTOS DER - SERVIÇOS'!A:G,7,0)</f>
        <v>82.58</v>
      </c>
      <c r="H284" s="24"/>
      <c r="I284" s="25">
        <f>'3. BDI'!$C$19</f>
        <v>0.24666704095238123</v>
      </c>
      <c r="J284" s="24">
        <f t="shared" si="484"/>
        <v>102.94</v>
      </c>
      <c r="K284" s="24">
        <f t="shared" si="485"/>
        <v>0</v>
      </c>
      <c r="L284" s="24">
        <f t="shared" si="486"/>
        <v>8235.2000000000007</v>
      </c>
      <c r="M284" s="24">
        <f t="shared" si="487"/>
        <v>0</v>
      </c>
      <c r="N284" s="24">
        <f t="shared" si="488"/>
        <v>8235.2000000000007</v>
      </c>
      <c r="P284" s="24">
        <f>78.65/1</f>
        <v>78.650000000000006</v>
      </c>
      <c r="Q284" s="24">
        <f t="shared" si="489"/>
        <v>6292</v>
      </c>
      <c r="R284" s="24">
        <f t="shared" si="454"/>
        <v>7844.02</v>
      </c>
      <c r="S284" s="24">
        <f t="shared" si="455"/>
        <v>391.18000000000029</v>
      </c>
    </row>
    <row r="285" spans="1:19">
      <c r="A285" s="28" t="s">
        <v>22978</v>
      </c>
      <c r="B285" s="48"/>
      <c r="C285" s="32"/>
      <c r="D285" s="301" t="s">
        <v>22781</v>
      </c>
      <c r="E285" s="33"/>
      <c r="F285" s="32" t="s">
        <v>195</v>
      </c>
      <c r="G285" s="33"/>
      <c r="H285" s="33"/>
      <c r="I285" s="34"/>
      <c r="J285" s="33"/>
      <c r="K285" s="33"/>
      <c r="L285" s="33">
        <f t="shared" ref="L285:M285" si="490">SUM(L286:L383)</f>
        <v>3395606.2245000005</v>
      </c>
      <c r="M285" s="33">
        <f t="shared" si="490"/>
        <v>71505.920400000003</v>
      </c>
      <c r="N285" s="33">
        <f>SUM(N286:N383)</f>
        <v>3467112.1449000007</v>
      </c>
      <c r="P285" s="33">
        <f t="shared" ref="P285:S285" si="491">SUM(P286:P383)</f>
        <v>4371.8644424886879</v>
      </c>
      <c r="Q285" s="33">
        <f t="shared" si="491"/>
        <v>908382.95503543376</v>
      </c>
      <c r="R285" s="33">
        <f t="shared" si="491"/>
        <v>1132450.73</v>
      </c>
      <c r="S285" s="33">
        <f t="shared" si="491"/>
        <v>2334661.4149000002</v>
      </c>
    </row>
    <row r="286" spans="1:19">
      <c r="A286" s="338"/>
      <c r="B286" s="44"/>
      <c r="C286" s="167"/>
      <c r="D286" s="341" t="s">
        <v>22794</v>
      </c>
      <c r="E286" s="339"/>
      <c r="F286" s="167"/>
      <c r="G286" s="339"/>
      <c r="H286" s="339"/>
      <c r="I286" s="340"/>
      <c r="J286" s="339"/>
      <c r="K286" s="339"/>
      <c r="L286" s="339"/>
      <c r="M286" s="339"/>
      <c r="N286" s="339"/>
      <c r="P286" s="339"/>
      <c r="Q286" s="339"/>
      <c r="R286" s="24">
        <f t="shared" ref="R286:R317" si="492">TRUNC((Q286*I286+Q286),2)</f>
        <v>0</v>
      </c>
      <c r="S286" s="24">
        <f t="shared" ref="S286:S317" si="493">N286-R286</f>
        <v>0</v>
      </c>
    </row>
    <row r="287" spans="1:19" ht="31.5">
      <c r="A287" s="9" t="s">
        <v>23070</v>
      </c>
      <c r="B287" s="10" t="s">
        <v>358</v>
      </c>
      <c r="C287" s="10" t="s">
        <v>22649</v>
      </c>
      <c r="D287" s="43" t="s">
        <v>248</v>
      </c>
      <c r="E287" s="11">
        <v>6162</v>
      </c>
      <c r="F287" s="13" t="s">
        <v>328</v>
      </c>
      <c r="G287" s="24">
        <f>VLOOKUP(C287,'9. CCU''S GERAIS AMEP'!A:K,11,0)</f>
        <v>90.283322123893797</v>
      </c>
      <c r="H287" s="24">
        <v>0</v>
      </c>
      <c r="I287" s="25">
        <f>'3. BDI'!$C$19</f>
        <v>0.24666704095238123</v>
      </c>
      <c r="J287" s="24">
        <f t="shared" ref="J287" si="494">TRUNC(G287+(G287*I287),2)</f>
        <v>112.55</v>
      </c>
      <c r="K287" s="24">
        <f t="shared" ref="K287" si="495">TRUNC(H287+(H287*I287),2)</f>
        <v>0</v>
      </c>
      <c r="L287" s="24">
        <f t="shared" ref="L287" si="496">J287*E287</f>
        <v>693533.1</v>
      </c>
      <c r="M287" s="24">
        <f t="shared" ref="M287" si="497">K287*E287</f>
        <v>0</v>
      </c>
      <c r="N287" s="24">
        <f t="shared" ref="N287" si="498">L287+M287</f>
        <v>693533.1</v>
      </c>
      <c r="P287" s="24">
        <f>103.68/113</f>
        <v>0.91752212389380539</v>
      </c>
      <c r="Q287" s="24">
        <f t="shared" ref="Q287" si="499">P287*E287</f>
        <v>5653.7713274336284</v>
      </c>
      <c r="R287" s="24">
        <f t="shared" si="492"/>
        <v>7048.37</v>
      </c>
      <c r="S287" s="24">
        <f t="shared" si="493"/>
        <v>686484.73</v>
      </c>
    </row>
    <row r="288" spans="1:19">
      <c r="A288" s="338"/>
      <c r="B288" s="44"/>
      <c r="C288" s="167"/>
      <c r="D288" s="341" t="s">
        <v>22795</v>
      </c>
      <c r="E288" s="339"/>
      <c r="F288" s="167"/>
      <c r="G288" s="339"/>
      <c r="H288" s="339"/>
      <c r="I288" s="340"/>
      <c r="J288" s="339"/>
      <c r="K288" s="339"/>
      <c r="L288" s="339"/>
      <c r="M288" s="339"/>
      <c r="N288" s="339"/>
      <c r="P288" s="339"/>
      <c r="Q288" s="339"/>
      <c r="R288" s="24">
        <f t="shared" si="492"/>
        <v>0</v>
      </c>
      <c r="S288" s="24">
        <f t="shared" si="493"/>
        <v>0</v>
      </c>
    </row>
    <row r="289" spans="1:19">
      <c r="A289" s="9" t="s">
        <v>23071</v>
      </c>
      <c r="B289" s="10" t="s">
        <v>358</v>
      </c>
      <c r="C289" s="248" t="s">
        <v>22653</v>
      </c>
      <c r="D289" s="43" t="s">
        <v>258</v>
      </c>
      <c r="E289" s="11">
        <v>710</v>
      </c>
      <c r="F289" s="13" t="s">
        <v>328</v>
      </c>
      <c r="G289" s="24">
        <f>VLOOKUP(C289,'9. CCU''S GERAIS AMEP'!A:K,11,0)</f>
        <v>106.51</v>
      </c>
      <c r="H289" s="24">
        <v>0</v>
      </c>
      <c r="I289" s="25">
        <f>'3. BDI'!$C$19</f>
        <v>0.24666704095238123</v>
      </c>
      <c r="J289" s="24">
        <f t="shared" ref="J289" si="500">TRUNC(G289+(G289*I289),2)</f>
        <v>132.78</v>
      </c>
      <c r="K289" s="24">
        <f t="shared" ref="K289" si="501">TRUNC(H289+(H289*I289),2)</f>
        <v>0</v>
      </c>
      <c r="L289" s="24">
        <f t="shared" ref="L289" si="502">J289*E289</f>
        <v>94273.8</v>
      </c>
      <c r="M289" s="24">
        <f t="shared" ref="M289" si="503">K289*E289</f>
        <v>0</v>
      </c>
      <c r="N289" s="24">
        <f t="shared" ref="N289" si="504">L289+M289</f>
        <v>94273.8</v>
      </c>
      <c r="P289" s="24">
        <f>72.22/1</f>
        <v>72.22</v>
      </c>
      <c r="Q289" s="24">
        <f t="shared" ref="Q289" si="505">P289*E289</f>
        <v>51276.2</v>
      </c>
      <c r="R289" s="24">
        <f t="shared" si="492"/>
        <v>63924.34</v>
      </c>
      <c r="S289" s="24">
        <f t="shared" si="493"/>
        <v>30349.460000000006</v>
      </c>
    </row>
    <row r="290" spans="1:19">
      <c r="A290" s="338"/>
      <c r="B290" s="44"/>
      <c r="C290" s="167"/>
      <c r="D290" s="341" t="s">
        <v>22796</v>
      </c>
      <c r="E290" s="339"/>
      <c r="F290" s="167"/>
      <c r="G290" s="339"/>
      <c r="H290" s="339"/>
      <c r="I290" s="340"/>
      <c r="J290" s="339"/>
      <c r="K290" s="339"/>
      <c r="L290" s="339"/>
      <c r="M290" s="339"/>
      <c r="N290" s="339"/>
      <c r="P290" s="339"/>
      <c r="Q290" s="339"/>
      <c r="R290" s="24">
        <f t="shared" si="492"/>
        <v>0</v>
      </c>
      <c r="S290" s="24">
        <f t="shared" si="493"/>
        <v>0</v>
      </c>
    </row>
    <row r="291" spans="1:19">
      <c r="A291" s="9" t="s">
        <v>23072</v>
      </c>
      <c r="B291" s="10" t="s">
        <v>358</v>
      </c>
      <c r="C291" s="10" t="s">
        <v>22652</v>
      </c>
      <c r="D291" s="43" t="s">
        <v>257</v>
      </c>
      <c r="E291" s="11">
        <v>654</v>
      </c>
      <c r="F291" s="13" t="s">
        <v>328</v>
      </c>
      <c r="G291" s="24">
        <f>VLOOKUP(C291,'9. CCU''S GERAIS AMEP'!A:K,11,0)</f>
        <v>53.376099999999994</v>
      </c>
      <c r="H291" s="24">
        <v>0</v>
      </c>
      <c r="I291" s="25">
        <f>'3. BDI'!$C$19</f>
        <v>0.24666704095238123</v>
      </c>
      <c r="J291" s="24">
        <f t="shared" ref="J291" si="506">TRUNC(G291+(G291*I291),2)</f>
        <v>66.540000000000006</v>
      </c>
      <c r="K291" s="24">
        <f t="shared" ref="K291" si="507">TRUNC(H291+(H291*I291),2)</f>
        <v>0</v>
      </c>
      <c r="L291" s="24">
        <f t="shared" ref="L291" si="508">J291*E291</f>
        <v>43517.16</v>
      </c>
      <c r="M291" s="24">
        <f t="shared" ref="M291" si="509">K291*E291</f>
        <v>0</v>
      </c>
      <c r="N291" s="24">
        <f t="shared" ref="N291" si="510">L291+M291</f>
        <v>43517.16</v>
      </c>
      <c r="P291" s="24">
        <f>13.73/1</f>
        <v>13.73</v>
      </c>
      <c r="Q291" s="24">
        <f t="shared" ref="Q291" si="511">P291*E291</f>
        <v>8979.42</v>
      </c>
      <c r="R291" s="24">
        <f t="shared" si="492"/>
        <v>11194.34</v>
      </c>
      <c r="S291" s="24">
        <f t="shared" si="493"/>
        <v>32322.820000000003</v>
      </c>
    </row>
    <row r="292" spans="1:19">
      <c r="A292" s="338"/>
      <c r="B292" s="44"/>
      <c r="C292" s="167"/>
      <c r="D292" s="341" t="s">
        <v>22788</v>
      </c>
      <c r="E292" s="339"/>
      <c r="F292" s="167"/>
      <c r="G292" s="339"/>
      <c r="H292" s="339"/>
      <c r="I292" s="340"/>
      <c r="J292" s="339"/>
      <c r="K292" s="339"/>
      <c r="L292" s="339"/>
      <c r="M292" s="339"/>
      <c r="N292" s="339"/>
      <c r="P292" s="339"/>
      <c r="Q292" s="339"/>
      <c r="R292" s="24">
        <f t="shared" si="492"/>
        <v>0</v>
      </c>
      <c r="S292" s="24">
        <f t="shared" si="493"/>
        <v>0</v>
      </c>
    </row>
    <row r="293" spans="1:19">
      <c r="A293" s="9" t="s">
        <v>23073</v>
      </c>
      <c r="B293" s="10" t="s">
        <v>9016</v>
      </c>
      <c r="C293" s="10">
        <v>622100</v>
      </c>
      <c r="D293" s="43" t="str">
        <f>VLOOKUP(C293,'13. CUSTOS DER - SERVIÇOS'!A:B,2,0)</f>
        <v>BOCA DE SAÍDA DRENO PROFUNDO - TIPO 2</v>
      </c>
      <c r="E293" s="11">
        <v>27</v>
      </c>
      <c r="F293" s="26" t="str">
        <f>VLOOKUP(C293,'13. CUSTOS DER - SERVIÇOS'!A:C,3,0)</f>
        <v>UD</v>
      </c>
      <c r="G293" s="24">
        <f>VLOOKUP(C293,'13. CUSTOS DER - SERVIÇOS'!A:G,7,0)</f>
        <v>294.64999999999998</v>
      </c>
      <c r="H293" s="24">
        <f>VLOOKUP(C293,'10. CCU TRANSPORTE'!B:J,9,0)</f>
        <v>12.94</v>
      </c>
      <c r="I293" s="25">
        <f>'3. BDI'!$C$19</f>
        <v>0.24666704095238123</v>
      </c>
      <c r="J293" s="24">
        <f t="shared" ref="J293" si="512">TRUNC(G293+(G293*I293),2)</f>
        <v>367.33</v>
      </c>
      <c r="K293" s="24">
        <f t="shared" ref="K293" si="513">TRUNC(H293+(H293*I293),2)</f>
        <v>16.13</v>
      </c>
      <c r="L293" s="24">
        <f t="shared" ref="L293" si="514">J293*E293</f>
        <v>9917.91</v>
      </c>
      <c r="M293" s="24">
        <f t="shared" ref="M293" si="515">K293*E293</f>
        <v>435.51</v>
      </c>
      <c r="N293" s="24">
        <f t="shared" ref="N293" si="516">L293+M293</f>
        <v>10353.42</v>
      </c>
      <c r="P293" s="24">
        <f>26.09/1</f>
        <v>26.09</v>
      </c>
      <c r="Q293" s="24">
        <f>TRUNC(P293*E293,2)</f>
        <v>704.43</v>
      </c>
      <c r="R293" s="24">
        <f t="shared" si="492"/>
        <v>878.18</v>
      </c>
      <c r="S293" s="24">
        <f t="shared" si="493"/>
        <v>9475.24</v>
      </c>
    </row>
    <row r="294" spans="1:19">
      <c r="A294" s="338"/>
      <c r="B294" s="44"/>
      <c r="C294" s="167"/>
      <c r="D294" s="341" t="s">
        <v>22817</v>
      </c>
      <c r="E294" s="336"/>
      <c r="F294" s="167"/>
      <c r="G294" s="339"/>
      <c r="H294" s="339"/>
      <c r="I294" s="340"/>
      <c r="J294" s="339"/>
      <c r="K294" s="339"/>
      <c r="L294" s="339"/>
      <c r="M294" s="339"/>
      <c r="N294" s="339"/>
      <c r="P294" s="339"/>
      <c r="Q294" s="339"/>
      <c r="R294" s="24">
        <f t="shared" si="492"/>
        <v>0</v>
      </c>
      <c r="S294" s="24">
        <f t="shared" si="493"/>
        <v>0</v>
      </c>
    </row>
    <row r="295" spans="1:19">
      <c r="A295" s="9" t="s">
        <v>23074</v>
      </c>
      <c r="B295" s="10" t="s">
        <v>9016</v>
      </c>
      <c r="C295" s="10">
        <v>600000</v>
      </c>
      <c r="D295" s="43" t="str">
        <f>VLOOKUP(C295,'13. CUSTOS DER - SERVIÇOS'!A:B,2,0)</f>
        <v>ESCAVAÇÃO MANUAL DE VALA 1A. CAT.</v>
      </c>
      <c r="E295" s="11">
        <v>2.42</v>
      </c>
      <c r="F295" s="26" t="str">
        <f>VLOOKUP(C295,'13. CUSTOS DER - SERVIÇOS'!A:C,3,0)</f>
        <v>M3</v>
      </c>
      <c r="G295" s="24">
        <f>VLOOKUP(C295,'13. CUSTOS DER - SERVIÇOS'!A:G,7,0)</f>
        <v>49.54</v>
      </c>
      <c r="H295" s="24">
        <v>0</v>
      </c>
      <c r="I295" s="25">
        <f>'3. BDI'!$C$19</f>
        <v>0.24666704095238123</v>
      </c>
      <c r="J295" s="24">
        <f t="shared" ref="J295" si="517">TRUNC(G295+(G295*I295),2)</f>
        <v>61.75</v>
      </c>
      <c r="K295" s="24">
        <f t="shared" ref="K295" si="518">TRUNC(H295+(H295*I295),2)</f>
        <v>0</v>
      </c>
      <c r="L295" s="24">
        <f t="shared" ref="L295" si="519">J295*E295</f>
        <v>149.435</v>
      </c>
      <c r="M295" s="24">
        <f t="shared" ref="M295" si="520">K295*E295</f>
        <v>0</v>
      </c>
      <c r="N295" s="24">
        <f t="shared" ref="N295" si="521">L295+M295</f>
        <v>149.435</v>
      </c>
      <c r="P295" s="24">
        <f>47.19/1</f>
        <v>47.19</v>
      </c>
      <c r="Q295" s="24">
        <f>TRUNC(P295*E295,2)</f>
        <v>114.19</v>
      </c>
      <c r="R295" s="24">
        <f t="shared" si="492"/>
        <v>142.35</v>
      </c>
      <c r="S295" s="24">
        <f t="shared" si="493"/>
        <v>7.085000000000008</v>
      </c>
    </row>
    <row r="296" spans="1:19" ht="31.5">
      <c r="A296" s="9" t="s">
        <v>23075</v>
      </c>
      <c r="B296" s="10" t="s">
        <v>22708</v>
      </c>
      <c r="C296" s="10">
        <v>1506055</v>
      </c>
      <c r="D296" s="43" t="str">
        <f>UPPER(VLOOKUP(C296,'18. CUSTOS DNIT - SERVIÇOS'!A:B,2,0))</f>
        <v>PEDRA ARGAMASSADA COM CIMENTO E AREIA 1:3 - AREIA E PEDRA DE MÃO COMERCIAL - FORNECIMENTO E ASSENTAMENTO</v>
      </c>
      <c r="E296" s="11">
        <v>1.53</v>
      </c>
      <c r="F296" s="26" t="str">
        <f>UPPER(VLOOKUP(C296,'18. CUSTOS DNIT - SERVIÇOS'!A:C,3,0))</f>
        <v>M³</v>
      </c>
      <c r="G296" s="24">
        <f>VLOOKUP(C296,'18. CUSTOS DNIT - SERVIÇOS'!A:D,4,0)</f>
        <v>399.01</v>
      </c>
      <c r="H296" s="24"/>
      <c r="I296" s="25">
        <f>'3. BDI'!$C$19</f>
        <v>0.24666704095238123</v>
      </c>
      <c r="J296" s="24">
        <f>TRUNC(G296+(G296*I296),2)</f>
        <v>497.43</v>
      </c>
      <c r="K296" s="24">
        <f>TRUNC(H296+(H296*I296),2)</f>
        <v>0</v>
      </c>
      <c r="L296" s="24">
        <f>J296*E296</f>
        <v>761.06790000000001</v>
      </c>
      <c r="M296" s="24">
        <f>K296*E296</f>
        <v>0</v>
      </c>
      <c r="N296" s="24">
        <f>L296+M296</f>
        <v>761.06790000000001</v>
      </c>
      <c r="P296" s="24">
        <f>133.9364/1</f>
        <v>133.93639999999999</v>
      </c>
      <c r="Q296" s="24">
        <f>TRUNC((P296*E296),2)</f>
        <v>204.92</v>
      </c>
      <c r="R296" s="24">
        <f t="shared" si="492"/>
        <v>255.46</v>
      </c>
      <c r="S296" s="24">
        <f t="shared" si="493"/>
        <v>505.60789999999997</v>
      </c>
    </row>
    <row r="297" spans="1:19">
      <c r="A297" s="9" t="s">
        <v>23076</v>
      </c>
      <c r="B297" s="10" t="s">
        <v>9016</v>
      </c>
      <c r="C297" s="10">
        <v>601100</v>
      </c>
      <c r="D297" s="43" t="str">
        <f>VLOOKUP(C297,'13. CUSTOS DER - SERVIÇOS'!A:B,2,0)</f>
        <v>APILOAMENTO MANUAL</v>
      </c>
      <c r="E297" s="11">
        <v>0.3</v>
      </c>
      <c r="F297" s="26" t="str">
        <f>VLOOKUP(C297,'13. CUSTOS DER - SERVIÇOS'!A:C,3,0)</f>
        <v>M3</v>
      </c>
      <c r="G297" s="24">
        <f>VLOOKUP(C297,'13. CUSTOS DER - SERVIÇOS'!A:G,7,0)</f>
        <v>54.05</v>
      </c>
      <c r="H297" s="24"/>
      <c r="I297" s="25">
        <f>'3. BDI'!$C$19</f>
        <v>0.24666704095238123</v>
      </c>
      <c r="J297" s="24">
        <f t="shared" ref="J297:J299" si="522">TRUNC(G297+(G297*I297),2)</f>
        <v>67.38</v>
      </c>
      <c r="K297" s="24">
        <f t="shared" ref="K297:K299" si="523">TRUNC(H297+(H297*I297),2)</f>
        <v>0</v>
      </c>
      <c r="L297" s="24">
        <f t="shared" ref="L297:L299" si="524">J297*E297</f>
        <v>20.213999999999999</v>
      </c>
      <c r="M297" s="24">
        <f t="shared" ref="M297:M299" si="525">K297*E297</f>
        <v>0</v>
      </c>
      <c r="N297" s="24">
        <f t="shared" ref="N297:N299" si="526">L297+M297</f>
        <v>20.213999999999999</v>
      </c>
      <c r="P297" s="24">
        <f>51.48/1</f>
        <v>51.48</v>
      </c>
      <c r="Q297" s="24">
        <f t="shared" ref="Q297:Q299" si="527">TRUNC(P297*E297,2)</f>
        <v>15.44</v>
      </c>
      <c r="R297" s="24">
        <f t="shared" si="492"/>
        <v>19.239999999999998</v>
      </c>
      <c r="S297" s="24">
        <f t="shared" si="493"/>
        <v>0.9740000000000002</v>
      </c>
    </row>
    <row r="298" spans="1:19">
      <c r="A298" s="9" t="s">
        <v>23077</v>
      </c>
      <c r="B298" s="10" t="s">
        <v>9016</v>
      </c>
      <c r="C298" s="10">
        <v>602100</v>
      </c>
      <c r="D298" s="43" t="str">
        <f>VLOOKUP(C298,'13. CUSTOS DER - SERVIÇOS'!A:B,2,0)</f>
        <v>FORMAS DE MADEIRA COMPENSADA  RESINADA</v>
      </c>
      <c r="E298" s="11">
        <v>8.15</v>
      </c>
      <c r="F298" s="26" t="str">
        <f>VLOOKUP(C298,'13. CUSTOS DER - SERVIÇOS'!A:C,3,0)</f>
        <v>M2</v>
      </c>
      <c r="G298" s="24">
        <f>VLOOKUP(C298,'13. CUSTOS DER - SERVIÇOS'!A:G,7,0)</f>
        <v>78.33</v>
      </c>
      <c r="H298" s="24"/>
      <c r="I298" s="25">
        <f>'3. BDI'!$C$19</f>
        <v>0.24666704095238123</v>
      </c>
      <c r="J298" s="24">
        <f t="shared" si="522"/>
        <v>97.65</v>
      </c>
      <c r="K298" s="24">
        <f t="shared" si="523"/>
        <v>0</v>
      </c>
      <c r="L298" s="24">
        <f t="shared" si="524"/>
        <v>795.84750000000008</v>
      </c>
      <c r="M298" s="24">
        <f t="shared" si="525"/>
        <v>0</v>
      </c>
      <c r="N298" s="24">
        <f t="shared" si="526"/>
        <v>795.84750000000008</v>
      </c>
      <c r="P298" s="24">
        <f>78.65/2</f>
        <v>39.325000000000003</v>
      </c>
      <c r="Q298" s="24">
        <f t="shared" si="527"/>
        <v>320.49</v>
      </c>
      <c r="R298" s="24">
        <f t="shared" si="492"/>
        <v>399.54</v>
      </c>
      <c r="S298" s="24">
        <f t="shared" si="493"/>
        <v>396.30750000000006</v>
      </c>
    </row>
    <row r="299" spans="1:19">
      <c r="A299" s="9" t="s">
        <v>23078</v>
      </c>
      <c r="B299" s="10" t="s">
        <v>9016</v>
      </c>
      <c r="C299" s="10">
        <v>605500</v>
      </c>
      <c r="D299" s="43" t="str">
        <f>VLOOKUP(C299,'13. CUSTOS DER - SERVIÇOS'!A:B,2,0)</f>
        <v>CONCRETO FCK = 20 MPA, PREPARO EM BETONEIRA E LANÇ.</v>
      </c>
      <c r="E299" s="11">
        <v>1.18</v>
      </c>
      <c r="F299" s="26" t="str">
        <f>VLOOKUP(C299,'13. CUSTOS DER - SERVIÇOS'!A:C,3,0)</f>
        <v>M3</v>
      </c>
      <c r="G299" s="24">
        <f>VLOOKUP(C299,'13. CUSTOS DER - SERVIÇOS'!A:G,7,0)</f>
        <v>532.64</v>
      </c>
      <c r="H299" s="24">
        <f>VLOOKUP(C299,'10. CCU TRANSPORTE'!B:J,9,0)</f>
        <v>61.030000000000008</v>
      </c>
      <c r="I299" s="25">
        <f>'3. BDI'!$C$19</f>
        <v>0.24666704095238123</v>
      </c>
      <c r="J299" s="24">
        <f t="shared" si="522"/>
        <v>664.02</v>
      </c>
      <c r="K299" s="24">
        <f t="shared" si="523"/>
        <v>76.08</v>
      </c>
      <c r="L299" s="24">
        <f t="shared" si="524"/>
        <v>783.54359999999997</v>
      </c>
      <c r="M299" s="24">
        <f t="shared" si="525"/>
        <v>89.7744</v>
      </c>
      <c r="N299" s="24">
        <f t="shared" si="526"/>
        <v>873.31799999999998</v>
      </c>
      <c r="P299" s="24">
        <f>498.36/2.5</f>
        <v>199.34399999999999</v>
      </c>
      <c r="Q299" s="24">
        <f t="shared" si="527"/>
        <v>235.22</v>
      </c>
      <c r="R299" s="24">
        <f t="shared" si="492"/>
        <v>293.24</v>
      </c>
      <c r="S299" s="24">
        <f t="shared" si="493"/>
        <v>580.07799999999997</v>
      </c>
    </row>
    <row r="300" spans="1:19">
      <c r="A300" s="338"/>
      <c r="B300" s="44"/>
      <c r="C300" s="167"/>
      <c r="D300" s="341" t="s">
        <v>22818</v>
      </c>
      <c r="E300" s="336"/>
      <c r="F300" s="167"/>
      <c r="G300" s="339"/>
      <c r="H300" s="339"/>
      <c r="I300" s="340"/>
      <c r="J300" s="339"/>
      <c r="K300" s="339"/>
      <c r="L300" s="339"/>
      <c r="M300" s="339"/>
      <c r="N300" s="339"/>
      <c r="P300" s="339"/>
      <c r="Q300" s="339"/>
      <c r="R300" s="24">
        <f t="shared" si="492"/>
        <v>0</v>
      </c>
      <c r="S300" s="24">
        <f t="shared" si="493"/>
        <v>0</v>
      </c>
    </row>
    <row r="301" spans="1:19">
      <c r="A301" s="9" t="s">
        <v>23079</v>
      </c>
      <c r="B301" s="10" t="s">
        <v>9016</v>
      </c>
      <c r="C301" s="10">
        <v>600000</v>
      </c>
      <c r="D301" s="43" t="str">
        <f>VLOOKUP(C301,'13. CUSTOS DER - SERVIÇOS'!A:B,2,0)</f>
        <v>ESCAVAÇÃO MANUAL DE VALA 1A. CAT.</v>
      </c>
      <c r="E301" s="11">
        <v>26.5</v>
      </c>
      <c r="F301" s="26" t="str">
        <f>VLOOKUP(C301,'13. CUSTOS DER - SERVIÇOS'!A:C,3,0)</f>
        <v>M3</v>
      </c>
      <c r="G301" s="24">
        <f>VLOOKUP(C301,'13. CUSTOS DER - SERVIÇOS'!A:G,7,0)</f>
        <v>49.54</v>
      </c>
      <c r="H301" s="24">
        <v>0</v>
      </c>
      <c r="I301" s="25">
        <f>'3. BDI'!$C$19</f>
        <v>0.24666704095238123</v>
      </c>
      <c r="J301" s="24">
        <f t="shared" ref="J301" si="528">TRUNC(G301+(G301*I301),2)</f>
        <v>61.75</v>
      </c>
      <c r="K301" s="24">
        <f t="shared" ref="K301" si="529">TRUNC(H301+(H301*I301),2)</f>
        <v>0</v>
      </c>
      <c r="L301" s="24">
        <f t="shared" ref="L301" si="530">J301*E301</f>
        <v>1636.375</v>
      </c>
      <c r="M301" s="24">
        <f t="shared" ref="M301" si="531">K301*E301</f>
        <v>0</v>
      </c>
      <c r="N301" s="24">
        <f t="shared" ref="N301" si="532">L301+M301</f>
        <v>1636.375</v>
      </c>
      <c r="P301" s="24">
        <f>47.19/1</f>
        <v>47.19</v>
      </c>
      <c r="Q301" s="24">
        <f>TRUNC(P301*E301,2)</f>
        <v>1250.53</v>
      </c>
      <c r="R301" s="24">
        <f t="shared" si="492"/>
        <v>1558.99</v>
      </c>
      <c r="S301" s="24">
        <f t="shared" si="493"/>
        <v>77.384999999999991</v>
      </c>
    </row>
    <row r="302" spans="1:19" ht="31.5">
      <c r="A302" s="9" t="s">
        <v>23080</v>
      </c>
      <c r="B302" s="10" t="s">
        <v>22708</v>
      </c>
      <c r="C302" s="10">
        <v>1506055</v>
      </c>
      <c r="D302" s="43" t="str">
        <f>UPPER(VLOOKUP(C302,'18. CUSTOS DNIT - SERVIÇOS'!A:B,2,0))</f>
        <v>PEDRA ARGAMASSADA COM CIMENTO E AREIA 1:3 - AREIA E PEDRA DE MÃO COMERCIAL - FORNECIMENTO E ASSENTAMENTO</v>
      </c>
      <c r="E302" s="11">
        <v>18.5</v>
      </c>
      <c r="F302" s="26" t="str">
        <f>UPPER(VLOOKUP(C302,'18. CUSTOS DNIT - SERVIÇOS'!A:C,3,0))</f>
        <v>M³</v>
      </c>
      <c r="G302" s="24">
        <f>VLOOKUP(C302,'18. CUSTOS DNIT - SERVIÇOS'!A:D,4,0)</f>
        <v>399.01</v>
      </c>
      <c r="H302" s="24"/>
      <c r="I302" s="25">
        <f>'3. BDI'!$C$19</f>
        <v>0.24666704095238123</v>
      </c>
      <c r="J302" s="24">
        <f>TRUNC(G302+(G302*I302),2)</f>
        <v>497.43</v>
      </c>
      <c r="K302" s="24">
        <f>TRUNC(H302+(H302*I302),2)</f>
        <v>0</v>
      </c>
      <c r="L302" s="24">
        <f>J302*E302</f>
        <v>9202.4549999999999</v>
      </c>
      <c r="M302" s="24">
        <f>K302*E302</f>
        <v>0</v>
      </c>
      <c r="N302" s="24">
        <f>L302+M302</f>
        <v>9202.4549999999999</v>
      </c>
      <c r="P302" s="24">
        <f>133.9364/1</f>
        <v>133.93639999999999</v>
      </c>
      <c r="Q302" s="24">
        <f>TRUNC((P302*E302),2)</f>
        <v>2477.8200000000002</v>
      </c>
      <c r="R302" s="24">
        <f t="shared" si="492"/>
        <v>3089.01</v>
      </c>
      <c r="S302" s="24">
        <f t="shared" si="493"/>
        <v>6113.4449999999997</v>
      </c>
    </row>
    <row r="303" spans="1:19">
      <c r="A303" s="9" t="s">
        <v>23081</v>
      </c>
      <c r="B303" s="10" t="s">
        <v>9016</v>
      </c>
      <c r="C303" s="10">
        <v>601100</v>
      </c>
      <c r="D303" s="43" t="str">
        <f>VLOOKUP(C303,'13. CUSTOS DER - SERVIÇOS'!A:B,2,0)</f>
        <v>APILOAMENTO MANUAL</v>
      </c>
      <c r="E303" s="11">
        <v>2.5</v>
      </c>
      <c r="F303" s="26" t="str">
        <f>VLOOKUP(C303,'13. CUSTOS DER - SERVIÇOS'!A:C,3,0)</f>
        <v>M3</v>
      </c>
      <c r="G303" s="24">
        <f>VLOOKUP(C303,'13. CUSTOS DER - SERVIÇOS'!A:G,7,0)</f>
        <v>54.05</v>
      </c>
      <c r="H303" s="24"/>
      <c r="I303" s="25">
        <f>'3. BDI'!$C$19</f>
        <v>0.24666704095238123</v>
      </c>
      <c r="J303" s="24">
        <f t="shared" ref="J303:J305" si="533">TRUNC(G303+(G303*I303),2)</f>
        <v>67.38</v>
      </c>
      <c r="K303" s="24">
        <f t="shared" ref="K303:K305" si="534">TRUNC(H303+(H303*I303),2)</f>
        <v>0</v>
      </c>
      <c r="L303" s="24">
        <f t="shared" ref="L303:L305" si="535">J303*E303</f>
        <v>168.45</v>
      </c>
      <c r="M303" s="24">
        <f t="shared" ref="M303:M305" si="536">K303*E303</f>
        <v>0</v>
      </c>
      <c r="N303" s="24">
        <f t="shared" ref="N303:N305" si="537">L303+M303</f>
        <v>168.45</v>
      </c>
      <c r="P303" s="24">
        <f>51.48/1</f>
        <v>51.48</v>
      </c>
      <c r="Q303" s="24">
        <f t="shared" ref="Q303:Q305" si="538">TRUNC(P303*E303,2)</f>
        <v>128.69999999999999</v>
      </c>
      <c r="R303" s="24">
        <f t="shared" si="492"/>
        <v>160.44</v>
      </c>
      <c r="S303" s="24">
        <f t="shared" si="493"/>
        <v>8.0099999999999909</v>
      </c>
    </row>
    <row r="304" spans="1:19">
      <c r="A304" s="9" t="s">
        <v>23082</v>
      </c>
      <c r="B304" s="10" t="s">
        <v>9016</v>
      </c>
      <c r="C304" s="10">
        <v>602100</v>
      </c>
      <c r="D304" s="43" t="str">
        <f>VLOOKUP(C304,'13. CUSTOS DER - SERVIÇOS'!A:B,2,0)</f>
        <v>FORMAS DE MADEIRA COMPENSADA  RESINADA</v>
      </c>
      <c r="E304" s="11">
        <v>70.25</v>
      </c>
      <c r="F304" s="26" t="str">
        <f>VLOOKUP(C304,'13. CUSTOS DER - SERVIÇOS'!A:C,3,0)</f>
        <v>M2</v>
      </c>
      <c r="G304" s="24">
        <f>VLOOKUP(C304,'13. CUSTOS DER - SERVIÇOS'!A:G,7,0)</f>
        <v>78.33</v>
      </c>
      <c r="H304" s="24"/>
      <c r="I304" s="25">
        <f>'3. BDI'!$C$19</f>
        <v>0.24666704095238123</v>
      </c>
      <c r="J304" s="24">
        <f t="shared" si="533"/>
        <v>97.65</v>
      </c>
      <c r="K304" s="24">
        <f t="shared" si="534"/>
        <v>0</v>
      </c>
      <c r="L304" s="24">
        <f t="shared" si="535"/>
        <v>6859.9125000000004</v>
      </c>
      <c r="M304" s="24">
        <f t="shared" si="536"/>
        <v>0</v>
      </c>
      <c r="N304" s="24">
        <f t="shared" si="537"/>
        <v>6859.9125000000004</v>
      </c>
      <c r="P304" s="24">
        <f>78.65/2</f>
        <v>39.325000000000003</v>
      </c>
      <c r="Q304" s="24">
        <f t="shared" si="538"/>
        <v>2762.58</v>
      </c>
      <c r="R304" s="24">
        <f t="shared" si="492"/>
        <v>3444.01</v>
      </c>
      <c r="S304" s="24">
        <f t="shared" si="493"/>
        <v>3415.9025000000001</v>
      </c>
    </row>
    <row r="305" spans="1:19">
      <c r="A305" s="9" t="s">
        <v>23083</v>
      </c>
      <c r="B305" s="10" t="s">
        <v>9016</v>
      </c>
      <c r="C305" s="10">
        <v>605500</v>
      </c>
      <c r="D305" s="43" t="str">
        <f>VLOOKUP(C305,'13. CUSTOS DER - SERVIÇOS'!A:B,2,0)</f>
        <v>CONCRETO FCK = 20 MPA, PREPARO EM BETONEIRA E LANÇ.</v>
      </c>
      <c r="E305" s="11">
        <v>13.31</v>
      </c>
      <c r="F305" s="26" t="str">
        <f>VLOOKUP(C305,'13. CUSTOS DER - SERVIÇOS'!A:C,3,0)</f>
        <v>M3</v>
      </c>
      <c r="G305" s="24">
        <f>VLOOKUP(C305,'13. CUSTOS DER - SERVIÇOS'!A:G,7,0)</f>
        <v>532.64</v>
      </c>
      <c r="H305" s="24">
        <f>VLOOKUP(C305,'10. CCU TRANSPORTE'!B:J,9,0)</f>
        <v>61.030000000000008</v>
      </c>
      <c r="I305" s="25">
        <f>'3. BDI'!$C$19</f>
        <v>0.24666704095238123</v>
      </c>
      <c r="J305" s="24">
        <f t="shared" si="533"/>
        <v>664.02</v>
      </c>
      <c r="K305" s="24">
        <f t="shared" si="534"/>
        <v>76.08</v>
      </c>
      <c r="L305" s="24">
        <f t="shared" si="535"/>
        <v>8838.1062000000002</v>
      </c>
      <c r="M305" s="24">
        <f t="shared" si="536"/>
        <v>1012.6248000000001</v>
      </c>
      <c r="N305" s="24">
        <f t="shared" si="537"/>
        <v>9850.7309999999998</v>
      </c>
      <c r="P305" s="24">
        <f>498.36/2.5</f>
        <v>199.34399999999999</v>
      </c>
      <c r="Q305" s="24">
        <f t="shared" si="538"/>
        <v>2653.26</v>
      </c>
      <c r="R305" s="24">
        <f t="shared" si="492"/>
        <v>3307.73</v>
      </c>
      <c r="S305" s="24">
        <f t="shared" si="493"/>
        <v>6543.0010000000002</v>
      </c>
    </row>
    <row r="306" spans="1:19">
      <c r="A306" s="338"/>
      <c r="B306" s="44"/>
      <c r="C306" s="167"/>
      <c r="D306" s="341" t="s">
        <v>22819</v>
      </c>
      <c r="E306" s="336"/>
      <c r="F306" s="167"/>
      <c r="G306" s="339"/>
      <c r="H306" s="339"/>
      <c r="I306" s="340"/>
      <c r="J306" s="339"/>
      <c r="K306" s="339"/>
      <c r="L306" s="339"/>
      <c r="M306" s="339"/>
      <c r="N306" s="339"/>
      <c r="P306" s="339"/>
      <c r="Q306" s="339"/>
      <c r="R306" s="24">
        <f t="shared" si="492"/>
        <v>0</v>
      </c>
      <c r="S306" s="24">
        <f t="shared" si="493"/>
        <v>0</v>
      </c>
    </row>
    <row r="307" spans="1:19">
      <c r="A307" s="9" t="s">
        <v>23084</v>
      </c>
      <c r="B307" s="10" t="s">
        <v>9016</v>
      </c>
      <c r="C307" s="10">
        <v>600000</v>
      </c>
      <c r="D307" s="43" t="str">
        <f>VLOOKUP(C307,'13. CUSTOS DER - SERVIÇOS'!A:B,2,0)</f>
        <v>ESCAVAÇÃO MANUAL DE VALA 1A. CAT.</v>
      </c>
      <c r="E307" s="11">
        <v>7.38</v>
      </c>
      <c r="F307" s="26" t="str">
        <f>VLOOKUP(C307,'13. CUSTOS DER - SERVIÇOS'!A:C,3,0)</f>
        <v>M3</v>
      </c>
      <c r="G307" s="24">
        <f>VLOOKUP(C307,'13. CUSTOS DER - SERVIÇOS'!A:G,7,0)</f>
        <v>49.54</v>
      </c>
      <c r="H307" s="24">
        <v>0</v>
      </c>
      <c r="I307" s="25">
        <f>'3. BDI'!$C$19</f>
        <v>0.24666704095238123</v>
      </c>
      <c r="J307" s="24">
        <f t="shared" ref="J307" si="539">TRUNC(G307+(G307*I307),2)</f>
        <v>61.75</v>
      </c>
      <c r="K307" s="24">
        <f t="shared" ref="K307" si="540">TRUNC(H307+(H307*I307),2)</f>
        <v>0</v>
      </c>
      <c r="L307" s="24">
        <f t="shared" ref="L307" si="541">J307*E307</f>
        <v>455.71499999999997</v>
      </c>
      <c r="M307" s="24">
        <f t="shared" ref="M307" si="542">K307*E307</f>
        <v>0</v>
      </c>
      <c r="N307" s="24">
        <f t="shared" ref="N307" si="543">L307+M307</f>
        <v>455.71499999999997</v>
      </c>
      <c r="P307" s="24">
        <f>47.19/1</f>
        <v>47.19</v>
      </c>
      <c r="Q307" s="24">
        <f>TRUNC(P307*E307,2)</f>
        <v>348.26</v>
      </c>
      <c r="R307" s="24">
        <f t="shared" si="492"/>
        <v>434.16</v>
      </c>
      <c r="S307" s="24">
        <f t="shared" si="493"/>
        <v>21.55499999999995</v>
      </c>
    </row>
    <row r="308" spans="1:19" ht="31.5">
      <c r="A308" s="9" t="s">
        <v>23085</v>
      </c>
      <c r="B308" s="10" t="s">
        <v>22708</v>
      </c>
      <c r="C308" s="10">
        <v>1506055</v>
      </c>
      <c r="D308" s="43" t="str">
        <f>UPPER(VLOOKUP(C308,'18. CUSTOS DNIT - SERVIÇOS'!A:B,2,0))</f>
        <v>PEDRA ARGAMASSADA COM CIMENTO E AREIA 1:3 - AREIA E PEDRA DE MÃO COMERCIAL - FORNECIMENTO E ASSENTAMENTO</v>
      </c>
      <c r="E308" s="11">
        <v>5.36</v>
      </c>
      <c r="F308" s="26" t="str">
        <f>UPPER(VLOOKUP(C308,'18. CUSTOS DNIT - SERVIÇOS'!A:C,3,0))</f>
        <v>M³</v>
      </c>
      <c r="G308" s="24">
        <f>VLOOKUP(C308,'18. CUSTOS DNIT - SERVIÇOS'!A:D,4,0)</f>
        <v>399.01</v>
      </c>
      <c r="H308" s="24"/>
      <c r="I308" s="25">
        <f>'3. BDI'!$C$19</f>
        <v>0.24666704095238123</v>
      </c>
      <c r="J308" s="24">
        <f>TRUNC(G308+(G308*I308),2)</f>
        <v>497.43</v>
      </c>
      <c r="K308" s="24">
        <f>TRUNC(H308+(H308*I308),2)</f>
        <v>0</v>
      </c>
      <c r="L308" s="24">
        <f>J308*E308</f>
        <v>2666.2248000000004</v>
      </c>
      <c r="M308" s="24">
        <f>K308*E308</f>
        <v>0</v>
      </c>
      <c r="N308" s="24">
        <f>L308+M308</f>
        <v>2666.2248000000004</v>
      </c>
      <c r="P308" s="24">
        <f>133.9364/1</f>
        <v>133.93639999999999</v>
      </c>
      <c r="Q308" s="24">
        <f>TRUNC((P308*E308),2)</f>
        <v>717.89</v>
      </c>
      <c r="R308" s="24">
        <f t="shared" si="492"/>
        <v>894.96</v>
      </c>
      <c r="S308" s="24">
        <f t="shared" si="493"/>
        <v>1771.2648000000004</v>
      </c>
    </row>
    <row r="309" spans="1:19">
      <c r="A309" s="9" t="s">
        <v>23086</v>
      </c>
      <c r="B309" s="10" t="s">
        <v>9016</v>
      </c>
      <c r="C309" s="10">
        <v>601100</v>
      </c>
      <c r="D309" s="43" t="str">
        <f>VLOOKUP(C309,'13. CUSTOS DER - SERVIÇOS'!A:B,2,0)</f>
        <v>APILOAMENTO MANUAL</v>
      </c>
      <c r="E309" s="11">
        <v>0.5</v>
      </c>
      <c r="F309" s="26" t="str">
        <f>VLOOKUP(C309,'13. CUSTOS DER - SERVIÇOS'!A:C,3,0)</f>
        <v>M3</v>
      </c>
      <c r="G309" s="24">
        <f>VLOOKUP(C309,'13. CUSTOS DER - SERVIÇOS'!A:G,7,0)</f>
        <v>54.05</v>
      </c>
      <c r="H309" s="24"/>
      <c r="I309" s="25">
        <f>'3. BDI'!$C$19</f>
        <v>0.24666704095238123</v>
      </c>
      <c r="J309" s="24">
        <f t="shared" ref="J309:J311" si="544">TRUNC(G309+(G309*I309),2)</f>
        <v>67.38</v>
      </c>
      <c r="K309" s="24">
        <f t="shared" ref="K309:K311" si="545">TRUNC(H309+(H309*I309),2)</f>
        <v>0</v>
      </c>
      <c r="L309" s="24">
        <f t="shared" ref="L309:L311" si="546">J309*E309</f>
        <v>33.69</v>
      </c>
      <c r="M309" s="24">
        <f t="shared" ref="M309:M311" si="547">K309*E309</f>
        <v>0</v>
      </c>
      <c r="N309" s="24">
        <f t="shared" ref="N309:N311" si="548">L309+M309</f>
        <v>33.69</v>
      </c>
      <c r="P309" s="24">
        <f>51.48/1</f>
        <v>51.48</v>
      </c>
      <c r="Q309" s="24">
        <f t="shared" ref="Q309:Q311" si="549">TRUNC(P309*E309,2)</f>
        <v>25.74</v>
      </c>
      <c r="R309" s="24">
        <f t="shared" si="492"/>
        <v>32.08</v>
      </c>
      <c r="S309" s="24">
        <f t="shared" si="493"/>
        <v>1.6099999999999994</v>
      </c>
    </row>
    <row r="310" spans="1:19">
      <c r="A310" s="9" t="s">
        <v>23087</v>
      </c>
      <c r="B310" s="10" t="s">
        <v>9016</v>
      </c>
      <c r="C310" s="10">
        <v>602100</v>
      </c>
      <c r="D310" s="43" t="str">
        <f>VLOOKUP(C310,'13. CUSTOS DER - SERVIÇOS'!A:B,2,0)</f>
        <v>FORMAS DE MADEIRA COMPENSADA  RESINADA</v>
      </c>
      <c r="E310" s="11">
        <v>17.149999999999999</v>
      </c>
      <c r="F310" s="26" t="str">
        <f>VLOOKUP(C310,'13. CUSTOS DER - SERVIÇOS'!A:C,3,0)</f>
        <v>M2</v>
      </c>
      <c r="G310" s="24">
        <f>VLOOKUP(C310,'13. CUSTOS DER - SERVIÇOS'!A:G,7,0)</f>
        <v>78.33</v>
      </c>
      <c r="H310" s="24"/>
      <c r="I310" s="25">
        <f>'3. BDI'!$C$19</f>
        <v>0.24666704095238123</v>
      </c>
      <c r="J310" s="24">
        <f t="shared" si="544"/>
        <v>97.65</v>
      </c>
      <c r="K310" s="24">
        <f t="shared" si="545"/>
        <v>0</v>
      </c>
      <c r="L310" s="24">
        <f t="shared" si="546"/>
        <v>1674.6975</v>
      </c>
      <c r="M310" s="24">
        <f t="shared" si="547"/>
        <v>0</v>
      </c>
      <c r="N310" s="24">
        <f t="shared" si="548"/>
        <v>1674.6975</v>
      </c>
      <c r="P310" s="24">
        <f>78.65/2</f>
        <v>39.325000000000003</v>
      </c>
      <c r="Q310" s="24">
        <f t="shared" si="549"/>
        <v>674.42</v>
      </c>
      <c r="R310" s="24">
        <f t="shared" si="492"/>
        <v>840.77</v>
      </c>
      <c r="S310" s="24">
        <f t="shared" si="493"/>
        <v>833.92750000000001</v>
      </c>
    </row>
    <row r="311" spans="1:19">
      <c r="A311" s="9" t="s">
        <v>23088</v>
      </c>
      <c r="B311" s="10" t="s">
        <v>9016</v>
      </c>
      <c r="C311" s="10">
        <v>605500</v>
      </c>
      <c r="D311" s="43" t="str">
        <f>VLOOKUP(C311,'13. CUSTOS DER - SERVIÇOS'!A:B,2,0)</f>
        <v>CONCRETO FCK = 20 MPA, PREPARO EM BETONEIRA E LANÇ.</v>
      </c>
      <c r="E311" s="11">
        <v>3.66</v>
      </c>
      <c r="F311" s="26" t="str">
        <f>VLOOKUP(C311,'13. CUSTOS DER - SERVIÇOS'!A:C,3,0)</f>
        <v>M3</v>
      </c>
      <c r="G311" s="24">
        <f>VLOOKUP(C311,'13. CUSTOS DER - SERVIÇOS'!A:G,7,0)</f>
        <v>532.64</v>
      </c>
      <c r="H311" s="24">
        <f>VLOOKUP(C311,'10. CCU TRANSPORTE'!B:J,9,0)</f>
        <v>61.030000000000008</v>
      </c>
      <c r="I311" s="25">
        <f>'3. BDI'!$C$19</f>
        <v>0.24666704095238123</v>
      </c>
      <c r="J311" s="24">
        <f t="shared" si="544"/>
        <v>664.02</v>
      </c>
      <c r="K311" s="24">
        <f t="shared" si="545"/>
        <v>76.08</v>
      </c>
      <c r="L311" s="24">
        <f t="shared" si="546"/>
        <v>2430.3132000000001</v>
      </c>
      <c r="M311" s="24">
        <f t="shared" si="547"/>
        <v>278.45280000000002</v>
      </c>
      <c r="N311" s="24">
        <f t="shared" si="548"/>
        <v>2708.7660000000001</v>
      </c>
      <c r="P311" s="24">
        <f>498.36/2.5</f>
        <v>199.34399999999999</v>
      </c>
      <c r="Q311" s="24">
        <f t="shared" si="549"/>
        <v>729.59</v>
      </c>
      <c r="R311" s="24">
        <f t="shared" si="492"/>
        <v>909.55</v>
      </c>
      <c r="S311" s="24">
        <f t="shared" si="493"/>
        <v>1799.2160000000001</v>
      </c>
    </row>
    <row r="312" spans="1:19">
      <c r="A312" s="338"/>
      <c r="B312" s="44"/>
      <c r="C312" s="167"/>
      <c r="D312" s="341" t="s">
        <v>23589</v>
      </c>
      <c r="E312" s="336"/>
      <c r="F312" s="167"/>
      <c r="G312" s="339"/>
      <c r="H312" s="339"/>
      <c r="I312" s="340"/>
      <c r="J312" s="339"/>
      <c r="K312" s="339"/>
      <c r="L312" s="339"/>
      <c r="M312" s="339"/>
      <c r="N312" s="339"/>
      <c r="P312" s="339"/>
      <c r="Q312" s="339"/>
      <c r="R312" s="24">
        <f t="shared" si="492"/>
        <v>0</v>
      </c>
      <c r="S312" s="24">
        <f t="shared" si="493"/>
        <v>0</v>
      </c>
    </row>
    <row r="313" spans="1:19">
      <c r="A313" s="9" t="s">
        <v>23089</v>
      </c>
      <c r="B313" s="10" t="s">
        <v>9016</v>
      </c>
      <c r="C313" s="10">
        <v>600000</v>
      </c>
      <c r="D313" s="43" t="str">
        <f>VLOOKUP(C313,'13. CUSTOS DER - SERVIÇOS'!A:B,2,0)</f>
        <v>ESCAVAÇÃO MANUAL DE VALA 1A. CAT.</v>
      </c>
      <c r="E313" s="11">
        <v>0.78</v>
      </c>
      <c r="F313" s="26" t="str">
        <f>VLOOKUP(C313,'13. CUSTOS DER - SERVIÇOS'!A:C,3,0)</f>
        <v>M3</v>
      </c>
      <c r="G313" s="24">
        <f>VLOOKUP(C313,'13. CUSTOS DER - SERVIÇOS'!A:G,7,0)</f>
        <v>49.54</v>
      </c>
      <c r="H313" s="24">
        <v>0</v>
      </c>
      <c r="I313" s="25">
        <f>'3. BDI'!$C$19</f>
        <v>0.24666704095238123</v>
      </c>
      <c r="J313" s="24">
        <f t="shared" ref="J313" si="550">TRUNC(G313+(G313*I313),2)</f>
        <v>61.75</v>
      </c>
      <c r="K313" s="24">
        <f t="shared" ref="K313" si="551">TRUNC(H313+(H313*I313),2)</f>
        <v>0</v>
      </c>
      <c r="L313" s="24">
        <f t="shared" ref="L313" si="552">J313*E313</f>
        <v>48.164999999999999</v>
      </c>
      <c r="M313" s="24">
        <f t="shared" ref="M313" si="553">K313*E313</f>
        <v>0</v>
      </c>
      <c r="N313" s="24">
        <f t="shared" ref="N313" si="554">L313+M313</f>
        <v>48.164999999999999</v>
      </c>
      <c r="P313" s="24">
        <f>47.19/1</f>
        <v>47.19</v>
      </c>
      <c r="Q313" s="24">
        <f>TRUNC(P313*E313,2)</f>
        <v>36.799999999999997</v>
      </c>
      <c r="R313" s="24">
        <f t="shared" si="492"/>
        <v>45.87</v>
      </c>
      <c r="S313" s="24">
        <f t="shared" si="493"/>
        <v>2.2950000000000017</v>
      </c>
    </row>
    <row r="314" spans="1:19" ht="31.5">
      <c r="A314" s="9" t="s">
        <v>23090</v>
      </c>
      <c r="B314" s="10" t="s">
        <v>22708</v>
      </c>
      <c r="C314" s="10">
        <v>1506055</v>
      </c>
      <c r="D314" s="43" t="str">
        <f>UPPER(VLOOKUP(C314,'18. CUSTOS DNIT - SERVIÇOS'!A:B,2,0))</f>
        <v>PEDRA ARGAMASSADA COM CIMENTO E AREIA 1:3 - AREIA E PEDRA DE MÃO COMERCIAL - FORNECIMENTO E ASSENTAMENTO</v>
      </c>
      <c r="E314" s="11">
        <v>0.39</v>
      </c>
      <c r="F314" s="26" t="str">
        <f>UPPER(VLOOKUP(C314,'18. CUSTOS DNIT - SERVIÇOS'!A:C,3,0))</f>
        <v>M³</v>
      </c>
      <c r="G314" s="24">
        <f>VLOOKUP(C314,'18. CUSTOS DNIT - SERVIÇOS'!A:D,4,0)</f>
        <v>399.01</v>
      </c>
      <c r="H314" s="24"/>
      <c r="I314" s="25">
        <f>'3. BDI'!$C$19</f>
        <v>0.24666704095238123</v>
      </c>
      <c r="J314" s="24">
        <f>TRUNC(G314+(G314*I314),2)</f>
        <v>497.43</v>
      </c>
      <c r="K314" s="24">
        <f>TRUNC(H314+(H314*I314),2)</f>
        <v>0</v>
      </c>
      <c r="L314" s="24">
        <f>J314*E314</f>
        <v>193.99770000000001</v>
      </c>
      <c r="M314" s="24">
        <f>K314*E314</f>
        <v>0</v>
      </c>
      <c r="N314" s="24">
        <f>L314+M314</f>
        <v>193.99770000000001</v>
      </c>
      <c r="P314" s="24">
        <f>133.9364/1</f>
        <v>133.93639999999999</v>
      </c>
      <c r="Q314" s="24">
        <f>TRUNC((P314*E314),2)</f>
        <v>52.23</v>
      </c>
      <c r="R314" s="24">
        <f t="shared" si="492"/>
        <v>65.11</v>
      </c>
      <c r="S314" s="24">
        <f t="shared" si="493"/>
        <v>128.8877</v>
      </c>
    </row>
    <row r="315" spans="1:19">
      <c r="A315" s="9" t="s">
        <v>23091</v>
      </c>
      <c r="B315" s="10" t="s">
        <v>9016</v>
      </c>
      <c r="C315" s="10">
        <v>601100</v>
      </c>
      <c r="D315" s="43" t="str">
        <f>VLOOKUP(C315,'13. CUSTOS DER - SERVIÇOS'!A:B,2,0)</f>
        <v>APILOAMENTO MANUAL</v>
      </c>
      <c r="E315" s="11">
        <v>0.14000000000000001</v>
      </c>
      <c r="F315" s="26" t="str">
        <f>VLOOKUP(C315,'13. CUSTOS DER - SERVIÇOS'!A:C,3,0)</f>
        <v>M3</v>
      </c>
      <c r="G315" s="24">
        <f>VLOOKUP(C315,'13. CUSTOS DER - SERVIÇOS'!A:G,7,0)</f>
        <v>54.05</v>
      </c>
      <c r="H315" s="24"/>
      <c r="I315" s="25">
        <f>'3. BDI'!$C$19</f>
        <v>0.24666704095238123</v>
      </c>
      <c r="J315" s="24">
        <f t="shared" ref="J315:J317" si="555">TRUNC(G315+(G315*I315),2)</f>
        <v>67.38</v>
      </c>
      <c r="K315" s="24">
        <f t="shared" ref="K315:K317" si="556">TRUNC(H315+(H315*I315),2)</f>
        <v>0</v>
      </c>
      <c r="L315" s="24">
        <f t="shared" ref="L315:L317" si="557">J315*E315</f>
        <v>9.4332000000000011</v>
      </c>
      <c r="M315" s="24">
        <f t="shared" ref="M315:M317" si="558">K315*E315</f>
        <v>0</v>
      </c>
      <c r="N315" s="24">
        <f t="shared" ref="N315:N317" si="559">L315+M315</f>
        <v>9.4332000000000011</v>
      </c>
      <c r="P315" s="24">
        <f>51.48/1</f>
        <v>51.48</v>
      </c>
      <c r="Q315" s="24">
        <f t="shared" ref="Q315:Q317" si="560">TRUNC(P315*E315,2)</f>
        <v>7.2</v>
      </c>
      <c r="R315" s="24">
        <f t="shared" si="492"/>
        <v>8.9700000000000006</v>
      </c>
      <c r="S315" s="24">
        <f t="shared" si="493"/>
        <v>0.4632000000000005</v>
      </c>
    </row>
    <row r="316" spans="1:19">
      <c r="A316" s="9" t="s">
        <v>23092</v>
      </c>
      <c r="B316" s="10" t="s">
        <v>9016</v>
      </c>
      <c r="C316" s="10">
        <v>602100</v>
      </c>
      <c r="D316" s="43" t="str">
        <f>VLOOKUP(C316,'13. CUSTOS DER - SERVIÇOS'!A:B,2,0)</f>
        <v>FORMAS DE MADEIRA COMPENSADA  RESINADA</v>
      </c>
      <c r="E316" s="11">
        <v>5</v>
      </c>
      <c r="F316" s="26" t="str">
        <f>VLOOKUP(C316,'13. CUSTOS DER - SERVIÇOS'!A:C,3,0)</f>
        <v>M2</v>
      </c>
      <c r="G316" s="24">
        <f>VLOOKUP(C316,'13. CUSTOS DER - SERVIÇOS'!A:G,7,0)</f>
        <v>78.33</v>
      </c>
      <c r="H316" s="24"/>
      <c r="I316" s="25">
        <f>'3. BDI'!$C$19</f>
        <v>0.24666704095238123</v>
      </c>
      <c r="J316" s="24">
        <f t="shared" si="555"/>
        <v>97.65</v>
      </c>
      <c r="K316" s="24">
        <f t="shared" si="556"/>
        <v>0</v>
      </c>
      <c r="L316" s="24">
        <f t="shared" si="557"/>
        <v>488.25</v>
      </c>
      <c r="M316" s="24">
        <f t="shared" si="558"/>
        <v>0</v>
      </c>
      <c r="N316" s="24">
        <f t="shared" si="559"/>
        <v>488.25</v>
      </c>
      <c r="P316" s="24">
        <f>78.65/2</f>
        <v>39.325000000000003</v>
      </c>
      <c r="Q316" s="24">
        <f t="shared" si="560"/>
        <v>196.62</v>
      </c>
      <c r="R316" s="24">
        <f t="shared" si="492"/>
        <v>245.11</v>
      </c>
      <c r="S316" s="24">
        <f t="shared" si="493"/>
        <v>243.14</v>
      </c>
    </row>
    <row r="317" spans="1:19">
      <c r="A317" s="9" t="s">
        <v>23093</v>
      </c>
      <c r="B317" s="10" t="s">
        <v>9016</v>
      </c>
      <c r="C317" s="10">
        <v>605500</v>
      </c>
      <c r="D317" s="43" t="str">
        <f>VLOOKUP(C317,'13. CUSTOS DER - SERVIÇOS'!A:B,2,0)</f>
        <v>CONCRETO FCK = 20 MPA, PREPARO EM BETONEIRA E LANÇ.</v>
      </c>
      <c r="E317" s="11">
        <v>0.56999999999999995</v>
      </c>
      <c r="F317" s="26" t="str">
        <f>VLOOKUP(C317,'13. CUSTOS DER - SERVIÇOS'!A:C,3,0)</f>
        <v>M3</v>
      </c>
      <c r="G317" s="24">
        <f>VLOOKUP(C317,'13. CUSTOS DER - SERVIÇOS'!A:G,7,0)</f>
        <v>532.64</v>
      </c>
      <c r="H317" s="24">
        <f>VLOOKUP(C317,'10. CCU TRANSPORTE'!B:J,9,0)</f>
        <v>61.030000000000008</v>
      </c>
      <c r="I317" s="25">
        <f>'3. BDI'!$C$19</f>
        <v>0.24666704095238123</v>
      </c>
      <c r="J317" s="24">
        <f t="shared" si="555"/>
        <v>664.02</v>
      </c>
      <c r="K317" s="24">
        <f t="shared" si="556"/>
        <v>76.08</v>
      </c>
      <c r="L317" s="24">
        <f t="shared" si="557"/>
        <v>378.49139999999994</v>
      </c>
      <c r="M317" s="24">
        <f t="shared" si="558"/>
        <v>43.365599999999993</v>
      </c>
      <c r="N317" s="24">
        <f t="shared" si="559"/>
        <v>421.85699999999991</v>
      </c>
      <c r="P317" s="24">
        <f>498.36/2.5</f>
        <v>199.34399999999999</v>
      </c>
      <c r="Q317" s="24">
        <f t="shared" si="560"/>
        <v>113.62</v>
      </c>
      <c r="R317" s="24">
        <f t="shared" si="492"/>
        <v>141.63999999999999</v>
      </c>
      <c r="S317" s="24">
        <f t="shared" si="493"/>
        <v>280.21699999999993</v>
      </c>
    </row>
    <row r="318" spans="1:19">
      <c r="A318" s="338"/>
      <c r="B318" s="44"/>
      <c r="C318" s="167"/>
      <c r="D318" s="341" t="s">
        <v>22820</v>
      </c>
      <c r="E318" s="339"/>
      <c r="F318" s="167"/>
      <c r="G318" s="339"/>
      <c r="H318" s="339"/>
      <c r="I318" s="340"/>
      <c r="J318" s="339"/>
      <c r="K318" s="339"/>
      <c r="L318" s="339"/>
      <c r="M318" s="339"/>
      <c r="N318" s="339"/>
      <c r="P318" s="339"/>
      <c r="Q318" s="339"/>
      <c r="R318" s="24">
        <f t="shared" ref="R318:R349" si="561">TRUNC((Q318*I318+Q318),2)</f>
        <v>0</v>
      </c>
      <c r="S318" s="24">
        <f t="shared" ref="S318:S349" si="562">N318-R318</f>
        <v>0</v>
      </c>
    </row>
    <row r="319" spans="1:19">
      <c r="A319" s="9" t="s">
        <v>23094</v>
      </c>
      <c r="B319" s="10" t="s">
        <v>9016</v>
      </c>
      <c r="C319" s="10">
        <v>600000</v>
      </c>
      <c r="D319" s="43" t="str">
        <f>VLOOKUP(C319,'13. CUSTOS DER - SERVIÇOS'!A:B,2,0)</f>
        <v>ESCAVAÇÃO MANUAL DE VALA 1A. CAT.</v>
      </c>
      <c r="E319" s="11">
        <v>15</v>
      </c>
      <c r="F319" s="26" t="str">
        <f>VLOOKUP(C319,'13. CUSTOS DER - SERVIÇOS'!A:C,3,0)</f>
        <v>M3</v>
      </c>
      <c r="G319" s="24">
        <f>VLOOKUP(C319,'13. CUSTOS DER - SERVIÇOS'!A:G,7,0)</f>
        <v>49.54</v>
      </c>
      <c r="H319" s="24">
        <v>0</v>
      </c>
      <c r="I319" s="25">
        <f>'3. BDI'!$C$19</f>
        <v>0.24666704095238123</v>
      </c>
      <c r="J319" s="24">
        <f t="shared" ref="J319:J323" si="563">TRUNC(G319+(G319*I319),2)</f>
        <v>61.75</v>
      </c>
      <c r="K319" s="24">
        <f t="shared" ref="K319:K323" si="564">TRUNC(H319+(H319*I319),2)</f>
        <v>0</v>
      </c>
      <c r="L319" s="24">
        <f t="shared" ref="L319:L323" si="565">J319*E319</f>
        <v>926.25</v>
      </c>
      <c r="M319" s="24">
        <f t="shared" ref="M319:M323" si="566">K319*E319</f>
        <v>0</v>
      </c>
      <c r="N319" s="24">
        <f t="shared" ref="N319:N323" si="567">L319+M319</f>
        <v>926.25</v>
      </c>
      <c r="P319" s="24">
        <f>47.19/1</f>
        <v>47.19</v>
      </c>
      <c r="Q319" s="24">
        <f t="shared" ref="Q319:Q323" si="568">TRUNC(P319*E319,2)</f>
        <v>707.85</v>
      </c>
      <c r="R319" s="24">
        <f t="shared" si="561"/>
        <v>882.45</v>
      </c>
      <c r="S319" s="24">
        <f t="shared" si="562"/>
        <v>43.799999999999955</v>
      </c>
    </row>
    <row r="320" spans="1:19">
      <c r="A320" s="9" t="s">
        <v>23097</v>
      </c>
      <c r="B320" s="10" t="s">
        <v>9016</v>
      </c>
      <c r="C320" s="10">
        <v>601100</v>
      </c>
      <c r="D320" s="43" t="str">
        <f>VLOOKUP(C320,'13. CUSTOS DER - SERVIÇOS'!A:B,2,0)</f>
        <v>APILOAMENTO MANUAL</v>
      </c>
      <c r="E320" s="11">
        <v>5</v>
      </c>
      <c r="F320" s="26" t="str">
        <f>VLOOKUP(C320,'13. CUSTOS DER - SERVIÇOS'!A:C,3,0)</f>
        <v>M3</v>
      </c>
      <c r="G320" s="24">
        <f>VLOOKUP(C320,'13. CUSTOS DER - SERVIÇOS'!A:G,7,0)</f>
        <v>54.05</v>
      </c>
      <c r="H320" s="24"/>
      <c r="I320" s="25">
        <f>'3. BDI'!$C$19</f>
        <v>0.24666704095238123</v>
      </c>
      <c r="J320" s="24">
        <f t="shared" si="563"/>
        <v>67.38</v>
      </c>
      <c r="K320" s="24">
        <f t="shared" si="564"/>
        <v>0</v>
      </c>
      <c r="L320" s="24">
        <f t="shared" si="565"/>
        <v>336.9</v>
      </c>
      <c r="M320" s="24">
        <f t="shared" si="566"/>
        <v>0</v>
      </c>
      <c r="N320" s="24">
        <f t="shared" si="567"/>
        <v>336.9</v>
      </c>
      <c r="P320" s="24">
        <f>51.48/1</f>
        <v>51.48</v>
      </c>
      <c r="Q320" s="24">
        <f t="shared" si="568"/>
        <v>257.39999999999998</v>
      </c>
      <c r="R320" s="24">
        <f t="shared" si="561"/>
        <v>320.89</v>
      </c>
      <c r="S320" s="24">
        <f t="shared" si="562"/>
        <v>16.009999999999991</v>
      </c>
    </row>
    <row r="321" spans="1:19">
      <c r="A321" s="9" t="s">
        <v>23098</v>
      </c>
      <c r="B321" s="10" t="s">
        <v>9016</v>
      </c>
      <c r="C321" s="10">
        <v>602100</v>
      </c>
      <c r="D321" s="43" t="str">
        <f>VLOOKUP(C321,'13. CUSTOS DER - SERVIÇOS'!A:B,2,0)</f>
        <v>FORMAS DE MADEIRA COMPENSADA  RESINADA</v>
      </c>
      <c r="E321" s="11">
        <v>20.3</v>
      </c>
      <c r="F321" s="26" t="str">
        <f>VLOOKUP(C321,'13. CUSTOS DER - SERVIÇOS'!A:C,3,0)</f>
        <v>M2</v>
      </c>
      <c r="G321" s="24">
        <f>VLOOKUP(C321,'13. CUSTOS DER - SERVIÇOS'!A:G,7,0)</f>
        <v>78.33</v>
      </c>
      <c r="H321" s="24"/>
      <c r="I321" s="25">
        <f>'3. BDI'!$C$19</f>
        <v>0.24666704095238123</v>
      </c>
      <c r="J321" s="24">
        <f t="shared" si="563"/>
        <v>97.65</v>
      </c>
      <c r="K321" s="24">
        <f t="shared" si="564"/>
        <v>0</v>
      </c>
      <c r="L321" s="24">
        <f t="shared" si="565"/>
        <v>1982.2950000000001</v>
      </c>
      <c r="M321" s="24">
        <f t="shared" si="566"/>
        <v>0</v>
      </c>
      <c r="N321" s="24">
        <f t="shared" si="567"/>
        <v>1982.2950000000001</v>
      </c>
      <c r="P321" s="24">
        <f>78.65/2</f>
        <v>39.325000000000003</v>
      </c>
      <c r="Q321" s="24">
        <f t="shared" si="568"/>
        <v>798.29</v>
      </c>
      <c r="R321" s="24">
        <f t="shared" si="561"/>
        <v>995.2</v>
      </c>
      <c r="S321" s="24">
        <f t="shared" si="562"/>
        <v>987.09500000000003</v>
      </c>
    </row>
    <row r="322" spans="1:19">
      <c r="A322" s="9" t="s">
        <v>23099</v>
      </c>
      <c r="B322" s="10" t="s">
        <v>9016</v>
      </c>
      <c r="C322" s="10">
        <v>603000</v>
      </c>
      <c r="D322" s="43" t="str">
        <f>VLOOKUP(C322,'13. CUSTOS DER - SERVIÇOS'!A:B,2,0)</f>
        <v>AÇO CA-50 FORNEC. DOBR. COLOCAÇÃO</v>
      </c>
      <c r="E322" s="11">
        <v>7</v>
      </c>
      <c r="F322" s="26" t="str">
        <f>VLOOKUP(C322,'13. CUSTOS DER - SERVIÇOS'!A:C,3,0)</f>
        <v>KG</v>
      </c>
      <c r="G322" s="24">
        <f>VLOOKUP(C322,'13. CUSTOS DER - SERVIÇOS'!A:G,7,0)</f>
        <v>18.34</v>
      </c>
      <c r="H322" s="24"/>
      <c r="I322" s="25">
        <f>'3. BDI'!$C$19</f>
        <v>0.24666704095238123</v>
      </c>
      <c r="J322" s="24">
        <f t="shared" si="563"/>
        <v>22.86</v>
      </c>
      <c r="K322" s="24">
        <f t="shared" si="564"/>
        <v>0</v>
      </c>
      <c r="L322" s="24">
        <f t="shared" si="565"/>
        <v>160.01999999999998</v>
      </c>
      <c r="M322" s="24">
        <f t="shared" si="566"/>
        <v>0</v>
      </c>
      <c r="N322" s="24">
        <f t="shared" si="567"/>
        <v>160.01999999999998</v>
      </c>
      <c r="P322" s="24">
        <f>8.97/1</f>
        <v>8.9700000000000006</v>
      </c>
      <c r="Q322" s="24">
        <f t="shared" si="568"/>
        <v>62.79</v>
      </c>
      <c r="R322" s="24">
        <f t="shared" si="561"/>
        <v>78.27</v>
      </c>
      <c r="S322" s="24">
        <f t="shared" si="562"/>
        <v>81.749999999999986</v>
      </c>
    </row>
    <row r="323" spans="1:19">
      <c r="A323" s="9" t="s">
        <v>23100</v>
      </c>
      <c r="B323" s="10" t="s">
        <v>9016</v>
      </c>
      <c r="C323" s="10">
        <v>605500</v>
      </c>
      <c r="D323" s="43" t="str">
        <f>VLOOKUP(C323,'13. CUSTOS DER - SERVIÇOS'!A:B,2,0)</f>
        <v>CONCRETO FCK = 20 MPA, PREPARO EM BETONEIRA E LANÇ.</v>
      </c>
      <c r="E323" s="11">
        <v>2.2000000000000002</v>
      </c>
      <c r="F323" s="26" t="str">
        <f>VLOOKUP(C323,'13. CUSTOS DER - SERVIÇOS'!A:C,3,0)</f>
        <v>M3</v>
      </c>
      <c r="G323" s="24">
        <f>VLOOKUP(C323,'13. CUSTOS DER - SERVIÇOS'!A:G,7,0)</f>
        <v>532.64</v>
      </c>
      <c r="H323" s="24">
        <f>VLOOKUP(C323,'10. CCU TRANSPORTE'!B:J,9,0)</f>
        <v>61.030000000000008</v>
      </c>
      <c r="I323" s="25">
        <f>'3. BDI'!$C$19</f>
        <v>0.24666704095238123</v>
      </c>
      <c r="J323" s="24">
        <f t="shared" si="563"/>
        <v>664.02</v>
      </c>
      <c r="K323" s="24">
        <f t="shared" si="564"/>
        <v>76.08</v>
      </c>
      <c r="L323" s="24">
        <f t="shared" si="565"/>
        <v>1460.8440000000001</v>
      </c>
      <c r="M323" s="24">
        <f t="shared" si="566"/>
        <v>167.376</v>
      </c>
      <c r="N323" s="24">
        <f t="shared" si="567"/>
        <v>1628.22</v>
      </c>
      <c r="P323" s="24">
        <f>498.36/2.5</f>
        <v>199.34399999999999</v>
      </c>
      <c r="Q323" s="24">
        <f t="shared" si="568"/>
        <v>438.55</v>
      </c>
      <c r="R323" s="24">
        <f t="shared" si="561"/>
        <v>546.72</v>
      </c>
      <c r="S323" s="24">
        <f t="shared" si="562"/>
        <v>1081.5</v>
      </c>
    </row>
    <row r="324" spans="1:19">
      <c r="A324" s="338"/>
      <c r="B324" s="44"/>
      <c r="C324" s="167"/>
      <c r="D324" s="341" t="s">
        <v>22821</v>
      </c>
      <c r="E324" s="339"/>
      <c r="F324" s="167"/>
      <c r="G324" s="339"/>
      <c r="H324" s="339"/>
      <c r="I324" s="340"/>
      <c r="J324" s="339"/>
      <c r="K324" s="339"/>
      <c r="L324" s="339"/>
      <c r="M324" s="339"/>
      <c r="N324" s="339"/>
      <c r="P324" s="339"/>
      <c r="Q324" s="339"/>
      <c r="R324" s="24">
        <f t="shared" si="561"/>
        <v>0</v>
      </c>
      <c r="S324" s="24">
        <f t="shared" si="562"/>
        <v>0</v>
      </c>
    </row>
    <row r="325" spans="1:19">
      <c r="A325" s="9" t="s">
        <v>23101</v>
      </c>
      <c r="B325" s="10" t="s">
        <v>9016</v>
      </c>
      <c r="C325" s="10">
        <v>600000</v>
      </c>
      <c r="D325" s="43" t="str">
        <f>VLOOKUP(C325,'13. CUSTOS DER - SERVIÇOS'!A:B,2,0)</f>
        <v>ESCAVAÇÃO MANUAL DE VALA 1A. CAT.</v>
      </c>
      <c r="E325" s="11">
        <v>399</v>
      </c>
      <c r="F325" s="26" t="str">
        <f>VLOOKUP(C325,'13. CUSTOS DER - SERVIÇOS'!A:C,3,0)</f>
        <v>M3</v>
      </c>
      <c r="G325" s="24">
        <f>VLOOKUP(C325,'13. CUSTOS DER - SERVIÇOS'!A:G,7,0)</f>
        <v>49.54</v>
      </c>
      <c r="H325" s="24">
        <v>0</v>
      </c>
      <c r="I325" s="25">
        <f>'3. BDI'!$C$19</f>
        <v>0.24666704095238123</v>
      </c>
      <c r="J325" s="24">
        <f t="shared" ref="J325:J329" si="569">TRUNC(G325+(G325*I325),2)</f>
        <v>61.75</v>
      </c>
      <c r="K325" s="24">
        <f t="shared" ref="K325:K329" si="570">TRUNC(H325+(H325*I325),2)</f>
        <v>0</v>
      </c>
      <c r="L325" s="24">
        <f t="shared" ref="L325:L329" si="571">J325*E325</f>
        <v>24638.25</v>
      </c>
      <c r="M325" s="24">
        <f t="shared" ref="M325:M329" si="572">K325*E325</f>
        <v>0</v>
      </c>
      <c r="N325" s="24">
        <f t="shared" ref="N325:N329" si="573">L325+M325</f>
        <v>24638.25</v>
      </c>
      <c r="P325" s="24">
        <f>47.19/1</f>
        <v>47.19</v>
      </c>
      <c r="Q325" s="24">
        <f t="shared" ref="Q325:Q329" si="574">TRUNC(P325*E325,2)</f>
        <v>18828.810000000001</v>
      </c>
      <c r="R325" s="24">
        <f t="shared" si="561"/>
        <v>23473.25</v>
      </c>
      <c r="S325" s="24">
        <f t="shared" si="562"/>
        <v>1165</v>
      </c>
    </row>
    <row r="326" spans="1:19">
      <c r="A326" s="9" t="s">
        <v>23102</v>
      </c>
      <c r="B326" s="10" t="s">
        <v>9016</v>
      </c>
      <c r="C326" s="10">
        <v>601100</v>
      </c>
      <c r="D326" s="43" t="str">
        <f>VLOOKUP(C326,'13. CUSTOS DER - SERVIÇOS'!A:B,2,0)</f>
        <v>APILOAMENTO MANUAL</v>
      </c>
      <c r="E326" s="11">
        <v>126</v>
      </c>
      <c r="F326" s="26" t="str">
        <f>VLOOKUP(C326,'13. CUSTOS DER - SERVIÇOS'!A:C,3,0)</f>
        <v>M3</v>
      </c>
      <c r="G326" s="24">
        <f>VLOOKUP(C326,'13. CUSTOS DER - SERVIÇOS'!A:G,7,0)</f>
        <v>54.05</v>
      </c>
      <c r="H326" s="24"/>
      <c r="I326" s="25">
        <f>'3. BDI'!$C$19</f>
        <v>0.24666704095238123</v>
      </c>
      <c r="J326" s="24">
        <f t="shared" si="569"/>
        <v>67.38</v>
      </c>
      <c r="K326" s="24">
        <f t="shared" si="570"/>
        <v>0</v>
      </c>
      <c r="L326" s="24">
        <f t="shared" si="571"/>
        <v>8489.8799999999992</v>
      </c>
      <c r="M326" s="24">
        <f t="shared" si="572"/>
        <v>0</v>
      </c>
      <c r="N326" s="24">
        <f t="shared" si="573"/>
        <v>8489.8799999999992</v>
      </c>
      <c r="P326" s="24">
        <f>51.48/1</f>
        <v>51.48</v>
      </c>
      <c r="Q326" s="24">
        <f t="shared" si="574"/>
        <v>6486.48</v>
      </c>
      <c r="R326" s="24">
        <f t="shared" si="561"/>
        <v>8086.48</v>
      </c>
      <c r="S326" s="24">
        <f t="shared" si="562"/>
        <v>403.39999999999964</v>
      </c>
    </row>
    <row r="327" spans="1:19">
      <c r="A327" s="9" t="s">
        <v>23103</v>
      </c>
      <c r="B327" s="10" t="s">
        <v>9016</v>
      </c>
      <c r="C327" s="10">
        <v>602100</v>
      </c>
      <c r="D327" s="43" t="str">
        <f>VLOOKUP(C327,'13. CUSTOS DER - SERVIÇOS'!A:B,2,0)</f>
        <v>FORMAS DE MADEIRA COMPENSADA  RESINADA</v>
      </c>
      <c r="E327" s="11">
        <v>537.6</v>
      </c>
      <c r="F327" s="26" t="str">
        <f>VLOOKUP(C327,'13. CUSTOS DER - SERVIÇOS'!A:C,3,0)</f>
        <v>M2</v>
      </c>
      <c r="G327" s="24">
        <f>VLOOKUP(C327,'13. CUSTOS DER - SERVIÇOS'!A:G,7,0)</f>
        <v>78.33</v>
      </c>
      <c r="H327" s="24"/>
      <c r="I327" s="25">
        <f>'3. BDI'!$C$19</f>
        <v>0.24666704095238123</v>
      </c>
      <c r="J327" s="24">
        <f t="shared" si="569"/>
        <v>97.65</v>
      </c>
      <c r="K327" s="24">
        <f t="shared" si="570"/>
        <v>0</v>
      </c>
      <c r="L327" s="24">
        <f t="shared" si="571"/>
        <v>52496.640000000007</v>
      </c>
      <c r="M327" s="24">
        <f t="shared" si="572"/>
        <v>0</v>
      </c>
      <c r="N327" s="24">
        <f t="shared" si="573"/>
        <v>52496.640000000007</v>
      </c>
      <c r="P327" s="24">
        <f>78.65/2</f>
        <v>39.325000000000003</v>
      </c>
      <c r="Q327" s="24">
        <f t="shared" si="574"/>
        <v>21141.119999999999</v>
      </c>
      <c r="R327" s="24">
        <f t="shared" si="561"/>
        <v>26355.93</v>
      </c>
      <c r="S327" s="24">
        <f t="shared" si="562"/>
        <v>26140.710000000006</v>
      </c>
    </row>
    <row r="328" spans="1:19">
      <c r="A328" s="9" t="s">
        <v>23104</v>
      </c>
      <c r="B328" s="10" t="s">
        <v>9016</v>
      </c>
      <c r="C328" s="10">
        <v>603000</v>
      </c>
      <c r="D328" s="43" t="str">
        <f>VLOOKUP(C328,'13. CUSTOS DER - SERVIÇOS'!A:B,2,0)</f>
        <v>AÇO CA-50 FORNEC. DOBR. COLOCAÇÃO</v>
      </c>
      <c r="E328" s="11">
        <v>168</v>
      </c>
      <c r="F328" s="26" t="str">
        <f>VLOOKUP(C328,'13. CUSTOS DER - SERVIÇOS'!A:C,3,0)</f>
        <v>KG</v>
      </c>
      <c r="G328" s="24">
        <f>VLOOKUP(C328,'13. CUSTOS DER - SERVIÇOS'!A:G,7,0)</f>
        <v>18.34</v>
      </c>
      <c r="H328" s="24"/>
      <c r="I328" s="25">
        <f>'3. BDI'!$C$19</f>
        <v>0.24666704095238123</v>
      </c>
      <c r="J328" s="24">
        <f t="shared" si="569"/>
        <v>22.86</v>
      </c>
      <c r="K328" s="24">
        <f t="shared" si="570"/>
        <v>0</v>
      </c>
      <c r="L328" s="24">
        <f t="shared" si="571"/>
        <v>3840.48</v>
      </c>
      <c r="M328" s="24">
        <f t="shared" si="572"/>
        <v>0</v>
      </c>
      <c r="N328" s="24">
        <f t="shared" si="573"/>
        <v>3840.48</v>
      </c>
      <c r="P328" s="24">
        <f>8.97/1</f>
        <v>8.9700000000000006</v>
      </c>
      <c r="Q328" s="24">
        <f t="shared" si="574"/>
        <v>1506.96</v>
      </c>
      <c r="R328" s="24">
        <f t="shared" si="561"/>
        <v>1878.67</v>
      </c>
      <c r="S328" s="24">
        <f t="shared" si="562"/>
        <v>1961.81</v>
      </c>
    </row>
    <row r="329" spans="1:19">
      <c r="A329" s="9" t="s">
        <v>23105</v>
      </c>
      <c r="B329" s="10" t="s">
        <v>9016</v>
      </c>
      <c r="C329" s="10">
        <v>605500</v>
      </c>
      <c r="D329" s="43" t="str">
        <f>VLOOKUP(C329,'13. CUSTOS DER - SERVIÇOS'!A:B,2,0)</f>
        <v>CONCRETO FCK = 20 MPA, PREPARO EM BETONEIRA E LANÇ.</v>
      </c>
      <c r="E329" s="11">
        <v>44.1</v>
      </c>
      <c r="F329" s="26" t="str">
        <f>VLOOKUP(C329,'13. CUSTOS DER - SERVIÇOS'!A:C,3,0)</f>
        <v>M3</v>
      </c>
      <c r="G329" s="24">
        <f>VLOOKUP(C329,'13. CUSTOS DER - SERVIÇOS'!A:G,7,0)</f>
        <v>532.64</v>
      </c>
      <c r="H329" s="24">
        <f>VLOOKUP(C329,'10. CCU TRANSPORTE'!B:J,9,0)</f>
        <v>61.030000000000008</v>
      </c>
      <c r="I329" s="25">
        <f>'3. BDI'!$C$19</f>
        <v>0.24666704095238123</v>
      </c>
      <c r="J329" s="24">
        <f t="shared" si="569"/>
        <v>664.02</v>
      </c>
      <c r="K329" s="24">
        <f t="shared" si="570"/>
        <v>76.08</v>
      </c>
      <c r="L329" s="24">
        <f t="shared" si="571"/>
        <v>29283.281999999999</v>
      </c>
      <c r="M329" s="24">
        <f t="shared" si="572"/>
        <v>3355.1280000000002</v>
      </c>
      <c r="N329" s="24">
        <f t="shared" si="573"/>
        <v>32638.41</v>
      </c>
      <c r="P329" s="24">
        <f>498.36/2.5</f>
        <v>199.34399999999999</v>
      </c>
      <c r="Q329" s="24">
        <f t="shared" si="574"/>
        <v>8791.07</v>
      </c>
      <c r="R329" s="24">
        <f t="shared" si="561"/>
        <v>10959.53</v>
      </c>
      <c r="S329" s="24">
        <f t="shared" si="562"/>
        <v>21678.879999999997</v>
      </c>
    </row>
    <row r="330" spans="1:19">
      <c r="A330" s="338"/>
      <c r="B330" s="44"/>
      <c r="C330" s="167"/>
      <c r="D330" s="341" t="s">
        <v>22822</v>
      </c>
      <c r="E330" s="339"/>
      <c r="F330" s="167"/>
      <c r="G330" s="339"/>
      <c r="H330" s="339"/>
      <c r="I330" s="340"/>
      <c r="J330" s="339"/>
      <c r="K330" s="339"/>
      <c r="L330" s="339"/>
      <c r="M330" s="339"/>
      <c r="N330" s="339"/>
      <c r="P330" s="339"/>
      <c r="Q330" s="339"/>
      <c r="R330" s="24">
        <f t="shared" si="561"/>
        <v>0</v>
      </c>
      <c r="S330" s="24">
        <f t="shared" si="562"/>
        <v>0</v>
      </c>
    </row>
    <row r="331" spans="1:19">
      <c r="A331" s="9" t="s">
        <v>23106</v>
      </c>
      <c r="B331" s="10" t="s">
        <v>9016</v>
      </c>
      <c r="C331" s="10">
        <v>600000</v>
      </c>
      <c r="D331" s="43" t="str">
        <f>VLOOKUP(C331,'13. CUSTOS DER - SERVIÇOS'!A:B,2,0)</f>
        <v>ESCAVAÇÃO MANUAL DE VALA 1A. CAT.</v>
      </c>
      <c r="E331" s="11">
        <v>30</v>
      </c>
      <c r="F331" s="26" t="str">
        <f>VLOOKUP(C331,'13. CUSTOS DER - SERVIÇOS'!A:C,3,0)</f>
        <v>M3</v>
      </c>
      <c r="G331" s="24">
        <f>VLOOKUP(C331,'13. CUSTOS DER - SERVIÇOS'!A:G,7,0)</f>
        <v>49.54</v>
      </c>
      <c r="H331" s="24">
        <v>0</v>
      </c>
      <c r="I331" s="25">
        <f>'3. BDI'!$C$19</f>
        <v>0.24666704095238123</v>
      </c>
      <c r="J331" s="24">
        <f t="shared" ref="J331:J335" si="575">TRUNC(G331+(G331*I331),2)</f>
        <v>61.75</v>
      </c>
      <c r="K331" s="24">
        <f t="shared" ref="K331:K335" si="576">TRUNC(H331+(H331*I331),2)</f>
        <v>0</v>
      </c>
      <c r="L331" s="24">
        <f t="shared" ref="L331:L335" si="577">J331*E331</f>
        <v>1852.5</v>
      </c>
      <c r="M331" s="24">
        <f t="shared" ref="M331:M335" si="578">K331*E331</f>
        <v>0</v>
      </c>
      <c r="N331" s="24">
        <f t="shared" ref="N331:N335" si="579">L331+M331</f>
        <v>1852.5</v>
      </c>
      <c r="P331" s="24">
        <f>47.19/1</f>
        <v>47.19</v>
      </c>
      <c r="Q331" s="24">
        <f t="shared" ref="Q331:Q335" si="580">TRUNC(P331*E331,2)</f>
        <v>1415.7</v>
      </c>
      <c r="R331" s="24">
        <f t="shared" si="561"/>
        <v>1764.9</v>
      </c>
      <c r="S331" s="24">
        <f t="shared" si="562"/>
        <v>87.599999999999909</v>
      </c>
    </row>
    <row r="332" spans="1:19">
      <c r="A332" s="9" t="s">
        <v>23107</v>
      </c>
      <c r="B332" s="10" t="s">
        <v>9016</v>
      </c>
      <c r="C332" s="10">
        <v>601100</v>
      </c>
      <c r="D332" s="43" t="str">
        <f>VLOOKUP(C332,'13. CUSTOS DER - SERVIÇOS'!A:B,2,0)</f>
        <v>APILOAMENTO MANUAL</v>
      </c>
      <c r="E332" s="11">
        <v>10</v>
      </c>
      <c r="F332" s="26" t="str">
        <f>VLOOKUP(C332,'13. CUSTOS DER - SERVIÇOS'!A:C,3,0)</f>
        <v>M3</v>
      </c>
      <c r="G332" s="24">
        <f>VLOOKUP(C332,'13. CUSTOS DER - SERVIÇOS'!A:G,7,0)</f>
        <v>54.05</v>
      </c>
      <c r="H332" s="24"/>
      <c r="I332" s="25">
        <f>'3. BDI'!$C$19</f>
        <v>0.24666704095238123</v>
      </c>
      <c r="J332" s="24">
        <f t="shared" si="575"/>
        <v>67.38</v>
      </c>
      <c r="K332" s="24">
        <f t="shared" si="576"/>
        <v>0</v>
      </c>
      <c r="L332" s="24">
        <f t="shared" si="577"/>
        <v>673.8</v>
      </c>
      <c r="M332" s="24">
        <f t="shared" si="578"/>
        <v>0</v>
      </c>
      <c r="N332" s="24">
        <f t="shared" si="579"/>
        <v>673.8</v>
      </c>
      <c r="P332" s="24">
        <f>51.48/1</f>
        <v>51.48</v>
      </c>
      <c r="Q332" s="24">
        <f t="shared" si="580"/>
        <v>514.79999999999995</v>
      </c>
      <c r="R332" s="24">
        <f t="shared" si="561"/>
        <v>641.78</v>
      </c>
      <c r="S332" s="24">
        <f t="shared" si="562"/>
        <v>32.019999999999982</v>
      </c>
    </row>
    <row r="333" spans="1:19">
      <c r="A333" s="9" t="s">
        <v>23108</v>
      </c>
      <c r="B333" s="10" t="s">
        <v>9016</v>
      </c>
      <c r="C333" s="10">
        <v>602100</v>
      </c>
      <c r="D333" s="43" t="str">
        <f>VLOOKUP(C333,'13. CUSTOS DER - SERVIÇOS'!A:B,2,0)</f>
        <v>FORMAS DE MADEIRA COMPENSADA  RESINADA</v>
      </c>
      <c r="E333" s="11">
        <v>40.6</v>
      </c>
      <c r="F333" s="26" t="str">
        <f>VLOOKUP(C333,'13. CUSTOS DER - SERVIÇOS'!A:C,3,0)</f>
        <v>M2</v>
      </c>
      <c r="G333" s="24">
        <f>VLOOKUP(C333,'13. CUSTOS DER - SERVIÇOS'!A:G,7,0)</f>
        <v>78.33</v>
      </c>
      <c r="H333" s="24"/>
      <c r="I333" s="25">
        <f>'3. BDI'!$C$19</f>
        <v>0.24666704095238123</v>
      </c>
      <c r="J333" s="24">
        <f t="shared" si="575"/>
        <v>97.65</v>
      </c>
      <c r="K333" s="24">
        <f t="shared" si="576"/>
        <v>0</v>
      </c>
      <c r="L333" s="24">
        <f t="shared" si="577"/>
        <v>3964.59</v>
      </c>
      <c r="M333" s="24">
        <f t="shared" si="578"/>
        <v>0</v>
      </c>
      <c r="N333" s="24">
        <f t="shared" si="579"/>
        <v>3964.59</v>
      </c>
      <c r="P333" s="24">
        <f>78.65/2</f>
        <v>39.325000000000003</v>
      </c>
      <c r="Q333" s="24">
        <f t="shared" si="580"/>
        <v>1596.59</v>
      </c>
      <c r="R333" s="24">
        <f t="shared" si="561"/>
        <v>1990.41</v>
      </c>
      <c r="S333" s="24">
        <f t="shared" si="562"/>
        <v>1974.18</v>
      </c>
    </row>
    <row r="334" spans="1:19">
      <c r="A334" s="9" t="s">
        <v>23109</v>
      </c>
      <c r="B334" s="10" t="s">
        <v>9016</v>
      </c>
      <c r="C334" s="10">
        <v>603000</v>
      </c>
      <c r="D334" s="43" t="str">
        <f>VLOOKUP(C334,'13. CUSTOS DER - SERVIÇOS'!A:B,2,0)</f>
        <v>AÇO CA-50 FORNEC. DOBR. COLOCAÇÃO</v>
      </c>
      <c r="E334" s="11">
        <v>14</v>
      </c>
      <c r="F334" s="26" t="str">
        <f>VLOOKUP(C334,'13. CUSTOS DER - SERVIÇOS'!A:C,3,0)</f>
        <v>KG</v>
      </c>
      <c r="G334" s="24">
        <f>VLOOKUP(C334,'13. CUSTOS DER - SERVIÇOS'!A:G,7,0)</f>
        <v>18.34</v>
      </c>
      <c r="H334" s="24"/>
      <c r="I334" s="25">
        <f>'3. BDI'!$C$19</f>
        <v>0.24666704095238123</v>
      </c>
      <c r="J334" s="24">
        <f t="shared" si="575"/>
        <v>22.86</v>
      </c>
      <c r="K334" s="24">
        <f t="shared" si="576"/>
        <v>0</v>
      </c>
      <c r="L334" s="24">
        <f t="shared" si="577"/>
        <v>320.03999999999996</v>
      </c>
      <c r="M334" s="24">
        <f t="shared" si="578"/>
        <v>0</v>
      </c>
      <c r="N334" s="24">
        <f t="shared" si="579"/>
        <v>320.03999999999996</v>
      </c>
      <c r="P334" s="24">
        <f>8.97/1</f>
        <v>8.9700000000000006</v>
      </c>
      <c r="Q334" s="24">
        <f t="shared" si="580"/>
        <v>125.58</v>
      </c>
      <c r="R334" s="24">
        <f t="shared" si="561"/>
        <v>156.55000000000001</v>
      </c>
      <c r="S334" s="24">
        <f t="shared" si="562"/>
        <v>163.48999999999995</v>
      </c>
    </row>
    <row r="335" spans="1:19">
      <c r="A335" s="9" t="s">
        <v>23110</v>
      </c>
      <c r="B335" s="10" t="s">
        <v>9016</v>
      </c>
      <c r="C335" s="10">
        <v>605500</v>
      </c>
      <c r="D335" s="43" t="str">
        <f>VLOOKUP(C335,'13. CUSTOS DER - SERVIÇOS'!A:B,2,0)</f>
        <v>CONCRETO FCK = 20 MPA, PREPARO EM BETONEIRA E LANÇ.</v>
      </c>
      <c r="E335" s="11">
        <v>4</v>
      </c>
      <c r="F335" s="26" t="str">
        <f>VLOOKUP(C335,'13. CUSTOS DER - SERVIÇOS'!A:C,3,0)</f>
        <v>M3</v>
      </c>
      <c r="G335" s="24">
        <f>VLOOKUP(C335,'13. CUSTOS DER - SERVIÇOS'!A:G,7,0)</f>
        <v>532.64</v>
      </c>
      <c r="H335" s="24">
        <f>VLOOKUP(C335,'10. CCU TRANSPORTE'!B:J,9,0)</f>
        <v>61.030000000000008</v>
      </c>
      <c r="I335" s="25">
        <f>'3. BDI'!$C$19</f>
        <v>0.24666704095238123</v>
      </c>
      <c r="J335" s="24">
        <f t="shared" si="575"/>
        <v>664.02</v>
      </c>
      <c r="K335" s="24">
        <f t="shared" si="576"/>
        <v>76.08</v>
      </c>
      <c r="L335" s="24">
        <f t="shared" si="577"/>
        <v>2656.08</v>
      </c>
      <c r="M335" s="24">
        <f t="shared" si="578"/>
        <v>304.32</v>
      </c>
      <c r="N335" s="24">
        <f t="shared" si="579"/>
        <v>2960.4</v>
      </c>
      <c r="P335" s="24">
        <f>498.36/2.5</f>
        <v>199.34399999999999</v>
      </c>
      <c r="Q335" s="24">
        <f t="shared" si="580"/>
        <v>797.37</v>
      </c>
      <c r="R335" s="24">
        <f t="shared" si="561"/>
        <v>994.05</v>
      </c>
      <c r="S335" s="24">
        <f t="shared" si="562"/>
        <v>1966.3500000000001</v>
      </c>
    </row>
    <row r="336" spans="1:19">
      <c r="A336" s="338"/>
      <c r="B336" s="44"/>
      <c r="C336" s="167"/>
      <c r="D336" s="341" t="s">
        <v>23591</v>
      </c>
      <c r="E336" s="339"/>
      <c r="F336" s="167"/>
      <c r="G336" s="339"/>
      <c r="H336" s="339"/>
      <c r="I336" s="340"/>
      <c r="J336" s="339"/>
      <c r="K336" s="339"/>
      <c r="L336" s="339"/>
      <c r="M336" s="339"/>
      <c r="N336" s="339"/>
      <c r="P336" s="339"/>
      <c r="Q336" s="339"/>
      <c r="R336" s="24">
        <f t="shared" si="561"/>
        <v>0</v>
      </c>
      <c r="S336" s="24">
        <f t="shared" si="562"/>
        <v>0</v>
      </c>
    </row>
    <row r="337" spans="1:19">
      <c r="A337" s="9" t="s">
        <v>23111</v>
      </c>
      <c r="B337" s="10" t="s">
        <v>9016</v>
      </c>
      <c r="C337" s="10">
        <v>600000</v>
      </c>
      <c r="D337" s="43" t="str">
        <f>VLOOKUP(C337,'13. CUSTOS DER - SERVIÇOS'!A:B,2,0)</f>
        <v>ESCAVAÇÃO MANUAL DE VALA 1A. CAT.</v>
      </c>
      <c r="E337" s="11">
        <v>5</v>
      </c>
      <c r="F337" s="26" t="str">
        <f>VLOOKUP(C337,'13. CUSTOS DER - SERVIÇOS'!A:C,3,0)</f>
        <v>M3</v>
      </c>
      <c r="G337" s="24">
        <f>VLOOKUP(C337,'13. CUSTOS DER - SERVIÇOS'!A:G,7,0)</f>
        <v>49.54</v>
      </c>
      <c r="H337" s="24">
        <v>0</v>
      </c>
      <c r="I337" s="25">
        <f>'3. BDI'!$C$19</f>
        <v>0.24666704095238123</v>
      </c>
      <c r="J337" s="24">
        <f t="shared" ref="J337:J340" si="581">TRUNC(G337+(G337*I337),2)</f>
        <v>61.75</v>
      </c>
      <c r="K337" s="24">
        <f t="shared" ref="K337:K340" si="582">TRUNC(H337+(H337*I337),2)</f>
        <v>0</v>
      </c>
      <c r="L337" s="24">
        <f t="shared" ref="L337:L340" si="583">J337*E337</f>
        <v>308.75</v>
      </c>
      <c r="M337" s="24">
        <f t="shared" ref="M337:M340" si="584">K337*E337</f>
        <v>0</v>
      </c>
      <c r="N337" s="24">
        <f t="shared" ref="N337:N340" si="585">L337+M337</f>
        <v>308.75</v>
      </c>
      <c r="P337" s="24">
        <f>47.19/1</f>
        <v>47.19</v>
      </c>
      <c r="Q337" s="24">
        <f t="shared" ref="Q337:Q342" si="586">TRUNC(P337*E337,2)</f>
        <v>235.95</v>
      </c>
      <c r="R337" s="24">
        <f t="shared" si="561"/>
        <v>294.14999999999998</v>
      </c>
      <c r="S337" s="24">
        <f t="shared" si="562"/>
        <v>14.600000000000023</v>
      </c>
    </row>
    <row r="338" spans="1:19">
      <c r="A338" s="9" t="s">
        <v>23112</v>
      </c>
      <c r="B338" s="10" t="s">
        <v>9016</v>
      </c>
      <c r="C338" s="10">
        <v>601100</v>
      </c>
      <c r="D338" s="43" t="str">
        <f>VLOOKUP(C338,'13. CUSTOS DER - SERVIÇOS'!A:B,2,0)</f>
        <v>APILOAMENTO MANUAL</v>
      </c>
      <c r="E338" s="11">
        <v>15</v>
      </c>
      <c r="F338" s="26" t="str">
        <f>VLOOKUP(C338,'13. CUSTOS DER - SERVIÇOS'!A:C,3,0)</f>
        <v>M3</v>
      </c>
      <c r="G338" s="24">
        <f>VLOOKUP(C338,'13. CUSTOS DER - SERVIÇOS'!A:G,7,0)</f>
        <v>54.05</v>
      </c>
      <c r="H338" s="24"/>
      <c r="I338" s="25">
        <f>'3. BDI'!$C$19</f>
        <v>0.24666704095238123</v>
      </c>
      <c r="J338" s="24">
        <f t="shared" si="581"/>
        <v>67.38</v>
      </c>
      <c r="K338" s="24">
        <f t="shared" si="582"/>
        <v>0</v>
      </c>
      <c r="L338" s="24">
        <f t="shared" si="583"/>
        <v>1010.6999999999999</v>
      </c>
      <c r="M338" s="24">
        <f t="shared" si="584"/>
        <v>0</v>
      </c>
      <c r="N338" s="24">
        <f t="shared" si="585"/>
        <v>1010.6999999999999</v>
      </c>
      <c r="P338" s="24">
        <f>51.48/1</f>
        <v>51.48</v>
      </c>
      <c r="Q338" s="24">
        <f t="shared" si="586"/>
        <v>772.2</v>
      </c>
      <c r="R338" s="24">
        <f t="shared" si="561"/>
        <v>962.67</v>
      </c>
      <c r="S338" s="24">
        <f t="shared" si="562"/>
        <v>48.029999999999973</v>
      </c>
    </row>
    <row r="339" spans="1:19">
      <c r="A339" s="9" t="s">
        <v>23113</v>
      </c>
      <c r="B339" s="10" t="s">
        <v>9016</v>
      </c>
      <c r="C339" s="10">
        <v>602100</v>
      </c>
      <c r="D339" s="43" t="str">
        <f>VLOOKUP(C339,'13. CUSTOS DER - SERVIÇOS'!A:B,2,0)</f>
        <v>FORMAS DE MADEIRA COMPENSADA  RESINADA</v>
      </c>
      <c r="E339" s="11">
        <v>136.19999999999999</v>
      </c>
      <c r="F339" s="26" t="str">
        <f>VLOOKUP(C339,'13. CUSTOS DER - SERVIÇOS'!A:C,3,0)</f>
        <v>M2</v>
      </c>
      <c r="G339" s="24">
        <f>VLOOKUP(C339,'13. CUSTOS DER - SERVIÇOS'!A:G,7,0)</f>
        <v>78.33</v>
      </c>
      <c r="H339" s="24"/>
      <c r="I339" s="25">
        <f>'3. BDI'!$C$19</f>
        <v>0.24666704095238123</v>
      </c>
      <c r="J339" s="24">
        <f t="shared" si="581"/>
        <v>97.65</v>
      </c>
      <c r="K339" s="24">
        <f t="shared" si="582"/>
        <v>0</v>
      </c>
      <c r="L339" s="24">
        <f t="shared" si="583"/>
        <v>13299.93</v>
      </c>
      <c r="M339" s="24">
        <f t="shared" si="584"/>
        <v>0</v>
      </c>
      <c r="N339" s="24">
        <f t="shared" si="585"/>
        <v>13299.93</v>
      </c>
      <c r="P339" s="24">
        <f>78.65/2</f>
        <v>39.325000000000003</v>
      </c>
      <c r="Q339" s="24">
        <f t="shared" si="586"/>
        <v>5356.06</v>
      </c>
      <c r="R339" s="24">
        <f t="shared" si="561"/>
        <v>6677.22</v>
      </c>
      <c r="S339" s="24">
        <f t="shared" si="562"/>
        <v>6622.71</v>
      </c>
    </row>
    <row r="340" spans="1:19">
      <c r="A340" s="9" t="s">
        <v>23114</v>
      </c>
      <c r="B340" s="10" t="s">
        <v>9016</v>
      </c>
      <c r="C340" s="10">
        <v>603000</v>
      </c>
      <c r="D340" s="43" t="str">
        <f>VLOOKUP(C340,'13. CUSTOS DER - SERVIÇOS'!A:B,2,0)</f>
        <v>AÇO CA-50 FORNEC. DOBR. COLOCAÇÃO</v>
      </c>
      <c r="E340" s="11">
        <v>100</v>
      </c>
      <c r="F340" s="26" t="str">
        <f>VLOOKUP(C340,'13. CUSTOS DER - SERVIÇOS'!A:C,3,0)</f>
        <v>KG</v>
      </c>
      <c r="G340" s="24">
        <f>VLOOKUP(C340,'13. CUSTOS DER - SERVIÇOS'!A:G,7,0)</f>
        <v>18.34</v>
      </c>
      <c r="H340" s="24"/>
      <c r="I340" s="25">
        <f>'3. BDI'!$C$19</f>
        <v>0.24666704095238123</v>
      </c>
      <c r="J340" s="24">
        <f t="shared" si="581"/>
        <v>22.86</v>
      </c>
      <c r="K340" s="24">
        <f t="shared" si="582"/>
        <v>0</v>
      </c>
      <c r="L340" s="24">
        <f t="shared" si="583"/>
        <v>2286</v>
      </c>
      <c r="M340" s="24">
        <f t="shared" si="584"/>
        <v>0</v>
      </c>
      <c r="N340" s="24">
        <f t="shared" si="585"/>
        <v>2286</v>
      </c>
      <c r="P340" s="24">
        <f>8.97/1</f>
        <v>8.9700000000000006</v>
      </c>
      <c r="Q340" s="24">
        <f t="shared" si="586"/>
        <v>897</v>
      </c>
      <c r="R340" s="24">
        <f t="shared" si="561"/>
        <v>1118.26</v>
      </c>
      <c r="S340" s="24">
        <f t="shared" si="562"/>
        <v>1167.74</v>
      </c>
    </row>
    <row r="341" spans="1:19">
      <c r="A341" s="9" t="s">
        <v>23115</v>
      </c>
      <c r="B341" s="10" t="s">
        <v>9016</v>
      </c>
      <c r="C341" s="10">
        <v>603300</v>
      </c>
      <c r="D341" s="43" t="str">
        <f>VLOOKUP(C341,'13. CUSTOS DER - SERVIÇOS'!A:B,2,0)</f>
        <v>AÇO CA-60 FORNEC. DOBR. COLOCAÇÃO</v>
      </c>
      <c r="E341" s="11">
        <v>1065</v>
      </c>
      <c r="F341" s="26" t="str">
        <f>VLOOKUP(C341,'13. CUSTOS DER - SERVIÇOS'!A:C,3,0)</f>
        <v>KG</v>
      </c>
      <c r="G341" s="24">
        <f>VLOOKUP(C341,'13. CUSTOS DER - SERVIÇOS'!A:G,7,0)</f>
        <v>20.91</v>
      </c>
      <c r="H341" s="24"/>
      <c r="I341" s="25">
        <f>'3. BDI'!$C$19</f>
        <v>0.24666704095238123</v>
      </c>
      <c r="J341" s="24">
        <f>TRUNC(G341+(G341*I341),2)</f>
        <v>26.06</v>
      </c>
      <c r="K341" s="24">
        <f>TRUNC(H341+(H341*I341),2)</f>
        <v>0</v>
      </c>
      <c r="L341" s="24">
        <f>J341*E341</f>
        <v>27753.899999999998</v>
      </c>
      <c r="M341" s="24">
        <f>K341*E341</f>
        <v>0</v>
      </c>
      <c r="N341" s="24">
        <f>L341+M341</f>
        <v>27753.899999999998</v>
      </c>
      <c r="P341" s="24">
        <f>8.97/1</f>
        <v>8.9700000000000006</v>
      </c>
      <c r="Q341" s="24">
        <f t="shared" si="586"/>
        <v>9553.0499999999993</v>
      </c>
      <c r="R341" s="24">
        <f t="shared" si="561"/>
        <v>11909.47</v>
      </c>
      <c r="S341" s="24">
        <f t="shared" si="562"/>
        <v>15844.429999999998</v>
      </c>
    </row>
    <row r="342" spans="1:19">
      <c r="A342" s="9" t="s">
        <v>23116</v>
      </c>
      <c r="B342" s="10" t="s">
        <v>9016</v>
      </c>
      <c r="C342" s="10">
        <v>605500</v>
      </c>
      <c r="D342" s="43" t="str">
        <f>VLOOKUP(C342,'13. CUSTOS DER - SERVIÇOS'!A:B,2,0)</f>
        <v>CONCRETO FCK = 20 MPA, PREPARO EM BETONEIRA E LANÇ.</v>
      </c>
      <c r="E342" s="11">
        <v>11.2</v>
      </c>
      <c r="F342" s="26" t="str">
        <f>VLOOKUP(C342,'13. CUSTOS DER - SERVIÇOS'!A:C,3,0)</f>
        <v>M3</v>
      </c>
      <c r="G342" s="24">
        <f>VLOOKUP(C342,'13. CUSTOS DER - SERVIÇOS'!A:G,7,0)</f>
        <v>532.64</v>
      </c>
      <c r="H342" s="24">
        <f>VLOOKUP(C342,'10. CCU TRANSPORTE'!B:J,9,0)</f>
        <v>61.030000000000008</v>
      </c>
      <c r="I342" s="25">
        <f>'3. BDI'!$C$19</f>
        <v>0.24666704095238123</v>
      </c>
      <c r="J342" s="24">
        <f t="shared" ref="J342:J343" si="587">TRUNC(G342+(G342*I342),2)</f>
        <v>664.02</v>
      </c>
      <c r="K342" s="24">
        <f t="shared" ref="K342:K343" si="588">TRUNC(H342+(H342*I342),2)</f>
        <v>76.08</v>
      </c>
      <c r="L342" s="24">
        <f t="shared" ref="L342:L343" si="589">J342*E342</f>
        <v>7437.0239999999994</v>
      </c>
      <c r="M342" s="24">
        <f t="shared" ref="M342:M343" si="590">K342*E342</f>
        <v>852.09599999999989</v>
      </c>
      <c r="N342" s="24">
        <f t="shared" ref="N342:N343" si="591">L342+M342</f>
        <v>8289.119999999999</v>
      </c>
      <c r="P342" s="24">
        <f>498.36/2.5</f>
        <v>199.34399999999999</v>
      </c>
      <c r="Q342" s="24">
        <f t="shared" si="586"/>
        <v>2232.65</v>
      </c>
      <c r="R342" s="24">
        <f t="shared" si="561"/>
        <v>2783.37</v>
      </c>
      <c r="S342" s="24">
        <f t="shared" si="562"/>
        <v>5505.7499999999991</v>
      </c>
    </row>
    <row r="343" spans="1:19">
      <c r="A343" s="9" t="s">
        <v>23118</v>
      </c>
      <c r="B343" s="10" t="s">
        <v>358</v>
      </c>
      <c r="C343" s="10" t="s">
        <v>22651</v>
      </c>
      <c r="D343" s="43" t="s">
        <v>249</v>
      </c>
      <c r="E343" s="11">
        <v>0.9</v>
      </c>
      <c r="F343" s="13" t="s">
        <v>326</v>
      </c>
      <c r="G343" s="24">
        <f>VLOOKUP(C343,'9. CCU''S GERAIS AMEP'!A:K,11,0)</f>
        <v>438.94809520000007</v>
      </c>
      <c r="H343" s="24">
        <v>0</v>
      </c>
      <c r="I343" s="25">
        <f>'3. BDI'!$C$19</f>
        <v>0.24666704095238123</v>
      </c>
      <c r="J343" s="24">
        <f t="shared" si="587"/>
        <v>547.22</v>
      </c>
      <c r="K343" s="24">
        <f t="shared" si="588"/>
        <v>0</v>
      </c>
      <c r="L343" s="24">
        <f t="shared" si="589"/>
        <v>492.49800000000005</v>
      </c>
      <c r="M343" s="24">
        <f t="shared" si="590"/>
        <v>0</v>
      </c>
      <c r="N343" s="24">
        <f t="shared" si="591"/>
        <v>492.49800000000005</v>
      </c>
      <c r="P343" s="24">
        <f>62.77/2.5</f>
        <v>25.108000000000001</v>
      </c>
      <c r="Q343" s="24">
        <f t="shared" ref="Q343" si="592">P343*E343</f>
        <v>22.597200000000001</v>
      </c>
      <c r="R343" s="24">
        <f t="shared" si="561"/>
        <v>28.17</v>
      </c>
      <c r="S343" s="24">
        <f t="shared" si="562"/>
        <v>464.32800000000003</v>
      </c>
    </row>
    <row r="344" spans="1:19">
      <c r="A344" s="338"/>
      <c r="B344" s="44"/>
      <c r="C344" s="167"/>
      <c r="D344" s="341" t="s">
        <v>22789</v>
      </c>
      <c r="E344" s="339"/>
      <c r="F344" s="167"/>
      <c r="G344" s="339"/>
      <c r="H344" s="339"/>
      <c r="I344" s="340"/>
      <c r="J344" s="339"/>
      <c r="K344" s="339"/>
      <c r="L344" s="339"/>
      <c r="M344" s="339"/>
      <c r="N344" s="339"/>
      <c r="P344" s="339"/>
      <c r="Q344" s="339"/>
      <c r="R344" s="24">
        <f t="shared" si="561"/>
        <v>0</v>
      </c>
      <c r="S344" s="24">
        <f t="shared" si="562"/>
        <v>0</v>
      </c>
    </row>
    <row r="345" spans="1:19">
      <c r="A345" s="9" t="s">
        <v>23119</v>
      </c>
      <c r="B345" s="10" t="s">
        <v>358</v>
      </c>
      <c r="C345" s="10" t="s">
        <v>22648</v>
      </c>
      <c r="D345" s="43" t="s">
        <v>22802</v>
      </c>
      <c r="E345" s="11">
        <v>332</v>
      </c>
      <c r="F345" s="13" t="s">
        <v>328</v>
      </c>
      <c r="G345" s="24">
        <f>VLOOKUP(C345,'9. CCU''S GERAIS AMEP'!A:K,11,0)</f>
        <v>482.42695200000003</v>
      </c>
      <c r="H345" s="24">
        <f>VLOOKUP(C345,'10. CCU TRANSPORTE'!B:J,9,0)</f>
        <v>37.510000000000005</v>
      </c>
      <c r="I345" s="25">
        <f>'3. BDI'!$C$19</f>
        <v>0.24666704095238123</v>
      </c>
      <c r="J345" s="24">
        <f t="shared" ref="J345" si="593">TRUNC(G345+(G345*I345),2)</f>
        <v>601.41999999999996</v>
      </c>
      <c r="K345" s="24">
        <f t="shared" ref="K345" si="594">TRUNC(H345+(H345*I345),2)</f>
        <v>46.76</v>
      </c>
      <c r="L345" s="24">
        <f t="shared" ref="L345" si="595">J345*E345</f>
        <v>199671.43999999997</v>
      </c>
      <c r="M345" s="24">
        <f t="shared" ref="M345" si="596">K345*E345</f>
        <v>15524.32</v>
      </c>
      <c r="N345" s="24">
        <f t="shared" ref="N345" si="597">L345+M345</f>
        <v>215195.75999999998</v>
      </c>
      <c r="P345" s="24">
        <f>64.68/1</f>
        <v>64.680000000000007</v>
      </c>
      <c r="Q345" s="24">
        <f t="shared" ref="Q345" si="598">P345*E345</f>
        <v>21473.760000000002</v>
      </c>
      <c r="R345" s="24">
        <f t="shared" si="561"/>
        <v>26770.62</v>
      </c>
      <c r="S345" s="24">
        <f t="shared" si="562"/>
        <v>188425.13999999998</v>
      </c>
    </row>
    <row r="346" spans="1:19">
      <c r="A346" s="338"/>
      <c r="B346" s="44"/>
      <c r="C346" s="167"/>
      <c r="D346" s="341" t="s">
        <v>22803</v>
      </c>
      <c r="E346" s="339"/>
      <c r="F346" s="167"/>
      <c r="G346" s="339"/>
      <c r="H346" s="339"/>
      <c r="I346" s="340"/>
      <c r="J346" s="339"/>
      <c r="K346" s="339"/>
      <c r="L346" s="339"/>
      <c r="M346" s="339"/>
      <c r="N346" s="339"/>
      <c r="P346" s="339"/>
      <c r="Q346" s="339"/>
      <c r="R346" s="24">
        <f t="shared" si="561"/>
        <v>0</v>
      </c>
      <c r="S346" s="24">
        <f t="shared" si="562"/>
        <v>0</v>
      </c>
    </row>
    <row r="347" spans="1:19">
      <c r="A347" s="9" t="s">
        <v>23120</v>
      </c>
      <c r="B347" s="10" t="s">
        <v>9016</v>
      </c>
      <c r="C347" s="10">
        <v>620100</v>
      </c>
      <c r="D347" s="43" t="str">
        <f>VLOOKUP(C347,'13. CUSTOS DER - SERVIÇOS'!A:B,2,0)</f>
        <v>BOCA DE BSTC 0,60M</v>
      </c>
      <c r="E347" s="11">
        <v>2</v>
      </c>
      <c r="F347" s="26" t="str">
        <f>VLOOKUP(C347,'13. CUSTOS DER - SERVIÇOS'!A:C,3,0)</f>
        <v>UD</v>
      </c>
      <c r="G347" s="24">
        <f>VLOOKUP(C347,'13. CUSTOS DER - SERVIÇOS'!A:G,7,0)</f>
        <v>954.15</v>
      </c>
      <c r="H347" s="24">
        <f>VLOOKUP(C347,'10. CCU TRANSPORTE'!B:J,9,0)</f>
        <v>45.68</v>
      </c>
      <c r="I347" s="25">
        <f>'3. BDI'!$C$19</f>
        <v>0.24666704095238123</v>
      </c>
      <c r="J347" s="24">
        <f t="shared" ref="J347" si="599">TRUNC(G347+(G347*I347),2)</f>
        <v>1189.5</v>
      </c>
      <c r="K347" s="24">
        <f t="shared" ref="K347" si="600">TRUNC(H347+(H347*I347),2)</f>
        <v>56.94</v>
      </c>
      <c r="L347" s="24">
        <f t="shared" ref="L347" si="601">J347*E347</f>
        <v>2379</v>
      </c>
      <c r="M347" s="24">
        <f t="shared" ref="M347" si="602">K347*E347</f>
        <v>113.88</v>
      </c>
      <c r="N347" s="24">
        <f t="shared" ref="N347" si="603">L347+M347</f>
        <v>2492.88</v>
      </c>
      <c r="P347" s="24">
        <f>112.26/1</f>
        <v>112.26</v>
      </c>
      <c r="Q347" s="24">
        <f>TRUNC(P347*E347,2)</f>
        <v>224.52</v>
      </c>
      <c r="R347" s="24">
        <f t="shared" si="561"/>
        <v>279.89999999999998</v>
      </c>
      <c r="S347" s="24">
        <f t="shared" si="562"/>
        <v>2212.98</v>
      </c>
    </row>
    <row r="348" spans="1:19">
      <c r="A348" s="338"/>
      <c r="B348" s="44"/>
      <c r="C348" s="167"/>
      <c r="D348" s="341" t="s">
        <v>22804</v>
      </c>
      <c r="E348" s="339"/>
      <c r="F348" s="167"/>
      <c r="G348" s="339"/>
      <c r="H348" s="339"/>
      <c r="I348" s="340"/>
      <c r="J348" s="339"/>
      <c r="K348" s="339"/>
      <c r="L348" s="339"/>
      <c r="M348" s="339"/>
      <c r="N348" s="339"/>
      <c r="P348" s="339"/>
      <c r="Q348" s="339"/>
      <c r="R348" s="24">
        <f t="shared" si="561"/>
        <v>0</v>
      </c>
      <c r="S348" s="24">
        <f t="shared" si="562"/>
        <v>0</v>
      </c>
    </row>
    <row r="349" spans="1:19">
      <c r="A349" s="9" t="s">
        <v>23121</v>
      </c>
      <c r="B349" s="10" t="s">
        <v>9016</v>
      </c>
      <c r="C349" s="10">
        <v>620200</v>
      </c>
      <c r="D349" s="43" t="str">
        <f>VLOOKUP(C349,'13. CUSTOS DER - SERVIÇOS'!A:B,2,0)</f>
        <v>BOCA DE BSTC 0,80M</v>
      </c>
      <c r="E349" s="11">
        <v>17</v>
      </c>
      <c r="F349" s="26" t="str">
        <f>VLOOKUP(C349,'13. CUSTOS DER - SERVIÇOS'!A:C,3,0)</f>
        <v>UD</v>
      </c>
      <c r="G349" s="24">
        <f>VLOOKUP(C349,'13. CUSTOS DER - SERVIÇOS'!A:G,7,0)</f>
        <v>1321.46</v>
      </c>
      <c r="H349" s="24">
        <f>VLOOKUP(C349,'10. CCU TRANSPORTE'!B:J,9,0)</f>
        <v>66.239999999999995</v>
      </c>
      <c r="I349" s="25">
        <f>'3. BDI'!$C$19</f>
        <v>0.24666704095238123</v>
      </c>
      <c r="J349" s="24">
        <f t="shared" ref="J349" si="604">TRUNC(G349+(G349*I349),2)</f>
        <v>1647.42</v>
      </c>
      <c r="K349" s="24">
        <f t="shared" ref="K349" si="605">TRUNC(H349+(H349*I349),2)</f>
        <v>82.57</v>
      </c>
      <c r="L349" s="24">
        <f t="shared" ref="L349" si="606">J349*E349</f>
        <v>28006.14</v>
      </c>
      <c r="M349" s="24">
        <f t="shared" ref="M349" si="607">K349*E349</f>
        <v>1403.6899999999998</v>
      </c>
      <c r="N349" s="24">
        <f t="shared" ref="N349" si="608">L349+M349</f>
        <v>29409.829999999998</v>
      </c>
      <c r="P349" s="24">
        <f>112.26/1</f>
        <v>112.26</v>
      </c>
      <c r="Q349" s="24">
        <f>TRUNC(P349*E349,2)</f>
        <v>1908.42</v>
      </c>
      <c r="R349" s="24">
        <f t="shared" si="561"/>
        <v>2379.16</v>
      </c>
      <c r="S349" s="24">
        <f t="shared" si="562"/>
        <v>27030.67</v>
      </c>
    </row>
    <row r="350" spans="1:19">
      <c r="A350" s="338"/>
      <c r="B350" s="44"/>
      <c r="C350" s="167"/>
      <c r="D350" s="341" t="s">
        <v>22806</v>
      </c>
      <c r="E350" s="339"/>
      <c r="F350" s="167"/>
      <c r="G350" s="339"/>
      <c r="H350" s="339"/>
      <c r="I350" s="340"/>
      <c r="J350" s="339"/>
      <c r="K350" s="339"/>
      <c r="L350" s="339"/>
      <c r="M350" s="339"/>
      <c r="N350" s="339"/>
      <c r="P350" s="339"/>
      <c r="Q350" s="339"/>
      <c r="R350" s="24">
        <f t="shared" ref="R350:R381" si="609">TRUNC((Q350*I350+Q350),2)</f>
        <v>0</v>
      </c>
      <c r="S350" s="24">
        <f t="shared" ref="S350:S381" si="610">N350-R350</f>
        <v>0</v>
      </c>
    </row>
    <row r="351" spans="1:19" ht="31.5">
      <c r="A351" s="9" t="s">
        <v>23122</v>
      </c>
      <c r="B351" s="10" t="s">
        <v>22708</v>
      </c>
      <c r="C351" s="10">
        <v>705224</v>
      </c>
      <c r="D351" s="43" t="str">
        <f>UPPER(VLOOKUP(C351,'18. CUSTOS DNIT - SERVIÇOS'!A:B,2,0))</f>
        <v>BOCA DE BSCC 1,50 X 1,50 M - ESCONSIDADE 0° - AREIA EXTRAÍDA E BRITA PRODUZIDA</v>
      </c>
      <c r="E351" s="11">
        <v>8</v>
      </c>
      <c r="F351" s="26" t="str">
        <f>UPPER(VLOOKUP(C351,'18. CUSTOS DNIT - SERVIÇOS'!A:C,3,0))</f>
        <v>UN</v>
      </c>
      <c r="G351" s="24">
        <f>VLOOKUP(C351,'18. CUSTOS DNIT - SERVIÇOS'!A:D,4,0)</f>
        <v>10564.8</v>
      </c>
      <c r="H351" s="24"/>
      <c r="I351" s="25">
        <f>'3. BDI'!$C$19</f>
        <v>0.24666704095238123</v>
      </c>
      <c r="J351" s="24">
        <f>TRUNC(G351+(G351*I351),2)</f>
        <v>13170.78</v>
      </c>
      <c r="K351" s="24">
        <f>TRUNC(H351+(H351*I351),2)</f>
        <v>0</v>
      </c>
      <c r="L351" s="24">
        <f>J351*E351</f>
        <v>105366.24</v>
      </c>
      <c r="M351" s="24">
        <f>K351*E351</f>
        <v>0</v>
      </c>
      <c r="N351" s="24">
        <f>L351+M351</f>
        <v>105366.24</v>
      </c>
      <c r="P351" s="24">
        <v>0</v>
      </c>
      <c r="Q351" s="24">
        <f>TRUNC((P351*E351),2)</f>
        <v>0</v>
      </c>
      <c r="R351" s="24">
        <f t="shared" si="609"/>
        <v>0</v>
      </c>
      <c r="S351" s="24">
        <f t="shared" si="610"/>
        <v>105366.24</v>
      </c>
    </row>
    <row r="352" spans="1:19">
      <c r="A352" s="338"/>
      <c r="B352" s="44"/>
      <c r="C352" s="167"/>
      <c r="D352" s="341" t="s">
        <v>22823</v>
      </c>
      <c r="E352" s="339"/>
      <c r="F352" s="167"/>
      <c r="G352" s="339"/>
      <c r="H352" s="339"/>
      <c r="I352" s="340"/>
      <c r="J352" s="339"/>
      <c r="K352" s="339"/>
      <c r="L352" s="339"/>
      <c r="M352" s="339"/>
      <c r="N352" s="339"/>
      <c r="P352" s="339"/>
      <c r="Q352" s="339"/>
      <c r="R352" s="24">
        <f t="shared" si="609"/>
        <v>0</v>
      </c>
      <c r="S352" s="24">
        <f t="shared" si="610"/>
        <v>0</v>
      </c>
    </row>
    <row r="353" spans="1:19" ht="31.5">
      <c r="A353" s="9" t="s">
        <v>23123</v>
      </c>
      <c r="B353" s="10" t="s">
        <v>22708</v>
      </c>
      <c r="C353" s="10">
        <v>705232</v>
      </c>
      <c r="D353" s="43" t="str">
        <f>UPPER(VLOOKUP(C353,'18. CUSTOS DNIT - SERVIÇOS'!A:B,2,0))</f>
        <v>BOCA DE BSCC 2,00 X 2,00 M - ESCONSIDADE 0° - AREIA EXTRAÍDA E BRITA PRODUZIDA</v>
      </c>
      <c r="E353" s="11">
        <v>2</v>
      </c>
      <c r="F353" s="26" t="str">
        <f>UPPER(VLOOKUP(C353,'18. CUSTOS DNIT - SERVIÇOS'!A:C,3,0))</f>
        <v>UN</v>
      </c>
      <c r="G353" s="24">
        <f>VLOOKUP(C353,'18. CUSTOS DNIT - SERVIÇOS'!A:D,4,0)</f>
        <v>16413.169999999998</v>
      </c>
      <c r="H353" s="24"/>
      <c r="I353" s="25">
        <f>'3. BDI'!$C$19</f>
        <v>0.24666704095238123</v>
      </c>
      <c r="J353" s="24">
        <f>TRUNC(G353+(G353*I353),2)</f>
        <v>20461.75</v>
      </c>
      <c r="K353" s="24">
        <f>TRUNC(H353+(H353*I353),2)</f>
        <v>0</v>
      </c>
      <c r="L353" s="24">
        <f>J353*E353</f>
        <v>40923.5</v>
      </c>
      <c r="M353" s="24">
        <f>K353*E353</f>
        <v>0</v>
      </c>
      <c r="N353" s="24">
        <f>L353+M353</f>
        <v>40923.5</v>
      </c>
      <c r="P353" s="24">
        <v>0</v>
      </c>
      <c r="Q353" s="24">
        <f>TRUNC((P353*E353),2)</f>
        <v>0</v>
      </c>
      <c r="R353" s="24">
        <f t="shared" si="609"/>
        <v>0</v>
      </c>
      <c r="S353" s="24">
        <f t="shared" si="610"/>
        <v>40923.5</v>
      </c>
    </row>
    <row r="354" spans="1:19">
      <c r="A354" s="338"/>
      <c r="B354" s="44"/>
      <c r="C354" s="167"/>
      <c r="D354" s="341" t="s">
        <v>22824</v>
      </c>
      <c r="E354" s="339"/>
      <c r="F354" s="167"/>
      <c r="G354" s="339"/>
      <c r="H354" s="339"/>
      <c r="I354" s="340"/>
      <c r="J354" s="339"/>
      <c r="K354" s="339"/>
      <c r="L354" s="339"/>
      <c r="M354" s="339"/>
      <c r="N354" s="339"/>
      <c r="P354" s="339"/>
      <c r="Q354" s="339"/>
      <c r="R354" s="24">
        <f t="shared" si="609"/>
        <v>0</v>
      </c>
      <c r="S354" s="24">
        <f t="shared" si="610"/>
        <v>0</v>
      </c>
    </row>
    <row r="355" spans="1:19">
      <c r="A355" s="9" t="s">
        <v>23124</v>
      </c>
      <c r="B355" s="10" t="s">
        <v>9016</v>
      </c>
      <c r="C355" s="10">
        <v>600600</v>
      </c>
      <c r="D355" s="43" t="str">
        <f>VLOOKUP(C355,'13. CUSTOS DER - SERVIÇOS'!A:B,2,0)</f>
        <v>ESCAVAÇÃO VALAS DE DRENAGEM 1A. CAT.</v>
      </c>
      <c r="E355" s="11">
        <v>324</v>
      </c>
      <c r="F355" s="26" t="str">
        <f>VLOOKUP(C355,'13. CUSTOS DER - SERVIÇOS'!A:C,3,0)</f>
        <v>M3</v>
      </c>
      <c r="G355" s="24">
        <f>VLOOKUP(C355,'13. CUSTOS DER - SERVIÇOS'!A:G,7,0)</f>
        <v>18.559999999999999</v>
      </c>
      <c r="H355" s="24">
        <v>0</v>
      </c>
      <c r="I355" s="25">
        <f>'3. BDI'!$C$19</f>
        <v>0.24666704095238123</v>
      </c>
      <c r="J355" s="24">
        <f t="shared" ref="J355:J356" si="611">TRUNC(G355+(G355*I355),2)</f>
        <v>23.13</v>
      </c>
      <c r="K355" s="24">
        <f t="shared" ref="K355:K356" si="612">TRUNC(H355+(H355*I355),2)</f>
        <v>0</v>
      </c>
      <c r="L355" s="24">
        <f t="shared" ref="L355:L356" si="613">J355*E355</f>
        <v>7494.12</v>
      </c>
      <c r="M355" s="24">
        <f t="shared" ref="M355:M356" si="614">K355*E355</f>
        <v>0</v>
      </c>
      <c r="N355" s="24">
        <f t="shared" ref="N355:N356" si="615">L355+M355</f>
        <v>7494.12</v>
      </c>
      <c r="P355" s="24">
        <f>40.04/10.32</f>
        <v>3.8798449612403099</v>
      </c>
      <c r="Q355" s="24">
        <f t="shared" ref="Q355:Q356" si="616">TRUNC(P355*E355,2)</f>
        <v>1257.06</v>
      </c>
      <c r="R355" s="24">
        <f t="shared" si="609"/>
        <v>1567.13</v>
      </c>
      <c r="S355" s="24">
        <f t="shared" si="610"/>
        <v>5926.99</v>
      </c>
    </row>
    <row r="356" spans="1:19">
      <c r="A356" s="9" t="s">
        <v>23126</v>
      </c>
      <c r="B356" s="10" t="s">
        <v>9016</v>
      </c>
      <c r="C356" s="10">
        <v>800000</v>
      </c>
      <c r="D356" s="43" t="str">
        <f>VLOOKUP(C356,'13. CUSTOS DER - SERVIÇOS'!A:B,2,0)</f>
        <v>ENLEIVAMENTO</v>
      </c>
      <c r="E356" s="11">
        <v>620.29</v>
      </c>
      <c r="F356" s="26" t="str">
        <f>VLOOKUP(C356,'13. CUSTOS DER - SERVIÇOS'!A:C,3,0)</f>
        <v>M2</v>
      </c>
      <c r="G356" s="24">
        <f>VLOOKUP(C356,'13. CUSTOS DER - SERVIÇOS'!A:G,7,0)</f>
        <v>12.41</v>
      </c>
      <c r="H356" s="24"/>
      <c r="I356" s="25">
        <f>'3. BDI'!$C$19</f>
        <v>0.24666704095238123</v>
      </c>
      <c r="J356" s="24">
        <f t="shared" si="611"/>
        <v>15.47</v>
      </c>
      <c r="K356" s="24">
        <f t="shared" si="612"/>
        <v>0</v>
      </c>
      <c r="L356" s="24">
        <f t="shared" si="613"/>
        <v>9595.8863000000001</v>
      </c>
      <c r="M356" s="24">
        <f t="shared" si="614"/>
        <v>0</v>
      </c>
      <c r="N356" s="24">
        <f t="shared" si="615"/>
        <v>9595.8863000000001</v>
      </c>
      <c r="P356" s="24">
        <f>722.16/130</f>
        <v>5.555076923076923</v>
      </c>
      <c r="Q356" s="24">
        <f t="shared" si="616"/>
        <v>3445.75</v>
      </c>
      <c r="R356" s="24">
        <f t="shared" si="609"/>
        <v>4295.7</v>
      </c>
      <c r="S356" s="24">
        <f t="shared" si="610"/>
        <v>5300.1863000000003</v>
      </c>
    </row>
    <row r="357" spans="1:19">
      <c r="A357" s="338"/>
      <c r="B357" s="44"/>
      <c r="C357" s="167"/>
      <c r="D357" s="341" t="s">
        <v>22790</v>
      </c>
      <c r="E357" s="339"/>
      <c r="F357" s="167"/>
      <c r="G357" s="339"/>
      <c r="H357" s="339"/>
      <c r="I357" s="340"/>
      <c r="J357" s="339"/>
      <c r="K357" s="339"/>
      <c r="L357" s="339"/>
      <c r="M357" s="339"/>
      <c r="N357" s="339"/>
      <c r="P357" s="339"/>
      <c r="Q357" s="339"/>
      <c r="R357" s="24">
        <f t="shared" si="609"/>
        <v>0</v>
      </c>
      <c r="S357" s="24">
        <f t="shared" si="610"/>
        <v>0</v>
      </c>
    </row>
    <row r="358" spans="1:19">
      <c r="A358" s="9" t="s">
        <v>23125</v>
      </c>
      <c r="B358" s="10" t="s">
        <v>9016</v>
      </c>
      <c r="C358" s="10">
        <v>650000</v>
      </c>
      <c r="D358" s="43" t="str">
        <f>VLOOKUP(C358,'13. CUSTOS DER - SERVIÇOS'!A:B,2,0)</f>
        <v>SARJETA TRIANGULAR CONCRETO - TIPO  1</v>
      </c>
      <c r="E358" s="11">
        <v>4314</v>
      </c>
      <c r="F358" s="26" t="str">
        <f>VLOOKUP(C358,'13. CUSTOS DER - SERVIÇOS'!A:C,3,0)</f>
        <v>M</v>
      </c>
      <c r="G358" s="24">
        <f>VLOOKUP(C358,'13. CUSTOS DER - SERVIÇOS'!A:G,7,0)</f>
        <v>130.34</v>
      </c>
      <c r="H358" s="24">
        <f>VLOOKUP(C358,'10. CCU TRANSPORTE'!B:J,9,0)</f>
        <v>6.4799999999999995</v>
      </c>
      <c r="I358" s="25">
        <f>'3. BDI'!$C$19</f>
        <v>0.24666704095238123</v>
      </c>
      <c r="J358" s="24">
        <f t="shared" ref="J358" si="617">TRUNC(G358+(G358*I358),2)</f>
        <v>162.49</v>
      </c>
      <c r="K358" s="24">
        <f t="shared" ref="K358" si="618">TRUNC(H358+(H358*I358),2)</f>
        <v>8.07</v>
      </c>
      <c r="L358" s="24">
        <f t="shared" ref="L358" si="619">J358*E358</f>
        <v>700981.86</v>
      </c>
      <c r="M358" s="24">
        <f t="shared" ref="M358" si="620">K358*E358</f>
        <v>34813.980000000003</v>
      </c>
      <c r="N358" s="24">
        <f t="shared" ref="N358" si="621">L358+M358</f>
        <v>735795.84</v>
      </c>
      <c r="P358" s="24">
        <f>58.19/1</f>
        <v>58.19</v>
      </c>
      <c r="Q358" s="24">
        <f>TRUNC(P358*E358,2)</f>
        <v>251031.66</v>
      </c>
      <c r="R358" s="24">
        <f t="shared" si="609"/>
        <v>312952.89</v>
      </c>
      <c r="S358" s="24">
        <f t="shared" si="610"/>
        <v>422842.94999999995</v>
      </c>
    </row>
    <row r="359" spans="1:19">
      <c r="A359" s="338"/>
      <c r="B359" s="44"/>
      <c r="C359" s="167"/>
      <c r="D359" s="341" t="s">
        <v>22791</v>
      </c>
      <c r="E359" s="339"/>
      <c r="F359" s="167"/>
      <c r="G359" s="339"/>
      <c r="H359" s="339"/>
      <c r="I359" s="340"/>
      <c r="J359" s="339"/>
      <c r="K359" s="339"/>
      <c r="L359" s="339"/>
      <c r="M359" s="339"/>
      <c r="N359" s="339"/>
      <c r="P359" s="339"/>
      <c r="Q359" s="339"/>
      <c r="R359" s="24">
        <f t="shared" si="609"/>
        <v>0</v>
      </c>
      <c r="S359" s="24">
        <f t="shared" si="610"/>
        <v>0</v>
      </c>
    </row>
    <row r="360" spans="1:19">
      <c r="A360" s="9" t="s">
        <v>23596</v>
      </c>
      <c r="B360" s="10" t="s">
        <v>358</v>
      </c>
      <c r="C360" s="10" t="s">
        <v>22654</v>
      </c>
      <c r="D360" s="43" t="s">
        <v>259</v>
      </c>
      <c r="E360" s="11">
        <v>4577</v>
      </c>
      <c r="F360" s="13" t="s">
        <v>328</v>
      </c>
      <c r="G360" s="24">
        <f>VLOOKUP(C360,'9. CCU''S GERAIS AMEP'!A:K,11,0)</f>
        <v>117.9667</v>
      </c>
      <c r="H360" s="24">
        <v>0</v>
      </c>
      <c r="I360" s="25">
        <f>'3. BDI'!$C$19</f>
        <v>0.24666704095238123</v>
      </c>
      <c r="J360" s="24">
        <f t="shared" ref="J360" si="622">TRUNC(G360+(G360*I360),2)</f>
        <v>147.06</v>
      </c>
      <c r="K360" s="24">
        <f t="shared" ref="K360" si="623">TRUNC(H360+(H360*I360),2)</f>
        <v>0</v>
      </c>
      <c r="L360" s="24">
        <f t="shared" ref="L360" si="624">J360*E360</f>
        <v>673093.62</v>
      </c>
      <c r="M360" s="24">
        <f t="shared" ref="M360" si="625">K360*E360</f>
        <v>0</v>
      </c>
      <c r="N360" s="24">
        <f t="shared" ref="N360" si="626">L360+M360</f>
        <v>673093.62</v>
      </c>
      <c r="P360" s="24">
        <f>58.2/1</f>
        <v>58.2</v>
      </c>
      <c r="Q360" s="24">
        <f t="shared" ref="Q360" si="627">P360*E360</f>
        <v>266381.40000000002</v>
      </c>
      <c r="R360" s="24">
        <f t="shared" si="609"/>
        <v>332088.90999999997</v>
      </c>
      <c r="S360" s="24">
        <f t="shared" si="610"/>
        <v>341004.71</v>
      </c>
    </row>
    <row r="361" spans="1:19">
      <c r="A361" s="338"/>
      <c r="B361" s="44"/>
      <c r="C361" s="167"/>
      <c r="D361" s="341" t="s">
        <v>22792</v>
      </c>
      <c r="E361" s="339"/>
      <c r="F361" s="167"/>
      <c r="G361" s="339"/>
      <c r="H361" s="339"/>
      <c r="I361" s="340"/>
      <c r="J361" s="339"/>
      <c r="K361" s="339"/>
      <c r="L361" s="339"/>
      <c r="M361" s="339"/>
      <c r="N361" s="339"/>
      <c r="P361" s="339"/>
      <c r="Q361" s="339"/>
      <c r="R361" s="24">
        <f t="shared" si="609"/>
        <v>0</v>
      </c>
      <c r="S361" s="24">
        <f t="shared" si="610"/>
        <v>0</v>
      </c>
    </row>
    <row r="362" spans="1:19">
      <c r="A362" s="9" t="s">
        <v>23597</v>
      </c>
      <c r="B362" s="10" t="s">
        <v>9016</v>
      </c>
      <c r="C362" s="10">
        <v>660500</v>
      </c>
      <c r="D362" s="43" t="str">
        <f>VLOOKUP(C362,'13. CUSTOS DER - SERVIÇOS'!A:B,2,0)</f>
        <v>VALETA CONCRETO PROTEÇÃO ATERRO - TIPO 7A</v>
      </c>
      <c r="E362" s="11">
        <v>1792</v>
      </c>
      <c r="F362" s="26" t="str">
        <f>VLOOKUP(C362,'13. CUSTOS DER - SERVIÇOS'!A:C,3,0)</f>
        <v>M</v>
      </c>
      <c r="G362" s="24">
        <f>VLOOKUP(C362,'13. CUSTOS DER - SERVIÇOS'!A:G,7,0)</f>
        <v>113.16</v>
      </c>
      <c r="H362" s="24">
        <f>VLOOKUP(C362,'10. CCU TRANSPORTE'!B:J,9,0)</f>
        <v>5.21</v>
      </c>
      <c r="I362" s="25">
        <f>'3. BDI'!$C$19</f>
        <v>0.24666704095238123</v>
      </c>
      <c r="J362" s="24">
        <f t="shared" ref="J362" si="628">TRUNC(G362+(G362*I362),2)</f>
        <v>141.07</v>
      </c>
      <c r="K362" s="24">
        <f t="shared" ref="K362" si="629">TRUNC(H362+(H362*I362),2)</f>
        <v>6.49</v>
      </c>
      <c r="L362" s="24">
        <f t="shared" ref="L362" si="630">J362*E362</f>
        <v>252797.44</v>
      </c>
      <c r="M362" s="24">
        <f t="shared" ref="M362" si="631">K362*E362</f>
        <v>11630.08</v>
      </c>
      <c r="N362" s="24">
        <f t="shared" ref="N362" si="632">L362+M362</f>
        <v>264427.52000000002</v>
      </c>
      <c r="P362" s="24">
        <f>47.82/1</f>
        <v>47.82</v>
      </c>
      <c r="Q362" s="24">
        <f>TRUNC(P362*E362,2)</f>
        <v>85693.440000000002</v>
      </c>
      <c r="R362" s="24">
        <f t="shared" si="609"/>
        <v>106831.18</v>
      </c>
      <c r="S362" s="24">
        <f t="shared" si="610"/>
        <v>157596.34000000003</v>
      </c>
    </row>
    <row r="363" spans="1:19">
      <c r="A363" s="338"/>
      <c r="B363" s="44"/>
      <c r="C363" s="167"/>
      <c r="D363" s="341" t="s">
        <v>22793</v>
      </c>
      <c r="E363" s="339"/>
      <c r="F363" s="167"/>
      <c r="G363" s="339"/>
      <c r="H363" s="339"/>
      <c r="I363" s="340"/>
      <c r="J363" s="339"/>
      <c r="K363" s="339"/>
      <c r="L363" s="339"/>
      <c r="M363" s="339"/>
      <c r="N363" s="339"/>
      <c r="P363" s="339"/>
      <c r="Q363" s="339"/>
      <c r="R363" s="24">
        <f t="shared" si="609"/>
        <v>0</v>
      </c>
      <c r="S363" s="24">
        <f t="shared" si="610"/>
        <v>0</v>
      </c>
    </row>
    <row r="364" spans="1:19">
      <c r="A364" s="9" t="s">
        <v>23598</v>
      </c>
      <c r="B364" s="10" t="s">
        <v>9016</v>
      </c>
      <c r="C364" s="10">
        <v>661500</v>
      </c>
      <c r="D364" s="43" t="str">
        <f>VLOOKUP(C364,'13. CUSTOS DER - SERVIÇOS'!A:B,2,0)</f>
        <v>VALETA CONCRETO PROTEÇÃO CORTE - TIPO 7A</v>
      </c>
      <c r="E364" s="11">
        <v>101</v>
      </c>
      <c r="F364" s="26" t="str">
        <f>VLOOKUP(C364,'13. CUSTOS DER - SERVIÇOS'!A:C,3,0)</f>
        <v>M</v>
      </c>
      <c r="G364" s="24">
        <f>VLOOKUP(C364,'13. CUSTOS DER - SERVIÇOS'!A:G,7,0)</f>
        <v>140</v>
      </c>
      <c r="H364" s="24">
        <f>VLOOKUP(C364,'10. CCU TRANSPORTE'!B:J,9,0)</f>
        <v>5.93</v>
      </c>
      <c r="I364" s="25">
        <f>'3. BDI'!$C$19</f>
        <v>0.24666704095238123</v>
      </c>
      <c r="J364" s="24">
        <f t="shared" ref="J364" si="633">TRUNC(G364+(G364*I364),2)</f>
        <v>174.53</v>
      </c>
      <c r="K364" s="24">
        <f t="shared" ref="K364" si="634">TRUNC(H364+(H364*I364),2)</f>
        <v>7.39</v>
      </c>
      <c r="L364" s="24">
        <f t="shared" ref="L364" si="635">J364*E364</f>
        <v>17627.53</v>
      </c>
      <c r="M364" s="24">
        <f t="shared" ref="M364" si="636">K364*E364</f>
        <v>746.39</v>
      </c>
      <c r="N364" s="24">
        <f t="shared" ref="N364" si="637">L364+M364</f>
        <v>18373.919999999998</v>
      </c>
      <c r="P364" s="24">
        <f>53.01/1</f>
        <v>53.01</v>
      </c>
      <c r="Q364" s="24">
        <f>TRUNC(P364*E364,2)</f>
        <v>5354.01</v>
      </c>
      <c r="R364" s="24">
        <f t="shared" si="609"/>
        <v>6674.66</v>
      </c>
      <c r="S364" s="24">
        <f t="shared" si="610"/>
        <v>11699.259999999998</v>
      </c>
    </row>
    <row r="365" spans="1:19">
      <c r="A365" s="338"/>
      <c r="B365" s="44"/>
      <c r="C365" s="167"/>
      <c r="D365" s="341" t="s">
        <v>22825</v>
      </c>
      <c r="E365" s="339"/>
      <c r="F365" s="167"/>
      <c r="G365" s="339"/>
      <c r="H365" s="339"/>
      <c r="I365" s="340"/>
      <c r="J365" s="339"/>
      <c r="K365" s="339"/>
      <c r="L365" s="339"/>
      <c r="M365" s="339"/>
      <c r="N365" s="339"/>
      <c r="P365" s="339"/>
      <c r="Q365" s="339"/>
      <c r="R365" s="24">
        <f t="shared" si="609"/>
        <v>0</v>
      </c>
      <c r="S365" s="24">
        <f t="shared" si="610"/>
        <v>0</v>
      </c>
    </row>
    <row r="366" spans="1:19">
      <c r="A366" s="9" t="s">
        <v>23599</v>
      </c>
      <c r="B366" s="10" t="s">
        <v>9016</v>
      </c>
      <c r="C366" s="10">
        <v>600000</v>
      </c>
      <c r="D366" s="43" t="str">
        <f>VLOOKUP(C366,'13. CUSTOS DER - SERVIÇOS'!A:B,2,0)</f>
        <v>ESCAVAÇÃO MANUAL DE VALA 1A. CAT.</v>
      </c>
      <c r="E366" s="11">
        <v>24.15</v>
      </c>
      <c r="F366" s="26" t="str">
        <f>VLOOKUP(C366,'13. CUSTOS DER - SERVIÇOS'!A:C,3,0)</f>
        <v>M3</v>
      </c>
      <c r="G366" s="24">
        <f>VLOOKUP(C366,'13. CUSTOS DER - SERVIÇOS'!A:G,7,0)</f>
        <v>49.54</v>
      </c>
      <c r="H366" s="24">
        <v>0</v>
      </c>
      <c r="I366" s="25">
        <f>'3. BDI'!$C$19</f>
        <v>0.24666704095238123</v>
      </c>
      <c r="J366" s="24">
        <f t="shared" ref="J366:J370" si="638">TRUNC(G366+(G366*I366),2)</f>
        <v>61.75</v>
      </c>
      <c r="K366" s="24">
        <f t="shared" ref="K366:K370" si="639">TRUNC(H366+(H366*I366),2)</f>
        <v>0</v>
      </c>
      <c r="L366" s="24">
        <f t="shared" ref="L366:L370" si="640">J366*E366</f>
        <v>1491.2624999999998</v>
      </c>
      <c r="M366" s="24">
        <f t="shared" ref="M366:M370" si="641">K366*E366</f>
        <v>0</v>
      </c>
      <c r="N366" s="24">
        <f t="shared" ref="N366:N370" si="642">L366+M366</f>
        <v>1491.2624999999998</v>
      </c>
      <c r="P366" s="24">
        <f>47.19/1</f>
        <v>47.19</v>
      </c>
      <c r="Q366" s="24">
        <f t="shared" ref="Q366:Q370" si="643">TRUNC(P366*E366,2)</f>
        <v>1139.6300000000001</v>
      </c>
      <c r="R366" s="24">
        <f t="shared" si="609"/>
        <v>1420.73</v>
      </c>
      <c r="S366" s="24">
        <f t="shared" si="610"/>
        <v>70.5324999999998</v>
      </c>
    </row>
    <row r="367" spans="1:19">
      <c r="A367" s="9" t="s">
        <v>23600</v>
      </c>
      <c r="B367" s="10" t="s">
        <v>9016</v>
      </c>
      <c r="C367" s="10">
        <v>601100</v>
      </c>
      <c r="D367" s="43" t="str">
        <f>VLOOKUP(C367,'13. CUSTOS DER - SERVIÇOS'!A:B,2,0)</f>
        <v>APILOAMENTO MANUAL</v>
      </c>
      <c r="E367" s="11">
        <v>4.83</v>
      </c>
      <c r="F367" s="26" t="str">
        <f>VLOOKUP(C367,'13. CUSTOS DER - SERVIÇOS'!A:C,3,0)</f>
        <v>M3</v>
      </c>
      <c r="G367" s="24">
        <f>VLOOKUP(C367,'13. CUSTOS DER - SERVIÇOS'!A:G,7,0)</f>
        <v>54.05</v>
      </c>
      <c r="H367" s="24"/>
      <c r="I367" s="25">
        <f>'3. BDI'!$C$19</f>
        <v>0.24666704095238123</v>
      </c>
      <c r="J367" s="24">
        <f t="shared" si="638"/>
        <v>67.38</v>
      </c>
      <c r="K367" s="24">
        <f t="shared" si="639"/>
        <v>0</v>
      </c>
      <c r="L367" s="24">
        <f t="shared" si="640"/>
        <v>325.44540000000001</v>
      </c>
      <c r="M367" s="24">
        <f t="shared" si="641"/>
        <v>0</v>
      </c>
      <c r="N367" s="24">
        <f t="shared" si="642"/>
        <v>325.44540000000001</v>
      </c>
      <c r="P367" s="24">
        <f>51.48/1</f>
        <v>51.48</v>
      </c>
      <c r="Q367" s="24">
        <f t="shared" si="643"/>
        <v>248.64</v>
      </c>
      <c r="R367" s="24">
        <f t="shared" si="609"/>
        <v>309.97000000000003</v>
      </c>
      <c r="S367" s="24">
        <f t="shared" si="610"/>
        <v>15.475399999999979</v>
      </c>
    </row>
    <row r="368" spans="1:19">
      <c r="A368" s="9" t="s">
        <v>23601</v>
      </c>
      <c r="B368" s="10" t="s">
        <v>9016</v>
      </c>
      <c r="C368" s="10">
        <v>602100</v>
      </c>
      <c r="D368" s="43" t="str">
        <f>VLOOKUP(C368,'13. CUSTOS DER - SERVIÇOS'!A:B,2,0)</f>
        <v>FORMAS DE MADEIRA COMPENSADA  RESINADA</v>
      </c>
      <c r="E368" s="11">
        <v>57.54</v>
      </c>
      <c r="F368" s="26" t="str">
        <f>VLOOKUP(C368,'13. CUSTOS DER - SERVIÇOS'!A:C,3,0)</f>
        <v>M2</v>
      </c>
      <c r="G368" s="24">
        <f>VLOOKUP(C368,'13. CUSTOS DER - SERVIÇOS'!A:G,7,0)</f>
        <v>78.33</v>
      </c>
      <c r="H368" s="24"/>
      <c r="I368" s="25">
        <f>'3. BDI'!$C$19</f>
        <v>0.24666704095238123</v>
      </c>
      <c r="J368" s="24">
        <f t="shared" si="638"/>
        <v>97.65</v>
      </c>
      <c r="K368" s="24">
        <f t="shared" si="639"/>
        <v>0</v>
      </c>
      <c r="L368" s="24">
        <f t="shared" si="640"/>
        <v>5618.7809999999999</v>
      </c>
      <c r="M368" s="24">
        <f t="shared" si="641"/>
        <v>0</v>
      </c>
      <c r="N368" s="24">
        <f t="shared" si="642"/>
        <v>5618.7809999999999</v>
      </c>
      <c r="P368" s="24">
        <f>78.65/2</f>
        <v>39.325000000000003</v>
      </c>
      <c r="Q368" s="24">
        <f t="shared" si="643"/>
        <v>2262.7600000000002</v>
      </c>
      <c r="R368" s="24">
        <f t="shared" si="609"/>
        <v>2820.9</v>
      </c>
      <c r="S368" s="24">
        <f t="shared" si="610"/>
        <v>2797.8809999999999</v>
      </c>
    </row>
    <row r="369" spans="1:19">
      <c r="A369" s="9" t="s">
        <v>23602</v>
      </c>
      <c r="B369" s="10" t="s">
        <v>9016</v>
      </c>
      <c r="C369" s="10">
        <v>603000</v>
      </c>
      <c r="D369" s="43" t="str">
        <f>VLOOKUP(C369,'13. CUSTOS DER - SERVIÇOS'!A:B,2,0)</f>
        <v>AÇO CA-50 FORNEC. DOBR. COLOCAÇÃO</v>
      </c>
      <c r="E369" s="11">
        <v>306.60000000000002</v>
      </c>
      <c r="F369" s="26" t="str">
        <f>VLOOKUP(C369,'13. CUSTOS DER - SERVIÇOS'!A:C,3,0)</f>
        <v>KG</v>
      </c>
      <c r="G369" s="24">
        <f>VLOOKUP(C369,'13. CUSTOS DER - SERVIÇOS'!A:G,7,0)</f>
        <v>18.34</v>
      </c>
      <c r="H369" s="24"/>
      <c r="I369" s="25">
        <f>'3. BDI'!$C$19</f>
        <v>0.24666704095238123</v>
      </c>
      <c r="J369" s="24">
        <f t="shared" si="638"/>
        <v>22.86</v>
      </c>
      <c r="K369" s="24">
        <f t="shared" si="639"/>
        <v>0</v>
      </c>
      <c r="L369" s="24">
        <f t="shared" si="640"/>
        <v>7008.8760000000002</v>
      </c>
      <c r="M369" s="24">
        <f t="shared" si="641"/>
        <v>0</v>
      </c>
      <c r="N369" s="24">
        <f t="shared" si="642"/>
        <v>7008.8760000000002</v>
      </c>
      <c r="P369" s="24">
        <f>8.97/1</f>
        <v>8.9700000000000006</v>
      </c>
      <c r="Q369" s="24">
        <f t="shared" si="643"/>
        <v>2750.2</v>
      </c>
      <c r="R369" s="24">
        <f t="shared" si="609"/>
        <v>3428.58</v>
      </c>
      <c r="S369" s="24">
        <f t="shared" si="610"/>
        <v>3580.2960000000003</v>
      </c>
    </row>
    <row r="370" spans="1:19">
      <c r="A370" s="9" t="s">
        <v>23603</v>
      </c>
      <c r="B370" s="10" t="s">
        <v>9016</v>
      </c>
      <c r="C370" s="10">
        <v>605500</v>
      </c>
      <c r="D370" s="43" t="str">
        <f>VLOOKUP(C370,'13. CUSTOS DER - SERVIÇOS'!A:B,2,0)</f>
        <v>CONCRETO FCK = 20 MPA, PREPARO EM BETONEIRA E LANÇ.</v>
      </c>
      <c r="E370" s="11">
        <v>9.66</v>
      </c>
      <c r="F370" s="26" t="str">
        <f>VLOOKUP(C370,'13. CUSTOS DER - SERVIÇOS'!A:C,3,0)</f>
        <v>M3</v>
      </c>
      <c r="G370" s="24">
        <f>VLOOKUP(C370,'13. CUSTOS DER - SERVIÇOS'!A:G,7,0)</f>
        <v>532.64</v>
      </c>
      <c r="H370" s="24">
        <f>VLOOKUP(C370,'10. CCU TRANSPORTE'!B:J,9,0)</f>
        <v>61.030000000000008</v>
      </c>
      <c r="I370" s="25">
        <f>'3. BDI'!$C$19</f>
        <v>0.24666704095238123</v>
      </c>
      <c r="J370" s="24">
        <f t="shared" si="638"/>
        <v>664.02</v>
      </c>
      <c r="K370" s="24">
        <f t="shared" si="639"/>
        <v>76.08</v>
      </c>
      <c r="L370" s="24">
        <f t="shared" si="640"/>
        <v>6414.4331999999995</v>
      </c>
      <c r="M370" s="24">
        <f t="shared" si="641"/>
        <v>734.93280000000004</v>
      </c>
      <c r="N370" s="24">
        <f t="shared" si="642"/>
        <v>7149.366</v>
      </c>
      <c r="P370" s="24">
        <f>498.36/2.5</f>
        <v>199.34399999999999</v>
      </c>
      <c r="Q370" s="24">
        <f t="shared" si="643"/>
        <v>1925.66</v>
      </c>
      <c r="R370" s="24">
        <f t="shared" si="609"/>
        <v>2400.65</v>
      </c>
      <c r="S370" s="24">
        <f t="shared" si="610"/>
        <v>4748.7160000000003</v>
      </c>
    </row>
    <row r="371" spans="1:19">
      <c r="A371" s="338"/>
      <c r="B371" s="44"/>
      <c r="C371" s="167"/>
      <c r="D371" s="341" t="s">
        <v>22876</v>
      </c>
      <c r="E371" s="339"/>
      <c r="F371" s="167"/>
      <c r="G371" s="339"/>
      <c r="H371" s="339"/>
      <c r="I371" s="340"/>
      <c r="J371" s="339"/>
      <c r="K371" s="339"/>
      <c r="L371" s="339"/>
      <c r="M371" s="339"/>
      <c r="N371" s="339"/>
      <c r="P371" s="339"/>
      <c r="Q371" s="339"/>
      <c r="R371" s="24">
        <f t="shared" si="609"/>
        <v>0</v>
      </c>
      <c r="S371" s="24">
        <f t="shared" si="610"/>
        <v>0</v>
      </c>
    </row>
    <row r="372" spans="1:19">
      <c r="A372" s="9" t="s">
        <v>23604</v>
      </c>
      <c r="B372" s="10" t="s">
        <v>9016</v>
      </c>
      <c r="C372" s="10">
        <v>600300</v>
      </c>
      <c r="D372" s="43" t="str">
        <f>VLOOKUP(C372,'13. CUSTOS DER - SERVIÇOS'!A:B,2,0)</f>
        <v>ESCAVAÇÃO DE BUEIROS EM 1A. CAT.</v>
      </c>
      <c r="E372" s="11">
        <v>1975.54</v>
      </c>
      <c r="F372" s="26" t="str">
        <f>VLOOKUP(C372,'13. CUSTOS DER - SERVIÇOS'!A:C,3,0)</f>
        <v>M3</v>
      </c>
      <c r="G372" s="24">
        <f>VLOOKUP(C372,'13. CUSTOS DER - SERVIÇOS'!A:G,7,0)</f>
        <v>11.83</v>
      </c>
      <c r="H372" s="24"/>
      <c r="I372" s="25">
        <f>'3. BDI'!$C$19</f>
        <v>0.24666704095238123</v>
      </c>
      <c r="J372" s="24">
        <f t="shared" ref="J372:J373" si="644">TRUNC(G372+(G372*I372),2)</f>
        <v>14.74</v>
      </c>
      <c r="K372" s="24">
        <f t="shared" ref="K372:K373" si="645">TRUNC(H372+(H372*I372),2)</f>
        <v>0</v>
      </c>
      <c r="L372" s="24">
        <f t="shared" ref="L372:L373" si="646">J372*E372</f>
        <v>29119.459599999998</v>
      </c>
      <c r="M372" s="24">
        <f t="shared" ref="M372:M373" si="647">K372*E372</f>
        <v>0</v>
      </c>
      <c r="N372" s="24">
        <f t="shared" ref="N372:N373" si="648">L372+M372</f>
        <v>29119.459599999998</v>
      </c>
      <c r="P372" s="24">
        <f>40.04/27.74</f>
        <v>1.4434030281182408</v>
      </c>
      <c r="Q372" s="24">
        <f t="shared" ref="Q372:Q373" si="649">TRUNC(P372*E372,2)</f>
        <v>2851.5</v>
      </c>
      <c r="R372" s="24">
        <f t="shared" si="609"/>
        <v>3554.87</v>
      </c>
      <c r="S372" s="24">
        <f t="shared" si="610"/>
        <v>25564.589599999999</v>
      </c>
    </row>
    <row r="373" spans="1:19">
      <c r="A373" s="9" t="s">
        <v>23605</v>
      </c>
      <c r="B373" s="10" t="s">
        <v>9016</v>
      </c>
      <c r="C373" s="10">
        <v>601200</v>
      </c>
      <c r="D373" s="43" t="str">
        <f>VLOOKUP(C373,'13. CUSTOS DER - SERVIÇOS'!A:B,2,0)</f>
        <v>REATERRO E APILOAMENTO MECÂNICO</v>
      </c>
      <c r="E373" s="11">
        <v>1449.15</v>
      </c>
      <c r="F373" s="26" t="str">
        <f>VLOOKUP(C373,'13. CUSTOS DER - SERVIÇOS'!A:C,3,0)</f>
        <v>M3</v>
      </c>
      <c r="G373" s="24">
        <f>VLOOKUP(C373,'13. CUSTOS DER - SERVIÇOS'!A:G,7,0)</f>
        <v>34.119999999999997</v>
      </c>
      <c r="H373" s="24"/>
      <c r="I373" s="25">
        <f>'3. BDI'!$C$19</f>
        <v>0.24666704095238123</v>
      </c>
      <c r="J373" s="24">
        <f t="shared" si="644"/>
        <v>42.53</v>
      </c>
      <c r="K373" s="24">
        <f t="shared" si="645"/>
        <v>0</v>
      </c>
      <c r="L373" s="24">
        <f t="shared" si="646"/>
        <v>61632.349500000004</v>
      </c>
      <c r="M373" s="24">
        <f t="shared" si="647"/>
        <v>0</v>
      </c>
      <c r="N373" s="24">
        <f t="shared" si="648"/>
        <v>61632.349500000004</v>
      </c>
      <c r="P373" s="24">
        <f>318.18/11</f>
        <v>28.925454545454546</v>
      </c>
      <c r="Q373" s="24">
        <f t="shared" si="649"/>
        <v>41917.32</v>
      </c>
      <c r="R373" s="24">
        <f t="shared" si="609"/>
        <v>52256.94</v>
      </c>
      <c r="S373" s="24">
        <f t="shared" si="610"/>
        <v>9375.4095000000016</v>
      </c>
    </row>
    <row r="374" spans="1:19">
      <c r="A374" s="338"/>
      <c r="B374" s="44"/>
      <c r="C374" s="167"/>
      <c r="D374" s="341" t="s">
        <v>22877</v>
      </c>
      <c r="E374" s="339"/>
      <c r="F374" s="167"/>
      <c r="G374" s="339"/>
      <c r="H374" s="339"/>
      <c r="I374" s="340"/>
      <c r="J374" s="339"/>
      <c r="K374" s="339"/>
      <c r="L374" s="339"/>
      <c r="M374" s="339"/>
      <c r="N374" s="339"/>
      <c r="P374" s="339"/>
      <c r="Q374" s="339"/>
      <c r="R374" s="24">
        <f t="shared" si="609"/>
        <v>0</v>
      </c>
      <c r="S374" s="24">
        <f t="shared" si="610"/>
        <v>0</v>
      </c>
    </row>
    <row r="375" spans="1:19">
      <c r="A375" s="9" t="s">
        <v>23606</v>
      </c>
      <c r="B375" s="10" t="s">
        <v>9016</v>
      </c>
      <c r="C375" s="10">
        <v>701100</v>
      </c>
      <c r="D375" s="43" t="str">
        <f>VLOOKUP(C375,'13. CUSTOS DER - SERVIÇOS'!A:B,2,0)</f>
        <v>ESCAVAÇÃO 1A. CAT. P/GALERIAS CELULARES</v>
      </c>
      <c r="E375" s="11">
        <v>2384.6999999999998</v>
      </c>
      <c r="F375" s="26" t="str">
        <f>VLOOKUP(C375,'13. CUSTOS DER - SERVIÇOS'!A:C,3,0)</f>
        <v>M3</v>
      </c>
      <c r="G375" s="24">
        <f>VLOOKUP(C375,'13. CUSTOS DER - SERVIÇOS'!A:G,7,0)</f>
        <v>11.83</v>
      </c>
      <c r="H375" s="24"/>
      <c r="I375" s="25">
        <f>'3. BDI'!$C$19</f>
        <v>0.24666704095238123</v>
      </c>
      <c r="J375" s="24">
        <f t="shared" ref="J375:J376" si="650">TRUNC(G375+(G375*I375),2)</f>
        <v>14.74</v>
      </c>
      <c r="K375" s="24">
        <f t="shared" ref="K375:K376" si="651">TRUNC(H375+(H375*I375),2)</f>
        <v>0</v>
      </c>
      <c r="L375" s="24">
        <f t="shared" ref="L375:L376" si="652">J375*E375</f>
        <v>35150.477999999996</v>
      </c>
      <c r="M375" s="24">
        <f t="shared" ref="M375:M376" si="653">K375*E375</f>
        <v>0</v>
      </c>
      <c r="N375" s="24">
        <f t="shared" ref="N375:N376" si="654">L375+M375</f>
        <v>35150.477999999996</v>
      </c>
      <c r="P375" s="24">
        <f>40.04/27.74</f>
        <v>1.4434030281182408</v>
      </c>
      <c r="Q375" s="24">
        <f t="shared" ref="Q375:Q376" si="655">TRUNC(P375*E375,2)</f>
        <v>3442.08</v>
      </c>
      <c r="R375" s="24">
        <f t="shared" si="609"/>
        <v>4291.12</v>
      </c>
      <c r="S375" s="24">
        <f t="shared" si="610"/>
        <v>30859.357999999997</v>
      </c>
    </row>
    <row r="376" spans="1:19">
      <c r="A376" s="9" t="s">
        <v>23607</v>
      </c>
      <c r="B376" s="10" t="s">
        <v>9016</v>
      </c>
      <c r="C376" s="10">
        <v>705000</v>
      </c>
      <c r="D376" s="43" t="str">
        <f>VLOOKUP(C376,'13. CUSTOS DER - SERVIÇOS'!A:B,2,0)</f>
        <v>REATERRO E APILOAMENTO MECÂNICO</v>
      </c>
      <c r="E376" s="11">
        <v>1627.91</v>
      </c>
      <c r="F376" s="26" t="str">
        <f>VLOOKUP(C376,'13. CUSTOS DER - SERVIÇOS'!A:C,3,0)</f>
        <v>M3</v>
      </c>
      <c r="G376" s="24">
        <f>VLOOKUP(C376,'13. CUSTOS DER - SERVIÇOS'!A:G,7,0)</f>
        <v>34.119999999999997</v>
      </c>
      <c r="H376" s="24"/>
      <c r="I376" s="25">
        <f>'3. BDI'!$C$19</f>
        <v>0.24666704095238123</v>
      </c>
      <c r="J376" s="24">
        <f t="shared" si="650"/>
        <v>42.53</v>
      </c>
      <c r="K376" s="24">
        <f t="shared" si="651"/>
        <v>0</v>
      </c>
      <c r="L376" s="24">
        <f t="shared" si="652"/>
        <v>69235.012300000002</v>
      </c>
      <c r="M376" s="24">
        <f t="shared" si="653"/>
        <v>0</v>
      </c>
      <c r="N376" s="24">
        <f t="shared" si="654"/>
        <v>69235.012300000002</v>
      </c>
      <c r="P376" s="24">
        <f>318.18/11</f>
        <v>28.925454545454546</v>
      </c>
      <c r="Q376" s="24">
        <f t="shared" si="655"/>
        <v>47088.03</v>
      </c>
      <c r="R376" s="24">
        <f t="shared" si="609"/>
        <v>58703.09</v>
      </c>
      <c r="S376" s="24">
        <f t="shared" si="610"/>
        <v>10531.922300000006</v>
      </c>
    </row>
    <row r="377" spans="1:19">
      <c r="A377" s="338"/>
      <c r="B377" s="44"/>
      <c r="C377" s="167"/>
      <c r="D377" s="341" t="s">
        <v>23523</v>
      </c>
      <c r="E377" s="339"/>
      <c r="F377" s="167"/>
      <c r="G377" s="339"/>
      <c r="H377" s="339"/>
      <c r="I377" s="340"/>
      <c r="J377" s="339"/>
      <c r="K377" s="339"/>
      <c r="L377" s="339"/>
      <c r="M377" s="339"/>
      <c r="N377" s="339"/>
      <c r="P377" s="339"/>
      <c r="Q377" s="339"/>
      <c r="R377" s="24">
        <f t="shared" si="609"/>
        <v>0</v>
      </c>
      <c r="S377" s="24">
        <f t="shared" si="610"/>
        <v>0</v>
      </c>
    </row>
    <row r="378" spans="1:19">
      <c r="A378" s="9" t="s">
        <v>23608</v>
      </c>
      <c r="B378" s="10" t="s">
        <v>9016</v>
      </c>
      <c r="C378" s="10">
        <v>630400</v>
      </c>
      <c r="D378" s="43" t="str">
        <f>VLOOKUP(C378,'13. CUSTOS DER - SERVIÇOS'!A:B,2,0)</f>
        <v>REMOÇÃO DE BUEIRO 0,40M</v>
      </c>
      <c r="E378" s="11">
        <v>36</v>
      </c>
      <c r="F378" s="26" t="str">
        <f>VLOOKUP(C378,'13. CUSTOS DER - SERVIÇOS'!A:C,3,0)</f>
        <v>M</v>
      </c>
      <c r="G378" s="24">
        <f>VLOOKUP(C378,'13. CUSTOS DER - SERVIÇOS'!A:G,7,0)</f>
        <v>19.809999999999999</v>
      </c>
      <c r="H378" s="24"/>
      <c r="I378" s="25">
        <f>'3. BDI'!$C$19</f>
        <v>0.24666704095238123</v>
      </c>
      <c r="J378" s="24">
        <f t="shared" ref="J378:J381" si="656">TRUNC(G378+(G378*I378),2)</f>
        <v>24.69</v>
      </c>
      <c r="K378" s="24">
        <f t="shared" ref="K378:K381" si="657">TRUNC(H378+(H378*I378),2)</f>
        <v>0</v>
      </c>
      <c r="L378" s="24">
        <f t="shared" ref="L378:L381" si="658">J378*E378</f>
        <v>888.84</v>
      </c>
      <c r="M378" s="24">
        <f t="shared" ref="M378:M381" si="659">K378*E378</f>
        <v>0</v>
      </c>
      <c r="N378" s="24">
        <f t="shared" ref="N378:N381" si="660">L378+M378</f>
        <v>888.84</v>
      </c>
      <c r="P378" s="24">
        <f>71.5/12</f>
        <v>5.958333333333333</v>
      </c>
      <c r="Q378" s="24">
        <f t="shared" ref="Q378:Q381" si="661">TRUNC(P378*E378,2)</f>
        <v>214.5</v>
      </c>
      <c r="R378" s="24">
        <f t="shared" si="609"/>
        <v>267.41000000000003</v>
      </c>
      <c r="S378" s="24">
        <f t="shared" si="610"/>
        <v>621.43000000000006</v>
      </c>
    </row>
    <row r="379" spans="1:19">
      <c r="A379" s="9" t="s">
        <v>23609</v>
      </c>
      <c r="B379" s="10" t="s">
        <v>9016</v>
      </c>
      <c r="C379" s="10">
        <v>630600</v>
      </c>
      <c r="D379" s="43" t="str">
        <f>VLOOKUP(C379,'13. CUSTOS DER - SERVIÇOS'!A:B,2,0)</f>
        <v>REMOÇÃO DE BUEIRO 0,60M</v>
      </c>
      <c r="E379" s="11">
        <v>107</v>
      </c>
      <c r="F379" s="26" t="str">
        <f>VLOOKUP(C379,'13. CUSTOS DER - SERVIÇOS'!A:C,3,0)</f>
        <v>M</v>
      </c>
      <c r="G379" s="24">
        <f>VLOOKUP(C379,'13. CUSTOS DER - SERVIÇOS'!A:G,7,0)</f>
        <v>23.77</v>
      </c>
      <c r="H379" s="24"/>
      <c r="I379" s="25">
        <f>'3. BDI'!$C$19</f>
        <v>0.24666704095238123</v>
      </c>
      <c r="J379" s="24">
        <f t="shared" si="656"/>
        <v>29.63</v>
      </c>
      <c r="K379" s="24">
        <f t="shared" si="657"/>
        <v>0</v>
      </c>
      <c r="L379" s="24">
        <f t="shared" si="658"/>
        <v>3170.41</v>
      </c>
      <c r="M379" s="24">
        <f t="shared" si="659"/>
        <v>0</v>
      </c>
      <c r="N379" s="24">
        <f t="shared" si="660"/>
        <v>3170.41</v>
      </c>
      <c r="P379" s="24">
        <f>71.5/10</f>
        <v>7.15</v>
      </c>
      <c r="Q379" s="24">
        <f t="shared" si="661"/>
        <v>765.05</v>
      </c>
      <c r="R379" s="24">
        <f t="shared" si="609"/>
        <v>953.76</v>
      </c>
      <c r="S379" s="24">
        <f t="shared" si="610"/>
        <v>2216.6499999999996</v>
      </c>
    </row>
    <row r="380" spans="1:19">
      <c r="A380" s="9" t="s">
        <v>23610</v>
      </c>
      <c r="B380" s="10" t="s">
        <v>9016</v>
      </c>
      <c r="C380" s="10">
        <v>631200</v>
      </c>
      <c r="D380" s="43" t="str">
        <f>VLOOKUP(C380,'13. CUSTOS DER - SERVIÇOS'!A:B,2,0)</f>
        <v>REMOÇÃO DE BUEIRO 1,20M</v>
      </c>
      <c r="E380" s="11">
        <v>31</v>
      </c>
      <c r="F380" s="26" t="str">
        <f>VLOOKUP(C380,'13. CUSTOS DER - SERVIÇOS'!A:C,3,0)</f>
        <v>M</v>
      </c>
      <c r="G380" s="24">
        <f>VLOOKUP(C380,'13. CUSTOS DER - SERVIÇOS'!A:G,7,0)</f>
        <v>57.25</v>
      </c>
      <c r="H380" s="24"/>
      <c r="I380" s="25">
        <f>'3. BDI'!$C$19</f>
        <v>0.24666704095238123</v>
      </c>
      <c r="J380" s="24">
        <f t="shared" si="656"/>
        <v>71.37</v>
      </c>
      <c r="K380" s="24">
        <f t="shared" si="657"/>
        <v>0</v>
      </c>
      <c r="L380" s="24">
        <f t="shared" si="658"/>
        <v>2212.4700000000003</v>
      </c>
      <c r="M380" s="24">
        <f t="shared" si="659"/>
        <v>0</v>
      </c>
      <c r="N380" s="24">
        <f t="shared" si="660"/>
        <v>2212.4700000000003</v>
      </c>
      <c r="P380" s="24">
        <f>71.5/5</f>
        <v>14.3</v>
      </c>
      <c r="Q380" s="24">
        <f t="shared" si="661"/>
        <v>443.3</v>
      </c>
      <c r="R380" s="24">
        <f t="shared" si="609"/>
        <v>552.64</v>
      </c>
      <c r="S380" s="24">
        <f t="shared" si="610"/>
        <v>1659.8300000000004</v>
      </c>
    </row>
    <row r="381" spans="1:19">
      <c r="A381" s="9" t="s">
        <v>23611</v>
      </c>
      <c r="B381" s="10" t="s">
        <v>9016</v>
      </c>
      <c r="C381" s="10">
        <v>610200</v>
      </c>
      <c r="D381" s="43" t="str">
        <f>VLOOKUP(C381,'13. CUSTOS DER - SERVIÇOS'!A:B,2,0)</f>
        <v>LIMPEZA MANUAL DE VALETA</v>
      </c>
      <c r="E381" s="11">
        <v>50</v>
      </c>
      <c r="F381" s="26" t="str">
        <f>VLOOKUP(C381,'13. CUSTOS DER - SERVIÇOS'!A:C,3,0)</f>
        <v>M</v>
      </c>
      <c r="G381" s="24">
        <f>VLOOKUP(C381,'13. CUSTOS DER - SERVIÇOS'!A:G,7,0)</f>
        <v>3.74</v>
      </c>
      <c r="H381" s="24"/>
      <c r="I381" s="25">
        <f>'3. BDI'!$C$19</f>
        <v>0.24666704095238123</v>
      </c>
      <c r="J381" s="24">
        <f t="shared" si="656"/>
        <v>4.66</v>
      </c>
      <c r="K381" s="24">
        <f t="shared" si="657"/>
        <v>0</v>
      </c>
      <c r="L381" s="24">
        <f t="shared" si="658"/>
        <v>233</v>
      </c>
      <c r="M381" s="24">
        <f t="shared" si="659"/>
        <v>0</v>
      </c>
      <c r="N381" s="24">
        <f t="shared" si="660"/>
        <v>233</v>
      </c>
      <c r="P381" s="24">
        <f>1235.55/600</f>
        <v>2.05925</v>
      </c>
      <c r="Q381" s="24">
        <f t="shared" si="661"/>
        <v>102.96</v>
      </c>
      <c r="R381" s="24">
        <f t="shared" si="609"/>
        <v>128.35</v>
      </c>
      <c r="S381" s="24">
        <f t="shared" si="610"/>
        <v>104.65</v>
      </c>
    </row>
    <row r="382" spans="1:19">
      <c r="A382" s="338"/>
      <c r="B382" s="44"/>
      <c r="C382" s="167"/>
      <c r="D382" s="341" t="s">
        <v>35</v>
      </c>
      <c r="E382" s="339"/>
      <c r="F382" s="167"/>
      <c r="G382" s="339"/>
      <c r="H382" s="339"/>
      <c r="I382" s="340"/>
      <c r="J382" s="339"/>
      <c r="K382" s="339"/>
      <c r="L382" s="339"/>
      <c r="M382" s="339"/>
      <c r="N382" s="339"/>
      <c r="P382" s="339"/>
      <c r="Q382" s="339"/>
      <c r="R382" s="24">
        <f t="shared" ref="R382:R383" si="662">TRUNC((Q382*I382+Q382),2)</f>
        <v>0</v>
      </c>
      <c r="S382" s="24">
        <f t="shared" ref="S382:S383" si="663">N382-R382</f>
        <v>0</v>
      </c>
    </row>
    <row r="383" spans="1:19">
      <c r="A383" s="9" t="s">
        <v>23618</v>
      </c>
      <c r="B383" s="10" t="s">
        <v>358</v>
      </c>
      <c r="C383" s="12" t="s">
        <v>22676</v>
      </c>
      <c r="D383" s="43" t="s">
        <v>308</v>
      </c>
      <c r="E383" s="11">
        <v>1999.48</v>
      </c>
      <c r="F383" s="13" t="s">
        <v>328</v>
      </c>
      <c r="G383" s="24">
        <f>VLOOKUP(C383,'9. CCU''S GERAIS AMEP'!A:K,11,0)</f>
        <v>28.355223000000002</v>
      </c>
      <c r="H383" s="24">
        <v>0</v>
      </c>
      <c r="I383" s="25">
        <f>'3. BDI'!$C$19</f>
        <v>0.24666704095238123</v>
      </c>
      <c r="J383" s="24">
        <f t="shared" ref="J383" si="664">TRUNC(G383+(G383*I383),2)</f>
        <v>35.340000000000003</v>
      </c>
      <c r="K383" s="24">
        <f t="shared" ref="K383" si="665">TRUNC(H383+(H383*I383),2)</f>
        <v>0</v>
      </c>
      <c r="L383" s="24">
        <f t="shared" ref="L383" si="666">J383*E383</f>
        <v>70661.623200000002</v>
      </c>
      <c r="M383" s="24">
        <f t="shared" ref="M383" si="667">K383*E383</f>
        <v>0</v>
      </c>
      <c r="N383" s="24">
        <f t="shared" ref="N383" si="668">L383+M383</f>
        <v>70661.623200000002</v>
      </c>
      <c r="P383" s="24">
        <f>212.21/100</f>
        <v>2.1221000000000001</v>
      </c>
      <c r="Q383" s="24">
        <f t="shared" ref="Q383" si="669">P383*E383</f>
        <v>4243.0965080000005</v>
      </c>
      <c r="R383" s="24">
        <f t="shared" si="662"/>
        <v>5289.72</v>
      </c>
      <c r="S383" s="24">
        <f t="shared" si="663"/>
        <v>65371.903200000001</v>
      </c>
    </row>
    <row r="384" spans="1:19">
      <c r="A384" s="28" t="s">
        <v>22979</v>
      </c>
      <c r="B384" s="48"/>
      <c r="C384" s="32"/>
      <c r="D384" s="301" t="s">
        <v>22782</v>
      </c>
      <c r="E384" s="33"/>
      <c r="F384" s="32" t="s">
        <v>195</v>
      </c>
      <c r="G384" s="33"/>
      <c r="H384" s="33"/>
      <c r="I384" s="34"/>
      <c r="J384" s="33"/>
      <c r="K384" s="33"/>
      <c r="L384" s="33">
        <f t="shared" ref="L384:M384" si="670">SUM(L385:L440)</f>
        <v>649362.66260000004</v>
      </c>
      <c r="M384" s="33">
        <f t="shared" si="670"/>
        <v>17322.624799999998</v>
      </c>
      <c r="N384" s="33">
        <f>SUM(N385:N440)</f>
        <v>666685.28740000003</v>
      </c>
      <c r="P384" s="33">
        <f t="shared" ref="P384:S384" si="671">SUM(P385:P440)</f>
        <v>3469.89932945789</v>
      </c>
      <c r="Q384" s="33">
        <f t="shared" si="671"/>
        <v>195439.73934399991</v>
      </c>
      <c r="R384" s="33">
        <f t="shared" si="671"/>
        <v>243648.08</v>
      </c>
      <c r="S384" s="33">
        <f t="shared" si="671"/>
        <v>423037.2073999999</v>
      </c>
    </row>
    <row r="385" spans="1:19">
      <c r="A385" s="338"/>
      <c r="B385" s="44"/>
      <c r="C385" s="167"/>
      <c r="D385" s="341" t="s">
        <v>22811</v>
      </c>
      <c r="E385" s="339"/>
      <c r="F385" s="167"/>
      <c r="G385" s="339"/>
      <c r="H385" s="339"/>
      <c r="I385" s="340"/>
      <c r="J385" s="339"/>
      <c r="K385" s="339"/>
      <c r="L385" s="339"/>
      <c r="M385" s="339"/>
      <c r="N385" s="339"/>
      <c r="P385" s="339"/>
      <c r="Q385" s="339"/>
      <c r="R385" s="24">
        <f t="shared" ref="R385:R416" si="672">TRUNC((Q385*I385+Q385),2)</f>
        <v>0</v>
      </c>
      <c r="S385" s="24">
        <f t="shared" ref="S385:S416" si="673">N385-R385</f>
        <v>0</v>
      </c>
    </row>
    <row r="386" spans="1:19">
      <c r="A386" s="9" t="s">
        <v>23127</v>
      </c>
      <c r="B386" s="10" t="s">
        <v>9016</v>
      </c>
      <c r="C386" s="10">
        <v>600000</v>
      </c>
      <c r="D386" s="43" t="str">
        <f>VLOOKUP(C386,'13. CUSTOS DER - SERVIÇOS'!A:B,2,0)</f>
        <v>ESCAVAÇÃO MANUAL DE VALA 1A. CAT.</v>
      </c>
      <c r="E386" s="11">
        <v>30</v>
      </c>
      <c r="F386" s="26" t="str">
        <f>VLOOKUP(C386,'13. CUSTOS DER - SERVIÇOS'!A:C,3,0)</f>
        <v>M3</v>
      </c>
      <c r="G386" s="24">
        <f>VLOOKUP(C386,'13. CUSTOS DER - SERVIÇOS'!A:G,7,0)</f>
        <v>49.54</v>
      </c>
      <c r="H386" s="24">
        <v>0</v>
      </c>
      <c r="I386" s="25">
        <f>'3. BDI'!$C$19</f>
        <v>0.24666704095238123</v>
      </c>
      <c r="J386" s="24">
        <f t="shared" ref="J386:J390" si="674">TRUNC(G386+(G386*I386),2)</f>
        <v>61.75</v>
      </c>
      <c r="K386" s="24">
        <f t="shared" ref="K386:K390" si="675">TRUNC(H386+(H386*I386),2)</f>
        <v>0</v>
      </c>
      <c r="L386" s="24">
        <f t="shared" ref="L386:L390" si="676">J386*E386</f>
        <v>1852.5</v>
      </c>
      <c r="M386" s="24">
        <f t="shared" ref="M386:M390" si="677">K386*E386</f>
        <v>0</v>
      </c>
      <c r="N386" s="24">
        <f t="shared" ref="N386:N390" si="678">L386+M386</f>
        <v>1852.5</v>
      </c>
      <c r="P386" s="24">
        <f>47.19/1</f>
        <v>47.19</v>
      </c>
      <c r="Q386" s="24">
        <f t="shared" ref="Q386:Q390" si="679">TRUNC(P386*E386,2)</f>
        <v>1415.7</v>
      </c>
      <c r="R386" s="24">
        <f t="shared" si="672"/>
        <v>1764.9</v>
      </c>
      <c r="S386" s="24">
        <f t="shared" si="673"/>
        <v>87.599999999999909</v>
      </c>
    </row>
    <row r="387" spans="1:19">
      <c r="A387" s="9" t="s">
        <v>23131</v>
      </c>
      <c r="B387" s="10" t="s">
        <v>9016</v>
      </c>
      <c r="C387" s="10">
        <v>601100</v>
      </c>
      <c r="D387" s="43" t="str">
        <f>VLOOKUP(C387,'13. CUSTOS DER - SERVIÇOS'!A:B,2,0)</f>
        <v>APILOAMENTO MANUAL</v>
      </c>
      <c r="E387" s="11">
        <v>10</v>
      </c>
      <c r="F387" s="26" t="str">
        <f>VLOOKUP(C387,'13. CUSTOS DER - SERVIÇOS'!A:C,3,0)</f>
        <v>M3</v>
      </c>
      <c r="G387" s="24">
        <f>VLOOKUP(C387,'13. CUSTOS DER - SERVIÇOS'!A:G,7,0)</f>
        <v>54.05</v>
      </c>
      <c r="H387" s="24"/>
      <c r="I387" s="25">
        <f>'3. BDI'!$C$19</f>
        <v>0.24666704095238123</v>
      </c>
      <c r="J387" s="24">
        <f t="shared" si="674"/>
        <v>67.38</v>
      </c>
      <c r="K387" s="24">
        <f t="shared" si="675"/>
        <v>0</v>
      </c>
      <c r="L387" s="24">
        <f t="shared" si="676"/>
        <v>673.8</v>
      </c>
      <c r="M387" s="24">
        <f t="shared" si="677"/>
        <v>0</v>
      </c>
      <c r="N387" s="24">
        <f t="shared" si="678"/>
        <v>673.8</v>
      </c>
      <c r="P387" s="24">
        <f>51.48/1</f>
        <v>51.48</v>
      </c>
      <c r="Q387" s="24">
        <f t="shared" si="679"/>
        <v>514.79999999999995</v>
      </c>
      <c r="R387" s="24">
        <f t="shared" si="672"/>
        <v>641.78</v>
      </c>
      <c r="S387" s="24">
        <f t="shared" si="673"/>
        <v>32.019999999999982</v>
      </c>
    </row>
    <row r="388" spans="1:19">
      <c r="A388" s="9" t="s">
        <v>23129</v>
      </c>
      <c r="B388" s="10" t="s">
        <v>9016</v>
      </c>
      <c r="C388" s="10">
        <v>602100</v>
      </c>
      <c r="D388" s="43" t="str">
        <f>VLOOKUP(C388,'13. CUSTOS DER - SERVIÇOS'!A:B,2,0)</f>
        <v>FORMAS DE MADEIRA COMPENSADA  RESINADA</v>
      </c>
      <c r="E388" s="11">
        <v>40.6</v>
      </c>
      <c r="F388" s="26" t="str">
        <f>VLOOKUP(C388,'13. CUSTOS DER - SERVIÇOS'!A:C,3,0)</f>
        <v>M2</v>
      </c>
      <c r="G388" s="24">
        <f>VLOOKUP(C388,'13. CUSTOS DER - SERVIÇOS'!A:G,7,0)</f>
        <v>78.33</v>
      </c>
      <c r="H388" s="24"/>
      <c r="I388" s="25">
        <f>'3. BDI'!$C$19</f>
        <v>0.24666704095238123</v>
      </c>
      <c r="J388" s="24">
        <f t="shared" si="674"/>
        <v>97.65</v>
      </c>
      <c r="K388" s="24">
        <f t="shared" si="675"/>
        <v>0</v>
      </c>
      <c r="L388" s="24">
        <f t="shared" si="676"/>
        <v>3964.59</v>
      </c>
      <c r="M388" s="24">
        <f t="shared" si="677"/>
        <v>0</v>
      </c>
      <c r="N388" s="24">
        <f t="shared" si="678"/>
        <v>3964.59</v>
      </c>
      <c r="P388" s="24">
        <f>78.65/2</f>
        <v>39.325000000000003</v>
      </c>
      <c r="Q388" s="24">
        <f t="shared" si="679"/>
        <v>1596.59</v>
      </c>
      <c r="R388" s="24">
        <f t="shared" si="672"/>
        <v>1990.41</v>
      </c>
      <c r="S388" s="24">
        <f t="shared" si="673"/>
        <v>1974.18</v>
      </c>
    </row>
    <row r="389" spans="1:19">
      <c r="A389" s="9" t="s">
        <v>23132</v>
      </c>
      <c r="B389" s="10" t="s">
        <v>9016</v>
      </c>
      <c r="C389" s="10">
        <v>603000</v>
      </c>
      <c r="D389" s="43" t="str">
        <f>VLOOKUP(C389,'13. CUSTOS DER - SERVIÇOS'!A:B,2,0)</f>
        <v>AÇO CA-50 FORNEC. DOBR. COLOCAÇÃO</v>
      </c>
      <c r="E389" s="11">
        <v>14</v>
      </c>
      <c r="F389" s="26" t="str">
        <f>VLOOKUP(C389,'13. CUSTOS DER - SERVIÇOS'!A:C,3,0)</f>
        <v>KG</v>
      </c>
      <c r="G389" s="24">
        <f>VLOOKUP(C389,'13. CUSTOS DER - SERVIÇOS'!A:G,7,0)</f>
        <v>18.34</v>
      </c>
      <c r="H389" s="24"/>
      <c r="I389" s="25">
        <f>'3. BDI'!$C$19</f>
        <v>0.24666704095238123</v>
      </c>
      <c r="J389" s="24">
        <f t="shared" si="674"/>
        <v>22.86</v>
      </c>
      <c r="K389" s="24">
        <f t="shared" si="675"/>
        <v>0</v>
      </c>
      <c r="L389" s="24">
        <f t="shared" si="676"/>
        <v>320.03999999999996</v>
      </c>
      <c r="M389" s="24">
        <f t="shared" si="677"/>
        <v>0</v>
      </c>
      <c r="N389" s="24">
        <f t="shared" si="678"/>
        <v>320.03999999999996</v>
      </c>
      <c r="P389" s="24">
        <f>8.97/1</f>
        <v>8.9700000000000006</v>
      </c>
      <c r="Q389" s="24">
        <f t="shared" si="679"/>
        <v>125.58</v>
      </c>
      <c r="R389" s="24">
        <f t="shared" si="672"/>
        <v>156.55000000000001</v>
      </c>
      <c r="S389" s="24">
        <f t="shared" si="673"/>
        <v>163.48999999999995</v>
      </c>
    </row>
    <row r="390" spans="1:19">
      <c r="A390" s="9" t="s">
        <v>23133</v>
      </c>
      <c r="B390" s="10" t="s">
        <v>9016</v>
      </c>
      <c r="C390" s="10">
        <v>605500</v>
      </c>
      <c r="D390" s="43" t="str">
        <f>VLOOKUP(C390,'13. CUSTOS DER - SERVIÇOS'!A:B,2,0)</f>
        <v>CONCRETO FCK = 20 MPA, PREPARO EM BETONEIRA E LANÇ.</v>
      </c>
      <c r="E390" s="11">
        <v>4.4000000000000004</v>
      </c>
      <c r="F390" s="26" t="str">
        <f>VLOOKUP(C390,'13. CUSTOS DER - SERVIÇOS'!A:C,3,0)</f>
        <v>M3</v>
      </c>
      <c r="G390" s="24">
        <f>VLOOKUP(C390,'13. CUSTOS DER - SERVIÇOS'!A:G,7,0)</f>
        <v>532.64</v>
      </c>
      <c r="H390" s="24">
        <f>VLOOKUP(C390,'10. CCU TRANSPORTE'!B:J,9,0)</f>
        <v>61.030000000000008</v>
      </c>
      <c r="I390" s="25">
        <f>'3. BDI'!$C$19</f>
        <v>0.24666704095238123</v>
      </c>
      <c r="J390" s="24">
        <f t="shared" si="674"/>
        <v>664.02</v>
      </c>
      <c r="K390" s="24">
        <f t="shared" si="675"/>
        <v>76.08</v>
      </c>
      <c r="L390" s="24">
        <f t="shared" si="676"/>
        <v>2921.6880000000001</v>
      </c>
      <c r="M390" s="24">
        <f t="shared" si="677"/>
        <v>334.75200000000001</v>
      </c>
      <c r="N390" s="24">
        <f t="shared" si="678"/>
        <v>3256.44</v>
      </c>
      <c r="P390" s="24">
        <f>498.36/2.5</f>
        <v>199.34399999999999</v>
      </c>
      <c r="Q390" s="24">
        <f t="shared" si="679"/>
        <v>877.11</v>
      </c>
      <c r="R390" s="24">
        <f t="shared" si="672"/>
        <v>1093.46</v>
      </c>
      <c r="S390" s="24">
        <f t="shared" si="673"/>
        <v>2162.98</v>
      </c>
    </row>
    <row r="391" spans="1:19">
      <c r="A391" s="338"/>
      <c r="B391" s="44"/>
      <c r="C391" s="167"/>
      <c r="D391" s="341" t="s">
        <v>22826</v>
      </c>
      <c r="E391" s="339"/>
      <c r="F391" s="167"/>
      <c r="G391" s="339"/>
      <c r="H391" s="339"/>
      <c r="I391" s="340"/>
      <c r="J391" s="339"/>
      <c r="K391" s="339"/>
      <c r="L391" s="339"/>
      <c r="M391" s="339"/>
      <c r="N391" s="339"/>
      <c r="P391" s="339"/>
      <c r="Q391" s="339"/>
      <c r="R391" s="24">
        <f t="shared" si="672"/>
        <v>0</v>
      </c>
      <c r="S391" s="24">
        <f t="shared" si="673"/>
        <v>0</v>
      </c>
    </row>
    <row r="392" spans="1:19">
      <c r="A392" s="9" t="s">
        <v>23043</v>
      </c>
      <c r="B392" s="10" t="s">
        <v>9016</v>
      </c>
      <c r="C392" s="10">
        <v>600000</v>
      </c>
      <c r="D392" s="43" t="str">
        <f>VLOOKUP(C392,'13. CUSTOS DER - SERVIÇOS'!A:B,2,0)</f>
        <v>ESCAVAÇÃO MANUAL DE VALA 1A. CAT.</v>
      </c>
      <c r="E392" s="11">
        <v>12</v>
      </c>
      <c r="F392" s="26" t="str">
        <f>VLOOKUP(C392,'13. CUSTOS DER - SERVIÇOS'!A:C,3,0)</f>
        <v>M3</v>
      </c>
      <c r="G392" s="24">
        <f>VLOOKUP(C392,'13. CUSTOS DER - SERVIÇOS'!A:G,7,0)</f>
        <v>49.54</v>
      </c>
      <c r="H392" s="24">
        <v>0</v>
      </c>
      <c r="I392" s="25">
        <f>'3. BDI'!$C$19</f>
        <v>0.24666704095238123</v>
      </c>
      <c r="J392" s="24">
        <f t="shared" ref="J392:J398" si="680">TRUNC(G392+(G392*I392),2)</f>
        <v>61.75</v>
      </c>
      <c r="K392" s="24">
        <f t="shared" ref="K392:K398" si="681">TRUNC(H392+(H392*I392),2)</f>
        <v>0</v>
      </c>
      <c r="L392" s="24">
        <f t="shared" ref="L392:L398" si="682">J392*E392</f>
        <v>741</v>
      </c>
      <c r="M392" s="24">
        <f t="shared" ref="M392:M398" si="683">K392*E392</f>
        <v>0</v>
      </c>
      <c r="N392" s="24">
        <f t="shared" ref="N392:N398" si="684">L392+M392</f>
        <v>741</v>
      </c>
      <c r="P392" s="24">
        <f>47.19/1</f>
        <v>47.19</v>
      </c>
      <c r="Q392" s="24">
        <f t="shared" ref="Q392:Q396" si="685">TRUNC(P392*E392,2)</f>
        <v>566.28</v>
      </c>
      <c r="R392" s="24">
        <f t="shared" si="672"/>
        <v>705.96</v>
      </c>
      <c r="S392" s="24">
        <f t="shared" si="673"/>
        <v>35.039999999999964</v>
      </c>
    </row>
    <row r="393" spans="1:19">
      <c r="A393" s="9" t="s">
        <v>23134</v>
      </c>
      <c r="B393" s="10" t="s">
        <v>9016</v>
      </c>
      <c r="C393" s="10">
        <v>601100</v>
      </c>
      <c r="D393" s="43" t="str">
        <f>VLOOKUP(C393,'13. CUSTOS DER - SERVIÇOS'!A:B,2,0)</f>
        <v>APILOAMENTO MANUAL</v>
      </c>
      <c r="E393" s="11">
        <v>4</v>
      </c>
      <c r="F393" s="26" t="str">
        <f>VLOOKUP(C393,'13. CUSTOS DER - SERVIÇOS'!A:C,3,0)</f>
        <v>M3</v>
      </c>
      <c r="G393" s="24">
        <f>VLOOKUP(C393,'13. CUSTOS DER - SERVIÇOS'!A:G,7,0)</f>
        <v>54.05</v>
      </c>
      <c r="H393" s="24"/>
      <c r="I393" s="25">
        <f>'3. BDI'!$C$19</f>
        <v>0.24666704095238123</v>
      </c>
      <c r="J393" s="24">
        <f t="shared" si="680"/>
        <v>67.38</v>
      </c>
      <c r="K393" s="24">
        <f t="shared" si="681"/>
        <v>0</v>
      </c>
      <c r="L393" s="24">
        <f t="shared" si="682"/>
        <v>269.52</v>
      </c>
      <c r="M393" s="24">
        <f t="shared" si="683"/>
        <v>0</v>
      </c>
      <c r="N393" s="24">
        <f t="shared" si="684"/>
        <v>269.52</v>
      </c>
      <c r="P393" s="24">
        <f>51.48/1</f>
        <v>51.48</v>
      </c>
      <c r="Q393" s="24">
        <f t="shared" si="685"/>
        <v>205.92</v>
      </c>
      <c r="R393" s="24">
        <f t="shared" si="672"/>
        <v>256.70999999999998</v>
      </c>
      <c r="S393" s="24">
        <f t="shared" si="673"/>
        <v>12.810000000000002</v>
      </c>
    </row>
    <row r="394" spans="1:19">
      <c r="A394" s="9" t="s">
        <v>23135</v>
      </c>
      <c r="B394" s="10" t="s">
        <v>9016</v>
      </c>
      <c r="C394" s="10">
        <v>602100</v>
      </c>
      <c r="D394" s="43" t="str">
        <f>VLOOKUP(C394,'13. CUSTOS DER - SERVIÇOS'!A:B,2,0)</f>
        <v>FORMAS DE MADEIRA COMPENSADA  RESINADA</v>
      </c>
      <c r="E394" s="11">
        <v>12.4</v>
      </c>
      <c r="F394" s="26" t="str">
        <f>VLOOKUP(C394,'13. CUSTOS DER - SERVIÇOS'!A:C,3,0)</f>
        <v>M2</v>
      </c>
      <c r="G394" s="24">
        <f>VLOOKUP(C394,'13. CUSTOS DER - SERVIÇOS'!A:G,7,0)</f>
        <v>78.33</v>
      </c>
      <c r="H394" s="24"/>
      <c r="I394" s="25">
        <f>'3. BDI'!$C$19</f>
        <v>0.24666704095238123</v>
      </c>
      <c r="J394" s="24">
        <f t="shared" si="680"/>
        <v>97.65</v>
      </c>
      <c r="K394" s="24">
        <f t="shared" si="681"/>
        <v>0</v>
      </c>
      <c r="L394" s="24">
        <f t="shared" si="682"/>
        <v>1210.8600000000001</v>
      </c>
      <c r="M394" s="24">
        <f t="shared" si="683"/>
        <v>0</v>
      </c>
      <c r="N394" s="24">
        <f t="shared" si="684"/>
        <v>1210.8600000000001</v>
      </c>
      <c r="P394" s="24">
        <f>78.65/2</f>
        <v>39.325000000000003</v>
      </c>
      <c r="Q394" s="24">
        <f t="shared" si="685"/>
        <v>487.63</v>
      </c>
      <c r="R394" s="24">
        <f t="shared" si="672"/>
        <v>607.91</v>
      </c>
      <c r="S394" s="24">
        <f t="shared" si="673"/>
        <v>602.95000000000016</v>
      </c>
    </row>
    <row r="395" spans="1:19">
      <c r="A395" s="9" t="s">
        <v>23136</v>
      </c>
      <c r="B395" s="10" t="s">
        <v>9016</v>
      </c>
      <c r="C395" s="10">
        <v>603000</v>
      </c>
      <c r="D395" s="43" t="str">
        <f>VLOOKUP(C395,'13. CUSTOS DER - SERVIÇOS'!A:B,2,0)</f>
        <v>AÇO CA-50 FORNEC. DOBR. COLOCAÇÃO</v>
      </c>
      <c r="E395" s="11">
        <v>16.399999999999999</v>
      </c>
      <c r="F395" s="26" t="str">
        <f>VLOOKUP(C395,'13. CUSTOS DER - SERVIÇOS'!A:C,3,0)</f>
        <v>KG</v>
      </c>
      <c r="G395" s="24">
        <f>VLOOKUP(C395,'13. CUSTOS DER - SERVIÇOS'!A:G,7,0)</f>
        <v>18.34</v>
      </c>
      <c r="H395" s="24"/>
      <c r="I395" s="25">
        <f>'3. BDI'!$C$19</f>
        <v>0.24666704095238123</v>
      </c>
      <c r="J395" s="24">
        <f t="shared" si="680"/>
        <v>22.86</v>
      </c>
      <c r="K395" s="24">
        <f t="shared" si="681"/>
        <v>0</v>
      </c>
      <c r="L395" s="24">
        <f t="shared" si="682"/>
        <v>374.90399999999994</v>
      </c>
      <c r="M395" s="24">
        <f t="shared" si="683"/>
        <v>0</v>
      </c>
      <c r="N395" s="24">
        <f t="shared" si="684"/>
        <v>374.90399999999994</v>
      </c>
      <c r="P395" s="24">
        <f>8.97/1</f>
        <v>8.9700000000000006</v>
      </c>
      <c r="Q395" s="24">
        <f t="shared" si="685"/>
        <v>147.1</v>
      </c>
      <c r="R395" s="24">
        <f t="shared" si="672"/>
        <v>183.38</v>
      </c>
      <c r="S395" s="24">
        <f t="shared" si="673"/>
        <v>191.52399999999994</v>
      </c>
    </row>
    <row r="396" spans="1:19">
      <c r="A396" s="9" t="s">
        <v>23137</v>
      </c>
      <c r="B396" s="10" t="s">
        <v>9016</v>
      </c>
      <c r="C396" s="10">
        <v>605500</v>
      </c>
      <c r="D396" s="43" t="str">
        <f>VLOOKUP(C396,'13. CUSTOS DER - SERVIÇOS'!A:B,2,0)</f>
        <v>CONCRETO FCK = 20 MPA, PREPARO EM BETONEIRA E LANÇ.</v>
      </c>
      <c r="E396" s="11">
        <v>1.24</v>
      </c>
      <c r="F396" s="26" t="str">
        <f>VLOOKUP(C396,'13. CUSTOS DER - SERVIÇOS'!A:C,3,0)</f>
        <v>M3</v>
      </c>
      <c r="G396" s="24">
        <f>VLOOKUP(C396,'13. CUSTOS DER - SERVIÇOS'!A:G,7,0)</f>
        <v>532.64</v>
      </c>
      <c r="H396" s="24">
        <f>VLOOKUP(C396,'10. CCU TRANSPORTE'!B:J,9,0)</f>
        <v>61.030000000000008</v>
      </c>
      <c r="I396" s="25">
        <f>'3. BDI'!$C$19</f>
        <v>0.24666704095238123</v>
      </c>
      <c r="J396" s="24">
        <f t="shared" si="680"/>
        <v>664.02</v>
      </c>
      <c r="K396" s="24">
        <f t="shared" si="681"/>
        <v>76.08</v>
      </c>
      <c r="L396" s="24">
        <f t="shared" si="682"/>
        <v>823.38479999999993</v>
      </c>
      <c r="M396" s="24">
        <f t="shared" si="683"/>
        <v>94.339199999999991</v>
      </c>
      <c r="N396" s="24">
        <f t="shared" si="684"/>
        <v>917.72399999999993</v>
      </c>
      <c r="P396" s="24">
        <f>498.36/2.5</f>
        <v>199.34399999999999</v>
      </c>
      <c r="Q396" s="24">
        <f t="shared" si="685"/>
        <v>247.18</v>
      </c>
      <c r="R396" s="24">
        <f t="shared" si="672"/>
        <v>308.14999999999998</v>
      </c>
      <c r="S396" s="24">
        <f t="shared" si="673"/>
        <v>609.57399999999996</v>
      </c>
    </row>
    <row r="397" spans="1:19">
      <c r="A397" s="9" t="s">
        <v>23138</v>
      </c>
      <c r="B397" s="10" t="s">
        <v>358</v>
      </c>
      <c r="C397" s="10" t="s">
        <v>22647</v>
      </c>
      <c r="D397" s="43" t="s">
        <v>230</v>
      </c>
      <c r="E397" s="11">
        <v>22.72</v>
      </c>
      <c r="F397" s="13" t="s">
        <v>325</v>
      </c>
      <c r="G397" s="24">
        <f>VLOOKUP(C397,'9. CCU''S GERAIS AMEP'!A:K,11,0)</f>
        <v>129.01800000000003</v>
      </c>
      <c r="H397" s="24">
        <f>VLOOKUP(C397,'10. CCU TRANSPORTE'!B:J,9,0)</f>
        <v>45.11</v>
      </c>
      <c r="I397" s="25">
        <f>'3. BDI'!$C$19</f>
        <v>0.24666704095238123</v>
      </c>
      <c r="J397" s="24">
        <f t="shared" si="680"/>
        <v>160.84</v>
      </c>
      <c r="K397" s="24">
        <f t="shared" si="681"/>
        <v>56.23</v>
      </c>
      <c r="L397" s="24">
        <f t="shared" si="682"/>
        <v>3654.2847999999999</v>
      </c>
      <c r="M397" s="24">
        <f t="shared" si="683"/>
        <v>1277.5455999999999</v>
      </c>
      <c r="N397" s="24">
        <f t="shared" si="684"/>
        <v>4931.8303999999998</v>
      </c>
      <c r="P397" s="24">
        <f>101.76/1</f>
        <v>101.76</v>
      </c>
      <c r="Q397" s="24">
        <f t="shared" ref="Q397" si="686">P397*E397</f>
        <v>2311.9872</v>
      </c>
      <c r="R397" s="24">
        <f t="shared" si="672"/>
        <v>2882.27</v>
      </c>
      <c r="S397" s="24">
        <f t="shared" si="673"/>
        <v>2049.5603999999998</v>
      </c>
    </row>
    <row r="398" spans="1:19">
      <c r="A398" s="9" t="s">
        <v>23139</v>
      </c>
      <c r="B398" s="10" t="s">
        <v>9016</v>
      </c>
      <c r="C398" s="10">
        <v>604000</v>
      </c>
      <c r="D398" s="43" t="str">
        <f>VLOOKUP(C398,'13. CUSTOS DER - SERVIÇOS'!A:B,2,0)</f>
        <v>ARGAMASSA CIMENTO E AREIA 1:3</v>
      </c>
      <c r="E398" s="11">
        <v>0.36</v>
      </c>
      <c r="F398" s="26" t="str">
        <f>VLOOKUP(C398,'13. CUSTOS DER - SERVIÇOS'!A:C,3,0)</f>
        <v>M3</v>
      </c>
      <c r="G398" s="24">
        <f>VLOOKUP(C398,'13. CUSTOS DER - SERVIÇOS'!A:G,7,0)</f>
        <v>523.20000000000005</v>
      </c>
      <c r="H398" s="24">
        <f>VLOOKUP(C398,'10. CCU TRANSPORTE'!B:J,9,0)</f>
        <v>68.930000000000007</v>
      </c>
      <c r="I398" s="25">
        <f>'3. BDI'!$C$19</f>
        <v>0.24666704095238123</v>
      </c>
      <c r="J398" s="24">
        <f t="shared" si="680"/>
        <v>652.25</v>
      </c>
      <c r="K398" s="24">
        <f t="shared" si="681"/>
        <v>85.93</v>
      </c>
      <c r="L398" s="24">
        <f t="shared" si="682"/>
        <v>234.81</v>
      </c>
      <c r="M398" s="24">
        <f t="shared" si="683"/>
        <v>30.934800000000003</v>
      </c>
      <c r="N398" s="24">
        <f t="shared" si="684"/>
        <v>265.7448</v>
      </c>
      <c r="P398" s="24">
        <f>481.2/2.5</f>
        <v>192.48</v>
      </c>
      <c r="Q398" s="24">
        <f>TRUNC(P398*E398,2)</f>
        <v>69.290000000000006</v>
      </c>
      <c r="R398" s="24">
        <f t="shared" si="672"/>
        <v>86.38</v>
      </c>
      <c r="S398" s="24">
        <f t="shared" si="673"/>
        <v>179.3648</v>
      </c>
    </row>
    <row r="399" spans="1:19">
      <c r="A399" s="338"/>
      <c r="B399" s="44"/>
      <c r="C399" s="167"/>
      <c r="D399" s="341" t="s">
        <v>22789</v>
      </c>
      <c r="E399" s="339"/>
      <c r="F399" s="167"/>
      <c r="G399" s="339"/>
      <c r="H399" s="339"/>
      <c r="I399" s="340"/>
      <c r="J399" s="339"/>
      <c r="K399" s="339"/>
      <c r="L399" s="339"/>
      <c r="M399" s="339"/>
      <c r="N399" s="339"/>
      <c r="P399" s="339"/>
      <c r="Q399" s="339"/>
      <c r="R399" s="24">
        <f t="shared" si="672"/>
        <v>0</v>
      </c>
      <c r="S399" s="24">
        <f t="shared" si="673"/>
        <v>0</v>
      </c>
    </row>
    <row r="400" spans="1:19">
      <c r="A400" s="9" t="s">
        <v>23140</v>
      </c>
      <c r="B400" s="10" t="s">
        <v>358</v>
      </c>
      <c r="C400" s="10" t="s">
        <v>22648</v>
      </c>
      <c r="D400" s="43" t="s">
        <v>22802</v>
      </c>
      <c r="E400" s="11">
        <v>226</v>
      </c>
      <c r="F400" s="13" t="s">
        <v>328</v>
      </c>
      <c r="G400" s="24">
        <f>VLOOKUP(C400,'9. CCU''S GERAIS AMEP'!A:K,11,0)</f>
        <v>482.42695200000003</v>
      </c>
      <c r="H400" s="24">
        <f>VLOOKUP(C400,'10. CCU TRANSPORTE'!B:J,9,0)</f>
        <v>37.510000000000005</v>
      </c>
      <c r="I400" s="25">
        <f>'3. BDI'!$C$19</f>
        <v>0.24666704095238123</v>
      </c>
      <c r="J400" s="24">
        <f t="shared" ref="J400" si="687">TRUNC(G400+(G400*I400),2)</f>
        <v>601.41999999999996</v>
      </c>
      <c r="K400" s="24">
        <f t="shared" ref="K400" si="688">TRUNC(H400+(H400*I400),2)</f>
        <v>46.76</v>
      </c>
      <c r="L400" s="24">
        <f t="shared" ref="L400" si="689">J400*E400</f>
        <v>135920.91999999998</v>
      </c>
      <c r="M400" s="24">
        <f t="shared" ref="M400" si="690">K400*E400</f>
        <v>10567.76</v>
      </c>
      <c r="N400" s="24">
        <f t="shared" ref="N400" si="691">L400+M400</f>
        <v>146488.68</v>
      </c>
      <c r="P400" s="24">
        <f>64.68/1</f>
        <v>64.680000000000007</v>
      </c>
      <c r="Q400" s="24">
        <f t="shared" ref="Q400" si="692">P400*E400</f>
        <v>14617.680000000002</v>
      </c>
      <c r="R400" s="24">
        <f t="shared" si="672"/>
        <v>18223.37</v>
      </c>
      <c r="S400" s="24">
        <f t="shared" si="673"/>
        <v>128265.31</v>
      </c>
    </row>
    <row r="401" spans="1:19">
      <c r="A401" s="338"/>
      <c r="B401" s="44"/>
      <c r="C401" s="167"/>
      <c r="D401" s="341" t="s">
        <v>22804</v>
      </c>
      <c r="E401" s="339"/>
      <c r="F401" s="167"/>
      <c r="G401" s="339"/>
      <c r="H401" s="339"/>
      <c r="I401" s="340"/>
      <c r="J401" s="339"/>
      <c r="K401" s="339"/>
      <c r="L401" s="339"/>
      <c r="M401" s="339"/>
      <c r="N401" s="339"/>
      <c r="P401" s="339"/>
      <c r="Q401" s="339"/>
      <c r="R401" s="24">
        <f t="shared" si="672"/>
        <v>0</v>
      </c>
      <c r="S401" s="24">
        <f t="shared" si="673"/>
        <v>0</v>
      </c>
    </row>
    <row r="402" spans="1:19">
      <c r="A402" s="9" t="s">
        <v>23141</v>
      </c>
      <c r="B402" s="10" t="s">
        <v>9016</v>
      </c>
      <c r="C402" s="10">
        <v>620200</v>
      </c>
      <c r="D402" s="43" t="str">
        <f>VLOOKUP(C402,'13. CUSTOS DER - SERVIÇOS'!A:B,2,0)</f>
        <v>BOCA DE BSTC 0,80M</v>
      </c>
      <c r="E402" s="11">
        <v>3</v>
      </c>
      <c r="F402" s="26" t="str">
        <f>VLOOKUP(C402,'13. CUSTOS DER - SERVIÇOS'!A:C,3,0)</f>
        <v>UD</v>
      </c>
      <c r="G402" s="24">
        <f>VLOOKUP(C402,'13. CUSTOS DER - SERVIÇOS'!A:G,7,0)</f>
        <v>1321.46</v>
      </c>
      <c r="H402" s="24">
        <f>VLOOKUP(C402,'10. CCU TRANSPORTE'!B:J,9,0)</f>
        <v>66.239999999999995</v>
      </c>
      <c r="I402" s="25">
        <f>'3. BDI'!$C$19</f>
        <v>0.24666704095238123</v>
      </c>
      <c r="J402" s="24">
        <f t="shared" ref="J402" si="693">TRUNC(G402+(G402*I402),2)</f>
        <v>1647.42</v>
      </c>
      <c r="K402" s="24">
        <f t="shared" ref="K402" si="694">TRUNC(H402+(H402*I402),2)</f>
        <v>82.57</v>
      </c>
      <c r="L402" s="24">
        <f t="shared" ref="L402" si="695">J402*E402</f>
        <v>4942.26</v>
      </c>
      <c r="M402" s="24">
        <f t="shared" ref="M402" si="696">K402*E402</f>
        <v>247.70999999999998</v>
      </c>
      <c r="N402" s="24">
        <f t="shared" ref="N402" si="697">L402+M402</f>
        <v>5189.97</v>
      </c>
      <c r="P402" s="24">
        <f>112.26/1</f>
        <v>112.26</v>
      </c>
      <c r="Q402" s="24">
        <f>TRUNC(P402*E402,2)</f>
        <v>336.78</v>
      </c>
      <c r="R402" s="24">
        <f t="shared" si="672"/>
        <v>419.85</v>
      </c>
      <c r="S402" s="24">
        <f t="shared" si="673"/>
        <v>4770.12</v>
      </c>
    </row>
    <row r="403" spans="1:19">
      <c r="A403" s="338"/>
      <c r="B403" s="44"/>
      <c r="C403" s="167"/>
      <c r="D403" s="341" t="s">
        <v>22805</v>
      </c>
      <c r="E403" s="339"/>
      <c r="F403" s="167"/>
      <c r="G403" s="339"/>
      <c r="H403" s="339"/>
      <c r="I403" s="340"/>
      <c r="J403" s="339"/>
      <c r="K403" s="339"/>
      <c r="L403" s="339"/>
      <c r="M403" s="339"/>
      <c r="N403" s="339"/>
      <c r="P403" s="339"/>
      <c r="Q403" s="339"/>
      <c r="R403" s="24">
        <f t="shared" si="672"/>
        <v>0</v>
      </c>
      <c r="S403" s="24">
        <f t="shared" si="673"/>
        <v>0</v>
      </c>
    </row>
    <row r="404" spans="1:19">
      <c r="A404" s="9" t="s">
        <v>23142</v>
      </c>
      <c r="B404" s="10" t="s">
        <v>9016</v>
      </c>
      <c r="C404" s="10">
        <v>620500</v>
      </c>
      <c r="D404" s="43" t="str">
        <f>VLOOKUP(C404,'13. CUSTOS DER - SERVIÇOS'!A:B,2,0)</f>
        <v>BOCA DE BSTC 1,50M</v>
      </c>
      <c r="E404" s="11">
        <v>4</v>
      </c>
      <c r="F404" s="26" t="str">
        <f>VLOOKUP(C404,'13. CUSTOS DER - SERVIÇOS'!A:C,3,0)</f>
        <v>UD</v>
      </c>
      <c r="G404" s="24">
        <f>VLOOKUP(C404,'13. CUSTOS DER - SERVIÇOS'!A:G,7,0)</f>
        <v>4302.26</v>
      </c>
      <c r="H404" s="24">
        <f>VLOOKUP(C404,'10. CCU TRANSPORTE'!B:J,9,0)</f>
        <v>269.53000000000003</v>
      </c>
      <c r="I404" s="25">
        <f>'3. BDI'!$C$19</f>
        <v>0.24666704095238123</v>
      </c>
      <c r="J404" s="24">
        <f t="shared" ref="J404" si="698">TRUNC(G404+(G404*I404),2)</f>
        <v>5363.48</v>
      </c>
      <c r="K404" s="24">
        <f t="shared" ref="K404" si="699">TRUNC(H404+(H404*I404),2)</f>
        <v>336.01</v>
      </c>
      <c r="L404" s="24">
        <f t="shared" ref="L404" si="700">J404*E404</f>
        <v>21453.919999999998</v>
      </c>
      <c r="M404" s="24">
        <f t="shared" ref="M404" si="701">K404*E404</f>
        <v>1344.04</v>
      </c>
      <c r="N404" s="24">
        <f t="shared" ref="N404" si="702">L404+M404</f>
        <v>22797.96</v>
      </c>
      <c r="P404" s="24">
        <f>206.64/1</f>
        <v>206.64</v>
      </c>
      <c r="Q404" s="24">
        <f>TRUNC(P404*E404,2)</f>
        <v>826.56</v>
      </c>
      <c r="R404" s="24">
        <f t="shared" si="672"/>
        <v>1030.44</v>
      </c>
      <c r="S404" s="24">
        <f t="shared" si="673"/>
        <v>21767.52</v>
      </c>
    </row>
    <row r="405" spans="1:19">
      <c r="A405" s="338"/>
      <c r="B405" s="44"/>
      <c r="C405" s="167"/>
      <c r="D405" s="341" t="s">
        <v>22827</v>
      </c>
      <c r="E405" s="339"/>
      <c r="F405" s="167"/>
      <c r="G405" s="339"/>
      <c r="H405" s="339"/>
      <c r="I405" s="340"/>
      <c r="J405" s="339"/>
      <c r="K405" s="339"/>
      <c r="L405" s="339"/>
      <c r="M405" s="339"/>
      <c r="N405" s="339"/>
      <c r="P405" s="339"/>
      <c r="Q405" s="339"/>
      <c r="R405" s="24">
        <f t="shared" si="672"/>
        <v>0</v>
      </c>
      <c r="S405" s="24">
        <f t="shared" si="673"/>
        <v>0</v>
      </c>
    </row>
    <row r="406" spans="1:19">
      <c r="A406" s="9" t="s">
        <v>23143</v>
      </c>
      <c r="B406" s="10" t="s">
        <v>9016</v>
      </c>
      <c r="C406" s="10">
        <v>620900</v>
      </c>
      <c r="D406" s="43" t="str">
        <f>VLOOKUP(C406,'13. CUSTOS DER - SERVIÇOS'!A:B,2,0)</f>
        <v>BOCA DE BDTC 1,50M</v>
      </c>
      <c r="E406" s="11">
        <v>2</v>
      </c>
      <c r="F406" s="26" t="str">
        <f>VLOOKUP(C406,'13. CUSTOS DER - SERVIÇOS'!A:C,3,0)</f>
        <v>UD</v>
      </c>
      <c r="G406" s="24">
        <f>VLOOKUP(C406,'13. CUSTOS DER - SERVIÇOS'!A:G,7,0)</f>
        <v>5805.6</v>
      </c>
      <c r="H406" s="24">
        <f>VLOOKUP(C406,'10. CCU TRANSPORTE'!B:J,9,0)</f>
        <v>371.88</v>
      </c>
      <c r="I406" s="25">
        <f>'3. BDI'!$C$19</f>
        <v>0.24666704095238123</v>
      </c>
      <c r="J406" s="24">
        <f t="shared" ref="J406" si="703">TRUNC(G406+(G406*I406),2)</f>
        <v>7237.65</v>
      </c>
      <c r="K406" s="24">
        <f t="shared" ref="K406" si="704">TRUNC(H406+(H406*I406),2)</f>
        <v>463.61</v>
      </c>
      <c r="L406" s="24">
        <f t="shared" ref="L406" si="705">J406*E406</f>
        <v>14475.3</v>
      </c>
      <c r="M406" s="24">
        <f t="shared" ref="M406" si="706">K406*E406</f>
        <v>927.22</v>
      </c>
      <c r="N406" s="24">
        <f t="shared" ref="N406" si="707">L406+M406</f>
        <v>15402.519999999999</v>
      </c>
      <c r="P406" s="24">
        <f>253.83/1</f>
        <v>253.83</v>
      </c>
      <c r="Q406" s="24">
        <f>TRUNC(P406*E406,2)</f>
        <v>507.66</v>
      </c>
      <c r="R406" s="24">
        <f t="shared" si="672"/>
        <v>632.88</v>
      </c>
      <c r="S406" s="24">
        <f t="shared" si="673"/>
        <v>14769.64</v>
      </c>
    </row>
    <row r="407" spans="1:19">
      <c r="A407" s="338"/>
      <c r="B407" s="44"/>
      <c r="C407" s="167"/>
      <c r="D407" s="341" t="s">
        <v>22828</v>
      </c>
      <c r="E407" s="339"/>
      <c r="F407" s="167"/>
      <c r="G407" s="339"/>
      <c r="H407" s="339"/>
      <c r="I407" s="340"/>
      <c r="J407" s="339"/>
      <c r="K407" s="339"/>
      <c r="L407" s="339"/>
      <c r="M407" s="339"/>
      <c r="N407" s="339"/>
      <c r="P407" s="339"/>
      <c r="Q407" s="339"/>
      <c r="R407" s="24">
        <f t="shared" si="672"/>
        <v>0</v>
      </c>
      <c r="S407" s="24">
        <f t="shared" si="673"/>
        <v>0</v>
      </c>
    </row>
    <row r="408" spans="1:19">
      <c r="A408" s="9" t="s">
        <v>23144</v>
      </c>
      <c r="B408" s="10" t="s">
        <v>9016</v>
      </c>
      <c r="C408" s="10">
        <v>621300</v>
      </c>
      <c r="D408" s="43" t="str">
        <f>VLOOKUP(C408,'13. CUSTOS DER - SERVIÇOS'!A:B,2,0)</f>
        <v>BOCA DE BTTC 1,50M</v>
      </c>
      <c r="E408" s="11">
        <v>2</v>
      </c>
      <c r="F408" s="26" t="str">
        <f>VLOOKUP(C408,'13. CUSTOS DER - SERVIÇOS'!A:C,3,0)</f>
        <v>UD</v>
      </c>
      <c r="G408" s="24">
        <f>VLOOKUP(C408,'13. CUSTOS DER - SERVIÇOS'!A:G,7,0)</f>
        <v>7311.47</v>
      </c>
      <c r="H408" s="24">
        <f>VLOOKUP(C408,'10. CCU TRANSPORTE'!B:J,9,0)</f>
        <v>474.42999999999995</v>
      </c>
      <c r="I408" s="25">
        <f>'3. BDI'!$C$19</f>
        <v>0.24666704095238123</v>
      </c>
      <c r="J408" s="24">
        <f t="shared" ref="J408" si="708">TRUNC(G408+(G408*I408),2)</f>
        <v>9114.9599999999991</v>
      </c>
      <c r="K408" s="24">
        <f t="shared" ref="K408" si="709">TRUNC(H408+(H408*I408),2)</f>
        <v>591.45000000000005</v>
      </c>
      <c r="L408" s="24">
        <f t="shared" ref="L408" si="710">J408*E408</f>
        <v>18229.919999999998</v>
      </c>
      <c r="M408" s="24">
        <f t="shared" ref="M408" si="711">K408*E408</f>
        <v>1182.9000000000001</v>
      </c>
      <c r="N408" s="24">
        <f t="shared" ref="N408" si="712">L408+M408</f>
        <v>19412.82</v>
      </c>
      <c r="P408" s="24">
        <f>301.02/1</f>
        <v>301.02</v>
      </c>
      <c r="Q408" s="24">
        <f>TRUNC(P408*E408,2)</f>
        <v>602.04</v>
      </c>
      <c r="R408" s="24">
        <f t="shared" si="672"/>
        <v>750.54</v>
      </c>
      <c r="S408" s="24">
        <f t="shared" si="673"/>
        <v>18662.28</v>
      </c>
    </row>
    <row r="409" spans="1:19">
      <c r="A409" s="338"/>
      <c r="B409" s="44"/>
      <c r="C409" s="167"/>
      <c r="D409" s="341" t="s">
        <v>22829</v>
      </c>
      <c r="E409" s="339"/>
      <c r="F409" s="167"/>
      <c r="G409" s="339"/>
      <c r="H409" s="339"/>
      <c r="I409" s="340"/>
      <c r="J409" s="339"/>
      <c r="K409" s="339"/>
      <c r="L409" s="339"/>
      <c r="M409" s="339"/>
      <c r="N409" s="339"/>
      <c r="P409" s="339"/>
      <c r="Q409" s="339"/>
      <c r="R409" s="24">
        <f t="shared" si="672"/>
        <v>0</v>
      </c>
      <c r="S409" s="24">
        <f t="shared" si="673"/>
        <v>0</v>
      </c>
    </row>
    <row r="410" spans="1:19">
      <c r="A410" s="9" t="s">
        <v>23145</v>
      </c>
      <c r="B410" s="10" t="s">
        <v>9016</v>
      </c>
      <c r="C410" s="10">
        <v>600600</v>
      </c>
      <c r="D410" s="43" t="str">
        <f>VLOOKUP(C410,'13. CUSTOS DER - SERVIÇOS'!A:B,2,0)</f>
        <v>ESCAVAÇÃO VALAS DE DRENAGEM 1A. CAT.</v>
      </c>
      <c r="E410" s="11">
        <v>26</v>
      </c>
      <c r="F410" s="26" t="str">
        <f>VLOOKUP(C410,'13. CUSTOS DER - SERVIÇOS'!A:C,3,0)</f>
        <v>M3</v>
      </c>
      <c r="G410" s="24">
        <f>VLOOKUP(C410,'13. CUSTOS DER - SERVIÇOS'!A:G,7,0)</f>
        <v>18.559999999999999</v>
      </c>
      <c r="H410" s="24">
        <v>0</v>
      </c>
      <c r="I410" s="25">
        <f>'3. BDI'!$C$19</f>
        <v>0.24666704095238123</v>
      </c>
      <c r="J410" s="24">
        <f t="shared" ref="J410:J411" si="713">TRUNC(G410+(G410*I410),2)</f>
        <v>23.13</v>
      </c>
      <c r="K410" s="24">
        <f t="shared" ref="K410:K411" si="714">TRUNC(H410+(H410*I410),2)</f>
        <v>0</v>
      </c>
      <c r="L410" s="24">
        <f t="shared" ref="L410:L411" si="715">J410*E410</f>
        <v>601.38</v>
      </c>
      <c r="M410" s="24">
        <f t="shared" ref="M410:M411" si="716">K410*E410</f>
        <v>0</v>
      </c>
      <c r="N410" s="24">
        <f t="shared" ref="N410:N411" si="717">L410+M410</f>
        <v>601.38</v>
      </c>
      <c r="P410" s="24">
        <f>40.04/10.32</f>
        <v>3.8798449612403099</v>
      </c>
      <c r="Q410" s="24">
        <f t="shared" ref="Q410:Q411" si="718">TRUNC(P410*E410,2)</f>
        <v>100.87</v>
      </c>
      <c r="R410" s="24">
        <f t="shared" si="672"/>
        <v>125.75</v>
      </c>
      <c r="S410" s="24">
        <f t="shared" si="673"/>
        <v>475.63</v>
      </c>
    </row>
    <row r="411" spans="1:19">
      <c r="A411" s="9" t="s">
        <v>23146</v>
      </c>
      <c r="B411" s="10" t="s">
        <v>9016</v>
      </c>
      <c r="C411" s="10">
        <v>800000</v>
      </c>
      <c r="D411" s="43" t="str">
        <f>VLOOKUP(C411,'13. CUSTOS DER - SERVIÇOS'!A:B,2,0)</f>
        <v>ENLEIVAMENTO</v>
      </c>
      <c r="E411" s="11">
        <v>49.77</v>
      </c>
      <c r="F411" s="26" t="str">
        <f>VLOOKUP(C411,'13. CUSTOS DER - SERVIÇOS'!A:C,3,0)</f>
        <v>M2</v>
      </c>
      <c r="G411" s="24">
        <f>VLOOKUP(C411,'13. CUSTOS DER - SERVIÇOS'!A:G,7,0)</f>
        <v>12.41</v>
      </c>
      <c r="H411" s="24"/>
      <c r="I411" s="25">
        <f>'3. BDI'!$C$19</f>
        <v>0.24666704095238123</v>
      </c>
      <c r="J411" s="24">
        <f t="shared" si="713"/>
        <v>15.47</v>
      </c>
      <c r="K411" s="24">
        <f t="shared" si="714"/>
        <v>0</v>
      </c>
      <c r="L411" s="24">
        <f t="shared" si="715"/>
        <v>769.94190000000003</v>
      </c>
      <c r="M411" s="24">
        <f t="shared" si="716"/>
        <v>0</v>
      </c>
      <c r="N411" s="24">
        <f t="shared" si="717"/>
        <v>769.94190000000003</v>
      </c>
      <c r="P411" s="24">
        <f>722.16/130</f>
        <v>5.555076923076923</v>
      </c>
      <c r="Q411" s="24">
        <f t="shared" si="718"/>
        <v>276.47000000000003</v>
      </c>
      <c r="R411" s="24">
        <f t="shared" si="672"/>
        <v>344.66</v>
      </c>
      <c r="S411" s="24">
        <f t="shared" si="673"/>
        <v>425.28190000000001</v>
      </c>
    </row>
    <row r="412" spans="1:19">
      <c r="A412" s="338"/>
      <c r="B412" s="44"/>
      <c r="C412" s="167"/>
      <c r="D412" s="341" t="s">
        <v>22791</v>
      </c>
      <c r="E412" s="339"/>
      <c r="F412" s="167"/>
      <c r="G412" s="339"/>
      <c r="H412" s="339"/>
      <c r="I412" s="340"/>
      <c r="J412" s="339"/>
      <c r="K412" s="339"/>
      <c r="L412" s="339"/>
      <c r="M412" s="339"/>
      <c r="N412" s="339"/>
      <c r="P412" s="339"/>
      <c r="Q412" s="339"/>
      <c r="R412" s="24">
        <f t="shared" si="672"/>
        <v>0</v>
      </c>
      <c r="S412" s="24">
        <f t="shared" si="673"/>
        <v>0</v>
      </c>
    </row>
    <row r="413" spans="1:19">
      <c r="A413" s="9" t="s">
        <v>23147</v>
      </c>
      <c r="B413" s="10" t="s">
        <v>358</v>
      </c>
      <c r="C413" s="10" t="s">
        <v>22654</v>
      </c>
      <c r="D413" s="43" t="s">
        <v>259</v>
      </c>
      <c r="E413" s="11">
        <v>2590</v>
      </c>
      <c r="F413" s="13" t="s">
        <v>328</v>
      </c>
      <c r="G413" s="24">
        <f>VLOOKUP(C413,'9. CCU''S GERAIS AMEP'!A:K,11,0)</f>
        <v>117.9667</v>
      </c>
      <c r="H413" s="24">
        <v>0</v>
      </c>
      <c r="I413" s="25">
        <f>'3. BDI'!$C$19</f>
        <v>0.24666704095238123</v>
      </c>
      <c r="J413" s="24">
        <f t="shared" ref="J413" si="719">TRUNC(G413+(G413*I413),2)</f>
        <v>147.06</v>
      </c>
      <c r="K413" s="24">
        <f t="shared" ref="K413" si="720">TRUNC(H413+(H413*I413),2)</f>
        <v>0</v>
      </c>
      <c r="L413" s="24">
        <f t="shared" ref="L413" si="721">J413*E413</f>
        <v>380885.4</v>
      </c>
      <c r="M413" s="24">
        <f t="shared" ref="M413" si="722">K413*E413</f>
        <v>0</v>
      </c>
      <c r="N413" s="24">
        <f t="shared" ref="N413" si="723">L413+M413</f>
        <v>380885.4</v>
      </c>
      <c r="P413" s="24">
        <f>58.2/1</f>
        <v>58.2</v>
      </c>
      <c r="Q413" s="24">
        <f t="shared" ref="Q413" si="724">P413*E413</f>
        <v>150738</v>
      </c>
      <c r="R413" s="24">
        <f t="shared" si="672"/>
        <v>187920.09</v>
      </c>
      <c r="S413" s="24">
        <f t="shared" si="673"/>
        <v>192965.31000000003</v>
      </c>
    </row>
    <row r="414" spans="1:19">
      <c r="A414" s="338"/>
      <c r="B414" s="44"/>
      <c r="C414" s="167"/>
      <c r="D414" s="341" t="s">
        <v>22830</v>
      </c>
      <c r="E414" s="336"/>
      <c r="F414" s="167"/>
      <c r="G414" s="339"/>
      <c r="H414" s="339"/>
      <c r="I414" s="340"/>
      <c r="J414" s="339"/>
      <c r="K414" s="339"/>
      <c r="L414" s="339"/>
      <c r="M414" s="339"/>
      <c r="N414" s="339"/>
      <c r="P414" s="339"/>
      <c r="Q414" s="339"/>
      <c r="R414" s="24">
        <f t="shared" si="672"/>
        <v>0</v>
      </c>
      <c r="S414" s="24">
        <f t="shared" si="673"/>
        <v>0</v>
      </c>
    </row>
    <row r="415" spans="1:19">
      <c r="A415" s="9" t="s">
        <v>23148</v>
      </c>
      <c r="B415" s="10" t="s">
        <v>9016</v>
      </c>
      <c r="C415" s="10">
        <v>600000</v>
      </c>
      <c r="D415" s="43" t="str">
        <f>VLOOKUP(C415,'13. CUSTOS DER - SERVIÇOS'!A:B,2,0)</f>
        <v>ESCAVAÇÃO MANUAL DE VALA 1A. CAT.</v>
      </c>
      <c r="E415" s="11">
        <v>0.9</v>
      </c>
      <c r="F415" s="26" t="str">
        <f>VLOOKUP(C415,'13. CUSTOS DER - SERVIÇOS'!A:C,3,0)</f>
        <v>M3</v>
      </c>
      <c r="G415" s="24">
        <f>VLOOKUP(C415,'13. CUSTOS DER - SERVIÇOS'!A:G,7,0)</f>
        <v>49.54</v>
      </c>
      <c r="H415" s="24">
        <v>0</v>
      </c>
      <c r="I415" s="25">
        <f>'3. BDI'!$C$19</f>
        <v>0.24666704095238123</v>
      </c>
      <c r="J415" s="24">
        <f t="shared" ref="J415" si="725">TRUNC(G415+(G415*I415),2)</f>
        <v>61.75</v>
      </c>
      <c r="K415" s="24">
        <f t="shared" ref="K415" si="726">TRUNC(H415+(H415*I415),2)</f>
        <v>0</v>
      </c>
      <c r="L415" s="24">
        <f t="shared" ref="L415" si="727">J415*E415</f>
        <v>55.575000000000003</v>
      </c>
      <c r="M415" s="24">
        <f t="shared" ref="M415" si="728">K415*E415</f>
        <v>0</v>
      </c>
      <c r="N415" s="24">
        <f t="shared" ref="N415" si="729">L415+M415</f>
        <v>55.575000000000003</v>
      </c>
      <c r="P415" s="24">
        <f>47.19/1</f>
        <v>47.19</v>
      </c>
      <c r="Q415" s="24">
        <f>TRUNC(P415*E415,2)</f>
        <v>42.47</v>
      </c>
      <c r="R415" s="24">
        <f t="shared" si="672"/>
        <v>52.94</v>
      </c>
      <c r="S415" s="24">
        <f t="shared" si="673"/>
        <v>2.6350000000000051</v>
      </c>
    </row>
    <row r="416" spans="1:19" ht="31.5">
      <c r="A416" s="9" t="s">
        <v>23149</v>
      </c>
      <c r="B416" s="10" t="s">
        <v>22708</v>
      </c>
      <c r="C416" s="10">
        <v>1506055</v>
      </c>
      <c r="D416" s="43" t="str">
        <f>UPPER(VLOOKUP(C416,'18. CUSTOS DNIT - SERVIÇOS'!A:B,2,0))</f>
        <v>PEDRA ARGAMASSADA COM CIMENTO E AREIA 1:3 - AREIA E PEDRA DE MÃO COMERCIAL - FORNECIMENTO E ASSENTAMENTO</v>
      </c>
      <c r="E416" s="11">
        <v>0.46</v>
      </c>
      <c r="F416" s="26" t="str">
        <f>UPPER(VLOOKUP(C416,'18. CUSTOS DNIT - SERVIÇOS'!A:C,3,0))</f>
        <v>M³</v>
      </c>
      <c r="G416" s="24">
        <f>VLOOKUP(C416,'18. CUSTOS DNIT - SERVIÇOS'!A:D,4,0)</f>
        <v>399.01</v>
      </c>
      <c r="H416" s="24"/>
      <c r="I416" s="25">
        <f>'3. BDI'!$C$19</f>
        <v>0.24666704095238123</v>
      </c>
      <c r="J416" s="24">
        <f>TRUNC(G416+(G416*I416),2)</f>
        <v>497.43</v>
      </c>
      <c r="K416" s="24">
        <f>TRUNC(H416+(H416*I416),2)</f>
        <v>0</v>
      </c>
      <c r="L416" s="24">
        <f>J416*E416</f>
        <v>228.81780000000001</v>
      </c>
      <c r="M416" s="24">
        <f>K416*E416</f>
        <v>0</v>
      </c>
      <c r="N416" s="24">
        <f>L416+M416</f>
        <v>228.81780000000001</v>
      </c>
      <c r="P416" s="24">
        <f>133.9364/1</f>
        <v>133.93639999999999</v>
      </c>
      <c r="Q416" s="24">
        <f>TRUNC((P416*E416),2)</f>
        <v>61.61</v>
      </c>
      <c r="R416" s="24">
        <f t="shared" si="672"/>
        <v>76.8</v>
      </c>
      <c r="S416" s="24">
        <f t="shared" si="673"/>
        <v>152.01780000000002</v>
      </c>
    </row>
    <row r="417" spans="1:19">
      <c r="A417" s="9" t="s">
        <v>23150</v>
      </c>
      <c r="B417" s="10" t="s">
        <v>9016</v>
      </c>
      <c r="C417" s="10">
        <v>601100</v>
      </c>
      <c r="D417" s="43" t="str">
        <f>VLOOKUP(C417,'13. CUSTOS DER - SERVIÇOS'!A:B,2,0)</f>
        <v>APILOAMENTO MANUAL</v>
      </c>
      <c r="E417" s="11">
        <v>0.15</v>
      </c>
      <c r="F417" s="26" t="str">
        <f>VLOOKUP(C417,'13. CUSTOS DER - SERVIÇOS'!A:C,3,0)</f>
        <v>M3</v>
      </c>
      <c r="G417" s="24">
        <f>VLOOKUP(C417,'13. CUSTOS DER - SERVIÇOS'!A:G,7,0)</f>
        <v>54.05</v>
      </c>
      <c r="H417" s="24"/>
      <c r="I417" s="25">
        <f>'3. BDI'!$C$19</f>
        <v>0.24666704095238123</v>
      </c>
      <c r="J417" s="24">
        <f t="shared" ref="J417:J419" si="730">TRUNC(G417+(G417*I417),2)</f>
        <v>67.38</v>
      </c>
      <c r="K417" s="24">
        <f t="shared" ref="K417:K419" si="731">TRUNC(H417+(H417*I417),2)</f>
        <v>0</v>
      </c>
      <c r="L417" s="24">
        <f t="shared" ref="L417:L419" si="732">J417*E417</f>
        <v>10.106999999999999</v>
      </c>
      <c r="M417" s="24">
        <f t="shared" ref="M417:M419" si="733">K417*E417</f>
        <v>0</v>
      </c>
      <c r="N417" s="24">
        <f t="shared" ref="N417:N419" si="734">L417+M417</f>
        <v>10.106999999999999</v>
      </c>
      <c r="P417" s="24">
        <f>51.48/1</f>
        <v>51.48</v>
      </c>
      <c r="Q417" s="24">
        <f t="shared" ref="Q417:Q419" si="735">TRUNC(P417*E417,2)</f>
        <v>7.72</v>
      </c>
      <c r="R417" s="24">
        <f t="shared" ref="R417:R440" si="736">TRUNC((Q417*I417+Q417),2)</f>
        <v>9.6199999999999992</v>
      </c>
      <c r="S417" s="24">
        <f t="shared" ref="S417:S440" si="737">N417-R417</f>
        <v>0.4870000000000001</v>
      </c>
    </row>
    <row r="418" spans="1:19">
      <c r="A418" s="9" t="s">
        <v>23151</v>
      </c>
      <c r="B418" s="10" t="s">
        <v>9016</v>
      </c>
      <c r="C418" s="10">
        <v>602100</v>
      </c>
      <c r="D418" s="43" t="str">
        <f>VLOOKUP(C418,'13. CUSTOS DER - SERVIÇOS'!A:B,2,0)</f>
        <v>FORMAS DE MADEIRA COMPENSADA  RESINADA</v>
      </c>
      <c r="E418" s="11">
        <v>5.22</v>
      </c>
      <c r="F418" s="26" t="str">
        <f>VLOOKUP(C418,'13. CUSTOS DER - SERVIÇOS'!A:C,3,0)</f>
        <v>M2</v>
      </c>
      <c r="G418" s="24">
        <f>VLOOKUP(C418,'13. CUSTOS DER - SERVIÇOS'!A:G,7,0)</f>
        <v>78.33</v>
      </c>
      <c r="H418" s="24"/>
      <c r="I418" s="25">
        <f>'3. BDI'!$C$19</f>
        <v>0.24666704095238123</v>
      </c>
      <c r="J418" s="24">
        <f t="shared" si="730"/>
        <v>97.65</v>
      </c>
      <c r="K418" s="24">
        <f t="shared" si="731"/>
        <v>0</v>
      </c>
      <c r="L418" s="24">
        <f t="shared" si="732"/>
        <v>509.733</v>
      </c>
      <c r="M418" s="24">
        <f t="shared" si="733"/>
        <v>0</v>
      </c>
      <c r="N418" s="24">
        <f t="shared" si="734"/>
        <v>509.733</v>
      </c>
      <c r="P418" s="24">
        <f>78.65/2</f>
        <v>39.325000000000003</v>
      </c>
      <c r="Q418" s="24">
        <f t="shared" si="735"/>
        <v>205.27</v>
      </c>
      <c r="R418" s="24">
        <f t="shared" si="736"/>
        <v>255.9</v>
      </c>
      <c r="S418" s="24">
        <f t="shared" si="737"/>
        <v>253.833</v>
      </c>
    </row>
    <row r="419" spans="1:19">
      <c r="A419" s="9" t="s">
        <v>23152</v>
      </c>
      <c r="B419" s="10" t="s">
        <v>9016</v>
      </c>
      <c r="C419" s="10">
        <v>605500</v>
      </c>
      <c r="D419" s="43" t="str">
        <f>VLOOKUP(C419,'13. CUSTOS DER - SERVIÇOS'!A:B,2,0)</f>
        <v>CONCRETO FCK = 20 MPA, PREPARO EM BETONEIRA E LANÇ.</v>
      </c>
      <c r="E419" s="11">
        <v>0.65</v>
      </c>
      <c r="F419" s="26" t="str">
        <f>VLOOKUP(C419,'13. CUSTOS DER - SERVIÇOS'!A:C,3,0)</f>
        <v>M3</v>
      </c>
      <c r="G419" s="24">
        <f>VLOOKUP(C419,'13. CUSTOS DER - SERVIÇOS'!A:G,7,0)</f>
        <v>532.64</v>
      </c>
      <c r="H419" s="24">
        <f>VLOOKUP(C419,'10. CCU TRANSPORTE'!B:J,9,0)</f>
        <v>61.030000000000008</v>
      </c>
      <c r="I419" s="25">
        <f>'3. BDI'!$C$19</f>
        <v>0.24666704095238123</v>
      </c>
      <c r="J419" s="24">
        <f t="shared" si="730"/>
        <v>664.02</v>
      </c>
      <c r="K419" s="24">
        <f t="shared" si="731"/>
        <v>76.08</v>
      </c>
      <c r="L419" s="24">
        <f t="shared" si="732"/>
        <v>431.613</v>
      </c>
      <c r="M419" s="24">
        <f t="shared" si="733"/>
        <v>49.451999999999998</v>
      </c>
      <c r="N419" s="24">
        <f t="shared" si="734"/>
        <v>481.065</v>
      </c>
      <c r="P419" s="24">
        <f>498.36/2.5</f>
        <v>199.34399999999999</v>
      </c>
      <c r="Q419" s="24">
        <f t="shared" si="735"/>
        <v>129.57</v>
      </c>
      <c r="R419" s="24">
        <f t="shared" si="736"/>
        <v>161.53</v>
      </c>
      <c r="S419" s="24">
        <f t="shared" si="737"/>
        <v>319.53499999999997</v>
      </c>
    </row>
    <row r="420" spans="1:19">
      <c r="A420" s="338"/>
      <c r="B420" s="44"/>
      <c r="C420" s="167"/>
      <c r="D420" s="341" t="s">
        <v>22816</v>
      </c>
      <c r="E420" s="336"/>
      <c r="F420" s="167"/>
      <c r="G420" s="339"/>
      <c r="H420" s="339"/>
      <c r="I420" s="340"/>
      <c r="J420" s="339"/>
      <c r="K420" s="339"/>
      <c r="L420" s="339"/>
      <c r="M420" s="339"/>
      <c r="N420" s="339"/>
      <c r="P420" s="339"/>
      <c r="Q420" s="339"/>
      <c r="R420" s="24">
        <f t="shared" si="736"/>
        <v>0</v>
      </c>
      <c r="S420" s="24">
        <f t="shared" si="737"/>
        <v>0</v>
      </c>
    </row>
    <row r="421" spans="1:19">
      <c r="A421" s="9" t="s">
        <v>23153</v>
      </c>
      <c r="B421" s="10" t="s">
        <v>9016</v>
      </c>
      <c r="C421" s="10">
        <v>600000</v>
      </c>
      <c r="D421" s="43" t="str">
        <f>VLOOKUP(C421,'13. CUSTOS DER - SERVIÇOS'!A:B,2,0)</f>
        <v>ESCAVAÇÃO MANUAL DE VALA 1A. CAT.</v>
      </c>
      <c r="E421" s="11">
        <v>14.76</v>
      </c>
      <c r="F421" s="26" t="str">
        <f>VLOOKUP(C421,'13. CUSTOS DER - SERVIÇOS'!A:C,3,0)</f>
        <v>M3</v>
      </c>
      <c r="G421" s="24">
        <f>VLOOKUP(C421,'13. CUSTOS DER - SERVIÇOS'!A:G,7,0)</f>
        <v>49.54</v>
      </c>
      <c r="H421" s="24">
        <v>0</v>
      </c>
      <c r="I421" s="25">
        <f>'3. BDI'!$C$19</f>
        <v>0.24666704095238123</v>
      </c>
      <c r="J421" s="24">
        <f t="shared" ref="J421" si="738">TRUNC(G421+(G421*I421),2)</f>
        <v>61.75</v>
      </c>
      <c r="K421" s="24">
        <f t="shared" ref="K421" si="739">TRUNC(H421+(H421*I421),2)</f>
        <v>0</v>
      </c>
      <c r="L421" s="24">
        <f t="shared" ref="L421" si="740">J421*E421</f>
        <v>911.43</v>
      </c>
      <c r="M421" s="24">
        <f t="shared" ref="M421" si="741">K421*E421</f>
        <v>0</v>
      </c>
      <c r="N421" s="24">
        <f t="shared" ref="N421" si="742">L421+M421</f>
        <v>911.43</v>
      </c>
      <c r="P421" s="24">
        <f>47.19/1</f>
        <v>47.19</v>
      </c>
      <c r="Q421" s="24">
        <f>TRUNC(P421*E421,2)</f>
        <v>696.52</v>
      </c>
      <c r="R421" s="24">
        <f t="shared" si="736"/>
        <v>868.32</v>
      </c>
      <c r="S421" s="24">
        <f t="shared" si="737"/>
        <v>43.1099999999999</v>
      </c>
    </row>
    <row r="422" spans="1:19" ht="31.5">
      <c r="A422" s="9" t="s">
        <v>23154</v>
      </c>
      <c r="B422" s="10" t="s">
        <v>22708</v>
      </c>
      <c r="C422" s="10">
        <v>1506055</v>
      </c>
      <c r="D422" s="43" t="str">
        <f>UPPER(VLOOKUP(C422,'18. CUSTOS DNIT - SERVIÇOS'!A:B,2,0))</f>
        <v>PEDRA ARGAMASSADA COM CIMENTO E AREIA 1:3 - AREIA E PEDRA DE MÃO COMERCIAL - FORNECIMENTO E ASSENTAMENTO</v>
      </c>
      <c r="E422" s="11">
        <v>10.72</v>
      </c>
      <c r="F422" s="26" t="str">
        <f>UPPER(VLOOKUP(C422,'18. CUSTOS DNIT - SERVIÇOS'!A:C,3,0))</f>
        <v>M³</v>
      </c>
      <c r="G422" s="24">
        <f>VLOOKUP(C422,'18. CUSTOS DNIT - SERVIÇOS'!A:D,4,0)</f>
        <v>399.01</v>
      </c>
      <c r="H422" s="24"/>
      <c r="I422" s="25">
        <f>'3. BDI'!$C$19</f>
        <v>0.24666704095238123</v>
      </c>
      <c r="J422" s="24">
        <f>TRUNC(G422+(G422*I422),2)</f>
        <v>497.43</v>
      </c>
      <c r="K422" s="24">
        <f>TRUNC(H422+(H422*I422),2)</f>
        <v>0</v>
      </c>
      <c r="L422" s="24">
        <f>J422*E422</f>
        <v>5332.4496000000008</v>
      </c>
      <c r="M422" s="24">
        <f>K422*E422</f>
        <v>0</v>
      </c>
      <c r="N422" s="24">
        <f>L422+M422</f>
        <v>5332.4496000000008</v>
      </c>
      <c r="P422" s="24">
        <f>133.9364/1</f>
        <v>133.93639999999999</v>
      </c>
      <c r="Q422" s="24">
        <f>TRUNC((P422*E422),2)</f>
        <v>1435.79</v>
      </c>
      <c r="R422" s="24">
        <f t="shared" si="736"/>
        <v>1789.95</v>
      </c>
      <c r="S422" s="24">
        <f t="shared" si="737"/>
        <v>3542.499600000001</v>
      </c>
    </row>
    <row r="423" spans="1:19">
      <c r="A423" s="9" t="s">
        <v>23155</v>
      </c>
      <c r="B423" s="10" t="s">
        <v>9016</v>
      </c>
      <c r="C423" s="10">
        <v>601100</v>
      </c>
      <c r="D423" s="43" t="str">
        <f>VLOOKUP(C423,'13. CUSTOS DER - SERVIÇOS'!A:B,2,0)</f>
        <v>APILOAMENTO MANUAL</v>
      </c>
      <c r="E423" s="11">
        <v>1</v>
      </c>
      <c r="F423" s="26" t="str">
        <f>VLOOKUP(C423,'13. CUSTOS DER - SERVIÇOS'!A:C,3,0)</f>
        <v>M3</v>
      </c>
      <c r="G423" s="24">
        <f>VLOOKUP(C423,'13. CUSTOS DER - SERVIÇOS'!A:G,7,0)</f>
        <v>54.05</v>
      </c>
      <c r="H423" s="24"/>
      <c r="I423" s="25">
        <f>'3. BDI'!$C$19</f>
        <v>0.24666704095238123</v>
      </c>
      <c r="J423" s="24">
        <f t="shared" ref="J423:J425" si="743">TRUNC(G423+(G423*I423),2)</f>
        <v>67.38</v>
      </c>
      <c r="K423" s="24">
        <f t="shared" ref="K423:K425" si="744">TRUNC(H423+(H423*I423),2)</f>
        <v>0</v>
      </c>
      <c r="L423" s="24">
        <f t="shared" ref="L423:L425" si="745">J423*E423</f>
        <v>67.38</v>
      </c>
      <c r="M423" s="24">
        <f t="shared" ref="M423:M425" si="746">K423*E423</f>
        <v>0</v>
      </c>
      <c r="N423" s="24">
        <f t="shared" ref="N423:N425" si="747">L423+M423</f>
        <v>67.38</v>
      </c>
      <c r="P423" s="24">
        <f>51.48/1</f>
        <v>51.48</v>
      </c>
      <c r="Q423" s="24">
        <f t="shared" ref="Q423:Q425" si="748">TRUNC(P423*E423,2)</f>
        <v>51.48</v>
      </c>
      <c r="R423" s="24">
        <f t="shared" si="736"/>
        <v>64.17</v>
      </c>
      <c r="S423" s="24">
        <f t="shared" si="737"/>
        <v>3.2099999999999937</v>
      </c>
    </row>
    <row r="424" spans="1:19">
      <c r="A424" s="9" t="s">
        <v>23096</v>
      </c>
      <c r="B424" s="10" t="s">
        <v>9016</v>
      </c>
      <c r="C424" s="10">
        <v>602100</v>
      </c>
      <c r="D424" s="43" t="str">
        <f>VLOOKUP(C424,'13. CUSTOS DER - SERVIÇOS'!A:B,2,0)</f>
        <v>FORMAS DE MADEIRA COMPENSADA  RESINADA</v>
      </c>
      <c r="E424" s="11">
        <v>34.299999999999997</v>
      </c>
      <c r="F424" s="26" t="str">
        <f>VLOOKUP(C424,'13. CUSTOS DER - SERVIÇOS'!A:C,3,0)</f>
        <v>M2</v>
      </c>
      <c r="G424" s="24">
        <f>VLOOKUP(C424,'13. CUSTOS DER - SERVIÇOS'!A:G,7,0)</f>
        <v>78.33</v>
      </c>
      <c r="H424" s="24"/>
      <c r="I424" s="25">
        <f>'3. BDI'!$C$19</f>
        <v>0.24666704095238123</v>
      </c>
      <c r="J424" s="24">
        <f t="shared" si="743"/>
        <v>97.65</v>
      </c>
      <c r="K424" s="24">
        <f t="shared" si="744"/>
        <v>0</v>
      </c>
      <c r="L424" s="24">
        <f t="shared" si="745"/>
        <v>3349.395</v>
      </c>
      <c r="M424" s="24">
        <f t="shared" si="746"/>
        <v>0</v>
      </c>
      <c r="N424" s="24">
        <f t="shared" si="747"/>
        <v>3349.395</v>
      </c>
      <c r="P424" s="24">
        <f>78.65/2</f>
        <v>39.325000000000003</v>
      </c>
      <c r="Q424" s="24">
        <f t="shared" si="748"/>
        <v>1348.84</v>
      </c>
      <c r="R424" s="24">
        <f t="shared" si="736"/>
        <v>1681.55</v>
      </c>
      <c r="S424" s="24">
        <f t="shared" si="737"/>
        <v>1667.845</v>
      </c>
    </row>
    <row r="425" spans="1:19">
      <c r="A425" s="9" t="s">
        <v>23156</v>
      </c>
      <c r="B425" s="10" t="s">
        <v>9016</v>
      </c>
      <c r="C425" s="10">
        <v>605500</v>
      </c>
      <c r="D425" s="43" t="str">
        <f>VLOOKUP(C425,'13. CUSTOS DER - SERVIÇOS'!A:B,2,0)</f>
        <v>CONCRETO FCK = 20 MPA, PREPARO EM BETONEIRA E LANÇ.</v>
      </c>
      <c r="E425" s="11">
        <v>7.32</v>
      </c>
      <c r="F425" s="26" t="str">
        <f>VLOOKUP(C425,'13. CUSTOS DER - SERVIÇOS'!A:C,3,0)</f>
        <v>M3</v>
      </c>
      <c r="G425" s="24">
        <f>VLOOKUP(C425,'13. CUSTOS DER - SERVIÇOS'!A:G,7,0)</f>
        <v>532.64</v>
      </c>
      <c r="H425" s="24">
        <f>VLOOKUP(C425,'10. CCU TRANSPORTE'!B:J,9,0)</f>
        <v>61.030000000000008</v>
      </c>
      <c r="I425" s="25">
        <f>'3. BDI'!$C$19</f>
        <v>0.24666704095238123</v>
      </c>
      <c r="J425" s="24">
        <f t="shared" si="743"/>
        <v>664.02</v>
      </c>
      <c r="K425" s="24">
        <f t="shared" si="744"/>
        <v>76.08</v>
      </c>
      <c r="L425" s="24">
        <f t="shared" si="745"/>
        <v>4860.6264000000001</v>
      </c>
      <c r="M425" s="24">
        <f t="shared" si="746"/>
        <v>556.90560000000005</v>
      </c>
      <c r="N425" s="24">
        <f t="shared" si="747"/>
        <v>5417.5320000000002</v>
      </c>
      <c r="P425" s="24">
        <f>498.36/2.5</f>
        <v>199.34399999999999</v>
      </c>
      <c r="Q425" s="24">
        <f t="shared" si="748"/>
        <v>1459.19</v>
      </c>
      <c r="R425" s="24">
        <f t="shared" si="736"/>
        <v>1819.12</v>
      </c>
      <c r="S425" s="24">
        <f t="shared" si="737"/>
        <v>3598.4120000000003</v>
      </c>
    </row>
    <row r="426" spans="1:19">
      <c r="A426" s="338"/>
      <c r="B426" s="44"/>
      <c r="C426" s="167"/>
      <c r="D426" s="341" t="s">
        <v>22797</v>
      </c>
      <c r="E426" s="336"/>
      <c r="F426" s="167"/>
      <c r="G426" s="339"/>
      <c r="H426" s="339"/>
      <c r="I426" s="340"/>
      <c r="J426" s="339"/>
      <c r="K426" s="339"/>
      <c r="L426" s="339"/>
      <c r="M426" s="339"/>
      <c r="N426" s="339"/>
      <c r="P426" s="339"/>
      <c r="Q426" s="339"/>
      <c r="R426" s="24">
        <f t="shared" si="736"/>
        <v>0</v>
      </c>
      <c r="S426" s="24">
        <f t="shared" si="737"/>
        <v>0</v>
      </c>
    </row>
    <row r="427" spans="1:19">
      <c r="A427" s="9" t="s">
        <v>23157</v>
      </c>
      <c r="B427" s="10" t="s">
        <v>9016</v>
      </c>
      <c r="C427" s="10">
        <v>600000</v>
      </c>
      <c r="D427" s="43" t="str">
        <f>VLOOKUP(C427,'13. CUSTOS DER - SERVIÇOS'!A:B,2,0)</f>
        <v>ESCAVAÇÃO MANUAL DE VALA 1A. CAT.</v>
      </c>
      <c r="E427" s="11">
        <v>18.920000000000002</v>
      </c>
      <c r="F427" s="26" t="str">
        <f>VLOOKUP(C427,'13. CUSTOS DER - SERVIÇOS'!A:C,3,0)</f>
        <v>M3</v>
      </c>
      <c r="G427" s="24">
        <f>VLOOKUP(C427,'13. CUSTOS DER - SERVIÇOS'!A:G,7,0)</f>
        <v>49.54</v>
      </c>
      <c r="H427" s="24">
        <v>0</v>
      </c>
      <c r="I427" s="25">
        <f>'3. BDI'!$C$19</f>
        <v>0.24666704095238123</v>
      </c>
      <c r="J427" s="24">
        <f t="shared" ref="J427" si="749">TRUNC(G427+(G427*I427),2)</f>
        <v>61.75</v>
      </c>
      <c r="K427" s="24">
        <f t="shared" ref="K427" si="750">TRUNC(H427+(H427*I427),2)</f>
        <v>0</v>
      </c>
      <c r="L427" s="24">
        <f t="shared" ref="L427" si="751">J427*E427</f>
        <v>1168.3100000000002</v>
      </c>
      <c r="M427" s="24">
        <f t="shared" ref="M427" si="752">K427*E427</f>
        <v>0</v>
      </c>
      <c r="N427" s="24">
        <f t="shared" ref="N427" si="753">L427+M427</f>
        <v>1168.3100000000002</v>
      </c>
      <c r="P427" s="24">
        <f>47.19/1</f>
        <v>47.19</v>
      </c>
      <c r="Q427" s="24">
        <f>TRUNC(P427*E427,2)</f>
        <v>892.83</v>
      </c>
      <c r="R427" s="24">
        <f t="shared" si="736"/>
        <v>1113.06</v>
      </c>
      <c r="S427" s="24">
        <f t="shared" si="737"/>
        <v>55.250000000000227</v>
      </c>
    </row>
    <row r="428" spans="1:19" ht="31.5">
      <c r="A428" s="9" t="s">
        <v>23158</v>
      </c>
      <c r="B428" s="10" t="s">
        <v>22708</v>
      </c>
      <c r="C428" s="10">
        <v>1506055</v>
      </c>
      <c r="D428" s="43" t="str">
        <f>UPPER(VLOOKUP(C428,'18. CUSTOS DNIT - SERVIÇOS'!A:B,2,0))</f>
        <v>PEDRA ARGAMASSADA COM CIMENTO E AREIA 1:3 - AREIA E PEDRA DE MÃO COMERCIAL - FORNECIMENTO E ASSENTAMENTO</v>
      </c>
      <c r="E428" s="11">
        <v>14</v>
      </c>
      <c r="F428" s="26" t="str">
        <f>UPPER(VLOOKUP(C428,'18. CUSTOS DNIT - SERVIÇOS'!A:C,3,0))</f>
        <v>M³</v>
      </c>
      <c r="G428" s="24">
        <f>VLOOKUP(C428,'18. CUSTOS DNIT - SERVIÇOS'!A:D,4,0)</f>
        <v>399.01</v>
      </c>
      <c r="H428" s="24"/>
      <c r="I428" s="25">
        <f>'3. BDI'!$C$19</f>
        <v>0.24666704095238123</v>
      </c>
      <c r="J428" s="24">
        <f>TRUNC(G428+(G428*I428),2)</f>
        <v>497.43</v>
      </c>
      <c r="K428" s="24">
        <f>TRUNC(H428+(H428*I428),2)</f>
        <v>0</v>
      </c>
      <c r="L428" s="24">
        <f>J428*E428</f>
        <v>6964.02</v>
      </c>
      <c r="M428" s="24">
        <f>K428*E428</f>
        <v>0</v>
      </c>
      <c r="N428" s="24">
        <f>L428+M428</f>
        <v>6964.02</v>
      </c>
      <c r="P428" s="24">
        <f>133.9364/1</f>
        <v>133.93639999999999</v>
      </c>
      <c r="Q428" s="24">
        <f>TRUNC((P428*E428),2)</f>
        <v>1875.1</v>
      </c>
      <c r="R428" s="24">
        <f t="shared" si="736"/>
        <v>2337.62</v>
      </c>
      <c r="S428" s="24">
        <f t="shared" si="737"/>
        <v>4626.4000000000005</v>
      </c>
    </row>
    <row r="429" spans="1:19">
      <c r="A429" s="9" t="s">
        <v>23159</v>
      </c>
      <c r="B429" s="10" t="s">
        <v>9016</v>
      </c>
      <c r="C429" s="10">
        <v>601100</v>
      </c>
      <c r="D429" s="43" t="str">
        <f>VLOOKUP(C429,'13. CUSTOS DER - SERVIÇOS'!A:B,2,0)</f>
        <v>APILOAMENTO MANUAL</v>
      </c>
      <c r="E429" s="11">
        <v>1.2</v>
      </c>
      <c r="F429" s="26" t="str">
        <f>VLOOKUP(C429,'13. CUSTOS DER - SERVIÇOS'!A:C,3,0)</f>
        <v>M3</v>
      </c>
      <c r="G429" s="24">
        <f>VLOOKUP(C429,'13. CUSTOS DER - SERVIÇOS'!A:G,7,0)</f>
        <v>54.05</v>
      </c>
      <c r="H429" s="24"/>
      <c r="I429" s="25">
        <f>'3. BDI'!$C$19</f>
        <v>0.24666704095238123</v>
      </c>
      <c r="J429" s="24">
        <f t="shared" ref="J429:J431" si="754">TRUNC(G429+(G429*I429),2)</f>
        <v>67.38</v>
      </c>
      <c r="K429" s="24">
        <f t="shared" ref="K429:K431" si="755">TRUNC(H429+(H429*I429),2)</f>
        <v>0</v>
      </c>
      <c r="L429" s="24">
        <f t="shared" ref="L429:L431" si="756">J429*E429</f>
        <v>80.855999999999995</v>
      </c>
      <c r="M429" s="24">
        <f t="shared" ref="M429:M431" si="757">K429*E429</f>
        <v>0</v>
      </c>
      <c r="N429" s="24">
        <f t="shared" ref="N429:N431" si="758">L429+M429</f>
        <v>80.855999999999995</v>
      </c>
      <c r="P429" s="24">
        <f>51.48/1</f>
        <v>51.48</v>
      </c>
      <c r="Q429" s="24">
        <f t="shared" ref="Q429:Q431" si="759">TRUNC(P429*E429,2)</f>
        <v>61.77</v>
      </c>
      <c r="R429" s="24">
        <f t="shared" si="736"/>
        <v>77</v>
      </c>
      <c r="S429" s="24">
        <f t="shared" si="737"/>
        <v>3.8559999999999945</v>
      </c>
    </row>
    <row r="430" spans="1:19">
      <c r="A430" s="9" t="s">
        <v>23160</v>
      </c>
      <c r="B430" s="10" t="s">
        <v>9016</v>
      </c>
      <c r="C430" s="10">
        <v>602100</v>
      </c>
      <c r="D430" s="43" t="str">
        <f>VLOOKUP(C430,'13. CUSTOS DER - SERVIÇOS'!A:B,2,0)</f>
        <v>FORMAS DE MADEIRA COMPENSADA  RESINADA</v>
      </c>
      <c r="E430" s="11">
        <v>40.56</v>
      </c>
      <c r="F430" s="26" t="str">
        <f>VLOOKUP(C430,'13. CUSTOS DER - SERVIÇOS'!A:C,3,0)</f>
        <v>M2</v>
      </c>
      <c r="G430" s="24">
        <f>VLOOKUP(C430,'13. CUSTOS DER - SERVIÇOS'!A:G,7,0)</f>
        <v>78.33</v>
      </c>
      <c r="H430" s="24"/>
      <c r="I430" s="25">
        <f>'3. BDI'!$C$19</f>
        <v>0.24666704095238123</v>
      </c>
      <c r="J430" s="24">
        <f t="shared" si="754"/>
        <v>97.65</v>
      </c>
      <c r="K430" s="24">
        <f t="shared" si="755"/>
        <v>0</v>
      </c>
      <c r="L430" s="24">
        <f t="shared" si="756"/>
        <v>3960.6840000000007</v>
      </c>
      <c r="M430" s="24">
        <f t="shared" si="757"/>
        <v>0</v>
      </c>
      <c r="N430" s="24">
        <f t="shared" si="758"/>
        <v>3960.6840000000007</v>
      </c>
      <c r="P430" s="24">
        <f>78.65/2</f>
        <v>39.325000000000003</v>
      </c>
      <c r="Q430" s="24">
        <f t="shared" si="759"/>
        <v>1595.02</v>
      </c>
      <c r="R430" s="24">
        <f t="shared" si="736"/>
        <v>1988.45</v>
      </c>
      <c r="S430" s="24">
        <f t="shared" si="737"/>
        <v>1972.2340000000006</v>
      </c>
    </row>
    <row r="431" spans="1:19">
      <c r="A431" s="9" t="s">
        <v>23161</v>
      </c>
      <c r="B431" s="10" t="s">
        <v>9016</v>
      </c>
      <c r="C431" s="10">
        <v>605500</v>
      </c>
      <c r="D431" s="43" t="str">
        <f>VLOOKUP(C431,'13. CUSTOS DER - SERVIÇOS'!A:B,2,0)</f>
        <v>CONCRETO FCK = 20 MPA, PREPARO EM BETONEIRA E LANÇ.</v>
      </c>
      <c r="E431" s="11">
        <v>9.32</v>
      </c>
      <c r="F431" s="26" t="str">
        <f>VLOOKUP(C431,'13. CUSTOS DER - SERVIÇOS'!A:C,3,0)</f>
        <v>M3</v>
      </c>
      <c r="G431" s="24">
        <f>VLOOKUP(C431,'13. CUSTOS DER - SERVIÇOS'!A:G,7,0)</f>
        <v>532.64</v>
      </c>
      <c r="H431" s="24">
        <f>VLOOKUP(C431,'10. CCU TRANSPORTE'!B:J,9,0)</f>
        <v>61.030000000000008</v>
      </c>
      <c r="I431" s="25">
        <f>'3. BDI'!$C$19</f>
        <v>0.24666704095238123</v>
      </c>
      <c r="J431" s="24">
        <f t="shared" si="754"/>
        <v>664.02</v>
      </c>
      <c r="K431" s="24">
        <f t="shared" si="755"/>
        <v>76.08</v>
      </c>
      <c r="L431" s="24">
        <f t="shared" si="756"/>
        <v>6188.6664000000001</v>
      </c>
      <c r="M431" s="24">
        <f t="shared" si="757"/>
        <v>709.06560000000002</v>
      </c>
      <c r="N431" s="24">
        <f t="shared" si="758"/>
        <v>6897.732</v>
      </c>
      <c r="P431" s="24">
        <f>498.36/2.5</f>
        <v>199.34399999999999</v>
      </c>
      <c r="Q431" s="24">
        <f t="shared" si="759"/>
        <v>1857.88</v>
      </c>
      <c r="R431" s="24">
        <f t="shared" si="736"/>
        <v>2316.15</v>
      </c>
      <c r="S431" s="24">
        <f t="shared" si="737"/>
        <v>4581.5820000000003</v>
      </c>
    </row>
    <row r="432" spans="1:19">
      <c r="A432" s="338"/>
      <c r="B432" s="44"/>
      <c r="C432" s="167"/>
      <c r="D432" s="341" t="s">
        <v>22876</v>
      </c>
      <c r="E432" s="339"/>
      <c r="F432" s="167"/>
      <c r="G432" s="339"/>
      <c r="H432" s="339"/>
      <c r="I432" s="340"/>
      <c r="J432" s="339"/>
      <c r="K432" s="339"/>
      <c r="L432" s="339"/>
      <c r="M432" s="339"/>
      <c r="N432" s="339"/>
      <c r="P432" s="339"/>
      <c r="Q432" s="339"/>
      <c r="R432" s="24">
        <f t="shared" si="736"/>
        <v>0</v>
      </c>
      <c r="S432" s="24">
        <f t="shared" si="737"/>
        <v>0</v>
      </c>
    </row>
    <row r="433" spans="1:19">
      <c r="A433" s="9" t="s">
        <v>23162</v>
      </c>
      <c r="B433" s="10" t="s">
        <v>9016</v>
      </c>
      <c r="C433" s="10">
        <v>600300</v>
      </c>
      <c r="D433" s="43" t="str">
        <f>VLOOKUP(C433,'13. CUSTOS DER - SERVIÇOS'!A:B,2,0)</f>
        <v>ESCAVAÇÃO DE BUEIROS EM 1A. CAT.</v>
      </c>
      <c r="E433" s="11">
        <v>502.19</v>
      </c>
      <c r="F433" s="26" t="str">
        <f>VLOOKUP(C433,'13. CUSTOS DER - SERVIÇOS'!A:C,3,0)</f>
        <v>M3</v>
      </c>
      <c r="G433" s="24">
        <f>VLOOKUP(C433,'13. CUSTOS DER - SERVIÇOS'!A:G,7,0)</f>
        <v>11.83</v>
      </c>
      <c r="H433" s="24"/>
      <c r="I433" s="25">
        <f>'3. BDI'!$C$19</f>
        <v>0.24666704095238123</v>
      </c>
      <c r="J433" s="24">
        <f t="shared" ref="J433:J434" si="760">TRUNC(G433+(G433*I433),2)</f>
        <v>14.74</v>
      </c>
      <c r="K433" s="24">
        <f t="shared" ref="K433:K434" si="761">TRUNC(H433+(H433*I433),2)</f>
        <v>0</v>
      </c>
      <c r="L433" s="24">
        <f t="shared" ref="L433:L434" si="762">J433*E433</f>
        <v>7402.2806</v>
      </c>
      <c r="M433" s="24">
        <f t="shared" ref="M433:M434" si="763">K433*E433</f>
        <v>0</v>
      </c>
      <c r="N433" s="24">
        <f t="shared" ref="N433:N434" si="764">L433+M433</f>
        <v>7402.2806</v>
      </c>
      <c r="P433" s="24">
        <f>40.04/27.74</f>
        <v>1.4434030281182408</v>
      </c>
      <c r="Q433" s="24">
        <f t="shared" ref="Q433:Q434" si="765">TRUNC(P433*E433,2)</f>
        <v>724.86</v>
      </c>
      <c r="R433" s="24">
        <f t="shared" si="736"/>
        <v>903.65</v>
      </c>
      <c r="S433" s="24">
        <f t="shared" si="737"/>
        <v>6498.6306000000004</v>
      </c>
    </row>
    <row r="434" spans="1:19">
      <c r="A434" s="9" t="s">
        <v>23163</v>
      </c>
      <c r="B434" s="10" t="s">
        <v>9016</v>
      </c>
      <c r="C434" s="10">
        <v>601200</v>
      </c>
      <c r="D434" s="43" t="str">
        <f>VLOOKUP(C434,'13. CUSTOS DER - SERVIÇOS'!A:B,2,0)</f>
        <v>REATERRO E APILOAMENTO MECÂNICO</v>
      </c>
      <c r="E434" s="11">
        <v>181.09</v>
      </c>
      <c r="F434" s="26" t="str">
        <f>VLOOKUP(C434,'13. CUSTOS DER - SERVIÇOS'!A:C,3,0)</f>
        <v>M3</v>
      </c>
      <c r="G434" s="24">
        <f>VLOOKUP(C434,'13. CUSTOS DER - SERVIÇOS'!A:G,7,0)</f>
        <v>34.119999999999997</v>
      </c>
      <c r="H434" s="24"/>
      <c r="I434" s="25">
        <f>'3. BDI'!$C$19</f>
        <v>0.24666704095238123</v>
      </c>
      <c r="J434" s="24">
        <f t="shared" si="760"/>
        <v>42.53</v>
      </c>
      <c r="K434" s="24">
        <f t="shared" si="761"/>
        <v>0</v>
      </c>
      <c r="L434" s="24">
        <f t="shared" si="762"/>
        <v>7701.7577000000001</v>
      </c>
      <c r="M434" s="24">
        <f t="shared" si="763"/>
        <v>0</v>
      </c>
      <c r="N434" s="24">
        <f t="shared" si="764"/>
        <v>7701.7577000000001</v>
      </c>
      <c r="P434" s="24">
        <f>318.18/11</f>
        <v>28.925454545454546</v>
      </c>
      <c r="Q434" s="24">
        <f t="shared" si="765"/>
        <v>5238.1099999999997</v>
      </c>
      <c r="R434" s="24">
        <f t="shared" si="736"/>
        <v>6530.17</v>
      </c>
      <c r="S434" s="24">
        <f t="shared" si="737"/>
        <v>1171.5877</v>
      </c>
    </row>
    <row r="435" spans="1:19">
      <c r="A435" s="338"/>
      <c r="B435" s="44"/>
      <c r="C435" s="167"/>
      <c r="D435" s="341" t="s">
        <v>23523</v>
      </c>
      <c r="E435" s="339"/>
      <c r="F435" s="167"/>
      <c r="G435" s="339"/>
      <c r="H435" s="339"/>
      <c r="I435" s="340"/>
      <c r="J435" s="339"/>
      <c r="K435" s="339"/>
      <c r="L435" s="339"/>
      <c r="M435" s="339"/>
      <c r="N435" s="339"/>
      <c r="P435" s="339"/>
      <c r="Q435" s="339"/>
      <c r="R435" s="24">
        <f t="shared" si="736"/>
        <v>0</v>
      </c>
      <c r="S435" s="24">
        <f t="shared" si="737"/>
        <v>0</v>
      </c>
    </row>
    <row r="436" spans="1:19">
      <c r="A436" s="9" t="s">
        <v>23580</v>
      </c>
      <c r="B436" s="10" t="s">
        <v>9016</v>
      </c>
      <c r="C436" s="10">
        <v>630800</v>
      </c>
      <c r="D436" s="43" t="str">
        <f>VLOOKUP(C436,'13. CUSTOS DER - SERVIÇOS'!A:B,2,0)</f>
        <v>REMOÇÃO DE BUEIRO 0,80M</v>
      </c>
      <c r="E436" s="11">
        <v>56</v>
      </c>
      <c r="F436" s="26" t="str">
        <f>VLOOKUP(C436,'13. CUSTOS DER - SERVIÇOS'!A:C,3,0)</f>
        <v>M</v>
      </c>
      <c r="G436" s="24">
        <f>VLOOKUP(C436,'13. CUSTOS DER - SERVIÇOS'!A:G,7,0)</f>
        <v>47.55</v>
      </c>
      <c r="H436" s="24"/>
      <c r="I436" s="25">
        <f>'3. BDI'!$C$19</f>
        <v>0.24666704095238123</v>
      </c>
      <c r="J436" s="24">
        <f t="shared" ref="J436:J438" si="766">TRUNC(G436+(G436*I436),2)</f>
        <v>59.27</v>
      </c>
      <c r="K436" s="24">
        <f t="shared" ref="K436:K438" si="767">TRUNC(H436+(H436*I436),2)</f>
        <v>0</v>
      </c>
      <c r="L436" s="24">
        <f t="shared" ref="L436:L438" si="768">J436*E436</f>
        <v>3319.1200000000003</v>
      </c>
      <c r="M436" s="24">
        <f t="shared" ref="M436:M438" si="769">K436*E436</f>
        <v>0</v>
      </c>
      <c r="N436" s="24">
        <f t="shared" ref="N436:N438" si="770">L436+M436</f>
        <v>3319.1200000000003</v>
      </c>
      <c r="P436" s="24">
        <f>71.5/5</f>
        <v>14.3</v>
      </c>
      <c r="Q436" s="24">
        <f t="shared" ref="Q436:Q438" si="771">TRUNC(P436*E436,2)</f>
        <v>800.8</v>
      </c>
      <c r="R436" s="24">
        <f t="shared" si="736"/>
        <v>998.33</v>
      </c>
      <c r="S436" s="24">
        <f t="shared" si="737"/>
        <v>2320.7900000000004</v>
      </c>
    </row>
    <row r="437" spans="1:19">
      <c r="A437" s="9" t="s">
        <v>23581</v>
      </c>
      <c r="B437" s="10" t="s">
        <v>9016</v>
      </c>
      <c r="C437" s="10">
        <v>631200</v>
      </c>
      <c r="D437" s="43" t="str">
        <f>VLOOKUP(C437,'13. CUSTOS DER - SERVIÇOS'!A:B,2,0)</f>
        <v>REMOÇÃO DE BUEIRO 1,20M</v>
      </c>
      <c r="E437" s="11">
        <v>10</v>
      </c>
      <c r="F437" s="26" t="str">
        <f>VLOOKUP(C437,'13. CUSTOS DER - SERVIÇOS'!A:C,3,0)</f>
        <v>M</v>
      </c>
      <c r="G437" s="24">
        <f>VLOOKUP(C437,'13. CUSTOS DER - SERVIÇOS'!A:G,7,0)</f>
        <v>57.25</v>
      </c>
      <c r="H437" s="24"/>
      <c r="I437" s="25">
        <f>'3. BDI'!$C$19</f>
        <v>0.24666704095238123</v>
      </c>
      <c r="J437" s="24">
        <f t="shared" si="766"/>
        <v>71.37</v>
      </c>
      <c r="K437" s="24">
        <f t="shared" si="767"/>
        <v>0</v>
      </c>
      <c r="L437" s="24">
        <f t="shared" si="768"/>
        <v>713.7</v>
      </c>
      <c r="M437" s="24">
        <f t="shared" si="769"/>
        <v>0</v>
      </c>
      <c r="N437" s="24">
        <f t="shared" si="770"/>
        <v>713.7</v>
      </c>
      <c r="P437" s="24">
        <f>71.5/5</f>
        <v>14.3</v>
      </c>
      <c r="Q437" s="24">
        <f t="shared" si="771"/>
        <v>143</v>
      </c>
      <c r="R437" s="24">
        <f t="shared" si="736"/>
        <v>178.27</v>
      </c>
      <c r="S437" s="24">
        <f t="shared" si="737"/>
        <v>535.43000000000006</v>
      </c>
    </row>
    <row r="438" spans="1:19">
      <c r="A438" s="9" t="s">
        <v>23582</v>
      </c>
      <c r="B438" s="10" t="s">
        <v>9016</v>
      </c>
      <c r="C438" s="10">
        <v>610200</v>
      </c>
      <c r="D438" s="43" t="str">
        <f>VLOOKUP(C438,'13. CUSTOS DER - SERVIÇOS'!A:B,2,0)</f>
        <v>LIMPEZA MANUAL DE VALETA</v>
      </c>
      <c r="E438" s="11">
        <v>75</v>
      </c>
      <c r="F438" s="26" t="str">
        <f>VLOOKUP(C438,'13. CUSTOS DER - SERVIÇOS'!A:C,3,0)</f>
        <v>M</v>
      </c>
      <c r="G438" s="24">
        <f>VLOOKUP(C438,'13. CUSTOS DER - SERVIÇOS'!A:G,7,0)</f>
        <v>3.74</v>
      </c>
      <c r="H438" s="24"/>
      <c r="I438" s="25">
        <f>'3. BDI'!$C$19</f>
        <v>0.24666704095238123</v>
      </c>
      <c r="J438" s="24">
        <f t="shared" si="766"/>
        <v>4.66</v>
      </c>
      <c r="K438" s="24">
        <f t="shared" si="767"/>
        <v>0</v>
      </c>
      <c r="L438" s="24">
        <f t="shared" si="768"/>
        <v>349.5</v>
      </c>
      <c r="M438" s="24">
        <f t="shared" si="769"/>
        <v>0</v>
      </c>
      <c r="N438" s="24">
        <f t="shared" si="770"/>
        <v>349.5</v>
      </c>
      <c r="P438" s="24">
        <f>1235.55/600</f>
        <v>2.05925</v>
      </c>
      <c r="Q438" s="24">
        <f t="shared" si="771"/>
        <v>154.44</v>
      </c>
      <c r="R438" s="24">
        <f t="shared" si="736"/>
        <v>192.53</v>
      </c>
      <c r="S438" s="24">
        <f t="shared" si="737"/>
        <v>156.97</v>
      </c>
    </row>
    <row r="439" spans="1:19">
      <c r="A439" s="338"/>
      <c r="B439" s="44"/>
      <c r="C439" s="167"/>
      <c r="D439" s="341" t="s">
        <v>35</v>
      </c>
      <c r="E439" s="339"/>
      <c r="F439" s="167"/>
      <c r="G439" s="339"/>
      <c r="H439" s="339"/>
      <c r="I439" s="340"/>
      <c r="J439" s="339"/>
      <c r="K439" s="339"/>
      <c r="L439" s="339"/>
      <c r="M439" s="339"/>
      <c r="N439" s="339"/>
      <c r="P439" s="339"/>
      <c r="Q439" s="339"/>
      <c r="R439" s="24">
        <f t="shared" si="736"/>
        <v>0</v>
      </c>
      <c r="S439" s="24">
        <f t="shared" si="737"/>
        <v>0</v>
      </c>
    </row>
    <row r="440" spans="1:19">
      <c r="A440" s="9" t="s">
        <v>23508</v>
      </c>
      <c r="B440" s="10" t="s">
        <v>358</v>
      </c>
      <c r="C440" s="12" t="s">
        <v>22676</v>
      </c>
      <c r="D440" s="43" t="s">
        <v>308</v>
      </c>
      <c r="E440" s="11">
        <v>40.64</v>
      </c>
      <c r="F440" s="13" t="s">
        <v>328</v>
      </c>
      <c r="G440" s="24">
        <f>VLOOKUP(C440,'9. CCU''S GERAIS AMEP'!A:K,11,0)</f>
        <v>28.355223000000002</v>
      </c>
      <c r="H440" s="24">
        <v>0</v>
      </c>
      <c r="I440" s="25">
        <f>'3. BDI'!$C$19</f>
        <v>0.24666704095238123</v>
      </c>
      <c r="J440" s="24">
        <f t="shared" ref="J440" si="772">TRUNC(G440+(G440*I440),2)</f>
        <v>35.340000000000003</v>
      </c>
      <c r="K440" s="24">
        <f t="shared" ref="K440" si="773">TRUNC(H440+(H440*I440),2)</f>
        <v>0</v>
      </c>
      <c r="L440" s="24">
        <f t="shared" ref="L440" si="774">J440*E440</f>
        <v>1436.2176000000002</v>
      </c>
      <c r="M440" s="24">
        <f t="shared" ref="M440" si="775">K440*E440</f>
        <v>0</v>
      </c>
      <c r="N440" s="24">
        <f t="shared" ref="N440" si="776">L440+M440</f>
        <v>1436.2176000000002</v>
      </c>
      <c r="P440" s="24">
        <f>212.21/100</f>
        <v>2.1221000000000001</v>
      </c>
      <c r="Q440" s="24">
        <f t="shared" ref="Q440" si="777">P440*E440</f>
        <v>86.24214400000001</v>
      </c>
      <c r="R440" s="24">
        <f t="shared" si="736"/>
        <v>107.51</v>
      </c>
      <c r="S440" s="24">
        <f t="shared" si="737"/>
        <v>1328.7076000000002</v>
      </c>
    </row>
    <row r="441" spans="1:19">
      <c r="A441" s="28" t="s">
        <v>22980</v>
      </c>
      <c r="B441" s="48"/>
      <c r="C441" s="32"/>
      <c r="D441" s="301" t="s">
        <v>22783</v>
      </c>
      <c r="E441" s="33"/>
      <c r="F441" s="32" t="s">
        <v>195</v>
      </c>
      <c r="G441" s="33"/>
      <c r="H441" s="33"/>
      <c r="I441" s="34"/>
      <c r="J441" s="33"/>
      <c r="K441" s="33"/>
      <c r="L441" s="33">
        <f t="shared" ref="L441:M441" si="778">SUM(L442:L533)</f>
        <v>5258616.3632000014</v>
      </c>
      <c r="M441" s="33">
        <f t="shared" si="778"/>
        <v>114111.08520000002</v>
      </c>
      <c r="N441" s="33">
        <f>SUM(N442:N533)</f>
        <v>5372727.448400001</v>
      </c>
      <c r="P441" s="33">
        <f t="shared" ref="P441:S441" si="779">SUM(P442:P533)</f>
        <v>4005.8323758220236</v>
      </c>
      <c r="Q441" s="33">
        <f t="shared" si="779"/>
        <v>1301417.6071219563</v>
      </c>
      <c r="R441" s="33">
        <f t="shared" si="779"/>
        <v>1622434.1300000004</v>
      </c>
      <c r="S441" s="33">
        <f t="shared" si="779"/>
        <v>3750293.3183999993</v>
      </c>
    </row>
    <row r="442" spans="1:19">
      <c r="A442" s="338"/>
      <c r="B442" s="44"/>
      <c r="C442" s="167"/>
      <c r="D442" s="341" t="s">
        <v>22794</v>
      </c>
      <c r="E442" s="339"/>
      <c r="F442" s="167"/>
      <c r="G442" s="339"/>
      <c r="H442" s="339"/>
      <c r="I442" s="340"/>
      <c r="J442" s="339"/>
      <c r="K442" s="339"/>
      <c r="L442" s="339"/>
      <c r="M442" s="339"/>
      <c r="N442" s="339"/>
      <c r="P442" s="339"/>
      <c r="Q442" s="339"/>
      <c r="R442" s="24">
        <f t="shared" ref="R442:R473" si="780">TRUNC((Q442*I442+Q442),2)</f>
        <v>0</v>
      </c>
      <c r="S442" s="24">
        <f t="shared" ref="S442:S473" si="781">N442-R442</f>
        <v>0</v>
      </c>
    </row>
    <row r="443" spans="1:19" ht="31.5">
      <c r="A443" s="9" t="s">
        <v>23164</v>
      </c>
      <c r="B443" s="10" t="s">
        <v>358</v>
      </c>
      <c r="C443" s="10" t="s">
        <v>22649</v>
      </c>
      <c r="D443" s="43" t="s">
        <v>248</v>
      </c>
      <c r="E443" s="11">
        <v>11227</v>
      </c>
      <c r="F443" s="13" t="s">
        <v>328</v>
      </c>
      <c r="G443" s="24">
        <f>VLOOKUP(C443,'9. CCU''S GERAIS AMEP'!A:K,11,0)</f>
        <v>90.283322123893797</v>
      </c>
      <c r="H443" s="24">
        <v>0</v>
      </c>
      <c r="I443" s="25">
        <f>'3. BDI'!$C$19</f>
        <v>0.24666704095238123</v>
      </c>
      <c r="J443" s="24">
        <f t="shared" ref="J443" si="782">TRUNC(G443+(G443*I443),2)</f>
        <v>112.55</v>
      </c>
      <c r="K443" s="24">
        <f t="shared" ref="K443" si="783">TRUNC(H443+(H443*I443),2)</f>
        <v>0</v>
      </c>
      <c r="L443" s="24">
        <f t="shared" ref="L443" si="784">J443*E443</f>
        <v>1263598.8499999999</v>
      </c>
      <c r="M443" s="24">
        <f t="shared" ref="M443" si="785">K443*E443</f>
        <v>0</v>
      </c>
      <c r="N443" s="24">
        <f t="shared" ref="N443" si="786">L443+M443</f>
        <v>1263598.8499999999</v>
      </c>
      <c r="P443" s="24">
        <f>103.68/113</f>
        <v>0.91752212389380539</v>
      </c>
      <c r="Q443" s="24">
        <f t="shared" ref="Q443" si="787">P443*E443</f>
        <v>10301.020884955753</v>
      </c>
      <c r="R443" s="24">
        <f t="shared" si="780"/>
        <v>12841.94</v>
      </c>
      <c r="S443" s="24">
        <f t="shared" si="781"/>
        <v>1250756.9099999999</v>
      </c>
    </row>
    <row r="444" spans="1:19">
      <c r="A444" s="338"/>
      <c r="B444" s="44"/>
      <c r="C444" s="167"/>
      <c r="D444" s="341" t="s">
        <v>22795</v>
      </c>
      <c r="E444" s="339"/>
      <c r="F444" s="167"/>
      <c r="G444" s="339"/>
      <c r="H444" s="339"/>
      <c r="I444" s="340"/>
      <c r="J444" s="339"/>
      <c r="K444" s="339"/>
      <c r="L444" s="339"/>
      <c r="M444" s="339"/>
      <c r="N444" s="339"/>
      <c r="P444" s="339"/>
      <c r="Q444" s="339"/>
      <c r="R444" s="24">
        <f t="shared" si="780"/>
        <v>0</v>
      </c>
      <c r="S444" s="24">
        <f t="shared" si="781"/>
        <v>0</v>
      </c>
    </row>
    <row r="445" spans="1:19">
      <c r="A445" s="9" t="s">
        <v>23165</v>
      </c>
      <c r="B445" s="10" t="s">
        <v>358</v>
      </c>
      <c r="C445" s="248" t="s">
        <v>22653</v>
      </c>
      <c r="D445" s="43" t="s">
        <v>258</v>
      </c>
      <c r="E445" s="11">
        <v>2135</v>
      </c>
      <c r="F445" s="13" t="s">
        <v>328</v>
      </c>
      <c r="G445" s="24">
        <f>VLOOKUP(C445,'9. CCU''S GERAIS AMEP'!A:K,11,0)</f>
        <v>106.51</v>
      </c>
      <c r="H445" s="24">
        <v>0</v>
      </c>
      <c r="I445" s="25">
        <f>'3. BDI'!$C$19</f>
        <v>0.24666704095238123</v>
      </c>
      <c r="J445" s="24">
        <f t="shared" ref="J445" si="788">TRUNC(G445+(G445*I445),2)</f>
        <v>132.78</v>
      </c>
      <c r="K445" s="24">
        <f t="shared" ref="K445" si="789">TRUNC(H445+(H445*I445),2)</f>
        <v>0</v>
      </c>
      <c r="L445" s="24">
        <f t="shared" ref="L445" si="790">J445*E445</f>
        <v>283485.3</v>
      </c>
      <c r="M445" s="24">
        <f t="shared" ref="M445" si="791">K445*E445</f>
        <v>0</v>
      </c>
      <c r="N445" s="24">
        <f t="shared" ref="N445" si="792">L445+M445</f>
        <v>283485.3</v>
      </c>
      <c r="P445" s="24">
        <f>72.22/1</f>
        <v>72.22</v>
      </c>
      <c r="Q445" s="24">
        <f t="shared" ref="Q445" si="793">P445*E445</f>
        <v>154189.70000000001</v>
      </c>
      <c r="R445" s="24">
        <f t="shared" si="780"/>
        <v>192223.21</v>
      </c>
      <c r="S445" s="24">
        <f t="shared" si="781"/>
        <v>91262.09</v>
      </c>
    </row>
    <row r="446" spans="1:19">
      <c r="A446" s="338"/>
      <c r="B446" s="44"/>
      <c r="C446" s="167"/>
      <c r="D446" s="341" t="s">
        <v>22796</v>
      </c>
      <c r="E446" s="339"/>
      <c r="F446" s="167"/>
      <c r="G446" s="339"/>
      <c r="H446" s="339"/>
      <c r="I446" s="340"/>
      <c r="J446" s="339"/>
      <c r="K446" s="339"/>
      <c r="L446" s="339"/>
      <c r="M446" s="339"/>
      <c r="N446" s="339"/>
      <c r="P446" s="339"/>
      <c r="Q446" s="339"/>
      <c r="R446" s="24">
        <f t="shared" si="780"/>
        <v>0</v>
      </c>
      <c r="S446" s="24">
        <f t="shared" si="781"/>
        <v>0</v>
      </c>
    </row>
    <row r="447" spans="1:19">
      <c r="A447" s="9" t="s">
        <v>23166</v>
      </c>
      <c r="B447" s="10" t="s">
        <v>358</v>
      </c>
      <c r="C447" s="10" t="s">
        <v>22652</v>
      </c>
      <c r="D447" s="43" t="s">
        <v>257</v>
      </c>
      <c r="E447" s="11">
        <v>1085</v>
      </c>
      <c r="F447" s="13" t="s">
        <v>328</v>
      </c>
      <c r="G447" s="24">
        <f>VLOOKUP(C447,'9. CCU''S GERAIS AMEP'!A:K,11,0)</f>
        <v>53.376099999999994</v>
      </c>
      <c r="H447" s="24">
        <v>0</v>
      </c>
      <c r="I447" s="25">
        <f>'3. BDI'!$C$19</f>
        <v>0.24666704095238123</v>
      </c>
      <c r="J447" s="24">
        <f t="shared" ref="J447" si="794">TRUNC(G447+(G447*I447),2)</f>
        <v>66.540000000000006</v>
      </c>
      <c r="K447" s="24">
        <f t="shared" ref="K447" si="795">TRUNC(H447+(H447*I447),2)</f>
        <v>0</v>
      </c>
      <c r="L447" s="24">
        <f t="shared" ref="L447" si="796">J447*E447</f>
        <v>72195.900000000009</v>
      </c>
      <c r="M447" s="24">
        <f t="shared" ref="M447" si="797">K447*E447</f>
        <v>0</v>
      </c>
      <c r="N447" s="24">
        <f t="shared" ref="N447" si="798">L447+M447</f>
        <v>72195.900000000009</v>
      </c>
      <c r="P447" s="24">
        <f>13.73/1</f>
        <v>13.73</v>
      </c>
      <c r="Q447" s="24">
        <f t="shared" ref="Q447" si="799">P447*E447</f>
        <v>14897.050000000001</v>
      </c>
      <c r="R447" s="24">
        <f t="shared" si="780"/>
        <v>18571.66</v>
      </c>
      <c r="S447" s="24">
        <f t="shared" si="781"/>
        <v>53624.240000000005</v>
      </c>
    </row>
    <row r="448" spans="1:19">
      <c r="A448" s="338"/>
      <c r="B448" s="44"/>
      <c r="C448" s="167"/>
      <c r="D448" s="341" t="s">
        <v>22788</v>
      </c>
      <c r="E448" s="339"/>
      <c r="F448" s="167"/>
      <c r="G448" s="339"/>
      <c r="H448" s="339"/>
      <c r="I448" s="340"/>
      <c r="J448" s="339"/>
      <c r="K448" s="339"/>
      <c r="L448" s="339"/>
      <c r="M448" s="339"/>
      <c r="N448" s="339"/>
      <c r="P448" s="339"/>
      <c r="Q448" s="339"/>
      <c r="R448" s="24">
        <f t="shared" si="780"/>
        <v>0</v>
      </c>
      <c r="S448" s="24">
        <f t="shared" si="781"/>
        <v>0</v>
      </c>
    </row>
    <row r="449" spans="1:19">
      <c r="A449" s="9" t="s">
        <v>23167</v>
      </c>
      <c r="B449" s="10" t="s">
        <v>9016</v>
      </c>
      <c r="C449" s="10">
        <v>622100</v>
      </c>
      <c r="D449" s="43" t="str">
        <f>VLOOKUP(C449,'13. CUSTOS DER - SERVIÇOS'!A:B,2,0)</f>
        <v>BOCA DE SAÍDA DRENO PROFUNDO - TIPO 2</v>
      </c>
      <c r="E449" s="11">
        <v>29</v>
      </c>
      <c r="F449" s="26" t="str">
        <f>VLOOKUP(C449,'13. CUSTOS DER - SERVIÇOS'!A:C,3,0)</f>
        <v>UD</v>
      </c>
      <c r="G449" s="24">
        <f>VLOOKUP(C449,'13. CUSTOS DER - SERVIÇOS'!A:G,7,0)</f>
        <v>294.64999999999998</v>
      </c>
      <c r="H449" s="24">
        <f>VLOOKUP(C449,'10. CCU TRANSPORTE'!B:J,9,0)</f>
        <v>12.94</v>
      </c>
      <c r="I449" s="25">
        <f>'3. BDI'!$C$19</f>
        <v>0.24666704095238123</v>
      </c>
      <c r="J449" s="24">
        <f t="shared" ref="J449" si="800">TRUNC(G449+(G449*I449),2)</f>
        <v>367.33</v>
      </c>
      <c r="K449" s="24">
        <f t="shared" ref="K449" si="801">TRUNC(H449+(H449*I449),2)</f>
        <v>16.13</v>
      </c>
      <c r="L449" s="24">
        <f t="shared" ref="L449" si="802">J449*E449</f>
        <v>10652.57</v>
      </c>
      <c r="M449" s="24">
        <f t="shared" ref="M449" si="803">K449*E449</f>
        <v>467.77</v>
      </c>
      <c r="N449" s="24">
        <f t="shared" ref="N449" si="804">L449+M449</f>
        <v>11120.34</v>
      </c>
      <c r="P449" s="24">
        <f>26.09/1</f>
        <v>26.09</v>
      </c>
      <c r="Q449" s="24">
        <f>TRUNC(P449*E449,2)</f>
        <v>756.61</v>
      </c>
      <c r="R449" s="24">
        <f t="shared" si="780"/>
        <v>943.24</v>
      </c>
      <c r="S449" s="24">
        <f t="shared" si="781"/>
        <v>10177.1</v>
      </c>
    </row>
    <row r="450" spans="1:19">
      <c r="A450" s="338"/>
      <c r="B450" s="44"/>
      <c r="C450" s="167"/>
      <c r="D450" s="341" t="s">
        <v>22831</v>
      </c>
      <c r="E450" s="336"/>
      <c r="F450" s="167"/>
      <c r="G450" s="339"/>
      <c r="H450" s="339"/>
      <c r="I450" s="340"/>
      <c r="J450" s="339"/>
      <c r="K450" s="339"/>
      <c r="L450" s="339"/>
      <c r="M450" s="339"/>
      <c r="N450" s="339"/>
      <c r="P450" s="339"/>
      <c r="Q450" s="339"/>
      <c r="R450" s="24">
        <f t="shared" si="780"/>
        <v>0</v>
      </c>
      <c r="S450" s="24">
        <f t="shared" si="781"/>
        <v>0</v>
      </c>
    </row>
    <row r="451" spans="1:19">
      <c r="A451" s="9" t="s">
        <v>23169</v>
      </c>
      <c r="B451" s="10" t="s">
        <v>9016</v>
      </c>
      <c r="C451" s="10">
        <v>600000</v>
      </c>
      <c r="D451" s="43" t="str">
        <f>VLOOKUP(C451,'13. CUSTOS DER - SERVIÇOS'!A:B,2,0)</f>
        <v>ESCAVAÇÃO MANUAL DE VALA 1A. CAT.</v>
      </c>
      <c r="E451" s="11">
        <v>56.76</v>
      </c>
      <c r="F451" s="26" t="str">
        <f>VLOOKUP(C451,'13. CUSTOS DER - SERVIÇOS'!A:C,3,0)</f>
        <v>M3</v>
      </c>
      <c r="G451" s="24">
        <f>VLOOKUP(C451,'13. CUSTOS DER - SERVIÇOS'!A:G,7,0)</f>
        <v>49.54</v>
      </c>
      <c r="H451" s="24">
        <v>0</v>
      </c>
      <c r="I451" s="25">
        <f>'3. BDI'!$C$19</f>
        <v>0.24666704095238123</v>
      </c>
      <c r="J451" s="24">
        <f t="shared" ref="J451" si="805">TRUNC(G451+(G451*I451),2)</f>
        <v>61.75</v>
      </c>
      <c r="K451" s="24">
        <f t="shared" ref="K451" si="806">TRUNC(H451+(H451*I451),2)</f>
        <v>0</v>
      </c>
      <c r="L451" s="24">
        <f t="shared" ref="L451" si="807">J451*E451</f>
        <v>3504.93</v>
      </c>
      <c r="M451" s="24">
        <f t="shared" ref="M451" si="808">K451*E451</f>
        <v>0</v>
      </c>
      <c r="N451" s="24">
        <f t="shared" ref="N451" si="809">L451+M451</f>
        <v>3504.93</v>
      </c>
      <c r="P451" s="24">
        <f>47.19/1</f>
        <v>47.19</v>
      </c>
      <c r="Q451" s="24">
        <f>TRUNC(P451*E451,2)</f>
        <v>2678.5</v>
      </c>
      <c r="R451" s="24">
        <f t="shared" si="780"/>
        <v>3339.19</v>
      </c>
      <c r="S451" s="24">
        <f t="shared" si="781"/>
        <v>165.73999999999978</v>
      </c>
    </row>
    <row r="452" spans="1:19" ht="31.5">
      <c r="A452" s="9" t="s">
        <v>23172</v>
      </c>
      <c r="B452" s="10" t="s">
        <v>22708</v>
      </c>
      <c r="C452" s="10">
        <v>1506055</v>
      </c>
      <c r="D452" s="43" t="str">
        <f>UPPER(VLOOKUP(C452,'18. CUSTOS DNIT - SERVIÇOS'!A:B,2,0))</f>
        <v>PEDRA ARGAMASSADA COM CIMENTO E AREIA 1:3 - AREIA E PEDRA DE MÃO COMERCIAL - FORNECIMENTO E ASSENTAMENTO</v>
      </c>
      <c r="E452" s="11">
        <v>42</v>
      </c>
      <c r="F452" s="26" t="str">
        <f>UPPER(VLOOKUP(C452,'18. CUSTOS DNIT - SERVIÇOS'!A:C,3,0))</f>
        <v>M³</v>
      </c>
      <c r="G452" s="24">
        <f>VLOOKUP(C452,'18. CUSTOS DNIT - SERVIÇOS'!A:D,4,0)</f>
        <v>399.01</v>
      </c>
      <c r="H452" s="24"/>
      <c r="I452" s="25">
        <f>'3. BDI'!$C$19</f>
        <v>0.24666704095238123</v>
      </c>
      <c r="J452" s="24">
        <f>TRUNC(G452+(G452*I452),2)</f>
        <v>497.43</v>
      </c>
      <c r="K452" s="24">
        <f>TRUNC(H452+(H452*I452),2)</f>
        <v>0</v>
      </c>
      <c r="L452" s="24">
        <f>J452*E452</f>
        <v>20892.060000000001</v>
      </c>
      <c r="M452" s="24">
        <f>K452*E452</f>
        <v>0</v>
      </c>
      <c r="N452" s="24">
        <f>L452+M452</f>
        <v>20892.060000000001</v>
      </c>
      <c r="P452" s="24">
        <f>133.9364/1</f>
        <v>133.93639999999999</v>
      </c>
      <c r="Q452" s="24">
        <f>TRUNC((P452*E452),2)</f>
        <v>5625.32</v>
      </c>
      <c r="R452" s="24">
        <f t="shared" si="780"/>
        <v>7012.9</v>
      </c>
      <c r="S452" s="24">
        <f t="shared" si="781"/>
        <v>13879.160000000002</v>
      </c>
    </row>
    <row r="453" spans="1:19">
      <c r="A453" s="9" t="s">
        <v>23173</v>
      </c>
      <c r="B453" s="10" t="s">
        <v>9016</v>
      </c>
      <c r="C453" s="10">
        <v>601100</v>
      </c>
      <c r="D453" s="43" t="str">
        <f>VLOOKUP(C453,'13. CUSTOS DER - SERVIÇOS'!A:B,2,0)</f>
        <v>APILOAMENTO MANUAL</v>
      </c>
      <c r="E453" s="11">
        <v>3.6</v>
      </c>
      <c r="F453" s="26" t="str">
        <f>VLOOKUP(C453,'13. CUSTOS DER - SERVIÇOS'!A:C,3,0)</f>
        <v>M3</v>
      </c>
      <c r="G453" s="24">
        <f>VLOOKUP(C453,'13. CUSTOS DER - SERVIÇOS'!A:G,7,0)</f>
        <v>54.05</v>
      </c>
      <c r="H453" s="24"/>
      <c r="I453" s="25">
        <f>'3. BDI'!$C$19</f>
        <v>0.24666704095238123</v>
      </c>
      <c r="J453" s="24">
        <f t="shared" ref="J453:J455" si="810">TRUNC(G453+(G453*I453),2)</f>
        <v>67.38</v>
      </c>
      <c r="K453" s="24">
        <f t="shared" ref="K453:K455" si="811">TRUNC(H453+(H453*I453),2)</f>
        <v>0</v>
      </c>
      <c r="L453" s="24">
        <f t="shared" ref="L453:L455" si="812">J453*E453</f>
        <v>242.56799999999998</v>
      </c>
      <c r="M453" s="24">
        <f t="shared" ref="M453:M455" si="813">K453*E453</f>
        <v>0</v>
      </c>
      <c r="N453" s="24">
        <f t="shared" ref="N453:N455" si="814">L453+M453</f>
        <v>242.56799999999998</v>
      </c>
      <c r="P453" s="24">
        <f>51.48/1</f>
        <v>51.48</v>
      </c>
      <c r="Q453" s="24">
        <f t="shared" ref="Q453:Q455" si="815">TRUNC(P453*E453,2)</f>
        <v>185.32</v>
      </c>
      <c r="R453" s="24">
        <f t="shared" si="780"/>
        <v>231.03</v>
      </c>
      <c r="S453" s="24">
        <f t="shared" si="781"/>
        <v>11.537999999999982</v>
      </c>
    </row>
    <row r="454" spans="1:19">
      <c r="A454" s="9" t="s">
        <v>23174</v>
      </c>
      <c r="B454" s="10" t="s">
        <v>9016</v>
      </c>
      <c r="C454" s="10">
        <v>602100</v>
      </c>
      <c r="D454" s="43" t="str">
        <f>VLOOKUP(C454,'13. CUSTOS DER - SERVIÇOS'!A:B,2,0)</f>
        <v>FORMAS DE MADEIRA COMPENSADA  RESINADA</v>
      </c>
      <c r="E454" s="11">
        <v>121.68</v>
      </c>
      <c r="F454" s="26" t="str">
        <f>VLOOKUP(C454,'13. CUSTOS DER - SERVIÇOS'!A:C,3,0)</f>
        <v>M2</v>
      </c>
      <c r="G454" s="24">
        <f>VLOOKUP(C454,'13. CUSTOS DER - SERVIÇOS'!A:G,7,0)</f>
        <v>78.33</v>
      </c>
      <c r="H454" s="24"/>
      <c r="I454" s="25">
        <f>'3. BDI'!$C$19</f>
        <v>0.24666704095238123</v>
      </c>
      <c r="J454" s="24">
        <f t="shared" si="810"/>
        <v>97.65</v>
      </c>
      <c r="K454" s="24">
        <f t="shared" si="811"/>
        <v>0</v>
      </c>
      <c r="L454" s="24">
        <f t="shared" si="812"/>
        <v>11882.052000000001</v>
      </c>
      <c r="M454" s="24">
        <f t="shared" si="813"/>
        <v>0</v>
      </c>
      <c r="N454" s="24">
        <f t="shared" si="814"/>
        <v>11882.052000000001</v>
      </c>
      <c r="P454" s="24">
        <f>78.65/2</f>
        <v>39.325000000000003</v>
      </c>
      <c r="Q454" s="24">
        <f t="shared" si="815"/>
        <v>4785.0600000000004</v>
      </c>
      <c r="R454" s="24">
        <f t="shared" si="780"/>
        <v>5965.37</v>
      </c>
      <c r="S454" s="24">
        <f t="shared" si="781"/>
        <v>5916.6820000000016</v>
      </c>
    </row>
    <row r="455" spans="1:19">
      <c r="A455" s="9" t="s">
        <v>23175</v>
      </c>
      <c r="B455" s="10" t="s">
        <v>9016</v>
      </c>
      <c r="C455" s="10">
        <v>605500</v>
      </c>
      <c r="D455" s="43" t="str">
        <f>VLOOKUP(C455,'13. CUSTOS DER - SERVIÇOS'!A:B,2,0)</f>
        <v>CONCRETO FCK = 20 MPA, PREPARO EM BETONEIRA E LANÇ.</v>
      </c>
      <c r="E455" s="11">
        <v>27.96</v>
      </c>
      <c r="F455" s="26" t="str">
        <f>VLOOKUP(C455,'13. CUSTOS DER - SERVIÇOS'!A:C,3,0)</f>
        <v>M3</v>
      </c>
      <c r="G455" s="24">
        <f>VLOOKUP(C455,'13. CUSTOS DER - SERVIÇOS'!A:G,7,0)</f>
        <v>532.64</v>
      </c>
      <c r="H455" s="24">
        <f>VLOOKUP(C455,'10. CCU TRANSPORTE'!B:J,9,0)</f>
        <v>61.030000000000008</v>
      </c>
      <c r="I455" s="25">
        <f>'3. BDI'!$C$19</f>
        <v>0.24666704095238123</v>
      </c>
      <c r="J455" s="24">
        <f t="shared" si="810"/>
        <v>664.02</v>
      </c>
      <c r="K455" s="24">
        <f t="shared" si="811"/>
        <v>76.08</v>
      </c>
      <c r="L455" s="24">
        <f t="shared" si="812"/>
        <v>18565.999199999998</v>
      </c>
      <c r="M455" s="24">
        <f t="shared" si="813"/>
        <v>2127.1968000000002</v>
      </c>
      <c r="N455" s="24">
        <f t="shared" si="814"/>
        <v>20693.196</v>
      </c>
      <c r="P455" s="24">
        <f>498.36/2.5</f>
        <v>199.34399999999999</v>
      </c>
      <c r="Q455" s="24">
        <f t="shared" si="815"/>
        <v>5573.65</v>
      </c>
      <c r="R455" s="24">
        <f t="shared" si="780"/>
        <v>6948.48</v>
      </c>
      <c r="S455" s="24">
        <f t="shared" si="781"/>
        <v>13744.716</v>
      </c>
    </row>
    <row r="456" spans="1:19">
      <c r="A456" s="338"/>
      <c r="B456" s="44"/>
      <c r="C456" s="167"/>
      <c r="D456" s="341" t="s">
        <v>22832</v>
      </c>
      <c r="E456" s="336"/>
      <c r="F456" s="167"/>
      <c r="G456" s="339"/>
      <c r="H456" s="339"/>
      <c r="I456" s="340"/>
      <c r="J456" s="339"/>
      <c r="K456" s="339"/>
      <c r="L456" s="339"/>
      <c r="M456" s="339"/>
      <c r="N456" s="339"/>
      <c r="P456" s="339"/>
      <c r="Q456" s="339"/>
      <c r="R456" s="24">
        <f t="shared" si="780"/>
        <v>0</v>
      </c>
      <c r="S456" s="24">
        <f t="shared" si="781"/>
        <v>0</v>
      </c>
    </row>
    <row r="457" spans="1:19">
      <c r="A457" s="9" t="s">
        <v>23176</v>
      </c>
      <c r="B457" s="10" t="s">
        <v>9016</v>
      </c>
      <c r="C457" s="10">
        <v>600000</v>
      </c>
      <c r="D457" s="43" t="str">
        <f>VLOOKUP(C457,'13. CUSTOS DER - SERVIÇOS'!A:B,2,0)</f>
        <v>ESCAVAÇÃO MANUAL DE VALA 1A. CAT.</v>
      </c>
      <c r="E457" s="11">
        <v>10.8</v>
      </c>
      <c r="F457" s="26" t="str">
        <f>VLOOKUP(C457,'13. CUSTOS DER - SERVIÇOS'!A:C,3,0)</f>
        <v>M3</v>
      </c>
      <c r="G457" s="24">
        <f>VLOOKUP(C457,'13. CUSTOS DER - SERVIÇOS'!A:G,7,0)</f>
        <v>49.54</v>
      </c>
      <c r="H457" s="24">
        <v>0</v>
      </c>
      <c r="I457" s="25">
        <f>'3. BDI'!$C$19</f>
        <v>0.24666704095238123</v>
      </c>
      <c r="J457" s="24">
        <f t="shared" ref="J457" si="816">TRUNC(G457+(G457*I457),2)</f>
        <v>61.75</v>
      </c>
      <c r="K457" s="24">
        <f t="shared" ref="K457" si="817">TRUNC(H457+(H457*I457),2)</f>
        <v>0</v>
      </c>
      <c r="L457" s="24">
        <f t="shared" ref="L457" si="818">J457*E457</f>
        <v>666.90000000000009</v>
      </c>
      <c r="M457" s="24">
        <f t="shared" ref="M457" si="819">K457*E457</f>
        <v>0</v>
      </c>
      <c r="N457" s="24">
        <f t="shared" ref="N457" si="820">L457+M457</f>
        <v>666.90000000000009</v>
      </c>
      <c r="P457" s="24">
        <f>47.19/1</f>
        <v>47.19</v>
      </c>
      <c r="Q457" s="24">
        <f>TRUNC(P457*E457,2)</f>
        <v>509.65</v>
      </c>
      <c r="R457" s="24">
        <f t="shared" si="780"/>
        <v>635.36</v>
      </c>
      <c r="S457" s="24">
        <f t="shared" si="781"/>
        <v>31.540000000000077</v>
      </c>
    </row>
    <row r="458" spans="1:19" ht="31.5">
      <c r="A458" s="9" t="s">
        <v>23179</v>
      </c>
      <c r="B458" s="10" t="s">
        <v>22708</v>
      </c>
      <c r="C458" s="10">
        <v>1506055</v>
      </c>
      <c r="D458" s="43" t="str">
        <f>UPPER(VLOOKUP(C458,'18. CUSTOS DNIT - SERVIÇOS'!A:B,2,0))</f>
        <v>PEDRA ARGAMASSADA COM CIMENTO E AREIA 1:3 - AREIA E PEDRA DE MÃO COMERCIAL - FORNECIMENTO E ASSENTAMENTO</v>
      </c>
      <c r="E458" s="11">
        <v>5.61</v>
      </c>
      <c r="F458" s="26" t="str">
        <f>UPPER(VLOOKUP(C458,'18. CUSTOS DNIT - SERVIÇOS'!A:C,3,0))</f>
        <v>M³</v>
      </c>
      <c r="G458" s="24">
        <f>VLOOKUP(C458,'18. CUSTOS DNIT - SERVIÇOS'!A:D,4,0)</f>
        <v>399.01</v>
      </c>
      <c r="H458" s="24"/>
      <c r="I458" s="25">
        <f>'3. BDI'!$C$19</f>
        <v>0.24666704095238123</v>
      </c>
      <c r="J458" s="24">
        <f>TRUNC(G458+(G458*I458),2)</f>
        <v>497.43</v>
      </c>
      <c r="K458" s="24">
        <f>TRUNC(H458+(H458*I458),2)</f>
        <v>0</v>
      </c>
      <c r="L458" s="24">
        <f>J458*E458</f>
        <v>2790.5823</v>
      </c>
      <c r="M458" s="24">
        <f>K458*E458</f>
        <v>0</v>
      </c>
      <c r="N458" s="24">
        <f>L458+M458</f>
        <v>2790.5823</v>
      </c>
      <c r="P458" s="24">
        <f>133.9364/1</f>
        <v>133.93639999999999</v>
      </c>
      <c r="Q458" s="24">
        <f>TRUNC((P458*E458),2)</f>
        <v>751.38</v>
      </c>
      <c r="R458" s="24">
        <f t="shared" si="780"/>
        <v>936.72</v>
      </c>
      <c r="S458" s="24">
        <f t="shared" si="781"/>
        <v>1853.8623</v>
      </c>
    </row>
    <row r="459" spans="1:19">
      <c r="A459" s="9" t="s">
        <v>23180</v>
      </c>
      <c r="B459" s="10" t="s">
        <v>9016</v>
      </c>
      <c r="C459" s="10">
        <v>601100</v>
      </c>
      <c r="D459" s="43" t="str">
        <f>VLOOKUP(C459,'13. CUSTOS DER - SERVIÇOS'!A:B,2,0)</f>
        <v>APILOAMENTO MANUAL</v>
      </c>
      <c r="E459" s="11">
        <v>1.8</v>
      </c>
      <c r="F459" s="26" t="str">
        <f>VLOOKUP(C459,'13. CUSTOS DER - SERVIÇOS'!A:C,3,0)</f>
        <v>M3</v>
      </c>
      <c r="G459" s="24">
        <f>VLOOKUP(C459,'13. CUSTOS DER - SERVIÇOS'!A:G,7,0)</f>
        <v>54.05</v>
      </c>
      <c r="H459" s="24"/>
      <c r="I459" s="25">
        <f>'3. BDI'!$C$19</f>
        <v>0.24666704095238123</v>
      </c>
      <c r="J459" s="24">
        <f t="shared" ref="J459:J461" si="821">TRUNC(G459+(G459*I459),2)</f>
        <v>67.38</v>
      </c>
      <c r="K459" s="24">
        <f t="shared" ref="K459:K461" si="822">TRUNC(H459+(H459*I459),2)</f>
        <v>0</v>
      </c>
      <c r="L459" s="24">
        <f t="shared" ref="L459:L461" si="823">J459*E459</f>
        <v>121.28399999999999</v>
      </c>
      <c r="M459" s="24">
        <f t="shared" ref="M459:M461" si="824">K459*E459</f>
        <v>0</v>
      </c>
      <c r="N459" s="24">
        <f t="shared" ref="N459:N461" si="825">L459+M459</f>
        <v>121.28399999999999</v>
      </c>
      <c r="P459" s="24">
        <f>51.48/1</f>
        <v>51.48</v>
      </c>
      <c r="Q459" s="24">
        <f t="shared" ref="Q459:Q461" si="826">TRUNC(P459*E459,2)</f>
        <v>92.66</v>
      </c>
      <c r="R459" s="24">
        <f t="shared" si="780"/>
        <v>115.51</v>
      </c>
      <c r="S459" s="24">
        <f t="shared" si="781"/>
        <v>5.7739999999999867</v>
      </c>
    </row>
    <row r="460" spans="1:19">
      <c r="A460" s="9" t="s">
        <v>23181</v>
      </c>
      <c r="B460" s="10" t="s">
        <v>9016</v>
      </c>
      <c r="C460" s="10">
        <v>602100</v>
      </c>
      <c r="D460" s="43" t="str">
        <f>VLOOKUP(C460,'13. CUSTOS DER - SERVIÇOS'!A:B,2,0)</f>
        <v>FORMAS DE MADEIRA COMPENSADA  RESINADA</v>
      </c>
      <c r="E460" s="11">
        <v>62.64</v>
      </c>
      <c r="F460" s="26" t="str">
        <f>VLOOKUP(C460,'13. CUSTOS DER - SERVIÇOS'!A:C,3,0)</f>
        <v>M2</v>
      </c>
      <c r="G460" s="24">
        <f>VLOOKUP(C460,'13. CUSTOS DER - SERVIÇOS'!A:G,7,0)</f>
        <v>78.33</v>
      </c>
      <c r="H460" s="24"/>
      <c r="I460" s="25">
        <f>'3. BDI'!$C$19</f>
        <v>0.24666704095238123</v>
      </c>
      <c r="J460" s="24">
        <f t="shared" si="821"/>
        <v>97.65</v>
      </c>
      <c r="K460" s="24">
        <f t="shared" si="822"/>
        <v>0</v>
      </c>
      <c r="L460" s="24">
        <f t="shared" si="823"/>
        <v>6116.7960000000003</v>
      </c>
      <c r="M460" s="24">
        <f t="shared" si="824"/>
        <v>0</v>
      </c>
      <c r="N460" s="24">
        <f t="shared" si="825"/>
        <v>6116.7960000000003</v>
      </c>
      <c r="P460" s="24">
        <f>78.65/2</f>
        <v>39.325000000000003</v>
      </c>
      <c r="Q460" s="24">
        <f t="shared" si="826"/>
        <v>2463.31</v>
      </c>
      <c r="R460" s="24">
        <f t="shared" si="780"/>
        <v>3070.92</v>
      </c>
      <c r="S460" s="24">
        <f t="shared" si="781"/>
        <v>3045.8760000000002</v>
      </c>
    </row>
    <row r="461" spans="1:19">
      <c r="A461" s="9" t="s">
        <v>23182</v>
      </c>
      <c r="B461" s="10" t="s">
        <v>9016</v>
      </c>
      <c r="C461" s="10">
        <v>605500</v>
      </c>
      <c r="D461" s="43" t="str">
        <f>VLOOKUP(C461,'13. CUSTOS DER - SERVIÇOS'!A:B,2,0)</f>
        <v>CONCRETO FCK = 20 MPA, PREPARO EM BETONEIRA E LANÇ.</v>
      </c>
      <c r="E461" s="11">
        <v>7.86</v>
      </c>
      <c r="F461" s="26" t="str">
        <f>VLOOKUP(C461,'13. CUSTOS DER - SERVIÇOS'!A:C,3,0)</f>
        <v>M3</v>
      </c>
      <c r="G461" s="24">
        <f>VLOOKUP(C461,'13. CUSTOS DER - SERVIÇOS'!A:G,7,0)</f>
        <v>532.64</v>
      </c>
      <c r="H461" s="24">
        <f>VLOOKUP(C461,'10. CCU TRANSPORTE'!B:J,9,0)</f>
        <v>61.030000000000008</v>
      </c>
      <c r="I461" s="25">
        <f>'3. BDI'!$C$19</f>
        <v>0.24666704095238123</v>
      </c>
      <c r="J461" s="24">
        <f t="shared" si="821"/>
        <v>664.02</v>
      </c>
      <c r="K461" s="24">
        <f t="shared" si="822"/>
        <v>76.08</v>
      </c>
      <c r="L461" s="24">
        <f t="shared" si="823"/>
        <v>5219.1972000000005</v>
      </c>
      <c r="M461" s="24">
        <f t="shared" si="824"/>
        <v>597.98879999999997</v>
      </c>
      <c r="N461" s="24">
        <f t="shared" si="825"/>
        <v>5817.1860000000006</v>
      </c>
      <c r="P461" s="24">
        <f>498.36/2.5</f>
        <v>199.34399999999999</v>
      </c>
      <c r="Q461" s="24">
        <f t="shared" si="826"/>
        <v>1566.84</v>
      </c>
      <c r="R461" s="24">
        <f t="shared" si="780"/>
        <v>1953.32</v>
      </c>
      <c r="S461" s="24">
        <f t="shared" si="781"/>
        <v>3863.8660000000009</v>
      </c>
    </row>
    <row r="462" spans="1:19">
      <c r="A462" s="338"/>
      <c r="B462" s="44"/>
      <c r="C462" s="167"/>
      <c r="D462" s="341" t="s">
        <v>22833</v>
      </c>
      <c r="E462" s="336"/>
      <c r="F462" s="167"/>
      <c r="G462" s="339"/>
      <c r="H462" s="339"/>
      <c r="I462" s="340"/>
      <c r="J462" s="339"/>
      <c r="K462" s="339"/>
      <c r="L462" s="339"/>
      <c r="M462" s="339"/>
      <c r="N462" s="339"/>
      <c r="P462" s="339"/>
      <c r="Q462" s="339"/>
      <c r="R462" s="24">
        <f t="shared" si="780"/>
        <v>0</v>
      </c>
      <c r="S462" s="24">
        <f t="shared" si="781"/>
        <v>0</v>
      </c>
    </row>
    <row r="463" spans="1:19">
      <c r="A463" s="9" t="s">
        <v>23178</v>
      </c>
      <c r="B463" s="10" t="s">
        <v>9016</v>
      </c>
      <c r="C463" s="10">
        <v>600000</v>
      </c>
      <c r="D463" s="43" t="str">
        <f>VLOOKUP(C463,'13. CUSTOS DER - SERVIÇOS'!A:B,2,0)</f>
        <v>ESCAVAÇÃO MANUAL DE VALA 1A. CAT.</v>
      </c>
      <c r="E463" s="11">
        <v>42.4</v>
      </c>
      <c r="F463" s="26" t="str">
        <f>VLOOKUP(C463,'13. CUSTOS DER - SERVIÇOS'!A:C,3,0)</f>
        <v>M3</v>
      </c>
      <c r="G463" s="24">
        <f>VLOOKUP(C463,'13. CUSTOS DER - SERVIÇOS'!A:G,7,0)</f>
        <v>49.54</v>
      </c>
      <c r="H463" s="24">
        <v>0</v>
      </c>
      <c r="I463" s="25">
        <f>'3. BDI'!$C$19</f>
        <v>0.24666704095238123</v>
      </c>
      <c r="J463" s="24">
        <f t="shared" ref="J463" si="827">TRUNC(G463+(G463*I463),2)</f>
        <v>61.75</v>
      </c>
      <c r="K463" s="24">
        <f t="shared" ref="K463" si="828">TRUNC(H463+(H463*I463),2)</f>
        <v>0</v>
      </c>
      <c r="L463" s="24">
        <f t="shared" ref="L463" si="829">J463*E463</f>
        <v>2618.1999999999998</v>
      </c>
      <c r="M463" s="24">
        <f t="shared" ref="M463" si="830">K463*E463</f>
        <v>0</v>
      </c>
      <c r="N463" s="24">
        <f t="shared" ref="N463" si="831">L463+M463</f>
        <v>2618.1999999999998</v>
      </c>
      <c r="P463" s="24">
        <f>47.19/1</f>
        <v>47.19</v>
      </c>
      <c r="Q463" s="24">
        <f>TRUNC(P463*E463,2)</f>
        <v>2000.85</v>
      </c>
      <c r="R463" s="24">
        <f t="shared" si="780"/>
        <v>2494.39</v>
      </c>
      <c r="S463" s="24">
        <f t="shared" si="781"/>
        <v>123.80999999999995</v>
      </c>
    </row>
    <row r="464" spans="1:19" ht="31.5">
      <c r="A464" s="9" t="s">
        <v>23184</v>
      </c>
      <c r="B464" s="10" t="s">
        <v>22708</v>
      </c>
      <c r="C464" s="10">
        <v>1506055</v>
      </c>
      <c r="D464" s="43" t="str">
        <f>UPPER(VLOOKUP(C464,'18. CUSTOS DNIT - SERVIÇOS'!A:B,2,0))</f>
        <v>PEDRA ARGAMASSADA COM CIMENTO E AREIA 1:3 - AREIA E PEDRA DE MÃO COMERCIAL - FORNECIMENTO E ASSENTAMENTO</v>
      </c>
      <c r="E464" s="11">
        <v>29.6</v>
      </c>
      <c r="F464" s="26" t="str">
        <f>UPPER(VLOOKUP(C464,'18. CUSTOS DNIT - SERVIÇOS'!A:C,3,0))</f>
        <v>M³</v>
      </c>
      <c r="G464" s="24">
        <f>VLOOKUP(C464,'18. CUSTOS DNIT - SERVIÇOS'!A:D,4,0)</f>
        <v>399.01</v>
      </c>
      <c r="H464" s="24"/>
      <c r="I464" s="25">
        <f>'3. BDI'!$C$19</f>
        <v>0.24666704095238123</v>
      </c>
      <c r="J464" s="24">
        <f>TRUNC(G464+(G464*I464),2)</f>
        <v>497.43</v>
      </c>
      <c r="K464" s="24">
        <f>TRUNC(H464+(H464*I464),2)</f>
        <v>0</v>
      </c>
      <c r="L464" s="24">
        <f>J464*E464</f>
        <v>14723.928000000002</v>
      </c>
      <c r="M464" s="24">
        <f>K464*E464</f>
        <v>0</v>
      </c>
      <c r="N464" s="24">
        <f>L464+M464</f>
        <v>14723.928000000002</v>
      </c>
      <c r="P464" s="24">
        <f>133.9364/1</f>
        <v>133.93639999999999</v>
      </c>
      <c r="Q464" s="24">
        <f>TRUNC((P464*E464),2)</f>
        <v>3964.51</v>
      </c>
      <c r="R464" s="24">
        <f t="shared" si="780"/>
        <v>4942.42</v>
      </c>
      <c r="S464" s="24">
        <f t="shared" si="781"/>
        <v>9781.5080000000016</v>
      </c>
    </row>
    <row r="465" spans="1:19">
      <c r="A465" s="9" t="s">
        <v>23185</v>
      </c>
      <c r="B465" s="10" t="s">
        <v>9016</v>
      </c>
      <c r="C465" s="10">
        <v>601100</v>
      </c>
      <c r="D465" s="43" t="str">
        <f>VLOOKUP(C465,'13. CUSTOS DER - SERVIÇOS'!A:B,2,0)</f>
        <v>APILOAMENTO MANUAL</v>
      </c>
      <c r="E465" s="11">
        <v>4</v>
      </c>
      <c r="F465" s="26" t="str">
        <f>VLOOKUP(C465,'13. CUSTOS DER - SERVIÇOS'!A:C,3,0)</f>
        <v>M3</v>
      </c>
      <c r="G465" s="24">
        <f>VLOOKUP(C465,'13. CUSTOS DER - SERVIÇOS'!A:G,7,0)</f>
        <v>54.05</v>
      </c>
      <c r="H465" s="24"/>
      <c r="I465" s="25">
        <f>'3. BDI'!$C$19</f>
        <v>0.24666704095238123</v>
      </c>
      <c r="J465" s="24">
        <f t="shared" ref="J465:J467" si="832">TRUNC(G465+(G465*I465),2)</f>
        <v>67.38</v>
      </c>
      <c r="K465" s="24">
        <f t="shared" ref="K465:K467" si="833">TRUNC(H465+(H465*I465),2)</f>
        <v>0</v>
      </c>
      <c r="L465" s="24">
        <f t="shared" ref="L465:L467" si="834">J465*E465</f>
        <v>269.52</v>
      </c>
      <c r="M465" s="24">
        <f t="shared" ref="M465:M467" si="835">K465*E465</f>
        <v>0</v>
      </c>
      <c r="N465" s="24">
        <f t="shared" ref="N465:N467" si="836">L465+M465</f>
        <v>269.52</v>
      </c>
      <c r="P465" s="24">
        <f>51.48/1</f>
        <v>51.48</v>
      </c>
      <c r="Q465" s="24">
        <f t="shared" ref="Q465:Q467" si="837">TRUNC(P465*E465,2)</f>
        <v>205.92</v>
      </c>
      <c r="R465" s="24">
        <f t="shared" si="780"/>
        <v>256.70999999999998</v>
      </c>
      <c r="S465" s="24">
        <f t="shared" si="781"/>
        <v>12.810000000000002</v>
      </c>
    </row>
    <row r="466" spans="1:19">
      <c r="A466" s="9" t="s">
        <v>23186</v>
      </c>
      <c r="B466" s="10" t="s">
        <v>9016</v>
      </c>
      <c r="C466" s="10">
        <v>602100</v>
      </c>
      <c r="D466" s="43" t="str">
        <f>VLOOKUP(C466,'13. CUSTOS DER - SERVIÇOS'!A:B,2,0)</f>
        <v>FORMAS DE MADEIRA COMPENSADA  RESINADA</v>
      </c>
      <c r="E466" s="11">
        <v>112.4</v>
      </c>
      <c r="F466" s="26" t="str">
        <f>VLOOKUP(C466,'13. CUSTOS DER - SERVIÇOS'!A:C,3,0)</f>
        <v>M2</v>
      </c>
      <c r="G466" s="24">
        <f>VLOOKUP(C466,'13. CUSTOS DER - SERVIÇOS'!A:G,7,0)</f>
        <v>78.33</v>
      </c>
      <c r="H466" s="24"/>
      <c r="I466" s="25">
        <f>'3. BDI'!$C$19</f>
        <v>0.24666704095238123</v>
      </c>
      <c r="J466" s="24">
        <f t="shared" si="832"/>
        <v>97.65</v>
      </c>
      <c r="K466" s="24">
        <f t="shared" si="833"/>
        <v>0</v>
      </c>
      <c r="L466" s="24">
        <f t="shared" si="834"/>
        <v>10975.86</v>
      </c>
      <c r="M466" s="24">
        <f t="shared" si="835"/>
        <v>0</v>
      </c>
      <c r="N466" s="24">
        <f t="shared" si="836"/>
        <v>10975.86</v>
      </c>
      <c r="P466" s="24">
        <f>78.65/2</f>
        <v>39.325000000000003</v>
      </c>
      <c r="Q466" s="24">
        <f t="shared" si="837"/>
        <v>4420.13</v>
      </c>
      <c r="R466" s="24">
        <f t="shared" si="780"/>
        <v>5510.43</v>
      </c>
      <c r="S466" s="24">
        <f t="shared" si="781"/>
        <v>5465.43</v>
      </c>
    </row>
    <row r="467" spans="1:19">
      <c r="A467" s="9" t="s">
        <v>23187</v>
      </c>
      <c r="B467" s="10" t="s">
        <v>9016</v>
      </c>
      <c r="C467" s="10">
        <v>605500</v>
      </c>
      <c r="D467" s="43" t="str">
        <f>VLOOKUP(C467,'13. CUSTOS DER - SERVIÇOS'!A:B,2,0)</f>
        <v>CONCRETO FCK = 20 MPA, PREPARO EM BETONEIRA E LANÇ.</v>
      </c>
      <c r="E467" s="11">
        <v>21.3</v>
      </c>
      <c r="F467" s="26" t="str">
        <f>VLOOKUP(C467,'13. CUSTOS DER - SERVIÇOS'!A:C,3,0)</f>
        <v>M3</v>
      </c>
      <c r="G467" s="24">
        <f>VLOOKUP(C467,'13. CUSTOS DER - SERVIÇOS'!A:G,7,0)</f>
        <v>532.64</v>
      </c>
      <c r="H467" s="24">
        <f>VLOOKUP(C467,'10. CCU TRANSPORTE'!B:J,9,0)</f>
        <v>61.030000000000008</v>
      </c>
      <c r="I467" s="25">
        <f>'3. BDI'!$C$19</f>
        <v>0.24666704095238123</v>
      </c>
      <c r="J467" s="24">
        <f t="shared" si="832"/>
        <v>664.02</v>
      </c>
      <c r="K467" s="24">
        <f t="shared" si="833"/>
        <v>76.08</v>
      </c>
      <c r="L467" s="24">
        <f t="shared" si="834"/>
        <v>14143.626</v>
      </c>
      <c r="M467" s="24">
        <f t="shared" si="835"/>
        <v>1620.5039999999999</v>
      </c>
      <c r="N467" s="24">
        <f t="shared" si="836"/>
        <v>15764.130000000001</v>
      </c>
      <c r="P467" s="24">
        <f>498.36/2.5</f>
        <v>199.34399999999999</v>
      </c>
      <c r="Q467" s="24">
        <f t="shared" si="837"/>
        <v>4246.0200000000004</v>
      </c>
      <c r="R467" s="24">
        <f t="shared" si="780"/>
        <v>5293.37</v>
      </c>
      <c r="S467" s="24">
        <f t="shared" si="781"/>
        <v>10470.760000000002</v>
      </c>
    </row>
    <row r="468" spans="1:19">
      <c r="A468" s="338"/>
      <c r="B468" s="44"/>
      <c r="C468" s="167"/>
      <c r="D468" s="341" t="s">
        <v>22820</v>
      </c>
      <c r="E468" s="339"/>
      <c r="F468" s="167"/>
      <c r="G468" s="339"/>
      <c r="H468" s="339"/>
      <c r="I468" s="340"/>
      <c r="J468" s="339"/>
      <c r="K468" s="339"/>
      <c r="L468" s="339"/>
      <c r="M468" s="339"/>
      <c r="N468" s="339"/>
      <c r="P468" s="339"/>
      <c r="Q468" s="339"/>
      <c r="R468" s="24">
        <f t="shared" si="780"/>
        <v>0</v>
      </c>
      <c r="S468" s="24">
        <f t="shared" si="781"/>
        <v>0</v>
      </c>
    </row>
    <row r="469" spans="1:19">
      <c r="A469" s="9" t="s">
        <v>23128</v>
      </c>
      <c r="B469" s="10" t="s">
        <v>9016</v>
      </c>
      <c r="C469" s="10">
        <v>600000</v>
      </c>
      <c r="D469" s="43" t="str">
        <f>VLOOKUP(C469,'13. CUSTOS DER - SERVIÇOS'!A:B,2,0)</f>
        <v>ESCAVAÇÃO MANUAL DE VALA 1A. CAT.</v>
      </c>
      <c r="E469" s="11">
        <v>15</v>
      </c>
      <c r="F469" s="26" t="str">
        <f>VLOOKUP(C469,'13. CUSTOS DER - SERVIÇOS'!A:C,3,0)</f>
        <v>M3</v>
      </c>
      <c r="G469" s="24">
        <f>VLOOKUP(C469,'13. CUSTOS DER - SERVIÇOS'!A:G,7,0)</f>
        <v>49.54</v>
      </c>
      <c r="H469" s="24">
        <v>0</v>
      </c>
      <c r="I469" s="25">
        <f>'3. BDI'!$C$19</f>
        <v>0.24666704095238123</v>
      </c>
      <c r="J469" s="24">
        <f t="shared" ref="J469:J473" si="838">TRUNC(G469+(G469*I469),2)</f>
        <v>61.75</v>
      </c>
      <c r="K469" s="24">
        <f t="shared" ref="K469:K473" si="839">TRUNC(H469+(H469*I469),2)</f>
        <v>0</v>
      </c>
      <c r="L469" s="24">
        <f t="shared" ref="L469:L473" si="840">J469*E469</f>
        <v>926.25</v>
      </c>
      <c r="M469" s="24">
        <f t="shared" ref="M469:M473" si="841">K469*E469</f>
        <v>0</v>
      </c>
      <c r="N469" s="24">
        <f t="shared" ref="N469:N473" si="842">L469+M469</f>
        <v>926.25</v>
      </c>
      <c r="P469" s="24">
        <f>47.19/1</f>
        <v>47.19</v>
      </c>
      <c r="Q469" s="24">
        <f t="shared" ref="Q469:Q473" si="843">TRUNC(P469*E469,2)</f>
        <v>707.85</v>
      </c>
      <c r="R469" s="24">
        <f t="shared" si="780"/>
        <v>882.45</v>
      </c>
      <c r="S469" s="24">
        <f t="shared" si="781"/>
        <v>43.799999999999955</v>
      </c>
    </row>
    <row r="470" spans="1:19">
      <c r="A470" s="9" t="s">
        <v>23188</v>
      </c>
      <c r="B470" s="10" t="s">
        <v>9016</v>
      </c>
      <c r="C470" s="10">
        <v>601100</v>
      </c>
      <c r="D470" s="43" t="str">
        <f>VLOOKUP(C470,'13. CUSTOS DER - SERVIÇOS'!A:B,2,0)</f>
        <v>APILOAMENTO MANUAL</v>
      </c>
      <c r="E470" s="11">
        <v>5</v>
      </c>
      <c r="F470" s="26" t="str">
        <f>VLOOKUP(C470,'13. CUSTOS DER - SERVIÇOS'!A:C,3,0)</f>
        <v>M3</v>
      </c>
      <c r="G470" s="24">
        <f>VLOOKUP(C470,'13. CUSTOS DER - SERVIÇOS'!A:G,7,0)</f>
        <v>54.05</v>
      </c>
      <c r="H470" s="24"/>
      <c r="I470" s="25">
        <f>'3. BDI'!$C$19</f>
        <v>0.24666704095238123</v>
      </c>
      <c r="J470" s="24">
        <f t="shared" si="838"/>
        <v>67.38</v>
      </c>
      <c r="K470" s="24">
        <f t="shared" si="839"/>
        <v>0</v>
      </c>
      <c r="L470" s="24">
        <f t="shared" si="840"/>
        <v>336.9</v>
      </c>
      <c r="M470" s="24">
        <f t="shared" si="841"/>
        <v>0</v>
      </c>
      <c r="N470" s="24">
        <f t="shared" si="842"/>
        <v>336.9</v>
      </c>
      <c r="P470" s="24">
        <f>51.48/1</f>
        <v>51.48</v>
      </c>
      <c r="Q470" s="24">
        <f t="shared" si="843"/>
        <v>257.39999999999998</v>
      </c>
      <c r="R470" s="24">
        <f t="shared" si="780"/>
        <v>320.89</v>
      </c>
      <c r="S470" s="24">
        <f t="shared" si="781"/>
        <v>16.009999999999991</v>
      </c>
    </row>
    <row r="471" spans="1:19">
      <c r="A471" s="9" t="s">
        <v>23189</v>
      </c>
      <c r="B471" s="10" t="s">
        <v>9016</v>
      </c>
      <c r="C471" s="10">
        <v>602100</v>
      </c>
      <c r="D471" s="43" t="str">
        <f>VLOOKUP(C471,'13. CUSTOS DER - SERVIÇOS'!A:B,2,0)</f>
        <v>FORMAS DE MADEIRA COMPENSADA  RESINADA</v>
      </c>
      <c r="E471" s="11">
        <v>20.3</v>
      </c>
      <c r="F471" s="26" t="str">
        <f>VLOOKUP(C471,'13. CUSTOS DER - SERVIÇOS'!A:C,3,0)</f>
        <v>M2</v>
      </c>
      <c r="G471" s="24">
        <f>VLOOKUP(C471,'13. CUSTOS DER - SERVIÇOS'!A:G,7,0)</f>
        <v>78.33</v>
      </c>
      <c r="H471" s="24"/>
      <c r="I471" s="25">
        <f>'3. BDI'!$C$19</f>
        <v>0.24666704095238123</v>
      </c>
      <c r="J471" s="24">
        <f t="shared" si="838"/>
        <v>97.65</v>
      </c>
      <c r="K471" s="24">
        <f t="shared" si="839"/>
        <v>0</v>
      </c>
      <c r="L471" s="24">
        <f t="shared" si="840"/>
        <v>1982.2950000000001</v>
      </c>
      <c r="M471" s="24">
        <f t="shared" si="841"/>
        <v>0</v>
      </c>
      <c r="N471" s="24">
        <f t="shared" si="842"/>
        <v>1982.2950000000001</v>
      </c>
      <c r="P471" s="24">
        <f>78.65/2</f>
        <v>39.325000000000003</v>
      </c>
      <c r="Q471" s="24">
        <f t="shared" si="843"/>
        <v>798.29</v>
      </c>
      <c r="R471" s="24">
        <f t="shared" si="780"/>
        <v>995.2</v>
      </c>
      <c r="S471" s="24">
        <f t="shared" si="781"/>
        <v>987.09500000000003</v>
      </c>
    </row>
    <row r="472" spans="1:19">
      <c r="A472" s="9" t="s">
        <v>23190</v>
      </c>
      <c r="B472" s="10" t="s">
        <v>9016</v>
      </c>
      <c r="C472" s="10">
        <v>603000</v>
      </c>
      <c r="D472" s="43" t="str">
        <f>VLOOKUP(C472,'13. CUSTOS DER - SERVIÇOS'!A:B,2,0)</f>
        <v>AÇO CA-50 FORNEC. DOBR. COLOCAÇÃO</v>
      </c>
      <c r="E472" s="11">
        <v>7</v>
      </c>
      <c r="F472" s="26" t="str">
        <f>VLOOKUP(C472,'13. CUSTOS DER - SERVIÇOS'!A:C,3,0)</f>
        <v>KG</v>
      </c>
      <c r="G472" s="24">
        <f>VLOOKUP(C472,'13. CUSTOS DER - SERVIÇOS'!A:G,7,0)</f>
        <v>18.34</v>
      </c>
      <c r="H472" s="24"/>
      <c r="I472" s="25">
        <f>'3. BDI'!$C$19</f>
        <v>0.24666704095238123</v>
      </c>
      <c r="J472" s="24">
        <f t="shared" si="838"/>
        <v>22.86</v>
      </c>
      <c r="K472" s="24">
        <f t="shared" si="839"/>
        <v>0</v>
      </c>
      <c r="L472" s="24">
        <f t="shared" si="840"/>
        <v>160.01999999999998</v>
      </c>
      <c r="M472" s="24">
        <f t="shared" si="841"/>
        <v>0</v>
      </c>
      <c r="N472" s="24">
        <f t="shared" si="842"/>
        <v>160.01999999999998</v>
      </c>
      <c r="P472" s="24">
        <f>8.97/1</f>
        <v>8.9700000000000006</v>
      </c>
      <c r="Q472" s="24">
        <f t="shared" si="843"/>
        <v>62.79</v>
      </c>
      <c r="R472" s="24">
        <f t="shared" si="780"/>
        <v>78.27</v>
      </c>
      <c r="S472" s="24">
        <f t="shared" si="781"/>
        <v>81.749999999999986</v>
      </c>
    </row>
    <row r="473" spans="1:19">
      <c r="A473" s="9" t="s">
        <v>23191</v>
      </c>
      <c r="B473" s="10" t="s">
        <v>9016</v>
      </c>
      <c r="C473" s="10">
        <v>605500</v>
      </c>
      <c r="D473" s="43" t="str">
        <f>VLOOKUP(C473,'13. CUSTOS DER - SERVIÇOS'!A:B,2,0)</f>
        <v>CONCRETO FCK = 20 MPA, PREPARO EM BETONEIRA E LANÇ.</v>
      </c>
      <c r="E473" s="11">
        <v>2.2000000000000002</v>
      </c>
      <c r="F473" s="26" t="str">
        <f>VLOOKUP(C473,'13. CUSTOS DER - SERVIÇOS'!A:C,3,0)</f>
        <v>M3</v>
      </c>
      <c r="G473" s="24">
        <f>VLOOKUP(C473,'13. CUSTOS DER - SERVIÇOS'!A:G,7,0)</f>
        <v>532.64</v>
      </c>
      <c r="H473" s="24">
        <f>VLOOKUP(C473,'10. CCU TRANSPORTE'!B:J,9,0)</f>
        <v>61.030000000000008</v>
      </c>
      <c r="I473" s="25">
        <f>'3. BDI'!$C$19</f>
        <v>0.24666704095238123</v>
      </c>
      <c r="J473" s="24">
        <f t="shared" si="838"/>
        <v>664.02</v>
      </c>
      <c r="K473" s="24">
        <f t="shared" si="839"/>
        <v>76.08</v>
      </c>
      <c r="L473" s="24">
        <f t="shared" si="840"/>
        <v>1460.8440000000001</v>
      </c>
      <c r="M473" s="24">
        <f t="shared" si="841"/>
        <v>167.376</v>
      </c>
      <c r="N473" s="24">
        <f t="shared" si="842"/>
        <v>1628.22</v>
      </c>
      <c r="P473" s="24">
        <f>498.36/2.5</f>
        <v>199.34399999999999</v>
      </c>
      <c r="Q473" s="24">
        <f t="shared" si="843"/>
        <v>438.55</v>
      </c>
      <c r="R473" s="24">
        <f t="shared" si="780"/>
        <v>546.72</v>
      </c>
      <c r="S473" s="24">
        <f t="shared" si="781"/>
        <v>1081.5</v>
      </c>
    </row>
    <row r="474" spans="1:19">
      <c r="A474" s="338"/>
      <c r="B474" s="44"/>
      <c r="C474" s="167"/>
      <c r="D474" s="341" t="s">
        <v>22834</v>
      </c>
      <c r="E474" s="339"/>
      <c r="F474" s="167"/>
      <c r="G474" s="339"/>
      <c r="H474" s="339"/>
      <c r="I474" s="340"/>
      <c r="J474" s="339"/>
      <c r="K474" s="339"/>
      <c r="L474" s="339"/>
      <c r="M474" s="339"/>
      <c r="N474" s="339"/>
      <c r="P474" s="339"/>
      <c r="Q474" s="339"/>
      <c r="R474" s="24">
        <f t="shared" ref="R474:R505" si="844">TRUNC((Q474*I474+Q474),2)</f>
        <v>0</v>
      </c>
      <c r="S474" s="24">
        <f t="shared" ref="S474:S505" si="845">N474-R474</f>
        <v>0</v>
      </c>
    </row>
    <row r="475" spans="1:19">
      <c r="A475" s="9" t="s">
        <v>23192</v>
      </c>
      <c r="B475" s="10" t="s">
        <v>9016</v>
      </c>
      <c r="C475" s="10">
        <v>600000</v>
      </c>
      <c r="D475" s="43" t="str">
        <f>VLOOKUP(C475,'13. CUSTOS DER - SERVIÇOS'!A:B,2,0)</f>
        <v>ESCAVAÇÃO MANUAL DE VALA 1A. CAT.</v>
      </c>
      <c r="E475" s="11">
        <v>361</v>
      </c>
      <c r="F475" s="26" t="str">
        <f>VLOOKUP(C475,'13. CUSTOS DER - SERVIÇOS'!A:C,3,0)</f>
        <v>M3</v>
      </c>
      <c r="G475" s="24">
        <f>VLOOKUP(C475,'13. CUSTOS DER - SERVIÇOS'!A:G,7,0)</f>
        <v>49.54</v>
      </c>
      <c r="H475" s="24">
        <v>0</v>
      </c>
      <c r="I475" s="25">
        <f>'3. BDI'!$C$19</f>
        <v>0.24666704095238123</v>
      </c>
      <c r="J475" s="24">
        <f t="shared" ref="J475:J479" si="846">TRUNC(G475+(G475*I475),2)</f>
        <v>61.75</v>
      </c>
      <c r="K475" s="24">
        <f t="shared" ref="K475:K479" si="847">TRUNC(H475+(H475*I475),2)</f>
        <v>0</v>
      </c>
      <c r="L475" s="24">
        <f t="shared" ref="L475:L479" si="848">J475*E475</f>
        <v>22291.75</v>
      </c>
      <c r="M475" s="24">
        <f t="shared" ref="M475:M479" si="849">K475*E475</f>
        <v>0</v>
      </c>
      <c r="N475" s="24">
        <f t="shared" ref="N475:N479" si="850">L475+M475</f>
        <v>22291.75</v>
      </c>
      <c r="P475" s="24">
        <f>47.19/1</f>
        <v>47.19</v>
      </c>
      <c r="Q475" s="24">
        <f t="shared" ref="Q475:Q479" si="851">TRUNC(P475*E475,2)</f>
        <v>17035.59</v>
      </c>
      <c r="R475" s="24">
        <f t="shared" si="844"/>
        <v>21237.7</v>
      </c>
      <c r="S475" s="24">
        <f t="shared" si="845"/>
        <v>1054.0499999999993</v>
      </c>
    </row>
    <row r="476" spans="1:19">
      <c r="A476" s="9" t="s">
        <v>23193</v>
      </c>
      <c r="B476" s="10" t="s">
        <v>9016</v>
      </c>
      <c r="C476" s="10">
        <v>601100</v>
      </c>
      <c r="D476" s="43" t="str">
        <f>VLOOKUP(C476,'13. CUSTOS DER - SERVIÇOS'!A:B,2,0)</f>
        <v>APILOAMENTO MANUAL</v>
      </c>
      <c r="E476" s="11">
        <v>114</v>
      </c>
      <c r="F476" s="26" t="str">
        <f>VLOOKUP(C476,'13. CUSTOS DER - SERVIÇOS'!A:C,3,0)</f>
        <v>M3</v>
      </c>
      <c r="G476" s="24">
        <f>VLOOKUP(C476,'13. CUSTOS DER - SERVIÇOS'!A:G,7,0)</f>
        <v>54.05</v>
      </c>
      <c r="H476" s="24"/>
      <c r="I476" s="25">
        <f>'3. BDI'!$C$19</f>
        <v>0.24666704095238123</v>
      </c>
      <c r="J476" s="24">
        <f t="shared" si="846"/>
        <v>67.38</v>
      </c>
      <c r="K476" s="24">
        <f t="shared" si="847"/>
        <v>0</v>
      </c>
      <c r="L476" s="24">
        <f t="shared" si="848"/>
        <v>7681.32</v>
      </c>
      <c r="M476" s="24">
        <f t="shared" si="849"/>
        <v>0</v>
      </c>
      <c r="N476" s="24">
        <f t="shared" si="850"/>
        <v>7681.32</v>
      </c>
      <c r="P476" s="24">
        <f>51.48/1</f>
        <v>51.48</v>
      </c>
      <c r="Q476" s="24">
        <f t="shared" si="851"/>
        <v>5868.72</v>
      </c>
      <c r="R476" s="24">
        <f t="shared" si="844"/>
        <v>7316.33</v>
      </c>
      <c r="S476" s="24">
        <f t="shared" si="845"/>
        <v>364.98999999999978</v>
      </c>
    </row>
    <row r="477" spans="1:19">
      <c r="A477" s="9" t="s">
        <v>23194</v>
      </c>
      <c r="B477" s="10" t="s">
        <v>9016</v>
      </c>
      <c r="C477" s="10">
        <v>602100</v>
      </c>
      <c r="D477" s="43" t="str">
        <f>VLOOKUP(C477,'13. CUSTOS DER - SERVIÇOS'!A:B,2,0)</f>
        <v>FORMAS DE MADEIRA COMPENSADA  RESINADA</v>
      </c>
      <c r="E477" s="11">
        <v>486.4</v>
      </c>
      <c r="F477" s="26" t="str">
        <f>VLOOKUP(C477,'13. CUSTOS DER - SERVIÇOS'!A:C,3,0)</f>
        <v>M2</v>
      </c>
      <c r="G477" s="24">
        <f>VLOOKUP(C477,'13. CUSTOS DER - SERVIÇOS'!A:G,7,0)</f>
        <v>78.33</v>
      </c>
      <c r="H477" s="24"/>
      <c r="I477" s="25">
        <f>'3. BDI'!$C$19</f>
        <v>0.24666704095238123</v>
      </c>
      <c r="J477" s="24">
        <f t="shared" si="846"/>
        <v>97.65</v>
      </c>
      <c r="K477" s="24">
        <f t="shared" si="847"/>
        <v>0</v>
      </c>
      <c r="L477" s="24">
        <f t="shared" si="848"/>
        <v>47496.959999999999</v>
      </c>
      <c r="M477" s="24">
        <f t="shared" si="849"/>
        <v>0</v>
      </c>
      <c r="N477" s="24">
        <f t="shared" si="850"/>
        <v>47496.959999999999</v>
      </c>
      <c r="P477" s="24">
        <f>78.65/2</f>
        <v>39.325000000000003</v>
      </c>
      <c r="Q477" s="24">
        <f t="shared" si="851"/>
        <v>19127.68</v>
      </c>
      <c r="R477" s="24">
        <f t="shared" si="844"/>
        <v>23845.84</v>
      </c>
      <c r="S477" s="24">
        <f t="shared" si="845"/>
        <v>23651.119999999999</v>
      </c>
    </row>
    <row r="478" spans="1:19">
      <c r="A478" s="9" t="s">
        <v>23195</v>
      </c>
      <c r="B478" s="10" t="s">
        <v>9016</v>
      </c>
      <c r="C478" s="10">
        <v>603000</v>
      </c>
      <c r="D478" s="43" t="str">
        <f>VLOOKUP(C478,'13. CUSTOS DER - SERVIÇOS'!A:B,2,0)</f>
        <v>AÇO CA-50 FORNEC. DOBR. COLOCAÇÃO</v>
      </c>
      <c r="E478" s="11">
        <v>152</v>
      </c>
      <c r="F478" s="26" t="str">
        <f>VLOOKUP(C478,'13. CUSTOS DER - SERVIÇOS'!A:C,3,0)</f>
        <v>KG</v>
      </c>
      <c r="G478" s="24">
        <f>VLOOKUP(C478,'13. CUSTOS DER - SERVIÇOS'!A:G,7,0)</f>
        <v>18.34</v>
      </c>
      <c r="H478" s="24"/>
      <c r="I478" s="25">
        <f>'3. BDI'!$C$19</f>
        <v>0.24666704095238123</v>
      </c>
      <c r="J478" s="24">
        <f t="shared" si="846"/>
        <v>22.86</v>
      </c>
      <c r="K478" s="24">
        <f t="shared" si="847"/>
        <v>0</v>
      </c>
      <c r="L478" s="24">
        <f t="shared" si="848"/>
        <v>3474.72</v>
      </c>
      <c r="M478" s="24">
        <f t="shared" si="849"/>
        <v>0</v>
      </c>
      <c r="N478" s="24">
        <f t="shared" si="850"/>
        <v>3474.72</v>
      </c>
      <c r="P478" s="24">
        <f>8.97/1</f>
        <v>8.9700000000000006</v>
      </c>
      <c r="Q478" s="24">
        <f t="shared" si="851"/>
        <v>1363.44</v>
      </c>
      <c r="R478" s="24">
        <f t="shared" si="844"/>
        <v>1699.75</v>
      </c>
      <c r="S478" s="24">
        <f t="shared" si="845"/>
        <v>1774.9699999999998</v>
      </c>
    </row>
    <row r="479" spans="1:19">
      <c r="A479" s="9" t="s">
        <v>23095</v>
      </c>
      <c r="B479" s="10" t="s">
        <v>9016</v>
      </c>
      <c r="C479" s="10">
        <v>605500</v>
      </c>
      <c r="D479" s="43" t="str">
        <f>VLOOKUP(C479,'13. CUSTOS DER - SERVIÇOS'!A:B,2,0)</f>
        <v>CONCRETO FCK = 20 MPA, PREPARO EM BETONEIRA E LANÇ.</v>
      </c>
      <c r="E479" s="11">
        <v>39.9</v>
      </c>
      <c r="F479" s="26" t="str">
        <f>VLOOKUP(C479,'13. CUSTOS DER - SERVIÇOS'!A:C,3,0)</f>
        <v>M3</v>
      </c>
      <c r="G479" s="24">
        <f>VLOOKUP(C479,'13. CUSTOS DER - SERVIÇOS'!A:G,7,0)</f>
        <v>532.64</v>
      </c>
      <c r="H479" s="24">
        <f>VLOOKUP(C479,'10. CCU TRANSPORTE'!B:J,9,0)</f>
        <v>61.030000000000008</v>
      </c>
      <c r="I479" s="25">
        <f>'3. BDI'!$C$19</f>
        <v>0.24666704095238123</v>
      </c>
      <c r="J479" s="24">
        <f t="shared" si="846"/>
        <v>664.02</v>
      </c>
      <c r="K479" s="24">
        <f t="shared" si="847"/>
        <v>76.08</v>
      </c>
      <c r="L479" s="24">
        <f t="shared" si="848"/>
        <v>26494.397999999997</v>
      </c>
      <c r="M479" s="24">
        <f t="shared" si="849"/>
        <v>3035.5919999999996</v>
      </c>
      <c r="N479" s="24">
        <f t="shared" si="850"/>
        <v>29529.989999999998</v>
      </c>
      <c r="P479" s="24">
        <f>498.36/2.5</f>
        <v>199.34399999999999</v>
      </c>
      <c r="Q479" s="24">
        <f t="shared" si="851"/>
        <v>7953.82</v>
      </c>
      <c r="R479" s="24">
        <f t="shared" si="844"/>
        <v>9915.76</v>
      </c>
      <c r="S479" s="24">
        <f t="shared" si="845"/>
        <v>19614.229999999996</v>
      </c>
    </row>
    <row r="480" spans="1:19">
      <c r="A480" s="338"/>
      <c r="B480" s="44"/>
      <c r="C480" s="167"/>
      <c r="D480" s="341" t="s">
        <v>23590</v>
      </c>
      <c r="E480" s="339"/>
      <c r="F480" s="167"/>
      <c r="G480" s="339"/>
      <c r="H480" s="339"/>
      <c r="I480" s="340"/>
      <c r="J480" s="339"/>
      <c r="K480" s="339"/>
      <c r="L480" s="339"/>
      <c r="M480" s="339"/>
      <c r="N480" s="339"/>
      <c r="P480" s="339"/>
      <c r="Q480" s="339"/>
      <c r="R480" s="24">
        <f t="shared" si="844"/>
        <v>0</v>
      </c>
      <c r="S480" s="24">
        <f t="shared" si="845"/>
        <v>0</v>
      </c>
    </row>
    <row r="481" spans="1:19">
      <c r="A481" s="9" t="s">
        <v>23196</v>
      </c>
      <c r="B481" s="10" t="s">
        <v>9016</v>
      </c>
      <c r="C481" s="10">
        <v>600000</v>
      </c>
      <c r="D481" s="43" t="str">
        <f>VLOOKUP(C481,'13. CUSTOS DER - SERVIÇOS'!A:B,2,0)</f>
        <v>ESCAVAÇÃO MANUAL DE VALA 1A. CAT.</v>
      </c>
      <c r="E481" s="11">
        <v>16</v>
      </c>
      <c r="F481" s="26" t="str">
        <f>VLOOKUP(C481,'13. CUSTOS DER - SERVIÇOS'!A:C,3,0)</f>
        <v>M3</v>
      </c>
      <c r="G481" s="24">
        <f>VLOOKUP(C481,'13. CUSTOS DER - SERVIÇOS'!A:G,7,0)</f>
        <v>49.54</v>
      </c>
      <c r="H481" s="24">
        <v>0</v>
      </c>
      <c r="I481" s="25">
        <f>'3. BDI'!$C$19</f>
        <v>0.24666704095238123</v>
      </c>
      <c r="J481" s="24">
        <f t="shared" ref="J481:J484" si="852">TRUNC(G481+(G481*I481),2)</f>
        <v>61.75</v>
      </c>
      <c r="K481" s="24">
        <f t="shared" ref="K481:K484" si="853">TRUNC(H481+(H481*I481),2)</f>
        <v>0</v>
      </c>
      <c r="L481" s="24">
        <f t="shared" ref="L481:L484" si="854">J481*E481</f>
        <v>988</v>
      </c>
      <c r="M481" s="24">
        <f t="shared" ref="M481:M484" si="855">K481*E481</f>
        <v>0</v>
      </c>
      <c r="N481" s="24">
        <f t="shared" ref="N481:N484" si="856">L481+M481</f>
        <v>988</v>
      </c>
      <c r="P481" s="24">
        <f>47.19/1</f>
        <v>47.19</v>
      </c>
      <c r="Q481" s="24">
        <f t="shared" ref="Q481:Q486" si="857">TRUNC(P481*E481,2)</f>
        <v>755.04</v>
      </c>
      <c r="R481" s="24">
        <f t="shared" si="844"/>
        <v>941.28</v>
      </c>
      <c r="S481" s="24">
        <f t="shared" si="845"/>
        <v>46.720000000000027</v>
      </c>
    </row>
    <row r="482" spans="1:19">
      <c r="A482" s="9" t="s">
        <v>23197</v>
      </c>
      <c r="B482" s="10" t="s">
        <v>9016</v>
      </c>
      <c r="C482" s="10">
        <v>601100</v>
      </c>
      <c r="D482" s="43" t="str">
        <f>VLOOKUP(C482,'13. CUSTOS DER - SERVIÇOS'!A:B,2,0)</f>
        <v>APILOAMENTO MANUAL</v>
      </c>
      <c r="E482" s="11">
        <v>6</v>
      </c>
      <c r="F482" s="26" t="str">
        <f>VLOOKUP(C482,'13. CUSTOS DER - SERVIÇOS'!A:C,3,0)</f>
        <v>M3</v>
      </c>
      <c r="G482" s="24">
        <f>VLOOKUP(C482,'13. CUSTOS DER - SERVIÇOS'!A:G,7,0)</f>
        <v>54.05</v>
      </c>
      <c r="H482" s="24"/>
      <c r="I482" s="25">
        <f>'3. BDI'!$C$19</f>
        <v>0.24666704095238123</v>
      </c>
      <c r="J482" s="24">
        <f t="shared" si="852"/>
        <v>67.38</v>
      </c>
      <c r="K482" s="24">
        <f t="shared" si="853"/>
        <v>0</v>
      </c>
      <c r="L482" s="24">
        <f t="shared" si="854"/>
        <v>404.28</v>
      </c>
      <c r="M482" s="24">
        <f t="shared" si="855"/>
        <v>0</v>
      </c>
      <c r="N482" s="24">
        <f t="shared" si="856"/>
        <v>404.28</v>
      </c>
      <c r="P482" s="24">
        <f>51.48/1</f>
        <v>51.48</v>
      </c>
      <c r="Q482" s="24">
        <f t="shared" si="857"/>
        <v>308.88</v>
      </c>
      <c r="R482" s="24">
        <f t="shared" si="844"/>
        <v>385.07</v>
      </c>
      <c r="S482" s="24">
        <f t="shared" si="845"/>
        <v>19.20999999999998</v>
      </c>
    </row>
    <row r="483" spans="1:19">
      <c r="A483" s="9" t="s">
        <v>23198</v>
      </c>
      <c r="B483" s="10" t="s">
        <v>9016</v>
      </c>
      <c r="C483" s="10">
        <v>602100</v>
      </c>
      <c r="D483" s="43" t="str">
        <f>VLOOKUP(C483,'13. CUSTOS DER - SERVIÇOS'!A:B,2,0)</f>
        <v>FORMAS DE MADEIRA COMPENSADA  RESINADA</v>
      </c>
      <c r="E483" s="11">
        <v>54.48</v>
      </c>
      <c r="F483" s="26" t="str">
        <f>VLOOKUP(C483,'13. CUSTOS DER - SERVIÇOS'!A:C,3,0)</f>
        <v>M2</v>
      </c>
      <c r="G483" s="24">
        <f>VLOOKUP(C483,'13. CUSTOS DER - SERVIÇOS'!A:G,7,0)</f>
        <v>78.33</v>
      </c>
      <c r="H483" s="24"/>
      <c r="I483" s="25">
        <f>'3. BDI'!$C$19</f>
        <v>0.24666704095238123</v>
      </c>
      <c r="J483" s="24">
        <f t="shared" si="852"/>
        <v>97.65</v>
      </c>
      <c r="K483" s="24">
        <f t="shared" si="853"/>
        <v>0</v>
      </c>
      <c r="L483" s="24">
        <f t="shared" si="854"/>
        <v>5319.9719999999998</v>
      </c>
      <c r="M483" s="24">
        <f t="shared" si="855"/>
        <v>0</v>
      </c>
      <c r="N483" s="24">
        <f t="shared" si="856"/>
        <v>5319.9719999999998</v>
      </c>
      <c r="P483" s="24">
        <f>78.65/2</f>
        <v>39.325000000000003</v>
      </c>
      <c r="Q483" s="24">
        <f t="shared" si="857"/>
        <v>2142.42</v>
      </c>
      <c r="R483" s="24">
        <f t="shared" si="844"/>
        <v>2670.88</v>
      </c>
      <c r="S483" s="24">
        <f t="shared" si="845"/>
        <v>2649.0919999999996</v>
      </c>
    </row>
    <row r="484" spans="1:19">
      <c r="A484" s="9" t="s">
        <v>23199</v>
      </c>
      <c r="B484" s="10" t="s">
        <v>9016</v>
      </c>
      <c r="C484" s="10">
        <v>603000</v>
      </c>
      <c r="D484" s="43" t="str">
        <f>VLOOKUP(C484,'13. CUSTOS DER - SERVIÇOS'!A:B,2,0)</f>
        <v>AÇO CA-50 FORNEC. DOBR. COLOCAÇÃO</v>
      </c>
      <c r="E484" s="11">
        <v>40</v>
      </c>
      <c r="F484" s="26" t="str">
        <f>VLOOKUP(C484,'13. CUSTOS DER - SERVIÇOS'!A:C,3,0)</f>
        <v>KG</v>
      </c>
      <c r="G484" s="24">
        <f>VLOOKUP(C484,'13. CUSTOS DER - SERVIÇOS'!A:G,7,0)</f>
        <v>18.34</v>
      </c>
      <c r="H484" s="24"/>
      <c r="I484" s="25">
        <f>'3. BDI'!$C$19</f>
        <v>0.24666704095238123</v>
      </c>
      <c r="J484" s="24">
        <f t="shared" si="852"/>
        <v>22.86</v>
      </c>
      <c r="K484" s="24">
        <f t="shared" si="853"/>
        <v>0</v>
      </c>
      <c r="L484" s="24">
        <f t="shared" si="854"/>
        <v>914.4</v>
      </c>
      <c r="M484" s="24">
        <f t="shared" si="855"/>
        <v>0</v>
      </c>
      <c r="N484" s="24">
        <f t="shared" si="856"/>
        <v>914.4</v>
      </c>
      <c r="P484" s="24">
        <f>8.97/1</f>
        <v>8.9700000000000006</v>
      </c>
      <c r="Q484" s="24">
        <f t="shared" si="857"/>
        <v>358.8</v>
      </c>
      <c r="R484" s="24">
        <f t="shared" si="844"/>
        <v>447.3</v>
      </c>
      <c r="S484" s="24">
        <f t="shared" si="845"/>
        <v>467.09999999999997</v>
      </c>
    </row>
    <row r="485" spans="1:19">
      <c r="A485" s="9" t="s">
        <v>23200</v>
      </c>
      <c r="B485" s="10" t="s">
        <v>9016</v>
      </c>
      <c r="C485" s="10">
        <v>603300</v>
      </c>
      <c r="D485" s="43" t="str">
        <f>VLOOKUP(C485,'13. CUSTOS DER - SERVIÇOS'!A:B,2,0)</f>
        <v>AÇO CA-60 FORNEC. DOBR. COLOCAÇÃO</v>
      </c>
      <c r="E485" s="11">
        <v>426</v>
      </c>
      <c r="F485" s="26" t="str">
        <f>VLOOKUP(C485,'13. CUSTOS DER - SERVIÇOS'!A:C,3,0)</f>
        <v>KG</v>
      </c>
      <c r="G485" s="24">
        <f>VLOOKUP(C485,'13. CUSTOS DER - SERVIÇOS'!A:G,7,0)</f>
        <v>20.91</v>
      </c>
      <c r="H485" s="24"/>
      <c r="I485" s="25">
        <f>'3. BDI'!$C$19</f>
        <v>0.24666704095238123</v>
      </c>
      <c r="J485" s="24">
        <f>TRUNC(G485+(G485*I485),2)</f>
        <v>26.06</v>
      </c>
      <c r="K485" s="24">
        <f>TRUNC(H485+(H485*I485),2)</f>
        <v>0</v>
      </c>
      <c r="L485" s="24">
        <f>J485*E485</f>
        <v>11101.56</v>
      </c>
      <c r="M485" s="24">
        <f>K485*E485</f>
        <v>0</v>
      </c>
      <c r="N485" s="24">
        <f>L485+M485</f>
        <v>11101.56</v>
      </c>
      <c r="P485" s="24">
        <f>8.97/1</f>
        <v>8.9700000000000006</v>
      </c>
      <c r="Q485" s="24">
        <f t="shared" si="857"/>
        <v>3821.22</v>
      </c>
      <c r="R485" s="24">
        <f t="shared" si="844"/>
        <v>4763.78</v>
      </c>
      <c r="S485" s="24">
        <f t="shared" si="845"/>
        <v>6337.78</v>
      </c>
    </row>
    <row r="486" spans="1:19">
      <c r="A486" s="9" t="s">
        <v>23183</v>
      </c>
      <c r="B486" s="10" t="s">
        <v>9016</v>
      </c>
      <c r="C486" s="10">
        <v>605500</v>
      </c>
      <c r="D486" s="43" t="str">
        <f>VLOOKUP(C486,'13. CUSTOS DER - SERVIÇOS'!A:B,2,0)</f>
        <v>CONCRETO FCK = 20 MPA, PREPARO EM BETONEIRA E LANÇ.</v>
      </c>
      <c r="E486" s="11">
        <v>4.4800000000000004</v>
      </c>
      <c r="F486" s="26" t="str">
        <f>VLOOKUP(C486,'13. CUSTOS DER - SERVIÇOS'!A:C,3,0)</f>
        <v>M3</v>
      </c>
      <c r="G486" s="24">
        <f>VLOOKUP(C486,'13. CUSTOS DER - SERVIÇOS'!A:G,7,0)</f>
        <v>532.64</v>
      </c>
      <c r="H486" s="24">
        <f>VLOOKUP(C486,'10. CCU TRANSPORTE'!B:J,9,0)</f>
        <v>61.030000000000008</v>
      </c>
      <c r="I486" s="25">
        <f>'3. BDI'!$C$19</f>
        <v>0.24666704095238123</v>
      </c>
      <c r="J486" s="24">
        <f t="shared" ref="J486:J487" si="858">TRUNC(G486+(G486*I486),2)</f>
        <v>664.02</v>
      </c>
      <c r="K486" s="24">
        <f t="shared" ref="K486:K487" si="859">TRUNC(H486+(H486*I486),2)</f>
        <v>76.08</v>
      </c>
      <c r="L486" s="24">
        <f t="shared" ref="L486:L487" si="860">J486*E486</f>
        <v>2974.8096</v>
      </c>
      <c r="M486" s="24">
        <f t="shared" ref="M486:M487" si="861">K486*E486</f>
        <v>340.83840000000004</v>
      </c>
      <c r="N486" s="24">
        <f t="shared" ref="N486:N487" si="862">L486+M486</f>
        <v>3315.6480000000001</v>
      </c>
      <c r="P486" s="24">
        <f>498.36/2.5</f>
        <v>199.34399999999999</v>
      </c>
      <c r="Q486" s="24">
        <f t="shared" si="857"/>
        <v>893.06</v>
      </c>
      <c r="R486" s="24">
        <f t="shared" si="844"/>
        <v>1113.3399999999999</v>
      </c>
      <c r="S486" s="24">
        <f t="shared" si="845"/>
        <v>2202.308</v>
      </c>
    </row>
    <row r="487" spans="1:19">
      <c r="A487" s="9" t="s">
        <v>23201</v>
      </c>
      <c r="B487" s="10" t="s">
        <v>358</v>
      </c>
      <c r="C487" s="10" t="s">
        <v>22651</v>
      </c>
      <c r="D487" s="43" t="s">
        <v>249</v>
      </c>
      <c r="E487" s="11">
        <v>0.36</v>
      </c>
      <c r="F487" s="13" t="s">
        <v>326</v>
      </c>
      <c r="G487" s="24">
        <f>VLOOKUP(C487,'9. CCU''S GERAIS AMEP'!A:K,11,0)</f>
        <v>438.94809520000007</v>
      </c>
      <c r="H487" s="24">
        <v>0</v>
      </c>
      <c r="I487" s="25">
        <f>'3. BDI'!$C$19</f>
        <v>0.24666704095238123</v>
      </c>
      <c r="J487" s="24">
        <f t="shared" si="858"/>
        <v>547.22</v>
      </c>
      <c r="K487" s="24">
        <f t="shared" si="859"/>
        <v>0</v>
      </c>
      <c r="L487" s="24">
        <f t="shared" si="860"/>
        <v>196.9992</v>
      </c>
      <c r="M487" s="24">
        <f t="shared" si="861"/>
        <v>0</v>
      </c>
      <c r="N487" s="24">
        <f t="shared" si="862"/>
        <v>196.9992</v>
      </c>
      <c r="P487" s="24">
        <f>62.77/2.5</f>
        <v>25.108000000000001</v>
      </c>
      <c r="Q487" s="24">
        <f t="shared" ref="Q487" si="863">P487*E487</f>
        <v>9.0388800000000007</v>
      </c>
      <c r="R487" s="24">
        <f t="shared" si="844"/>
        <v>11.26</v>
      </c>
      <c r="S487" s="24">
        <f t="shared" si="845"/>
        <v>185.73920000000001</v>
      </c>
    </row>
    <row r="488" spans="1:19">
      <c r="A488" s="338"/>
      <c r="B488" s="44"/>
      <c r="C488" s="167"/>
      <c r="D488" s="341" t="s">
        <v>22789</v>
      </c>
      <c r="E488" s="339"/>
      <c r="F488" s="167"/>
      <c r="G488" s="339"/>
      <c r="H488" s="339"/>
      <c r="I488" s="340"/>
      <c r="J488" s="339"/>
      <c r="K488" s="339"/>
      <c r="L488" s="339"/>
      <c r="M488" s="339"/>
      <c r="N488" s="339"/>
      <c r="P488" s="339"/>
      <c r="Q488" s="339"/>
      <c r="R488" s="24">
        <f t="shared" si="844"/>
        <v>0</v>
      </c>
      <c r="S488" s="24">
        <f t="shared" si="845"/>
        <v>0</v>
      </c>
    </row>
    <row r="489" spans="1:19">
      <c r="A489" s="9" t="s">
        <v>23202</v>
      </c>
      <c r="B489" s="10" t="s">
        <v>358</v>
      </c>
      <c r="C489" s="10" t="s">
        <v>22648</v>
      </c>
      <c r="D489" s="43" t="s">
        <v>22802</v>
      </c>
      <c r="E489" s="11">
        <v>767</v>
      </c>
      <c r="F489" s="13" t="s">
        <v>328</v>
      </c>
      <c r="G489" s="24">
        <f>VLOOKUP(C489,'9. CCU''S GERAIS AMEP'!A:K,11,0)</f>
        <v>482.42695200000003</v>
      </c>
      <c r="H489" s="24">
        <f>VLOOKUP(C489,'10. CCU TRANSPORTE'!B:J,9,0)</f>
        <v>37.510000000000005</v>
      </c>
      <c r="I489" s="25">
        <f>'3. BDI'!$C$19</f>
        <v>0.24666704095238123</v>
      </c>
      <c r="J489" s="24">
        <f t="shared" ref="J489" si="864">TRUNC(G489+(G489*I489),2)</f>
        <v>601.41999999999996</v>
      </c>
      <c r="K489" s="24">
        <f t="shared" ref="K489" si="865">TRUNC(H489+(H489*I489),2)</f>
        <v>46.76</v>
      </c>
      <c r="L489" s="24">
        <f t="shared" ref="L489" si="866">J489*E489</f>
        <v>461289.13999999996</v>
      </c>
      <c r="M489" s="24">
        <f t="shared" ref="M489" si="867">K489*E489</f>
        <v>35864.92</v>
      </c>
      <c r="N489" s="24">
        <f t="shared" ref="N489" si="868">L489+M489</f>
        <v>497154.05999999994</v>
      </c>
      <c r="P489" s="24">
        <f>64.68/1</f>
        <v>64.680000000000007</v>
      </c>
      <c r="Q489" s="24">
        <f t="shared" ref="Q489" si="869">P489*E489</f>
        <v>49609.560000000005</v>
      </c>
      <c r="R489" s="24">
        <f t="shared" si="844"/>
        <v>61846.6</v>
      </c>
      <c r="S489" s="24">
        <f t="shared" si="845"/>
        <v>435307.45999999996</v>
      </c>
    </row>
    <row r="490" spans="1:19">
      <c r="A490" s="338"/>
      <c r="B490" s="44"/>
      <c r="C490" s="167"/>
      <c r="D490" s="341" t="s">
        <v>22804</v>
      </c>
      <c r="E490" s="339"/>
      <c r="F490" s="167"/>
      <c r="G490" s="339"/>
      <c r="H490" s="339"/>
      <c r="I490" s="340"/>
      <c r="J490" s="339"/>
      <c r="K490" s="339"/>
      <c r="L490" s="339"/>
      <c r="M490" s="339"/>
      <c r="N490" s="339"/>
      <c r="P490" s="339"/>
      <c r="Q490" s="339"/>
      <c r="R490" s="24">
        <f t="shared" si="844"/>
        <v>0</v>
      </c>
      <c r="S490" s="24">
        <f t="shared" si="845"/>
        <v>0</v>
      </c>
    </row>
    <row r="491" spans="1:19">
      <c r="A491" s="9" t="s">
        <v>23203</v>
      </c>
      <c r="B491" s="10" t="s">
        <v>9016</v>
      </c>
      <c r="C491" s="10">
        <v>620200</v>
      </c>
      <c r="D491" s="43" t="str">
        <f>VLOOKUP(C491,'13. CUSTOS DER - SERVIÇOS'!A:B,2,0)</f>
        <v>BOCA DE BSTC 0,80M</v>
      </c>
      <c r="E491" s="11">
        <v>21</v>
      </c>
      <c r="F491" s="26" t="str">
        <f>VLOOKUP(C491,'13. CUSTOS DER - SERVIÇOS'!A:C,3,0)</f>
        <v>UD</v>
      </c>
      <c r="G491" s="24">
        <f>VLOOKUP(C491,'13. CUSTOS DER - SERVIÇOS'!A:G,7,0)</f>
        <v>1321.46</v>
      </c>
      <c r="H491" s="24">
        <f>VLOOKUP(C491,'10. CCU TRANSPORTE'!B:J,9,0)</f>
        <v>66.239999999999995</v>
      </c>
      <c r="I491" s="25">
        <f>'3. BDI'!$C$19</f>
        <v>0.24666704095238123</v>
      </c>
      <c r="J491" s="24">
        <f t="shared" ref="J491" si="870">TRUNC(G491+(G491*I491),2)</f>
        <v>1647.42</v>
      </c>
      <c r="K491" s="24">
        <f t="shared" ref="K491" si="871">TRUNC(H491+(H491*I491),2)</f>
        <v>82.57</v>
      </c>
      <c r="L491" s="24">
        <f t="shared" ref="L491" si="872">J491*E491</f>
        <v>34595.82</v>
      </c>
      <c r="M491" s="24">
        <f t="shared" ref="M491" si="873">K491*E491</f>
        <v>1733.9699999999998</v>
      </c>
      <c r="N491" s="24">
        <f t="shared" ref="N491" si="874">L491+M491</f>
        <v>36329.79</v>
      </c>
      <c r="P491" s="24">
        <f>112.26/1</f>
        <v>112.26</v>
      </c>
      <c r="Q491" s="24">
        <f>TRUNC(P491*E491,2)</f>
        <v>2357.46</v>
      </c>
      <c r="R491" s="24">
        <f t="shared" si="844"/>
        <v>2938.96</v>
      </c>
      <c r="S491" s="24">
        <f t="shared" si="845"/>
        <v>33390.83</v>
      </c>
    </row>
    <row r="492" spans="1:19">
      <c r="A492" s="338"/>
      <c r="B492" s="44"/>
      <c r="C492" s="167"/>
      <c r="D492" s="341" t="s">
        <v>22806</v>
      </c>
      <c r="E492" s="339"/>
      <c r="F492" s="167"/>
      <c r="G492" s="339"/>
      <c r="H492" s="339"/>
      <c r="I492" s="340"/>
      <c r="J492" s="339"/>
      <c r="K492" s="339"/>
      <c r="L492" s="339"/>
      <c r="M492" s="339"/>
      <c r="N492" s="339"/>
      <c r="P492" s="339"/>
      <c r="Q492" s="339"/>
      <c r="R492" s="24">
        <f t="shared" si="844"/>
        <v>0</v>
      </c>
      <c r="S492" s="24">
        <f t="shared" si="845"/>
        <v>0</v>
      </c>
    </row>
    <row r="493" spans="1:19" ht="31.5">
      <c r="A493" s="9" t="s">
        <v>23204</v>
      </c>
      <c r="B493" s="10" t="s">
        <v>22708</v>
      </c>
      <c r="C493" s="10">
        <v>705224</v>
      </c>
      <c r="D493" s="43" t="str">
        <f>UPPER(VLOOKUP(C493,'18. CUSTOS DNIT - SERVIÇOS'!A:B,2,0))</f>
        <v>BOCA DE BSCC 1,50 X 1,50 M - ESCONSIDADE 0° - AREIA EXTRAÍDA E BRITA PRODUZIDA</v>
      </c>
      <c r="E493" s="11">
        <v>8</v>
      </c>
      <c r="F493" s="26" t="str">
        <f>UPPER(VLOOKUP(C493,'18. CUSTOS DNIT - SERVIÇOS'!A:C,3,0))</f>
        <v>UN</v>
      </c>
      <c r="G493" s="24">
        <f>VLOOKUP(C493,'18. CUSTOS DNIT - SERVIÇOS'!A:D,4,0)</f>
        <v>10564.8</v>
      </c>
      <c r="H493" s="24"/>
      <c r="I493" s="25">
        <f>'3. BDI'!$C$19</f>
        <v>0.24666704095238123</v>
      </c>
      <c r="J493" s="24">
        <f>TRUNC(G493+(G493*I493),2)</f>
        <v>13170.78</v>
      </c>
      <c r="K493" s="24">
        <f>TRUNC(H493+(H493*I493),2)</f>
        <v>0</v>
      </c>
      <c r="L493" s="24">
        <f>J493*E493</f>
        <v>105366.24</v>
      </c>
      <c r="M493" s="24">
        <f>K493*E493</f>
        <v>0</v>
      </c>
      <c r="N493" s="24">
        <f>L493+M493</f>
        <v>105366.24</v>
      </c>
      <c r="P493" s="24">
        <v>0</v>
      </c>
      <c r="Q493" s="24">
        <f>TRUNC((P493*E493),2)</f>
        <v>0</v>
      </c>
      <c r="R493" s="24">
        <f t="shared" si="844"/>
        <v>0</v>
      </c>
      <c r="S493" s="24">
        <f t="shared" si="845"/>
        <v>105366.24</v>
      </c>
    </row>
    <row r="494" spans="1:19">
      <c r="A494" s="338"/>
      <c r="B494" s="44"/>
      <c r="C494" s="167"/>
      <c r="D494" s="341" t="s">
        <v>22835</v>
      </c>
      <c r="E494" s="339"/>
      <c r="F494" s="167"/>
      <c r="G494" s="339"/>
      <c r="H494" s="339"/>
      <c r="I494" s="340"/>
      <c r="J494" s="339"/>
      <c r="K494" s="339"/>
      <c r="L494" s="339"/>
      <c r="M494" s="339"/>
      <c r="N494" s="339"/>
      <c r="P494" s="339"/>
      <c r="Q494" s="339"/>
      <c r="R494" s="24">
        <f t="shared" si="844"/>
        <v>0</v>
      </c>
      <c r="S494" s="24">
        <f t="shared" si="845"/>
        <v>0</v>
      </c>
    </row>
    <row r="495" spans="1:19" ht="31.5">
      <c r="A495" s="9" t="s">
        <v>23205</v>
      </c>
      <c r="B495" s="10" t="s">
        <v>22708</v>
      </c>
      <c r="C495" s="10">
        <v>705321</v>
      </c>
      <c r="D495" s="43" t="str">
        <f>UPPER(VLOOKUP(C495,'18. CUSTOS DNIT - SERVIÇOS'!A:B,2,0))</f>
        <v>BOCA DE BDCC 2,00 X 2,00 M - ESCONSIDADE 0° - AREIA EXTRAÍDA E BRITA PRODUZIDA</v>
      </c>
      <c r="E495" s="11">
        <v>2</v>
      </c>
      <c r="F495" s="26" t="str">
        <f>UPPER(VLOOKUP(C495,'18. CUSTOS DNIT - SERVIÇOS'!A:C,3,0))</f>
        <v>UN</v>
      </c>
      <c r="G495" s="24">
        <f>VLOOKUP(C495,'18. CUSTOS DNIT - SERVIÇOS'!A:D,4,0)</f>
        <v>19071.04</v>
      </c>
      <c r="H495" s="24"/>
      <c r="I495" s="25">
        <f>'3. BDI'!$C$19</f>
        <v>0.24666704095238123</v>
      </c>
      <c r="J495" s="24">
        <f>TRUNC(G495+(G495*I495),2)</f>
        <v>23775.23</v>
      </c>
      <c r="K495" s="24">
        <f>TRUNC(H495+(H495*I495),2)</f>
        <v>0</v>
      </c>
      <c r="L495" s="24">
        <f>J495*E495</f>
        <v>47550.46</v>
      </c>
      <c r="M495" s="24">
        <f>K495*E495</f>
        <v>0</v>
      </c>
      <c r="N495" s="24">
        <f>L495+M495</f>
        <v>47550.46</v>
      </c>
      <c r="P495" s="24">
        <v>0</v>
      </c>
      <c r="Q495" s="24">
        <f>TRUNC((P495*E495),2)</f>
        <v>0</v>
      </c>
      <c r="R495" s="24">
        <f t="shared" si="844"/>
        <v>0</v>
      </c>
      <c r="S495" s="24">
        <f t="shared" si="845"/>
        <v>47550.46</v>
      </c>
    </row>
    <row r="496" spans="1:19">
      <c r="A496" s="338"/>
      <c r="B496" s="44"/>
      <c r="C496" s="167"/>
      <c r="D496" s="341" t="s">
        <v>22827</v>
      </c>
      <c r="E496" s="339"/>
      <c r="F496" s="167"/>
      <c r="G496" s="339"/>
      <c r="H496" s="339"/>
      <c r="I496" s="340"/>
      <c r="J496" s="339"/>
      <c r="K496" s="339"/>
      <c r="L496" s="339"/>
      <c r="M496" s="339"/>
      <c r="N496" s="339"/>
      <c r="P496" s="339"/>
      <c r="Q496" s="339"/>
      <c r="R496" s="24">
        <f t="shared" si="844"/>
        <v>0</v>
      </c>
      <c r="S496" s="24">
        <f t="shared" si="845"/>
        <v>0</v>
      </c>
    </row>
    <row r="497" spans="1:19">
      <c r="A497" s="9" t="s">
        <v>23206</v>
      </c>
      <c r="B497" s="10" t="s">
        <v>9016</v>
      </c>
      <c r="C497" s="10">
        <v>620900</v>
      </c>
      <c r="D497" s="43" t="str">
        <f>VLOOKUP(C497,'13. CUSTOS DER - SERVIÇOS'!A:B,2,0)</f>
        <v>BOCA DE BDTC 1,50M</v>
      </c>
      <c r="E497" s="11">
        <v>10</v>
      </c>
      <c r="F497" s="26" t="str">
        <f>VLOOKUP(C497,'13. CUSTOS DER - SERVIÇOS'!A:C,3,0)</f>
        <v>UD</v>
      </c>
      <c r="G497" s="24">
        <f>VLOOKUP(C497,'13. CUSTOS DER - SERVIÇOS'!A:G,7,0)</f>
        <v>5805.6</v>
      </c>
      <c r="H497" s="24">
        <f>VLOOKUP(C497,'10. CCU TRANSPORTE'!B:J,9,0)</f>
        <v>371.88</v>
      </c>
      <c r="I497" s="25">
        <f>'3. BDI'!$C$19</f>
        <v>0.24666704095238123</v>
      </c>
      <c r="J497" s="24">
        <f t="shared" ref="J497" si="875">TRUNC(G497+(G497*I497),2)</f>
        <v>7237.65</v>
      </c>
      <c r="K497" s="24">
        <f t="shared" ref="K497" si="876">TRUNC(H497+(H497*I497),2)</f>
        <v>463.61</v>
      </c>
      <c r="L497" s="24">
        <f t="shared" ref="L497" si="877">J497*E497</f>
        <v>72376.5</v>
      </c>
      <c r="M497" s="24">
        <f t="shared" ref="M497" si="878">K497*E497</f>
        <v>4636.1000000000004</v>
      </c>
      <c r="N497" s="24">
        <f t="shared" ref="N497" si="879">L497+M497</f>
        <v>77012.600000000006</v>
      </c>
      <c r="P497" s="24">
        <f>253.83/1</f>
        <v>253.83</v>
      </c>
      <c r="Q497" s="24">
        <f>TRUNC(P497*E497,2)</f>
        <v>2538.3000000000002</v>
      </c>
      <c r="R497" s="24">
        <f t="shared" si="844"/>
        <v>3164.41</v>
      </c>
      <c r="S497" s="24">
        <f t="shared" si="845"/>
        <v>73848.19</v>
      </c>
    </row>
    <row r="498" spans="1:19">
      <c r="A498" s="338"/>
      <c r="B498" s="44"/>
      <c r="C498" s="167"/>
      <c r="D498" s="341" t="s">
        <v>22836</v>
      </c>
      <c r="E498" s="339"/>
      <c r="F498" s="167"/>
      <c r="G498" s="339"/>
      <c r="H498" s="339"/>
      <c r="I498" s="340"/>
      <c r="J498" s="339"/>
      <c r="K498" s="339"/>
      <c r="L498" s="339"/>
      <c r="M498" s="339"/>
      <c r="N498" s="339"/>
      <c r="P498" s="339"/>
      <c r="Q498" s="339"/>
      <c r="R498" s="24">
        <f t="shared" si="844"/>
        <v>0</v>
      </c>
      <c r="S498" s="24">
        <f t="shared" si="845"/>
        <v>0</v>
      </c>
    </row>
    <row r="499" spans="1:19">
      <c r="A499" s="9" t="s">
        <v>23177</v>
      </c>
      <c r="B499" s="10" t="s">
        <v>9016</v>
      </c>
      <c r="C499" s="10">
        <v>600600</v>
      </c>
      <c r="D499" s="43" t="str">
        <f>VLOOKUP(C499,'13. CUSTOS DER - SERVIÇOS'!A:B,2,0)</f>
        <v>ESCAVAÇÃO VALAS DE DRENAGEM 1A. CAT.</v>
      </c>
      <c r="E499" s="11">
        <v>260</v>
      </c>
      <c r="F499" s="26" t="str">
        <f>VLOOKUP(C499,'13. CUSTOS DER - SERVIÇOS'!A:C,3,0)</f>
        <v>M3</v>
      </c>
      <c r="G499" s="24">
        <f>VLOOKUP(C499,'13. CUSTOS DER - SERVIÇOS'!A:G,7,0)</f>
        <v>18.559999999999999</v>
      </c>
      <c r="H499" s="24">
        <v>0</v>
      </c>
      <c r="I499" s="25">
        <f>'3. BDI'!$C$19</f>
        <v>0.24666704095238123</v>
      </c>
      <c r="J499" s="24">
        <f t="shared" ref="J499:J500" si="880">TRUNC(G499+(G499*I499),2)</f>
        <v>23.13</v>
      </c>
      <c r="K499" s="24">
        <f t="shared" ref="K499:K500" si="881">TRUNC(H499+(H499*I499),2)</f>
        <v>0</v>
      </c>
      <c r="L499" s="24">
        <f t="shared" ref="L499:L500" si="882">J499*E499</f>
        <v>6013.8</v>
      </c>
      <c r="M499" s="24">
        <f t="shared" ref="M499:M500" si="883">K499*E499</f>
        <v>0</v>
      </c>
      <c r="N499" s="24">
        <f t="shared" ref="N499:N500" si="884">L499+M499</f>
        <v>6013.8</v>
      </c>
      <c r="P499" s="24">
        <f>40.04/10.32</f>
        <v>3.8798449612403099</v>
      </c>
      <c r="Q499" s="24">
        <f t="shared" ref="Q499:Q500" si="885">TRUNC(P499*E499,2)</f>
        <v>1008.75</v>
      </c>
      <c r="R499" s="24">
        <f t="shared" si="844"/>
        <v>1257.57</v>
      </c>
      <c r="S499" s="24">
        <f t="shared" si="845"/>
        <v>4756.2300000000005</v>
      </c>
    </row>
    <row r="500" spans="1:19">
      <c r="A500" s="9" t="s">
        <v>23207</v>
      </c>
      <c r="B500" s="10" t="s">
        <v>9016</v>
      </c>
      <c r="C500" s="10">
        <v>800000</v>
      </c>
      <c r="D500" s="43" t="str">
        <f>VLOOKUP(C500,'13. CUSTOS DER - SERVIÇOS'!A:B,2,0)</f>
        <v>ENLEIVAMENTO</v>
      </c>
      <c r="E500" s="11">
        <v>497.77</v>
      </c>
      <c r="F500" s="26" t="str">
        <f>VLOOKUP(C500,'13. CUSTOS DER - SERVIÇOS'!A:C,3,0)</f>
        <v>M2</v>
      </c>
      <c r="G500" s="24">
        <f>VLOOKUP(C500,'13. CUSTOS DER - SERVIÇOS'!A:G,7,0)</f>
        <v>12.41</v>
      </c>
      <c r="H500" s="24"/>
      <c r="I500" s="25">
        <f>'3. BDI'!$C$19</f>
        <v>0.24666704095238123</v>
      </c>
      <c r="J500" s="24">
        <f t="shared" si="880"/>
        <v>15.47</v>
      </c>
      <c r="K500" s="24">
        <f t="shared" si="881"/>
        <v>0</v>
      </c>
      <c r="L500" s="24">
        <f t="shared" si="882"/>
        <v>7700.5019000000002</v>
      </c>
      <c r="M500" s="24">
        <f t="shared" si="883"/>
        <v>0</v>
      </c>
      <c r="N500" s="24">
        <f t="shared" si="884"/>
        <v>7700.5019000000002</v>
      </c>
      <c r="P500" s="24">
        <f>722.16/130</f>
        <v>5.555076923076923</v>
      </c>
      <c r="Q500" s="24">
        <f t="shared" si="885"/>
        <v>2765.15</v>
      </c>
      <c r="R500" s="24">
        <f t="shared" si="844"/>
        <v>3447.22</v>
      </c>
      <c r="S500" s="24">
        <f t="shared" si="845"/>
        <v>4253.2819</v>
      </c>
    </row>
    <row r="501" spans="1:19">
      <c r="A501" s="338"/>
      <c r="B501" s="44"/>
      <c r="C501" s="167"/>
      <c r="D501" s="341" t="s">
        <v>22790</v>
      </c>
      <c r="E501" s="339"/>
      <c r="F501" s="167"/>
      <c r="G501" s="339"/>
      <c r="H501" s="339"/>
      <c r="I501" s="340"/>
      <c r="J501" s="339"/>
      <c r="K501" s="339"/>
      <c r="L501" s="339"/>
      <c r="M501" s="339"/>
      <c r="N501" s="339"/>
      <c r="P501" s="339"/>
      <c r="Q501" s="339"/>
      <c r="R501" s="24">
        <f t="shared" si="844"/>
        <v>0</v>
      </c>
      <c r="S501" s="24">
        <f t="shared" si="845"/>
        <v>0</v>
      </c>
    </row>
    <row r="502" spans="1:19">
      <c r="A502" s="9" t="s">
        <v>23208</v>
      </c>
      <c r="B502" s="10" t="s">
        <v>9016</v>
      </c>
      <c r="C502" s="10">
        <v>650000</v>
      </c>
      <c r="D502" s="43" t="str">
        <f>VLOOKUP(C502,'13. CUSTOS DER - SERVIÇOS'!A:B,2,0)</f>
        <v>SARJETA TRIANGULAR CONCRETO - TIPO  1</v>
      </c>
      <c r="E502" s="11">
        <v>7157</v>
      </c>
      <c r="F502" s="26" t="str">
        <f>VLOOKUP(C502,'13. CUSTOS DER - SERVIÇOS'!A:C,3,0)</f>
        <v>M</v>
      </c>
      <c r="G502" s="24">
        <f>VLOOKUP(C502,'13. CUSTOS DER - SERVIÇOS'!A:G,7,0)</f>
        <v>130.34</v>
      </c>
      <c r="H502" s="24">
        <f>VLOOKUP(C502,'10. CCU TRANSPORTE'!B:J,9,0)</f>
        <v>6.4799999999999995</v>
      </c>
      <c r="I502" s="25">
        <f>'3. BDI'!$C$19</f>
        <v>0.24666704095238123</v>
      </c>
      <c r="J502" s="24">
        <f t="shared" ref="J502" si="886">TRUNC(G502+(G502*I502),2)</f>
        <v>162.49</v>
      </c>
      <c r="K502" s="24">
        <f t="shared" ref="K502" si="887">TRUNC(H502+(H502*I502),2)</f>
        <v>8.07</v>
      </c>
      <c r="L502" s="24">
        <f t="shared" ref="L502" si="888">J502*E502</f>
        <v>1162940.9300000002</v>
      </c>
      <c r="M502" s="24">
        <f t="shared" ref="M502" si="889">K502*E502</f>
        <v>57756.990000000005</v>
      </c>
      <c r="N502" s="24">
        <f t="shared" ref="N502" si="890">L502+M502</f>
        <v>1220697.9200000002</v>
      </c>
      <c r="P502" s="24">
        <f>58.19/1</f>
        <v>58.19</v>
      </c>
      <c r="Q502" s="24">
        <f>TRUNC(P502*E502,2)</f>
        <v>416465.83</v>
      </c>
      <c r="R502" s="24">
        <f t="shared" si="844"/>
        <v>519194.22</v>
      </c>
      <c r="S502" s="24">
        <f t="shared" si="845"/>
        <v>701503.70000000019</v>
      </c>
    </row>
    <row r="503" spans="1:19">
      <c r="A503" s="338"/>
      <c r="B503" s="44"/>
      <c r="C503" s="167"/>
      <c r="D503" s="341" t="s">
        <v>22791</v>
      </c>
      <c r="E503" s="339"/>
      <c r="F503" s="167"/>
      <c r="G503" s="339"/>
      <c r="H503" s="339"/>
      <c r="I503" s="340"/>
      <c r="J503" s="339"/>
      <c r="K503" s="339"/>
      <c r="L503" s="339"/>
      <c r="M503" s="339"/>
      <c r="N503" s="339"/>
      <c r="P503" s="339"/>
      <c r="Q503" s="339"/>
      <c r="R503" s="24">
        <f t="shared" si="844"/>
        <v>0</v>
      </c>
      <c r="S503" s="24">
        <f t="shared" si="845"/>
        <v>0</v>
      </c>
    </row>
    <row r="504" spans="1:19">
      <c r="A504" s="9" t="s">
        <v>23209</v>
      </c>
      <c r="B504" s="10" t="s">
        <v>358</v>
      </c>
      <c r="C504" s="10" t="s">
        <v>22654</v>
      </c>
      <c r="D504" s="43" t="s">
        <v>259</v>
      </c>
      <c r="E504" s="11">
        <v>7683</v>
      </c>
      <c r="F504" s="13" t="s">
        <v>328</v>
      </c>
      <c r="G504" s="24">
        <f>VLOOKUP(C504,'9. CCU''S GERAIS AMEP'!A:K,11,0)</f>
        <v>117.9667</v>
      </c>
      <c r="H504" s="24">
        <v>0</v>
      </c>
      <c r="I504" s="25">
        <f>'3. BDI'!$C$19</f>
        <v>0.24666704095238123</v>
      </c>
      <c r="J504" s="24">
        <f t="shared" ref="J504" si="891">TRUNC(G504+(G504*I504),2)</f>
        <v>147.06</v>
      </c>
      <c r="K504" s="24">
        <f t="shared" ref="K504" si="892">TRUNC(H504+(H504*I504),2)</f>
        <v>0</v>
      </c>
      <c r="L504" s="24">
        <f t="shared" ref="L504" si="893">J504*E504</f>
        <v>1129861.98</v>
      </c>
      <c r="M504" s="24">
        <f t="shared" ref="M504" si="894">K504*E504</f>
        <v>0</v>
      </c>
      <c r="N504" s="24">
        <f t="shared" ref="N504" si="895">L504+M504</f>
        <v>1129861.98</v>
      </c>
      <c r="P504" s="24">
        <f>58.2/1</f>
        <v>58.2</v>
      </c>
      <c r="Q504" s="24">
        <f t="shared" ref="Q504" si="896">P504*E504</f>
        <v>447150.60000000003</v>
      </c>
      <c r="R504" s="24">
        <f t="shared" si="844"/>
        <v>557447.91</v>
      </c>
      <c r="S504" s="24">
        <f t="shared" si="845"/>
        <v>572414.06999999995</v>
      </c>
    </row>
    <row r="505" spans="1:19">
      <c r="A505" s="338"/>
      <c r="B505" s="44"/>
      <c r="C505" s="167"/>
      <c r="D505" s="341" t="s">
        <v>22792</v>
      </c>
      <c r="E505" s="339"/>
      <c r="F505" s="167"/>
      <c r="G505" s="339"/>
      <c r="H505" s="339"/>
      <c r="I505" s="340"/>
      <c r="J505" s="339"/>
      <c r="K505" s="339"/>
      <c r="L505" s="339"/>
      <c r="M505" s="339"/>
      <c r="N505" s="339"/>
      <c r="P505" s="339"/>
      <c r="Q505" s="339"/>
      <c r="R505" s="24">
        <f t="shared" si="844"/>
        <v>0</v>
      </c>
      <c r="S505" s="24">
        <f t="shared" si="845"/>
        <v>0</v>
      </c>
    </row>
    <row r="506" spans="1:19">
      <c r="A506" s="9" t="s">
        <v>23210</v>
      </c>
      <c r="B506" s="10" t="s">
        <v>9016</v>
      </c>
      <c r="C506" s="10">
        <v>660500</v>
      </c>
      <c r="D506" s="43" t="str">
        <f>VLOOKUP(C506,'13. CUSTOS DER - SERVIÇOS'!A:B,2,0)</f>
        <v>VALETA CONCRETO PROTEÇÃO ATERRO - TIPO 7A</v>
      </c>
      <c r="E506" s="11">
        <v>800</v>
      </c>
      <c r="F506" s="26" t="str">
        <f>VLOOKUP(C506,'13. CUSTOS DER - SERVIÇOS'!A:C,3,0)</f>
        <v>M</v>
      </c>
      <c r="G506" s="24">
        <f>VLOOKUP(C506,'13. CUSTOS DER - SERVIÇOS'!A:G,7,0)</f>
        <v>113.16</v>
      </c>
      <c r="H506" s="24">
        <f>VLOOKUP(C506,'10. CCU TRANSPORTE'!B:J,9,0)</f>
        <v>5.21</v>
      </c>
      <c r="I506" s="25">
        <f>'3. BDI'!$C$19</f>
        <v>0.24666704095238123</v>
      </c>
      <c r="J506" s="24">
        <f t="shared" ref="J506" si="897">TRUNC(G506+(G506*I506),2)</f>
        <v>141.07</v>
      </c>
      <c r="K506" s="24">
        <f t="shared" ref="K506" si="898">TRUNC(H506+(H506*I506),2)</f>
        <v>6.49</v>
      </c>
      <c r="L506" s="24">
        <f t="shared" ref="L506" si="899">J506*E506</f>
        <v>112856</v>
      </c>
      <c r="M506" s="24">
        <f t="shared" ref="M506" si="900">K506*E506</f>
        <v>5192</v>
      </c>
      <c r="N506" s="24">
        <f t="shared" ref="N506" si="901">L506+M506</f>
        <v>118048</v>
      </c>
      <c r="P506" s="24">
        <f>47.82/1</f>
        <v>47.82</v>
      </c>
      <c r="Q506" s="24">
        <f>TRUNC(P506*E506,2)</f>
        <v>38256</v>
      </c>
      <c r="R506" s="24">
        <f t="shared" ref="R506:R533" si="902">TRUNC((Q506*I506+Q506),2)</f>
        <v>47692.49</v>
      </c>
      <c r="S506" s="24">
        <f t="shared" ref="S506:S533" si="903">N506-R506</f>
        <v>70355.510000000009</v>
      </c>
    </row>
    <row r="507" spans="1:19">
      <c r="A507" s="338"/>
      <c r="B507" s="44"/>
      <c r="C507" s="167"/>
      <c r="D507" s="341" t="s">
        <v>22837</v>
      </c>
      <c r="E507" s="339"/>
      <c r="F507" s="167"/>
      <c r="G507" s="339"/>
      <c r="H507" s="339"/>
      <c r="I507" s="340"/>
      <c r="J507" s="339"/>
      <c r="K507" s="339"/>
      <c r="L507" s="339"/>
      <c r="M507" s="339"/>
      <c r="N507" s="339"/>
      <c r="P507" s="339"/>
      <c r="Q507" s="339"/>
      <c r="R507" s="24">
        <f t="shared" si="902"/>
        <v>0</v>
      </c>
      <c r="S507" s="24">
        <f t="shared" si="903"/>
        <v>0</v>
      </c>
    </row>
    <row r="508" spans="1:19">
      <c r="A508" s="9" t="s">
        <v>23211</v>
      </c>
      <c r="B508" s="10" t="s">
        <v>9016</v>
      </c>
      <c r="C508" s="10">
        <v>600000</v>
      </c>
      <c r="D508" s="43" t="str">
        <f>VLOOKUP(C508,'13. CUSTOS DER - SERVIÇOS'!A:B,2,0)</f>
        <v>ESCAVAÇÃO MANUAL DE VALA 1A. CAT.</v>
      </c>
      <c r="E508" s="11">
        <v>17.25</v>
      </c>
      <c r="F508" s="26" t="str">
        <f>VLOOKUP(C508,'13. CUSTOS DER - SERVIÇOS'!A:C,3,0)</f>
        <v>M3</v>
      </c>
      <c r="G508" s="24">
        <f>VLOOKUP(C508,'13. CUSTOS DER - SERVIÇOS'!A:G,7,0)</f>
        <v>49.54</v>
      </c>
      <c r="H508" s="24">
        <v>0</v>
      </c>
      <c r="I508" s="25">
        <f>'3. BDI'!$C$19</f>
        <v>0.24666704095238123</v>
      </c>
      <c r="J508" s="24">
        <f t="shared" ref="J508:J512" si="904">TRUNC(G508+(G508*I508),2)</f>
        <v>61.75</v>
      </c>
      <c r="K508" s="24">
        <f t="shared" ref="K508:K512" si="905">TRUNC(H508+(H508*I508),2)</f>
        <v>0</v>
      </c>
      <c r="L508" s="24">
        <f t="shared" ref="L508:L512" si="906">J508*E508</f>
        <v>1065.1875</v>
      </c>
      <c r="M508" s="24">
        <f t="shared" ref="M508:M512" si="907">K508*E508</f>
        <v>0</v>
      </c>
      <c r="N508" s="24">
        <f t="shared" ref="N508:N512" si="908">L508+M508</f>
        <v>1065.1875</v>
      </c>
      <c r="P508" s="24">
        <f>47.19/1</f>
        <v>47.19</v>
      </c>
      <c r="Q508" s="24">
        <f t="shared" ref="Q508:Q512" si="909">TRUNC(P508*E508,2)</f>
        <v>814.02</v>
      </c>
      <c r="R508" s="24">
        <f t="shared" si="902"/>
        <v>1014.81</v>
      </c>
      <c r="S508" s="24">
        <f t="shared" si="903"/>
        <v>50.377500000000055</v>
      </c>
    </row>
    <row r="509" spans="1:19">
      <c r="A509" s="9" t="s">
        <v>23212</v>
      </c>
      <c r="B509" s="10" t="s">
        <v>9016</v>
      </c>
      <c r="C509" s="10">
        <v>601100</v>
      </c>
      <c r="D509" s="43" t="str">
        <f>VLOOKUP(C509,'13. CUSTOS DER - SERVIÇOS'!A:B,2,0)</f>
        <v>APILOAMENTO MANUAL</v>
      </c>
      <c r="E509" s="11">
        <v>3.45</v>
      </c>
      <c r="F509" s="26" t="str">
        <f>VLOOKUP(C509,'13. CUSTOS DER - SERVIÇOS'!A:C,3,0)</f>
        <v>M3</v>
      </c>
      <c r="G509" s="24">
        <f>VLOOKUP(C509,'13. CUSTOS DER - SERVIÇOS'!A:G,7,0)</f>
        <v>54.05</v>
      </c>
      <c r="H509" s="24"/>
      <c r="I509" s="25">
        <f>'3. BDI'!$C$19</f>
        <v>0.24666704095238123</v>
      </c>
      <c r="J509" s="24">
        <f t="shared" si="904"/>
        <v>67.38</v>
      </c>
      <c r="K509" s="24">
        <f t="shared" si="905"/>
        <v>0</v>
      </c>
      <c r="L509" s="24">
        <f t="shared" si="906"/>
        <v>232.46099999999998</v>
      </c>
      <c r="M509" s="24">
        <f t="shared" si="907"/>
        <v>0</v>
      </c>
      <c r="N509" s="24">
        <f t="shared" si="908"/>
        <v>232.46099999999998</v>
      </c>
      <c r="P509" s="24">
        <f>51.48/1</f>
        <v>51.48</v>
      </c>
      <c r="Q509" s="24">
        <f t="shared" si="909"/>
        <v>177.6</v>
      </c>
      <c r="R509" s="24">
        <f t="shared" si="902"/>
        <v>221.4</v>
      </c>
      <c r="S509" s="24">
        <f t="shared" si="903"/>
        <v>11.060999999999979</v>
      </c>
    </row>
    <row r="510" spans="1:19">
      <c r="A510" s="9" t="s">
        <v>23213</v>
      </c>
      <c r="B510" s="10" t="s">
        <v>9016</v>
      </c>
      <c r="C510" s="10">
        <v>602100</v>
      </c>
      <c r="D510" s="43" t="str">
        <f>VLOOKUP(C510,'13. CUSTOS DER - SERVIÇOS'!A:B,2,0)</f>
        <v>FORMAS DE MADEIRA COMPENSADA  RESINADA</v>
      </c>
      <c r="E510" s="11">
        <v>41.1</v>
      </c>
      <c r="F510" s="26" t="str">
        <f>VLOOKUP(C510,'13. CUSTOS DER - SERVIÇOS'!A:C,3,0)</f>
        <v>M2</v>
      </c>
      <c r="G510" s="24">
        <f>VLOOKUP(C510,'13. CUSTOS DER - SERVIÇOS'!A:G,7,0)</f>
        <v>78.33</v>
      </c>
      <c r="H510" s="24"/>
      <c r="I510" s="25">
        <f>'3. BDI'!$C$19</f>
        <v>0.24666704095238123</v>
      </c>
      <c r="J510" s="24">
        <f t="shared" si="904"/>
        <v>97.65</v>
      </c>
      <c r="K510" s="24">
        <f t="shared" si="905"/>
        <v>0</v>
      </c>
      <c r="L510" s="24">
        <f t="shared" si="906"/>
        <v>4013.4150000000004</v>
      </c>
      <c r="M510" s="24">
        <f t="shared" si="907"/>
        <v>0</v>
      </c>
      <c r="N510" s="24">
        <f t="shared" si="908"/>
        <v>4013.4150000000004</v>
      </c>
      <c r="P510" s="24">
        <f>78.65/2</f>
        <v>39.325000000000003</v>
      </c>
      <c r="Q510" s="24">
        <f t="shared" si="909"/>
        <v>1616.25</v>
      </c>
      <c r="R510" s="24">
        <f t="shared" si="902"/>
        <v>2014.92</v>
      </c>
      <c r="S510" s="24">
        <f t="shared" si="903"/>
        <v>1998.4950000000003</v>
      </c>
    </row>
    <row r="511" spans="1:19">
      <c r="A511" s="9" t="s">
        <v>23130</v>
      </c>
      <c r="B511" s="10" t="s">
        <v>9016</v>
      </c>
      <c r="C511" s="10">
        <v>603000</v>
      </c>
      <c r="D511" s="43" t="str">
        <f>VLOOKUP(C511,'13. CUSTOS DER - SERVIÇOS'!A:B,2,0)</f>
        <v>AÇO CA-50 FORNEC. DOBR. COLOCAÇÃO</v>
      </c>
      <c r="E511" s="11">
        <v>219</v>
      </c>
      <c r="F511" s="26" t="str">
        <f>VLOOKUP(C511,'13. CUSTOS DER - SERVIÇOS'!A:C,3,0)</f>
        <v>KG</v>
      </c>
      <c r="G511" s="24">
        <f>VLOOKUP(C511,'13. CUSTOS DER - SERVIÇOS'!A:G,7,0)</f>
        <v>18.34</v>
      </c>
      <c r="H511" s="24"/>
      <c r="I511" s="25">
        <f>'3. BDI'!$C$19</f>
        <v>0.24666704095238123</v>
      </c>
      <c r="J511" s="24">
        <f t="shared" si="904"/>
        <v>22.86</v>
      </c>
      <c r="K511" s="24">
        <f t="shared" si="905"/>
        <v>0</v>
      </c>
      <c r="L511" s="24">
        <f t="shared" si="906"/>
        <v>5006.34</v>
      </c>
      <c r="M511" s="24">
        <f t="shared" si="907"/>
        <v>0</v>
      </c>
      <c r="N511" s="24">
        <f t="shared" si="908"/>
        <v>5006.34</v>
      </c>
      <c r="P511" s="24">
        <f>8.97/1</f>
        <v>8.9700000000000006</v>
      </c>
      <c r="Q511" s="24">
        <f t="shared" si="909"/>
        <v>1964.43</v>
      </c>
      <c r="R511" s="24">
        <f t="shared" si="902"/>
        <v>2448.9899999999998</v>
      </c>
      <c r="S511" s="24">
        <f t="shared" si="903"/>
        <v>2557.3500000000004</v>
      </c>
    </row>
    <row r="512" spans="1:19">
      <c r="A512" s="9" t="s">
        <v>23214</v>
      </c>
      <c r="B512" s="10" t="s">
        <v>9016</v>
      </c>
      <c r="C512" s="10">
        <v>605500</v>
      </c>
      <c r="D512" s="43" t="str">
        <f>VLOOKUP(C512,'13. CUSTOS DER - SERVIÇOS'!A:B,2,0)</f>
        <v>CONCRETO FCK = 20 MPA, PREPARO EM BETONEIRA E LANÇ.</v>
      </c>
      <c r="E512" s="11">
        <v>6.9</v>
      </c>
      <c r="F512" s="26" t="str">
        <f>VLOOKUP(C512,'13. CUSTOS DER - SERVIÇOS'!A:C,3,0)</f>
        <v>M3</v>
      </c>
      <c r="G512" s="24">
        <f>VLOOKUP(C512,'13. CUSTOS DER - SERVIÇOS'!A:G,7,0)</f>
        <v>532.64</v>
      </c>
      <c r="H512" s="24">
        <f>VLOOKUP(C512,'10. CCU TRANSPORTE'!B:J,9,0)</f>
        <v>61.030000000000008</v>
      </c>
      <c r="I512" s="25">
        <f>'3. BDI'!$C$19</f>
        <v>0.24666704095238123</v>
      </c>
      <c r="J512" s="24">
        <f t="shared" si="904"/>
        <v>664.02</v>
      </c>
      <c r="K512" s="24">
        <f t="shared" si="905"/>
        <v>76.08</v>
      </c>
      <c r="L512" s="24">
        <f t="shared" si="906"/>
        <v>4581.7380000000003</v>
      </c>
      <c r="M512" s="24">
        <f t="shared" si="907"/>
        <v>524.952</v>
      </c>
      <c r="N512" s="24">
        <f t="shared" si="908"/>
        <v>5106.6900000000005</v>
      </c>
      <c r="P512" s="24">
        <f>498.36/2.5</f>
        <v>199.34399999999999</v>
      </c>
      <c r="Q512" s="24">
        <f t="shared" si="909"/>
        <v>1375.47</v>
      </c>
      <c r="R512" s="24">
        <f t="shared" si="902"/>
        <v>1714.75</v>
      </c>
      <c r="S512" s="24">
        <f t="shared" si="903"/>
        <v>3391.9400000000005</v>
      </c>
    </row>
    <row r="513" spans="1:19">
      <c r="A513" s="338"/>
      <c r="B513" s="44"/>
      <c r="C513" s="167"/>
      <c r="D513" s="341" t="s">
        <v>22838</v>
      </c>
      <c r="E513" s="339"/>
      <c r="F513" s="167"/>
      <c r="G513" s="339"/>
      <c r="H513" s="339"/>
      <c r="I513" s="340"/>
      <c r="J513" s="339"/>
      <c r="K513" s="339"/>
      <c r="L513" s="339"/>
      <c r="M513" s="339"/>
      <c r="N513" s="339"/>
      <c r="P513" s="339"/>
      <c r="Q513" s="339"/>
      <c r="R513" s="24">
        <f t="shared" si="902"/>
        <v>0</v>
      </c>
      <c r="S513" s="24">
        <f t="shared" si="903"/>
        <v>0</v>
      </c>
    </row>
    <row r="514" spans="1:19">
      <c r="A514" s="9" t="s">
        <v>23215</v>
      </c>
      <c r="B514" s="10" t="s">
        <v>9016</v>
      </c>
      <c r="C514" s="10">
        <v>600000</v>
      </c>
      <c r="D514" s="43" t="str">
        <f>VLOOKUP(C514,'13. CUSTOS DER - SERVIÇOS'!A:B,2,0)</f>
        <v>ESCAVAÇÃO MANUAL DE VALA 1A. CAT.</v>
      </c>
      <c r="E514" s="11">
        <v>1.47</v>
      </c>
      <c r="F514" s="26" t="str">
        <f>VLOOKUP(C514,'13. CUSTOS DER - SERVIÇOS'!A:C,3,0)</f>
        <v>M3</v>
      </c>
      <c r="G514" s="24">
        <f>VLOOKUP(C514,'13. CUSTOS DER - SERVIÇOS'!A:G,7,0)</f>
        <v>49.54</v>
      </c>
      <c r="H514" s="24">
        <v>0</v>
      </c>
      <c r="I514" s="25">
        <f>'3. BDI'!$C$19</f>
        <v>0.24666704095238123</v>
      </c>
      <c r="J514" s="24">
        <f t="shared" ref="J514:J518" si="910">TRUNC(G514+(G514*I514),2)</f>
        <v>61.75</v>
      </c>
      <c r="K514" s="24">
        <f t="shared" ref="K514:K518" si="911">TRUNC(H514+(H514*I514),2)</f>
        <v>0</v>
      </c>
      <c r="L514" s="24">
        <f t="shared" ref="L514:L518" si="912">J514*E514</f>
        <v>90.772499999999994</v>
      </c>
      <c r="M514" s="24">
        <f t="shared" ref="M514:M518" si="913">K514*E514</f>
        <v>0</v>
      </c>
      <c r="N514" s="24">
        <f t="shared" ref="N514:N518" si="914">L514+M514</f>
        <v>90.772499999999994</v>
      </c>
      <c r="P514" s="24">
        <f>47.19/1</f>
        <v>47.19</v>
      </c>
      <c r="Q514" s="24">
        <f t="shared" ref="Q514:Q518" si="915">TRUNC(P514*E514,2)</f>
        <v>69.36</v>
      </c>
      <c r="R514" s="24">
        <f t="shared" si="902"/>
        <v>86.46</v>
      </c>
      <c r="S514" s="24">
        <f t="shared" si="903"/>
        <v>4.3125</v>
      </c>
    </row>
    <row r="515" spans="1:19">
      <c r="A515" s="9" t="s">
        <v>23216</v>
      </c>
      <c r="B515" s="10" t="s">
        <v>9016</v>
      </c>
      <c r="C515" s="10">
        <v>601100</v>
      </c>
      <c r="D515" s="43" t="str">
        <f>VLOOKUP(C515,'13. CUSTOS DER - SERVIÇOS'!A:B,2,0)</f>
        <v>APILOAMENTO MANUAL</v>
      </c>
      <c r="E515" s="11">
        <v>0.69</v>
      </c>
      <c r="F515" s="26" t="str">
        <f>VLOOKUP(C515,'13. CUSTOS DER - SERVIÇOS'!A:C,3,0)</f>
        <v>M3</v>
      </c>
      <c r="G515" s="24">
        <f>VLOOKUP(C515,'13. CUSTOS DER - SERVIÇOS'!A:G,7,0)</f>
        <v>54.05</v>
      </c>
      <c r="H515" s="24"/>
      <c r="I515" s="25">
        <f>'3. BDI'!$C$19</f>
        <v>0.24666704095238123</v>
      </c>
      <c r="J515" s="24">
        <f t="shared" si="910"/>
        <v>67.38</v>
      </c>
      <c r="K515" s="24">
        <f t="shared" si="911"/>
        <v>0</v>
      </c>
      <c r="L515" s="24">
        <f t="shared" si="912"/>
        <v>46.49219999999999</v>
      </c>
      <c r="M515" s="24">
        <f t="shared" si="913"/>
        <v>0</v>
      </c>
      <c r="N515" s="24">
        <f t="shared" si="914"/>
        <v>46.49219999999999</v>
      </c>
      <c r="P515" s="24">
        <f>51.48/1</f>
        <v>51.48</v>
      </c>
      <c r="Q515" s="24">
        <f t="shared" si="915"/>
        <v>35.520000000000003</v>
      </c>
      <c r="R515" s="24">
        <f t="shared" si="902"/>
        <v>44.28</v>
      </c>
      <c r="S515" s="24">
        <f t="shared" si="903"/>
        <v>2.2121999999999886</v>
      </c>
    </row>
    <row r="516" spans="1:19">
      <c r="A516" s="9" t="s">
        <v>23217</v>
      </c>
      <c r="B516" s="10" t="s">
        <v>9016</v>
      </c>
      <c r="C516" s="10">
        <v>602100</v>
      </c>
      <c r="D516" s="43" t="str">
        <f>VLOOKUP(C516,'13. CUSTOS DER - SERVIÇOS'!A:B,2,0)</f>
        <v>FORMAS DE MADEIRA COMPENSADA  RESINADA</v>
      </c>
      <c r="E516" s="11">
        <v>0.53</v>
      </c>
      <c r="F516" s="26" t="str">
        <f>VLOOKUP(C516,'13. CUSTOS DER - SERVIÇOS'!A:C,3,0)</f>
        <v>M2</v>
      </c>
      <c r="G516" s="24">
        <f>VLOOKUP(C516,'13. CUSTOS DER - SERVIÇOS'!A:G,7,0)</f>
        <v>78.33</v>
      </c>
      <c r="H516" s="24"/>
      <c r="I516" s="25">
        <f>'3. BDI'!$C$19</f>
        <v>0.24666704095238123</v>
      </c>
      <c r="J516" s="24">
        <f t="shared" si="910"/>
        <v>97.65</v>
      </c>
      <c r="K516" s="24">
        <f t="shared" si="911"/>
        <v>0</v>
      </c>
      <c r="L516" s="24">
        <f t="shared" si="912"/>
        <v>51.754500000000007</v>
      </c>
      <c r="M516" s="24">
        <f t="shared" si="913"/>
        <v>0</v>
      </c>
      <c r="N516" s="24">
        <f t="shared" si="914"/>
        <v>51.754500000000007</v>
      </c>
      <c r="P516" s="24">
        <f>78.65/2</f>
        <v>39.325000000000003</v>
      </c>
      <c r="Q516" s="24">
        <f t="shared" si="915"/>
        <v>20.84</v>
      </c>
      <c r="R516" s="24">
        <f t="shared" si="902"/>
        <v>25.98</v>
      </c>
      <c r="S516" s="24">
        <f t="shared" si="903"/>
        <v>25.774500000000007</v>
      </c>
    </row>
    <row r="517" spans="1:19">
      <c r="A517" s="9" t="s">
        <v>23218</v>
      </c>
      <c r="B517" s="10" t="s">
        <v>9016</v>
      </c>
      <c r="C517" s="10">
        <v>603000</v>
      </c>
      <c r="D517" s="43" t="str">
        <f>VLOOKUP(C517,'13. CUSTOS DER - SERVIÇOS'!A:B,2,0)</f>
        <v>AÇO CA-50 FORNEC. DOBR. COLOCAÇÃO</v>
      </c>
      <c r="E517" s="11">
        <v>18.84</v>
      </c>
      <c r="F517" s="26" t="str">
        <f>VLOOKUP(C517,'13. CUSTOS DER - SERVIÇOS'!A:C,3,0)</f>
        <v>KG</v>
      </c>
      <c r="G517" s="24">
        <f>VLOOKUP(C517,'13. CUSTOS DER - SERVIÇOS'!A:G,7,0)</f>
        <v>18.34</v>
      </c>
      <c r="H517" s="24"/>
      <c r="I517" s="25">
        <f>'3. BDI'!$C$19</f>
        <v>0.24666704095238123</v>
      </c>
      <c r="J517" s="24">
        <f t="shared" si="910"/>
        <v>22.86</v>
      </c>
      <c r="K517" s="24">
        <f t="shared" si="911"/>
        <v>0</v>
      </c>
      <c r="L517" s="24">
        <f t="shared" si="912"/>
        <v>430.68239999999997</v>
      </c>
      <c r="M517" s="24">
        <f t="shared" si="913"/>
        <v>0</v>
      </c>
      <c r="N517" s="24">
        <f t="shared" si="914"/>
        <v>430.68239999999997</v>
      </c>
      <c r="P517" s="24">
        <f>8.97/1</f>
        <v>8.9700000000000006</v>
      </c>
      <c r="Q517" s="24">
        <f t="shared" si="915"/>
        <v>168.99</v>
      </c>
      <c r="R517" s="24">
        <f t="shared" si="902"/>
        <v>210.67</v>
      </c>
      <c r="S517" s="24">
        <f t="shared" si="903"/>
        <v>220.01239999999999</v>
      </c>
    </row>
    <row r="518" spans="1:19">
      <c r="A518" s="9" t="s">
        <v>23219</v>
      </c>
      <c r="B518" s="10" t="s">
        <v>9016</v>
      </c>
      <c r="C518" s="10">
        <v>605500</v>
      </c>
      <c r="D518" s="43" t="str">
        <f>VLOOKUP(C518,'13. CUSTOS DER - SERVIÇOS'!A:B,2,0)</f>
        <v>CONCRETO FCK = 20 MPA, PREPARO EM BETONEIRA E LANÇ.</v>
      </c>
      <c r="E518" s="11">
        <v>0.59</v>
      </c>
      <c r="F518" s="26" t="str">
        <f>VLOOKUP(C518,'13. CUSTOS DER - SERVIÇOS'!A:C,3,0)</f>
        <v>M3</v>
      </c>
      <c r="G518" s="24">
        <f>VLOOKUP(C518,'13. CUSTOS DER - SERVIÇOS'!A:G,7,0)</f>
        <v>532.64</v>
      </c>
      <c r="H518" s="24">
        <f>VLOOKUP(C518,'10. CCU TRANSPORTE'!B:J,9,0)</f>
        <v>61.030000000000008</v>
      </c>
      <c r="I518" s="25">
        <f>'3. BDI'!$C$19</f>
        <v>0.24666704095238123</v>
      </c>
      <c r="J518" s="24">
        <f t="shared" si="910"/>
        <v>664.02</v>
      </c>
      <c r="K518" s="24">
        <f t="shared" si="911"/>
        <v>76.08</v>
      </c>
      <c r="L518" s="24">
        <f t="shared" si="912"/>
        <v>391.77179999999998</v>
      </c>
      <c r="M518" s="24">
        <f t="shared" si="913"/>
        <v>44.8872</v>
      </c>
      <c r="N518" s="24">
        <f t="shared" si="914"/>
        <v>436.65899999999999</v>
      </c>
      <c r="P518" s="24">
        <f>498.36/2.5</f>
        <v>199.34399999999999</v>
      </c>
      <c r="Q518" s="24">
        <f t="shared" si="915"/>
        <v>117.61</v>
      </c>
      <c r="R518" s="24">
        <f t="shared" si="902"/>
        <v>146.62</v>
      </c>
      <c r="S518" s="24">
        <f t="shared" si="903"/>
        <v>290.03899999999999</v>
      </c>
    </row>
    <row r="519" spans="1:19">
      <c r="A519" s="338"/>
      <c r="B519" s="44"/>
      <c r="C519" s="167"/>
      <c r="D519" s="341" t="s">
        <v>22876</v>
      </c>
      <c r="E519" s="339"/>
      <c r="F519" s="167"/>
      <c r="G519" s="339"/>
      <c r="H519" s="339"/>
      <c r="I519" s="340"/>
      <c r="J519" s="339"/>
      <c r="K519" s="339"/>
      <c r="L519" s="339"/>
      <c r="M519" s="339"/>
      <c r="N519" s="339"/>
      <c r="P519" s="339"/>
      <c r="Q519" s="339"/>
      <c r="R519" s="24">
        <f t="shared" si="902"/>
        <v>0</v>
      </c>
      <c r="S519" s="24">
        <f t="shared" si="903"/>
        <v>0</v>
      </c>
    </row>
    <row r="520" spans="1:19">
      <c r="A520" s="9" t="s">
        <v>23220</v>
      </c>
      <c r="B520" s="10" t="s">
        <v>9016</v>
      </c>
      <c r="C520" s="10">
        <v>600300</v>
      </c>
      <c r="D520" s="43" t="str">
        <f>VLOOKUP(C520,'13. CUSTOS DER - SERVIÇOS'!A:B,2,0)</f>
        <v>ESCAVAÇÃO DE BUEIROS EM 1A. CAT.</v>
      </c>
      <c r="E520" s="11">
        <v>1635.81</v>
      </c>
      <c r="F520" s="26" t="str">
        <f>VLOOKUP(C520,'13. CUSTOS DER - SERVIÇOS'!A:C,3,0)</f>
        <v>M3</v>
      </c>
      <c r="G520" s="24">
        <f>VLOOKUP(C520,'13. CUSTOS DER - SERVIÇOS'!A:G,7,0)</f>
        <v>11.83</v>
      </c>
      <c r="H520" s="24"/>
      <c r="I520" s="25">
        <f>'3. BDI'!$C$19</f>
        <v>0.24666704095238123</v>
      </c>
      <c r="J520" s="24">
        <f t="shared" ref="J520:J521" si="916">TRUNC(G520+(G520*I520),2)</f>
        <v>14.74</v>
      </c>
      <c r="K520" s="24">
        <f t="shared" ref="K520:K521" si="917">TRUNC(H520+(H520*I520),2)</f>
        <v>0</v>
      </c>
      <c r="L520" s="24">
        <f t="shared" ref="L520:L521" si="918">J520*E520</f>
        <v>24111.839400000001</v>
      </c>
      <c r="M520" s="24">
        <f t="shared" ref="M520:M521" si="919">K520*E520</f>
        <v>0</v>
      </c>
      <c r="N520" s="24">
        <f t="shared" ref="N520:N521" si="920">L520+M520</f>
        <v>24111.839400000001</v>
      </c>
      <c r="P520" s="24">
        <f>40.04/27.74</f>
        <v>1.4434030281182408</v>
      </c>
      <c r="Q520" s="24">
        <f t="shared" ref="Q520:Q521" si="921">TRUNC(P520*E520,2)</f>
        <v>2361.13</v>
      </c>
      <c r="R520" s="24">
        <f t="shared" si="902"/>
        <v>2943.54</v>
      </c>
      <c r="S520" s="24">
        <f t="shared" si="903"/>
        <v>21168.2994</v>
      </c>
    </row>
    <row r="521" spans="1:19">
      <c r="A521" s="9" t="s">
        <v>23221</v>
      </c>
      <c r="B521" s="10" t="s">
        <v>9016</v>
      </c>
      <c r="C521" s="10">
        <v>601200</v>
      </c>
      <c r="D521" s="43" t="str">
        <f>VLOOKUP(C521,'13. CUSTOS DER - SERVIÇOS'!A:B,2,0)</f>
        <v>REATERRO E APILOAMENTO MECÂNICO</v>
      </c>
      <c r="E521" s="11">
        <v>899.24</v>
      </c>
      <c r="F521" s="26" t="str">
        <f>VLOOKUP(C521,'13. CUSTOS DER - SERVIÇOS'!A:C,3,0)</f>
        <v>M3</v>
      </c>
      <c r="G521" s="24">
        <f>VLOOKUP(C521,'13. CUSTOS DER - SERVIÇOS'!A:G,7,0)</f>
        <v>34.119999999999997</v>
      </c>
      <c r="H521" s="24"/>
      <c r="I521" s="25">
        <f>'3. BDI'!$C$19</f>
        <v>0.24666704095238123</v>
      </c>
      <c r="J521" s="24">
        <f t="shared" si="916"/>
        <v>42.53</v>
      </c>
      <c r="K521" s="24">
        <f t="shared" si="917"/>
        <v>0</v>
      </c>
      <c r="L521" s="24">
        <f t="shared" si="918"/>
        <v>38244.677199999998</v>
      </c>
      <c r="M521" s="24">
        <f t="shared" si="919"/>
        <v>0</v>
      </c>
      <c r="N521" s="24">
        <f t="shared" si="920"/>
        <v>38244.677199999998</v>
      </c>
      <c r="P521" s="24">
        <f>318.18/11</f>
        <v>28.925454545454546</v>
      </c>
      <c r="Q521" s="24">
        <f t="shared" si="921"/>
        <v>26010.92</v>
      </c>
      <c r="R521" s="24">
        <f t="shared" si="902"/>
        <v>32426.95</v>
      </c>
      <c r="S521" s="24">
        <f t="shared" si="903"/>
        <v>5817.7271999999975</v>
      </c>
    </row>
    <row r="522" spans="1:19">
      <c r="A522" s="338"/>
      <c r="B522" s="44"/>
      <c r="C522" s="167"/>
      <c r="D522" s="341" t="s">
        <v>22877</v>
      </c>
      <c r="E522" s="339"/>
      <c r="F522" s="167"/>
      <c r="G522" s="339"/>
      <c r="H522" s="339"/>
      <c r="I522" s="340"/>
      <c r="J522" s="339"/>
      <c r="K522" s="339"/>
      <c r="L522" s="339"/>
      <c r="M522" s="339"/>
      <c r="N522" s="339"/>
      <c r="P522" s="339"/>
      <c r="Q522" s="339"/>
      <c r="R522" s="24">
        <f t="shared" si="902"/>
        <v>0</v>
      </c>
      <c r="S522" s="24">
        <f t="shared" si="903"/>
        <v>0</v>
      </c>
    </row>
    <row r="523" spans="1:19">
      <c r="A523" s="9" t="s">
        <v>23222</v>
      </c>
      <c r="B523" s="10" t="s">
        <v>9016</v>
      </c>
      <c r="C523" s="10">
        <v>701100</v>
      </c>
      <c r="D523" s="43" t="str">
        <f>VLOOKUP(C523,'13. CUSTOS DER - SERVIÇOS'!A:B,2,0)</f>
        <v>ESCAVAÇÃO 1A. CAT. P/GALERIAS CELULARES</v>
      </c>
      <c r="E523" s="11">
        <v>1187.46</v>
      </c>
      <c r="F523" s="26" t="str">
        <f>VLOOKUP(C523,'13. CUSTOS DER - SERVIÇOS'!A:C,3,0)</f>
        <v>M3</v>
      </c>
      <c r="G523" s="24">
        <f>VLOOKUP(C523,'13. CUSTOS DER - SERVIÇOS'!A:G,7,0)</f>
        <v>11.83</v>
      </c>
      <c r="H523" s="24"/>
      <c r="I523" s="25">
        <f>'3. BDI'!$C$19</f>
        <v>0.24666704095238123</v>
      </c>
      <c r="J523" s="24">
        <f t="shared" ref="J523:J524" si="922">TRUNC(G523+(G523*I523),2)</f>
        <v>14.74</v>
      </c>
      <c r="K523" s="24">
        <f t="shared" ref="K523:K524" si="923">TRUNC(H523+(H523*I523),2)</f>
        <v>0</v>
      </c>
      <c r="L523" s="24">
        <f t="shared" ref="L523:L524" si="924">J523*E523</f>
        <v>17503.160400000001</v>
      </c>
      <c r="M523" s="24">
        <f t="shared" ref="M523:M524" si="925">K523*E523</f>
        <v>0</v>
      </c>
      <c r="N523" s="24">
        <f t="shared" ref="N523:N524" si="926">L523+M523</f>
        <v>17503.160400000001</v>
      </c>
      <c r="P523" s="24">
        <f>40.04/27.74</f>
        <v>1.4434030281182408</v>
      </c>
      <c r="Q523" s="24">
        <f t="shared" ref="Q523:Q524" si="927">TRUNC(P523*E523,2)</f>
        <v>1713.98</v>
      </c>
      <c r="R523" s="24">
        <f t="shared" si="902"/>
        <v>2136.7600000000002</v>
      </c>
      <c r="S523" s="24">
        <f t="shared" si="903"/>
        <v>15366.4004</v>
      </c>
    </row>
    <row r="524" spans="1:19">
      <c r="A524" s="9" t="s">
        <v>23223</v>
      </c>
      <c r="B524" s="10" t="s">
        <v>9016</v>
      </c>
      <c r="C524" s="10">
        <v>705000</v>
      </c>
      <c r="D524" s="43" t="str">
        <f>VLOOKUP(C524,'13. CUSTOS DER - SERVIÇOS'!A:B,2,0)</f>
        <v>REATERRO E APILOAMENTO MECÂNICO</v>
      </c>
      <c r="E524" s="11">
        <v>538.37</v>
      </c>
      <c r="F524" s="26" t="str">
        <f>VLOOKUP(C524,'13. CUSTOS DER - SERVIÇOS'!A:C,3,0)</f>
        <v>M3</v>
      </c>
      <c r="G524" s="24">
        <f>VLOOKUP(C524,'13. CUSTOS DER - SERVIÇOS'!A:G,7,0)</f>
        <v>34.119999999999997</v>
      </c>
      <c r="H524" s="24"/>
      <c r="I524" s="25">
        <f>'3. BDI'!$C$19</f>
        <v>0.24666704095238123</v>
      </c>
      <c r="J524" s="24">
        <f t="shared" si="922"/>
        <v>42.53</v>
      </c>
      <c r="K524" s="24">
        <f t="shared" si="923"/>
        <v>0</v>
      </c>
      <c r="L524" s="24">
        <f t="shared" si="924"/>
        <v>22896.876100000001</v>
      </c>
      <c r="M524" s="24">
        <f t="shared" si="925"/>
        <v>0</v>
      </c>
      <c r="N524" s="24">
        <f t="shared" si="926"/>
        <v>22896.876100000001</v>
      </c>
      <c r="P524" s="24">
        <f>318.18/11</f>
        <v>28.925454545454546</v>
      </c>
      <c r="Q524" s="24">
        <f t="shared" si="927"/>
        <v>15572.59</v>
      </c>
      <c r="R524" s="24">
        <f t="shared" si="902"/>
        <v>19413.830000000002</v>
      </c>
      <c r="S524" s="24">
        <f t="shared" si="903"/>
        <v>3483.0460999999996</v>
      </c>
    </row>
    <row r="525" spans="1:19">
      <c r="A525" s="338"/>
      <c r="B525" s="44"/>
      <c r="C525" s="167"/>
      <c r="D525" s="341" t="s">
        <v>23523</v>
      </c>
      <c r="E525" s="339"/>
      <c r="F525" s="167"/>
      <c r="G525" s="339"/>
      <c r="H525" s="339"/>
      <c r="I525" s="340"/>
      <c r="J525" s="339"/>
      <c r="K525" s="339"/>
      <c r="L525" s="339"/>
      <c r="M525" s="339"/>
      <c r="N525" s="339"/>
      <c r="P525" s="339"/>
      <c r="Q525" s="339"/>
      <c r="R525" s="24">
        <f t="shared" si="902"/>
        <v>0</v>
      </c>
      <c r="S525" s="24">
        <f t="shared" si="903"/>
        <v>0</v>
      </c>
    </row>
    <row r="526" spans="1:19">
      <c r="A526" s="9" t="s">
        <v>23583</v>
      </c>
      <c r="B526" s="10" t="s">
        <v>9016</v>
      </c>
      <c r="C526" s="10">
        <v>630300</v>
      </c>
      <c r="D526" s="43" t="str">
        <f>VLOOKUP(C526,'13. CUSTOS DER - SERVIÇOS'!A:B,2,0)</f>
        <v>REMOÇÃO DE BUEIRO 0,30M</v>
      </c>
      <c r="E526" s="11">
        <v>36</v>
      </c>
      <c r="F526" s="26" t="str">
        <f>VLOOKUP(C526,'13. CUSTOS DER - SERVIÇOS'!A:C,3,0)</f>
        <v>M</v>
      </c>
      <c r="G526" s="24">
        <f>VLOOKUP(C526,'13. CUSTOS DER - SERVIÇOS'!A:G,7,0)</f>
        <v>15.85</v>
      </c>
      <c r="H526" s="24"/>
      <c r="I526" s="25">
        <f>'3. BDI'!$C$19</f>
        <v>0.24666704095238123</v>
      </c>
      <c r="J526" s="24">
        <f t="shared" ref="J526:J531" si="928">TRUNC(G526+(G526*I526),2)</f>
        <v>19.75</v>
      </c>
      <c r="K526" s="24">
        <f t="shared" ref="K526:K531" si="929">TRUNC(H526+(H526*I526),2)</f>
        <v>0</v>
      </c>
      <c r="L526" s="24">
        <f t="shared" ref="L526:L531" si="930">J526*E526</f>
        <v>711</v>
      </c>
      <c r="M526" s="24">
        <f t="shared" ref="M526:M531" si="931">K526*E526</f>
        <v>0</v>
      </c>
      <c r="N526" s="24">
        <f t="shared" ref="N526:N531" si="932">L526+M526</f>
        <v>711</v>
      </c>
      <c r="P526" s="24">
        <f>71.5/15</f>
        <v>4.7666666666666666</v>
      </c>
      <c r="Q526" s="24">
        <f t="shared" ref="Q526:Q531" si="933">TRUNC(P526*E526,2)</f>
        <v>171.6</v>
      </c>
      <c r="R526" s="24">
        <f t="shared" si="902"/>
        <v>213.92</v>
      </c>
      <c r="S526" s="24">
        <f t="shared" si="903"/>
        <v>497.08000000000004</v>
      </c>
    </row>
    <row r="527" spans="1:19">
      <c r="A527" s="9" t="s">
        <v>23584</v>
      </c>
      <c r="B527" s="10" t="s">
        <v>9016</v>
      </c>
      <c r="C527" s="10">
        <v>630400</v>
      </c>
      <c r="D527" s="43" t="str">
        <f>VLOOKUP(C527,'13. CUSTOS DER - SERVIÇOS'!A:B,2,0)</f>
        <v>REMOÇÃO DE BUEIRO 0,40M</v>
      </c>
      <c r="E527" s="11">
        <v>39</v>
      </c>
      <c r="F527" s="26" t="str">
        <f>VLOOKUP(C527,'13. CUSTOS DER - SERVIÇOS'!A:C,3,0)</f>
        <v>M</v>
      </c>
      <c r="G527" s="24">
        <f>VLOOKUP(C527,'13. CUSTOS DER - SERVIÇOS'!A:G,7,0)</f>
        <v>19.809999999999999</v>
      </c>
      <c r="H527" s="24"/>
      <c r="I527" s="25">
        <f>'3. BDI'!$C$19</f>
        <v>0.24666704095238123</v>
      </c>
      <c r="J527" s="24">
        <f t="shared" si="928"/>
        <v>24.69</v>
      </c>
      <c r="K527" s="24">
        <f t="shared" si="929"/>
        <v>0</v>
      </c>
      <c r="L527" s="24">
        <f t="shared" si="930"/>
        <v>962.91000000000008</v>
      </c>
      <c r="M527" s="24">
        <f t="shared" si="931"/>
        <v>0</v>
      </c>
      <c r="N527" s="24">
        <f t="shared" si="932"/>
        <v>962.91000000000008</v>
      </c>
      <c r="P527" s="24">
        <f>71.5/12</f>
        <v>5.958333333333333</v>
      </c>
      <c r="Q527" s="24">
        <f t="shared" si="933"/>
        <v>232.37</v>
      </c>
      <c r="R527" s="24">
        <f t="shared" si="902"/>
        <v>289.68</v>
      </c>
      <c r="S527" s="24">
        <f t="shared" si="903"/>
        <v>673.23</v>
      </c>
    </row>
    <row r="528" spans="1:19">
      <c r="A528" s="9" t="s">
        <v>23587</v>
      </c>
      <c r="B528" s="10" t="s">
        <v>9016</v>
      </c>
      <c r="C528" s="10">
        <v>630600</v>
      </c>
      <c r="D528" s="43" t="str">
        <f>VLOOKUP(C528,'13. CUSTOS DER - SERVIÇOS'!A:B,2,0)</f>
        <v>REMOÇÃO DE BUEIRO 0,60M</v>
      </c>
      <c r="E528" s="11">
        <v>42.5</v>
      </c>
      <c r="F528" s="26" t="str">
        <f>VLOOKUP(C528,'13. CUSTOS DER - SERVIÇOS'!A:C,3,0)</f>
        <v>M</v>
      </c>
      <c r="G528" s="24">
        <f>VLOOKUP(C528,'13. CUSTOS DER - SERVIÇOS'!A:G,7,0)</f>
        <v>23.77</v>
      </c>
      <c r="H528" s="24"/>
      <c r="I528" s="25">
        <f>'3. BDI'!$C$19</f>
        <v>0.24666704095238123</v>
      </c>
      <c r="J528" s="24">
        <f t="shared" si="928"/>
        <v>29.63</v>
      </c>
      <c r="K528" s="24">
        <f t="shared" si="929"/>
        <v>0</v>
      </c>
      <c r="L528" s="24">
        <f t="shared" si="930"/>
        <v>1259.2749999999999</v>
      </c>
      <c r="M528" s="24">
        <f t="shared" si="931"/>
        <v>0</v>
      </c>
      <c r="N528" s="24">
        <f t="shared" si="932"/>
        <v>1259.2749999999999</v>
      </c>
      <c r="P528" s="24">
        <f>71.5/10</f>
        <v>7.15</v>
      </c>
      <c r="Q528" s="24">
        <f t="shared" si="933"/>
        <v>303.87</v>
      </c>
      <c r="R528" s="24">
        <f t="shared" si="902"/>
        <v>378.82</v>
      </c>
      <c r="S528" s="24">
        <f t="shared" si="903"/>
        <v>880.45499999999993</v>
      </c>
    </row>
    <row r="529" spans="1:19">
      <c r="A529" s="9" t="s">
        <v>23586</v>
      </c>
      <c r="B529" s="10" t="s">
        <v>9016</v>
      </c>
      <c r="C529" s="10">
        <v>630800</v>
      </c>
      <c r="D529" s="43" t="str">
        <f>VLOOKUP(C529,'13. CUSTOS DER - SERVIÇOS'!A:B,2,0)</f>
        <v>REMOÇÃO DE BUEIRO 0,80M</v>
      </c>
      <c r="E529" s="11">
        <v>13</v>
      </c>
      <c r="F529" s="26" t="str">
        <f>VLOOKUP(C529,'13. CUSTOS DER - SERVIÇOS'!A:C,3,0)</f>
        <v>M</v>
      </c>
      <c r="G529" s="24">
        <f>VLOOKUP(C529,'13. CUSTOS DER - SERVIÇOS'!A:G,7,0)</f>
        <v>47.55</v>
      </c>
      <c r="H529" s="24"/>
      <c r="I529" s="25">
        <f>'3. BDI'!$C$19</f>
        <v>0.24666704095238123</v>
      </c>
      <c r="J529" s="24">
        <f t="shared" si="928"/>
        <v>59.27</v>
      </c>
      <c r="K529" s="24">
        <f t="shared" si="929"/>
        <v>0</v>
      </c>
      <c r="L529" s="24">
        <f t="shared" si="930"/>
        <v>770.51</v>
      </c>
      <c r="M529" s="24">
        <f t="shared" si="931"/>
        <v>0</v>
      </c>
      <c r="N529" s="24">
        <f t="shared" si="932"/>
        <v>770.51</v>
      </c>
      <c r="P529" s="24">
        <f>71.5/5</f>
        <v>14.3</v>
      </c>
      <c r="Q529" s="24">
        <f t="shared" si="933"/>
        <v>185.9</v>
      </c>
      <c r="R529" s="24">
        <f t="shared" si="902"/>
        <v>231.75</v>
      </c>
      <c r="S529" s="24">
        <f t="shared" si="903"/>
        <v>538.76</v>
      </c>
    </row>
    <row r="530" spans="1:19">
      <c r="A530" s="9" t="s">
        <v>23585</v>
      </c>
      <c r="B530" s="10" t="s">
        <v>9016</v>
      </c>
      <c r="C530" s="10">
        <v>631000</v>
      </c>
      <c r="D530" s="43" t="str">
        <f>VLOOKUP(C530,'13. CUSTOS DER - SERVIÇOS'!A:B,2,0)</f>
        <v>REMOÇÃO DE BUEIRO 1,00M</v>
      </c>
      <c r="E530" s="11">
        <v>8</v>
      </c>
      <c r="F530" s="26" t="str">
        <f>VLOOKUP(C530,'13. CUSTOS DER - SERVIÇOS'!A:C,3,0)</f>
        <v>M</v>
      </c>
      <c r="G530" s="24">
        <f>VLOOKUP(C530,'13. CUSTOS DER - SERVIÇOS'!A:G,7,0)</f>
        <v>47.7</v>
      </c>
      <c r="H530" s="24"/>
      <c r="I530" s="25">
        <f>'3. BDI'!$C$19</f>
        <v>0.24666704095238123</v>
      </c>
      <c r="J530" s="24">
        <f t="shared" si="928"/>
        <v>59.46</v>
      </c>
      <c r="K530" s="24">
        <f t="shared" si="929"/>
        <v>0</v>
      </c>
      <c r="L530" s="24">
        <f>J530*E530</f>
        <v>475.68</v>
      </c>
      <c r="M530" s="24">
        <f>K530*E530</f>
        <v>0</v>
      </c>
      <c r="N530" s="24">
        <f t="shared" si="932"/>
        <v>475.68</v>
      </c>
      <c r="P530" s="24">
        <f>71.5/6</f>
        <v>11.916666666666666</v>
      </c>
      <c r="Q530" s="24">
        <f t="shared" si="933"/>
        <v>95.33</v>
      </c>
      <c r="R530" s="24">
        <f t="shared" si="902"/>
        <v>118.84</v>
      </c>
      <c r="S530" s="24">
        <f t="shared" si="903"/>
        <v>356.84000000000003</v>
      </c>
    </row>
    <row r="531" spans="1:19">
      <c r="A531" s="9" t="s">
        <v>23588</v>
      </c>
      <c r="B531" s="10" t="s">
        <v>9016</v>
      </c>
      <c r="C531" s="10">
        <v>610200</v>
      </c>
      <c r="D531" s="43" t="str">
        <f>VLOOKUP(C531,'13. CUSTOS DER - SERVIÇOS'!A:B,2,0)</f>
        <v>LIMPEZA MANUAL DE VALETA</v>
      </c>
      <c r="E531" s="11">
        <v>20</v>
      </c>
      <c r="F531" s="26" t="str">
        <f>VLOOKUP(C531,'13. CUSTOS DER - SERVIÇOS'!A:C,3,0)</f>
        <v>M</v>
      </c>
      <c r="G531" s="24">
        <f>VLOOKUP(C531,'13. CUSTOS DER - SERVIÇOS'!A:G,7,0)</f>
        <v>3.74</v>
      </c>
      <c r="H531" s="24"/>
      <c r="I531" s="25">
        <f>'3. BDI'!$C$19</f>
        <v>0.24666704095238123</v>
      </c>
      <c r="J531" s="24">
        <f t="shared" si="928"/>
        <v>4.66</v>
      </c>
      <c r="K531" s="24">
        <f t="shared" si="929"/>
        <v>0</v>
      </c>
      <c r="L531" s="24">
        <f t="shared" si="930"/>
        <v>93.2</v>
      </c>
      <c r="M531" s="24">
        <f t="shared" si="931"/>
        <v>0</v>
      </c>
      <c r="N531" s="24">
        <f t="shared" si="932"/>
        <v>93.2</v>
      </c>
      <c r="P531" s="24">
        <f>1235.55/600</f>
        <v>2.05925</v>
      </c>
      <c r="Q531" s="24">
        <f t="shared" si="933"/>
        <v>41.18</v>
      </c>
      <c r="R531" s="24">
        <f t="shared" si="902"/>
        <v>51.33</v>
      </c>
      <c r="S531" s="24">
        <f t="shared" si="903"/>
        <v>41.870000000000005</v>
      </c>
    </row>
    <row r="532" spans="1:19">
      <c r="A532" s="338"/>
      <c r="B532" s="44"/>
      <c r="C532" s="167"/>
      <c r="D532" s="341" t="s">
        <v>35</v>
      </c>
      <c r="E532" s="339"/>
      <c r="F532" s="167"/>
      <c r="G532" s="339"/>
      <c r="H532" s="339"/>
      <c r="I532" s="340"/>
      <c r="J532" s="339"/>
      <c r="K532" s="339"/>
      <c r="L532" s="339"/>
      <c r="M532" s="339"/>
      <c r="N532" s="339"/>
      <c r="P532" s="339"/>
      <c r="Q532" s="339"/>
      <c r="R532" s="24">
        <f t="shared" si="902"/>
        <v>0</v>
      </c>
      <c r="S532" s="24">
        <f t="shared" si="903"/>
        <v>0</v>
      </c>
    </row>
    <row r="533" spans="1:19">
      <c r="A533" s="9" t="s">
        <v>23619</v>
      </c>
      <c r="B533" s="10" t="s">
        <v>358</v>
      </c>
      <c r="C533" s="12" t="s">
        <v>22676</v>
      </c>
      <c r="D533" s="43" t="s">
        <v>308</v>
      </c>
      <c r="E533" s="11">
        <v>3346.17</v>
      </c>
      <c r="F533" s="13" t="s">
        <v>328</v>
      </c>
      <c r="G533" s="24">
        <f>VLOOKUP(C533,'9. CCU''S GERAIS AMEP'!A:K,11,0)</f>
        <v>28.355223000000002</v>
      </c>
      <c r="H533" s="24">
        <v>0</v>
      </c>
      <c r="I533" s="25">
        <f>'3. BDI'!$C$19</f>
        <v>0.24666704095238123</v>
      </c>
      <c r="J533" s="24">
        <f t="shared" ref="J533" si="934">TRUNC(G533+(G533*I533),2)</f>
        <v>35.340000000000003</v>
      </c>
      <c r="K533" s="24">
        <f t="shared" ref="K533" si="935">TRUNC(H533+(H533*I533),2)</f>
        <v>0</v>
      </c>
      <c r="L533" s="24">
        <f t="shared" ref="L533" si="936">J533*E533</f>
        <v>118253.64780000002</v>
      </c>
      <c r="M533" s="24">
        <f t="shared" ref="M533" si="937">K533*E533</f>
        <v>0</v>
      </c>
      <c r="N533" s="24">
        <f t="shared" ref="N533" si="938">L533+M533</f>
        <v>118253.64780000002</v>
      </c>
      <c r="P533" s="24">
        <f>212.21/100</f>
        <v>2.1221000000000001</v>
      </c>
      <c r="Q533" s="24">
        <f t="shared" ref="Q533" si="939">P533*E533</f>
        <v>7100.907357</v>
      </c>
      <c r="R533" s="24">
        <f t="shared" si="902"/>
        <v>8852.4599999999991</v>
      </c>
      <c r="S533" s="24">
        <f t="shared" si="903"/>
        <v>109401.18780000001</v>
      </c>
    </row>
    <row r="534" spans="1:19">
      <c r="A534" s="310" t="s">
        <v>340</v>
      </c>
      <c r="B534" s="311"/>
      <c r="C534" s="315"/>
      <c r="D534" s="317" t="s">
        <v>22869</v>
      </c>
      <c r="E534" s="314"/>
      <c r="F534" s="315" t="s">
        <v>195</v>
      </c>
      <c r="G534" s="314"/>
      <c r="H534" s="314"/>
      <c r="I534" s="316"/>
      <c r="J534" s="314"/>
      <c r="K534" s="314"/>
      <c r="L534" s="314">
        <f t="shared" ref="L534:M534" si="940">L535+L559+L568+L587+L600</f>
        <v>2604970.781</v>
      </c>
      <c r="M534" s="314">
        <f t="shared" si="940"/>
        <v>101210.2144</v>
      </c>
      <c r="N534" s="314">
        <f>N535+N559+N568+N587+N600</f>
        <v>2706180.9954000004</v>
      </c>
      <c r="P534" s="314">
        <f t="shared" ref="P534:S534" si="941">P535+P559+P568+P587+P600</f>
        <v>3572.4454014325033</v>
      </c>
      <c r="Q534" s="314">
        <f t="shared" si="941"/>
        <v>218442.3</v>
      </c>
      <c r="R534" s="314">
        <f t="shared" si="941"/>
        <v>272324.57999999996</v>
      </c>
      <c r="S534" s="314">
        <f t="shared" si="941"/>
        <v>2433856.4154000003</v>
      </c>
    </row>
    <row r="535" spans="1:19">
      <c r="A535" s="28" t="s">
        <v>22893</v>
      </c>
      <c r="B535" s="48"/>
      <c r="C535" s="35"/>
      <c r="D535" s="302" t="s">
        <v>22841</v>
      </c>
      <c r="E535" s="127"/>
      <c r="F535" s="36" t="s">
        <v>195</v>
      </c>
      <c r="G535" s="37"/>
      <c r="H535" s="37"/>
      <c r="I535" s="38"/>
      <c r="J535" s="39"/>
      <c r="K535" s="39"/>
      <c r="L535" s="39">
        <f t="shared" ref="L535:M535" si="942">SUM(L536:L558)</f>
        <v>602813.74579999992</v>
      </c>
      <c r="M535" s="39">
        <f t="shared" si="942"/>
        <v>22322.324199999999</v>
      </c>
      <c r="N535" s="39">
        <f>SUM(N536:N558)</f>
        <v>625136.07000000007</v>
      </c>
      <c r="P535" s="39">
        <f t="shared" ref="P535:S535" si="943">SUM(P536:P558)</f>
        <v>1164.0789753104161</v>
      </c>
      <c r="Q535" s="39">
        <f t="shared" si="943"/>
        <v>40625.11</v>
      </c>
      <c r="R535" s="39">
        <f t="shared" si="943"/>
        <v>50645.910000000011</v>
      </c>
      <c r="S535" s="39">
        <f t="shared" si="943"/>
        <v>574490.16</v>
      </c>
    </row>
    <row r="536" spans="1:19">
      <c r="A536" s="338"/>
      <c r="B536" s="44"/>
      <c r="C536" s="167"/>
      <c r="D536" s="341" t="s">
        <v>22849</v>
      </c>
      <c r="E536" s="339"/>
      <c r="F536" s="167"/>
      <c r="G536" s="339"/>
      <c r="H536" s="339"/>
      <c r="I536" s="340"/>
      <c r="J536" s="339"/>
      <c r="K536" s="339"/>
      <c r="L536" s="339"/>
      <c r="M536" s="339"/>
      <c r="N536" s="339"/>
      <c r="P536" s="339"/>
      <c r="Q536" s="339"/>
      <c r="R536" s="24">
        <f t="shared" ref="R536:R558" si="944">TRUNC((Q536*I536+Q536),2)</f>
        <v>0</v>
      </c>
      <c r="S536" s="24">
        <f t="shared" ref="S536:S558" si="945">N536-R536</f>
        <v>0</v>
      </c>
    </row>
    <row r="537" spans="1:19">
      <c r="A537" s="9" t="s">
        <v>23171</v>
      </c>
      <c r="B537" s="10" t="s">
        <v>9016</v>
      </c>
      <c r="C537" s="10">
        <v>610700</v>
      </c>
      <c r="D537" s="43" t="str">
        <f>VLOOKUP(C537,'13. CUSTOS DER - SERVIÇOS'!A:B,2,0)</f>
        <v>CORPO DE BSTC 0,60M COM BERÇO</v>
      </c>
      <c r="E537" s="11">
        <v>43</v>
      </c>
      <c r="F537" s="26" t="str">
        <f>VLOOKUP(C537,'13. CUSTOS DER - SERVIÇOS'!A:C,3,0)</f>
        <v>M</v>
      </c>
      <c r="G537" s="24">
        <f>VLOOKUP(C537,'13. CUSTOS DER - SERVIÇOS'!A:G,7,0)</f>
        <v>412.12</v>
      </c>
      <c r="H537" s="24">
        <f>VLOOKUP(C537,'10. CCU TRANSPORTE'!B:J,9,0)</f>
        <v>16.919999999999998</v>
      </c>
      <c r="I537" s="25">
        <f>'3. BDI'!$C$19</f>
        <v>0.24666704095238123</v>
      </c>
      <c r="J537" s="24">
        <f t="shared" ref="J537:J540" si="946">TRUNC(G537+(G537*I537),2)</f>
        <v>513.77</v>
      </c>
      <c r="K537" s="24">
        <f t="shared" ref="K537:K540" si="947">TRUNC(H537+(H537*I537),2)</f>
        <v>21.09</v>
      </c>
      <c r="L537" s="24">
        <f t="shared" ref="L537:L540" si="948">J537*E537</f>
        <v>22092.11</v>
      </c>
      <c r="M537" s="24">
        <f t="shared" ref="M537:M540" si="949">K537*E537</f>
        <v>906.87</v>
      </c>
      <c r="N537" s="24">
        <f t="shared" ref="N537:N540" si="950">L537+M537</f>
        <v>22998.98</v>
      </c>
      <c r="P537" s="24">
        <f>157.66/6</f>
        <v>26.276666666666667</v>
      </c>
      <c r="Q537" s="24">
        <f t="shared" ref="Q537:Q540" si="951">TRUNC(P537*E537,2)</f>
        <v>1129.8900000000001</v>
      </c>
      <c r="R537" s="24">
        <f t="shared" si="944"/>
        <v>1408.59</v>
      </c>
      <c r="S537" s="24">
        <f t="shared" si="945"/>
        <v>21590.39</v>
      </c>
    </row>
    <row r="538" spans="1:19">
      <c r="A538" s="9" t="s">
        <v>23224</v>
      </c>
      <c r="B538" s="10" t="s">
        <v>9016</v>
      </c>
      <c r="C538" s="10">
        <v>610600</v>
      </c>
      <c r="D538" s="43" t="str">
        <f>VLOOKUP(C538,'13. CUSTOS DER - SERVIÇOS'!A:B,2,0)</f>
        <v>CORPO DE BSTC 0,60M SEM BERÇO</v>
      </c>
      <c r="E538" s="11">
        <v>474</v>
      </c>
      <c r="F538" s="26" t="str">
        <f>VLOOKUP(C538,'13. CUSTOS DER - SERVIÇOS'!A:C,3,0)</f>
        <v>M</v>
      </c>
      <c r="G538" s="24">
        <f>VLOOKUP(C538,'13. CUSTOS DER - SERVIÇOS'!A:G,7,0)</f>
        <v>313.26</v>
      </c>
      <c r="H538" s="24">
        <f>VLOOKUP(C538,'10. CCU TRANSPORTE'!B:J,9,0)</f>
        <v>9.5500000000000007</v>
      </c>
      <c r="I538" s="25">
        <f>'3. BDI'!$C$19</f>
        <v>0.24666704095238123</v>
      </c>
      <c r="J538" s="24">
        <f t="shared" si="946"/>
        <v>390.53</v>
      </c>
      <c r="K538" s="24">
        <f t="shared" si="947"/>
        <v>11.9</v>
      </c>
      <c r="L538" s="24">
        <f t="shared" si="948"/>
        <v>185111.22</v>
      </c>
      <c r="M538" s="24">
        <f t="shared" si="949"/>
        <v>5640.6</v>
      </c>
      <c r="N538" s="24">
        <f t="shared" si="950"/>
        <v>190751.82</v>
      </c>
      <c r="P538" s="24">
        <f>137.28/6</f>
        <v>22.88</v>
      </c>
      <c r="Q538" s="24">
        <f t="shared" si="951"/>
        <v>10845.12</v>
      </c>
      <c r="R538" s="24">
        <f t="shared" si="944"/>
        <v>13520.25</v>
      </c>
      <c r="S538" s="24">
        <f t="shared" si="945"/>
        <v>177231.57</v>
      </c>
    </row>
    <row r="539" spans="1:19">
      <c r="A539" s="9" t="s">
        <v>23225</v>
      </c>
      <c r="B539" s="10" t="s">
        <v>9016</v>
      </c>
      <c r="C539" s="10">
        <v>610900</v>
      </c>
      <c r="D539" s="43" t="str">
        <f>VLOOKUP(C539,'13. CUSTOS DER - SERVIÇOS'!A:B,2,0)</f>
        <v>CORPO DE BSTC 0,80M COM BERÇO</v>
      </c>
      <c r="E539" s="11">
        <v>84</v>
      </c>
      <c r="F539" s="26" t="str">
        <f>VLOOKUP(C539,'13. CUSTOS DER - SERVIÇOS'!A:C,3,0)</f>
        <v>M</v>
      </c>
      <c r="G539" s="24">
        <f>VLOOKUP(C539,'13. CUSTOS DER - SERVIÇOS'!A:G,7,0)</f>
        <v>677.21</v>
      </c>
      <c r="H539" s="24">
        <f>VLOOKUP(C539,'10. CCU TRANSPORTE'!B:J,9,0)</f>
        <v>35.879999999999995</v>
      </c>
      <c r="I539" s="25">
        <f>'3. BDI'!$C$19</f>
        <v>0.24666704095238123</v>
      </c>
      <c r="J539" s="24">
        <f t="shared" si="946"/>
        <v>844.25</v>
      </c>
      <c r="K539" s="24">
        <f t="shared" si="947"/>
        <v>44.73</v>
      </c>
      <c r="L539" s="24">
        <f t="shared" si="948"/>
        <v>70917</v>
      </c>
      <c r="M539" s="24">
        <f t="shared" si="949"/>
        <v>3757.3199999999997</v>
      </c>
      <c r="N539" s="24">
        <f t="shared" si="950"/>
        <v>74674.320000000007</v>
      </c>
      <c r="P539" s="24">
        <f>157.66/4</f>
        <v>39.414999999999999</v>
      </c>
      <c r="Q539" s="24">
        <f t="shared" si="951"/>
        <v>3310.86</v>
      </c>
      <c r="R539" s="24">
        <f t="shared" si="944"/>
        <v>4127.54</v>
      </c>
      <c r="S539" s="24">
        <f t="shared" si="945"/>
        <v>70546.780000000013</v>
      </c>
    </row>
    <row r="540" spans="1:19">
      <c r="A540" s="9" t="s">
        <v>23226</v>
      </c>
      <c r="B540" s="10" t="s">
        <v>9016</v>
      </c>
      <c r="C540" s="10">
        <v>611500</v>
      </c>
      <c r="D540" s="43" t="str">
        <f>VLOOKUP(C540,'13. CUSTOS DER - SERVIÇOS'!A:B,2,0)</f>
        <v>CORPO DE BSTC 1,50M COM BERÇO</v>
      </c>
      <c r="E540" s="11">
        <v>15</v>
      </c>
      <c r="F540" s="26" t="str">
        <f>VLOOKUP(C540,'13. CUSTOS DER - SERVIÇOS'!A:C,3,0)</f>
        <v>M</v>
      </c>
      <c r="G540" s="24">
        <f>VLOOKUP(C540,'13. CUSTOS DER - SERVIÇOS'!A:G,7,0)</f>
        <v>1749.33</v>
      </c>
      <c r="H540" s="24">
        <f>VLOOKUP(C540,'10. CCU TRANSPORTE'!B:J,9,0)</f>
        <v>94.62</v>
      </c>
      <c r="I540" s="25">
        <f>'3. BDI'!$C$19</f>
        <v>0.24666704095238123</v>
      </c>
      <c r="J540" s="24">
        <f t="shared" si="946"/>
        <v>2180.83</v>
      </c>
      <c r="K540" s="24">
        <f t="shared" si="947"/>
        <v>117.95</v>
      </c>
      <c r="L540" s="24">
        <f t="shared" si="948"/>
        <v>32712.449999999997</v>
      </c>
      <c r="M540" s="24">
        <f t="shared" si="949"/>
        <v>1769.25</v>
      </c>
      <c r="N540" s="24">
        <f t="shared" si="950"/>
        <v>34481.699999999997</v>
      </c>
      <c r="P540" s="24">
        <f>209.5/2</f>
        <v>104.75</v>
      </c>
      <c r="Q540" s="24">
        <f t="shared" si="951"/>
        <v>1571.25</v>
      </c>
      <c r="R540" s="24">
        <f t="shared" si="944"/>
        <v>1958.82</v>
      </c>
      <c r="S540" s="24">
        <f t="shared" si="945"/>
        <v>32522.879999999997</v>
      </c>
    </row>
    <row r="541" spans="1:19">
      <c r="A541" s="338"/>
      <c r="B541" s="44"/>
      <c r="C541" s="167"/>
      <c r="D541" s="341" t="s">
        <v>22851</v>
      </c>
      <c r="E541" s="339"/>
      <c r="F541" s="167"/>
      <c r="G541" s="339"/>
      <c r="H541" s="339"/>
      <c r="I541" s="340"/>
      <c r="J541" s="339"/>
      <c r="K541" s="339"/>
      <c r="L541" s="339"/>
      <c r="M541" s="339"/>
      <c r="N541" s="339"/>
      <c r="P541" s="339"/>
      <c r="Q541" s="339"/>
      <c r="R541" s="24">
        <f t="shared" si="944"/>
        <v>0</v>
      </c>
      <c r="S541" s="24">
        <f t="shared" si="945"/>
        <v>0</v>
      </c>
    </row>
    <row r="542" spans="1:19" ht="31.5">
      <c r="A542" s="9" t="s">
        <v>23227</v>
      </c>
      <c r="B542" s="10" t="s">
        <v>22708</v>
      </c>
      <c r="C542" s="10">
        <v>6817833</v>
      </c>
      <c r="D542" s="43" t="str">
        <f>UPPER(VLOOKUP(C542,'18. CUSTOS DNIT - SERVIÇOS'!A:B,2,0))</f>
        <v>CORPO DE BSCC - SEÇÃO FECHADA DE 1,5 X 1,5 M - PRÉ-MOLDADO - ALTURA DO ATERRO DE 2,50 A 5,00 M - AREIA E BRITA COMERCIAIS</v>
      </c>
      <c r="E542" s="11">
        <v>26</v>
      </c>
      <c r="F542" s="26" t="str">
        <f>UPPER(VLOOKUP(C542,'18. CUSTOS DNIT - SERVIÇOS'!A:C,3,0))</f>
        <v>M</v>
      </c>
      <c r="G542" s="24">
        <f>VLOOKUP(C542,'18. CUSTOS DNIT - SERVIÇOS'!A:D,4,0)</f>
        <v>1657.96</v>
      </c>
      <c r="H542" s="24"/>
      <c r="I542" s="25">
        <f>'3. BDI'!$C$19</f>
        <v>0.24666704095238123</v>
      </c>
      <c r="J542" s="24">
        <f>TRUNC(G542+(G542*I542),2)</f>
        <v>2066.92</v>
      </c>
      <c r="K542" s="24">
        <f>TRUNC(H542+(H542*I542),2)</f>
        <v>0</v>
      </c>
      <c r="L542" s="24">
        <f>J542*E542</f>
        <v>53739.92</v>
      </c>
      <c r="M542" s="24">
        <f>K542*E542</f>
        <v>0</v>
      </c>
      <c r="N542" s="24">
        <f>L542+M542</f>
        <v>53739.92</v>
      </c>
      <c r="P542" s="24">
        <f>514.5339</f>
        <v>514.53390000000002</v>
      </c>
      <c r="Q542" s="24">
        <f t="shared" ref="Q542:Q543" si="952">TRUNC((P542*E542),2)</f>
        <v>13377.88</v>
      </c>
      <c r="R542" s="24">
        <f t="shared" si="944"/>
        <v>16677.759999999998</v>
      </c>
      <c r="S542" s="24">
        <f t="shared" si="945"/>
        <v>37062.160000000003</v>
      </c>
    </row>
    <row r="543" spans="1:19" ht="31.5">
      <c r="A543" s="9" t="s">
        <v>23228</v>
      </c>
      <c r="B543" s="10" t="s">
        <v>22708</v>
      </c>
      <c r="C543" s="10">
        <v>6817857</v>
      </c>
      <c r="D543" s="43" t="str">
        <f>UPPER(VLOOKUP(C543,'18. CUSTOS DNIT - SERVIÇOS'!A:B,2,0))</f>
        <v>CORPO DE BSCC - SEÇÃO FECHADA DE 2,5 X 2,5 M - PRÉ-MOLDADO - ALTURA DO ATERRO DE 0,25 A 1,00 M - AREIA E BRITA COMERCIAIS</v>
      </c>
      <c r="E543" s="11">
        <v>15</v>
      </c>
      <c r="F543" s="26" t="str">
        <f>UPPER(VLOOKUP(C543,'18. CUSTOS DNIT - SERVIÇOS'!A:C,3,0))</f>
        <v>M</v>
      </c>
      <c r="G543" s="24">
        <f>VLOOKUP(C543,'18. CUSTOS DNIT - SERVIÇOS'!A:D,4,0)</f>
        <v>3278.79</v>
      </c>
      <c r="H543" s="24"/>
      <c r="I543" s="25">
        <f>'3. BDI'!$C$19</f>
        <v>0.24666704095238123</v>
      </c>
      <c r="J543" s="24">
        <f>TRUNC(G543+(G543*I543),2)</f>
        <v>4087.55</v>
      </c>
      <c r="K543" s="24">
        <f>TRUNC(H543+(H543*I543),2)</f>
        <v>0</v>
      </c>
      <c r="L543" s="24">
        <f>J543*E543</f>
        <v>61313.25</v>
      </c>
      <c r="M543" s="24">
        <f>K543*E543</f>
        <v>0</v>
      </c>
      <c r="N543" s="24">
        <f>L543+M543</f>
        <v>61313.25</v>
      </c>
      <c r="P543" s="24">
        <f>76.4289/2.49</f>
        <v>30.694337349397586</v>
      </c>
      <c r="Q543" s="24">
        <f t="shared" si="952"/>
        <v>460.41</v>
      </c>
      <c r="R543" s="24">
        <f t="shared" si="944"/>
        <v>573.97</v>
      </c>
      <c r="S543" s="24">
        <f t="shared" si="945"/>
        <v>60739.28</v>
      </c>
    </row>
    <row r="544" spans="1:19">
      <c r="A544" s="338"/>
      <c r="B544" s="44"/>
      <c r="C544" s="167"/>
      <c r="D544" s="341" t="s">
        <v>22852</v>
      </c>
      <c r="E544" s="339"/>
      <c r="F544" s="167"/>
      <c r="G544" s="339"/>
      <c r="H544" s="339"/>
      <c r="I544" s="340"/>
      <c r="J544" s="339"/>
      <c r="K544" s="339"/>
      <c r="L544" s="339"/>
      <c r="M544" s="339"/>
      <c r="N544" s="339"/>
      <c r="P544" s="339"/>
      <c r="Q544" s="339"/>
      <c r="R544" s="24">
        <f t="shared" si="944"/>
        <v>0</v>
      </c>
      <c r="S544" s="24">
        <f t="shared" si="945"/>
        <v>0</v>
      </c>
    </row>
    <row r="545" spans="1:19" ht="31.5">
      <c r="A545" s="9" t="s">
        <v>23229</v>
      </c>
      <c r="B545" s="10" t="s">
        <v>22708</v>
      </c>
      <c r="C545" s="10">
        <v>6817857</v>
      </c>
      <c r="D545" s="43" t="str">
        <f>UPPER(VLOOKUP(C545,'18. CUSTOS DNIT - SERVIÇOS'!A:B,2,0))</f>
        <v>CORPO DE BSCC - SEÇÃO FECHADA DE 2,5 X 2,5 M - PRÉ-MOLDADO - ALTURA DO ATERRO DE 0,25 A 1,00 M - AREIA E BRITA COMERCIAIS</v>
      </c>
      <c r="E545" s="11">
        <v>30</v>
      </c>
      <c r="F545" s="26" t="str">
        <f>UPPER(VLOOKUP(C545,'18. CUSTOS DNIT - SERVIÇOS'!A:C,3,0))</f>
        <v>M</v>
      </c>
      <c r="G545" s="24">
        <f>VLOOKUP(C545,'18. CUSTOS DNIT - SERVIÇOS'!A:D,4,0)</f>
        <v>3278.79</v>
      </c>
      <c r="H545" s="24"/>
      <c r="I545" s="25">
        <f>'3. BDI'!$C$19</f>
        <v>0.24666704095238123</v>
      </c>
      <c r="J545" s="24">
        <f>TRUNC(G545+(G545*I545),2)</f>
        <v>4087.55</v>
      </c>
      <c r="K545" s="24">
        <f>TRUNC(H545+(H545*I545),2)</f>
        <v>0</v>
      </c>
      <c r="L545" s="24">
        <f>J545*E545</f>
        <v>122626.5</v>
      </c>
      <c r="M545" s="24">
        <f>K545*E545</f>
        <v>0</v>
      </c>
      <c r="N545" s="24">
        <f>L545+M545</f>
        <v>122626.5</v>
      </c>
      <c r="P545" s="24">
        <f>76.4289/2.49</f>
        <v>30.694337349397586</v>
      </c>
      <c r="Q545" s="24">
        <f>TRUNC((P545*E545),2)</f>
        <v>920.83</v>
      </c>
      <c r="R545" s="24">
        <f t="shared" si="944"/>
        <v>1147.96</v>
      </c>
      <c r="S545" s="24">
        <f t="shared" si="945"/>
        <v>121478.54</v>
      </c>
    </row>
    <row r="546" spans="1:19" ht="47.25">
      <c r="A546" s="338"/>
      <c r="B546" s="44"/>
      <c r="C546" s="167"/>
      <c r="D546" s="341" t="s">
        <v>22854</v>
      </c>
      <c r="E546" s="339"/>
      <c r="F546" s="167"/>
      <c r="G546" s="339"/>
      <c r="H546" s="339"/>
      <c r="I546" s="340"/>
      <c r="J546" s="339"/>
      <c r="K546" s="339"/>
      <c r="L546" s="339"/>
      <c r="M546" s="339"/>
      <c r="N546" s="339"/>
      <c r="P546" s="339"/>
      <c r="Q546" s="339"/>
      <c r="R546" s="24">
        <f t="shared" si="944"/>
        <v>0</v>
      </c>
      <c r="S546" s="24">
        <f t="shared" si="945"/>
        <v>0</v>
      </c>
    </row>
    <row r="547" spans="1:19">
      <c r="A547" s="9" t="s">
        <v>22949</v>
      </c>
      <c r="B547" s="10" t="s">
        <v>9016</v>
      </c>
      <c r="C547" s="10">
        <v>603900</v>
      </c>
      <c r="D547" s="43" t="str">
        <f>VLOOKUP(C547,'13. CUSTOS DER - SERVIÇOS'!A:B,2,0)</f>
        <v>LASTRO DE BRITA</v>
      </c>
      <c r="E547" s="11">
        <v>81</v>
      </c>
      <c r="F547" s="26" t="str">
        <f>VLOOKUP(C547,'13. CUSTOS DER - SERVIÇOS'!A:C,3,0)</f>
        <v>M3</v>
      </c>
      <c r="G547" s="24">
        <f>VLOOKUP(C547,'13. CUSTOS DER - SERVIÇOS'!A:G,7,0)</f>
        <v>131.84</v>
      </c>
      <c r="H547" s="24">
        <f>VLOOKUP(C547,'10. CCU TRANSPORTE'!B:J,9,0)</f>
        <v>17.059999999999999</v>
      </c>
      <c r="I547" s="25">
        <f>'3. BDI'!$C$19</f>
        <v>0.24666704095238123</v>
      </c>
      <c r="J547" s="24">
        <f t="shared" ref="J547" si="953">TRUNC(G547+(G547*I547),2)</f>
        <v>164.36</v>
      </c>
      <c r="K547" s="24">
        <f t="shared" ref="K547" si="954">TRUNC(H547+(H547*I547),2)</f>
        <v>21.26</v>
      </c>
      <c r="L547" s="24">
        <f t="shared" ref="L547" si="955">J547*E547</f>
        <v>13313.160000000002</v>
      </c>
      <c r="M547" s="24">
        <f t="shared" ref="M547" si="956">K547*E547</f>
        <v>1722.0600000000002</v>
      </c>
      <c r="N547" s="24">
        <f t="shared" ref="N547" si="957">L547+M547</f>
        <v>15035.220000000001</v>
      </c>
      <c r="P547" s="24">
        <f>62.92/1</f>
        <v>62.92</v>
      </c>
      <c r="Q547" s="24">
        <f>TRUNC(P547*E547,2)</f>
        <v>5096.5200000000004</v>
      </c>
      <c r="R547" s="24">
        <f t="shared" si="944"/>
        <v>6353.66</v>
      </c>
      <c r="S547" s="24">
        <f t="shared" si="945"/>
        <v>8681.5600000000013</v>
      </c>
    </row>
    <row r="548" spans="1:19" ht="31.5">
      <c r="A548" s="338"/>
      <c r="B548" s="44"/>
      <c r="C548" s="167"/>
      <c r="D548" s="341" t="s">
        <v>22853</v>
      </c>
      <c r="E548" s="339"/>
      <c r="F548" s="167"/>
      <c r="G548" s="339"/>
      <c r="H548" s="339"/>
      <c r="I548" s="340"/>
      <c r="J548" s="339"/>
      <c r="K548" s="339"/>
      <c r="L548" s="339"/>
      <c r="M548" s="339"/>
      <c r="N548" s="339"/>
      <c r="P548" s="339"/>
      <c r="Q548" s="339"/>
      <c r="R548" s="24">
        <f t="shared" si="944"/>
        <v>0</v>
      </c>
      <c r="S548" s="24">
        <f t="shared" si="945"/>
        <v>0</v>
      </c>
    </row>
    <row r="549" spans="1:19">
      <c r="A549" s="9" t="s">
        <v>23230</v>
      </c>
      <c r="B549" s="10" t="s">
        <v>9016</v>
      </c>
      <c r="C549" s="10">
        <v>605500</v>
      </c>
      <c r="D549" s="43" t="str">
        <f>VLOOKUP(C549,'13. CUSTOS DER - SERVIÇOS'!A:B,2,0)</f>
        <v>CONCRETO FCK = 20 MPA, PREPARO EM BETONEIRA E LANÇ.</v>
      </c>
      <c r="E549" s="11">
        <v>7.39</v>
      </c>
      <c r="F549" s="26" t="str">
        <f>VLOOKUP(C549,'13. CUSTOS DER - SERVIÇOS'!A:C,3,0)</f>
        <v>M3</v>
      </c>
      <c r="G549" s="24">
        <f>VLOOKUP(C549,'13. CUSTOS DER - SERVIÇOS'!A:G,7,0)</f>
        <v>532.64</v>
      </c>
      <c r="H549" s="24">
        <f>VLOOKUP(C549,'10. CCU TRANSPORTE'!B:J,9,0)</f>
        <v>61.030000000000008</v>
      </c>
      <c r="I549" s="25">
        <f>'3. BDI'!$C$19</f>
        <v>0.24666704095238123</v>
      </c>
      <c r="J549" s="24">
        <f t="shared" ref="J549" si="958">TRUNC(G549+(G549*I549),2)</f>
        <v>664.02</v>
      </c>
      <c r="K549" s="24">
        <f t="shared" ref="K549" si="959">TRUNC(H549+(H549*I549),2)</f>
        <v>76.08</v>
      </c>
      <c r="L549" s="24">
        <f t="shared" ref="L549" si="960">J549*E549</f>
        <v>4907.1077999999998</v>
      </c>
      <c r="M549" s="24">
        <f t="shared" ref="M549" si="961">K549*E549</f>
        <v>562.23119999999994</v>
      </c>
      <c r="N549" s="24">
        <f t="shared" ref="N549" si="962">L549+M549</f>
        <v>5469.3389999999999</v>
      </c>
      <c r="P549" s="24">
        <f>498.36/2.5</f>
        <v>199.34399999999999</v>
      </c>
      <c r="Q549" s="24">
        <f t="shared" ref="Q549:Q550" si="963">TRUNC(P549*E549,2)</f>
        <v>1473.15</v>
      </c>
      <c r="R549" s="24">
        <f t="shared" si="944"/>
        <v>1836.52</v>
      </c>
      <c r="S549" s="24">
        <f t="shared" si="945"/>
        <v>3632.819</v>
      </c>
    </row>
    <row r="550" spans="1:19">
      <c r="A550" s="9" t="s">
        <v>23231</v>
      </c>
      <c r="B550" s="10" t="s">
        <v>9016</v>
      </c>
      <c r="C550" s="10">
        <v>603900</v>
      </c>
      <c r="D550" s="43" t="str">
        <f>VLOOKUP(C550,'13. CUSTOS DER - SERVIÇOS'!A:B,2,0)</f>
        <v>LASTRO DE BRITA</v>
      </c>
      <c r="E550" s="11">
        <v>7.72</v>
      </c>
      <c r="F550" s="26" t="str">
        <f>VLOOKUP(C550,'13. CUSTOS DER - SERVIÇOS'!A:C,3,0)</f>
        <v>M3</v>
      </c>
      <c r="G550" s="24">
        <f>VLOOKUP(C550,'13. CUSTOS DER - SERVIÇOS'!A:G,7,0)</f>
        <v>131.84</v>
      </c>
      <c r="H550" s="24">
        <f>VLOOKUP(C550,'10. CCU TRANSPORTE'!B:J,9,0)</f>
        <v>17.059999999999999</v>
      </c>
      <c r="I550" s="25">
        <f>'3. BDI'!$C$19</f>
        <v>0.24666704095238123</v>
      </c>
      <c r="J550" s="24">
        <f>TRUNC(G550+(G550*I550),2)</f>
        <v>164.36</v>
      </c>
      <c r="K550" s="24">
        <f>TRUNC(H550+(H550*I550),2)</f>
        <v>21.26</v>
      </c>
      <c r="L550" s="24">
        <f>J550*E550</f>
        <v>1268.8592000000001</v>
      </c>
      <c r="M550" s="24">
        <f>K550*E550</f>
        <v>164.12720000000002</v>
      </c>
      <c r="N550" s="24">
        <f>L550+M550</f>
        <v>1432.9864000000002</v>
      </c>
      <c r="P550" s="24">
        <f>62.92/1</f>
        <v>62.92</v>
      </c>
      <c r="Q550" s="24">
        <f t="shared" si="963"/>
        <v>485.74</v>
      </c>
      <c r="R550" s="24">
        <f t="shared" si="944"/>
        <v>605.54999999999995</v>
      </c>
      <c r="S550" s="24">
        <f t="shared" si="945"/>
        <v>827.43640000000028</v>
      </c>
    </row>
    <row r="551" spans="1:19" ht="31.5">
      <c r="A551" s="338"/>
      <c r="B551" s="44"/>
      <c r="C551" s="167"/>
      <c r="D551" s="341" t="s">
        <v>22855</v>
      </c>
      <c r="E551" s="339"/>
      <c r="F551" s="167"/>
      <c r="G551" s="339"/>
      <c r="H551" s="339"/>
      <c r="I551" s="340"/>
      <c r="J551" s="339"/>
      <c r="K551" s="339"/>
      <c r="L551" s="339"/>
      <c r="M551" s="339"/>
      <c r="N551" s="339"/>
      <c r="P551" s="339"/>
      <c r="Q551" s="339"/>
      <c r="R551" s="24">
        <f t="shared" si="944"/>
        <v>0</v>
      </c>
      <c r="S551" s="24">
        <f t="shared" si="945"/>
        <v>0</v>
      </c>
    </row>
    <row r="552" spans="1:19">
      <c r="A552" s="9" t="s">
        <v>23232</v>
      </c>
      <c r="B552" s="10" t="s">
        <v>9016</v>
      </c>
      <c r="C552" s="10">
        <v>516100</v>
      </c>
      <c r="D552" s="43" t="str">
        <f>VLOOKUP(C552,'13. CUSTOS DER - SERVIÇOS'!A:B,2,0)</f>
        <v>PREENCHIMENTO REBAIXO C/ RACHÃO</v>
      </c>
      <c r="E552" s="11">
        <v>78</v>
      </c>
      <c r="F552" s="26" t="str">
        <f>VLOOKUP(C552,'13. CUSTOS DER - SERVIÇOS'!A:C,3,0)</f>
        <v>M3</v>
      </c>
      <c r="G552" s="24">
        <f>VLOOKUP(C552,'13. CUSTOS DER - SERVIÇOS'!A:G,7,0)</f>
        <v>94.46</v>
      </c>
      <c r="H552" s="24">
        <f>VLOOKUP(C552,'10. CCU TRANSPORTE'!B:J,9,0)</f>
        <v>22.18</v>
      </c>
      <c r="I552" s="25">
        <f>'3. BDI'!$C$19</f>
        <v>0.24666704095238123</v>
      </c>
      <c r="J552" s="24">
        <f>TRUNC(G552+(G552*I552),2)</f>
        <v>117.76</v>
      </c>
      <c r="K552" s="24">
        <f>TRUNC(H552+(H552*I552),2)</f>
        <v>27.65</v>
      </c>
      <c r="L552" s="24">
        <f>J552*E552</f>
        <v>9185.2800000000007</v>
      </c>
      <c r="M552" s="24">
        <f>K552*E552</f>
        <v>2156.6999999999998</v>
      </c>
      <c r="N552" s="24">
        <f>L552+M552</f>
        <v>11341.98</v>
      </c>
      <c r="P552" s="24">
        <f>244.55/109</f>
        <v>2.2435779816513763</v>
      </c>
      <c r="Q552" s="24">
        <f>TRUNC(P552*E552,2)</f>
        <v>174.99</v>
      </c>
      <c r="R552" s="24">
        <f t="shared" si="944"/>
        <v>218.15</v>
      </c>
      <c r="S552" s="24">
        <f t="shared" si="945"/>
        <v>11123.83</v>
      </c>
    </row>
    <row r="553" spans="1:19" ht="31.5">
      <c r="A553" s="338"/>
      <c r="B553" s="44"/>
      <c r="C553" s="167"/>
      <c r="D553" s="341" t="s">
        <v>22856</v>
      </c>
      <c r="E553" s="339"/>
      <c r="F553" s="167"/>
      <c r="G553" s="339"/>
      <c r="H553" s="339"/>
      <c r="I553" s="340"/>
      <c r="J553" s="339"/>
      <c r="K553" s="339"/>
      <c r="L553" s="339"/>
      <c r="M553" s="339"/>
      <c r="N553" s="339"/>
      <c r="P553" s="339"/>
      <c r="Q553" s="339"/>
      <c r="R553" s="24">
        <f t="shared" si="944"/>
        <v>0</v>
      </c>
      <c r="S553" s="24">
        <f t="shared" si="945"/>
        <v>0</v>
      </c>
    </row>
    <row r="554" spans="1:19">
      <c r="A554" s="9" t="s">
        <v>23233</v>
      </c>
      <c r="B554" s="10" t="s">
        <v>9016</v>
      </c>
      <c r="C554" s="10">
        <v>516100</v>
      </c>
      <c r="D554" s="43" t="str">
        <f>VLOOKUP(C554,'13. CUSTOS DER - SERVIÇOS'!A:B,2,0)</f>
        <v>PREENCHIMENTO REBAIXO C/ RACHÃO</v>
      </c>
      <c r="E554" s="11">
        <v>75</v>
      </c>
      <c r="F554" s="26" t="str">
        <f>VLOOKUP(C554,'13. CUSTOS DER - SERVIÇOS'!A:C,3,0)</f>
        <v>M3</v>
      </c>
      <c r="G554" s="24">
        <f>VLOOKUP(C554,'13. CUSTOS DER - SERVIÇOS'!A:G,7,0)</f>
        <v>94.46</v>
      </c>
      <c r="H554" s="24">
        <f>VLOOKUP(C554,'10. CCU TRANSPORTE'!B:J,9,0)</f>
        <v>22.18</v>
      </c>
      <c r="I554" s="25">
        <f>'3. BDI'!$C$19</f>
        <v>0.24666704095238123</v>
      </c>
      <c r="J554" s="24">
        <f>TRUNC(G554+(G554*I554),2)</f>
        <v>117.76</v>
      </c>
      <c r="K554" s="24">
        <f>TRUNC(H554+(H554*I554),2)</f>
        <v>27.65</v>
      </c>
      <c r="L554" s="24">
        <f>J554*E554</f>
        <v>8832</v>
      </c>
      <c r="M554" s="24">
        <f>K554*E554</f>
        <v>2073.75</v>
      </c>
      <c r="N554" s="24">
        <f>L554+M554</f>
        <v>10905.75</v>
      </c>
      <c r="P554" s="24">
        <f>244.55/109</f>
        <v>2.2435779816513763</v>
      </c>
      <c r="Q554" s="24">
        <f>TRUNC(P554*E554,2)</f>
        <v>168.26</v>
      </c>
      <c r="R554" s="24">
        <f t="shared" si="944"/>
        <v>209.76</v>
      </c>
      <c r="S554" s="24">
        <f t="shared" si="945"/>
        <v>10695.99</v>
      </c>
    </row>
    <row r="555" spans="1:19" ht="31.5">
      <c r="A555" s="338"/>
      <c r="B555" s="44"/>
      <c r="C555" s="167"/>
      <c r="D555" s="341" t="s">
        <v>22857</v>
      </c>
      <c r="E555" s="339"/>
      <c r="F555" s="167"/>
      <c r="G555" s="339"/>
      <c r="H555" s="339"/>
      <c r="I555" s="340"/>
      <c r="J555" s="339"/>
      <c r="K555" s="339"/>
      <c r="L555" s="339"/>
      <c r="M555" s="339"/>
      <c r="N555" s="339"/>
      <c r="P555" s="339"/>
      <c r="Q555" s="339"/>
      <c r="R555" s="24">
        <f t="shared" si="944"/>
        <v>0</v>
      </c>
      <c r="S555" s="24">
        <f t="shared" si="945"/>
        <v>0</v>
      </c>
    </row>
    <row r="556" spans="1:19">
      <c r="A556" s="9" t="s">
        <v>23234</v>
      </c>
      <c r="B556" s="10" t="s">
        <v>9016</v>
      </c>
      <c r="C556" s="10">
        <v>516100</v>
      </c>
      <c r="D556" s="43" t="str">
        <f>VLOOKUP(C556,'13. CUSTOS DER - SERVIÇOS'!A:B,2,0)</f>
        <v>PREENCHIMENTO REBAIXO C/ RACHÃO</v>
      </c>
      <c r="E556" s="11">
        <v>112.5</v>
      </c>
      <c r="F556" s="26" t="str">
        <f>VLOOKUP(C556,'13. CUSTOS DER - SERVIÇOS'!A:C,3,0)</f>
        <v>M3</v>
      </c>
      <c r="G556" s="24">
        <f>VLOOKUP(C556,'13. CUSTOS DER - SERVIÇOS'!A:G,7,0)</f>
        <v>94.46</v>
      </c>
      <c r="H556" s="24">
        <f>VLOOKUP(C556,'10. CCU TRANSPORTE'!B:J,9,0)</f>
        <v>22.18</v>
      </c>
      <c r="I556" s="25">
        <f>'3. BDI'!$C$19</f>
        <v>0.24666704095238123</v>
      </c>
      <c r="J556" s="24">
        <f>TRUNC(G556+(G556*I556),2)</f>
        <v>117.76</v>
      </c>
      <c r="K556" s="24">
        <f>TRUNC(H556+(H556*I556),2)</f>
        <v>27.65</v>
      </c>
      <c r="L556" s="24">
        <f>J556*E556</f>
        <v>13248</v>
      </c>
      <c r="M556" s="24">
        <f>K556*E556</f>
        <v>3110.625</v>
      </c>
      <c r="N556" s="24">
        <f>L556+M556</f>
        <v>16358.625</v>
      </c>
      <c r="P556" s="24">
        <f>244.55/109</f>
        <v>2.2435779816513763</v>
      </c>
      <c r="Q556" s="24">
        <f>TRUNC(P556*E556,2)</f>
        <v>252.4</v>
      </c>
      <c r="R556" s="24">
        <f t="shared" si="944"/>
        <v>314.64999999999998</v>
      </c>
      <c r="S556" s="24">
        <f t="shared" si="945"/>
        <v>16043.975</v>
      </c>
    </row>
    <row r="557" spans="1:19">
      <c r="A557" s="338"/>
      <c r="B557" s="44"/>
      <c r="C557" s="167"/>
      <c r="D557" s="341" t="s">
        <v>23690</v>
      </c>
      <c r="E557" s="339"/>
      <c r="F557" s="167"/>
      <c r="G557" s="339"/>
      <c r="H557" s="339"/>
      <c r="I557" s="340"/>
      <c r="J557" s="339"/>
      <c r="K557" s="339"/>
      <c r="L557" s="339"/>
      <c r="M557" s="339"/>
      <c r="N557" s="339"/>
      <c r="P557" s="339"/>
      <c r="Q557" s="339"/>
      <c r="R557" s="24">
        <f t="shared" si="944"/>
        <v>0</v>
      </c>
      <c r="S557" s="24">
        <f t="shared" si="945"/>
        <v>0</v>
      </c>
    </row>
    <row r="558" spans="1:19">
      <c r="A558" s="9" t="s">
        <v>23691</v>
      </c>
      <c r="B558" s="10" t="s">
        <v>9016</v>
      </c>
      <c r="C558" s="10">
        <v>603900</v>
      </c>
      <c r="D558" s="43" t="str">
        <f>VLOOKUP(C558,'13. CUSTOS DER - SERVIÇOS'!A:B,2,0)</f>
        <v>LASTRO DE BRITA</v>
      </c>
      <c r="E558" s="11">
        <v>21.58</v>
      </c>
      <c r="F558" s="26" t="str">
        <f>VLOOKUP(C558,'13. CUSTOS DER - SERVIÇOS'!A:C,3,0)</f>
        <v>M3</v>
      </c>
      <c r="G558" s="24">
        <f>VLOOKUP(C558,'13. CUSTOS DER - SERVIÇOS'!A:G,7,0)</f>
        <v>131.84</v>
      </c>
      <c r="H558" s="24">
        <f>VLOOKUP(C558,'10. CCU TRANSPORTE'!B:J,9,0)</f>
        <v>17.059999999999999</v>
      </c>
      <c r="I558" s="25">
        <f>'3. BDI'!$C$19</f>
        <v>0.24666704095238123</v>
      </c>
      <c r="J558" s="24">
        <f>TRUNC(G558+(G558*I558),2)</f>
        <v>164.36</v>
      </c>
      <c r="K558" s="24">
        <f>TRUNC(H558+(H558*I558),2)</f>
        <v>21.26</v>
      </c>
      <c r="L558" s="24">
        <f>J558*E558</f>
        <v>3546.8888000000002</v>
      </c>
      <c r="M558" s="24">
        <f>K558*E558</f>
        <v>458.79079999999999</v>
      </c>
      <c r="N558" s="24">
        <f>L558+M558</f>
        <v>4005.6796000000004</v>
      </c>
      <c r="P558" s="24">
        <f>62.92/1</f>
        <v>62.92</v>
      </c>
      <c r="Q558" s="24">
        <f>TRUNC(P558*E558,2)</f>
        <v>1357.81</v>
      </c>
      <c r="R558" s="24">
        <f t="shared" si="944"/>
        <v>1692.73</v>
      </c>
      <c r="S558" s="24">
        <f t="shared" si="945"/>
        <v>2312.9496000000004</v>
      </c>
    </row>
    <row r="559" spans="1:19">
      <c r="A559" s="28" t="s">
        <v>22894</v>
      </c>
      <c r="B559" s="48"/>
      <c r="C559" s="35"/>
      <c r="D559" s="302" t="s">
        <v>22842</v>
      </c>
      <c r="E559" s="127"/>
      <c r="F559" s="36" t="s">
        <v>195</v>
      </c>
      <c r="G559" s="37"/>
      <c r="H559" s="37"/>
      <c r="I559" s="38"/>
      <c r="J559" s="39"/>
      <c r="K559" s="39"/>
      <c r="L559" s="39">
        <f t="shared" ref="L559:M559" si="964">SUM(L560:L567)</f>
        <v>117611.8336</v>
      </c>
      <c r="M559" s="39">
        <f t="shared" si="964"/>
        <v>5160.0226000000002</v>
      </c>
      <c r="N559" s="39">
        <f>SUM(N560:N567)</f>
        <v>122771.85619999999</v>
      </c>
      <c r="P559" s="39">
        <f t="shared" ref="P559:S559" si="965">SUM(P560:P567)</f>
        <v>214.41166666666669</v>
      </c>
      <c r="Q559" s="39">
        <f t="shared" si="965"/>
        <v>8384.65</v>
      </c>
      <c r="R559" s="39">
        <f t="shared" si="965"/>
        <v>10452.85</v>
      </c>
      <c r="S559" s="39">
        <f t="shared" si="965"/>
        <v>112319.00619999999</v>
      </c>
    </row>
    <row r="560" spans="1:19">
      <c r="A560" s="338"/>
      <c r="B560" s="44"/>
      <c r="C560" s="167"/>
      <c r="D560" s="341" t="s">
        <v>22849</v>
      </c>
      <c r="E560" s="339"/>
      <c r="F560" s="167"/>
      <c r="G560" s="339"/>
      <c r="H560" s="339"/>
      <c r="I560" s="340"/>
      <c r="J560" s="339"/>
      <c r="K560" s="339"/>
      <c r="L560" s="339"/>
      <c r="M560" s="339"/>
      <c r="N560" s="339"/>
      <c r="P560" s="339"/>
      <c r="Q560" s="339"/>
      <c r="R560" s="24">
        <f t="shared" ref="R560:R567" si="966">TRUNC((Q560*I560+Q560),2)</f>
        <v>0</v>
      </c>
      <c r="S560" s="24">
        <f t="shared" ref="S560:S567" si="967">N560-R560</f>
        <v>0</v>
      </c>
    </row>
    <row r="561" spans="1:19">
      <c r="A561" s="9" t="s">
        <v>23235</v>
      </c>
      <c r="B561" s="10" t="s">
        <v>9016</v>
      </c>
      <c r="C561" s="10">
        <v>610700</v>
      </c>
      <c r="D561" s="43" t="str">
        <f>VLOOKUP(C561,'13. CUSTOS DER - SERVIÇOS'!A:B,2,0)</f>
        <v>CORPO DE BSTC 0,60M COM BERÇO</v>
      </c>
      <c r="E561" s="11">
        <v>26</v>
      </c>
      <c r="F561" s="26" t="str">
        <f>VLOOKUP(C561,'13. CUSTOS DER - SERVIÇOS'!A:C,3,0)</f>
        <v>M</v>
      </c>
      <c r="G561" s="24">
        <f>VLOOKUP(C561,'13. CUSTOS DER - SERVIÇOS'!A:G,7,0)</f>
        <v>412.12</v>
      </c>
      <c r="H561" s="24">
        <f>VLOOKUP(C561,'10. CCU TRANSPORTE'!B:J,9,0)</f>
        <v>16.919999999999998</v>
      </c>
      <c r="I561" s="25">
        <f>'3. BDI'!$C$19</f>
        <v>0.24666704095238123</v>
      </c>
      <c r="J561" s="24">
        <f t="shared" ref="J561:J563" si="968">TRUNC(G561+(G561*I561),2)</f>
        <v>513.77</v>
      </c>
      <c r="K561" s="24">
        <f t="shared" ref="K561:K563" si="969">TRUNC(H561+(H561*I561),2)</f>
        <v>21.09</v>
      </c>
      <c r="L561" s="24">
        <f t="shared" ref="L561:L563" si="970">J561*E561</f>
        <v>13358.02</v>
      </c>
      <c r="M561" s="24">
        <f t="shared" ref="M561:M563" si="971">K561*E561</f>
        <v>548.34</v>
      </c>
      <c r="N561" s="24">
        <f t="shared" ref="N561:N563" si="972">L561+M561</f>
        <v>13906.36</v>
      </c>
      <c r="P561" s="24">
        <f>157.66/6</f>
        <v>26.276666666666667</v>
      </c>
      <c r="Q561" s="24">
        <f t="shared" ref="Q561:Q563" si="973">TRUNC(P561*E561,2)</f>
        <v>683.19</v>
      </c>
      <c r="R561" s="24">
        <f t="shared" si="966"/>
        <v>851.71</v>
      </c>
      <c r="S561" s="24">
        <f t="shared" si="967"/>
        <v>13054.650000000001</v>
      </c>
    </row>
    <row r="562" spans="1:19">
      <c r="A562" s="9" t="s">
        <v>23236</v>
      </c>
      <c r="B562" s="10" t="s">
        <v>9016</v>
      </c>
      <c r="C562" s="10">
        <v>610600</v>
      </c>
      <c r="D562" s="43" t="str">
        <f>VLOOKUP(C562,'13. CUSTOS DER - SERVIÇOS'!A:B,2,0)</f>
        <v>CORPO DE BSTC 0,60M SEM BERÇO</v>
      </c>
      <c r="E562" s="11">
        <v>158</v>
      </c>
      <c r="F562" s="26" t="str">
        <f>VLOOKUP(C562,'13. CUSTOS DER - SERVIÇOS'!A:C,3,0)</f>
        <v>M</v>
      </c>
      <c r="G562" s="24">
        <f>VLOOKUP(C562,'13. CUSTOS DER - SERVIÇOS'!A:G,7,0)</f>
        <v>313.26</v>
      </c>
      <c r="H562" s="24">
        <f>VLOOKUP(C562,'10. CCU TRANSPORTE'!B:J,9,0)</f>
        <v>9.5500000000000007</v>
      </c>
      <c r="I562" s="25">
        <f>'3. BDI'!$C$19</f>
        <v>0.24666704095238123</v>
      </c>
      <c r="J562" s="24">
        <f t="shared" si="968"/>
        <v>390.53</v>
      </c>
      <c r="K562" s="24">
        <f t="shared" si="969"/>
        <v>11.9</v>
      </c>
      <c r="L562" s="24">
        <f t="shared" si="970"/>
        <v>61703.74</v>
      </c>
      <c r="M562" s="24">
        <f t="shared" si="971"/>
        <v>1880.2</v>
      </c>
      <c r="N562" s="24">
        <f t="shared" si="972"/>
        <v>63583.939999999995</v>
      </c>
      <c r="P562" s="24">
        <f>137.28/6</f>
        <v>22.88</v>
      </c>
      <c r="Q562" s="24">
        <f t="shared" si="973"/>
        <v>3615.04</v>
      </c>
      <c r="R562" s="24">
        <f t="shared" si="966"/>
        <v>4506.75</v>
      </c>
      <c r="S562" s="24">
        <f t="shared" si="967"/>
        <v>59077.189999999995</v>
      </c>
    </row>
    <row r="563" spans="1:19">
      <c r="A563" s="9" t="s">
        <v>23237</v>
      </c>
      <c r="B563" s="10" t="s">
        <v>9016</v>
      </c>
      <c r="C563" s="10">
        <v>610900</v>
      </c>
      <c r="D563" s="43" t="str">
        <f>VLOOKUP(C563,'13. CUSTOS DER - SERVIÇOS'!A:B,2,0)</f>
        <v>CORPO DE BSTC 0,80M COM BERÇO</v>
      </c>
      <c r="E563" s="11">
        <v>43</v>
      </c>
      <c r="F563" s="26" t="str">
        <f>VLOOKUP(C563,'13. CUSTOS DER - SERVIÇOS'!A:C,3,0)</f>
        <v>M</v>
      </c>
      <c r="G563" s="24">
        <f>VLOOKUP(C563,'13. CUSTOS DER - SERVIÇOS'!A:G,7,0)</f>
        <v>677.21</v>
      </c>
      <c r="H563" s="24">
        <f>VLOOKUP(C563,'10. CCU TRANSPORTE'!B:J,9,0)</f>
        <v>35.879999999999995</v>
      </c>
      <c r="I563" s="25">
        <f>'3. BDI'!$C$19</f>
        <v>0.24666704095238123</v>
      </c>
      <c r="J563" s="24">
        <f t="shared" si="968"/>
        <v>844.25</v>
      </c>
      <c r="K563" s="24">
        <f t="shared" si="969"/>
        <v>44.73</v>
      </c>
      <c r="L563" s="24">
        <f t="shared" si="970"/>
        <v>36302.75</v>
      </c>
      <c r="M563" s="24">
        <f t="shared" si="971"/>
        <v>1923.3899999999999</v>
      </c>
      <c r="N563" s="24">
        <f t="shared" si="972"/>
        <v>38226.14</v>
      </c>
      <c r="P563" s="24">
        <f>157.66/4</f>
        <v>39.414999999999999</v>
      </c>
      <c r="Q563" s="24">
        <f t="shared" si="973"/>
        <v>1694.84</v>
      </c>
      <c r="R563" s="24">
        <f t="shared" si="966"/>
        <v>2112.9</v>
      </c>
      <c r="S563" s="24">
        <f t="shared" si="967"/>
        <v>36113.24</v>
      </c>
    </row>
    <row r="564" spans="1:19" ht="47.25">
      <c r="A564" s="338"/>
      <c r="B564" s="44"/>
      <c r="C564" s="167"/>
      <c r="D564" s="341" t="s">
        <v>22858</v>
      </c>
      <c r="E564" s="339"/>
      <c r="F564" s="167"/>
      <c r="G564" s="339"/>
      <c r="H564" s="339"/>
      <c r="I564" s="340"/>
      <c r="J564" s="339"/>
      <c r="K564" s="339"/>
      <c r="L564" s="339"/>
      <c r="M564" s="339"/>
      <c r="N564" s="339"/>
      <c r="P564" s="339"/>
      <c r="Q564" s="339"/>
      <c r="R564" s="24">
        <f t="shared" si="966"/>
        <v>0</v>
      </c>
      <c r="S564" s="24">
        <f t="shared" si="967"/>
        <v>0</v>
      </c>
    </row>
    <row r="565" spans="1:19">
      <c r="A565" s="9" t="s">
        <v>23238</v>
      </c>
      <c r="B565" s="10" t="s">
        <v>9016</v>
      </c>
      <c r="C565" s="10">
        <v>603900</v>
      </c>
      <c r="D565" s="43" t="str">
        <f>VLOOKUP(C565,'13. CUSTOS DER - SERVIÇOS'!A:B,2,0)</f>
        <v>LASTRO DE BRITA</v>
      </c>
      <c r="E565" s="11">
        <v>28.44</v>
      </c>
      <c r="F565" s="26" t="str">
        <f>VLOOKUP(C565,'13. CUSTOS DER - SERVIÇOS'!A:C,3,0)</f>
        <v>M3</v>
      </c>
      <c r="G565" s="24">
        <f>VLOOKUP(C565,'13. CUSTOS DER - SERVIÇOS'!A:G,7,0)</f>
        <v>131.84</v>
      </c>
      <c r="H565" s="24">
        <f>VLOOKUP(C565,'10. CCU TRANSPORTE'!B:J,9,0)</f>
        <v>17.059999999999999</v>
      </c>
      <c r="I565" s="25">
        <f>'3. BDI'!$C$19</f>
        <v>0.24666704095238123</v>
      </c>
      <c r="J565" s="24">
        <f t="shared" ref="J565" si="974">TRUNC(G565+(G565*I565),2)</f>
        <v>164.36</v>
      </c>
      <c r="K565" s="24">
        <f t="shared" ref="K565" si="975">TRUNC(H565+(H565*I565),2)</f>
        <v>21.26</v>
      </c>
      <c r="L565" s="24">
        <f t="shared" ref="L565" si="976">J565*E565</f>
        <v>4674.3984000000009</v>
      </c>
      <c r="M565" s="24">
        <f t="shared" ref="M565" si="977">K565*E565</f>
        <v>604.63440000000003</v>
      </c>
      <c r="N565" s="24">
        <f t="shared" ref="N565" si="978">L565+M565</f>
        <v>5279.0328000000009</v>
      </c>
      <c r="P565" s="24">
        <f>62.92/1</f>
        <v>62.92</v>
      </c>
      <c r="Q565" s="24">
        <f>TRUNC(P565*E565,2)</f>
        <v>1789.44</v>
      </c>
      <c r="R565" s="24">
        <f t="shared" si="966"/>
        <v>2230.83</v>
      </c>
      <c r="S565" s="24">
        <f t="shared" si="967"/>
        <v>3048.2028000000009</v>
      </c>
    </row>
    <row r="566" spans="1:19">
      <c r="A566" s="338"/>
      <c r="B566" s="44"/>
      <c r="C566" s="167"/>
      <c r="D566" s="341" t="s">
        <v>23690</v>
      </c>
      <c r="E566" s="339"/>
      <c r="F566" s="167"/>
      <c r="G566" s="339"/>
      <c r="H566" s="339"/>
      <c r="I566" s="340"/>
      <c r="J566" s="339"/>
      <c r="K566" s="339"/>
      <c r="L566" s="339"/>
      <c r="M566" s="339"/>
      <c r="N566" s="339"/>
      <c r="P566" s="339"/>
      <c r="Q566" s="339"/>
      <c r="R566" s="24">
        <f t="shared" si="966"/>
        <v>0</v>
      </c>
      <c r="S566" s="24">
        <f t="shared" si="967"/>
        <v>0</v>
      </c>
    </row>
    <row r="567" spans="1:19">
      <c r="A567" s="9" t="s">
        <v>23692</v>
      </c>
      <c r="B567" s="10" t="s">
        <v>9016</v>
      </c>
      <c r="C567" s="10">
        <v>603900</v>
      </c>
      <c r="D567" s="43" t="str">
        <f>VLOOKUP(C567,'13. CUSTOS DER - SERVIÇOS'!A:B,2,0)</f>
        <v>LASTRO DE BRITA</v>
      </c>
      <c r="E567" s="11">
        <v>9.57</v>
      </c>
      <c r="F567" s="26" t="str">
        <f>VLOOKUP(C567,'13. CUSTOS DER - SERVIÇOS'!A:C,3,0)</f>
        <v>M3</v>
      </c>
      <c r="G567" s="24">
        <f>VLOOKUP(C567,'13. CUSTOS DER - SERVIÇOS'!A:G,7,0)</f>
        <v>131.84</v>
      </c>
      <c r="H567" s="24">
        <f>VLOOKUP(C567,'10. CCU TRANSPORTE'!B:J,9,0)</f>
        <v>17.059999999999999</v>
      </c>
      <c r="I567" s="25">
        <f>'3. BDI'!$C$19</f>
        <v>0.24666704095238123</v>
      </c>
      <c r="J567" s="24">
        <f>TRUNC(G567+(G567*I567),2)</f>
        <v>164.36</v>
      </c>
      <c r="K567" s="24">
        <f>TRUNC(H567+(H567*I567),2)</f>
        <v>21.26</v>
      </c>
      <c r="L567" s="24">
        <f>J567*E567</f>
        <v>1572.9252000000001</v>
      </c>
      <c r="M567" s="24">
        <f>K567*E567</f>
        <v>203.45820000000003</v>
      </c>
      <c r="N567" s="24">
        <f>L567+M567</f>
        <v>1776.3834000000002</v>
      </c>
      <c r="P567" s="24">
        <f>62.92/1</f>
        <v>62.92</v>
      </c>
      <c r="Q567" s="24">
        <f>TRUNC(P567*E567,2)</f>
        <v>602.14</v>
      </c>
      <c r="R567" s="24">
        <f t="shared" si="966"/>
        <v>750.66</v>
      </c>
      <c r="S567" s="24">
        <f t="shared" si="967"/>
        <v>1025.7234000000003</v>
      </c>
    </row>
    <row r="568" spans="1:19">
      <c r="A568" s="28" t="s">
        <v>22895</v>
      </c>
      <c r="B568" s="48"/>
      <c r="C568" s="35"/>
      <c r="D568" s="302" t="s">
        <v>22843</v>
      </c>
      <c r="E568" s="127"/>
      <c r="F568" s="36" t="s">
        <v>195</v>
      </c>
      <c r="G568" s="37"/>
      <c r="H568" s="37"/>
      <c r="I568" s="38"/>
      <c r="J568" s="39"/>
      <c r="K568" s="39"/>
      <c r="L568" s="39">
        <f t="shared" ref="L568:M568" si="979">SUM(L569:L586)</f>
        <v>784548.28960000002</v>
      </c>
      <c r="M568" s="39">
        <f t="shared" si="979"/>
        <v>35509.753600000004</v>
      </c>
      <c r="N568" s="39">
        <f>SUM(N569:N586)</f>
        <v>820058.04319999996</v>
      </c>
      <c r="P568" s="39">
        <f t="shared" ref="P568:S568" si="980">SUM(P569:P586)</f>
        <v>857.53030825886333</v>
      </c>
      <c r="Q568" s="39">
        <f t="shared" si="980"/>
        <v>69126.48</v>
      </c>
      <c r="R568" s="39">
        <f t="shared" si="980"/>
        <v>86177.65</v>
      </c>
      <c r="S568" s="39">
        <f t="shared" si="980"/>
        <v>733880.39320000005</v>
      </c>
    </row>
    <row r="569" spans="1:19">
      <c r="A569" s="338"/>
      <c r="B569" s="44"/>
      <c r="C569" s="167"/>
      <c r="D569" s="341" t="s">
        <v>22849</v>
      </c>
      <c r="E569" s="339"/>
      <c r="F569" s="167"/>
      <c r="G569" s="339"/>
      <c r="H569" s="339"/>
      <c r="I569" s="340"/>
      <c r="J569" s="339"/>
      <c r="K569" s="339"/>
      <c r="L569" s="339"/>
      <c r="M569" s="339"/>
      <c r="N569" s="339"/>
      <c r="P569" s="339"/>
      <c r="Q569" s="339"/>
      <c r="R569" s="24">
        <f t="shared" ref="R569:R586" si="981">TRUNC((Q569*I569+Q569),2)</f>
        <v>0</v>
      </c>
      <c r="S569" s="24">
        <f t="shared" ref="S569:S586" si="982">N569-R569</f>
        <v>0</v>
      </c>
    </row>
    <row r="570" spans="1:19">
      <c r="A570" s="9" t="s">
        <v>23239</v>
      </c>
      <c r="B570" s="10" t="s">
        <v>9016</v>
      </c>
      <c r="C570" s="10">
        <v>610700</v>
      </c>
      <c r="D570" s="43" t="str">
        <f>VLOOKUP(C570,'13. CUSTOS DER - SERVIÇOS'!A:B,2,0)</f>
        <v>CORPO DE BSTC 0,60M COM BERÇO</v>
      </c>
      <c r="E570" s="11">
        <v>26</v>
      </c>
      <c r="F570" s="26" t="str">
        <f>VLOOKUP(C570,'13. CUSTOS DER - SERVIÇOS'!A:C,3,0)</f>
        <v>M</v>
      </c>
      <c r="G570" s="24">
        <f>VLOOKUP(C570,'13. CUSTOS DER - SERVIÇOS'!A:G,7,0)</f>
        <v>412.12</v>
      </c>
      <c r="H570" s="24">
        <f>VLOOKUP(C570,'10. CCU TRANSPORTE'!B:J,9,0)</f>
        <v>16.919999999999998</v>
      </c>
      <c r="I570" s="25">
        <f>'3. BDI'!$C$19</f>
        <v>0.24666704095238123</v>
      </c>
      <c r="J570" s="24">
        <f t="shared" ref="J570:J573" si="983">TRUNC(G570+(G570*I570),2)</f>
        <v>513.77</v>
      </c>
      <c r="K570" s="24">
        <f t="shared" ref="K570:K573" si="984">TRUNC(H570+(H570*I570),2)</f>
        <v>21.09</v>
      </c>
      <c r="L570" s="24">
        <f t="shared" ref="L570:L573" si="985">J570*E570</f>
        <v>13358.02</v>
      </c>
      <c r="M570" s="24">
        <f t="shared" ref="M570:M573" si="986">K570*E570</f>
        <v>548.34</v>
      </c>
      <c r="N570" s="24">
        <f t="shared" ref="N570:N573" si="987">L570+M570</f>
        <v>13906.36</v>
      </c>
      <c r="P570" s="24">
        <f>157.66/6</f>
        <v>26.276666666666667</v>
      </c>
      <c r="Q570" s="24">
        <f t="shared" ref="Q570:Q573" si="988">TRUNC(P570*E570,2)</f>
        <v>683.19</v>
      </c>
      <c r="R570" s="24">
        <f t="shared" si="981"/>
        <v>851.71</v>
      </c>
      <c r="S570" s="24">
        <f t="shared" si="982"/>
        <v>13054.650000000001</v>
      </c>
    </row>
    <row r="571" spans="1:19">
      <c r="A571" s="9" t="s">
        <v>23240</v>
      </c>
      <c r="B571" s="10" t="s">
        <v>9016</v>
      </c>
      <c r="C571" s="10">
        <v>610600</v>
      </c>
      <c r="D571" s="43" t="str">
        <f>VLOOKUP(C571,'13. CUSTOS DER - SERVIÇOS'!A:B,2,0)</f>
        <v>CORPO DE BSTC 0,60M SEM BERÇO</v>
      </c>
      <c r="E571" s="11">
        <v>104</v>
      </c>
      <c r="F571" s="26" t="str">
        <f>VLOOKUP(C571,'13. CUSTOS DER - SERVIÇOS'!A:C,3,0)</f>
        <v>M</v>
      </c>
      <c r="G571" s="24">
        <f>VLOOKUP(C571,'13. CUSTOS DER - SERVIÇOS'!A:G,7,0)</f>
        <v>313.26</v>
      </c>
      <c r="H571" s="24">
        <f>VLOOKUP(C571,'10. CCU TRANSPORTE'!B:J,9,0)</f>
        <v>9.5500000000000007</v>
      </c>
      <c r="I571" s="25">
        <f>'3. BDI'!$C$19</f>
        <v>0.24666704095238123</v>
      </c>
      <c r="J571" s="24">
        <f t="shared" si="983"/>
        <v>390.53</v>
      </c>
      <c r="K571" s="24">
        <f t="shared" si="984"/>
        <v>11.9</v>
      </c>
      <c r="L571" s="24">
        <f t="shared" si="985"/>
        <v>40615.119999999995</v>
      </c>
      <c r="M571" s="24">
        <f t="shared" si="986"/>
        <v>1237.6000000000001</v>
      </c>
      <c r="N571" s="24">
        <f t="shared" si="987"/>
        <v>41852.719999999994</v>
      </c>
      <c r="P571" s="24">
        <f>137.28/6</f>
        <v>22.88</v>
      </c>
      <c r="Q571" s="24">
        <f t="shared" si="988"/>
        <v>2379.52</v>
      </c>
      <c r="R571" s="24">
        <f t="shared" si="981"/>
        <v>2966.46</v>
      </c>
      <c r="S571" s="24">
        <f t="shared" si="982"/>
        <v>38886.259999999995</v>
      </c>
    </row>
    <row r="572" spans="1:19">
      <c r="A572" s="9" t="s">
        <v>23241</v>
      </c>
      <c r="B572" s="10" t="s">
        <v>9016</v>
      </c>
      <c r="C572" s="10">
        <v>610900</v>
      </c>
      <c r="D572" s="43" t="str">
        <f>VLOOKUP(C572,'13. CUSTOS DER - SERVIÇOS'!A:B,2,0)</f>
        <v>CORPO DE BSTC 0,80M COM BERÇO</v>
      </c>
      <c r="E572" s="11">
        <v>206</v>
      </c>
      <c r="F572" s="26" t="str">
        <f>VLOOKUP(C572,'13. CUSTOS DER - SERVIÇOS'!A:C,3,0)</f>
        <v>M</v>
      </c>
      <c r="G572" s="24">
        <f>VLOOKUP(C572,'13. CUSTOS DER - SERVIÇOS'!A:G,7,0)</f>
        <v>677.21</v>
      </c>
      <c r="H572" s="24">
        <f>VLOOKUP(C572,'10. CCU TRANSPORTE'!B:J,9,0)</f>
        <v>35.879999999999995</v>
      </c>
      <c r="I572" s="25">
        <f>'3. BDI'!$C$19</f>
        <v>0.24666704095238123</v>
      </c>
      <c r="J572" s="24">
        <f t="shared" si="983"/>
        <v>844.25</v>
      </c>
      <c r="K572" s="24">
        <f t="shared" si="984"/>
        <v>44.73</v>
      </c>
      <c r="L572" s="24">
        <f t="shared" si="985"/>
        <v>173915.5</v>
      </c>
      <c r="M572" s="24">
        <f t="shared" si="986"/>
        <v>9214.3799999999992</v>
      </c>
      <c r="N572" s="24">
        <f t="shared" si="987"/>
        <v>183129.88</v>
      </c>
      <c r="P572" s="24">
        <f>157.66/4</f>
        <v>39.414999999999999</v>
      </c>
      <c r="Q572" s="24">
        <f t="shared" si="988"/>
        <v>8119.49</v>
      </c>
      <c r="R572" s="24">
        <f t="shared" si="981"/>
        <v>10122.299999999999</v>
      </c>
      <c r="S572" s="24">
        <f t="shared" si="982"/>
        <v>173007.58000000002</v>
      </c>
    </row>
    <row r="573" spans="1:19">
      <c r="A573" s="9" t="s">
        <v>23242</v>
      </c>
      <c r="B573" s="10" t="s">
        <v>9016</v>
      </c>
      <c r="C573" s="10">
        <v>610800</v>
      </c>
      <c r="D573" s="43" t="str">
        <f>VLOOKUP(C573,'13. CUSTOS DER - SERVIÇOS'!A:B,2,0)</f>
        <v>CORPO DE BSTC 0,80M SEM BERÇO</v>
      </c>
      <c r="E573" s="11">
        <v>438</v>
      </c>
      <c r="F573" s="26" t="str">
        <f>VLOOKUP(C573,'13. CUSTOS DER - SERVIÇOS'!A:C,3,0)</f>
        <v>M</v>
      </c>
      <c r="G573" s="24">
        <f>VLOOKUP(C573,'13. CUSTOS DER - SERVIÇOS'!A:G,7,0)</f>
        <v>514.41999999999996</v>
      </c>
      <c r="H573" s="24">
        <f>VLOOKUP(C573,'10. CCU TRANSPORTE'!B:J,9,0)</f>
        <v>22.79</v>
      </c>
      <c r="I573" s="25">
        <f>'3. BDI'!$C$19</f>
        <v>0.24666704095238123</v>
      </c>
      <c r="J573" s="24">
        <f t="shared" si="983"/>
        <v>641.30999999999995</v>
      </c>
      <c r="K573" s="24">
        <f t="shared" si="984"/>
        <v>28.41</v>
      </c>
      <c r="L573" s="24">
        <f t="shared" si="985"/>
        <v>280893.77999999997</v>
      </c>
      <c r="M573" s="24">
        <f t="shared" si="986"/>
        <v>12443.58</v>
      </c>
      <c r="N573" s="24">
        <f t="shared" si="987"/>
        <v>293337.36</v>
      </c>
      <c r="P573" s="24">
        <f>137.28/4</f>
        <v>34.32</v>
      </c>
      <c r="Q573" s="24">
        <f t="shared" si="988"/>
        <v>15032.16</v>
      </c>
      <c r="R573" s="24">
        <f t="shared" si="981"/>
        <v>18740.09</v>
      </c>
      <c r="S573" s="24">
        <f t="shared" si="982"/>
        <v>274597.26999999996</v>
      </c>
    </row>
    <row r="574" spans="1:19">
      <c r="A574" s="338"/>
      <c r="B574" s="44"/>
      <c r="C574" s="167"/>
      <c r="D574" s="341" t="s">
        <v>22851</v>
      </c>
      <c r="E574" s="339"/>
      <c r="F574" s="167"/>
      <c r="G574" s="339"/>
      <c r="H574" s="339"/>
      <c r="I574" s="340"/>
      <c r="J574" s="339"/>
      <c r="K574" s="339"/>
      <c r="L574" s="339"/>
      <c r="M574" s="339"/>
      <c r="N574" s="339"/>
      <c r="P574" s="339"/>
      <c r="Q574" s="339"/>
      <c r="R574" s="24">
        <f t="shared" si="981"/>
        <v>0</v>
      </c>
      <c r="S574" s="24">
        <f t="shared" si="982"/>
        <v>0</v>
      </c>
    </row>
    <row r="575" spans="1:19" ht="31.5">
      <c r="A575" s="9" t="s">
        <v>23243</v>
      </c>
      <c r="B575" s="10" t="s">
        <v>22708</v>
      </c>
      <c r="C575" s="10">
        <v>6817833</v>
      </c>
      <c r="D575" s="43" t="str">
        <f>UPPER(VLOOKUP(C575,'18. CUSTOS DNIT - SERVIÇOS'!A:B,2,0))</f>
        <v>CORPO DE BSCC - SEÇÃO FECHADA DE 1,5 X 1,5 M - PRÉ-MOLDADO - ALTURA DO ATERRO DE 2,50 A 5,00 M - AREIA E BRITA COMERCIAIS</v>
      </c>
      <c r="E575" s="11">
        <v>61</v>
      </c>
      <c r="F575" s="26" t="str">
        <f>UPPER(VLOOKUP(C575,'18. CUSTOS DNIT - SERVIÇOS'!A:C,3,0))</f>
        <v>M</v>
      </c>
      <c r="G575" s="24">
        <f>VLOOKUP(C575,'18. CUSTOS DNIT - SERVIÇOS'!A:D,4,0)</f>
        <v>1657.96</v>
      </c>
      <c r="H575" s="24"/>
      <c r="I575" s="25">
        <f>'3. BDI'!$C$19</f>
        <v>0.24666704095238123</v>
      </c>
      <c r="J575" s="24">
        <f>TRUNC(G575+(G575*I575),2)</f>
        <v>2066.92</v>
      </c>
      <c r="K575" s="24">
        <f>TRUNC(H575+(H575*I575),2)</f>
        <v>0</v>
      </c>
      <c r="L575" s="24">
        <f>J575*E575</f>
        <v>126082.12000000001</v>
      </c>
      <c r="M575" s="24">
        <f>K575*E575</f>
        <v>0</v>
      </c>
      <c r="N575" s="24">
        <f>L575+M575</f>
        <v>126082.12000000001</v>
      </c>
      <c r="P575" s="24">
        <f>514.5339</f>
        <v>514.53390000000002</v>
      </c>
      <c r="Q575" s="24">
        <f t="shared" ref="Q575:Q576" si="989">TRUNC((P575*E575),2)</f>
        <v>31386.560000000001</v>
      </c>
      <c r="R575" s="24">
        <f t="shared" si="981"/>
        <v>39128.58</v>
      </c>
      <c r="S575" s="24">
        <f t="shared" si="982"/>
        <v>86953.540000000008</v>
      </c>
    </row>
    <row r="576" spans="1:19" ht="31.5">
      <c r="A576" s="9" t="s">
        <v>23244</v>
      </c>
      <c r="B576" s="10" t="s">
        <v>22708</v>
      </c>
      <c r="C576" s="10">
        <v>6817845</v>
      </c>
      <c r="D576" s="43" t="str">
        <f>UPPER(VLOOKUP(C576,'18. CUSTOS DNIT - SERVIÇOS'!A:B,2,0))</f>
        <v>CORPO DE BSCC - SEÇÃO FECHADA DE 2,0 X 2,0 M - PRÉ-MOLDADO - ALTURA DO ATERRO DE 1,00 A 2,50 M - AREIA E BRITA COMERCIAIS</v>
      </c>
      <c r="E576" s="11">
        <v>33</v>
      </c>
      <c r="F576" s="26" t="str">
        <f>UPPER(VLOOKUP(C576,'18. CUSTOS DNIT - SERVIÇOS'!A:C,3,0))</f>
        <v>M</v>
      </c>
      <c r="G576" s="24">
        <f>VLOOKUP(C576,'18. CUSTOS DNIT - SERVIÇOS'!A:D,4,0)</f>
        <v>2106.0700000000002</v>
      </c>
      <c r="H576" s="24"/>
      <c r="I576" s="25">
        <f>'3. BDI'!$C$19</f>
        <v>0.24666704095238123</v>
      </c>
      <c r="J576" s="24">
        <f>TRUNC(G576+(G576*I576),2)</f>
        <v>2625.56</v>
      </c>
      <c r="K576" s="24">
        <f>TRUNC(H576+(H576*I576),2)</f>
        <v>0</v>
      </c>
      <c r="L576" s="24">
        <f>J576*E576</f>
        <v>86643.48</v>
      </c>
      <c r="M576" s="24">
        <f>K576*E576</f>
        <v>0</v>
      </c>
      <c r="N576" s="24">
        <f>L576+M576</f>
        <v>86643.48</v>
      </c>
      <c r="P576" s="24">
        <f>76.4289/2.84571</f>
        <v>26.857585628894018</v>
      </c>
      <c r="Q576" s="24">
        <f t="shared" si="989"/>
        <v>886.3</v>
      </c>
      <c r="R576" s="24">
        <f t="shared" si="981"/>
        <v>1104.92</v>
      </c>
      <c r="S576" s="24">
        <f t="shared" si="982"/>
        <v>85538.559999999998</v>
      </c>
    </row>
    <row r="577" spans="1:19" ht="47.25">
      <c r="A577" s="338"/>
      <c r="B577" s="44"/>
      <c r="C577" s="167"/>
      <c r="D577" s="341" t="s">
        <v>22859</v>
      </c>
      <c r="E577" s="339"/>
      <c r="F577" s="167"/>
      <c r="G577" s="339"/>
      <c r="H577" s="339"/>
      <c r="I577" s="340"/>
      <c r="J577" s="339"/>
      <c r="K577" s="339"/>
      <c r="L577" s="339"/>
      <c r="M577" s="339"/>
      <c r="N577" s="339"/>
      <c r="P577" s="339"/>
      <c r="Q577" s="339"/>
      <c r="R577" s="24">
        <f t="shared" si="981"/>
        <v>0</v>
      </c>
      <c r="S577" s="24">
        <f t="shared" si="982"/>
        <v>0</v>
      </c>
    </row>
    <row r="578" spans="1:19">
      <c r="A578" s="9" t="s">
        <v>23245</v>
      </c>
      <c r="B578" s="10" t="s">
        <v>9016</v>
      </c>
      <c r="C578" s="10">
        <v>603900</v>
      </c>
      <c r="D578" s="43" t="str">
        <f>VLOOKUP(C578,'13. CUSTOS DER - SERVIÇOS'!A:B,2,0)</f>
        <v>LASTRO DE BRITA</v>
      </c>
      <c r="E578" s="11">
        <v>18.72</v>
      </c>
      <c r="F578" s="26" t="str">
        <f>VLOOKUP(C578,'13. CUSTOS DER - SERVIÇOS'!A:C,3,0)</f>
        <v>M3</v>
      </c>
      <c r="G578" s="24">
        <f>VLOOKUP(C578,'13. CUSTOS DER - SERVIÇOS'!A:G,7,0)</f>
        <v>131.84</v>
      </c>
      <c r="H578" s="24">
        <f>VLOOKUP(C578,'10. CCU TRANSPORTE'!B:J,9,0)</f>
        <v>17.059999999999999</v>
      </c>
      <c r="I578" s="25">
        <f>'3. BDI'!$C$19</f>
        <v>0.24666704095238123</v>
      </c>
      <c r="J578" s="24">
        <f t="shared" ref="J578" si="990">TRUNC(G578+(G578*I578),2)</f>
        <v>164.36</v>
      </c>
      <c r="K578" s="24">
        <f t="shared" ref="K578" si="991">TRUNC(H578+(H578*I578),2)</f>
        <v>21.26</v>
      </c>
      <c r="L578" s="24">
        <f t="shared" ref="L578" si="992">J578*E578</f>
        <v>3076.8191999999999</v>
      </c>
      <c r="M578" s="24">
        <f t="shared" ref="M578" si="993">K578*E578</f>
        <v>397.98720000000003</v>
      </c>
      <c r="N578" s="24">
        <f t="shared" ref="N578" si="994">L578+M578</f>
        <v>3474.8063999999999</v>
      </c>
      <c r="P578" s="24">
        <f>62.92/1</f>
        <v>62.92</v>
      </c>
      <c r="Q578" s="24">
        <f>TRUNC(P578*E578,2)</f>
        <v>1177.8599999999999</v>
      </c>
      <c r="R578" s="24">
        <f t="shared" si="981"/>
        <v>1468.39</v>
      </c>
      <c r="S578" s="24">
        <f t="shared" si="982"/>
        <v>2006.4163999999998</v>
      </c>
    </row>
    <row r="579" spans="1:19" ht="47.25">
      <c r="A579" s="338"/>
      <c r="B579" s="44"/>
      <c r="C579" s="167"/>
      <c r="D579" s="341" t="s">
        <v>22860</v>
      </c>
      <c r="E579" s="339"/>
      <c r="F579" s="167"/>
      <c r="G579" s="339"/>
      <c r="H579" s="339"/>
      <c r="I579" s="340"/>
      <c r="J579" s="339"/>
      <c r="K579" s="339"/>
      <c r="L579" s="339"/>
      <c r="M579" s="339"/>
      <c r="N579" s="339"/>
      <c r="P579" s="339"/>
      <c r="Q579" s="339"/>
      <c r="R579" s="24">
        <f t="shared" si="981"/>
        <v>0</v>
      </c>
      <c r="S579" s="24">
        <f t="shared" si="982"/>
        <v>0</v>
      </c>
    </row>
    <row r="580" spans="1:19">
      <c r="A580" s="9" t="s">
        <v>23246</v>
      </c>
      <c r="B580" s="10" t="s">
        <v>9016</v>
      </c>
      <c r="C580" s="10">
        <v>603900</v>
      </c>
      <c r="D580" s="43" t="str">
        <f>VLOOKUP(C580,'13. CUSTOS DER - SERVIÇOS'!A:B,2,0)</f>
        <v>LASTRO DE BRITA</v>
      </c>
      <c r="E580" s="11">
        <v>105.12</v>
      </c>
      <c r="F580" s="26" t="str">
        <f>VLOOKUP(C580,'13. CUSTOS DER - SERVIÇOS'!A:C,3,0)</f>
        <v>M3</v>
      </c>
      <c r="G580" s="24">
        <f>VLOOKUP(C580,'13. CUSTOS DER - SERVIÇOS'!A:G,7,0)</f>
        <v>131.84</v>
      </c>
      <c r="H580" s="24">
        <f>VLOOKUP(C580,'10. CCU TRANSPORTE'!B:J,9,0)</f>
        <v>17.059999999999999</v>
      </c>
      <c r="I580" s="25">
        <f>'3. BDI'!$C$19</f>
        <v>0.24666704095238123</v>
      </c>
      <c r="J580" s="24">
        <f t="shared" ref="J580" si="995">TRUNC(G580+(G580*I580),2)</f>
        <v>164.36</v>
      </c>
      <c r="K580" s="24">
        <f t="shared" ref="K580" si="996">TRUNC(H580+(H580*I580),2)</f>
        <v>21.26</v>
      </c>
      <c r="L580" s="24">
        <f t="shared" ref="L580" si="997">J580*E580</f>
        <v>17277.523200000003</v>
      </c>
      <c r="M580" s="24">
        <f t="shared" ref="M580" si="998">K580*E580</f>
        <v>2234.8512000000001</v>
      </c>
      <c r="N580" s="24">
        <f t="shared" ref="N580" si="999">L580+M580</f>
        <v>19512.374400000004</v>
      </c>
      <c r="P580" s="24">
        <f>62.92/1</f>
        <v>62.92</v>
      </c>
      <c r="Q580" s="24">
        <f>TRUNC(P580*E580,2)</f>
        <v>6614.15</v>
      </c>
      <c r="R580" s="24">
        <f t="shared" si="981"/>
        <v>8245.64</v>
      </c>
      <c r="S580" s="24">
        <f t="shared" si="982"/>
        <v>11266.734400000005</v>
      </c>
    </row>
    <row r="581" spans="1:19" ht="31.5">
      <c r="A581" s="338"/>
      <c r="B581" s="44"/>
      <c r="C581" s="167"/>
      <c r="D581" s="341" t="s">
        <v>22861</v>
      </c>
      <c r="E581" s="339"/>
      <c r="F581" s="167"/>
      <c r="G581" s="339"/>
      <c r="H581" s="339"/>
      <c r="I581" s="340"/>
      <c r="J581" s="339"/>
      <c r="K581" s="339"/>
      <c r="L581" s="339"/>
      <c r="M581" s="339"/>
      <c r="N581" s="339"/>
      <c r="P581" s="339"/>
      <c r="Q581" s="339"/>
      <c r="R581" s="24">
        <f t="shared" si="981"/>
        <v>0</v>
      </c>
      <c r="S581" s="24">
        <f t="shared" si="982"/>
        <v>0</v>
      </c>
    </row>
    <row r="582" spans="1:19">
      <c r="A582" s="9" t="s">
        <v>23247</v>
      </c>
      <c r="B582" s="10" t="s">
        <v>9016</v>
      </c>
      <c r="C582" s="10">
        <v>516100</v>
      </c>
      <c r="D582" s="43" t="str">
        <f>VLOOKUP(C582,'13. CUSTOS DER - SERVIÇOS'!A:B,2,0)</f>
        <v>PREENCHIMENTO REBAIXO C/ RACHÃO</v>
      </c>
      <c r="E582" s="11">
        <v>183</v>
      </c>
      <c r="F582" s="26" t="str">
        <f>VLOOKUP(C582,'13. CUSTOS DER - SERVIÇOS'!A:C,3,0)</f>
        <v>M3</v>
      </c>
      <c r="G582" s="24">
        <f>VLOOKUP(C582,'13. CUSTOS DER - SERVIÇOS'!A:G,7,0)</f>
        <v>94.46</v>
      </c>
      <c r="H582" s="24">
        <f>VLOOKUP(C582,'10. CCU TRANSPORTE'!B:J,9,0)</f>
        <v>22.18</v>
      </c>
      <c r="I582" s="25">
        <f>'3. BDI'!$C$19</f>
        <v>0.24666704095238123</v>
      </c>
      <c r="J582" s="24">
        <f>TRUNC(G582+(G582*I582),2)</f>
        <v>117.76</v>
      </c>
      <c r="K582" s="24">
        <f>TRUNC(H582+(H582*I582),2)</f>
        <v>27.65</v>
      </c>
      <c r="L582" s="24">
        <f>J582*E582</f>
        <v>21550.080000000002</v>
      </c>
      <c r="M582" s="24">
        <f>K582*E582</f>
        <v>5059.95</v>
      </c>
      <c r="N582" s="24">
        <f>L582+M582</f>
        <v>26610.030000000002</v>
      </c>
      <c r="P582" s="24">
        <f>244.55/109</f>
        <v>2.2435779816513763</v>
      </c>
      <c r="Q582" s="24">
        <f>TRUNC(P582*E582,2)</f>
        <v>410.57</v>
      </c>
      <c r="R582" s="24">
        <f t="shared" si="981"/>
        <v>511.84</v>
      </c>
      <c r="S582" s="24">
        <f t="shared" si="982"/>
        <v>26098.190000000002</v>
      </c>
    </row>
    <row r="583" spans="1:19" ht="31.5">
      <c r="A583" s="338"/>
      <c r="B583" s="44"/>
      <c r="C583" s="167"/>
      <c r="D583" s="341" t="s">
        <v>22862</v>
      </c>
      <c r="E583" s="339"/>
      <c r="F583" s="167"/>
      <c r="G583" s="339"/>
      <c r="H583" s="339"/>
      <c r="I583" s="340"/>
      <c r="J583" s="339"/>
      <c r="K583" s="339"/>
      <c r="L583" s="339"/>
      <c r="M583" s="339"/>
      <c r="N583" s="339"/>
      <c r="P583" s="339"/>
      <c r="Q583" s="339"/>
      <c r="R583" s="24">
        <f t="shared" si="981"/>
        <v>0</v>
      </c>
      <c r="S583" s="24">
        <f t="shared" si="982"/>
        <v>0</v>
      </c>
    </row>
    <row r="584" spans="1:19">
      <c r="A584" s="9" t="s">
        <v>23248</v>
      </c>
      <c r="B584" s="10" t="s">
        <v>9016</v>
      </c>
      <c r="C584" s="10">
        <v>516100</v>
      </c>
      <c r="D584" s="43" t="str">
        <f>VLOOKUP(C584,'13. CUSTOS DER - SERVIÇOS'!A:B,2,0)</f>
        <v>PREENCHIMENTO REBAIXO C/ RACHÃO</v>
      </c>
      <c r="E584" s="11">
        <v>132</v>
      </c>
      <c r="F584" s="26" t="str">
        <f>VLOOKUP(C584,'13. CUSTOS DER - SERVIÇOS'!A:C,3,0)</f>
        <v>M3</v>
      </c>
      <c r="G584" s="24">
        <f>VLOOKUP(C584,'13. CUSTOS DER - SERVIÇOS'!A:G,7,0)</f>
        <v>94.46</v>
      </c>
      <c r="H584" s="24">
        <f>VLOOKUP(C584,'10. CCU TRANSPORTE'!B:J,9,0)</f>
        <v>22.18</v>
      </c>
      <c r="I584" s="25">
        <f>'3. BDI'!$C$19</f>
        <v>0.24666704095238123</v>
      </c>
      <c r="J584" s="24">
        <f>TRUNC(G584+(G584*I584),2)</f>
        <v>117.76</v>
      </c>
      <c r="K584" s="24">
        <f>TRUNC(H584+(H584*I584),2)</f>
        <v>27.65</v>
      </c>
      <c r="L584" s="24">
        <f>J584*E584</f>
        <v>15544.320000000002</v>
      </c>
      <c r="M584" s="24">
        <f>K584*E584</f>
        <v>3649.7999999999997</v>
      </c>
      <c r="N584" s="24">
        <f>L584+M584</f>
        <v>19194.120000000003</v>
      </c>
      <c r="P584" s="24">
        <f>244.55/109</f>
        <v>2.2435779816513763</v>
      </c>
      <c r="Q584" s="24">
        <f>TRUNC(P584*E584,2)</f>
        <v>296.14999999999998</v>
      </c>
      <c r="R584" s="24">
        <f t="shared" si="981"/>
        <v>369.2</v>
      </c>
      <c r="S584" s="24">
        <f t="shared" si="982"/>
        <v>18824.920000000002</v>
      </c>
    </row>
    <row r="585" spans="1:19">
      <c r="A585" s="338"/>
      <c r="B585" s="44"/>
      <c r="C585" s="167"/>
      <c r="D585" s="341" t="s">
        <v>23690</v>
      </c>
      <c r="E585" s="339"/>
      <c r="F585" s="167"/>
      <c r="G585" s="339"/>
      <c r="H585" s="339"/>
      <c r="I585" s="340"/>
      <c r="J585" s="339"/>
      <c r="K585" s="339"/>
      <c r="L585" s="339"/>
      <c r="M585" s="339"/>
      <c r="N585" s="339"/>
      <c r="P585" s="339"/>
      <c r="Q585" s="339"/>
      <c r="R585" s="24">
        <f t="shared" si="981"/>
        <v>0</v>
      </c>
      <c r="S585" s="24">
        <f t="shared" si="982"/>
        <v>0</v>
      </c>
    </row>
    <row r="586" spans="1:19">
      <c r="A586" s="9" t="s">
        <v>23693</v>
      </c>
      <c r="B586" s="10" t="s">
        <v>9016</v>
      </c>
      <c r="C586" s="10">
        <v>603900</v>
      </c>
      <c r="D586" s="43" t="str">
        <f>VLOOKUP(C586,'13. CUSTOS DER - SERVIÇOS'!A:B,2,0)</f>
        <v>LASTRO DE BRITA</v>
      </c>
      <c r="E586" s="11">
        <v>34.020000000000003</v>
      </c>
      <c r="F586" s="26" t="str">
        <f>VLOOKUP(C586,'13. CUSTOS DER - SERVIÇOS'!A:C,3,0)</f>
        <v>M3</v>
      </c>
      <c r="G586" s="24">
        <f>VLOOKUP(C586,'13. CUSTOS DER - SERVIÇOS'!A:G,7,0)</f>
        <v>131.84</v>
      </c>
      <c r="H586" s="24">
        <f>VLOOKUP(C586,'10. CCU TRANSPORTE'!B:J,9,0)</f>
        <v>17.059999999999999</v>
      </c>
      <c r="I586" s="25">
        <f>'3. BDI'!$C$19</f>
        <v>0.24666704095238123</v>
      </c>
      <c r="J586" s="24">
        <f>TRUNC(G586+(G586*I586),2)</f>
        <v>164.36</v>
      </c>
      <c r="K586" s="24">
        <f>TRUNC(H586+(H586*I586),2)</f>
        <v>21.26</v>
      </c>
      <c r="L586" s="24">
        <f>J586*E586</f>
        <v>5591.5272000000014</v>
      </c>
      <c r="M586" s="24">
        <f>K586*E586</f>
        <v>723.26520000000016</v>
      </c>
      <c r="N586" s="24">
        <f>L586+M586</f>
        <v>6314.7924000000012</v>
      </c>
      <c r="P586" s="24">
        <f>62.92/1</f>
        <v>62.92</v>
      </c>
      <c r="Q586" s="24">
        <f>TRUNC(P586*E586,2)</f>
        <v>2140.5300000000002</v>
      </c>
      <c r="R586" s="24">
        <f t="shared" si="981"/>
        <v>2668.52</v>
      </c>
      <c r="S586" s="24">
        <f t="shared" si="982"/>
        <v>3646.2724000000012</v>
      </c>
    </row>
    <row r="587" spans="1:19">
      <c r="A587" s="28" t="s">
        <v>22896</v>
      </c>
      <c r="B587" s="48"/>
      <c r="C587" s="35"/>
      <c r="D587" s="302" t="s">
        <v>22844</v>
      </c>
      <c r="E587" s="127"/>
      <c r="F587" s="36" t="s">
        <v>195</v>
      </c>
      <c r="G587" s="37"/>
      <c r="H587" s="37"/>
      <c r="I587" s="38"/>
      <c r="J587" s="39"/>
      <c r="K587" s="39"/>
      <c r="L587" s="39">
        <f t="shared" ref="L587:M587" si="1000">SUM(L588:L599)</f>
        <v>203609.09400000001</v>
      </c>
      <c r="M587" s="39">
        <f t="shared" si="1000"/>
        <v>5880.9840000000013</v>
      </c>
      <c r="N587" s="39">
        <f>SUM(N588:N599)</f>
        <v>209490.07800000001</v>
      </c>
      <c r="P587" s="39">
        <f t="shared" ref="P587:S587" si="1001">SUM(P588:P599)</f>
        <v>425.36534019359084</v>
      </c>
      <c r="Q587" s="39">
        <f t="shared" si="1001"/>
        <v>15831.609999999999</v>
      </c>
      <c r="R587" s="39">
        <f t="shared" si="1001"/>
        <v>19736.710000000003</v>
      </c>
      <c r="S587" s="39">
        <f t="shared" si="1001"/>
        <v>189753.36799999999</v>
      </c>
    </row>
    <row r="588" spans="1:19">
      <c r="A588" s="338"/>
      <c r="B588" s="44"/>
      <c r="C588" s="167"/>
      <c r="D588" s="341" t="s">
        <v>22849</v>
      </c>
      <c r="E588" s="339"/>
      <c r="F588" s="167"/>
      <c r="G588" s="339"/>
      <c r="H588" s="339"/>
      <c r="I588" s="340"/>
      <c r="J588" s="339"/>
      <c r="K588" s="339"/>
      <c r="L588" s="339"/>
      <c r="M588" s="339"/>
      <c r="N588" s="339"/>
      <c r="P588" s="339"/>
      <c r="Q588" s="339"/>
      <c r="R588" s="24">
        <f t="shared" ref="R588:R599" si="1002">TRUNC((Q588*I588+Q588),2)</f>
        <v>0</v>
      </c>
      <c r="S588" s="24">
        <f t="shared" ref="S588:S599" si="1003">N588-R588</f>
        <v>0</v>
      </c>
    </row>
    <row r="589" spans="1:19">
      <c r="A589" s="9" t="s">
        <v>23694</v>
      </c>
      <c r="B589" s="10" t="s">
        <v>9016</v>
      </c>
      <c r="C589" s="10">
        <v>610700</v>
      </c>
      <c r="D589" s="43" t="str">
        <f>VLOOKUP(C589,'13. CUSTOS DER - SERVIÇOS'!A:B,2,0)</f>
        <v>CORPO DE BSTC 0,60M COM BERÇO</v>
      </c>
      <c r="E589" s="11">
        <v>11</v>
      </c>
      <c r="F589" s="26" t="str">
        <f>VLOOKUP(C589,'13. CUSTOS DER - SERVIÇOS'!A:C,3,0)</f>
        <v>M</v>
      </c>
      <c r="G589" s="24">
        <f>VLOOKUP(C589,'13. CUSTOS DER - SERVIÇOS'!A:G,7,0)</f>
        <v>412.12</v>
      </c>
      <c r="H589" s="24">
        <f>VLOOKUP(C589,'10. CCU TRANSPORTE'!B:J,9,0)</f>
        <v>16.919999999999998</v>
      </c>
      <c r="I589" s="25">
        <f>'3. BDI'!$C$19</f>
        <v>0.24666704095238123</v>
      </c>
      <c r="J589" s="24">
        <f t="shared" ref="J589" si="1004">TRUNC(G589+(G589*I589),2)</f>
        <v>513.77</v>
      </c>
      <c r="K589" s="24">
        <f t="shared" ref="K589" si="1005">TRUNC(H589+(H589*I589),2)</f>
        <v>21.09</v>
      </c>
      <c r="L589" s="24">
        <f t="shared" ref="L589" si="1006">J589*E589</f>
        <v>5651.4699999999993</v>
      </c>
      <c r="M589" s="24">
        <f t="shared" ref="M589" si="1007">K589*E589</f>
        <v>231.99</v>
      </c>
      <c r="N589" s="24">
        <f t="shared" ref="N589" si="1008">L589+M589</f>
        <v>5883.4599999999991</v>
      </c>
      <c r="P589" s="24">
        <f>157.66/6</f>
        <v>26.276666666666667</v>
      </c>
      <c r="Q589" s="24">
        <f t="shared" ref="Q589:Q591" si="1009">TRUNC(P589*E589,2)</f>
        <v>289.04000000000002</v>
      </c>
      <c r="R589" s="24">
        <f t="shared" si="1002"/>
        <v>360.33</v>
      </c>
      <c r="S589" s="24">
        <f t="shared" si="1003"/>
        <v>5523.1299999999992</v>
      </c>
    </row>
    <row r="590" spans="1:19">
      <c r="A590" s="9" t="s">
        <v>23695</v>
      </c>
      <c r="B590" s="10" t="s">
        <v>9016</v>
      </c>
      <c r="C590" s="10">
        <v>610900</v>
      </c>
      <c r="D590" s="43" t="str">
        <f>VLOOKUP(C590,'13. CUSTOS DER - SERVIÇOS'!A:B,2,0)</f>
        <v>CORPO DE BSTC 0,80M COM BERÇO</v>
      </c>
      <c r="E590" s="11">
        <v>26</v>
      </c>
      <c r="F590" s="26" t="str">
        <f>VLOOKUP(C590,'13. CUSTOS DER - SERVIÇOS'!A:C,3,0)</f>
        <v>M</v>
      </c>
      <c r="G590" s="24">
        <f>VLOOKUP(C590,'13. CUSTOS DER - SERVIÇOS'!A:G,7,0)</f>
        <v>677.21</v>
      </c>
      <c r="H590" s="24">
        <f>VLOOKUP(C590,'10. CCU TRANSPORTE'!B:J,9,0)</f>
        <v>35.879999999999995</v>
      </c>
      <c r="I590" s="25">
        <f>'3. BDI'!$C$19</f>
        <v>0.24666704095238123</v>
      </c>
      <c r="J590" s="24">
        <f t="shared" ref="J590" si="1010">TRUNC(G590+(G590*I590),2)</f>
        <v>844.25</v>
      </c>
      <c r="K590" s="24">
        <f t="shared" ref="K590" si="1011">TRUNC(H590+(H590*I590),2)</f>
        <v>44.73</v>
      </c>
      <c r="L590" s="24">
        <f t="shared" ref="L590" si="1012">J590*E590</f>
        <v>21950.5</v>
      </c>
      <c r="M590" s="24">
        <f t="shared" ref="M590" si="1013">K590*E590</f>
        <v>1162.98</v>
      </c>
      <c r="N590" s="24">
        <f t="shared" ref="N590" si="1014">L590+M590</f>
        <v>23113.48</v>
      </c>
      <c r="P590" s="24">
        <f>157.66/4</f>
        <v>39.414999999999999</v>
      </c>
      <c r="Q590" s="24">
        <f t="shared" si="1009"/>
        <v>1024.79</v>
      </c>
      <c r="R590" s="24">
        <f t="shared" si="1002"/>
        <v>1277.57</v>
      </c>
      <c r="S590" s="24">
        <f t="shared" si="1003"/>
        <v>21835.91</v>
      </c>
    </row>
    <row r="591" spans="1:19">
      <c r="A591" s="9" t="s">
        <v>23696</v>
      </c>
      <c r="B591" s="10" t="s">
        <v>9016</v>
      </c>
      <c r="C591" s="10">
        <v>610800</v>
      </c>
      <c r="D591" s="43" t="str">
        <f>VLOOKUP(C591,'13. CUSTOS DER - SERVIÇOS'!A:B,2,0)</f>
        <v>CORPO DE BSTC 0,80M SEM BERÇO</v>
      </c>
      <c r="E591" s="11">
        <v>36</v>
      </c>
      <c r="F591" s="26" t="str">
        <f>VLOOKUP(C591,'13. CUSTOS DER - SERVIÇOS'!A:C,3,0)</f>
        <v>M</v>
      </c>
      <c r="G591" s="24">
        <f>VLOOKUP(C591,'13. CUSTOS DER - SERVIÇOS'!A:G,7,0)</f>
        <v>514.41999999999996</v>
      </c>
      <c r="H591" s="24">
        <f>VLOOKUP(C591,'10. CCU TRANSPORTE'!B:J,9,0)</f>
        <v>22.79</v>
      </c>
      <c r="I591" s="25">
        <f>'3. BDI'!$C$19</f>
        <v>0.24666704095238123</v>
      </c>
      <c r="J591" s="24">
        <f t="shared" ref="J591" si="1015">TRUNC(G591+(G591*I591),2)</f>
        <v>641.30999999999995</v>
      </c>
      <c r="K591" s="24">
        <f t="shared" ref="K591" si="1016">TRUNC(H591+(H591*I591),2)</f>
        <v>28.41</v>
      </c>
      <c r="L591" s="24">
        <f t="shared" ref="L591" si="1017">J591*E591</f>
        <v>23087.159999999996</v>
      </c>
      <c r="M591" s="24">
        <f t="shared" ref="M591" si="1018">K591*E591</f>
        <v>1022.76</v>
      </c>
      <c r="N591" s="24">
        <f t="shared" ref="N591" si="1019">L591+M591</f>
        <v>24109.919999999995</v>
      </c>
      <c r="P591" s="24">
        <f>137.28/4</f>
        <v>34.32</v>
      </c>
      <c r="Q591" s="24">
        <f t="shared" si="1009"/>
        <v>1235.52</v>
      </c>
      <c r="R591" s="24">
        <f t="shared" si="1002"/>
        <v>1540.28</v>
      </c>
      <c r="S591" s="24">
        <f t="shared" si="1003"/>
        <v>22569.639999999996</v>
      </c>
    </row>
    <row r="592" spans="1:19">
      <c r="A592" s="338"/>
      <c r="B592" s="44"/>
      <c r="C592" s="167"/>
      <c r="D592" s="341" t="s">
        <v>22850</v>
      </c>
      <c r="E592" s="339"/>
      <c r="F592" s="167"/>
      <c r="G592" s="339"/>
      <c r="H592" s="339"/>
      <c r="I592" s="340"/>
      <c r="J592" s="339"/>
      <c r="K592" s="339"/>
      <c r="L592" s="339"/>
      <c r="M592" s="339"/>
      <c r="N592" s="339"/>
      <c r="P592" s="339"/>
      <c r="Q592" s="339"/>
      <c r="R592" s="24">
        <f t="shared" si="1002"/>
        <v>0</v>
      </c>
      <c r="S592" s="24">
        <f t="shared" si="1003"/>
        <v>0</v>
      </c>
    </row>
    <row r="593" spans="1:19" ht="31.5">
      <c r="A593" s="9" t="s">
        <v>23697</v>
      </c>
      <c r="B593" s="10" t="s">
        <v>22708</v>
      </c>
      <c r="C593" s="10">
        <v>804205</v>
      </c>
      <c r="D593" s="43" t="str">
        <f>UPPER(VLOOKUP(C593,'18. CUSTOS DNIT - SERVIÇOS'!A:B,2,0))</f>
        <v>CORPO DE BDTC D = 1,50 M PA1 - AREIA, BRITA E PEDRA DE MÃO COMERCIAIS</v>
      </c>
      <c r="E593" s="11">
        <v>14</v>
      </c>
      <c r="F593" s="26" t="str">
        <f>UPPER(VLOOKUP(C593,'18. CUSTOS DNIT - SERVIÇOS'!A:C,3,0))</f>
        <v>M</v>
      </c>
      <c r="G593" s="24">
        <f>VLOOKUP(C593,'18. CUSTOS DNIT - SERVIÇOS'!A:D,4,0)</f>
        <v>2675.57</v>
      </c>
      <c r="H593" s="24"/>
      <c r="I593" s="25">
        <f>'3. BDI'!$C$19</f>
        <v>0.24666704095238123</v>
      </c>
      <c r="J593" s="24">
        <f>TRUNC(G593+(G593*I593),2)</f>
        <v>3335.54</v>
      </c>
      <c r="K593" s="24">
        <f>TRUNC(H593+(H593*I593),2)</f>
        <v>0</v>
      </c>
      <c r="L593" s="24">
        <f>J593*E593</f>
        <v>46697.56</v>
      </c>
      <c r="M593" s="24">
        <f>K593*E593</f>
        <v>0</v>
      </c>
      <c r="N593" s="24">
        <f>L593+M593</f>
        <v>46697.56</v>
      </c>
      <c r="P593" s="24">
        <f>76.4289/0.95769</f>
        <v>79.80546941076966</v>
      </c>
      <c r="Q593" s="24">
        <f>TRUNC((P593*E593),2)</f>
        <v>1117.27</v>
      </c>
      <c r="R593" s="24">
        <f t="shared" si="1002"/>
        <v>1392.86</v>
      </c>
      <c r="S593" s="24">
        <f t="shared" si="1003"/>
        <v>45304.7</v>
      </c>
    </row>
    <row r="594" spans="1:19">
      <c r="A594" s="338"/>
      <c r="B594" s="44"/>
      <c r="C594" s="167"/>
      <c r="D594" s="341" t="s">
        <v>22863</v>
      </c>
      <c r="E594" s="339"/>
      <c r="F594" s="167"/>
      <c r="G594" s="339"/>
      <c r="H594" s="339"/>
      <c r="I594" s="340"/>
      <c r="J594" s="339"/>
      <c r="K594" s="339"/>
      <c r="L594" s="339"/>
      <c r="M594" s="339"/>
      <c r="N594" s="339"/>
      <c r="P594" s="339"/>
      <c r="Q594" s="339"/>
      <c r="R594" s="24">
        <f t="shared" si="1002"/>
        <v>0</v>
      </c>
      <c r="S594" s="24">
        <f t="shared" si="1003"/>
        <v>0</v>
      </c>
    </row>
    <row r="595" spans="1:19" ht="31.5">
      <c r="A595" s="9" t="s">
        <v>23698</v>
      </c>
      <c r="B595" s="10" t="s">
        <v>22708</v>
      </c>
      <c r="C595" s="10">
        <v>804309</v>
      </c>
      <c r="D595" s="43" t="str">
        <f>UPPER(VLOOKUP(C595,'18. CUSTOS DNIT - SERVIÇOS'!A:B,2,0))</f>
        <v>CORPO DE BTTC D = 1,50 M PA1 - AREIA, BRITA E PEDRA DE MÃO COMERCIAIS</v>
      </c>
      <c r="E595" s="11">
        <v>16</v>
      </c>
      <c r="F595" s="26" t="str">
        <f>UPPER(VLOOKUP(C595,'18. CUSTOS DNIT - SERVIÇOS'!A:C,3,0))</f>
        <v>M</v>
      </c>
      <c r="G595" s="24">
        <f>VLOOKUP(C595,'18. CUSTOS DNIT - SERVIÇOS'!A:D,4,0)</f>
        <v>3983.03</v>
      </c>
      <c r="H595" s="24"/>
      <c r="I595" s="25">
        <f>'3. BDI'!$C$19</f>
        <v>0.24666704095238123</v>
      </c>
      <c r="J595" s="24">
        <f>TRUNC(G595+(G595*I595),2)</f>
        <v>4965.51</v>
      </c>
      <c r="K595" s="24">
        <f>TRUNC(H595+(H595*I595),2)</f>
        <v>0</v>
      </c>
      <c r="L595" s="24">
        <f>J595*E595</f>
        <v>79448.160000000003</v>
      </c>
      <c r="M595" s="24">
        <f>K595*E595</f>
        <v>0</v>
      </c>
      <c r="N595" s="24">
        <f>L595+M595</f>
        <v>79448.160000000003</v>
      </c>
      <c r="P595" s="24">
        <f>76.4289/0.63846</f>
        <v>119.70820411615449</v>
      </c>
      <c r="Q595" s="24">
        <f>TRUNC((P595*E595),2)</f>
        <v>1915.33</v>
      </c>
      <c r="R595" s="24">
        <f t="shared" si="1002"/>
        <v>2387.77</v>
      </c>
      <c r="S595" s="24">
        <f t="shared" si="1003"/>
        <v>77060.39</v>
      </c>
    </row>
    <row r="596" spans="1:19" ht="31.5">
      <c r="A596" s="338"/>
      <c r="B596" s="44"/>
      <c r="C596" s="167"/>
      <c r="D596" s="341" t="s">
        <v>22864</v>
      </c>
      <c r="E596" s="339"/>
      <c r="F596" s="167"/>
      <c r="G596" s="339"/>
      <c r="H596" s="339"/>
      <c r="I596" s="340"/>
      <c r="J596" s="339"/>
      <c r="K596" s="339"/>
      <c r="L596" s="339"/>
      <c r="M596" s="339"/>
      <c r="N596" s="339"/>
      <c r="P596" s="339"/>
      <c r="Q596" s="339"/>
      <c r="R596" s="24">
        <f t="shared" si="1002"/>
        <v>0</v>
      </c>
      <c r="S596" s="24">
        <f t="shared" si="1003"/>
        <v>0</v>
      </c>
    </row>
    <row r="597" spans="1:19">
      <c r="A597" s="9" t="s">
        <v>23699</v>
      </c>
      <c r="B597" s="10" t="s">
        <v>9016</v>
      </c>
      <c r="C597" s="10">
        <v>603900</v>
      </c>
      <c r="D597" s="43" t="str">
        <f>VLOOKUP(C597,'13. CUSTOS DER - SERVIÇOS'!A:B,2,0)</f>
        <v>LASTRO DE BRITA</v>
      </c>
      <c r="E597" s="11">
        <v>157.68</v>
      </c>
      <c r="F597" s="26" t="str">
        <f>VLOOKUP(C597,'13. CUSTOS DER - SERVIÇOS'!A:C,3,0)</f>
        <v>M3</v>
      </c>
      <c r="G597" s="24">
        <f>VLOOKUP(C597,'13. CUSTOS DER - SERVIÇOS'!A:G,7,0)</f>
        <v>131.84</v>
      </c>
      <c r="H597" s="24">
        <f>VLOOKUP(C597,'10. CCU TRANSPORTE'!B:J,9,0)</f>
        <v>17.059999999999999</v>
      </c>
      <c r="I597" s="25">
        <f>'3. BDI'!$C$19</f>
        <v>0.24666704095238123</v>
      </c>
      <c r="J597" s="24">
        <f t="shared" ref="J597" si="1020">TRUNC(G597+(G597*I597),2)</f>
        <v>164.36</v>
      </c>
      <c r="K597" s="24">
        <f t="shared" ref="K597" si="1021">TRUNC(H597+(H597*I597),2)</f>
        <v>21.26</v>
      </c>
      <c r="L597" s="24">
        <f t="shared" ref="L597" si="1022">J597*E597</f>
        <v>25916.284800000005</v>
      </c>
      <c r="M597" s="24">
        <f t="shared" ref="M597" si="1023">K597*E597</f>
        <v>3352.2768000000005</v>
      </c>
      <c r="N597" s="24">
        <f t="shared" ref="N597" si="1024">L597+M597</f>
        <v>29268.561600000005</v>
      </c>
      <c r="P597" s="24">
        <f>62.92/1</f>
        <v>62.92</v>
      </c>
      <c r="Q597" s="24">
        <f>TRUNC(P597*E597,2)</f>
        <v>9921.2199999999993</v>
      </c>
      <c r="R597" s="24">
        <f t="shared" si="1002"/>
        <v>12368.45</v>
      </c>
      <c r="S597" s="24">
        <f t="shared" si="1003"/>
        <v>16900.111600000004</v>
      </c>
    </row>
    <row r="598" spans="1:19">
      <c r="A598" s="338"/>
      <c r="B598" s="44"/>
      <c r="C598" s="167"/>
      <c r="D598" s="341" t="s">
        <v>23690</v>
      </c>
      <c r="E598" s="339"/>
      <c r="F598" s="167"/>
      <c r="G598" s="339"/>
      <c r="H598" s="339"/>
      <c r="I598" s="340"/>
      <c r="J598" s="339"/>
      <c r="K598" s="339"/>
      <c r="L598" s="339"/>
      <c r="M598" s="339"/>
      <c r="N598" s="339"/>
      <c r="P598" s="339"/>
      <c r="Q598" s="339"/>
      <c r="R598" s="24">
        <f t="shared" si="1002"/>
        <v>0</v>
      </c>
      <c r="S598" s="24">
        <f t="shared" si="1003"/>
        <v>0</v>
      </c>
    </row>
    <row r="599" spans="1:19">
      <c r="A599" s="9" t="s">
        <v>23700</v>
      </c>
      <c r="B599" s="10" t="s">
        <v>9016</v>
      </c>
      <c r="C599" s="10">
        <v>603900</v>
      </c>
      <c r="D599" s="43" t="str">
        <f>VLOOKUP(C599,'13. CUSTOS DER - SERVIÇOS'!A:B,2,0)</f>
        <v>LASTRO DE BRITA</v>
      </c>
      <c r="E599" s="11">
        <v>5.22</v>
      </c>
      <c r="F599" s="26" t="str">
        <f>VLOOKUP(C599,'13. CUSTOS DER - SERVIÇOS'!A:C,3,0)</f>
        <v>M3</v>
      </c>
      <c r="G599" s="24">
        <f>VLOOKUP(C599,'13. CUSTOS DER - SERVIÇOS'!A:G,7,0)</f>
        <v>131.84</v>
      </c>
      <c r="H599" s="24">
        <f>VLOOKUP(C599,'10. CCU TRANSPORTE'!B:J,9,0)</f>
        <v>17.059999999999999</v>
      </c>
      <c r="I599" s="25">
        <f>'3. BDI'!$C$19</f>
        <v>0.24666704095238123</v>
      </c>
      <c r="J599" s="24">
        <f>TRUNC(G599+(G599*I599),2)</f>
        <v>164.36</v>
      </c>
      <c r="K599" s="24">
        <f>TRUNC(H599+(H599*I599),2)</f>
        <v>21.26</v>
      </c>
      <c r="L599" s="24">
        <f>J599*E599</f>
        <v>857.95920000000001</v>
      </c>
      <c r="M599" s="24">
        <f>K599*E599</f>
        <v>110.9772</v>
      </c>
      <c r="N599" s="24">
        <f>L599+M599</f>
        <v>968.93640000000005</v>
      </c>
      <c r="P599" s="24">
        <f>62.92/1</f>
        <v>62.92</v>
      </c>
      <c r="Q599" s="24">
        <f>TRUNC(P599*E599,2)</f>
        <v>328.44</v>
      </c>
      <c r="R599" s="24">
        <f t="shared" si="1002"/>
        <v>409.45</v>
      </c>
      <c r="S599" s="24">
        <f t="shared" si="1003"/>
        <v>559.4864</v>
      </c>
    </row>
    <row r="600" spans="1:19">
      <c r="A600" s="28" t="s">
        <v>22897</v>
      </c>
      <c r="B600" s="48"/>
      <c r="C600" s="35"/>
      <c r="D600" s="302" t="s">
        <v>22845</v>
      </c>
      <c r="E600" s="127"/>
      <c r="F600" s="36" t="s">
        <v>195</v>
      </c>
      <c r="G600" s="37"/>
      <c r="H600" s="37"/>
      <c r="I600" s="38"/>
      <c r="J600" s="39"/>
      <c r="K600" s="39"/>
      <c r="L600" s="39">
        <f t="shared" ref="L600:M600" si="1025">SUM(L601:L620)</f>
        <v>896387.81799999997</v>
      </c>
      <c r="M600" s="39">
        <f t="shared" si="1025"/>
        <v>32337.129999999997</v>
      </c>
      <c r="N600" s="39">
        <f>SUM(N601:N620)</f>
        <v>928724.94800000009</v>
      </c>
      <c r="P600" s="39">
        <f t="shared" ref="P600:S600" si="1026">SUM(P601:P620)</f>
        <v>911.05911100296635</v>
      </c>
      <c r="Q600" s="39">
        <f t="shared" si="1026"/>
        <v>84474.45</v>
      </c>
      <c r="R600" s="39">
        <f t="shared" si="1026"/>
        <v>105311.45999999996</v>
      </c>
      <c r="S600" s="39">
        <f t="shared" si="1026"/>
        <v>823413.48800000001</v>
      </c>
    </row>
    <row r="601" spans="1:19">
      <c r="A601" s="338"/>
      <c r="B601" s="44"/>
      <c r="C601" s="167"/>
      <c r="D601" s="341" t="s">
        <v>22849</v>
      </c>
      <c r="E601" s="339"/>
      <c r="F601" s="167"/>
      <c r="G601" s="339"/>
      <c r="H601" s="339"/>
      <c r="I601" s="340"/>
      <c r="J601" s="339"/>
      <c r="K601" s="339"/>
      <c r="L601" s="339"/>
      <c r="M601" s="339"/>
      <c r="N601" s="339"/>
      <c r="P601" s="339"/>
      <c r="Q601" s="339"/>
      <c r="R601" s="24">
        <f t="shared" ref="R601:R620" si="1027">TRUNC((Q601*I601+Q601),2)</f>
        <v>0</v>
      </c>
      <c r="S601" s="24">
        <f t="shared" ref="S601:S620" si="1028">N601-R601</f>
        <v>0</v>
      </c>
    </row>
    <row r="602" spans="1:19">
      <c r="A602" s="9" t="s">
        <v>23249</v>
      </c>
      <c r="B602" s="10" t="s">
        <v>9016</v>
      </c>
      <c r="C602" s="10">
        <v>610600</v>
      </c>
      <c r="D602" s="43" t="str">
        <f>VLOOKUP(C602,'13. CUSTOS DER - SERVIÇOS'!A:B,2,0)</f>
        <v>CORPO DE BSTC 0,60M SEM BERÇO</v>
      </c>
      <c r="E602" s="11">
        <v>26</v>
      </c>
      <c r="F602" s="26" t="str">
        <f>VLOOKUP(C602,'13. CUSTOS DER - SERVIÇOS'!A:C,3,0)</f>
        <v>M</v>
      </c>
      <c r="G602" s="24">
        <f>VLOOKUP(C602,'13. CUSTOS DER - SERVIÇOS'!A:G,7,0)</f>
        <v>313.26</v>
      </c>
      <c r="H602" s="24">
        <f>VLOOKUP(C602,'10. CCU TRANSPORTE'!B:J,9,0)</f>
        <v>9.5500000000000007</v>
      </c>
      <c r="I602" s="25">
        <f>'3. BDI'!$C$19</f>
        <v>0.24666704095238123</v>
      </c>
      <c r="J602" s="24">
        <f t="shared" ref="J602:J604" si="1029">TRUNC(G602+(G602*I602),2)</f>
        <v>390.53</v>
      </c>
      <c r="K602" s="24">
        <f t="shared" ref="K602:K604" si="1030">TRUNC(H602+(H602*I602),2)</f>
        <v>11.9</v>
      </c>
      <c r="L602" s="24">
        <f t="shared" ref="L602:L604" si="1031">J602*E602</f>
        <v>10153.779999999999</v>
      </c>
      <c r="M602" s="24">
        <f t="shared" ref="M602:M604" si="1032">K602*E602</f>
        <v>309.40000000000003</v>
      </c>
      <c r="N602" s="24">
        <f t="shared" ref="N602:N604" si="1033">L602+M602</f>
        <v>10463.179999999998</v>
      </c>
      <c r="P602" s="24">
        <f>137.28/6</f>
        <v>22.88</v>
      </c>
      <c r="Q602" s="24">
        <f t="shared" ref="Q602:Q604" si="1034">TRUNC(P602*E602,2)</f>
        <v>594.88</v>
      </c>
      <c r="R602" s="24">
        <f t="shared" si="1027"/>
        <v>741.61</v>
      </c>
      <c r="S602" s="24">
        <f t="shared" si="1028"/>
        <v>9721.5699999999979</v>
      </c>
    </row>
    <row r="603" spans="1:19">
      <c r="A603" s="9" t="s">
        <v>23250</v>
      </c>
      <c r="B603" s="10" t="s">
        <v>9016</v>
      </c>
      <c r="C603" s="10">
        <v>610900</v>
      </c>
      <c r="D603" s="43" t="str">
        <f>VLOOKUP(C603,'13. CUSTOS DER - SERVIÇOS'!A:B,2,0)</f>
        <v>CORPO DE BSTC 0,80M COM BERÇO</v>
      </c>
      <c r="E603" s="11">
        <v>248</v>
      </c>
      <c r="F603" s="26" t="str">
        <f>VLOOKUP(C603,'13. CUSTOS DER - SERVIÇOS'!A:C,3,0)</f>
        <v>M</v>
      </c>
      <c r="G603" s="24">
        <f>VLOOKUP(C603,'13. CUSTOS DER - SERVIÇOS'!A:G,7,0)</f>
        <v>677.21</v>
      </c>
      <c r="H603" s="24">
        <f>VLOOKUP(C603,'10. CCU TRANSPORTE'!B:J,9,0)</f>
        <v>35.879999999999995</v>
      </c>
      <c r="I603" s="25">
        <f>'3. BDI'!$C$19</f>
        <v>0.24666704095238123</v>
      </c>
      <c r="J603" s="24">
        <f t="shared" si="1029"/>
        <v>844.25</v>
      </c>
      <c r="K603" s="24">
        <f t="shared" si="1030"/>
        <v>44.73</v>
      </c>
      <c r="L603" s="24">
        <f t="shared" si="1031"/>
        <v>209374</v>
      </c>
      <c r="M603" s="24">
        <f t="shared" si="1032"/>
        <v>11093.039999999999</v>
      </c>
      <c r="N603" s="24">
        <f t="shared" si="1033"/>
        <v>220467.04</v>
      </c>
      <c r="P603" s="24">
        <f>157.66/4</f>
        <v>39.414999999999999</v>
      </c>
      <c r="Q603" s="24">
        <f t="shared" si="1034"/>
        <v>9774.92</v>
      </c>
      <c r="R603" s="24">
        <f t="shared" si="1027"/>
        <v>12186.07</v>
      </c>
      <c r="S603" s="24">
        <f t="shared" si="1028"/>
        <v>208280.97</v>
      </c>
    </row>
    <row r="604" spans="1:19">
      <c r="A604" s="9" t="s">
        <v>23251</v>
      </c>
      <c r="B604" s="10" t="s">
        <v>9016</v>
      </c>
      <c r="C604" s="10">
        <v>610800</v>
      </c>
      <c r="D604" s="43" t="str">
        <f>VLOOKUP(C604,'13. CUSTOS DER - SERVIÇOS'!A:B,2,0)</f>
        <v>CORPO DE BSTC 0,80M SEM BERÇO</v>
      </c>
      <c r="E604" s="11">
        <v>99</v>
      </c>
      <c r="F604" s="26" t="str">
        <f>VLOOKUP(C604,'13. CUSTOS DER - SERVIÇOS'!A:C,3,0)</f>
        <v>M</v>
      </c>
      <c r="G604" s="24">
        <f>VLOOKUP(C604,'13. CUSTOS DER - SERVIÇOS'!A:G,7,0)</f>
        <v>514.41999999999996</v>
      </c>
      <c r="H604" s="24">
        <f>VLOOKUP(C604,'10. CCU TRANSPORTE'!B:J,9,0)</f>
        <v>22.79</v>
      </c>
      <c r="I604" s="25">
        <f>'3. BDI'!$C$19</f>
        <v>0.24666704095238123</v>
      </c>
      <c r="J604" s="24">
        <f t="shared" si="1029"/>
        <v>641.30999999999995</v>
      </c>
      <c r="K604" s="24">
        <f t="shared" si="1030"/>
        <v>28.41</v>
      </c>
      <c r="L604" s="24">
        <f t="shared" si="1031"/>
        <v>63489.689999999995</v>
      </c>
      <c r="M604" s="24">
        <f t="shared" si="1032"/>
        <v>2812.59</v>
      </c>
      <c r="N604" s="24">
        <f t="shared" si="1033"/>
        <v>66302.28</v>
      </c>
      <c r="P604" s="24">
        <f>137.28/4</f>
        <v>34.32</v>
      </c>
      <c r="Q604" s="24">
        <f t="shared" si="1034"/>
        <v>3397.68</v>
      </c>
      <c r="R604" s="24">
        <f t="shared" si="1027"/>
        <v>4235.7700000000004</v>
      </c>
      <c r="S604" s="24">
        <f t="shared" si="1028"/>
        <v>62066.509999999995</v>
      </c>
    </row>
    <row r="605" spans="1:19">
      <c r="A605" s="338"/>
      <c r="B605" s="44"/>
      <c r="C605" s="167"/>
      <c r="D605" s="341" t="s">
        <v>22851</v>
      </c>
      <c r="E605" s="339"/>
      <c r="F605" s="167"/>
      <c r="G605" s="339"/>
      <c r="H605" s="339"/>
      <c r="I605" s="340"/>
      <c r="J605" s="339"/>
      <c r="K605" s="339"/>
      <c r="L605" s="339"/>
      <c r="M605" s="339"/>
      <c r="N605" s="339"/>
      <c r="P605" s="339"/>
      <c r="Q605" s="339"/>
      <c r="R605" s="24">
        <f t="shared" si="1027"/>
        <v>0</v>
      </c>
      <c r="S605" s="24">
        <f t="shared" si="1028"/>
        <v>0</v>
      </c>
    </row>
    <row r="606" spans="1:19" ht="31.5">
      <c r="A606" s="9" t="s">
        <v>23252</v>
      </c>
      <c r="B606" s="10" t="s">
        <v>22708</v>
      </c>
      <c r="C606" s="10">
        <v>6817833</v>
      </c>
      <c r="D606" s="43" t="str">
        <f>UPPER(VLOOKUP(C606,'18. CUSTOS DNIT - SERVIÇOS'!A:B,2,0))</f>
        <v>CORPO DE BSCC - SEÇÃO FECHADA DE 1,5 X 1,5 M - PRÉ-MOLDADO - ALTURA DO ATERRO DE 2,50 A 5,00 M - AREIA E BRITA COMERCIAIS</v>
      </c>
      <c r="E606" s="11">
        <v>63</v>
      </c>
      <c r="F606" s="26" t="str">
        <f>UPPER(VLOOKUP(C606,'18. CUSTOS DNIT - SERVIÇOS'!A:C,3,0))</f>
        <v>M</v>
      </c>
      <c r="G606" s="24">
        <f>VLOOKUP(C606,'18. CUSTOS DNIT - SERVIÇOS'!A:D,4,0)</f>
        <v>1657.96</v>
      </c>
      <c r="H606" s="24"/>
      <c r="I606" s="25">
        <f>'3. BDI'!$C$19</f>
        <v>0.24666704095238123</v>
      </c>
      <c r="J606" s="24">
        <f>TRUNC(G606+(G606*I606),2)</f>
        <v>2066.92</v>
      </c>
      <c r="K606" s="24">
        <f>TRUNC(H606+(H606*I606),2)</f>
        <v>0</v>
      </c>
      <c r="L606" s="24">
        <f>J606*E606</f>
        <v>130215.96</v>
      </c>
      <c r="M606" s="24">
        <f>K606*E606</f>
        <v>0</v>
      </c>
      <c r="N606" s="24">
        <f>L606+M606</f>
        <v>130215.96</v>
      </c>
      <c r="P606" s="24">
        <f>514.5339</f>
        <v>514.53390000000002</v>
      </c>
      <c r="Q606" s="24">
        <f>TRUNC((P606*E606),2)</f>
        <v>32415.63</v>
      </c>
      <c r="R606" s="24">
        <f t="shared" si="1027"/>
        <v>40411.49</v>
      </c>
      <c r="S606" s="24">
        <f t="shared" si="1028"/>
        <v>89804.47</v>
      </c>
    </row>
    <row r="607" spans="1:19">
      <c r="A607" s="338"/>
      <c r="B607" s="44"/>
      <c r="C607" s="167"/>
      <c r="D607" s="341" t="s">
        <v>22850</v>
      </c>
      <c r="E607" s="339"/>
      <c r="F607" s="167"/>
      <c r="G607" s="339"/>
      <c r="H607" s="339"/>
      <c r="I607" s="340"/>
      <c r="J607" s="339"/>
      <c r="K607" s="339"/>
      <c r="L607" s="339"/>
      <c r="M607" s="339"/>
      <c r="N607" s="339"/>
      <c r="P607" s="339"/>
      <c r="Q607" s="339"/>
      <c r="R607" s="24">
        <f t="shared" si="1027"/>
        <v>0</v>
      </c>
      <c r="S607" s="24">
        <f t="shared" si="1028"/>
        <v>0</v>
      </c>
    </row>
    <row r="608" spans="1:19" ht="31.5">
      <c r="A608" s="9" t="s">
        <v>23253</v>
      </c>
      <c r="B608" s="10" t="s">
        <v>22708</v>
      </c>
      <c r="C608" s="10">
        <v>804205</v>
      </c>
      <c r="D608" s="43" t="str">
        <f>UPPER(VLOOKUP(C608,'18. CUSTOS DNIT - SERVIÇOS'!A:B,2,0))</f>
        <v>CORPO DE BDTC D = 1,50 M PA1 - AREIA, BRITA E PEDRA DE MÃO COMERCIAIS</v>
      </c>
      <c r="E608" s="11">
        <v>86</v>
      </c>
      <c r="F608" s="26" t="str">
        <f>UPPER(VLOOKUP(C608,'18. CUSTOS DNIT - SERVIÇOS'!A:C,3,0))</f>
        <v>M</v>
      </c>
      <c r="G608" s="24">
        <f>VLOOKUP(C608,'18. CUSTOS DNIT - SERVIÇOS'!A:D,4,0)</f>
        <v>2675.57</v>
      </c>
      <c r="H608" s="24"/>
      <c r="I608" s="25">
        <f>'3. BDI'!$C$19</f>
        <v>0.24666704095238123</v>
      </c>
      <c r="J608" s="24">
        <f>TRUNC(G608+(G608*I608),2)</f>
        <v>3335.54</v>
      </c>
      <c r="K608" s="24">
        <f>TRUNC(H608+(H608*I608),2)</f>
        <v>0</v>
      </c>
      <c r="L608" s="24">
        <f>J608*E608</f>
        <v>286856.44</v>
      </c>
      <c r="M608" s="24">
        <f>K608*E608</f>
        <v>0</v>
      </c>
      <c r="N608" s="24">
        <f>L608+M608</f>
        <v>286856.44</v>
      </c>
      <c r="P608" s="24">
        <f>76.4289/0.95769</f>
        <v>79.80546941076966</v>
      </c>
      <c r="Q608" s="24">
        <f>TRUNC((P608*E608),2)</f>
        <v>6863.27</v>
      </c>
      <c r="R608" s="24">
        <f t="shared" si="1027"/>
        <v>8556.2099999999991</v>
      </c>
      <c r="S608" s="24">
        <f t="shared" si="1028"/>
        <v>278300.23</v>
      </c>
    </row>
    <row r="609" spans="1:19">
      <c r="A609" s="338"/>
      <c r="B609" s="44"/>
      <c r="C609" s="167"/>
      <c r="D609" s="341" t="s">
        <v>22852</v>
      </c>
      <c r="E609" s="339"/>
      <c r="F609" s="167"/>
      <c r="G609" s="339"/>
      <c r="H609" s="339"/>
      <c r="I609" s="340"/>
      <c r="J609" s="339"/>
      <c r="K609" s="339"/>
      <c r="L609" s="339"/>
      <c r="M609" s="339"/>
      <c r="N609" s="339"/>
      <c r="P609" s="339"/>
      <c r="Q609" s="339"/>
      <c r="R609" s="24">
        <f t="shared" si="1027"/>
        <v>0</v>
      </c>
      <c r="S609" s="24">
        <f t="shared" si="1028"/>
        <v>0</v>
      </c>
    </row>
    <row r="610" spans="1:19" ht="31.5">
      <c r="A610" s="9" t="s">
        <v>23254</v>
      </c>
      <c r="B610" s="10" t="s">
        <v>22708</v>
      </c>
      <c r="C610" s="10">
        <v>6817845</v>
      </c>
      <c r="D610" s="43" t="str">
        <f>UPPER(VLOOKUP(C610,'18. CUSTOS DNIT - SERVIÇOS'!A:B,2,0))</f>
        <v>CORPO DE BSCC - SEÇÃO FECHADA DE 2,0 X 2,0 M - PRÉ-MOLDADO - ALTURA DO ATERRO DE 1,00 A 2,50 M - AREIA E BRITA COMERCIAIS</v>
      </c>
      <c r="E610" s="11">
        <v>32</v>
      </c>
      <c r="F610" s="26" t="str">
        <f>UPPER(VLOOKUP(C610,'18. CUSTOS DNIT - SERVIÇOS'!A:C,3,0))</f>
        <v>M</v>
      </c>
      <c r="G610" s="24">
        <f>VLOOKUP(C610,'18. CUSTOS DNIT - SERVIÇOS'!A:D,4,0)</f>
        <v>2106.0700000000002</v>
      </c>
      <c r="H610" s="24"/>
      <c r="I610" s="25">
        <f>'3. BDI'!$C$19</f>
        <v>0.24666704095238123</v>
      </c>
      <c r="J610" s="24">
        <f>TRUNC(G610+(G610*I610),2)</f>
        <v>2625.56</v>
      </c>
      <c r="K610" s="24">
        <f>TRUNC(H610+(H610*I610),2)</f>
        <v>0</v>
      </c>
      <c r="L610" s="24">
        <f>J610*E610</f>
        <v>84017.919999999998</v>
      </c>
      <c r="M610" s="24">
        <f>K610*E610</f>
        <v>0</v>
      </c>
      <c r="N610" s="24">
        <f>L610+M610</f>
        <v>84017.919999999998</v>
      </c>
      <c r="P610" s="24">
        <f>76.4289/2.84571</f>
        <v>26.857585628894018</v>
      </c>
      <c r="Q610" s="24">
        <f>TRUNC((P610*E610),2)</f>
        <v>859.44</v>
      </c>
      <c r="R610" s="24">
        <f t="shared" si="1027"/>
        <v>1071.43</v>
      </c>
      <c r="S610" s="24">
        <f t="shared" si="1028"/>
        <v>82946.490000000005</v>
      </c>
    </row>
    <row r="611" spans="1:19" ht="31.5">
      <c r="A611" s="338"/>
      <c r="B611" s="44"/>
      <c r="C611" s="167"/>
      <c r="D611" s="341" t="s">
        <v>22865</v>
      </c>
      <c r="E611" s="339"/>
      <c r="F611" s="167"/>
      <c r="G611" s="339"/>
      <c r="H611" s="339"/>
      <c r="I611" s="340"/>
      <c r="J611" s="339"/>
      <c r="K611" s="339"/>
      <c r="L611" s="339"/>
      <c r="M611" s="339"/>
      <c r="N611" s="339"/>
      <c r="P611" s="339"/>
      <c r="Q611" s="339"/>
      <c r="R611" s="24">
        <f t="shared" si="1027"/>
        <v>0</v>
      </c>
      <c r="S611" s="24">
        <f t="shared" si="1028"/>
        <v>0</v>
      </c>
    </row>
    <row r="612" spans="1:19">
      <c r="A612" s="9" t="s">
        <v>23255</v>
      </c>
      <c r="B612" s="10" t="s">
        <v>9016</v>
      </c>
      <c r="C612" s="10">
        <v>603900</v>
      </c>
      <c r="D612" s="43" t="str">
        <f>VLOOKUP(C612,'13. CUSTOS DER - SERVIÇOS'!A:B,2,0)</f>
        <v>LASTRO DE BRITA</v>
      </c>
      <c r="E612" s="11">
        <v>4.68</v>
      </c>
      <c r="F612" s="26" t="str">
        <f>VLOOKUP(C612,'13. CUSTOS DER - SERVIÇOS'!A:C,3,0)</f>
        <v>M3</v>
      </c>
      <c r="G612" s="24">
        <f>VLOOKUP(C612,'13. CUSTOS DER - SERVIÇOS'!A:G,7,0)</f>
        <v>131.84</v>
      </c>
      <c r="H612" s="24">
        <f>VLOOKUP(C612,'10. CCU TRANSPORTE'!B:J,9,0)</f>
        <v>17.059999999999999</v>
      </c>
      <c r="I612" s="25">
        <f>'3. BDI'!$C$19</f>
        <v>0.24666704095238123</v>
      </c>
      <c r="J612" s="24">
        <f t="shared" ref="J612" si="1035">TRUNC(G612+(G612*I612),2)</f>
        <v>164.36</v>
      </c>
      <c r="K612" s="24">
        <f t="shared" ref="K612" si="1036">TRUNC(H612+(H612*I612),2)</f>
        <v>21.26</v>
      </c>
      <c r="L612" s="24">
        <f t="shared" ref="L612" si="1037">J612*E612</f>
        <v>769.20479999999998</v>
      </c>
      <c r="M612" s="24">
        <f t="shared" ref="M612" si="1038">K612*E612</f>
        <v>99.496800000000007</v>
      </c>
      <c r="N612" s="24">
        <f t="shared" ref="N612" si="1039">L612+M612</f>
        <v>868.70159999999998</v>
      </c>
      <c r="P612" s="24">
        <f>62.92/1</f>
        <v>62.92</v>
      </c>
      <c r="Q612" s="24">
        <f>TRUNC(P612*E612,2)</f>
        <v>294.45999999999998</v>
      </c>
      <c r="R612" s="24">
        <f t="shared" si="1027"/>
        <v>367.09</v>
      </c>
      <c r="S612" s="24">
        <f t="shared" si="1028"/>
        <v>501.61160000000001</v>
      </c>
    </row>
    <row r="613" spans="1:19" ht="31.5">
      <c r="A613" s="338"/>
      <c r="B613" s="44"/>
      <c r="C613" s="167"/>
      <c r="D613" s="341" t="s">
        <v>22866</v>
      </c>
      <c r="E613" s="339"/>
      <c r="F613" s="167"/>
      <c r="G613" s="339"/>
      <c r="H613" s="339"/>
      <c r="I613" s="340"/>
      <c r="J613" s="339"/>
      <c r="K613" s="339"/>
      <c r="L613" s="339"/>
      <c r="M613" s="339"/>
      <c r="N613" s="339"/>
      <c r="P613" s="339"/>
      <c r="Q613" s="339"/>
      <c r="R613" s="24">
        <f t="shared" si="1027"/>
        <v>0</v>
      </c>
      <c r="S613" s="24">
        <f t="shared" si="1028"/>
        <v>0</v>
      </c>
    </row>
    <row r="614" spans="1:19">
      <c r="A614" s="9" t="s">
        <v>23256</v>
      </c>
      <c r="B614" s="10" t="s">
        <v>9016</v>
      </c>
      <c r="C614" s="10">
        <v>603900</v>
      </c>
      <c r="D614" s="43" t="str">
        <f>VLOOKUP(C614,'13. CUSTOS DER - SERVIÇOS'!A:B,2,0)</f>
        <v>LASTRO DE BRITA</v>
      </c>
      <c r="E614" s="11">
        <v>433.62</v>
      </c>
      <c r="F614" s="26" t="str">
        <f>VLOOKUP(C614,'13. CUSTOS DER - SERVIÇOS'!A:C,3,0)</f>
        <v>M3</v>
      </c>
      <c r="G614" s="24">
        <f>VLOOKUP(C614,'13. CUSTOS DER - SERVIÇOS'!A:G,7,0)</f>
        <v>131.84</v>
      </c>
      <c r="H614" s="24">
        <f>VLOOKUP(C614,'10. CCU TRANSPORTE'!B:J,9,0)</f>
        <v>17.059999999999999</v>
      </c>
      <c r="I614" s="25">
        <f>'3. BDI'!$C$19</f>
        <v>0.24666704095238123</v>
      </c>
      <c r="J614" s="24">
        <f t="shared" ref="J614" si="1040">TRUNC(G614+(G614*I614),2)</f>
        <v>164.36</v>
      </c>
      <c r="K614" s="24">
        <f t="shared" ref="K614" si="1041">TRUNC(H614+(H614*I614),2)</f>
        <v>21.26</v>
      </c>
      <c r="L614" s="24">
        <f t="shared" ref="L614" si="1042">J614*E614</f>
        <v>71269.783200000005</v>
      </c>
      <c r="M614" s="24">
        <f t="shared" ref="M614" si="1043">K614*E614</f>
        <v>9218.7612000000008</v>
      </c>
      <c r="N614" s="24">
        <f t="shared" ref="N614" si="1044">L614+M614</f>
        <v>80488.544400000013</v>
      </c>
      <c r="P614" s="24">
        <f>62.92/1</f>
        <v>62.92</v>
      </c>
      <c r="Q614" s="24">
        <f>TRUNC(P614*E614,2)</f>
        <v>27283.37</v>
      </c>
      <c r="R614" s="24">
        <f t="shared" si="1027"/>
        <v>34013.269999999997</v>
      </c>
      <c r="S614" s="24">
        <f t="shared" si="1028"/>
        <v>46475.274400000017</v>
      </c>
    </row>
    <row r="615" spans="1:19" ht="31.5">
      <c r="A615" s="338"/>
      <c r="B615" s="44"/>
      <c r="C615" s="167"/>
      <c r="D615" s="341" t="s">
        <v>22867</v>
      </c>
      <c r="E615" s="339"/>
      <c r="F615" s="167"/>
      <c r="G615" s="339"/>
      <c r="H615" s="339"/>
      <c r="I615" s="340"/>
      <c r="J615" s="339"/>
      <c r="K615" s="339"/>
      <c r="L615" s="339"/>
      <c r="M615" s="339"/>
      <c r="N615" s="339"/>
      <c r="P615" s="339"/>
      <c r="Q615" s="339"/>
      <c r="R615" s="24">
        <f t="shared" si="1027"/>
        <v>0</v>
      </c>
      <c r="S615" s="24">
        <f t="shared" si="1028"/>
        <v>0</v>
      </c>
    </row>
    <row r="616" spans="1:19">
      <c r="A616" s="9" t="s">
        <v>23257</v>
      </c>
      <c r="B616" s="10" t="s">
        <v>9016</v>
      </c>
      <c r="C616" s="10">
        <v>516100</v>
      </c>
      <c r="D616" s="43" t="str">
        <f>VLOOKUP(C616,'13. CUSTOS DER - SERVIÇOS'!A:B,2,0)</f>
        <v>PREENCHIMENTO REBAIXO C/ RACHÃO</v>
      </c>
      <c r="E616" s="11">
        <v>189</v>
      </c>
      <c r="F616" s="26" t="str">
        <f>VLOOKUP(C616,'13. CUSTOS DER - SERVIÇOS'!A:C,3,0)</f>
        <v>M3</v>
      </c>
      <c r="G616" s="24">
        <f>VLOOKUP(C616,'13. CUSTOS DER - SERVIÇOS'!A:G,7,0)</f>
        <v>94.46</v>
      </c>
      <c r="H616" s="24">
        <f>VLOOKUP(C616,'10. CCU TRANSPORTE'!B:J,9,0)</f>
        <v>22.18</v>
      </c>
      <c r="I616" s="25">
        <f>'3. BDI'!$C$19</f>
        <v>0.24666704095238123</v>
      </c>
      <c r="J616" s="24">
        <f>TRUNC(G616+(G616*I616),2)</f>
        <v>117.76</v>
      </c>
      <c r="K616" s="24">
        <f>TRUNC(H616+(H616*I616),2)</f>
        <v>27.65</v>
      </c>
      <c r="L616" s="24">
        <f>J616*E616</f>
        <v>22256.639999999999</v>
      </c>
      <c r="M616" s="24">
        <f>K616*E616</f>
        <v>5225.8499999999995</v>
      </c>
      <c r="N616" s="24">
        <f>L616+M616</f>
        <v>27482.489999999998</v>
      </c>
      <c r="P616" s="24">
        <f>244.55/109</f>
        <v>2.2435779816513763</v>
      </c>
      <c r="Q616" s="24">
        <f>TRUNC(P616*E616,2)</f>
        <v>424.03</v>
      </c>
      <c r="R616" s="24">
        <f t="shared" si="1027"/>
        <v>528.62</v>
      </c>
      <c r="S616" s="24">
        <f t="shared" si="1028"/>
        <v>26953.87</v>
      </c>
    </row>
    <row r="617" spans="1:19" ht="31.5">
      <c r="A617" s="338"/>
      <c r="B617" s="44"/>
      <c r="C617" s="167"/>
      <c r="D617" s="341" t="s">
        <v>22868</v>
      </c>
      <c r="E617" s="339"/>
      <c r="F617" s="167"/>
      <c r="G617" s="339"/>
      <c r="H617" s="339"/>
      <c r="I617" s="340"/>
      <c r="J617" s="339"/>
      <c r="K617" s="339"/>
      <c r="L617" s="339"/>
      <c r="M617" s="339"/>
      <c r="N617" s="339"/>
      <c r="P617" s="339"/>
      <c r="Q617" s="339"/>
      <c r="R617" s="24">
        <f t="shared" si="1027"/>
        <v>0</v>
      </c>
      <c r="S617" s="24">
        <f t="shared" si="1028"/>
        <v>0</v>
      </c>
    </row>
    <row r="618" spans="1:19">
      <c r="A618" s="9" t="s">
        <v>23258</v>
      </c>
      <c r="B618" s="10" t="s">
        <v>9016</v>
      </c>
      <c r="C618" s="10">
        <v>516100</v>
      </c>
      <c r="D618" s="43" t="str">
        <f>VLOOKUP(C618,'13. CUSTOS DER - SERVIÇOS'!A:B,2,0)</f>
        <v>PREENCHIMENTO REBAIXO C/ RACHÃO</v>
      </c>
      <c r="E618" s="11">
        <v>100.8</v>
      </c>
      <c r="F618" s="26" t="str">
        <f>VLOOKUP(C618,'13. CUSTOS DER - SERVIÇOS'!A:C,3,0)</f>
        <v>M3</v>
      </c>
      <c r="G618" s="24">
        <f>VLOOKUP(C618,'13. CUSTOS DER - SERVIÇOS'!A:G,7,0)</f>
        <v>94.46</v>
      </c>
      <c r="H618" s="24">
        <f>VLOOKUP(C618,'10. CCU TRANSPORTE'!B:J,9,0)</f>
        <v>22.18</v>
      </c>
      <c r="I618" s="25">
        <f>'3. BDI'!$C$19</f>
        <v>0.24666704095238123</v>
      </c>
      <c r="J618" s="24">
        <f>TRUNC(G618+(G618*I618),2)</f>
        <v>117.76</v>
      </c>
      <c r="K618" s="24">
        <f>TRUNC(H618+(H618*I618),2)</f>
        <v>27.65</v>
      </c>
      <c r="L618" s="24">
        <f>J618*E618</f>
        <v>11870.208000000001</v>
      </c>
      <c r="M618" s="24">
        <f>K618*E618</f>
        <v>2787.12</v>
      </c>
      <c r="N618" s="24">
        <f>L618+M618</f>
        <v>14657.328000000001</v>
      </c>
      <c r="P618" s="24">
        <f>244.55/109</f>
        <v>2.2435779816513763</v>
      </c>
      <c r="Q618" s="24">
        <f>TRUNC(P618*E618,2)</f>
        <v>226.15</v>
      </c>
      <c r="R618" s="24">
        <f t="shared" si="1027"/>
        <v>281.93</v>
      </c>
      <c r="S618" s="24">
        <f t="shared" si="1028"/>
        <v>14375.398000000001</v>
      </c>
    </row>
    <row r="619" spans="1:19">
      <c r="A619" s="338"/>
      <c r="B619" s="44"/>
      <c r="C619" s="167"/>
      <c r="D619" s="341" t="s">
        <v>23690</v>
      </c>
      <c r="E619" s="339"/>
      <c r="F619" s="167"/>
      <c r="G619" s="339"/>
      <c r="H619" s="339"/>
      <c r="I619" s="340"/>
      <c r="J619" s="339"/>
      <c r="K619" s="339"/>
      <c r="L619" s="339"/>
      <c r="M619" s="339"/>
      <c r="N619" s="339"/>
      <c r="P619" s="339"/>
      <c r="Q619" s="339"/>
      <c r="R619" s="24">
        <f t="shared" si="1027"/>
        <v>0</v>
      </c>
      <c r="S619" s="24">
        <f t="shared" si="1028"/>
        <v>0</v>
      </c>
    </row>
    <row r="620" spans="1:19">
      <c r="A620" s="9" t="s">
        <v>23701</v>
      </c>
      <c r="B620" s="10" t="s">
        <v>9016</v>
      </c>
      <c r="C620" s="10">
        <v>603900</v>
      </c>
      <c r="D620" s="43" t="str">
        <f>VLOOKUP(C620,'13. CUSTOS DER - SERVIÇOS'!A:B,2,0)</f>
        <v>LASTRO DE BRITA</v>
      </c>
      <c r="E620" s="11">
        <v>37.200000000000003</v>
      </c>
      <c r="F620" s="26" t="str">
        <f>VLOOKUP(C620,'13. CUSTOS DER - SERVIÇOS'!A:C,3,0)</f>
        <v>M3</v>
      </c>
      <c r="G620" s="24">
        <f>VLOOKUP(C620,'13. CUSTOS DER - SERVIÇOS'!A:G,7,0)</f>
        <v>131.84</v>
      </c>
      <c r="H620" s="24">
        <f>VLOOKUP(C620,'10. CCU TRANSPORTE'!B:J,9,0)</f>
        <v>17.059999999999999</v>
      </c>
      <c r="I620" s="25">
        <f>'3. BDI'!$C$19</f>
        <v>0.24666704095238123</v>
      </c>
      <c r="J620" s="24">
        <f>TRUNC(G620+(G620*I620),2)</f>
        <v>164.36</v>
      </c>
      <c r="K620" s="24">
        <f>TRUNC(H620+(H620*I620),2)</f>
        <v>21.26</v>
      </c>
      <c r="L620" s="24">
        <f>J620*E620</f>
        <v>6114.1920000000009</v>
      </c>
      <c r="M620" s="24">
        <f>K620*E620</f>
        <v>790.87200000000007</v>
      </c>
      <c r="N620" s="24">
        <f>L620+M620</f>
        <v>6905.0640000000012</v>
      </c>
      <c r="P620" s="24">
        <f>62.92/1</f>
        <v>62.92</v>
      </c>
      <c r="Q620" s="24">
        <f>TRUNC(P620*E620,2)</f>
        <v>2340.62</v>
      </c>
      <c r="R620" s="24">
        <f t="shared" si="1027"/>
        <v>2917.97</v>
      </c>
      <c r="S620" s="24">
        <f t="shared" si="1028"/>
        <v>3987.0940000000014</v>
      </c>
    </row>
    <row r="621" spans="1:19">
      <c r="A621" s="310" t="s">
        <v>341</v>
      </c>
      <c r="B621" s="311"/>
      <c r="C621" s="315"/>
      <c r="D621" s="317" t="s">
        <v>22741</v>
      </c>
      <c r="E621" s="314"/>
      <c r="F621" s="315" t="s">
        <v>195</v>
      </c>
      <c r="G621" s="314"/>
      <c r="H621" s="314"/>
      <c r="I621" s="316"/>
      <c r="J621" s="314"/>
      <c r="K621" s="314"/>
      <c r="L621" s="314">
        <f>L622+L659+L675+L702+L727</f>
        <v>40939158.403400004</v>
      </c>
      <c r="M621" s="314">
        <f>M622+M659+M675+M702+M727</f>
        <v>7460224.7384000011</v>
      </c>
      <c r="N621" s="314">
        <f>N622+N659+N675+N702+N727</f>
        <v>48399383.141799994</v>
      </c>
      <c r="P621" s="314">
        <f t="shared" ref="P621:S621" si="1045">P622+P659+P675+P702+P727</f>
        <v>909.05444132534444</v>
      </c>
      <c r="Q621" s="314">
        <f t="shared" si="1045"/>
        <v>3056553.8950999998</v>
      </c>
      <c r="R621" s="314">
        <f t="shared" si="1045"/>
        <v>3810504.3999999994</v>
      </c>
      <c r="S621" s="314">
        <f t="shared" si="1045"/>
        <v>44588878.741800003</v>
      </c>
    </row>
    <row r="622" spans="1:19">
      <c r="A622" s="28" t="s">
        <v>22898</v>
      </c>
      <c r="B622" s="48"/>
      <c r="C622" s="29"/>
      <c r="D622" s="301" t="s">
        <v>22841</v>
      </c>
      <c r="E622" s="30"/>
      <c r="F622" s="29" t="s">
        <v>195</v>
      </c>
      <c r="G622" s="30"/>
      <c r="H622" s="30"/>
      <c r="I622" s="31"/>
      <c r="J622" s="30"/>
      <c r="K622" s="30"/>
      <c r="L622" s="30">
        <f>SUM(L623:L658)</f>
        <v>9307191.3915000036</v>
      </c>
      <c r="M622" s="30">
        <f>SUM(M623:M658)</f>
        <v>1731854.2752000003</v>
      </c>
      <c r="N622" s="30">
        <f>SUM(N623:N658)</f>
        <v>11039045.666700002</v>
      </c>
      <c r="P622" s="30">
        <f t="shared" ref="P622:S622" si="1046">SUM(P623:P658)</f>
        <v>191.96454374573096</v>
      </c>
      <c r="Q622" s="30">
        <f t="shared" si="1046"/>
        <v>706151.45409999986</v>
      </c>
      <c r="R622" s="30">
        <f t="shared" si="1046"/>
        <v>880335.60000000009</v>
      </c>
      <c r="S622" s="30">
        <f t="shared" si="1046"/>
        <v>10158710.066700004</v>
      </c>
    </row>
    <row r="623" spans="1:19">
      <c r="A623" s="345"/>
      <c r="B623" s="346"/>
      <c r="C623" s="347"/>
      <c r="D623" s="348" t="s">
        <v>376</v>
      </c>
      <c r="E623" s="349"/>
      <c r="F623" s="347" t="s">
        <v>195</v>
      </c>
      <c r="G623" s="349"/>
      <c r="H623" s="349"/>
      <c r="I623" s="350"/>
      <c r="J623" s="349"/>
      <c r="K623" s="349"/>
      <c r="L623" s="349"/>
      <c r="M623" s="349"/>
      <c r="N623" s="349"/>
      <c r="P623" s="349"/>
      <c r="Q623" s="349"/>
      <c r="R623" s="24">
        <f t="shared" ref="R623:R658" si="1047">TRUNC((Q623*I623+Q623),2)</f>
        <v>0</v>
      </c>
      <c r="S623" s="24">
        <f t="shared" ref="S623:S658" si="1048">N623-R623</f>
        <v>0</v>
      </c>
    </row>
    <row r="624" spans="1:19">
      <c r="A624" s="9" t="s">
        <v>23168</v>
      </c>
      <c r="B624" s="10" t="s">
        <v>22708</v>
      </c>
      <c r="C624" s="10">
        <v>1600441</v>
      </c>
      <c r="D624" s="43" t="str">
        <f>UPPER(VLOOKUP(C624,'18. CUSTOS DNIT - SERVIÇOS'!A:B,2,0))</f>
        <v>REMOÇÃO DE PARALELEPÍPEDOS</v>
      </c>
      <c r="E624" s="11">
        <v>2471.1</v>
      </c>
      <c r="F624" s="26" t="str">
        <f>UPPER((VLOOKUP(C624,'18. CUSTOS DNIT - SERVIÇOS'!A:C,3,0)))</f>
        <v>M²</v>
      </c>
      <c r="G624" s="24">
        <f>VLOOKUP(C624,'18. CUSTOS DNIT - SERVIÇOS'!A:D,4,0)</f>
        <v>4.72</v>
      </c>
      <c r="H624" s="24"/>
      <c r="I624" s="25">
        <f>'3. BDI'!$C$19</f>
        <v>0.24666704095238123</v>
      </c>
      <c r="J624" s="24">
        <f t="shared" ref="J624" si="1049">TRUNC(G624+(G624*I624),2)</f>
        <v>5.88</v>
      </c>
      <c r="K624" s="24">
        <f t="shared" ref="K624" si="1050">TRUNC(H624+(H624*I624),2)</f>
        <v>0</v>
      </c>
      <c r="L624" s="24">
        <f t="shared" ref="L624" si="1051">J624*E624</f>
        <v>14530.067999999999</v>
      </c>
      <c r="M624" s="24">
        <f t="shared" ref="M624" si="1052">K624*E624</f>
        <v>0</v>
      </c>
      <c r="N624" s="24">
        <f t="shared" ref="N624" si="1053">L624+M624</f>
        <v>14530.067999999999</v>
      </c>
      <c r="P624" s="24">
        <f>7.5823/1.60645</f>
        <v>4.7199103613557849</v>
      </c>
      <c r="Q624" s="24">
        <f>TRUNC((P624*E624),2)</f>
        <v>11663.37</v>
      </c>
      <c r="R624" s="24">
        <f t="shared" si="1047"/>
        <v>14540.33</v>
      </c>
      <c r="S624" s="24">
        <f t="shared" si="1048"/>
        <v>-10.262000000000626</v>
      </c>
    </row>
    <row r="625" spans="1:19">
      <c r="A625" s="9" t="s">
        <v>23261</v>
      </c>
      <c r="B625" s="10" t="s">
        <v>9016</v>
      </c>
      <c r="C625" s="10">
        <v>511200</v>
      </c>
      <c r="D625" s="43" t="str">
        <f>VLOOKUP(C625,'13. CUSTOS DER - SERVIÇOS'!A:B,2,0)</f>
        <v>REGULARIZAÇÃO COMPAC.SUBLEITO 100% PN (B)</v>
      </c>
      <c r="E625" s="11">
        <v>46292.27</v>
      </c>
      <c r="F625" s="26" t="str">
        <f>VLOOKUP(C625,'13. CUSTOS DER - SERVIÇOS'!A:C,3,0)</f>
        <v>M2</v>
      </c>
      <c r="G625" s="24">
        <f>VLOOKUP(C625,'13. CUSTOS DER - SERVIÇOS'!A:G,7,0)</f>
        <v>4.6399999999999997</v>
      </c>
      <c r="H625" s="24"/>
      <c r="I625" s="25">
        <f>'3. BDI'!$C$19</f>
        <v>0.24666704095238123</v>
      </c>
      <c r="J625" s="24">
        <f t="shared" ref="J625:J649" si="1054">TRUNC(G625+(G625*I625),2)</f>
        <v>5.78</v>
      </c>
      <c r="K625" s="24">
        <f t="shared" ref="K625:K649" si="1055">TRUNC(H625+(H625*I625),2)</f>
        <v>0</v>
      </c>
      <c r="L625" s="24">
        <f t="shared" ref="L625:L649" si="1056">J625*E625</f>
        <v>267569.32059999998</v>
      </c>
      <c r="M625" s="24">
        <f t="shared" ref="M625:M649" si="1057">K625*E625</f>
        <v>0</v>
      </c>
      <c r="N625" s="24">
        <f t="shared" ref="N625:N649" si="1058">L625+M625</f>
        <v>267569.32059999998</v>
      </c>
      <c r="P625" s="24">
        <f>166.6/272.77</f>
        <v>0.61077097921325663</v>
      </c>
      <c r="Q625" s="24">
        <f t="shared" ref="Q625:Q627" si="1059">TRUNC(P625*E625,2)</f>
        <v>28273.97</v>
      </c>
      <c r="R625" s="24">
        <f t="shared" si="1047"/>
        <v>35248.22</v>
      </c>
      <c r="S625" s="24">
        <f t="shared" si="1048"/>
        <v>232321.10059999998</v>
      </c>
    </row>
    <row r="626" spans="1:19">
      <c r="A626" s="9" t="s">
        <v>23262</v>
      </c>
      <c r="B626" s="10" t="s">
        <v>9016</v>
      </c>
      <c r="C626" s="10">
        <v>531000</v>
      </c>
      <c r="D626" s="43" t="str">
        <f>VLOOKUP(C626,'13. CUSTOS DER - SERVIÇOS'!A:B,2,0)</f>
        <v>BRITA GRADUADA 100% PI</v>
      </c>
      <c r="E626" s="11">
        <v>9069.8700000000008</v>
      </c>
      <c r="F626" s="26" t="str">
        <f>VLOOKUP(C626,'13. CUSTOS DER - SERVIÇOS'!A:C,3,0)</f>
        <v>M3</v>
      </c>
      <c r="G626" s="24">
        <f>VLOOKUP(C626,'13. CUSTOS DER - SERVIÇOS'!A:G,7,0)</f>
        <v>132.22999999999999</v>
      </c>
      <c r="H626" s="24">
        <f>VLOOKUP(C626,'10. CCU TRANSPORTE'!B:J,9,0)</f>
        <v>34.799999999999997</v>
      </c>
      <c r="I626" s="25">
        <f>'3. BDI'!$C$19</f>
        <v>0.24666704095238123</v>
      </c>
      <c r="J626" s="24">
        <f t="shared" si="1054"/>
        <v>164.84</v>
      </c>
      <c r="K626" s="24">
        <f t="shared" si="1055"/>
        <v>43.38</v>
      </c>
      <c r="L626" s="24">
        <f t="shared" si="1056"/>
        <v>1495077.3708000001</v>
      </c>
      <c r="M626" s="24">
        <f t="shared" si="1057"/>
        <v>393450.96060000005</v>
      </c>
      <c r="N626" s="24">
        <f t="shared" si="1058"/>
        <v>1888528.3314000003</v>
      </c>
      <c r="P626" s="24">
        <f>306.75/87.3</f>
        <v>3.5137457044673539</v>
      </c>
      <c r="Q626" s="24">
        <f t="shared" si="1059"/>
        <v>31869.21</v>
      </c>
      <c r="R626" s="24">
        <f t="shared" si="1047"/>
        <v>39730.29</v>
      </c>
      <c r="S626" s="24">
        <f t="shared" si="1048"/>
        <v>1848798.0414000002</v>
      </c>
    </row>
    <row r="627" spans="1:19">
      <c r="A627" s="9" t="s">
        <v>23263</v>
      </c>
      <c r="B627" s="10" t="s">
        <v>9016</v>
      </c>
      <c r="C627" s="10">
        <v>502615</v>
      </c>
      <c r="D627" s="43" t="str">
        <f>VLOOKUP(C627,'13. CUSTOS DER - SERVIÇOS'!A:B,2,0)</f>
        <v>CONCRETO COMPACTADO A ROLO FCK= 15MPA</v>
      </c>
      <c r="E627" s="11">
        <v>4440.63</v>
      </c>
      <c r="F627" s="26" t="str">
        <f>VLOOKUP(C627,'13. CUSTOS DER - SERVIÇOS'!A:C,3,0)</f>
        <v>M3</v>
      </c>
      <c r="G627" s="24">
        <f>VLOOKUP(C627,'13. CUSTOS DER - SERVIÇOS'!A:G,7,0)</f>
        <v>307.27999999999997</v>
      </c>
      <c r="H627" s="24">
        <f>VLOOKUP(C627,'10. CCU TRANSPORTE'!B:J,9,0)</f>
        <v>60.91</v>
      </c>
      <c r="I627" s="25">
        <f>'3. BDI'!$C$19</f>
        <v>0.24666704095238123</v>
      </c>
      <c r="J627" s="24">
        <f t="shared" si="1054"/>
        <v>383.07</v>
      </c>
      <c r="K627" s="24">
        <f t="shared" si="1055"/>
        <v>75.930000000000007</v>
      </c>
      <c r="L627" s="24">
        <f t="shared" si="1056"/>
        <v>1701072.1340999999</v>
      </c>
      <c r="M627" s="24">
        <f t="shared" si="1057"/>
        <v>337177.03590000002</v>
      </c>
      <c r="N627" s="24">
        <f t="shared" si="1058"/>
        <v>2038249.17</v>
      </c>
      <c r="P627" s="24">
        <f>200.2/130</f>
        <v>1.5399999999999998</v>
      </c>
      <c r="Q627" s="24">
        <f t="shared" si="1059"/>
        <v>6838.57</v>
      </c>
      <c r="R627" s="24">
        <f t="shared" si="1047"/>
        <v>8525.41</v>
      </c>
      <c r="S627" s="24">
        <f t="shared" si="1048"/>
        <v>2029723.76</v>
      </c>
    </row>
    <row r="628" spans="1:19" ht="31.5">
      <c r="A628" s="9" t="s">
        <v>23264</v>
      </c>
      <c r="B628" s="10" t="s">
        <v>22708</v>
      </c>
      <c r="C628" s="10">
        <v>4011538</v>
      </c>
      <c r="D628" s="43" t="str">
        <f>UPPER(VLOOKUP(C628,'18. CUSTOS DNIT - SERVIÇOS'!A:B,2,0))</f>
        <v>CURA COM PINTURA ASFÁLTICA PARA PAVIMENTO DE CONCRETO COMPACTADO COM ROLO</v>
      </c>
      <c r="E628" s="11">
        <v>45349.32</v>
      </c>
      <c r="F628" s="26" t="str">
        <f>UPPER((VLOOKUP(C628,'18. CUSTOS DNIT - SERVIÇOS'!A:C,3,0)))</f>
        <v>M²</v>
      </c>
      <c r="G628" s="24">
        <f>VLOOKUP(C628,'18. CUSTOS DNIT - SERVIÇOS'!A:D,4,0)</f>
        <v>0.16</v>
      </c>
      <c r="H628" s="24"/>
      <c r="I628" s="25">
        <f>'3. BDI'!$C$19</f>
        <v>0.24666704095238123</v>
      </c>
      <c r="J628" s="24">
        <f t="shared" si="1054"/>
        <v>0.19</v>
      </c>
      <c r="K628" s="24">
        <f t="shared" si="1055"/>
        <v>0</v>
      </c>
      <c r="L628" s="24">
        <f t="shared" si="1056"/>
        <v>8616.3708000000006</v>
      </c>
      <c r="M628" s="24">
        <f t="shared" si="1057"/>
        <v>0</v>
      </c>
      <c r="N628" s="24">
        <f t="shared" si="1058"/>
        <v>8616.3708000000006</v>
      </c>
      <c r="P628" s="24">
        <v>0</v>
      </c>
      <c r="Q628" s="24">
        <f>TRUNC((P628*E628),2)</f>
        <v>0</v>
      </c>
      <c r="R628" s="24">
        <f t="shared" si="1047"/>
        <v>0</v>
      </c>
      <c r="S628" s="24">
        <f t="shared" si="1048"/>
        <v>8616.3708000000006</v>
      </c>
    </row>
    <row r="629" spans="1:19" ht="31.5">
      <c r="A629" s="9" t="s">
        <v>23265</v>
      </c>
      <c r="B629" s="10" t="s">
        <v>9016</v>
      </c>
      <c r="C629" s="10">
        <v>503110</v>
      </c>
      <c r="D629" s="43" t="str">
        <f>VLOOKUP(C629,'13. CUSTOS DER - SERVIÇOS'!A:B,2,0)</f>
        <v>FORNECIMENTO E APLICAÇÃO DE LONA PLÁSTICA PRETA 200 MICRAS</v>
      </c>
      <c r="E629" s="11">
        <v>43463.44</v>
      </c>
      <c r="F629" s="26" t="str">
        <f>VLOOKUP(C629,'13. CUSTOS DER - SERVIÇOS'!A:C,3,0)</f>
        <v>M2</v>
      </c>
      <c r="G629" s="24">
        <f>VLOOKUP(C629,'13. CUSTOS DER - SERVIÇOS'!A:G,7,0)</f>
        <v>3.61</v>
      </c>
      <c r="H629" s="24"/>
      <c r="I629" s="25">
        <f>'3. BDI'!$C$19</f>
        <v>0.24666704095238123</v>
      </c>
      <c r="J629" s="24">
        <f t="shared" si="1054"/>
        <v>4.5</v>
      </c>
      <c r="K629" s="24">
        <f t="shared" si="1055"/>
        <v>0</v>
      </c>
      <c r="L629" s="24">
        <f t="shared" si="1056"/>
        <v>195585.48</v>
      </c>
      <c r="M629" s="24">
        <f t="shared" si="1057"/>
        <v>0</v>
      </c>
      <c r="N629" s="24">
        <f t="shared" si="1058"/>
        <v>195585.48</v>
      </c>
      <c r="P629" s="24">
        <f>125.84/300</f>
        <v>0.41946666666666665</v>
      </c>
      <c r="Q629" s="24">
        <f t="shared" ref="Q629:Q632" si="1060">TRUNC(P629*E629,2)</f>
        <v>18231.46</v>
      </c>
      <c r="R629" s="24">
        <f t="shared" si="1047"/>
        <v>22728.560000000001</v>
      </c>
      <c r="S629" s="24">
        <f t="shared" si="1048"/>
        <v>172856.92</v>
      </c>
    </row>
    <row r="630" spans="1:19" ht="31.5">
      <c r="A630" s="9" t="s">
        <v>23266</v>
      </c>
      <c r="B630" s="10" t="s">
        <v>9016</v>
      </c>
      <c r="C630" s="10">
        <v>504920</v>
      </c>
      <c r="D630" s="43" t="str">
        <f>VLOOKUP(C630,'13. CUSTOS DER - SERVIÇOS'!A:B,2,0)</f>
        <v>FORNECIMENTO E COLOCAÇÃO DE TELA TELCON Q-138 OU EQUIVALENTE</v>
      </c>
      <c r="E630" s="11">
        <v>177.46</v>
      </c>
      <c r="F630" s="26" t="str">
        <f>VLOOKUP(C630,'13. CUSTOS DER - SERVIÇOS'!A:C,3,0)</f>
        <v>KG</v>
      </c>
      <c r="G630" s="24">
        <f>VLOOKUP(C630,'13. CUSTOS DER - SERVIÇOS'!A:G,7,0)</f>
        <v>11.4</v>
      </c>
      <c r="H630" s="24">
        <f>VLOOKUP(C630,'10. CCU TRANSPORTE'!B:J,9,0)</f>
        <v>0.05</v>
      </c>
      <c r="I630" s="25">
        <f>'3. BDI'!$C$19</f>
        <v>0.24666704095238123</v>
      </c>
      <c r="J630" s="24">
        <f>TRUNC(G630+(G630*I630),2)</f>
        <v>14.21</v>
      </c>
      <c r="K630" s="24">
        <f>TRUNC(H630+(H630*I630),2)</f>
        <v>0.06</v>
      </c>
      <c r="L630" s="24">
        <f>J630*E630</f>
        <v>2521.7066000000004</v>
      </c>
      <c r="M630" s="24">
        <f>K630*E630</f>
        <v>10.647600000000001</v>
      </c>
      <c r="N630" s="24">
        <f>L630+M630</f>
        <v>2532.3542000000002</v>
      </c>
      <c r="P630" s="24">
        <f>15.73/50</f>
        <v>0.31459999999999999</v>
      </c>
      <c r="Q630" s="24">
        <f t="shared" si="1060"/>
        <v>55.82</v>
      </c>
      <c r="R630" s="24">
        <f t="shared" si="1047"/>
        <v>69.58</v>
      </c>
      <c r="S630" s="24">
        <f t="shared" si="1048"/>
        <v>2462.7742000000003</v>
      </c>
    </row>
    <row r="631" spans="1:19" ht="31.5">
      <c r="A631" s="9" t="s">
        <v>23267</v>
      </c>
      <c r="B631" s="10" t="s">
        <v>9016</v>
      </c>
      <c r="C631" s="10">
        <v>507220</v>
      </c>
      <c r="D631" s="43" t="str">
        <f>VLOOKUP(C631,'13. CUSTOS DER - SERVIÇOS'!A:B,2,0)</f>
        <v>FORNECIMENTO E COLOCAÇÃO DE AÇO CA-25 PARA BARRA DE TRANSFERÊNCIA Ø= 20MM</v>
      </c>
      <c r="E631" s="11">
        <v>975.49</v>
      </c>
      <c r="F631" s="26" t="str">
        <f>VLOOKUP(C631,'13. CUSTOS DER - SERVIÇOS'!A:C,3,0)</f>
        <v>KG</v>
      </c>
      <c r="G631" s="24">
        <f>VLOOKUP(C631,'13. CUSTOS DER - SERVIÇOS'!A:G,7,0)</f>
        <v>7.48</v>
      </c>
      <c r="H631" s="24"/>
      <c r="I631" s="25">
        <f>'3. BDI'!$C$19</f>
        <v>0.24666704095238123</v>
      </c>
      <c r="J631" s="24">
        <f>TRUNC(G631+(G631*I631),2)</f>
        <v>9.32</v>
      </c>
      <c r="K631" s="24">
        <f>TRUNC(H631+(H631*I631),2)</f>
        <v>0</v>
      </c>
      <c r="L631" s="24">
        <f>J631*E631</f>
        <v>9091.5668000000005</v>
      </c>
      <c r="M631" s="24">
        <f>K631*E631</f>
        <v>0</v>
      </c>
      <c r="N631" s="24">
        <f>L631+M631</f>
        <v>9091.5668000000005</v>
      </c>
      <c r="P631" s="24">
        <f>2.91/50</f>
        <v>5.8200000000000002E-2</v>
      </c>
      <c r="Q631" s="24">
        <f t="shared" si="1060"/>
        <v>56.77</v>
      </c>
      <c r="R631" s="24">
        <f t="shared" si="1047"/>
        <v>70.77</v>
      </c>
      <c r="S631" s="24">
        <f t="shared" si="1048"/>
        <v>9020.7968000000001</v>
      </c>
    </row>
    <row r="632" spans="1:19" ht="31.5">
      <c r="A632" s="9" t="s">
        <v>23268</v>
      </c>
      <c r="B632" s="10" t="s">
        <v>9016</v>
      </c>
      <c r="C632" s="10">
        <v>507210</v>
      </c>
      <c r="D632" s="43" t="str">
        <f>VLOOKUP(C632,'13. CUSTOS DER - SERVIÇOS'!A:B,2,0)</f>
        <v>FORNECIMENTO E COLOCAÇÃO DE AÇO CA 50 PARA BARRAS DE LIGAÇÃO</v>
      </c>
      <c r="E632" s="11">
        <v>1577.2</v>
      </c>
      <c r="F632" s="26" t="str">
        <f>VLOOKUP(C632,'13. CUSTOS DER - SERVIÇOS'!A:C,3,0)</f>
        <v>KG</v>
      </c>
      <c r="G632" s="24">
        <f>VLOOKUP(C632,'13. CUSTOS DER - SERVIÇOS'!A:G,7,0)</f>
        <v>8.4</v>
      </c>
      <c r="H632" s="24"/>
      <c r="I632" s="25">
        <f>'3. BDI'!$C$19</f>
        <v>0.24666704095238123</v>
      </c>
      <c r="J632" s="24">
        <f>TRUNC(G632+(G632*I632),2)</f>
        <v>10.47</v>
      </c>
      <c r="K632" s="24">
        <f>TRUNC(H632+(H632*I632),2)</f>
        <v>0</v>
      </c>
      <c r="L632" s="24">
        <f>J632*E632</f>
        <v>16513.284000000003</v>
      </c>
      <c r="M632" s="24">
        <f>K632*E632</f>
        <v>0</v>
      </c>
      <c r="N632" s="24">
        <f>L632+M632</f>
        <v>16513.284000000003</v>
      </c>
      <c r="P632" s="24">
        <f>5.77/50</f>
        <v>0.11539999999999999</v>
      </c>
      <c r="Q632" s="24">
        <f t="shared" si="1060"/>
        <v>182</v>
      </c>
      <c r="R632" s="24">
        <f t="shared" si="1047"/>
        <v>226.89</v>
      </c>
      <c r="S632" s="24">
        <f t="shared" si="1048"/>
        <v>16286.394000000004</v>
      </c>
    </row>
    <row r="633" spans="1:19" ht="31.5">
      <c r="A633" s="9" t="s">
        <v>23269</v>
      </c>
      <c r="B633" s="10" t="s">
        <v>22708</v>
      </c>
      <c r="C633" s="10">
        <v>407819</v>
      </c>
      <c r="D633" s="43" t="str">
        <f>UPPER(VLOOKUP(C633,'18. CUSTOS DNIT - SERVIÇOS'!A:B,2,0))</f>
        <v>ARMAÇÃO EM AÇO CA-50 - FORNECIMENTO, PREPARO E COLOCAÇÃO</v>
      </c>
      <c r="E633" s="11">
        <v>187.5</v>
      </c>
      <c r="F633" s="26" t="str">
        <f>UPPER((VLOOKUP(C633,'18. CUSTOS DNIT - SERVIÇOS'!A:C,3,0)))</f>
        <v>KG</v>
      </c>
      <c r="G633" s="24">
        <f>VLOOKUP(C633,'18. CUSTOS DNIT - SERVIÇOS'!A:D,4,0)</f>
        <v>12.74</v>
      </c>
      <c r="H633" s="24"/>
      <c r="I633" s="25">
        <f>'3. BDI'!$C$19</f>
        <v>0.24666704095238123</v>
      </c>
      <c r="J633" s="24">
        <f t="shared" ref="J633" si="1061">TRUNC(G633+(G633*I633),2)</f>
        <v>15.88</v>
      </c>
      <c r="K633" s="24">
        <f t="shared" ref="K633" si="1062">TRUNC(H633+(H633*I633),2)</f>
        <v>0</v>
      </c>
      <c r="L633" s="24">
        <f t="shared" ref="L633" si="1063">J633*E633</f>
        <v>2977.5</v>
      </c>
      <c r="M633" s="24">
        <f t="shared" ref="M633" si="1064">K633*E633</f>
        <v>0</v>
      </c>
      <c r="N633" s="24">
        <f t="shared" ref="N633" si="1065">L633+M633</f>
        <v>2977.5</v>
      </c>
      <c r="P633" s="24">
        <f>5.1929/1</f>
        <v>5.1928999999999998</v>
      </c>
      <c r="Q633" s="24">
        <f>TRUNC((P633*E633),2)</f>
        <v>973.66</v>
      </c>
      <c r="R633" s="24">
        <f t="shared" si="1047"/>
        <v>1213.82</v>
      </c>
      <c r="S633" s="24">
        <f t="shared" si="1048"/>
        <v>1763.68</v>
      </c>
    </row>
    <row r="634" spans="1:19" ht="31.5">
      <c r="A634" s="9"/>
      <c r="B634" s="10"/>
      <c r="C634" s="10"/>
      <c r="D634" s="352" t="s">
        <v>23689</v>
      </c>
      <c r="E634" s="11"/>
      <c r="F634" s="26"/>
      <c r="G634" s="24"/>
      <c r="H634" s="24"/>
      <c r="I634" s="25"/>
      <c r="J634" s="24"/>
      <c r="K634" s="24"/>
      <c r="L634" s="24"/>
      <c r="M634" s="24"/>
      <c r="N634" s="24"/>
      <c r="P634" s="24"/>
      <c r="Q634" s="24"/>
      <c r="R634" s="24">
        <f t="shared" si="1047"/>
        <v>0</v>
      </c>
      <c r="S634" s="24">
        <f t="shared" si="1048"/>
        <v>0</v>
      </c>
    </row>
    <row r="635" spans="1:19" ht="31.5">
      <c r="A635" s="9" t="s">
        <v>23270</v>
      </c>
      <c r="B635" s="10" t="s">
        <v>9016</v>
      </c>
      <c r="C635" s="10">
        <v>504840</v>
      </c>
      <c r="D635" s="43" t="str">
        <f>VLOOKUP(C635,'13. CUSTOS DER - SERVIÇOS'!A:B,2,0)</f>
        <v>FORNECIMENTO E APLICAÇÃO DE FIBRA DE POLIPROPILENO MULTIFILAMENTOS (0,600KG/ M³)</v>
      </c>
      <c r="E635" s="11">
        <v>4269.76</v>
      </c>
      <c r="F635" s="26" t="str">
        <f>VLOOKUP(C635,'13. CUSTOS DER - SERVIÇOS'!A:C,3,0)</f>
        <v>KG</v>
      </c>
      <c r="G635" s="24">
        <f>VLOOKUP(C635,'13. CUSTOS DER - SERVIÇOS'!A:G,7,0)</f>
        <v>41.95</v>
      </c>
      <c r="H635" s="24">
        <v>0</v>
      </c>
      <c r="I635" s="25">
        <f>'3. BDI'!$C$19</f>
        <v>0.24666704095238123</v>
      </c>
      <c r="J635" s="24">
        <f>TRUNC(G635+(G635*I635),2)</f>
        <v>52.29</v>
      </c>
      <c r="K635" s="24">
        <f>TRUNC(H635+(H635*I635),2)</f>
        <v>0</v>
      </c>
      <c r="L635" s="24">
        <f>J635*E635</f>
        <v>223265.75040000002</v>
      </c>
      <c r="M635" s="24">
        <f>K635*E635</f>
        <v>0</v>
      </c>
      <c r="N635" s="24">
        <f>L635+M635</f>
        <v>223265.75040000002</v>
      </c>
      <c r="P635" s="24">
        <f>3.14/15</f>
        <v>0.20933333333333334</v>
      </c>
      <c r="Q635" s="24">
        <f t="shared" ref="Q635:Q640" si="1066">TRUNC(P635*E635,2)</f>
        <v>893.8</v>
      </c>
      <c r="R635" s="24">
        <f t="shared" si="1047"/>
        <v>1114.27</v>
      </c>
      <c r="S635" s="24">
        <f t="shared" si="1048"/>
        <v>222151.48040000003</v>
      </c>
    </row>
    <row r="636" spans="1:19" ht="31.5">
      <c r="A636" s="9" t="s">
        <v>23271</v>
      </c>
      <c r="B636" s="10" t="s">
        <v>9016</v>
      </c>
      <c r="C636" s="10">
        <v>502646</v>
      </c>
      <c r="D636" s="43" t="str">
        <f>VLOOKUP(C636,'13. CUSTOS DER - SERVIÇOS'!A:B,2,0)</f>
        <v>PAVIMENTO DE CONCRETO FCTMK=4,50MPA EXECUTADO COM RÉGUA VIBRATÓRIA</v>
      </c>
      <c r="E636" s="11">
        <v>7116.27</v>
      </c>
      <c r="F636" s="26" t="str">
        <f>VLOOKUP(C636,'13. CUSTOS DER - SERVIÇOS'!A:C,3,0)</f>
        <v>M3</v>
      </c>
      <c r="G636" s="24">
        <f>VLOOKUP(C636,'13. CUSTOS DER - SERVIÇOS'!A:G,7,0)</f>
        <v>378.42</v>
      </c>
      <c r="H636" s="24">
        <f>VLOOKUP(C636,'10. CCU TRANSPORTE'!B:J,9,0)</f>
        <v>106.85999999999999</v>
      </c>
      <c r="I636" s="25">
        <f>'3. BDI'!$C$19</f>
        <v>0.24666704095238123</v>
      </c>
      <c r="J636" s="24">
        <f>TRUNC(G636+(G636*I636),2)</f>
        <v>471.76</v>
      </c>
      <c r="K636" s="24">
        <f>TRUNC(H636+(H636*I636),2)</f>
        <v>133.21</v>
      </c>
      <c r="L636" s="24">
        <f>J636*E636</f>
        <v>3357171.5352000003</v>
      </c>
      <c r="M636" s="24">
        <f>K636*E636</f>
        <v>947958.32670000009</v>
      </c>
      <c r="N636" s="24">
        <f>L636+M636</f>
        <v>4305129.8618999999</v>
      </c>
      <c r="P636" s="24">
        <f>281.72/5</f>
        <v>56.344000000000008</v>
      </c>
      <c r="Q636" s="24">
        <f t="shared" si="1066"/>
        <v>400959.11</v>
      </c>
      <c r="R636" s="24">
        <f t="shared" si="1047"/>
        <v>499862.5</v>
      </c>
      <c r="S636" s="24">
        <f t="shared" si="1048"/>
        <v>3805267.3618999999</v>
      </c>
    </row>
    <row r="637" spans="1:19">
      <c r="A637" s="9" t="s">
        <v>23272</v>
      </c>
      <c r="B637" s="10" t="s">
        <v>9016</v>
      </c>
      <c r="C637" s="10">
        <v>505415</v>
      </c>
      <c r="D637" s="43" t="str">
        <f>VLOOKUP(C637,'13. CUSTOS DER - SERVIÇOS'!A:B,2,0)</f>
        <v>CURA QUÍMICA DE PAVIMENTO DE CONCRETO</v>
      </c>
      <c r="E637" s="11">
        <v>43463.44</v>
      </c>
      <c r="F637" s="26" t="str">
        <f>VLOOKUP(C637,'13. CUSTOS DER - SERVIÇOS'!A:C,3,0)</f>
        <v>M2</v>
      </c>
      <c r="G637" s="24">
        <f>VLOOKUP(C637,'13. CUSTOS DER - SERVIÇOS'!A:G,7,0)</f>
        <v>8.49</v>
      </c>
      <c r="H637" s="24"/>
      <c r="I637" s="25">
        <f>'3. BDI'!$C$19</f>
        <v>0.24666704095238123</v>
      </c>
      <c r="J637" s="24">
        <f>TRUNC(G637+(G637*I637),2)</f>
        <v>10.58</v>
      </c>
      <c r="K637" s="24">
        <f>TRUNC(H637+(H637*I637),2)</f>
        <v>0</v>
      </c>
      <c r="L637" s="24">
        <f>J637*E637</f>
        <v>459843.19520000002</v>
      </c>
      <c r="M637" s="24">
        <f>K637*E637</f>
        <v>0</v>
      </c>
      <c r="N637" s="24">
        <f>L637+M637</f>
        <v>459843.19520000002</v>
      </c>
      <c r="P637" s="24">
        <f>31.46/80</f>
        <v>0.39324999999999999</v>
      </c>
      <c r="Q637" s="24">
        <f t="shared" si="1066"/>
        <v>17091.990000000002</v>
      </c>
      <c r="R637" s="24">
        <f t="shared" si="1047"/>
        <v>21308.02</v>
      </c>
      <c r="S637" s="24">
        <f t="shared" si="1048"/>
        <v>438535.1752</v>
      </c>
    </row>
    <row r="638" spans="1:19">
      <c r="A638" s="9" t="s">
        <v>23273</v>
      </c>
      <c r="B638" s="10" t="s">
        <v>9016</v>
      </c>
      <c r="C638" s="10">
        <v>505416</v>
      </c>
      <c r="D638" s="43" t="str">
        <f>VLOOKUP(C638,'13. CUSTOS DER - SERVIÇOS'!A:B,2,0)</f>
        <v>CURA ÚMIDA DE PAVIMENTO DE CONCRETO COM MANTA DE CURA</v>
      </c>
      <c r="E638" s="11">
        <v>43463.44</v>
      </c>
      <c r="F638" s="26" t="str">
        <f>VLOOKUP(C638,'13. CUSTOS DER - SERVIÇOS'!A:C,3,0)</f>
        <v>M2</v>
      </c>
      <c r="G638" s="24">
        <f>VLOOKUP(C638,'13. CUSTOS DER - SERVIÇOS'!A:G,7,0)</f>
        <v>10</v>
      </c>
      <c r="H638" s="24"/>
      <c r="I638" s="25">
        <f>'3. BDI'!$C$19</f>
        <v>0.24666704095238123</v>
      </c>
      <c r="J638" s="24">
        <f t="shared" ref="J638" si="1067">TRUNC(G638+(G638*I638),2)</f>
        <v>12.46</v>
      </c>
      <c r="K638" s="24">
        <f t="shared" ref="K638" si="1068">TRUNC(H638+(H638*I638),2)</f>
        <v>0</v>
      </c>
      <c r="L638" s="24">
        <f t="shared" ref="L638" si="1069">J638*E638</f>
        <v>541554.46240000008</v>
      </c>
      <c r="M638" s="24">
        <f t="shared" ref="M638" si="1070">K638*E638</f>
        <v>0</v>
      </c>
      <c r="N638" s="24">
        <f t="shared" ref="N638" si="1071">L638+M638</f>
        <v>541554.46240000008</v>
      </c>
      <c r="P638" s="24">
        <f>98.67/45</f>
        <v>2.1926666666666668</v>
      </c>
      <c r="Q638" s="24">
        <f t="shared" si="1066"/>
        <v>95300.83</v>
      </c>
      <c r="R638" s="24">
        <f t="shared" si="1047"/>
        <v>118808.4</v>
      </c>
      <c r="S638" s="24">
        <f t="shared" si="1048"/>
        <v>422746.06240000005</v>
      </c>
    </row>
    <row r="639" spans="1:19" ht="31.5">
      <c r="A639" s="9" t="s">
        <v>23274</v>
      </c>
      <c r="B639" s="10" t="s">
        <v>9016</v>
      </c>
      <c r="C639" s="10">
        <v>502680</v>
      </c>
      <c r="D639" s="43" t="str">
        <f>VLOOKUP(C639,'13. CUSTOS DER - SERVIÇOS'!A:B,2,0)</f>
        <v>JUNTA LONGITUDINAL, INCLUSIVE CORTE, SELANTE A BASE DE SILICONE E CORDÃO DE POLIPROPILENO</v>
      </c>
      <c r="E639" s="11">
        <v>9610.19</v>
      </c>
      <c r="F639" s="26" t="str">
        <f>VLOOKUP(C639,'13. CUSTOS DER - SERVIÇOS'!A:C,3,0)</f>
        <v>M</v>
      </c>
      <c r="G639" s="24">
        <f>VLOOKUP(C639,'13. CUSTOS DER - SERVIÇOS'!A:G,7,0)</f>
        <v>14.93</v>
      </c>
      <c r="H639" s="24"/>
      <c r="I639" s="25">
        <f>'3. BDI'!$C$19</f>
        <v>0.24666704095238123</v>
      </c>
      <c r="J639" s="24">
        <f t="shared" ref="J639:J640" si="1072">TRUNC(G639+(G639*I639),2)</f>
        <v>18.61</v>
      </c>
      <c r="K639" s="24">
        <f t="shared" ref="K639:K640" si="1073">TRUNC(H639+(H639*I639),2)</f>
        <v>0</v>
      </c>
      <c r="L639" s="24">
        <f t="shared" ref="L639:L640" si="1074">J639*E639</f>
        <v>178845.63589999999</v>
      </c>
      <c r="M639" s="24">
        <f t="shared" ref="M639:M640" si="1075">K639*E639</f>
        <v>0</v>
      </c>
      <c r="N639" s="24">
        <f t="shared" ref="N639:N640" si="1076">L639+M639</f>
        <v>178845.63589999999</v>
      </c>
      <c r="P639" s="24">
        <f>187.34/150</f>
        <v>1.2489333333333335</v>
      </c>
      <c r="Q639" s="24">
        <f t="shared" si="1066"/>
        <v>12002.48</v>
      </c>
      <c r="R639" s="24">
        <f t="shared" si="1047"/>
        <v>14963.09</v>
      </c>
      <c r="S639" s="24">
        <f t="shared" si="1048"/>
        <v>163882.5459</v>
      </c>
    </row>
    <row r="640" spans="1:19" ht="31.5">
      <c r="A640" s="9" t="s">
        <v>23275</v>
      </c>
      <c r="B640" s="10" t="s">
        <v>9016</v>
      </c>
      <c r="C640" s="10">
        <v>502670</v>
      </c>
      <c r="D640" s="43" t="str">
        <f>VLOOKUP(C640,'13. CUSTOS DER - SERVIÇOS'!A:B,2,0)</f>
        <v>JUNTA TRANSVERSAL , INCLUSIVE CORTE, SELANTE A BASE DE SILICONE E CORDÃO DE POLIPROPILENO</v>
      </c>
      <c r="E640" s="11">
        <v>12899.31</v>
      </c>
      <c r="F640" s="26" t="str">
        <f>VLOOKUP(C640,'13. CUSTOS DER - SERVIÇOS'!A:C,3,0)</f>
        <v>M</v>
      </c>
      <c r="G640" s="24">
        <f>VLOOKUP(C640,'13. CUSTOS DER - SERVIÇOS'!A:G,7,0)</f>
        <v>19.57</v>
      </c>
      <c r="H640" s="24"/>
      <c r="I640" s="25">
        <f>'3. BDI'!$C$19</f>
        <v>0.24666704095238123</v>
      </c>
      <c r="J640" s="24">
        <f t="shared" si="1072"/>
        <v>24.39</v>
      </c>
      <c r="K640" s="24">
        <f t="shared" si="1073"/>
        <v>0</v>
      </c>
      <c r="L640" s="24">
        <f t="shared" si="1074"/>
        <v>314614.17089999997</v>
      </c>
      <c r="M640" s="24">
        <f t="shared" si="1075"/>
        <v>0</v>
      </c>
      <c r="N640" s="24">
        <f t="shared" si="1076"/>
        <v>314614.17089999997</v>
      </c>
      <c r="P640" s="24">
        <f>187.34/60</f>
        <v>3.1223333333333332</v>
      </c>
      <c r="Q640" s="24">
        <f t="shared" si="1066"/>
        <v>40275.94</v>
      </c>
      <c r="R640" s="24">
        <f t="shared" si="1047"/>
        <v>50210.68</v>
      </c>
      <c r="S640" s="24">
        <f t="shared" si="1048"/>
        <v>264403.49089999998</v>
      </c>
    </row>
    <row r="641" spans="1:19">
      <c r="A641" s="345"/>
      <c r="B641" s="346"/>
      <c r="C641" s="347"/>
      <c r="D641" s="348" t="s">
        <v>22739</v>
      </c>
      <c r="E641" s="349"/>
      <c r="F641" s="347" t="s">
        <v>195</v>
      </c>
      <c r="G641" s="349"/>
      <c r="H641" s="349"/>
      <c r="I641" s="349"/>
      <c r="J641" s="349"/>
      <c r="K641" s="349"/>
      <c r="L641" s="349"/>
      <c r="M641" s="349"/>
      <c r="N641" s="349"/>
      <c r="P641" s="349"/>
      <c r="Q641" s="349"/>
      <c r="R641" s="24">
        <f t="shared" si="1047"/>
        <v>0</v>
      </c>
      <c r="S641" s="24">
        <f t="shared" si="1048"/>
        <v>0</v>
      </c>
    </row>
    <row r="642" spans="1:19">
      <c r="A642" s="9" t="s">
        <v>23276</v>
      </c>
      <c r="B642" s="10" t="s">
        <v>9016</v>
      </c>
      <c r="C642" s="10">
        <v>511200</v>
      </c>
      <c r="D642" s="43" t="str">
        <f>VLOOKUP(C642,'13. CUSTOS DER - SERVIÇOS'!A:B,2,0)</f>
        <v>REGULARIZAÇÃO COMPAC.SUBLEITO 100% PN (B)</v>
      </c>
      <c r="E642" s="11">
        <v>2654.41</v>
      </c>
      <c r="F642" s="26" t="str">
        <f>VLOOKUP(C642,'13. CUSTOS DER - SERVIÇOS'!A:C,3,0)</f>
        <v>M2</v>
      </c>
      <c r="G642" s="24">
        <f>VLOOKUP(C642,'13. CUSTOS DER - SERVIÇOS'!A:G,7,0)</f>
        <v>4.6399999999999997</v>
      </c>
      <c r="H642" s="24">
        <v>0</v>
      </c>
      <c r="I642" s="25">
        <f>'3. BDI'!$C$19</f>
        <v>0.24666704095238123</v>
      </c>
      <c r="J642" s="24">
        <f t="shared" ref="J642:J643" si="1077">TRUNC(G642+(G642*I642),2)</f>
        <v>5.78</v>
      </c>
      <c r="K642" s="24">
        <f t="shared" ref="K642:K643" si="1078">TRUNC(H642+(H642*I642),2)</f>
        <v>0</v>
      </c>
      <c r="L642" s="24">
        <f t="shared" ref="L642:L643" si="1079">J642*E642</f>
        <v>15342.489799999999</v>
      </c>
      <c r="M642" s="24">
        <f t="shared" ref="M642:M643" si="1080">K642*E642</f>
        <v>0</v>
      </c>
      <c r="N642" s="24">
        <f t="shared" ref="N642:N643" si="1081">L642+M642</f>
        <v>15342.489799999999</v>
      </c>
      <c r="P642" s="24">
        <f>166.6/272.77</f>
        <v>0.61077097921325663</v>
      </c>
      <c r="Q642" s="24">
        <f t="shared" ref="Q642:Q644" si="1082">TRUNC(P642*E642,2)</f>
        <v>1621.23</v>
      </c>
      <c r="R642" s="24">
        <f t="shared" si="1047"/>
        <v>2021.13</v>
      </c>
      <c r="S642" s="24">
        <f t="shared" si="1048"/>
        <v>13321.359799999998</v>
      </c>
    </row>
    <row r="643" spans="1:19">
      <c r="A643" s="9" t="s">
        <v>23277</v>
      </c>
      <c r="B643" s="10" t="s">
        <v>9016</v>
      </c>
      <c r="C643" s="10">
        <v>531000</v>
      </c>
      <c r="D643" s="43" t="str">
        <f>VLOOKUP(C643,'13. CUSTOS DER - SERVIÇOS'!A:B,2,0)</f>
        <v>BRITA GRADUADA 100% PI</v>
      </c>
      <c r="E643" s="11">
        <v>494.97</v>
      </c>
      <c r="F643" s="26" t="str">
        <f>VLOOKUP(C643,'13. CUSTOS DER - SERVIÇOS'!A:C,3,0)</f>
        <v>M3</v>
      </c>
      <c r="G643" s="24">
        <f>VLOOKUP(C643,'13. CUSTOS DER - SERVIÇOS'!A:G,7,0)</f>
        <v>132.22999999999999</v>
      </c>
      <c r="H643" s="24">
        <f>VLOOKUP(C643,'10. CCU TRANSPORTE'!B:J,9,0)</f>
        <v>34.799999999999997</v>
      </c>
      <c r="I643" s="25">
        <f>'3. BDI'!$C$19</f>
        <v>0.24666704095238123</v>
      </c>
      <c r="J643" s="24">
        <f t="shared" si="1077"/>
        <v>164.84</v>
      </c>
      <c r="K643" s="24">
        <f t="shared" si="1078"/>
        <v>43.38</v>
      </c>
      <c r="L643" s="24">
        <f t="shared" si="1079"/>
        <v>81590.854800000001</v>
      </c>
      <c r="M643" s="24">
        <f t="shared" si="1080"/>
        <v>21471.798600000002</v>
      </c>
      <c r="N643" s="24">
        <f t="shared" si="1081"/>
        <v>103062.65340000001</v>
      </c>
      <c r="P643" s="24">
        <f>306.75/87.3</f>
        <v>3.5137457044673539</v>
      </c>
      <c r="Q643" s="24">
        <f t="shared" si="1082"/>
        <v>1739.19</v>
      </c>
      <c r="R643" s="24">
        <f t="shared" si="1047"/>
        <v>2168.19</v>
      </c>
      <c r="S643" s="24">
        <f t="shared" si="1048"/>
        <v>100894.46340000001</v>
      </c>
    </row>
    <row r="644" spans="1:19">
      <c r="A644" s="9" t="s">
        <v>23278</v>
      </c>
      <c r="B644" s="10" t="s">
        <v>9016</v>
      </c>
      <c r="C644" s="10">
        <v>502615</v>
      </c>
      <c r="D644" s="43" t="str">
        <f>VLOOKUP(C644,'13. CUSTOS DER - SERVIÇOS'!A:B,2,0)</f>
        <v>CONCRETO COMPACTADO A ROLO FCK= 15MPA</v>
      </c>
      <c r="E644" s="11">
        <v>283.20999999999998</v>
      </c>
      <c r="F644" s="26" t="str">
        <f>VLOOKUP(C644,'13. CUSTOS DER - SERVIÇOS'!A:C,3,0)</f>
        <v>M3</v>
      </c>
      <c r="G644" s="24">
        <f>VLOOKUP(C644,'13. CUSTOS DER - SERVIÇOS'!A:G,7,0)</f>
        <v>307.27999999999997</v>
      </c>
      <c r="H644" s="24">
        <f>VLOOKUP(C644,'10. CCU TRANSPORTE'!B:J,9,0)</f>
        <v>60.91</v>
      </c>
      <c r="I644" s="25">
        <f>'3. BDI'!$C$19</f>
        <v>0.24666704095238123</v>
      </c>
      <c r="J644" s="24">
        <f t="shared" ref="J644:J645" si="1083">TRUNC(G644+(G644*I644),2)</f>
        <v>383.07</v>
      </c>
      <c r="K644" s="24">
        <f t="shared" ref="K644:K645" si="1084">TRUNC(H644+(H644*I644),2)</f>
        <v>75.930000000000007</v>
      </c>
      <c r="L644" s="24">
        <f t="shared" ref="L644:L645" si="1085">J644*E644</f>
        <v>108489.25469999999</v>
      </c>
      <c r="M644" s="24">
        <f t="shared" ref="M644:M645" si="1086">K644*E644</f>
        <v>21504.135300000002</v>
      </c>
      <c r="N644" s="24">
        <f t="shared" ref="N644:N645" si="1087">L644+M644</f>
        <v>129993.38999999998</v>
      </c>
      <c r="P644" s="24">
        <f>200.2/130</f>
        <v>1.5399999999999998</v>
      </c>
      <c r="Q644" s="24">
        <f t="shared" si="1082"/>
        <v>436.14</v>
      </c>
      <c r="R644" s="24">
        <f t="shared" si="1047"/>
        <v>543.72</v>
      </c>
      <c r="S644" s="24">
        <f t="shared" si="1048"/>
        <v>129449.66999999998</v>
      </c>
    </row>
    <row r="645" spans="1:19" ht="31.5">
      <c r="A645" s="9" t="s">
        <v>23279</v>
      </c>
      <c r="B645" s="10" t="s">
        <v>22708</v>
      </c>
      <c r="C645" s="10">
        <v>4011538</v>
      </c>
      <c r="D645" s="43" t="str">
        <f>UPPER(VLOOKUP(C645,'18. CUSTOS DNIT - SERVIÇOS'!A:B,2,0))</f>
        <v>CURA COM PINTURA ASFÁLTICA PARA PAVIMENTO DE CONCRETO COMPACTADO COM ROLO</v>
      </c>
      <c r="E645" s="11">
        <v>2061.8200000000002</v>
      </c>
      <c r="F645" s="26" t="str">
        <f>UPPER((VLOOKUP(C645,'18. CUSTOS DNIT - SERVIÇOS'!A:C,3,0)))</f>
        <v>M²</v>
      </c>
      <c r="G645" s="24">
        <f>VLOOKUP(C645,'18. CUSTOS DNIT - SERVIÇOS'!A:D,4,0)</f>
        <v>0.16</v>
      </c>
      <c r="H645" s="24"/>
      <c r="I645" s="25">
        <f>'3. BDI'!$C$19</f>
        <v>0.24666704095238123</v>
      </c>
      <c r="J645" s="24">
        <f t="shared" si="1083"/>
        <v>0.19</v>
      </c>
      <c r="K645" s="24">
        <f t="shared" si="1084"/>
        <v>0</v>
      </c>
      <c r="L645" s="24">
        <f t="shared" si="1085"/>
        <v>391.74580000000003</v>
      </c>
      <c r="M645" s="24">
        <f t="shared" si="1086"/>
        <v>0</v>
      </c>
      <c r="N645" s="24">
        <f t="shared" si="1087"/>
        <v>391.74580000000003</v>
      </c>
      <c r="P645" s="24">
        <v>0</v>
      </c>
      <c r="Q645" s="24">
        <f>TRUNC((P645*E645),2)</f>
        <v>0</v>
      </c>
      <c r="R645" s="24">
        <f t="shared" si="1047"/>
        <v>0</v>
      </c>
      <c r="S645" s="24">
        <f t="shared" si="1048"/>
        <v>391.74580000000003</v>
      </c>
    </row>
    <row r="646" spans="1:19">
      <c r="A646" s="9" t="s">
        <v>23280</v>
      </c>
      <c r="B646" s="10" t="s">
        <v>358</v>
      </c>
      <c r="C646" s="10" t="s">
        <v>22740</v>
      </c>
      <c r="D646" s="43" t="str">
        <f>VLOOKUP(C646,'12. CCU - PAVIMENTAÇÃO'!A:B,2,0)</f>
        <v>VIGA DE CONCRETO 15X14CM, COM BARRA DE 12,5MM</v>
      </c>
      <c r="E646" s="11">
        <v>347.27</v>
      </c>
      <c r="F646" s="26" t="str">
        <f>VLOOKUP(C646,'12. CCU - PAVIMENTAÇÃO'!A:G,7,0)</f>
        <v>M</v>
      </c>
      <c r="G646" s="24">
        <f>VLOOKUP(C646,'12. CCU - PAVIMENTAÇÃO'!A:J,10,0)</f>
        <v>85.078390000000013</v>
      </c>
      <c r="H646" s="24">
        <v>0</v>
      </c>
      <c r="I646" s="25">
        <f>'3. BDI'!$C$19</f>
        <v>0.24666704095238123</v>
      </c>
      <c r="J646" s="24">
        <f t="shared" si="1054"/>
        <v>106.06</v>
      </c>
      <c r="K646" s="24">
        <f t="shared" si="1055"/>
        <v>0</v>
      </c>
      <c r="L646" s="24">
        <f t="shared" si="1056"/>
        <v>36831.456200000001</v>
      </c>
      <c r="M646" s="24">
        <f t="shared" si="1057"/>
        <v>0</v>
      </c>
      <c r="N646" s="24">
        <f t="shared" si="1058"/>
        <v>36831.456200000001</v>
      </c>
      <c r="P646" s="24">
        <v>15.59</v>
      </c>
      <c r="Q646" s="24">
        <f t="shared" ref="Q646:Q647" si="1088">P646*E646</f>
        <v>5413.9393</v>
      </c>
      <c r="R646" s="24">
        <f t="shared" si="1047"/>
        <v>6749.37</v>
      </c>
      <c r="S646" s="24">
        <f t="shared" si="1048"/>
        <v>30082.086200000002</v>
      </c>
    </row>
    <row r="647" spans="1:19">
      <c r="A647" s="9" t="s">
        <v>23281</v>
      </c>
      <c r="B647" s="10" t="s">
        <v>358</v>
      </c>
      <c r="C647" s="10" t="s">
        <v>22742</v>
      </c>
      <c r="D647" s="43" t="str">
        <f>VLOOKUP(C647,'12. CCU - PAVIMENTAÇÃO'!A:B,2,0)</f>
        <v>GUIA DE CONTENÇÃO LATERAL</v>
      </c>
      <c r="E647" s="11">
        <v>1448.44</v>
      </c>
      <c r="F647" s="26" t="str">
        <f>VLOOKUP(C647,'12. CCU - PAVIMENTAÇÃO'!A:G,7,0)</f>
        <v>M</v>
      </c>
      <c r="G647" s="24">
        <f>VLOOKUP(C647,'12. CCU - PAVIMENTAÇÃO'!A:J,10,0)</f>
        <v>20.378</v>
      </c>
      <c r="H647" s="24">
        <v>0</v>
      </c>
      <c r="I647" s="25">
        <f>'3. BDI'!$C$19</f>
        <v>0.24666704095238123</v>
      </c>
      <c r="J647" s="24">
        <f t="shared" ref="J647" si="1089">TRUNC(G647+(G647*I647),2)</f>
        <v>25.4</v>
      </c>
      <c r="K647" s="24">
        <f t="shared" ref="K647" si="1090">TRUNC(H647+(H647*I647),2)</f>
        <v>0</v>
      </c>
      <c r="L647" s="24">
        <f t="shared" ref="L647" si="1091">J647*E647</f>
        <v>36790.375999999997</v>
      </c>
      <c r="M647" s="24">
        <f t="shared" ref="M647" si="1092">K647*E647</f>
        <v>0</v>
      </c>
      <c r="N647" s="24">
        <f t="shared" ref="N647" si="1093">L647+M647</f>
        <v>36790.375999999997</v>
      </c>
      <c r="P647" s="24">
        <v>2.61</v>
      </c>
      <c r="Q647" s="24">
        <f t="shared" si="1088"/>
        <v>3780.4283999999998</v>
      </c>
      <c r="R647" s="24">
        <f t="shared" si="1047"/>
        <v>4712.93</v>
      </c>
      <c r="S647" s="24">
        <f t="shared" si="1048"/>
        <v>32077.445999999996</v>
      </c>
    </row>
    <row r="648" spans="1:19">
      <c r="A648" s="9" t="s">
        <v>23282</v>
      </c>
      <c r="B648" s="10" t="s">
        <v>9016</v>
      </c>
      <c r="C648" s="10">
        <v>532500</v>
      </c>
      <c r="D648" s="43" t="str">
        <f>VLOOKUP(C648,'13. CUSTOS DER - SERVIÇOS'!A:B,2,0)</f>
        <v>COLCHÃO DE AREIA PARA PARALELEPÍPEDO</v>
      </c>
      <c r="E648" s="11">
        <v>72.41</v>
      </c>
      <c r="F648" s="26" t="str">
        <f>VLOOKUP(C648,'13. CUSTOS DER - SERVIÇOS'!A:C,3,0)</f>
        <v>M3</v>
      </c>
      <c r="G648" s="24">
        <f>VLOOKUP(C648,'13. CUSTOS DER - SERVIÇOS'!A:G,7,0)</f>
        <v>102.38</v>
      </c>
      <c r="H648" s="24">
        <f>VLOOKUP(C648,'10. CCU TRANSPORTE'!B:J,9,0)</f>
        <v>42.19</v>
      </c>
      <c r="I648" s="25">
        <f>'3. BDI'!$C$19</f>
        <v>0.24666704095238123</v>
      </c>
      <c r="J648" s="24">
        <f t="shared" ref="J648" si="1094">TRUNC(G648+(G648*I648),2)</f>
        <v>127.63</v>
      </c>
      <c r="K648" s="24">
        <f t="shared" ref="K648" si="1095">TRUNC(H648+(H648*I648),2)</f>
        <v>52.59</v>
      </c>
      <c r="L648" s="24">
        <f t="shared" ref="L648" si="1096">J648*E648</f>
        <v>9241.6882999999998</v>
      </c>
      <c r="M648" s="24">
        <f t="shared" ref="M648" si="1097">K648*E648</f>
        <v>3808.0419000000002</v>
      </c>
      <c r="N648" s="24">
        <f t="shared" ref="N648" si="1098">L648+M648</f>
        <v>13049.7302</v>
      </c>
      <c r="P648" s="24">
        <f>19.73/1</f>
        <v>19.73</v>
      </c>
      <c r="Q648" s="24">
        <f>TRUNC(P648*E648,2)</f>
        <v>1428.64</v>
      </c>
      <c r="R648" s="24">
        <f t="shared" si="1047"/>
        <v>1781.03</v>
      </c>
      <c r="S648" s="24">
        <f t="shared" si="1048"/>
        <v>11268.700199999999</v>
      </c>
    </row>
    <row r="649" spans="1:19" ht="31.5">
      <c r="A649" s="9" t="s">
        <v>23283</v>
      </c>
      <c r="B649" s="10" t="s">
        <v>9008</v>
      </c>
      <c r="C649" s="10">
        <v>92400</v>
      </c>
      <c r="D649" s="445" t="str">
        <f>VLOOKUP(C649,'21. CUSTOS SINAPI - SERVIÇOS'!A:B,2,0)</f>
        <v>EXECUÇÃO DE PAVIMENTO EM PISO INTERTRAVADO, COM BLOCO RETANGULAR DE 20 X 10 CM, ESPESSURA 10 CM. AF_10/2022</v>
      </c>
      <c r="E649" s="11">
        <v>1810.42</v>
      </c>
      <c r="F649" s="26" t="str">
        <f>VLOOKUP(C649,'21. CUSTOS SINAPI - SERVIÇOS'!A:C,3,0)</f>
        <v>M2</v>
      </c>
      <c r="G649" s="24">
        <f>VLOOKUP(C649,'21. CUSTOS SINAPI - SERVIÇOS'!A:D,4,0)</f>
        <v>75.31</v>
      </c>
      <c r="H649" s="24">
        <v>0</v>
      </c>
      <c r="I649" s="25">
        <f>'3. BDI'!$C$19</f>
        <v>0.24666704095238123</v>
      </c>
      <c r="J649" s="24">
        <f t="shared" si="1054"/>
        <v>93.88</v>
      </c>
      <c r="K649" s="24">
        <f t="shared" si="1055"/>
        <v>0</v>
      </c>
      <c r="L649" s="24">
        <f t="shared" si="1056"/>
        <v>169962.22959999999</v>
      </c>
      <c r="M649" s="24">
        <f t="shared" si="1057"/>
        <v>0</v>
      </c>
      <c r="N649" s="24">
        <f t="shared" si="1058"/>
        <v>169962.22959999999</v>
      </c>
      <c r="P649" s="24">
        <v>12.39</v>
      </c>
      <c r="Q649" s="24">
        <f>TRUNC((P649*E649),2)</f>
        <v>22431.1</v>
      </c>
      <c r="R649" s="24">
        <f t="shared" si="1047"/>
        <v>27964.11</v>
      </c>
      <c r="S649" s="24">
        <f t="shared" si="1048"/>
        <v>141998.11959999998</v>
      </c>
    </row>
    <row r="650" spans="1:19">
      <c r="A650" s="345"/>
      <c r="B650" s="346"/>
      <c r="C650" s="347"/>
      <c r="D650" s="348" t="s">
        <v>22745</v>
      </c>
      <c r="E650" s="349"/>
      <c r="F650" s="347" t="s">
        <v>195</v>
      </c>
      <c r="G650" s="349"/>
      <c r="H650" s="349"/>
      <c r="I650" s="349"/>
      <c r="J650" s="349"/>
      <c r="K650" s="349"/>
      <c r="L650" s="349"/>
      <c r="M650" s="349"/>
      <c r="N650" s="349"/>
      <c r="P650" s="349"/>
      <c r="Q650" s="349"/>
      <c r="R650" s="24">
        <f t="shared" si="1047"/>
        <v>0</v>
      </c>
      <c r="S650" s="24">
        <f t="shared" si="1048"/>
        <v>0</v>
      </c>
    </row>
    <row r="651" spans="1:19">
      <c r="A651" s="9" t="s">
        <v>23284</v>
      </c>
      <c r="B651" s="10" t="s">
        <v>9016</v>
      </c>
      <c r="C651" s="10">
        <v>511200</v>
      </c>
      <c r="D651" s="43" t="str">
        <f>VLOOKUP(C651,'13. CUSTOS DER - SERVIÇOS'!A:B,2,0)</f>
        <v>REGULARIZAÇÃO COMPAC.SUBLEITO 100% PN (B)</v>
      </c>
      <c r="E651" s="11">
        <v>337.57</v>
      </c>
      <c r="F651" s="26" t="str">
        <f>VLOOKUP(C651,'13. CUSTOS DER - SERVIÇOS'!A:C,3,0)</f>
        <v>M2</v>
      </c>
      <c r="G651" s="24">
        <f>VLOOKUP(C651,'13. CUSTOS DER - SERVIÇOS'!A:G,7,0)</f>
        <v>4.6399999999999997</v>
      </c>
      <c r="H651" s="24">
        <v>0</v>
      </c>
      <c r="I651" s="25">
        <f>'3. BDI'!$C$19</f>
        <v>0.24666704095238123</v>
      </c>
      <c r="J651" s="24">
        <f t="shared" ref="J651:J658" si="1099">TRUNC(G651+(G651*I651),2)</f>
        <v>5.78</v>
      </c>
      <c r="K651" s="24">
        <f t="shared" ref="K651:K658" si="1100">TRUNC(H651+(H651*I651),2)</f>
        <v>0</v>
      </c>
      <c r="L651" s="24">
        <f t="shared" ref="L651:L658" si="1101">J651*E651</f>
        <v>1951.1546000000001</v>
      </c>
      <c r="M651" s="24">
        <f t="shared" ref="M651:M658" si="1102">K651*E651</f>
        <v>0</v>
      </c>
      <c r="N651" s="24">
        <f t="shared" ref="N651:N658" si="1103">L651+M651</f>
        <v>1951.1546000000001</v>
      </c>
      <c r="P651" s="24">
        <f>166.6/272.77</f>
        <v>0.61077097921325663</v>
      </c>
      <c r="Q651" s="24">
        <f t="shared" ref="Q651:Q653" si="1104">TRUNC(P651*E651,2)</f>
        <v>206.17</v>
      </c>
      <c r="R651" s="24">
        <f t="shared" si="1047"/>
        <v>257.02</v>
      </c>
      <c r="S651" s="24">
        <f t="shared" si="1048"/>
        <v>1694.1346000000001</v>
      </c>
    </row>
    <row r="652" spans="1:19">
      <c r="A652" s="9" t="s">
        <v>23285</v>
      </c>
      <c r="B652" s="10" t="s">
        <v>9016</v>
      </c>
      <c r="C652" s="10">
        <v>531000</v>
      </c>
      <c r="D652" s="43" t="str">
        <f>VLOOKUP(C652,'13. CUSTOS DER - SERVIÇOS'!A:B,2,0)</f>
        <v>BRITA GRADUADA 100% PI</v>
      </c>
      <c r="E652" s="11">
        <v>65.290000000000006</v>
      </c>
      <c r="F652" s="26" t="str">
        <f>VLOOKUP(C652,'13. CUSTOS DER - SERVIÇOS'!A:C,3,0)</f>
        <v>M3</v>
      </c>
      <c r="G652" s="24">
        <f>VLOOKUP(C652,'13. CUSTOS DER - SERVIÇOS'!A:G,7,0)</f>
        <v>132.22999999999999</v>
      </c>
      <c r="H652" s="24">
        <f>VLOOKUP(C652,'10. CCU TRANSPORTE'!B:J,9,0)</f>
        <v>34.799999999999997</v>
      </c>
      <c r="I652" s="25">
        <f>'3. BDI'!$C$19</f>
        <v>0.24666704095238123</v>
      </c>
      <c r="J652" s="24">
        <f t="shared" si="1099"/>
        <v>164.84</v>
      </c>
      <c r="K652" s="24">
        <f t="shared" si="1100"/>
        <v>43.38</v>
      </c>
      <c r="L652" s="24">
        <f t="shared" si="1101"/>
        <v>10762.403600000001</v>
      </c>
      <c r="M652" s="24">
        <f t="shared" si="1102"/>
        <v>2832.2802000000006</v>
      </c>
      <c r="N652" s="24">
        <f t="shared" si="1103"/>
        <v>13594.683800000003</v>
      </c>
      <c r="P652" s="24">
        <f>306.75/87.3</f>
        <v>3.5137457044673539</v>
      </c>
      <c r="Q652" s="24">
        <f t="shared" si="1104"/>
        <v>229.41</v>
      </c>
      <c r="R652" s="24">
        <f t="shared" si="1047"/>
        <v>285.99</v>
      </c>
      <c r="S652" s="24">
        <f t="shared" si="1048"/>
        <v>13308.693800000003</v>
      </c>
    </row>
    <row r="653" spans="1:19">
      <c r="A653" s="9" t="s">
        <v>23286</v>
      </c>
      <c r="B653" s="10" t="s">
        <v>9016</v>
      </c>
      <c r="C653" s="10">
        <v>502615</v>
      </c>
      <c r="D653" s="43" t="str">
        <f>VLOOKUP(C653,'13. CUSTOS DER - SERVIÇOS'!A:B,2,0)</f>
        <v>CONCRETO COMPACTADO A ROLO FCK= 15MPA</v>
      </c>
      <c r="E653" s="11">
        <v>40.049999999999997</v>
      </c>
      <c r="F653" s="26" t="str">
        <f>VLOOKUP(C653,'13. CUSTOS DER - SERVIÇOS'!A:C,3,0)</f>
        <v>M3</v>
      </c>
      <c r="G653" s="24">
        <f>VLOOKUP(C653,'13. CUSTOS DER - SERVIÇOS'!A:G,7,0)</f>
        <v>307.27999999999997</v>
      </c>
      <c r="H653" s="24">
        <f>VLOOKUP(C653,'10. CCU TRANSPORTE'!B:J,9,0)</f>
        <v>60.91</v>
      </c>
      <c r="I653" s="25">
        <f>'3. BDI'!$C$19</f>
        <v>0.24666704095238123</v>
      </c>
      <c r="J653" s="24">
        <f t="shared" si="1099"/>
        <v>383.07</v>
      </c>
      <c r="K653" s="24">
        <f t="shared" si="1100"/>
        <v>75.930000000000007</v>
      </c>
      <c r="L653" s="24">
        <f t="shared" si="1101"/>
        <v>15341.953499999998</v>
      </c>
      <c r="M653" s="24">
        <f t="shared" si="1102"/>
        <v>3040.9965000000002</v>
      </c>
      <c r="N653" s="24">
        <f t="shared" si="1103"/>
        <v>18382.949999999997</v>
      </c>
      <c r="P653" s="24">
        <f>200.2/130</f>
        <v>1.5399999999999998</v>
      </c>
      <c r="Q653" s="24">
        <f t="shared" si="1104"/>
        <v>61.67</v>
      </c>
      <c r="R653" s="24">
        <f t="shared" si="1047"/>
        <v>76.88</v>
      </c>
      <c r="S653" s="24">
        <f t="shared" si="1048"/>
        <v>18306.069999999996</v>
      </c>
    </row>
    <row r="654" spans="1:19" ht="31.5">
      <c r="A654" s="9" t="s">
        <v>23287</v>
      </c>
      <c r="B654" s="10" t="s">
        <v>22708</v>
      </c>
      <c r="C654" s="10">
        <v>4011538</v>
      </c>
      <c r="D654" s="43" t="str">
        <f>UPPER(VLOOKUP(C654,'18. CUSTOS DNIT - SERVIÇOS'!A:B,2,0))</f>
        <v>CURA COM PINTURA ASFÁLTICA PARA PAVIMENTO DE CONCRETO COMPACTADO COM ROLO</v>
      </c>
      <c r="E654" s="11">
        <v>300.86</v>
      </c>
      <c r="F654" s="26" t="str">
        <f>UPPER((VLOOKUP(C654,'18. CUSTOS DNIT - SERVIÇOS'!A:C,3,0)))</f>
        <v>M²</v>
      </c>
      <c r="G654" s="24">
        <f>VLOOKUP(C654,'18. CUSTOS DNIT - SERVIÇOS'!A:D,4,0)</f>
        <v>0.16</v>
      </c>
      <c r="H654" s="24"/>
      <c r="I654" s="25">
        <f>'3. BDI'!$C$19</f>
        <v>0.24666704095238123</v>
      </c>
      <c r="J654" s="24">
        <f t="shared" si="1099"/>
        <v>0.19</v>
      </c>
      <c r="K654" s="24">
        <f t="shared" si="1100"/>
        <v>0</v>
      </c>
      <c r="L654" s="24">
        <f t="shared" si="1101"/>
        <v>57.163400000000003</v>
      </c>
      <c r="M654" s="24">
        <f t="shared" si="1102"/>
        <v>0</v>
      </c>
      <c r="N654" s="24">
        <f t="shared" si="1103"/>
        <v>57.163400000000003</v>
      </c>
      <c r="P654" s="24">
        <v>0</v>
      </c>
      <c r="Q654" s="24">
        <f>TRUNC((P654*E654),2)</f>
        <v>0</v>
      </c>
      <c r="R654" s="24">
        <f t="shared" si="1047"/>
        <v>0</v>
      </c>
      <c r="S654" s="24">
        <f t="shared" si="1048"/>
        <v>57.163400000000003</v>
      </c>
    </row>
    <row r="655" spans="1:19">
      <c r="A655" s="9" t="s">
        <v>23288</v>
      </c>
      <c r="B655" s="10" t="s">
        <v>358</v>
      </c>
      <c r="C655" s="10" t="s">
        <v>22740</v>
      </c>
      <c r="D655" s="43" t="str">
        <f>VLOOKUP(C655,'12. CCU - PAVIMENTAÇÃO'!A:B,2,0)</f>
        <v>VIGA DE CONCRETO 15X14CM, COM BARRA DE 12,5MM</v>
      </c>
      <c r="E655" s="11">
        <v>6.5</v>
      </c>
      <c r="F655" s="26" t="str">
        <f>VLOOKUP(C655,'12. CCU - PAVIMENTAÇÃO'!A:G,7,0)</f>
        <v>M</v>
      </c>
      <c r="G655" s="24">
        <f>VLOOKUP(C655,'12. CCU - PAVIMENTAÇÃO'!A:J,10,0)</f>
        <v>85.078390000000013</v>
      </c>
      <c r="H655" s="24">
        <v>0</v>
      </c>
      <c r="I655" s="25">
        <f>'3. BDI'!$C$19</f>
        <v>0.24666704095238123</v>
      </c>
      <c r="J655" s="24">
        <f t="shared" si="1099"/>
        <v>106.06</v>
      </c>
      <c r="K655" s="24">
        <f t="shared" si="1100"/>
        <v>0</v>
      </c>
      <c r="L655" s="24">
        <f t="shared" si="1101"/>
        <v>689.39</v>
      </c>
      <c r="M655" s="24">
        <f t="shared" si="1102"/>
        <v>0</v>
      </c>
      <c r="N655" s="24">
        <f t="shared" si="1103"/>
        <v>689.39</v>
      </c>
      <c r="P655" s="24">
        <v>15.59</v>
      </c>
      <c r="Q655" s="24">
        <f t="shared" ref="Q655:Q656" si="1105">P655*E655</f>
        <v>101.33499999999999</v>
      </c>
      <c r="R655" s="24">
        <f t="shared" si="1047"/>
        <v>126.33</v>
      </c>
      <c r="S655" s="24">
        <f t="shared" si="1048"/>
        <v>563.05999999999995</v>
      </c>
    </row>
    <row r="656" spans="1:19">
      <c r="A656" s="9" t="s">
        <v>23289</v>
      </c>
      <c r="B656" s="10" t="s">
        <v>358</v>
      </c>
      <c r="C656" s="10" t="s">
        <v>22742</v>
      </c>
      <c r="D656" s="43" t="str">
        <f>VLOOKUP(C656,'12. CCU - PAVIMENTAÇÃO'!A:B,2,0)</f>
        <v>GUIA DE CONTENÇÃO LATERAL</v>
      </c>
      <c r="E656" s="11">
        <v>104.74</v>
      </c>
      <c r="F656" s="26" t="str">
        <f>VLOOKUP(C656,'12. CCU - PAVIMENTAÇÃO'!A:G,7,0)</f>
        <v>M</v>
      </c>
      <c r="G656" s="24">
        <f>VLOOKUP(C656,'12. CCU - PAVIMENTAÇÃO'!A:J,10,0)</f>
        <v>20.378</v>
      </c>
      <c r="H656" s="24">
        <v>0</v>
      </c>
      <c r="I656" s="25">
        <f>'3. BDI'!$C$19</f>
        <v>0.24666704095238123</v>
      </c>
      <c r="J656" s="24">
        <f t="shared" si="1099"/>
        <v>25.4</v>
      </c>
      <c r="K656" s="24">
        <f t="shared" si="1100"/>
        <v>0</v>
      </c>
      <c r="L656" s="24">
        <f t="shared" si="1101"/>
        <v>2660.3959999999997</v>
      </c>
      <c r="M656" s="24">
        <f t="shared" si="1102"/>
        <v>0</v>
      </c>
      <c r="N656" s="24">
        <f t="shared" si="1103"/>
        <v>2660.3959999999997</v>
      </c>
      <c r="P656" s="24">
        <v>2.61</v>
      </c>
      <c r="Q656" s="24">
        <f t="shared" si="1105"/>
        <v>273.37139999999999</v>
      </c>
      <c r="R656" s="24">
        <f t="shared" si="1047"/>
        <v>340.8</v>
      </c>
      <c r="S656" s="24">
        <f t="shared" si="1048"/>
        <v>2319.5959999999995</v>
      </c>
    </row>
    <row r="657" spans="1:19">
      <c r="A657" s="9" t="s">
        <v>23290</v>
      </c>
      <c r="B657" s="10" t="s">
        <v>9016</v>
      </c>
      <c r="C657" s="10">
        <v>532500</v>
      </c>
      <c r="D657" s="43" t="str">
        <f>VLOOKUP(C657,'13. CUSTOS DER - SERVIÇOS'!A:B,2,0)</f>
        <v>COLCHÃO DE AREIA PARA PARALELEPÍPEDO</v>
      </c>
      <c r="E657" s="11">
        <v>11.41</v>
      </c>
      <c r="F657" s="26" t="str">
        <f>VLOOKUP(C657,'13. CUSTOS DER - SERVIÇOS'!A:C,3,0)</f>
        <v>M3</v>
      </c>
      <c r="G657" s="24">
        <f>VLOOKUP(C657,'13. CUSTOS DER - SERVIÇOS'!A:G,7,0)</f>
        <v>102.38</v>
      </c>
      <c r="H657" s="24">
        <f>VLOOKUP(C657,'10. CCU TRANSPORTE'!B:J,9,0)</f>
        <v>42.19</v>
      </c>
      <c r="I657" s="25">
        <f>'3. BDI'!$C$19</f>
        <v>0.24666704095238123</v>
      </c>
      <c r="J657" s="24">
        <f t="shared" si="1099"/>
        <v>127.63</v>
      </c>
      <c r="K657" s="24">
        <f t="shared" si="1100"/>
        <v>52.59</v>
      </c>
      <c r="L657" s="24">
        <f t="shared" si="1101"/>
        <v>1456.2583</v>
      </c>
      <c r="M657" s="24">
        <f t="shared" si="1102"/>
        <v>600.05190000000005</v>
      </c>
      <c r="N657" s="24">
        <f t="shared" si="1103"/>
        <v>2056.3101999999999</v>
      </c>
      <c r="P657" s="24">
        <f>19.73/1</f>
        <v>19.73</v>
      </c>
      <c r="Q657" s="24">
        <f>TRUNC(P657*E657,2)</f>
        <v>225.11</v>
      </c>
      <c r="R657" s="24">
        <f t="shared" si="1047"/>
        <v>280.63</v>
      </c>
      <c r="S657" s="24">
        <f t="shared" si="1048"/>
        <v>1775.6801999999998</v>
      </c>
    </row>
    <row r="658" spans="1:19" ht="31.5">
      <c r="A658" s="9" t="s">
        <v>23723</v>
      </c>
      <c r="B658" s="10" t="s">
        <v>9008</v>
      </c>
      <c r="C658" s="10">
        <v>92400</v>
      </c>
      <c r="D658" s="445" t="str">
        <f>VLOOKUP(C658,'21. CUSTOS SINAPI - SERVIÇOS'!A:B,2,0)</f>
        <v>EXECUÇÃO DE PAVIMENTO EM PISO INTERTRAVADO, COM BLOCO RETANGULAR DE 20 X 10 CM, ESPESSURA 10 CM. AF_10/2022</v>
      </c>
      <c r="E658" s="11">
        <v>285.29000000000002</v>
      </c>
      <c r="F658" s="26" t="str">
        <f>VLOOKUP(C658,'21. CUSTOS SINAPI - SERVIÇOS'!A:C,3,0)</f>
        <v>M2</v>
      </c>
      <c r="G658" s="24">
        <f>VLOOKUP(C658,'21. CUSTOS SINAPI - SERVIÇOS'!A:D,4,0)</f>
        <v>75.31</v>
      </c>
      <c r="H658" s="24">
        <v>0</v>
      </c>
      <c r="I658" s="25">
        <f>'3. BDI'!$C$19</f>
        <v>0.24666704095238123</v>
      </c>
      <c r="J658" s="24">
        <f t="shared" si="1099"/>
        <v>93.88</v>
      </c>
      <c r="K658" s="24">
        <f t="shared" si="1100"/>
        <v>0</v>
      </c>
      <c r="L658" s="24">
        <f t="shared" si="1101"/>
        <v>26783.0252</v>
      </c>
      <c r="M658" s="24">
        <f t="shared" si="1102"/>
        <v>0</v>
      </c>
      <c r="N658" s="24">
        <f t="shared" si="1103"/>
        <v>26783.0252</v>
      </c>
      <c r="P658" s="24">
        <v>12.39</v>
      </c>
      <c r="Q658" s="24">
        <f>TRUNC((P658*E658),2)</f>
        <v>3534.74</v>
      </c>
      <c r="R658" s="24">
        <f t="shared" si="1047"/>
        <v>4406.6400000000003</v>
      </c>
      <c r="S658" s="24">
        <f t="shared" si="1048"/>
        <v>22376.385200000001</v>
      </c>
    </row>
    <row r="659" spans="1:19">
      <c r="A659" s="28" t="s">
        <v>22899</v>
      </c>
      <c r="B659" s="48"/>
      <c r="C659" s="29"/>
      <c r="D659" s="301" t="s">
        <v>22842</v>
      </c>
      <c r="E659" s="30"/>
      <c r="F659" s="29" t="s">
        <v>195</v>
      </c>
      <c r="G659" s="30"/>
      <c r="H659" s="30"/>
      <c r="I659" s="31"/>
      <c r="J659" s="30"/>
      <c r="K659" s="30"/>
      <c r="L659" s="30">
        <f t="shared" ref="L659:M659" si="1106">SUM(L660:L674)</f>
        <v>745143.8602</v>
      </c>
      <c r="M659" s="30">
        <f t="shared" si="1106"/>
        <v>30009.9499</v>
      </c>
      <c r="N659" s="30">
        <f>SUM(N660:N674)</f>
        <v>775153.8101</v>
      </c>
      <c r="P659" s="30">
        <f t="shared" ref="P659:S659" si="1107">SUM(P660:P674)</f>
        <v>160.3461932648415</v>
      </c>
      <c r="Q659" s="30">
        <f t="shared" si="1107"/>
        <v>49803.66</v>
      </c>
      <c r="R659" s="30">
        <f t="shared" si="1107"/>
        <v>62088.5</v>
      </c>
      <c r="S659" s="30">
        <f t="shared" si="1107"/>
        <v>713065.3101</v>
      </c>
    </row>
    <row r="660" spans="1:19">
      <c r="A660" s="345"/>
      <c r="B660" s="346"/>
      <c r="C660" s="347"/>
      <c r="D660" s="348" t="s">
        <v>22738</v>
      </c>
      <c r="E660" s="349"/>
      <c r="F660" s="347" t="s">
        <v>195</v>
      </c>
      <c r="G660" s="349"/>
      <c r="H660" s="349"/>
      <c r="I660" s="350"/>
      <c r="J660" s="349"/>
      <c r="K660" s="349"/>
      <c r="L660" s="349"/>
      <c r="M660" s="349"/>
      <c r="N660" s="349"/>
      <c r="P660" s="349"/>
      <c r="Q660" s="349"/>
      <c r="R660" s="24">
        <f t="shared" ref="R660:R674" si="1108">TRUNC((Q660*I660+Q660),2)</f>
        <v>0</v>
      </c>
      <c r="S660" s="24">
        <f t="shared" ref="S660:S674" si="1109">N660-R660</f>
        <v>0</v>
      </c>
    </row>
    <row r="661" spans="1:19">
      <c r="A661" s="9" t="s">
        <v>23291</v>
      </c>
      <c r="B661" s="10" t="s">
        <v>9016</v>
      </c>
      <c r="C661" s="10">
        <v>706700</v>
      </c>
      <c r="D661" s="43" t="str">
        <f>VLOOKUP(C661,'13. CUSTOS DER - SERVIÇOS'!A:B,2,0)</f>
        <v>DEMOLIÇÃO DE CONCRETO SIMPLES</v>
      </c>
      <c r="E661" s="11">
        <v>1.78</v>
      </c>
      <c r="F661" s="26" t="str">
        <f>VLOOKUP(C661,'13. CUSTOS DER - SERVIÇOS'!A:C,3,0)</f>
        <v>M3</v>
      </c>
      <c r="G661" s="24">
        <f>VLOOKUP(C661,'13. CUSTOS DER - SERVIÇOS'!A:G,7,0)</f>
        <v>148.04</v>
      </c>
      <c r="H661" s="24"/>
      <c r="I661" s="25">
        <f>'3. BDI'!$C$19</f>
        <v>0.24666704095238123</v>
      </c>
      <c r="J661" s="24">
        <f t="shared" ref="J661:J669" si="1110">TRUNC(G661+(G661*I661),2)</f>
        <v>184.55</v>
      </c>
      <c r="K661" s="24">
        <f t="shared" ref="K661:K669" si="1111">TRUNC(H661+(H661*I661),2)</f>
        <v>0</v>
      </c>
      <c r="L661" s="24">
        <f t="shared" ref="L661:L669" si="1112">J661*E661</f>
        <v>328.49900000000002</v>
      </c>
      <c r="M661" s="24">
        <f t="shared" ref="M661:M669" si="1113">K661*E661</f>
        <v>0</v>
      </c>
      <c r="N661" s="24">
        <f t="shared" ref="N661:N669" si="1114">L661+M661</f>
        <v>328.49900000000002</v>
      </c>
      <c r="P661" s="24">
        <f>142.72/2</f>
        <v>71.36</v>
      </c>
      <c r="Q661" s="24">
        <f>TRUNC(P661*E661,2)</f>
        <v>127.02</v>
      </c>
      <c r="R661" s="24">
        <f t="shared" si="1108"/>
        <v>158.35</v>
      </c>
      <c r="S661" s="24">
        <f t="shared" si="1109"/>
        <v>170.14900000000003</v>
      </c>
    </row>
    <row r="662" spans="1:19">
      <c r="A662" s="9" t="s">
        <v>23170</v>
      </c>
      <c r="B662" s="10" t="s">
        <v>22708</v>
      </c>
      <c r="C662" s="10">
        <v>1600441</v>
      </c>
      <c r="D662" s="43" t="str">
        <f>UPPER(VLOOKUP(C662,'18. CUSTOS DNIT - SERVIÇOS'!A:B,2,0))</f>
        <v>REMOÇÃO DE PARALELEPÍPEDOS</v>
      </c>
      <c r="E662" s="11">
        <v>52.57</v>
      </c>
      <c r="F662" s="26" t="str">
        <f>UPPER((VLOOKUP(C662,'18. CUSTOS DNIT - SERVIÇOS'!A:C,3,0)))</f>
        <v>M²</v>
      </c>
      <c r="G662" s="24">
        <f>VLOOKUP(C662,'18. CUSTOS DNIT - SERVIÇOS'!A:D,4,0)</f>
        <v>4.72</v>
      </c>
      <c r="H662" s="24"/>
      <c r="I662" s="25">
        <f>'3. BDI'!$C$19</f>
        <v>0.24666704095238123</v>
      </c>
      <c r="J662" s="24">
        <f t="shared" si="1110"/>
        <v>5.88</v>
      </c>
      <c r="K662" s="24">
        <f t="shared" si="1111"/>
        <v>0</v>
      </c>
      <c r="L662" s="24">
        <f t="shared" si="1112"/>
        <v>309.11160000000001</v>
      </c>
      <c r="M662" s="24">
        <f t="shared" si="1113"/>
        <v>0</v>
      </c>
      <c r="N662" s="24">
        <f t="shared" si="1114"/>
        <v>309.11160000000001</v>
      </c>
      <c r="P662" s="24">
        <f>7.5823/1.60645</f>
        <v>4.7199103613557849</v>
      </c>
      <c r="Q662" s="24">
        <f>TRUNC((P662*E662),2)</f>
        <v>248.12</v>
      </c>
      <c r="R662" s="24">
        <f t="shared" si="1108"/>
        <v>309.32</v>
      </c>
      <c r="S662" s="24">
        <f t="shared" si="1109"/>
        <v>-0.20839999999998327</v>
      </c>
    </row>
    <row r="663" spans="1:19">
      <c r="A663" s="9" t="s">
        <v>23117</v>
      </c>
      <c r="B663" s="10" t="s">
        <v>9016</v>
      </c>
      <c r="C663" s="10">
        <v>511200</v>
      </c>
      <c r="D663" s="43" t="str">
        <f>VLOOKUP(C663,'13. CUSTOS DER - SERVIÇOS'!A:B,2,0)</f>
        <v>REGULARIZAÇÃO COMPAC.SUBLEITO 100% PN (B)</v>
      </c>
      <c r="E663" s="11">
        <v>6712.87</v>
      </c>
      <c r="F663" s="26" t="str">
        <f>VLOOKUP(C663,'13. CUSTOS DER - SERVIÇOS'!A:C,3,0)</f>
        <v>M2</v>
      </c>
      <c r="G663" s="24">
        <f>VLOOKUP(C663,'13. CUSTOS DER - SERVIÇOS'!A:G,7,0)</f>
        <v>4.6399999999999997</v>
      </c>
      <c r="H663" s="24"/>
      <c r="I663" s="25">
        <f>'3. BDI'!$C$19</f>
        <v>0.24666704095238123</v>
      </c>
      <c r="J663" s="24">
        <f t="shared" si="1110"/>
        <v>5.78</v>
      </c>
      <c r="K663" s="24">
        <f t="shared" si="1111"/>
        <v>0</v>
      </c>
      <c r="L663" s="24">
        <f t="shared" si="1112"/>
        <v>38800.388599999998</v>
      </c>
      <c r="M663" s="24">
        <f t="shared" si="1113"/>
        <v>0</v>
      </c>
      <c r="N663" s="24">
        <f t="shared" si="1114"/>
        <v>38800.388599999998</v>
      </c>
      <c r="P663" s="24">
        <f>166.6/272.77</f>
        <v>0.61077097921325663</v>
      </c>
      <c r="Q663" s="24">
        <f t="shared" ref="Q663:Q665" si="1115">TRUNC(P663*E663,2)</f>
        <v>4100.0200000000004</v>
      </c>
      <c r="R663" s="24">
        <f t="shared" si="1108"/>
        <v>5111.3500000000004</v>
      </c>
      <c r="S663" s="24">
        <f t="shared" si="1109"/>
        <v>33689.0386</v>
      </c>
    </row>
    <row r="664" spans="1:19">
      <c r="A664" s="9" t="s">
        <v>23292</v>
      </c>
      <c r="B664" s="10" t="s">
        <v>9016</v>
      </c>
      <c r="C664" s="10">
        <v>531000</v>
      </c>
      <c r="D664" s="43" t="str">
        <f>VLOOKUP(C664,'13. CUSTOS DER - SERVIÇOS'!A:B,2,0)</f>
        <v>BRITA GRADUADA 100% PI</v>
      </c>
      <c r="E664" s="11">
        <v>656.25</v>
      </c>
      <c r="F664" s="26" t="str">
        <f>VLOOKUP(C664,'13. CUSTOS DER - SERVIÇOS'!A:C,3,0)</f>
        <v>M3</v>
      </c>
      <c r="G664" s="24">
        <f>VLOOKUP(C664,'13. CUSTOS DER - SERVIÇOS'!A:G,7,0)</f>
        <v>132.22999999999999</v>
      </c>
      <c r="H664" s="24">
        <f>VLOOKUP(C664,'10. CCU TRANSPORTE'!B:J,9,0)</f>
        <v>34.799999999999997</v>
      </c>
      <c r="I664" s="25">
        <f>'3. BDI'!$C$19</f>
        <v>0.24666704095238123</v>
      </c>
      <c r="J664" s="24">
        <f t="shared" si="1110"/>
        <v>164.84</v>
      </c>
      <c r="K664" s="24">
        <f t="shared" si="1111"/>
        <v>43.38</v>
      </c>
      <c r="L664" s="24">
        <f t="shared" si="1112"/>
        <v>108176.25</v>
      </c>
      <c r="M664" s="24">
        <f t="shared" si="1113"/>
        <v>28468.125</v>
      </c>
      <c r="N664" s="24">
        <f t="shared" si="1114"/>
        <v>136644.375</v>
      </c>
      <c r="P664" s="24">
        <f>306.75/87.3</f>
        <v>3.5137457044673539</v>
      </c>
      <c r="Q664" s="24">
        <f t="shared" si="1115"/>
        <v>2305.89</v>
      </c>
      <c r="R664" s="24">
        <f t="shared" si="1108"/>
        <v>2874.67</v>
      </c>
      <c r="S664" s="24">
        <f t="shared" si="1109"/>
        <v>133769.70499999999</v>
      </c>
    </row>
    <row r="665" spans="1:19" ht="31.5">
      <c r="A665" s="9" t="s">
        <v>23293</v>
      </c>
      <c r="B665" s="10" t="s">
        <v>9016</v>
      </c>
      <c r="C665" s="10">
        <v>503110</v>
      </c>
      <c r="D665" s="43" t="str">
        <f>VLOOKUP(C665,'13. CUSTOS DER - SERVIÇOS'!A:B,2,0)</f>
        <v>FORNECIMENTO E APLICAÇÃO DE LONA PLÁSTICA PRETA 200 MICRAS</v>
      </c>
      <c r="E665" s="11">
        <v>6412.15</v>
      </c>
      <c r="F665" s="26" t="str">
        <f>VLOOKUP(C665,'13. CUSTOS DER - SERVIÇOS'!A:C,3,0)</f>
        <v>M2</v>
      </c>
      <c r="G665" s="24">
        <f>VLOOKUP(C665,'13. CUSTOS DER - SERVIÇOS'!A:G,7,0)</f>
        <v>3.61</v>
      </c>
      <c r="H665" s="24"/>
      <c r="I665" s="25">
        <f>'3. BDI'!$C$19</f>
        <v>0.24666704095238123</v>
      </c>
      <c r="J665" s="24">
        <f t="shared" si="1110"/>
        <v>4.5</v>
      </c>
      <c r="K665" s="24">
        <f t="shared" si="1111"/>
        <v>0</v>
      </c>
      <c r="L665" s="24">
        <f t="shared" si="1112"/>
        <v>28854.674999999999</v>
      </c>
      <c r="M665" s="24">
        <f t="shared" si="1113"/>
        <v>0</v>
      </c>
      <c r="N665" s="24">
        <f t="shared" si="1114"/>
        <v>28854.674999999999</v>
      </c>
      <c r="P665" s="24">
        <f>125.84/300</f>
        <v>0.41946666666666665</v>
      </c>
      <c r="Q665" s="24">
        <f t="shared" si="1115"/>
        <v>2689.68</v>
      </c>
      <c r="R665" s="24">
        <f t="shared" si="1108"/>
        <v>3353.13</v>
      </c>
      <c r="S665" s="24">
        <f t="shared" si="1109"/>
        <v>25501.544999999998</v>
      </c>
    </row>
    <row r="666" spans="1:19" ht="47.25">
      <c r="A666" s="9" t="s">
        <v>23294</v>
      </c>
      <c r="B666" s="10" t="s">
        <v>9008</v>
      </c>
      <c r="C666" s="10">
        <v>97096</v>
      </c>
      <c r="D666" s="445" t="str">
        <f>VLOOKUP(C666,'21. CUSTOS SINAPI - SERVIÇOS'!A:B,2,0)</f>
        <v>CONCRETAGEM DE RADIER, PISO DE CONCRETO OU LAJE SOBRE SOLO, FCK 30 MPA - LANÇAMENTO, ADENSAMENTO E ACABAMENTO. AF_09/2021</v>
      </c>
      <c r="E666" s="11">
        <v>493.72</v>
      </c>
      <c r="F666" s="26" t="str">
        <f>VLOOKUP(C666,'21. CUSTOS SINAPI - SERVIÇOS'!A:C,3,0)</f>
        <v>M3</v>
      </c>
      <c r="G666" s="24">
        <f>VLOOKUP(C666,'21. CUSTOS SINAPI - SERVIÇOS'!A:D,4,0)</f>
        <v>522.74</v>
      </c>
      <c r="H666" s="24">
        <v>0</v>
      </c>
      <c r="I666" s="25">
        <f>'3. BDI'!$C$19</f>
        <v>0.24666704095238123</v>
      </c>
      <c r="J666" s="24">
        <f t="shared" si="1110"/>
        <v>651.67999999999995</v>
      </c>
      <c r="K666" s="24">
        <f t="shared" si="1111"/>
        <v>0</v>
      </c>
      <c r="L666" s="24">
        <f t="shared" si="1112"/>
        <v>321747.44959999999</v>
      </c>
      <c r="M666" s="24">
        <f t="shared" si="1113"/>
        <v>0</v>
      </c>
      <c r="N666" s="24">
        <f t="shared" si="1114"/>
        <v>321747.44959999999</v>
      </c>
      <c r="P666" s="24">
        <v>17.28</v>
      </c>
      <c r="Q666" s="24">
        <f>TRUNC((P666*E666),2)</f>
        <v>8531.48</v>
      </c>
      <c r="R666" s="24">
        <f t="shared" si="1108"/>
        <v>10635.91</v>
      </c>
      <c r="S666" s="24">
        <f t="shared" si="1109"/>
        <v>311111.53960000002</v>
      </c>
    </row>
    <row r="667" spans="1:19">
      <c r="A667" s="9" t="s">
        <v>23295</v>
      </c>
      <c r="B667" s="10" t="s">
        <v>9016</v>
      </c>
      <c r="C667" s="10">
        <v>505415</v>
      </c>
      <c r="D667" s="43" t="str">
        <f>VLOOKUP(C667,'13. CUSTOS DER - SERVIÇOS'!A:B,2,0)</f>
        <v>CURA QUÍMICA DE PAVIMENTO DE CONCRETO</v>
      </c>
      <c r="E667" s="11">
        <v>6412.15</v>
      </c>
      <c r="F667" s="26" t="str">
        <f>VLOOKUP(C667,'13. CUSTOS DER - SERVIÇOS'!A:C,3,0)</f>
        <v>M2</v>
      </c>
      <c r="G667" s="24">
        <f>VLOOKUP(C667,'13. CUSTOS DER - SERVIÇOS'!A:G,7,0)</f>
        <v>8.49</v>
      </c>
      <c r="H667" s="24"/>
      <c r="I667" s="25">
        <f>'3. BDI'!$C$19</f>
        <v>0.24666704095238123</v>
      </c>
      <c r="J667" s="24">
        <f t="shared" si="1110"/>
        <v>10.58</v>
      </c>
      <c r="K667" s="24">
        <f t="shared" si="1111"/>
        <v>0</v>
      </c>
      <c r="L667" s="24">
        <f t="shared" si="1112"/>
        <v>67840.546999999991</v>
      </c>
      <c r="M667" s="24">
        <f t="shared" si="1113"/>
        <v>0</v>
      </c>
      <c r="N667" s="24">
        <f t="shared" si="1114"/>
        <v>67840.546999999991</v>
      </c>
      <c r="P667" s="24">
        <f>31.46/80</f>
        <v>0.39324999999999999</v>
      </c>
      <c r="Q667" s="24">
        <f t="shared" ref="Q667:Q669" si="1116">TRUNC(P667*E667,2)</f>
        <v>2521.5700000000002</v>
      </c>
      <c r="R667" s="24">
        <f t="shared" si="1108"/>
        <v>3143.55</v>
      </c>
      <c r="S667" s="24">
        <f t="shared" si="1109"/>
        <v>64696.996999999988</v>
      </c>
    </row>
    <row r="668" spans="1:19">
      <c r="A668" s="9" t="s">
        <v>23296</v>
      </c>
      <c r="B668" s="10" t="s">
        <v>9016</v>
      </c>
      <c r="C668" s="10">
        <v>505416</v>
      </c>
      <c r="D668" s="43" t="str">
        <f>VLOOKUP(C668,'13. CUSTOS DER - SERVIÇOS'!A:B,2,0)</f>
        <v>CURA ÚMIDA DE PAVIMENTO DE CONCRETO COM MANTA DE CURA</v>
      </c>
      <c r="E668" s="11">
        <v>6412.15</v>
      </c>
      <c r="F668" s="26" t="str">
        <f>VLOOKUP(C668,'13. CUSTOS DER - SERVIÇOS'!A:C,3,0)</f>
        <v>M2</v>
      </c>
      <c r="G668" s="24">
        <f>VLOOKUP(C668,'13. CUSTOS DER - SERVIÇOS'!A:G,7,0)</f>
        <v>10</v>
      </c>
      <c r="H668" s="24"/>
      <c r="I668" s="25">
        <f>'3. BDI'!$C$19</f>
        <v>0.24666704095238123</v>
      </c>
      <c r="J668" s="24">
        <f t="shared" si="1110"/>
        <v>12.46</v>
      </c>
      <c r="K668" s="24">
        <f t="shared" si="1111"/>
        <v>0</v>
      </c>
      <c r="L668" s="24">
        <f t="shared" si="1112"/>
        <v>79895.388999999996</v>
      </c>
      <c r="M668" s="24">
        <f t="shared" si="1113"/>
        <v>0</v>
      </c>
      <c r="N668" s="24">
        <f t="shared" si="1114"/>
        <v>79895.388999999996</v>
      </c>
      <c r="P668" s="24">
        <f>98.67/45</f>
        <v>2.1926666666666668</v>
      </c>
      <c r="Q668" s="24">
        <f t="shared" si="1116"/>
        <v>14059.7</v>
      </c>
      <c r="R668" s="24">
        <f t="shared" si="1108"/>
        <v>17527.759999999998</v>
      </c>
      <c r="S668" s="24">
        <f t="shared" si="1109"/>
        <v>62367.629000000001</v>
      </c>
    </row>
    <row r="669" spans="1:19" ht="31.5">
      <c r="A669" s="9" t="s">
        <v>23297</v>
      </c>
      <c r="B669" s="10" t="s">
        <v>9016</v>
      </c>
      <c r="C669" s="10">
        <v>502670</v>
      </c>
      <c r="D669" s="43" t="str">
        <f>VLOOKUP(C669,'13. CUSTOS DER - SERVIÇOS'!A:B,2,0)</f>
        <v>JUNTA TRANSVERSAL , INCLUSIVE CORTE, SELANTE A BASE DE SILICONE E CORDÃO DE POLIPROPILENO</v>
      </c>
      <c r="E669" s="11">
        <v>3373.41</v>
      </c>
      <c r="F669" s="26" t="str">
        <f>VLOOKUP(C669,'13. CUSTOS DER - SERVIÇOS'!A:C,3,0)</f>
        <v>M</v>
      </c>
      <c r="G669" s="24">
        <f>VLOOKUP(C669,'13. CUSTOS DER - SERVIÇOS'!A:G,7,0)</f>
        <v>19.57</v>
      </c>
      <c r="H669" s="24"/>
      <c r="I669" s="25">
        <f>'3. BDI'!$C$19</f>
        <v>0.24666704095238123</v>
      </c>
      <c r="J669" s="24">
        <f t="shared" si="1110"/>
        <v>24.39</v>
      </c>
      <c r="K669" s="24">
        <f t="shared" si="1111"/>
        <v>0</v>
      </c>
      <c r="L669" s="24">
        <f t="shared" si="1112"/>
        <v>82277.469899999996</v>
      </c>
      <c r="M669" s="24">
        <f t="shared" si="1113"/>
        <v>0</v>
      </c>
      <c r="N669" s="24">
        <f t="shared" si="1114"/>
        <v>82277.469899999996</v>
      </c>
      <c r="P669" s="24">
        <f>187.34/60</f>
        <v>3.1223333333333332</v>
      </c>
      <c r="Q669" s="24">
        <f t="shared" si="1116"/>
        <v>10532.91</v>
      </c>
      <c r="R669" s="24">
        <f t="shared" si="1108"/>
        <v>13131.03</v>
      </c>
      <c r="S669" s="24">
        <f t="shared" si="1109"/>
        <v>69146.439899999998</v>
      </c>
    </row>
    <row r="670" spans="1:19" ht="31.5">
      <c r="A670" s="345"/>
      <c r="B670" s="346"/>
      <c r="C670" s="347"/>
      <c r="D670" s="348" t="s">
        <v>22847</v>
      </c>
      <c r="E670" s="349"/>
      <c r="F670" s="347" t="s">
        <v>195</v>
      </c>
      <c r="G670" s="349"/>
      <c r="H670" s="349"/>
      <c r="I670" s="349"/>
      <c r="J670" s="349"/>
      <c r="K670" s="349"/>
      <c r="L670" s="349"/>
      <c r="M670" s="349"/>
      <c r="N670" s="349"/>
      <c r="P670" s="349"/>
      <c r="Q670" s="349"/>
      <c r="R670" s="24">
        <f t="shared" si="1108"/>
        <v>0</v>
      </c>
      <c r="S670" s="24">
        <f t="shared" si="1109"/>
        <v>0</v>
      </c>
    </row>
    <row r="671" spans="1:19">
      <c r="A671" s="9" t="s">
        <v>23298</v>
      </c>
      <c r="B671" s="10" t="s">
        <v>9016</v>
      </c>
      <c r="C671" s="10">
        <v>511200</v>
      </c>
      <c r="D671" s="43" t="str">
        <f>VLOOKUP(C671,'13. CUSTOS DER - SERVIÇOS'!A:B,2,0)</f>
        <v>REGULARIZAÇÃO COMPAC.SUBLEITO 100% PN (B)</v>
      </c>
      <c r="E671" s="11">
        <v>145.1</v>
      </c>
      <c r="F671" s="26" t="str">
        <f>VLOOKUP(C671,'13. CUSTOS DER - SERVIÇOS'!A:C,3,0)</f>
        <v>M2</v>
      </c>
      <c r="G671" s="24">
        <f>VLOOKUP(C671,'13. CUSTOS DER - SERVIÇOS'!A:G,7,0)</f>
        <v>4.6399999999999997</v>
      </c>
      <c r="H671" s="24">
        <v>0</v>
      </c>
      <c r="I671" s="25">
        <f>'3. BDI'!$C$19</f>
        <v>0.24666704095238123</v>
      </c>
      <c r="J671" s="24">
        <f t="shared" ref="J671:J674" si="1117">TRUNC(G671+(G671*I671),2)</f>
        <v>5.78</v>
      </c>
      <c r="K671" s="24">
        <f t="shared" ref="K671:K674" si="1118">TRUNC(H671+(H671*I671),2)</f>
        <v>0</v>
      </c>
      <c r="L671" s="24">
        <f t="shared" ref="L671:L674" si="1119">J671*E671</f>
        <v>838.678</v>
      </c>
      <c r="M671" s="24">
        <f t="shared" ref="M671:M674" si="1120">K671*E671</f>
        <v>0</v>
      </c>
      <c r="N671" s="24">
        <f t="shared" ref="N671:N674" si="1121">L671+M671</f>
        <v>838.678</v>
      </c>
      <c r="P671" s="24">
        <f>166.6/272.77</f>
        <v>0.61077097921325663</v>
      </c>
      <c r="Q671" s="24">
        <f t="shared" ref="Q671:Q673" si="1122">TRUNC(P671*E671,2)</f>
        <v>88.62</v>
      </c>
      <c r="R671" s="24">
        <f t="shared" si="1108"/>
        <v>110.47</v>
      </c>
      <c r="S671" s="24">
        <f t="shared" si="1109"/>
        <v>728.20799999999997</v>
      </c>
    </row>
    <row r="672" spans="1:19">
      <c r="A672" s="9" t="s">
        <v>23299</v>
      </c>
      <c r="B672" s="10" t="s">
        <v>9016</v>
      </c>
      <c r="C672" s="10">
        <v>531350</v>
      </c>
      <c r="D672" s="43" t="str">
        <f>VLOOKUP(C672,'13. CUSTOS DER - SERVIÇOS'!A:B,2,0)</f>
        <v>MACADAME SECO BRITADO PREENCHIDO C/BICA CORRIDA</v>
      </c>
      <c r="E672" s="11">
        <v>28.63</v>
      </c>
      <c r="F672" s="26" t="str">
        <f>VLOOKUP(C672,'13. CUSTOS DER - SERVIÇOS'!A:C,3,0)</f>
        <v>M3</v>
      </c>
      <c r="G672" s="24">
        <f>VLOOKUP(C672,'13. CUSTOS DER - SERVIÇOS'!A:G,7,0)</f>
        <v>105.23</v>
      </c>
      <c r="H672" s="24">
        <f>VLOOKUP(C672,'10. CCU TRANSPORTE'!B:J,9,0)</f>
        <v>23.09</v>
      </c>
      <c r="I672" s="25">
        <f>'3. BDI'!$C$19</f>
        <v>0.24666704095238123</v>
      </c>
      <c r="J672" s="24">
        <f t="shared" si="1117"/>
        <v>131.18</v>
      </c>
      <c r="K672" s="24">
        <f t="shared" si="1118"/>
        <v>28.78</v>
      </c>
      <c r="L672" s="24">
        <f t="shared" si="1119"/>
        <v>3755.6833999999999</v>
      </c>
      <c r="M672" s="24">
        <f t="shared" si="1120"/>
        <v>823.97140000000002</v>
      </c>
      <c r="N672" s="24">
        <f t="shared" si="1121"/>
        <v>4579.6548000000003</v>
      </c>
      <c r="P672" s="24">
        <f>338.93/57.22</f>
        <v>5.9232785739252014</v>
      </c>
      <c r="Q672" s="24">
        <f t="shared" si="1122"/>
        <v>169.58</v>
      </c>
      <c r="R672" s="24">
        <f t="shared" si="1108"/>
        <v>211.4</v>
      </c>
      <c r="S672" s="24">
        <f t="shared" si="1109"/>
        <v>4368.2548000000006</v>
      </c>
    </row>
    <row r="673" spans="1:19">
      <c r="A673" s="9" t="s">
        <v>23300</v>
      </c>
      <c r="B673" s="10" t="s">
        <v>9016</v>
      </c>
      <c r="C673" s="10">
        <v>532500</v>
      </c>
      <c r="D673" s="43" t="str">
        <f>VLOOKUP(C673,'13. CUSTOS DER - SERVIÇOS'!A:B,2,0)</f>
        <v>COLCHÃO DE AREIA PARA PARALELEPÍPEDO</v>
      </c>
      <c r="E673" s="11">
        <v>13.65</v>
      </c>
      <c r="F673" s="26" t="str">
        <f>VLOOKUP(C673,'13. CUSTOS DER - SERVIÇOS'!A:C,3,0)</f>
        <v>M3</v>
      </c>
      <c r="G673" s="24">
        <f>VLOOKUP(C673,'13. CUSTOS DER - SERVIÇOS'!A:G,7,0)</f>
        <v>102.38</v>
      </c>
      <c r="H673" s="24">
        <f>VLOOKUP(C673,'10. CCU TRANSPORTE'!B:J,9,0)</f>
        <v>42.19</v>
      </c>
      <c r="I673" s="25">
        <f>'3. BDI'!$C$19</f>
        <v>0.24666704095238123</v>
      </c>
      <c r="J673" s="24">
        <f t="shared" si="1117"/>
        <v>127.63</v>
      </c>
      <c r="K673" s="24">
        <f t="shared" si="1118"/>
        <v>52.59</v>
      </c>
      <c r="L673" s="24">
        <f t="shared" si="1119"/>
        <v>1742.1495</v>
      </c>
      <c r="M673" s="24">
        <f t="shared" si="1120"/>
        <v>717.85350000000005</v>
      </c>
      <c r="N673" s="24">
        <f t="shared" si="1121"/>
        <v>2460.0030000000002</v>
      </c>
      <c r="P673" s="24">
        <f>19.73/1</f>
        <v>19.73</v>
      </c>
      <c r="Q673" s="24">
        <f t="shared" si="1122"/>
        <v>269.31</v>
      </c>
      <c r="R673" s="24">
        <f t="shared" si="1108"/>
        <v>335.73</v>
      </c>
      <c r="S673" s="24">
        <f t="shared" si="1109"/>
        <v>2124.2730000000001</v>
      </c>
    </row>
    <row r="674" spans="1:19" ht="47.25">
      <c r="A674" s="9" t="s">
        <v>23301</v>
      </c>
      <c r="B674" s="10" t="s">
        <v>9008</v>
      </c>
      <c r="C674" s="10">
        <v>101850</v>
      </c>
      <c r="D674" s="445" t="str">
        <f>VLOOKUP(C674,'21. CUSTOS SINAPI - SERVIÇOS'!A:B,2,0)</f>
        <v>REASSENTAMENTO DE PARALELEPÍPEDOS, REJUNTAMENTO COM PÓ DE PEDRA, COM REAPROVEITAMENTO DOS PARALELEPÍPEDOS - INCLUSO RETIRADA E COLOCAÇÃO DO MATERIAL. AF_12/2020</v>
      </c>
      <c r="E674" s="11">
        <v>136.52000000000001</v>
      </c>
      <c r="F674" s="26" t="str">
        <f>VLOOKUP(C674,'21. CUSTOS SINAPI - SERVIÇOS'!A:C,3,0)</f>
        <v>M2</v>
      </c>
      <c r="G674" s="24">
        <f>VLOOKUP(C674,'21. CUSTOS SINAPI - SERVIÇOS'!A:D,4,0)</f>
        <v>62.15</v>
      </c>
      <c r="H674" s="24">
        <v>0</v>
      </c>
      <c r="I674" s="25">
        <f>'3. BDI'!$C$19</f>
        <v>0.24666704095238123</v>
      </c>
      <c r="J674" s="24">
        <f t="shared" si="1117"/>
        <v>77.48</v>
      </c>
      <c r="K674" s="24">
        <f t="shared" si="1118"/>
        <v>0</v>
      </c>
      <c r="L674" s="24">
        <f t="shared" si="1119"/>
        <v>10577.569600000001</v>
      </c>
      <c r="M674" s="24">
        <f t="shared" si="1120"/>
        <v>0</v>
      </c>
      <c r="N674" s="24">
        <f t="shared" si="1121"/>
        <v>10577.569600000001</v>
      </c>
      <c r="P674" s="24">
        <v>30.47</v>
      </c>
      <c r="Q674" s="24">
        <f>TRUNC((P674*E674),2)</f>
        <v>4159.76</v>
      </c>
      <c r="R674" s="24">
        <f t="shared" si="1108"/>
        <v>5185.83</v>
      </c>
      <c r="S674" s="24">
        <f t="shared" si="1109"/>
        <v>5391.7396000000008</v>
      </c>
    </row>
    <row r="675" spans="1:19">
      <c r="A675" s="28" t="s">
        <v>22900</v>
      </c>
      <c r="B675" s="48"/>
      <c r="C675" s="29"/>
      <c r="D675" s="301" t="s">
        <v>22843</v>
      </c>
      <c r="E675" s="30"/>
      <c r="F675" s="29" t="s">
        <v>195</v>
      </c>
      <c r="G675" s="30"/>
      <c r="H675" s="30"/>
      <c r="I675" s="31"/>
      <c r="J675" s="30"/>
      <c r="K675" s="30"/>
      <c r="L675" s="30">
        <f t="shared" ref="L675:M675" si="1123">SUM(L676:L701)</f>
        <v>10753437.27</v>
      </c>
      <c r="M675" s="30">
        <f t="shared" si="1123"/>
        <v>2007487.31</v>
      </c>
      <c r="N675" s="30">
        <f>SUM(N676:N701)</f>
        <v>12760924.579999998</v>
      </c>
      <c r="P675" s="30">
        <f t="shared" ref="P675:S675" si="1124">SUM(P676:P701)</f>
        <v>202.30551670069457</v>
      </c>
      <c r="Q675" s="30">
        <f t="shared" si="1124"/>
        <v>803751.37760000001</v>
      </c>
      <c r="R675" s="30">
        <f t="shared" si="1124"/>
        <v>1002010.22</v>
      </c>
      <c r="S675" s="30">
        <f t="shared" si="1124"/>
        <v>11758914.359999999</v>
      </c>
    </row>
    <row r="676" spans="1:19">
      <c r="A676" s="345"/>
      <c r="B676" s="346"/>
      <c r="C676" s="347"/>
      <c r="D676" s="348" t="s">
        <v>376</v>
      </c>
      <c r="E676" s="349"/>
      <c r="F676" s="347" t="s">
        <v>195</v>
      </c>
      <c r="G676" s="349"/>
      <c r="H676" s="349"/>
      <c r="I676" s="350"/>
      <c r="J676" s="349"/>
      <c r="K676" s="349"/>
      <c r="L676" s="349"/>
      <c r="M676" s="349"/>
      <c r="N676" s="349"/>
      <c r="P676" s="349"/>
      <c r="Q676" s="349"/>
      <c r="R676" s="24">
        <f t="shared" ref="R676:R701" si="1125">TRUNC((Q676*I676+Q676),2)</f>
        <v>0</v>
      </c>
      <c r="S676" s="24">
        <f t="shared" ref="S676:S701" si="1126">N676-R676</f>
        <v>0</v>
      </c>
    </row>
    <row r="677" spans="1:19">
      <c r="A677" s="9" t="s">
        <v>23302</v>
      </c>
      <c r="B677" s="10" t="s">
        <v>9016</v>
      </c>
      <c r="C677" s="10">
        <v>511200</v>
      </c>
      <c r="D677" s="43" t="str">
        <f>VLOOKUP(C677,'13. CUSTOS DER - SERVIÇOS'!A:B,2,0)</f>
        <v>REGULARIZAÇÃO COMPAC.SUBLEITO 100% PN (B)</v>
      </c>
      <c r="E677" s="11">
        <v>53787.08</v>
      </c>
      <c r="F677" s="26" t="str">
        <f>VLOOKUP(C677,'13. CUSTOS DER - SERVIÇOS'!A:C,3,0)</f>
        <v>M2</v>
      </c>
      <c r="G677" s="24">
        <f>VLOOKUP(C677,'13. CUSTOS DER - SERVIÇOS'!A:G,7,0)</f>
        <v>4.6399999999999997</v>
      </c>
      <c r="H677" s="24"/>
      <c r="I677" s="25">
        <f>'3. BDI'!$C$19</f>
        <v>0.24666704095238123</v>
      </c>
      <c r="J677" s="24">
        <f t="shared" ref="J677:J681" si="1127">TRUNC(G677+(G677*I677),2)</f>
        <v>5.78</v>
      </c>
      <c r="K677" s="24">
        <f t="shared" ref="K677:K681" si="1128">TRUNC(H677+(H677*I677),2)</f>
        <v>0</v>
      </c>
      <c r="L677" s="24">
        <f t="shared" ref="L677:L681" si="1129">J677*E677</f>
        <v>310889.3224</v>
      </c>
      <c r="M677" s="24">
        <f t="shared" ref="M677:M681" si="1130">K677*E677</f>
        <v>0</v>
      </c>
      <c r="N677" s="24">
        <f t="shared" ref="N677:N681" si="1131">L677+M677</f>
        <v>310889.3224</v>
      </c>
      <c r="P677" s="24">
        <f>166.6/272.77</f>
        <v>0.61077097921325663</v>
      </c>
      <c r="Q677" s="24">
        <f t="shared" ref="Q677:Q679" si="1132">TRUNC(P677*E677,2)</f>
        <v>32851.58</v>
      </c>
      <c r="R677" s="24">
        <f t="shared" si="1125"/>
        <v>40954.980000000003</v>
      </c>
      <c r="S677" s="24">
        <f t="shared" si="1126"/>
        <v>269934.34240000002</v>
      </c>
    </row>
    <row r="678" spans="1:19">
      <c r="A678" s="9" t="s">
        <v>23303</v>
      </c>
      <c r="B678" s="10" t="s">
        <v>9016</v>
      </c>
      <c r="C678" s="10">
        <v>531000</v>
      </c>
      <c r="D678" s="43" t="str">
        <f>VLOOKUP(C678,'13. CUSTOS DER - SERVIÇOS'!A:B,2,0)</f>
        <v>BRITA GRADUADA 100% PI</v>
      </c>
      <c r="E678" s="11">
        <v>10536.08</v>
      </c>
      <c r="F678" s="26" t="str">
        <f>VLOOKUP(C678,'13. CUSTOS DER - SERVIÇOS'!A:C,3,0)</f>
        <v>M3</v>
      </c>
      <c r="G678" s="24">
        <f>VLOOKUP(C678,'13. CUSTOS DER - SERVIÇOS'!A:G,7,0)</f>
        <v>132.22999999999999</v>
      </c>
      <c r="H678" s="24">
        <f>VLOOKUP(C678,'10. CCU TRANSPORTE'!B:J,9,0)</f>
        <v>34.799999999999997</v>
      </c>
      <c r="I678" s="25">
        <f>'3. BDI'!$C$19</f>
        <v>0.24666704095238123</v>
      </c>
      <c r="J678" s="24">
        <f t="shared" si="1127"/>
        <v>164.84</v>
      </c>
      <c r="K678" s="24">
        <f t="shared" si="1128"/>
        <v>43.38</v>
      </c>
      <c r="L678" s="24">
        <f t="shared" si="1129"/>
        <v>1736767.4272</v>
      </c>
      <c r="M678" s="24">
        <f t="shared" si="1130"/>
        <v>457055.15040000004</v>
      </c>
      <c r="N678" s="24">
        <f t="shared" si="1131"/>
        <v>2193822.5776</v>
      </c>
      <c r="P678" s="24">
        <f>306.75/87.3</f>
        <v>3.5137457044673539</v>
      </c>
      <c r="Q678" s="24">
        <f t="shared" si="1132"/>
        <v>37021.1</v>
      </c>
      <c r="R678" s="24">
        <f t="shared" si="1125"/>
        <v>46152.98</v>
      </c>
      <c r="S678" s="24">
        <f t="shared" si="1126"/>
        <v>2147669.5976</v>
      </c>
    </row>
    <row r="679" spans="1:19">
      <c r="A679" s="9" t="s">
        <v>23304</v>
      </c>
      <c r="B679" s="10" t="s">
        <v>9016</v>
      </c>
      <c r="C679" s="10">
        <v>502615</v>
      </c>
      <c r="D679" s="43" t="str">
        <f>VLOOKUP(C679,'13. CUSTOS DER - SERVIÇOS'!A:B,2,0)</f>
        <v>CONCRETO COMPACTADO A ROLO FCK= 15MPA</v>
      </c>
      <c r="E679" s="11">
        <v>5157.3599999999997</v>
      </c>
      <c r="F679" s="26" t="str">
        <f>VLOOKUP(C679,'13. CUSTOS DER - SERVIÇOS'!A:C,3,0)</f>
        <v>M3</v>
      </c>
      <c r="G679" s="24">
        <f>VLOOKUP(C679,'13. CUSTOS DER - SERVIÇOS'!A:G,7,0)</f>
        <v>307.27999999999997</v>
      </c>
      <c r="H679" s="24">
        <f>VLOOKUP(C679,'10. CCU TRANSPORTE'!B:J,9,0)</f>
        <v>60.91</v>
      </c>
      <c r="I679" s="25">
        <f>'3. BDI'!$C$19</f>
        <v>0.24666704095238123</v>
      </c>
      <c r="J679" s="24">
        <f t="shared" si="1127"/>
        <v>383.07</v>
      </c>
      <c r="K679" s="24">
        <f t="shared" si="1128"/>
        <v>75.930000000000007</v>
      </c>
      <c r="L679" s="24">
        <f t="shared" si="1129"/>
        <v>1975629.8951999999</v>
      </c>
      <c r="M679" s="24">
        <f t="shared" si="1130"/>
        <v>391598.34480000002</v>
      </c>
      <c r="N679" s="24">
        <f t="shared" si="1131"/>
        <v>2367228.2399999998</v>
      </c>
      <c r="P679" s="24">
        <f>200.2/130</f>
        <v>1.5399999999999998</v>
      </c>
      <c r="Q679" s="24">
        <f t="shared" si="1132"/>
        <v>7942.33</v>
      </c>
      <c r="R679" s="24">
        <f t="shared" si="1125"/>
        <v>9901.44</v>
      </c>
      <c r="S679" s="24">
        <f t="shared" si="1126"/>
        <v>2357326.7999999998</v>
      </c>
    </row>
    <row r="680" spans="1:19" ht="31.5">
      <c r="A680" s="9" t="s">
        <v>23305</v>
      </c>
      <c r="B680" s="10" t="s">
        <v>22708</v>
      </c>
      <c r="C680" s="10">
        <v>4011538</v>
      </c>
      <c r="D680" s="43" t="str">
        <f>UPPER(VLOOKUP(C680,'18. CUSTOS DNIT - SERVIÇOS'!A:B,2,0))</f>
        <v>CURA COM PINTURA ASFÁLTICA PARA PAVIMENTO DE CONCRETO COMPACTADO COM ROLO</v>
      </c>
      <c r="E680" s="11">
        <v>52680.38</v>
      </c>
      <c r="F680" s="26" t="str">
        <f>UPPER((VLOOKUP(C680,'18. CUSTOS DNIT - SERVIÇOS'!A:C,3,0)))</f>
        <v>M²</v>
      </c>
      <c r="G680" s="24">
        <f>VLOOKUP(C680,'18. CUSTOS DNIT - SERVIÇOS'!A:D,4,0)</f>
        <v>0.16</v>
      </c>
      <c r="H680" s="24"/>
      <c r="I680" s="25">
        <f>'3. BDI'!$C$19</f>
        <v>0.24666704095238123</v>
      </c>
      <c r="J680" s="24">
        <f t="shared" si="1127"/>
        <v>0.19</v>
      </c>
      <c r="K680" s="24">
        <f t="shared" si="1128"/>
        <v>0</v>
      </c>
      <c r="L680" s="24">
        <f t="shared" si="1129"/>
        <v>10009.272199999999</v>
      </c>
      <c r="M680" s="24">
        <f t="shared" si="1130"/>
        <v>0</v>
      </c>
      <c r="N680" s="24">
        <f t="shared" si="1131"/>
        <v>10009.272199999999</v>
      </c>
      <c r="P680" s="24">
        <v>0</v>
      </c>
      <c r="Q680" s="24">
        <f>TRUNC((P680*E680),2)</f>
        <v>0</v>
      </c>
      <c r="R680" s="24">
        <f t="shared" si="1125"/>
        <v>0</v>
      </c>
      <c r="S680" s="24">
        <f t="shared" si="1126"/>
        <v>10009.272199999999</v>
      </c>
    </row>
    <row r="681" spans="1:19" ht="31.5">
      <c r="A681" s="9" t="s">
        <v>23306</v>
      </c>
      <c r="B681" s="10" t="s">
        <v>9016</v>
      </c>
      <c r="C681" s="10">
        <v>503110</v>
      </c>
      <c r="D681" s="43" t="str">
        <f>VLOOKUP(C681,'13. CUSTOS DER - SERVIÇOS'!A:B,2,0)</f>
        <v>FORNECIMENTO E APLICAÇÃO DE LONA PLÁSTICA PRETA 200 MICRAS</v>
      </c>
      <c r="E681" s="11">
        <v>50467</v>
      </c>
      <c r="F681" s="26" t="str">
        <f>VLOOKUP(C681,'13. CUSTOS DER - SERVIÇOS'!A:C,3,0)</f>
        <v>M2</v>
      </c>
      <c r="G681" s="24">
        <f>VLOOKUP(C681,'13. CUSTOS DER - SERVIÇOS'!A:G,7,0)</f>
        <v>3.61</v>
      </c>
      <c r="H681" s="24"/>
      <c r="I681" s="25">
        <f>'3. BDI'!$C$19</f>
        <v>0.24666704095238123</v>
      </c>
      <c r="J681" s="24">
        <f t="shared" si="1127"/>
        <v>4.5</v>
      </c>
      <c r="K681" s="24">
        <f t="shared" si="1128"/>
        <v>0</v>
      </c>
      <c r="L681" s="24">
        <f t="shared" si="1129"/>
        <v>227101.5</v>
      </c>
      <c r="M681" s="24">
        <f t="shared" si="1130"/>
        <v>0</v>
      </c>
      <c r="N681" s="24">
        <f t="shared" si="1131"/>
        <v>227101.5</v>
      </c>
      <c r="P681" s="24">
        <f>125.84/300</f>
        <v>0.41946666666666665</v>
      </c>
      <c r="Q681" s="24">
        <f t="shared" ref="Q681:Q683" si="1133">TRUNC(P681*E681,2)</f>
        <v>21169.22</v>
      </c>
      <c r="R681" s="24">
        <f t="shared" si="1125"/>
        <v>26390.959999999999</v>
      </c>
      <c r="S681" s="24">
        <f t="shared" si="1126"/>
        <v>200710.54</v>
      </c>
    </row>
    <row r="682" spans="1:19" ht="31.5">
      <c r="A682" s="9" t="s">
        <v>23307</v>
      </c>
      <c r="B682" s="10" t="s">
        <v>9016</v>
      </c>
      <c r="C682" s="10">
        <v>507220</v>
      </c>
      <c r="D682" s="43" t="str">
        <f>VLOOKUP(C682,'13. CUSTOS DER - SERVIÇOS'!A:B,2,0)</f>
        <v>FORNECIMENTO E COLOCAÇÃO DE AÇO CA-25 PARA BARRA DE TRANSFERÊNCIA Ø= 20MM</v>
      </c>
      <c r="E682" s="11">
        <v>1129.8699999999999</v>
      </c>
      <c r="F682" s="26" t="str">
        <f>VLOOKUP(C682,'13. CUSTOS DER - SERVIÇOS'!A:C,3,0)</f>
        <v>KG</v>
      </c>
      <c r="G682" s="24">
        <f>VLOOKUP(C682,'13. CUSTOS DER - SERVIÇOS'!A:G,7,0)</f>
        <v>7.48</v>
      </c>
      <c r="H682" s="24"/>
      <c r="I682" s="25">
        <f>'3. BDI'!$C$19</f>
        <v>0.24666704095238123</v>
      </c>
      <c r="J682" s="24">
        <f>TRUNC(G682+(G682*I682),2)</f>
        <v>9.32</v>
      </c>
      <c r="K682" s="24">
        <f>TRUNC(H682+(H682*I682),2)</f>
        <v>0</v>
      </c>
      <c r="L682" s="24">
        <f>J682*E682</f>
        <v>10530.3884</v>
      </c>
      <c r="M682" s="24">
        <f>K682*E682</f>
        <v>0</v>
      </c>
      <c r="N682" s="24">
        <f>L682+M682</f>
        <v>10530.3884</v>
      </c>
      <c r="P682" s="24">
        <f>2.91/50</f>
        <v>5.8200000000000002E-2</v>
      </c>
      <c r="Q682" s="24">
        <f t="shared" si="1133"/>
        <v>65.75</v>
      </c>
      <c r="R682" s="24">
        <f t="shared" si="1125"/>
        <v>81.96</v>
      </c>
      <c r="S682" s="24">
        <f t="shared" si="1126"/>
        <v>10448.428400000001</v>
      </c>
    </row>
    <row r="683" spans="1:19" ht="31.5">
      <c r="A683" s="9" t="s">
        <v>23308</v>
      </c>
      <c r="B683" s="10" t="s">
        <v>9016</v>
      </c>
      <c r="C683" s="10">
        <v>507210</v>
      </c>
      <c r="D683" s="43" t="str">
        <f>VLOOKUP(C683,'13. CUSTOS DER - SERVIÇOS'!A:B,2,0)</f>
        <v>FORNECIMENTO E COLOCAÇÃO DE AÇO CA 50 PARA BARRAS DE LIGAÇÃO</v>
      </c>
      <c r="E683" s="11">
        <v>1815.91</v>
      </c>
      <c r="F683" s="26" t="str">
        <f>VLOOKUP(C683,'13. CUSTOS DER - SERVIÇOS'!A:C,3,0)</f>
        <v>KG</v>
      </c>
      <c r="G683" s="24">
        <f>VLOOKUP(C683,'13. CUSTOS DER - SERVIÇOS'!A:G,7,0)</f>
        <v>8.4</v>
      </c>
      <c r="H683" s="24"/>
      <c r="I683" s="25">
        <f>'3. BDI'!$C$19</f>
        <v>0.24666704095238123</v>
      </c>
      <c r="J683" s="24">
        <f>TRUNC(G683+(G683*I683),2)</f>
        <v>10.47</v>
      </c>
      <c r="K683" s="24">
        <f>TRUNC(H683+(H683*I683),2)</f>
        <v>0</v>
      </c>
      <c r="L683" s="24">
        <f>J683*E683</f>
        <v>19012.577700000002</v>
      </c>
      <c r="M683" s="24">
        <f>K683*E683</f>
        <v>0</v>
      </c>
      <c r="N683" s="24">
        <f>L683+M683</f>
        <v>19012.577700000002</v>
      </c>
      <c r="P683" s="24">
        <f>5.77/50</f>
        <v>0.11539999999999999</v>
      </c>
      <c r="Q683" s="24">
        <f t="shared" si="1133"/>
        <v>209.55</v>
      </c>
      <c r="R683" s="24">
        <f t="shared" si="1125"/>
        <v>261.23</v>
      </c>
      <c r="S683" s="24">
        <f t="shared" si="1126"/>
        <v>18751.347700000002</v>
      </c>
    </row>
    <row r="684" spans="1:19" ht="31.5">
      <c r="A684" s="9" t="s">
        <v>23309</v>
      </c>
      <c r="B684" s="10" t="s">
        <v>22708</v>
      </c>
      <c r="C684" s="10">
        <v>407819</v>
      </c>
      <c r="D684" s="43" t="str">
        <f>UPPER(VLOOKUP(C684,'18. CUSTOS DNIT - SERVIÇOS'!A:B,2,0))</f>
        <v>ARMAÇÃO EM AÇO CA-50 - FORNECIMENTO, PREPARO E COLOCAÇÃO</v>
      </c>
      <c r="E684" s="11">
        <v>217.18</v>
      </c>
      <c r="F684" s="26" t="str">
        <f>UPPER((VLOOKUP(C684,'18. CUSTOS DNIT - SERVIÇOS'!A:C,3,0)))</f>
        <v>KG</v>
      </c>
      <c r="G684" s="24">
        <f>VLOOKUP(C684,'18. CUSTOS DNIT - SERVIÇOS'!A:D,4,0)</f>
        <v>12.74</v>
      </c>
      <c r="H684" s="24"/>
      <c r="I684" s="25">
        <f>'3. BDI'!$C$19</f>
        <v>0.24666704095238123</v>
      </c>
      <c r="J684" s="24">
        <f t="shared" ref="J684" si="1134">TRUNC(G684+(G684*I684),2)</f>
        <v>15.88</v>
      </c>
      <c r="K684" s="24">
        <f t="shared" ref="K684" si="1135">TRUNC(H684+(H684*I684),2)</f>
        <v>0</v>
      </c>
      <c r="L684" s="24">
        <f t="shared" ref="L684" si="1136">J684*E684</f>
        <v>3448.8184000000001</v>
      </c>
      <c r="M684" s="24">
        <f t="shared" ref="M684" si="1137">K684*E684</f>
        <v>0</v>
      </c>
      <c r="N684" s="24">
        <f t="shared" ref="N684" si="1138">L684+M684</f>
        <v>3448.8184000000001</v>
      </c>
      <c r="P684" s="24">
        <f>5.1929/1</f>
        <v>5.1928999999999998</v>
      </c>
      <c r="Q684" s="24">
        <f>TRUNC((P684*E684),2)</f>
        <v>1127.79</v>
      </c>
      <c r="R684" s="24">
        <f t="shared" si="1125"/>
        <v>1405.97</v>
      </c>
      <c r="S684" s="24">
        <f t="shared" si="1126"/>
        <v>2042.8484000000001</v>
      </c>
    </row>
    <row r="685" spans="1:19" ht="31.5">
      <c r="A685" s="9"/>
      <c r="B685" s="10"/>
      <c r="C685" s="10"/>
      <c r="D685" s="352" t="s">
        <v>23689</v>
      </c>
      <c r="E685" s="11"/>
      <c r="F685" s="26"/>
      <c r="G685" s="24"/>
      <c r="H685" s="24"/>
      <c r="I685" s="25"/>
      <c r="J685" s="24"/>
      <c r="K685" s="24"/>
      <c r="L685" s="24"/>
      <c r="M685" s="24"/>
      <c r="N685" s="24"/>
      <c r="P685" s="24"/>
      <c r="Q685" s="24"/>
      <c r="R685" s="24">
        <f t="shared" si="1125"/>
        <v>0</v>
      </c>
      <c r="S685" s="24">
        <f t="shared" si="1126"/>
        <v>0</v>
      </c>
    </row>
    <row r="686" spans="1:19" ht="31.5">
      <c r="A686" s="9" t="s">
        <v>23310</v>
      </c>
      <c r="B686" s="10" t="s">
        <v>9016</v>
      </c>
      <c r="C686" s="10">
        <v>504840</v>
      </c>
      <c r="D686" s="43" t="str">
        <f>VLOOKUP(C686,'13. CUSTOS DER - SERVIÇOS'!A:B,2,0)</f>
        <v>FORNECIMENTO E APLICAÇÃO DE FIBRA DE POLIPROPILENO MULTIFILAMENTOS (0,600KG/ M³)</v>
      </c>
      <c r="E686" s="11">
        <v>4955.7299999999996</v>
      </c>
      <c r="F686" s="26" t="str">
        <f>VLOOKUP(C686,'13. CUSTOS DER - SERVIÇOS'!A:C,3,0)</f>
        <v>KG</v>
      </c>
      <c r="G686" s="24">
        <f>VLOOKUP(C686,'13. CUSTOS DER - SERVIÇOS'!A:G,7,0)</f>
        <v>41.95</v>
      </c>
      <c r="H686" s="24">
        <v>0</v>
      </c>
      <c r="I686" s="25">
        <f>'3. BDI'!$C$19</f>
        <v>0.24666704095238123</v>
      </c>
      <c r="J686" s="24">
        <f>TRUNC(G686+(G686*I686),2)</f>
        <v>52.29</v>
      </c>
      <c r="K686" s="24">
        <f>TRUNC(H686+(H686*I686),2)</f>
        <v>0</v>
      </c>
      <c r="L686" s="24">
        <f>J686*E686</f>
        <v>259135.12169999996</v>
      </c>
      <c r="M686" s="24">
        <f>K686*E686</f>
        <v>0</v>
      </c>
      <c r="N686" s="24">
        <f>L686+M686</f>
        <v>259135.12169999996</v>
      </c>
      <c r="P686" s="24">
        <f>3.14/15</f>
        <v>0.20933333333333334</v>
      </c>
      <c r="Q686" s="24">
        <f t="shared" ref="Q686:Q691" si="1139">TRUNC(P686*E686,2)</f>
        <v>1037.3900000000001</v>
      </c>
      <c r="R686" s="24">
        <f t="shared" si="1125"/>
        <v>1293.27</v>
      </c>
      <c r="S686" s="24">
        <f t="shared" si="1126"/>
        <v>257841.85169999997</v>
      </c>
    </row>
    <row r="687" spans="1:19" ht="31.5">
      <c r="A687" s="9" t="s">
        <v>23311</v>
      </c>
      <c r="B687" s="10" t="s">
        <v>9016</v>
      </c>
      <c r="C687" s="10">
        <v>502646</v>
      </c>
      <c r="D687" s="43" t="str">
        <f>VLOOKUP(C687,'13. CUSTOS DER - SERVIÇOS'!A:B,2,0)</f>
        <v>PAVIMENTO DE CONCRETO FCTMK=4,50MPA EXECUTADO COM RÉGUA VIBRATÓRIA</v>
      </c>
      <c r="E687" s="11">
        <v>8259.56</v>
      </c>
      <c r="F687" s="26" t="str">
        <f>VLOOKUP(C687,'13. CUSTOS DER - SERVIÇOS'!A:C,3,0)</f>
        <v>M3</v>
      </c>
      <c r="G687" s="24">
        <f>VLOOKUP(C687,'13. CUSTOS DER - SERVIÇOS'!A:G,7,0)</f>
        <v>378.42</v>
      </c>
      <c r="H687" s="24">
        <f>VLOOKUP(C687,'10. CCU TRANSPORTE'!B:J,9,0)</f>
        <v>106.85999999999999</v>
      </c>
      <c r="I687" s="25">
        <f>'3. BDI'!$C$19</f>
        <v>0.24666704095238123</v>
      </c>
      <c r="J687" s="24">
        <f>TRUNC(G687+(G687*I687),2)</f>
        <v>471.76</v>
      </c>
      <c r="K687" s="24">
        <f>TRUNC(H687+(H687*I687),2)</f>
        <v>133.21</v>
      </c>
      <c r="L687" s="24">
        <f>J687*E687</f>
        <v>3896530.0255999998</v>
      </c>
      <c r="M687" s="24">
        <f>K687*E687</f>
        <v>1100255.9876000001</v>
      </c>
      <c r="N687" s="24">
        <f>L687+M687</f>
        <v>4996786.0131999999</v>
      </c>
      <c r="P687" s="24">
        <f>281.72/5</f>
        <v>56.344000000000008</v>
      </c>
      <c r="Q687" s="24">
        <f t="shared" si="1139"/>
        <v>465376.64</v>
      </c>
      <c r="R687" s="24">
        <f t="shared" si="1125"/>
        <v>580169.71</v>
      </c>
      <c r="S687" s="24">
        <f t="shared" si="1126"/>
        <v>4416616.3032</v>
      </c>
    </row>
    <row r="688" spans="1:19">
      <c r="A688" s="9" t="s">
        <v>23312</v>
      </c>
      <c r="B688" s="10" t="s">
        <v>9016</v>
      </c>
      <c r="C688" s="10">
        <v>505415</v>
      </c>
      <c r="D688" s="43" t="str">
        <f>VLOOKUP(C688,'13. CUSTOS DER - SERVIÇOS'!A:B,2,0)</f>
        <v>CURA QUÍMICA DE PAVIMENTO DE CONCRETO</v>
      </c>
      <c r="E688" s="11">
        <v>50467</v>
      </c>
      <c r="F688" s="26" t="str">
        <f>VLOOKUP(C688,'13. CUSTOS DER - SERVIÇOS'!A:C,3,0)</f>
        <v>M2</v>
      </c>
      <c r="G688" s="24">
        <f>VLOOKUP(C688,'13. CUSTOS DER - SERVIÇOS'!A:G,7,0)</f>
        <v>8.49</v>
      </c>
      <c r="H688" s="24"/>
      <c r="I688" s="25">
        <f>'3. BDI'!$C$19</f>
        <v>0.24666704095238123</v>
      </c>
      <c r="J688" s="24">
        <f>TRUNC(G688+(G688*I688),2)</f>
        <v>10.58</v>
      </c>
      <c r="K688" s="24">
        <f>TRUNC(H688+(H688*I688),2)</f>
        <v>0</v>
      </c>
      <c r="L688" s="24">
        <f>J688*E688</f>
        <v>533940.86</v>
      </c>
      <c r="M688" s="24">
        <f>K688*E688</f>
        <v>0</v>
      </c>
      <c r="N688" s="24">
        <f>L688+M688</f>
        <v>533940.86</v>
      </c>
      <c r="P688" s="24">
        <f>31.46/80</f>
        <v>0.39324999999999999</v>
      </c>
      <c r="Q688" s="24">
        <f t="shared" si="1139"/>
        <v>19846.14</v>
      </c>
      <c r="R688" s="24">
        <f t="shared" si="1125"/>
        <v>24741.52</v>
      </c>
      <c r="S688" s="24">
        <f t="shared" si="1126"/>
        <v>509199.33999999997</v>
      </c>
    </row>
    <row r="689" spans="1:19">
      <c r="A689" s="9" t="s">
        <v>23313</v>
      </c>
      <c r="B689" s="10" t="s">
        <v>9016</v>
      </c>
      <c r="C689" s="10">
        <v>505416</v>
      </c>
      <c r="D689" s="43" t="str">
        <f>VLOOKUP(C689,'13. CUSTOS DER - SERVIÇOS'!A:B,2,0)</f>
        <v>CURA ÚMIDA DE PAVIMENTO DE CONCRETO COM MANTA DE CURA</v>
      </c>
      <c r="E689" s="11">
        <v>50467</v>
      </c>
      <c r="F689" s="26" t="str">
        <f>VLOOKUP(C689,'13. CUSTOS DER - SERVIÇOS'!A:C,3,0)</f>
        <v>M2</v>
      </c>
      <c r="G689" s="24">
        <f>VLOOKUP(C689,'13. CUSTOS DER - SERVIÇOS'!A:G,7,0)</f>
        <v>10</v>
      </c>
      <c r="H689" s="24"/>
      <c r="I689" s="25">
        <f>'3. BDI'!$C$19</f>
        <v>0.24666704095238123</v>
      </c>
      <c r="J689" s="24">
        <f t="shared" ref="J689:J691" si="1140">TRUNC(G689+(G689*I689),2)</f>
        <v>12.46</v>
      </c>
      <c r="K689" s="24">
        <f t="shared" ref="K689:K691" si="1141">TRUNC(H689+(H689*I689),2)</f>
        <v>0</v>
      </c>
      <c r="L689" s="24">
        <f t="shared" ref="L689:L691" si="1142">J689*E689</f>
        <v>628818.82000000007</v>
      </c>
      <c r="M689" s="24">
        <f t="shared" ref="M689:M691" si="1143">K689*E689</f>
        <v>0</v>
      </c>
      <c r="N689" s="24">
        <f t="shared" ref="N689:N691" si="1144">L689+M689</f>
        <v>628818.82000000007</v>
      </c>
      <c r="P689" s="24">
        <f>98.67/45</f>
        <v>2.1926666666666668</v>
      </c>
      <c r="Q689" s="24">
        <f t="shared" si="1139"/>
        <v>110657.3</v>
      </c>
      <c r="R689" s="24">
        <f t="shared" si="1125"/>
        <v>137952.79999999999</v>
      </c>
      <c r="S689" s="24">
        <f t="shared" si="1126"/>
        <v>490866.02000000008</v>
      </c>
    </row>
    <row r="690" spans="1:19" ht="31.5">
      <c r="A690" s="9" t="s">
        <v>23314</v>
      </c>
      <c r="B690" s="10" t="s">
        <v>9016</v>
      </c>
      <c r="C690" s="10">
        <v>502680</v>
      </c>
      <c r="D690" s="43" t="str">
        <f>VLOOKUP(C690,'13. CUSTOS DER - SERVIÇOS'!A:B,2,0)</f>
        <v>JUNTA LONGITUDINAL, INCLUSIVE CORTE, SELANTE A BASE DE SILICONE E CORDÃO DE POLIPROPILENO</v>
      </c>
      <c r="E690" s="11">
        <v>11053.49</v>
      </c>
      <c r="F690" s="26" t="str">
        <f>VLOOKUP(C690,'13. CUSTOS DER - SERVIÇOS'!A:C,3,0)</f>
        <v>M</v>
      </c>
      <c r="G690" s="24">
        <f>VLOOKUP(C690,'13. CUSTOS DER - SERVIÇOS'!A:G,7,0)</f>
        <v>14.93</v>
      </c>
      <c r="H690" s="24"/>
      <c r="I690" s="25">
        <f>'3. BDI'!$C$19</f>
        <v>0.24666704095238123</v>
      </c>
      <c r="J690" s="24">
        <f t="shared" si="1140"/>
        <v>18.61</v>
      </c>
      <c r="K690" s="24">
        <f t="shared" si="1141"/>
        <v>0</v>
      </c>
      <c r="L690" s="24">
        <f t="shared" si="1142"/>
        <v>205705.44889999999</v>
      </c>
      <c r="M690" s="24">
        <f t="shared" si="1143"/>
        <v>0</v>
      </c>
      <c r="N690" s="24">
        <f t="shared" si="1144"/>
        <v>205705.44889999999</v>
      </c>
      <c r="P690" s="24">
        <f>187.34/150</f>
        <v>1.2489333333333335</v>
      </c>
      <c r="Q690" s="24">
        <f t="shared" si="1139"/>
        <v>13805.07</v>
      </c>
      <c r="R690" s="24">
        <f t="shared" si="1125"/>
        <v>17210.32</v>
      </c>
      <c r="S690" s="24">
        <f t="shared" si="1126"/>
        <v>188495.12889999998</v>
      </c>
    </row>
    <row r="691" spans="1:19" ht="31.5">
      <c r="A691" s="9" t="s">
        <v>23315</v>
      </c>
      <c r="B691" s="10" t="s">
        <v>9016</v>
      </c>
      <c r="C691" s="10">
        <v>502670</v>
      </c>
      <c r="D691" s="43" t="str">
        <f>VLOOKUP(C691,'13. CUSTOS DER - SERVIÇOS'!A:B,2,0)</f>
        <v>JUNTA TRANSVERSAL , INCLUSIVE CORTE, SELANTE A BASE DE SILICONE E CORDÃO DE POLIPROPILENO</v>
      </c>
      <c r="E691" s="11">
        <v>14940.64</v>
      </c>
      <c r="F691" s="26" t="str">
        <f>VLOOKUP(C691,'13. CUSTOS DER - SERVIÇOS'!A:C,3,0)</f>
        <v>M</v>
      </c>
      <c r="G691" s="24">
        <f>VLOOKUP(C691,'13. CUSTOS DER - SERVIÇOS'!A:G,7,0)</f>
        <v>19.57</v>
      </c>
      <c r="H691" s="24"/>
      <c r="I691" s="25">
        <f>'3. BDI'!$C$19</f>
        <v>0.24666704095238123</v>
      </c>
      <c r="J691" s="24">
        <f t="shared" si="1140"/>
        <v>24.39</v>
      </c>
      <c r="K691" s="24">
        <f t="shared" si="1141"/>
        <v>0</v>
      </c>
      <c r="L691" s="24">
        <f t="shared" si="1142"/>
        <v>364402.2096</v>
      </c>
      <c r="M691" s="24">
        <f t="shared" si="1143"/>
        <v>0</v>
      </c>
      <c r="N691" s="24">
        <f t="shared" si="1144"/>
        <v>364402.2096</v>
      </c>
      <c r="P691" s="24">
        <f>187.34/60</f>
        <v>3.1223333333333332</v>
      </c>
      <c r="Q691" s="24">
        <f t="shared" si="1139"/>
        <v>46649.65</v>
      </c>
      <c r="R691" s="24">
        <f t="shared" si="1125"/>
        <v>58156.58</v>
      </c>
      <c r="S691" s="24">
        <f t="shared" si="1126"/>
        <v>306245.62959999999</v>
      </c>
    </row>
    <row r="692" spans="1:19">
      <c r="A692" s="345"/>
      <c r="B692" s="346"/>
      <c r="C692" s="347"/>
      <c r="D692" s="348" t="s">
        <v>22739</v>
      </c>
      <c r="E692" s="349"/>
      <c r="F692" s="347" t="s">
        <v>195</v>
      </c>
      <c r="G692" s="349"/>
      <c r="H692" s="349"/>
      <c r="I692" s="349"/>
      <c r="J692" s="349"/>
      <c r="K692" s="349"/>
      <c r="L692" s="349"/>
      <c r="M692" s="349"/>
      <c r="N692" s="349"/>
      <c r="P692" s="349"/>
      <c r="Q692" s="349"/>
      <c r="R692" s="24">
        <f t="shared" si="1125"/>
        <v>0</v>
      </c>
      <c r="S692" s="24">
        <f t="shared" si="1126"/>
        <v>0</v>
      </c>
    </row>
    <row r="693" spans="1:19">
      <c r="A693" s="9" t="s">
        <v>23316</v>
      </c>
      <c r="B693" s="10" t="s">
        <v>9016</v>
      </c>
      <c r="C693" s="10">
        <v>706700</v>
      </c>
      <c r="D693" s="43" t="str">
        <f>VLOOKUP(C693,'13. CUSTOS DER - SERVIÇOS'!A:B,2,0)</f>
        <v>DEMOLIÇÃO DE CONCRETO SIMPLES</v>
      </c>
      <c r="E693" s="11">
        <v>2.36</v>
      </c>
      <c r="F693" s="26" t="str">
        <f>VLOOKUP(C693,'13. CUSTOS DER - SERVIÇOS'!A:C,3,0)</f>
        <v>M3</v>
      </c>
      <c r="G693" s="24">
        <f>VLOOKUP(C693,'13. CUSTOS DER - SERVIÇOS'!A:G,7,0)</f>
        <v>148.04</v>
      </c>
      <c r="H693" s="24"/>
      <c r="I693" s="25">
        <f>'3. BDI'!$C$19</f>
        <v>0.24666704095238123</v>
      </c>
      <c r="J693" s="24">
        <f t="shared" ref="J693:J701" si="1145">TRUNC(G693+(G693*I693),2)</f>
        <v>184.55</v>
      </c>
      <c r="K693" s="24">
        <f t="shared" ref="K693:K701" si="1146">TRUNC(H693+(H693*I693),2)</f>
        <v>0</v>
      </c>
      <c r="L693" s="24">
        <f t="shared" ref="L693:L701" si="1147">J693*E693</f>
        <v>435.53800000000001</v>
      </c>
      <c r="M693" s="24">
        <f t="shared" ref="M693:M701" si="1148">K693*E693</f>
        <v>0</v>
      </c>
      <c r="N693" s="24">
        <f t="shared" ref="N693:N701" si="1149">L693+M693</f>
        <v>435.53800000000001</v>
      </c>
      <c r="P693" s="24">
        <f>142.72/2</f>
        <v>71.36</v>
      </c>
      <c r="Q693" s="24">
        <f t="shared" ref="Q693:Q696" si="1150">TRUNC(P693*E693,2)</f>
        <v>168.4</v>
      </c>
      <c r="R693" s="24">
        <f t="shared" si="1125"/>
        <v>209.93</v>
      </c>
      <c r="S693" s="24">
        <f t="shared" si="1126"/>
        <v>225.608</v>
      </c>
    </row>
    <row r="694" spans="1:19">
      <c r="A694" s="9" t="s">
        <v>23317</v>
      </c>
      <c r="B694" s="10" t="s">
        <v>9016</v>
      </c>
      <c r="C694" s="10">
        <v>511200</v>
      </c>
      <c r="D694" s="43" t="str">
        <f>VLOOKUP(C694,'13. CUSTOS DER - SERVIÇOS'!A:B,2,0)</f>
        <v>REGULARIZAÇÃO COMPAC.SUBLEITO 100% PN (B)</v>
      </c>
      <c r="E694" s="11">
        <v>3281.56</v>
      </c>
      <c r="F694" s="26" t="str">
        <f>VLOOKUP(C694,'13. CUSTOS DER - SERVIÇOS'!A:C,3,0)</f>
        <v>M2</v>
      </c>
      <c r="G694" s="24">
        <f>VLOOKUP(C694,'13. CUSTOS DER - SERVIÇOS'!A:G,7,0)</f>
        <v>4.6399999999999997</v>
      </c>
      <c r="H694" s="24">
        <v>0</v>
      </c>
      <c r="I694" s="25">
        <f>'3. BDI'!$C$19</f>
        <v>0.24666704095238123</v>
      </c>
      <c r="J694" s="24">
        <f t="shared" si="1145"/>
        <v>5.78</v>
      </c>
      <c r="K694" s="24">
        <f t="shared" si="1146"/>
        <v>0</v>
      </c>
      <c r="L694" s="24">
        <f t="shared" si="1147"/>
        <v>18967.416799999999</v>
      </c>
      <c r="M694" s="24">
        <f t="shared" si="1148"/>
        <v>0</v>
      </c>
      <c r="N694" s="24">
        <f t="shared" si="1149"/>
        <v>18967.416799999999</v>
      </c>
      <c r="P694" s="24">
        <f>166.6/272.77</f>
        <v>0.61077097921325663</v>
      </c>
      <c r="Q694" s="24">
        <f t="shared" si="1150"/>
        <v>2004.28</v>
      </c>
      <c r="R694" s="24">
        <f t="shared" si="1125"/>
        <v>2498.66</v>
      </c>
      <c r="S694" s="24">
        <f t="shared" si="1126"/>
        <v>16468.756799999999</v>
      </c>
    </row>
    <row r="695" spans="1:19">
      <c r="A695" s="9" t="s">
        <v>23318</v>
      </c>
      <c r="B695" s="10" t="s">
        <v>9016</v>
      </c>
      <c r="C695" s="10">
        <v>531000</v>
      </c>
      <c r="D695" s="43" t="str">
        <f>VLOOKUP(C695,'13. CUSTOS DER - SERVIÇOS'!A:B,2,0)</f>
        <v>BRITA GRADUADA 100% PI</v>
      </c>
      <c r="E695" s="11">
        <v>615.22</v>
      </c>
      <c r="F695" s="26" t="str">
        <f>VLOOKUP(C695,'13. CUSTOS DER - SERVIÇOS'!A:C,3,0)</f>
        <v>M3</v>
      </c>
      <c r="G695" s="24">
        <f>VLOOKUP(C695,'13. CUSTOS DER - SERVIÇOS'!A:G,7,0)</f>
        <v>132.22999999999999</v>
      </c>
      <c r="H695" s="24">
        <f>VLOOKUP(C695,'10. CCU TRANSPORTE'!B:J,9,0)</f>
        <v>34.799999999999997</v>
      </c>
      <c r="I695" s="25">
        <f>'3. BDI'!$C$19</f>
        <v>0.24666704095238123</v>
      </c>
      <c r="J695" s="24">
        <f t="shared" si="1145"/>
        <v>164.84</v>
      </c>
      <c r="K695" s="24">
        <f t="shared" si="1146"/>
        <v>43.38</v>
      </c>
      <c r="L695" s="24">
        <f t="shared" si="1147"/>
        <v>101412.86480000001</v>
      </c>
      <c r="M695" s="24">
        <f t="shared" si="1148"/>
        <v>26688.243600000002</v>
      </c>
      <c r="N695" s="24">
        <f t="shared" si="1149"/>
        <v>128101.10840000001</v>
      </c>
      <c r="P695" s="24">
        <f>306.75/87.3</f>
        <v>3.5137457044673539</v>
      </c>
      <c r="Q695" s="24">
        <f t="shared" si="1150"/>
        <v>2161.7199999999998</v>
      </c>
      <c r="R695" s="24">
        <f t="shared" si="1125"/>
        <v>2694.94</v>
      </c>
      <c r="S695" s="24">
        <f t="shared" si="1126"/>
        <v>125406.16840000001</v>
      </c>
    </row>
    <row r="696" spans="1:19">
      <c r="A696" s="9" t="s">
        <v>23319</v>
      </c>
      <c r="B696" s="10" t="s">
        <v>9016</v>
      </c>
      <c r="C696" s="10">
        <v>502615</v>
      </c>
      <c r="D696" s="43" t="str">
        <f>VLOOKUP(C696,'13. CUSTOS DER - SERVIÇOS'!A:B,2,0)</f>
        <v>CONCRETO COMPACTADO A ROLO FCK= 15MPA</v>
      </c>
      <c r="E696" s="11">
        <v>355.83</v>
      </c>
      <c r="F696" s="26" t="str">
        <f>VLOOKUP(C696,'13. CUSTOS DER - SERVIÇOS'!A:C,3,0)</f>
        <v>M3</v>
      </c>
      <c r="G696" s="24">
        <f>VLOOKUP(C696,'13. CUSTOS DER - SERVIÇOS'!A:G,7,0)</f>
        <v>307.27999999999997</v>
      </c>
      <c r="H696" s="24">
        <f>VLOOKUP(C696,'10. CCU TRANSPORTE'!B:J,9,0)</f>
        <v>60.91</v>
      </c>
      <c r="I696" s="25">
        <f>'3. BDI'!$C$19</f>
        <v>0.24666704095238123</v>
      </c>
      <c r="J696" s="24">
        <f t="shared" si="1145"/>
        <v>383.07</v>
      </c>
      <c r="K696" s="24">
        <f t="shared" si="1146"/>
        <v>75.930000000000007</v>
      </c>
      <c r="L696" s="24">
        <f t="shared" si="1147"/>
        <v>136307.79809999999</v>
      </c>
      <c r="M696" s="24">
        <f t="shared" si="1148"/>
        <v>27018.171900000001</v>
      </c>
      <c r="N696" s="24">
        <f t="shared" si="1149"/>
        <v>163325.96999999997</v>
      </c>
      <c r="P696" s="24">
        <f>200.2/130</f>
        <v>1.5399999999999998</v>
      </c>
      <c r="Q696" s="24">
        <f t="shared" si="1150"/>
        <v>547.97</v>
      </c>
      <c r="R696" s="24">
        <f t="shared" si="1125"/>
        <v>683.13</v>
      </c>
      <c r="S696" s="24">
        <f t="shared" si="1126"/>
        <v>162642.83999999997</v>
      </c>
    </row>
    <row r="697" spans="1:19" ht="31.5">
      <c r="A697" s="9" t="s">
        <v>23320</v>
      </c>
      <c r="B697" s="10" t="s">
        <v>22708</v>
      </c>
      <c r="C697" s="10">
        <v>4011538</v>
      </c>
      <c r="D697" s="43" t="str">
        <f>UPPER(VLOOKUP(C697,'18. CUSTOS DNIT - SERVIÇOS'!A:B,2,0))</f>
        <v>CURA COM PINTURA ASFÁLTICA PARA PAVIMENTO DE CONCRETO COMPACTADO COM ROLO</v>
      </c>
      <c r="E697" s="11">
        <v>2603.59</v>
      </c>
      <c r="F697" s="26" t="str">
        <f>UPPER((VLOOKUP(C697,'18. CUSTOS DNIT - SERVIÇOS'!A:C,3,0)))</f>
        <v>M²</v>
      </c>
      <c r="G697" s="24">
        <f>VLOOKUP(C697,'18. CUSTOS DNIT - SERVIÇOS'!A:D,4,0)</f>
        <v>0.16</v>
      </c>
      <c r="H697" s="24"/>
      <c r="I697" s="25">
        <f>'3. BDI'!$C$19</f>
        <v>0.24666704095238123</v>
      </c>
      <c r="J697" s="24">
        <f t="shared" si="1145"/>
        <v>0.19</v>
      </c>
      <c r="K697" s="24">
        <f t="shared" si="1146"/>
        <v>0</v>
      </c>
      <c r="L697" s="24">
        <f t="shared" si="1147"/>
        <v>494.68210000000005</v>
      </c>
      <c r="M697" s="24">
        <f t="shared" si="1148"/>
        <v>0</v>
      </c>
      <c r="N697" s="24">
        <f t="shared" si="1149"/>
        <v>494.68210000000005</v>
      </c>
      <c r="P697" s="24">
        <v>0</v>
      </c>
      <c r="Q697" s="24">
        <f>TRUNC((P697*E697),2)</f>
        <v>0</v>
      </c>
      <c r="R697" s="24">
        <f t="shared" si="1125"/>
        <v>0</v>
      </c>
      <c r="S697" s="24">
        <f t="shared" si="1126"/>
        <v>494.68210000000005</v>
      </c>
    </row>
    <row r="698" spans="1:19">
      <c r="A698" s="9" t="s">
        <v>23321</v>
      </c>
      <c r="B698" s="10" t="s">
        <v>358</v>
      </c>
      <c r="C698" s="10" t="s">
        <v>22740</v>
      </c>
      <c r="D698" s="43" t="str">
        <f>VLOOKUP(C698,'12. CCU - PAVIMENTAÇÃO'!A:B,2,0)</f>
        <v>VIGA DE CONCRETO 15X14CM, COM BARRA DE 12,5MM</v>
      </c>
      <c r="E698" s="11">
        <v>402.54</v>
      </c>
      <c r="F698" s="26" t="str">
        <f>VLOOKUP(C698,'12. CCU - PAVIMENTAÇÃO'!A:G,7,0)</f>
        <v>M</v>
      </c>
      <c r="G698" s="24">
        <f>VLOOKUP(C698,'12. CCU - PAVIMENTAÇÃO'!A:J,10,0)</f>
        <v>85.078390000000013</v>
      </c>
      <c r="H698" s="24">
        <v>0</v>
      </c>
      <c r="I698" s="25">
        <f>'3. BDI'!$C$19</f>
        <v>0.24666704095238123</v>
      </c>
      <c r="J698" s="24">
        <f t="shared" si="1145"/>
        <v>106.06</v>
      </c>
      <c r="K698" s="24">
        <f t="shared" si="1146"/>
        <v>0</v>
      </c>
      <c r="L698" s="24">
        <f t="shared" si="1147"/>
        <v>42693.392400000004</v>
      </c>
      <c r="M698" s="24">
        <f t="shared" si="1148"/>
        <v>0</v>
      </c>
      <c r="N698" s="24">
        <f t="shared" si="1149"/>
        <v>42693.392400000004</v>
      </c>
      <c r="P698" s="24">
        <v>15.59</v>
      </c>
      <c r="Q698" s="24">
        <f t="shared" ref="Q698:Q699" si="1151">P698*E698</f>
        <v>6275.5986000000003</v>
      </c>
      <c r="R698" s="24">
        <f t="shared" si="1125"/>
        <v>7823.58</v>
      </c>
      <c r="S698" s="24">
        <f t="shared" si="1126"/>
        <v>34869.812400000003</v>
      </c>
    </row>
    <row r="699" spans="1:19">
      <c r="A699" s="9" t="s">
        <v>23322</v>
      </c>
      <c r="B699" s="10" t="s">
        <v>358</v>
      </c>
      <c r="C699" s="10" t="s">
        <v>22742</v>
      </c>
      <c r="D699" s="43" t="str">
        <f>VLOOKUP(C699,'12. CCU - PAVIMENTAÇÃO'!A:B,2,0)</f>
        <v>GUIA DE CONTENÇÃO LATERAL</v>
      </c>
      <c r="E699" s="11">
        <v>1651.9</v>
      </c>
      <c r="F699" s="26" t="str">
        <f>VLOOKUP(C699,'12. CCU - PAVIMENTAÇÃO'!A:G,7,0)</f>
        <v>M</v>
      </c>
      <c r="G699" s="24">
        <f>VLOOKUP(C699,'12. CCU - PAVIMENTAÇÃO'!A:J,10,0)</f>
        <v>20.378</v>
      </c>
      <c r="H699" s="24">
        <v>0</v>
      </c>
      <c r="I699" s="25">
        <f>'3. BDI'!$C$19</f>
        <v>0.24666704095238123</v>
      </c>
      <c r="J699" s="24">
        <f t="shared" si="1145"/>
        <v>25.4</v>
      </c>
      <c r="K699" s="24">
        <f t="shared" si="1146"/>
        <v>0</v>
      </c>
      <c r="L699" s="24">
        <f t="shared" si="1147"/>
        <v>41958.26</v>
      </c>
      <c r="M699" s="24">
        <f t="shared" si="1148"/>
        <v>0</v>
      </c>
      <c r="N699" s="24">
        <f t="shared" si="1149"/>
        <v>41958.26</v>
      </c>
      <c r="P699" s="24">
        <v>2.61</v>
      </c>
      <c r="Q699" s="24">
        <f t="shared" si="1151"/>
        <v>4311.4589999999998</v>
      </c>
      <c r="R699" s="24">
        <f t="shared" si="1125"/>
        <v>5374.95</v>
      </c>
      <c r="S699" s="24">
        <f t="shared" si="1126"/>
        <v>36583.310000000005</v>
      </c>
    </row>
    <row r="700" spans="1:19">
      <c r="A700" s="9" t="s">
        <v>23323</v>
      </c>
      <c r="B700" s="10" t="s">
        <v>9016</v>
      </c>
      <c r="C700" s="10">
        <v>532500</v>
      </c>
      <c r="D700" s="43" t="str">
        <f>VLOOKUP(C700,'13. CUSTOS DER - SERVIÇOS'!A:B,2,0)</f>
        <v>COLCHÃO DE AREIA PARA PARALELEPÍPEDO</v>
      </c>
      <c r="E700" s="11">
        <v>92.63</v>
      </c>
      <c r="F700" s="26" t="str">
        <f>VLOOKUP(C700,'13. CUSTOS DER - SERVIÇOS'!A:C,3,0)</f>
        <v>M3</v>
      </c>
      <c r="G700" s="24">
        <f>VLOOKUP(C700,'13. CUSTOS DER - SERVIÇOS'!A:G,7,0)</f>
        <v>102.38</v>
      </c>
      <c r="H700" s="24">
        <f>VLOOKUP(C700,'10. CCU TRANSPORTE'!B:J,9,0)</f>
        <v>42.19</v>
      </c>
      <c r="I700" s="25">
        <f>'3. BDI'!$C$19</f>
        <v>0.24666704095238123</v>
      </c>
      <c r="J700" s="24">
        <f t="shared" si="1145"/>
        <v>127.63</v>
      </c>
      <c r="K700" s="24">
        <f t="shared" si="1146"/>
        <v>52.59</v>
      </c>
      <c r="L700" s="24">
        <f t="shared" si="1147"/>
        <v>11822.366899999999</v>
      </c>
      <c r="M700" s="24">
        <f t="shared" si="1148"/>
        <v>4871.4116999999997</v>
      </c>
      <c r="N700" s="24">
        <f t="shared" si="1149"/>
        <v>16693.778599999998</v>
      </c>
      <c r="P700" s="24">
        <f>19.73/1</f>
        <v>19.73</v>
      </c>
      <c r="Q700" s="24">
        <f>TRUNC(P700*E700,2)</f>
        <v>1827.58</v>
      </c>
      <c r="R700" s="24">
        <f t="shared" si="1125"/>
        <v>2278.38</v>
      </c>
      <c r="S700" s="24">
        <f t="shared" si="1126"/>
        <v>14415.398599999997</v>
      </c>
    </row>
    <row r="701" spans="1:19" ht="31.5">
      <c r="A701" s="9" t="s">
        <v>23724</v>
      </c>
      <c r="B701" s="10" t="s">
        <v>9008</v>
      </c>
      <c r="C701" s="10">
        <v>92400</v>
      </c>
      <c r="D701" s="445" t="str">
        <f>VLOOKUP(C701,'21. CUSTOS SINAPI - SERVIÇOS'!A:B,2,0)</f>
        <v>EXECUÇÃO DE PAVIMENTO EM PISO INTERTRAVADO, COM BLOCO RETANGULAR DE 20 X 10 CM, ESPESSURA 10 CM. AF_10/2022</v>
      </c>
      <c r="E701" s="11">
        <v>2315.9699999999998</v>
      </c>
      <c r="F701" s="26" t="str">
        <f>VLOOKUP(C701,'21. CUSTOS SINAPI - SERVIÇOS'!A:C,3,0)</f>
        <v>M2</v>
      </c>
      <c r="G701" s="24">
        <f>VLOOKUP(C701,'21. CUSTOS SINAPI - SERVIÇOS'!A:D,4,0)</f>
        <v>75.31</v>
      </c>
      <c r="H701" s="24">
        <v>0</v>
      </c>
      <c r="I701" s="25">
        <f>'3. BDI'!$C$19</f>
        <v>0.24666704095238123</v>
      </c>
      <c r="J701" s="24">
        <f t="shared" si="1145"/>
        <v>93.88</v>
      </c>
      <c r="K701" s="24">
        <f t="shared" si="1146"/>
        <v>0</v>
      </c>
      <c r="L701" s="24">
        <f t="shared" si="1147"/>
        <v>217423.26359999998</v>
      </c>
      <c r="M701" s="24">
        <f t="shared" si="1148"/>
        <v>0</v>
      </c>
      <c r="N701" s="24">
        <f t="shared" si="1149"/>
        <v>217423.26359999998</v>
      </c>
      <c r="P701" s="24">
        <v>12.39</v>
      </c>
      <c r="Q701" s="24">
        <f>TRUNC((P701*E701),2)</f>
        <v>28694.86</v>
      </c>
      <c r="R701" s="24">
        <f t="shared" si="1125"/>
        <v>35772.93</v>
      </c>
      <c r="S701" s="24">
        <f t="shared" si="1126"/>
        <v>181650.33359999998</v>
      </c>
    </row>
    <row r="702" spans="1:19">
      <c r="A702" s="28" t="s">
        <v>22901</v>
      </c>
      <c r="B702" s="48"/>
      <c r="C702" s="29"/>
      <c r="D702" s="301" t="s">
        <v>22844</v>
      </c>
      <c r="E702" s="30"/>
      <c r="F702" s="29" t="s">
        <v>195</v>
      </c>
      <c r="G702" s="30"/>
      <c r="H702" s="30"/>
      <c r="I702" s="31"/>
      <c r="J702" s="30"/>
      <c r="K702" s="30"/>
      <c r="L702" s="30">
        <f t="shared" ref="L702:M702" si="1152">SUM(L703:L726)</f>
        <v>890612.95150000032</v>
      </c>
      <c r="M702" s="30">
        <f t="shared" si="1152"/>
        <v>50265.554000000004</v>
      </c>
      <c r="N702" s="30">
        <f>SUM(N703:N726)</f>
        <v>940878.50550000009</v>
      </c>
      <c r="P702" s="30">
        <f t="shared" ref="P702:S702" si="1153">SUM(P703:P726)</f>
        <v>209.78340424671612</v>
      </c>
      <c r="Q702" s="30">
        <f t="shared" si="1153"/>
        <v>56039.090000000011</v>
      </c>
      <c r="R702" s="30">
        <f t="shared" si="1153"/>
        <v>69861.950000000012</v>
      </c>
      <c r="S702" s="30">
        <f t="shared" si="1153"/>
        <v>871016.5554999999</v>
      </c>
    </row>
    <row r="703" spans="1:19">
      <c r="A703" s="345"/>
      <c r="B703" s="346"/>
      <c r="C703" s="347"/>
      <c r="D703" s="348" t="s">
        <v>22738</v>
      </c>
      <c r="E703" s="349"/>
      <c r="F703" s="347" t="s">
        <v>195</v>
      </c>
      <c r="G703" s="349"/>
      <c r="H703" s="349"/>
      <c r="I703" s="350"/>
      <c r="J703" s="349"/>
      <c r="K703" s="349"/>
      <c r="L703" s="349"/>
      <c r="M703" s="349"/>
      <c r="N703" s="349"/>
      <c r="P703" s="349"/>
      <c r="Q703" s="349"/>
      <c r="R703" s="24">
        <f t="shared" ref="R703:R726" si="1154">TRUNC((Q703*I703+Q703),2)</f>
        <v>0</v>
      </c>
      <c r="S703" s="24">
        <f t="shared" ref="S703:S726" si="1155">N703-R703</f>
        <v>0</v>
      </c>
    </row>
    <row r="704" spans="1:19">
      <c r="A704" s="9" t="s">
        <v>23324</v>
      </c>
      <c r="B704" s="10" t="s">
        <v>9016</v>
      </c>
      <c r="C704" s="10">
        <v>512050</v>
      </c>
      <c r="D704" s="43" t="str">
        <f>VLOOKUP(C704,'13. CUSTOS DER - SERVIÇOS'!A:B,2,0)</f>
        <v>DEMOLIÇÃO MECÂNICA DE PAVIMENTO</v>
      </c>
      <c r="E704" s="11">
        <v>5.44</v>
      </c>
      <c r="F704" s="26" t="str">
        <f>VLOOKUP(C704,'13. CUSTOS DER - SERVIÇOS'!A:C,3,0)</f>
        <v>M3</v>
      </c>
      <c r="G704" s="24">
        <f>VLOOKUP(C704,'13. CUSTOS DER - SERVIÇOS'!A:G,7,0)</f>
        <v>41.9</v>
      </c>
      <c r="H704" s="24">
        <f>VLOOKUP(C704,'10. CCU TRANSPORTE'!B:J,9,0)</f>
        <v>39.130000000000003</v>
      </c>
      <c r="I704" s="25">
        <f>'3. BDI'!$C$19</f>
        <v>0.24666704095238123</v>
      </c>
      <c r="J704" s="24">
        <f t="shared" ref="J704:J712" si="1156">TRUNC(G704+(G704*I704),2)</f>
        <v>52.23</v>
      </c>
      <c r="K704" s="24">
        <f t="shared" ref="K704:K712" si="1157">TRUNC(H704+(H704*I704),2)</f>
        <v>48.78</v>
      </c>
      <c r="L704" s="24">
        <f t="shared" ref="L704:L712" si="1158">J704*E704</f>
        <v>284.13119999999998</v>
      </c>
      <c r="M704" s="24">
        <f t="shared" ref="M704:M712" si="1159">K704*E704</f>
        <v>265.36320000000001</v>
      </c>
      <c r="N704" s="24">
        <f t="shared" ref="N704:N712" si="1160">L704+M704</f>
        <v>549.49440000000004</v>
      </c>
      <c r="P704" s="24">
        <f>200.92/15</f>
        <v>13.394666666666666</v>
      </c>
      <c r="Q704" s="24">
        <f t="shared" ref="Q704:Q708" si="1161">TRUNC(P704*E704,2)</f>
        <v>72.86</v>
      </c>
      <c r="R704" s="24">
        <f t="shared" si="1154"/>
        <v>90.83</v>
      </c>
      <c r="S704" s="24">
        <f t="shared" si="1155"/>
        <v>458.66440000000006</v>
      </c>
    </row>
    <row r="705" spans="1:19">
      <c r="A705" s="9" t="s">
        <v>23326</v>
      </c>
      <c r="B705" s="10" t="s">
        <v>9016</v>
      </c>
      <c r="C705" s="10">
        <v>706700</v>
      </c>
      <c r="D705" s="43" t="str">
        <f>VLOOKUP(C705,'13. CUSTOS DER - SERVIÇOS'!A:B,2,0)</f>
        <v>DEMOLIÇÃO DE CONCRETO SIMPLES</v>
      </c>
      <c r="E705" s="11">
        <v>4.3499999999999996</v>
      </c>
      <c r="F705" s="26" t="str">
        <f>VLOOKUP(C705,'13. CUSTOS DER - SERVIÇOS'!A:C,3,0)</f>
        <v>M3</v>
      </c>
      <c r="G705" s="24">
        <f>VLOOKUP(C705,'13. CUSTOS DER - SERVIÇOS'!A:G,7,0)</f>
        <v>148.04</v>
      </c>
      <c r="H705" s="24"/>
      <c r="I705" s="25">
        <f>'3. BDI'!$C$19</f>
        <v>0.24666704095238123</v>
      </c>
      <c r="J705" s="24">
        <f t="shared" si="1156"/>
        <v>184.55</v>
      </c>
      <c r="K705" s="24">
        <f t="shared" si="1157"/>
        <v>0</v>
      </c>
      <c r="L705" s="24">
        <f t="shared" si="1158"/>
        <v>802.79250000000002</v>
      </c>
      <c r="M705" s="24">
        <f t="shared" si="1159"/>
        <v>0</v>
      </c>
      <c r="N705" s="24">
        <f t="shared" si="1160"/>
        <v>802.79250000000002</v>
      </c>
      <c r="P705" s="24">
        <f>142.72/2</f>
        <v>71.36</v>
      </c>
      <c r="Q705" s="24">
        <f t="shared" si="1161"/>
        <v>310.41000000000003</v>
      </c>
      <c r="R705" s="24">
        <f t="shared" si="1154"/>
        <v>386.97</v>
      </c>
      <c r="S705" s="24">
        <f t="shared" si="1155"/>
        <v>415.82249999999999</v>
      </c>
    </row>
    <row r="706" spans="1:19">
      <c r="A706" s="9" t="s">
        <v>23327</v>
      </c>
      <c r="B706" s="10" t="s">
        <v>9016</v>
      </c>
      <c r="C706" s="10">
        <v>511200</v>
      </c>
      <c r="D706" s="43" t="str">
        <f>VLOOKUP(C706,'13. CUSTOS DER - SERVIÇOS'!A:B,2,0)</f>
        <v>REGULARIZAÇÃO COMPAC.SUBLEITO 100% PN (B)</v>
      </c>
      <c r="E706" s="11">
        <v>7642.64</v>
      </c>
      <c r="F706" s="26" t="str">
        <f>VLOOKUP(C706,'13. CUSTOS DER - SERVIÇOS'!A:C,3,0)</f>
        <v>M2</v>
      </c>
      <c r="G706" s="24">
        <f>VLOOKUP(C706,'13. CUSTOS DER - SERVIÇOS'!A:G,7,0)</f>
        <v>4.6399999999999997</v>
      </c>
      <c r="H706" s="24"/>
      <c r="I706" s="25">
        <f>'3. BDI'!$C$19</f>
        <v>0.24666704095238123</v>
      </c>
      <c r="J706" s="24">
        <f t="shared" si="1156"/>
        <v>5.78</v>
      </c>
      <c r="K706" s="24">
        <f t="shared" si="1157"/>
        <v>0</v>
      </c>
      <c r="L706" s="24">
        <f t="shared" si="1158"/>
        <v>44174.459200000005</v>
      </c>
      <c r="M706" s="24">
        <f t="shared" si="1159"/>
        <v>0</v>
      </c>
      <c r="N706" s="24">
        <f t="shared" si="1160"/>
        <v>44174.459200000005</v>
      </c>
      <c r="P706" s="24">
        <f>166.6/272.77</f>
        <v>0.61077097921325663</v>
      </c>
      <c r="Q706" s="24">
        <f t="shared" si="1161"/>
        <v>4667.8999999999996</v>
      </c>
      <c r="R706" s="24">
        <f t="shared" si="1154"/>
        <v>5819.31</v>
      </c>
      <c r="S706" s="24">
        <f t="shared" si="1155"/>
        <v>38355.149200000007</v>
      </c>
    </row>
    <row r="707" spans="1:19">
      <c r="A707" s="9" t="s">
        <v>23260</v>
      </c>
      <c r="B707" s="10" t="s">
        <v>9016</v>
      </c>
      <c r="C707" s="10">
        <v>531000</v>
      </c>
      <c r="D707" s="43" t="str">
        <f>VLOOKUP(C707,'13. CUSTOS DER - SERVIÇOS'!A:B,2,0)</f>
        <v>BRITA GRADUADA 100% PI</v>
      </c>
      <c r="E707" s="11">
        <v>746.31</v>
      </c>
      <c r="F707" s="26" t="str">
        <f>VLOOKUP(C707,'13. CUSTOS DER - SERVIÇOS'!A:C,3,0)</f>
        <v>M3</v>
      </c>
      <c r="G707" s="24">
        <f>VLOOKUP(C707,'13. CUSTOS DER - SERVIÇOS'!A:G,7,0)</f>
        <v>132.22999999999999</v>
      </c>
      <c r="H707" s="24">
        <f>VLOOKUP(C707,'10. CCU TRANSPORTE'!B:J,9,0)</f>
        <v>34.799999999999997</v>
      </c>
      <c r="I707" s="25">
        <f>'3. BDI'!$C$19</f>
        <v>0.24666704095238123</v>
      </c>
      <c r="J707" s="24">
        <f t="shared" si="1156"/>
        <v>164.84</v>
      </c>
      <c r="K707" s="24">
        <f t="shared" si="1157"/>
        <v>43.38</v>
      </c>
      <c r="L707" s="24">
        <f t="shared" si="1158"/>
        <v>123021.7404</v>
      </c>
      <c r="M707" s="24">
        <f t="shared" si="1159"/>
        <v>32374.927800000001</v>
      </c>
      <c r="N707" s="24">
        <f t="shared" si="1160"/>
        <v>155396.66819999999</v>
      </c>
      <c r="P707" s="24">
        <f>306.75/87.3</f>
        <v>3.5137457044673539</v>
      </c>
      <c r="Q707" s="24">
        <f t="shared" si="1161"/>
        <v>2622.34</v>
      </c>
      <c r="R707" s="24">
        <f t="shared" si="1154"/>
        <v>3269.18</v>
      </c>
      <c r="S707" s="24">
        <f t="shared" si="1155"/>
        <v>152127.48819999999</v>
      </c>
    </row>
    <row r="708" spans="1:19" ht="31.5">
      <c r="A708" s="9" t="s">
        <v>23328</v>
      </c>
      <c r="B708" s="10" t="s">
        <v>9016</v>
      </c>
      <c r="C708" s="10">
        <v>503110</v>
      </c>
      <c r="D708" s="43" t="str">
        <f>VLOOKUP(C708,'13. CUSTOS DER - SERVIÇOS'!A:B,2,0)</f>
        <v>FORNECIMENTO E APLICAÇÃO DE LONA PLÁSTICA PRETA 200 MICRAS</v>
      </c>
      <c r="E708" s="11">
        <v>7283.58</v>
      </c>
      <c r="F708" s="26" t="str">
        <f>VLOOKUP(C708,'13. CUSTOS DER - SERVIÇOS'!A:C,3,0)</f>
        <v>M2</v>
      </c>
      <c r="G708" s="24">
        <f>VLOOKUP(C708,'13. CUSTOS DER - SERVIÇOS'!A:G,7,0)</f>
        <v>3.61</v>
      </c>
      <c r="H708" s="24"/>
      <c r="I708" s="25">
        <f>'3. BDI'!$C$19</f>
        <v>0.24666704095238123</v>
      </c>
      <c r="J708" s="24">
        <f t="shared" si="1156"/>
        <v>4.5</v>
      </c>
      <c r="K708" s="24">
        <f t="shared" si="1157"/>
        <v>0</v>
      </c>
      <c r="L708" s="24">
        <f t="shared" si="1158"/>
        <v>32776.11</v>
      </c>
      <c r="M708" s="24">
        <f t="shared" si="1159"/>
        <v>0</v>
      </c>
      <c r="N708" s="24">
        <f t="shared" si="1160"/>
        <v>32776.11</v>
      </c>
      <c r="P708" s="24">
        <f>125.84/300</f>
        <v>0.41946666666666665</v>
      </c>
      <c r="Q708" s="24">
        <f t="shared" si="1161"/>
        <v>3055.21</v>
      </c>
      <c r="R708" s="24">
        <f t="shared" si="1154"/>
        <v>3808.82</v>
      </c>
      <c r="S708" s="24">
        <f t="shared" si="1155"/>
        <v>28967.29</v>
      </c>
    </row>
    <row r="709" spans="1:19" ht="47.25">
      <c r="A709" s="9" t="s">
        <v>23329</v>
      </c>
      <c r="B709" s="10" t="s">
        <v>9008</v>
      </c>
      <c r="C709" s="10">
        <v>97096</v>
      </c>
      <c r="D709" s="445" t="str">
        <f>VLOOKUP(C709,'21. CUSTOS SINAPI - SERVIÇOS'!A:B,2,0)</f>
        <v>CONCRETAGEM DE RADIER, PISO DE CONCRETO OU LAJE SOBRE SOLO, FCK 30 MPA - LANÇAMENTO, ADENSAMENTO E ACABAMENTO. AF_09/2021</v>
      </c>
      <c r="E709" s="11">
        <v>559.71</v>
      </c>
      <c r="F709" s="26" t="str">
        <f>VLOOKUP(C709,'21. CUSTOS SINAPI - SERVIÇOS'!A:C,3,0)</f>
        <v>M3</v>
      </c>
      <c r="G709" s="24">
        <f>VLOOKUP(C709,'21. CUSTOS SINAPI - SERVIÇOS'!A:D,4,0)</f>
        <v>522.74</v>
      </c>
      <c r="H709" s="24">
        <v>0</v>
      </c>
      <c r="I709" s="25">
        <f>'3. BDI'!$C$19</f>
        <v>0.24666704095238123</v>
      </c>
      <c r="J709" s="24">
        <f t="shared" si="1156"/>
        <v>651.67999999999995</v>
      </c>
      <c r="K709" s="24">
        <f t="shared" si="1157"/>
        <v>0</v>
      </c>
      <c r="L709" s="24">
        <f t="shared" si="1158"/>
        <v>364751.81280000001</v>
      </c>
      <c r="M709" s="24">
        <f t="shared" si="1159"/>
        <v>0</v>
      </c>
      <c r="N709" s="24">
        <f t="shared" si="1160"/>
        <v>364751.81280000001</v>
      </c>
      <c r="P709" s="24">
        <v>17.28</v>
      </c>
      <c r="Q709" s="24">
        <f>TRUNC((P709*E709),2)</f>
        <v>9671.7800000000007</v>
      </c>
      <c r="R709" s="24">
        <f t="shared" si="1154"/>
        <v>12057.48</v>
      </c>
      <c r="S709" s="24">
        <f t="shared" si="1155"/>
        <v>352694.33280000003</v>
      </c>
    </row>
    <row r="710" spans="1:19">
      <c r="A710" s="9" t="s">
        <v>23330</v>
      </c>
      <c r="B710" s="10" t="s">
        <v>9016</v>
      </c>
      <c r="C710" s="10">
        <v>505415</v>
      </c>
      <c r="D710" s="43" t="str">
        <f>VLOOKUP(C710,'13. CUSTOS DER - SERVIÇOS'!A:B,2,0)</f>
        <v>CURA QUÍMICA DE PAVIMENTO DE CONCRETO</v>
      </c>
      <c r="E710" s="11">
        <v>7283.58</v>
      </c>
      <c r="F710" s="26" t="str">
        <f>VLOOKUP(C710,'13. CUSTOS DER - SERVIÇOS'!A:C,3,0)</f>
        <v>M2</v>
      </c>
      <c r="G710" s="24">
        <f>VLOOKUP(C710,'13. CUSTOS DER - SERVIÇOS'!A:G,7,0)</f>
        <v>8.49</v>
      </c>
      <c r="H710" s="24"/>
      <c r="I710" s="25">
        <f>'3. BDI'!$C$19</f>
        <v>0.24666704095238123</v>
      </c>
      <c r="J710" s="24">
        <f t="shared" si="1156"/>
        <v>10.58</v>
      </c>
      <c r="K710" s="24">
        <f t="shared" si="1157"/>
        <v>0</v>
      </c>
      <c r="L710" s="24">
        <f t="shared" si="1158"/>
        <v>77060.276400000002</v>
      </c>
      <c r="M710" s="24">
        <f t="shared" si="1159"/>
        <v>0</v>
      </c>
      <c r="N710" s="24">
        <f t="shared" si="1160"/>
        <v>77060.276400000002</v>
      </c>
      <c r="P710" s="24">
        <f>31.46/80</f>
        <v>0.39324999999999999</v>
      </c>
      <c r="Q710" s="24">
        <f t="shared" ref="Q710:Q712" si="1162">TRUNC(P710*E710,2)</f>
        <v>2864.26</v>
      </c>
      <c r="R710" s="24">
        <f t="shared" si="1154"/>
        <v>3570.77</v>
      </c>
      <c r="S710" s="24">
        <f t="shared" si="1155"/>
        <v>73489.506399999998</v>
      </c>
    </row>
    <row r="711" spans="1:19">
      <c r="A711" s="9" t="s">
        <v>23331</v>
      </c>
      <c r="B711" s="10" t="s">
        <v>9016</v>
      </c>
      <c r="C711" s="10">
        <v>505416</v>
      </c>
      <c r="D711" s="43" t="str">
        <f>VLOOKUP(C711,'13. CUSTOS DER - SERVIÇOS'!A:B,2,0)</f>
        <v>CURA ÚMIDA DE PAVIMENTO DE CONCRETO COM MANTA DE CURA</v>
      </c>
      <c r="E711" s="11">
        <v>7283.57</v>
      </c>
      <c r="F711" s="26" t="str">
        <f>VLOOKUP(C711,'13. CUSTOS DER - SERVIÇOS'!A:C,3,0)</f>
        <v>M2</v>
      </c>
      <c r="G711" s="24">
        <f>VLOOKUP(C711,'13. CUSTOS DER - SERVIÇOS'!A:G,7,0)</f>
        <v>10</v>
      </c>
      <c r="H711" s="24"/>
      <c r="I711" s="25">
        <f>'3. BDI'!$C$19</f>
        <v>0.24666704095238123</v>
      </c>
      <c r="J711" s="24">
        <f t="shared" si="1156"/>
        <v>12.46</v>
      </c>
      <c r="K711" s="24">
        <f t="shared" si="1157"/>
        <v>0</v>
      </c>
      <c r="L711" s="24">
        <f t="shared" si="1158"/>
        <v>90753.282200000001</v>
      </c>
      <c r="M711" s="24">
        <f t="shared" si="1159"/>
        <v>0</v>
      </c>
      <c r="N711" s="24">
        <f t="shared" si="1160"/>
        <v>90753.282200000001</v>
      </c>
      <c r="P711" s="24">
        <f>98.67/45</f>
        <v>2.1926666666666668</v>
      </c>
      <c r="Q711" s="24">
        <f t="shared" si="1162"/>
        <v>15970.44</v>
      </c>
      <c r="R711" s="24">
        <f t="shared" si="1154"/>
        <v>19909.82</v>
      </c>
      <c r="S711" s="24">
        <f t="shared" si="1155"/>
        <v>70843.462200000009</v>
      </c>
    </row>
    <row r="712" spans="1:19" ht="31.5">
      <c r="A712" s="9" t="s">
        <v>23332</v>
      </c>
      <c r="B712" s="10" t="s">
        <v>9016</v>
      </c>
      <c r="C712" s="10">
        <v>502670</v>
      </c>
      <c r="D712" s="43" t="str">
        <f>VLOOKUP(C712,'13. CUSTOS DER - SERVIÇOS'!A:B,2,0)</f>
        <v>JUNTA TRANSVERSAL , INCLUSIVE CORTE, SELANTE A BASE DE SILICONE E CORDÃO DE POLIPROPILENO</v>
      </c>
      <c r="E712" s="11">
        <v>3648.59</v>
      </c>
      <c r="F712" s="26" t="str">
        <f>VLOOKUP(C712,'13. CUSTOS DER - SERVIÇOS'!A:C,3,0)</f>
        <v>M</v>
      </c>
      <c r="G712" s="24">
        <f>VLOOKUP(C712,'13. CUSTOS DER - SERVIÇOS'!A:G,7,0)</f>
        <v>19.57</v>
      </c>
      <c r="H712" s="24"/>
      <c r="I712" s="25">
        <f>'3. BDI'!$C$19</f>
        <v>0.24666704095238123</v>
      </c>
      <c r="J712" s="24">
        <f t="shared" si="1156"/>
        <v>24.39</v>
      </c>
      <c r="K712" s="24">
        <f t="shared" si="1157"/>
        <v>0</v>
      </c>
      <c r="L712" s="24">
        <f t="shared" si="1158"/>
        <v>88989.110100000005</v>
      </c>
      <c r="M712" s="24">
        <f t="shared" si="1159"/>
        <v>0</v>
      </c>
      <c r="N712" s="24">
        <f t="shared" si="1160"/>
        <v>88989.110100000005</v>
      </c>
      <c r="P712" s="24">
        <f>187.34/60</f>
        <v>3.1223333333333332</v>
      </c>
      <c r="Q712" s="24">
        <f t="shared" si="1162"/>
        <v>11392.11</v>
      </c>
      <c r="R712" s="24">
        <f t="shared" si="1154"/>
        <v>14202.16</v>
      </c>
      <c r="S712" s="24">
        <f t="shared" si="1155"/>
        <v>74786.950100000002</v>
      </c>
    </row>
    <row r="713" spans="1:19" ht="31.5">
      <c r="A713" s="345"/>
      <c r="B713" s="346"/>
      <c r="C713" s="347"/>
      <c r="D713" s="348" t="s">
        <v>22847</v>
      </c>
      <c r="E713" s="349"/>
      <c r="F713" s="347" t="s">
        <v>195</v>
      </c>
      <c r="G713" s="349"/>
      <c r="H713" s="349"/>
      <c r="I713" s="349"/>
      <c r="J713" s="349"/>
      <c r="K713" s="349"/>
      <c r="L713" s="349"/>
      <c r="M713" s="349"/>
      <c r="N713" s="349"/>
      <c r="P713" s="349"/>
      <c r="Q713" s="349"/>
      <c r="R713" s="24">
        <f t="shared" si="1154"/>
        <v>0</v>
      </c>
      <c r="S713" s="24">
        <f t="shared" si="1155"/>
        <v>0</v>
      </c>
    </row>
    <row r="714" spans="1:19">
      <c r="A714" s="9" t="s">
        <v>23333</v>
      </c>
      <c r="B714" s="10" t="s">
        <v>9016</v>
      </c>
      <c r="C714" s="10">
        <v>511200</v>
      </c>
      <c r="D714" s="43" t="str">
        <f>VLOOKUP(C714,'13. CUSTOS DER - SERVIÇOS'!A:B,2,0)</f>
        <v>REGULARIZAÇÃO COMPAC.SUBLEITO 100% PN (B)</v>
      </c>
      <c r="E714" s="11">
        <v>40.630000000000003</v>
      </c>
      <c r="F714" s="26" t="str">
        <f>VLOOKUP(C714,'13. CUSTOS DER - SERVIÇOS'!A:C,3,0)</f>
        <v>M2</v>
      </c>
      <c r="G714" s="24">
        <f>VLOOKUP(C714,'13. CUSTOS DER - SERVIÇOS'!A:G,7,0)</f>
        <v>4.6399999999999997</v>
      </c>
      <c r="H714" s="24">
        <v>0</v>
      </c>
      <c r="I714" s="25">
        <f>'3. BDI'!$C$19</f>
        <v>0.24666704095238123</v>
      </c>
      <c r="J714" s="24">
        <f t="shared" ref="J714:J717" si="1163">TRUNC(G714+(G714*I714),2)</f>
        <v>5.78</v>
      </c>
      <c r="K714" s="24">
        <f t="shared" ref="K714:K717" si="1164">TRUNC(H714+(H714*I714),2)</f>
        <v>0</v>
      </c>
      <c r="L714" s="24">
        <f t="shared" ref="L714:L717" si="1165">J714*E714</f>
        <v>234.84140000000002</v>
      </c>
      <c r="M714" s="24">
        <f t="shared" ref="M714:M717" si="1166">K714*E714</f>
        <v>0</v>
      </c>
      <c r="N714" s="24">
        <f t="shared" ref="N714:N717" si="1167">L714+M714</f>
        <v>234.84140000000002</v>
      </c>
      <c r="P714" s="24">
        <f>166.6/272.77</f>
        <v>0.61077097921325663</v>
      </c>
      <c r="Q714" s="24">
        <f t="shared" ref="Q714:Q716" si="1168">TRUNC(P714*E714,2)</f>
        <v>24.81</v>
      </c>
      <c r="R714" s="24">
        <f t="shared" si="1154"/>
        <v>30.92</v>
      </c>
      <c r="S714" s="24">
        <f t="shared" si="1155"/>
        <v>203.92140000000001</v>
      </c>
    </row>
    <row r="715" spans="1:19">
      <c r="A715" s="9" t="s">
        <v>23334</v>
      </c>
      <c r="B715" s="10" t="s">
        <v>9016</v>
      </c>
      <c r="C715" s="10">
        <v>531350</v>
      </c>
      <c r="D715" s="43" t="str">
        <f>VLOOKUP(C715,'13. CUSTOS DER - SERVIÇOS'!A:B,2,0)</f>
        <v>MACADAME SECO BRITADO PREENCHIDO C/BICA CORRIDA</v>
      </c>
      <c r="E715" s="11">
        <v>8.02</v>
      </c>
      <c r="F715" s="26" t="str">
        <f>VLOOKUP(C715,'13. CUSTOS DER - SERVIÇOS'!A:C,3,0)</f>
        <v>M3</v>
      </c>
      <c r="G715" s="24">
        <f>VLOOKUP(C715,'13. CUSTOS DER - SERVIÇOS'!A:G,7,0)</f>
        <v>105.23</v>
      </c>
      <c r="H715" s="24">
        <f>VLOOKUP(C715,'10. CCU TRANSPORTE'!B:J,9,0)</f>
        <v>23.09</v>
      </c>
      <c r="I715" s="25">
        <f>'3. BDI'!$C$19</f>
        <v>0.24666704095238123</v>
      </c>
      <c r="J715" s="24">
        <f t="shared" si="1163"/>
        <v>131.18</v>
      </c>
      <c r="K715" s="24">
        <f t="shared" si="1164"/>
        <v>28.78</v>
      </c>
      <c r="L715" s="24">
        <f t="shared" si="1165"/>
        <v>1052.0636</v>
      </c>
      <c r="M715" s="24">
        <f t="shared" si="1166"/>
        <v>230.81559999999999</v>
      </c>
      <c r="N715" s="24">
        <f t="shared" si="1167"/>
        <v>1282.8791999999999</v>
      </c>
      <c r="P715" s="24">
        <f>338.93/57.22</f>
        <v>5.9232785739252014</v>
      </c>
      <c r="Q715" s="24">
        <f t="shared" si="1168"/>
        <v>47.5</v>
      </c>
      <c r="R715" s="24">
        <f t="shared" si="1154"/>
        <v>59.21</v>
      </c>
      <c r="S715" s="24">
        <f t="shared" si="1155"/>
        <v>1223.6691999999998</v>
      </c>
    </row>
    <row r="716" spans="1:19">
      <c r="A716" s="9" t="s">
        <v>23335</v>
      </c>
      <c r="B716" s="10" t="s">
        <v>9016</v>
      </c>
      <c r="C716" s="10">
        <v>532500</v>
      </c>
      <c r="D716" s="43" t="str">
        <f>VLOOKUP(C716,'13. CUSTOS DER - SERVIÇOS'!A:B,2,0)</f>
        <v>COLCHÃO DE AREIA PARA PARALELEPÍPEDO</v>
      </c>
      <c r="E716" s="11">
        <v>5.61</v>
      </c>
      <c r="F716" s="26" t="str">
        <f>VLOOKUP(C716,'13. CUSTOS DER - SERVIÇOS'!A:C,3,0)</f>
        <v>M3</v>
      </c>
      <c r="G716" s="24">
        <f>VLOOKUP(C716,'13. CUSTOS DER - SERVIÇOS'!A:G,7,0)</f>
        <v>102.38</v>
      </c>
      <c r="H716" s="24">
        <f>VLOOKUP(C716,'10. CCU TRANSPORTE'!B:J,9,0)</f>
        <v>42.19</v>
      </c>
      <c r="I716" s="25">
        <f>'3. BDI'!$C$19</f>
        <v>0.24666704095238123</v>
      </c>
      <c r="J716" s="24">
        <f t="shared" si="1163"/>
        <v>127.63</v>
      </c>
      <c r="K716" s="24">
        <f t="shared" si="1164"/>
        <v>52.59</v>
      </c>
      <c r="L716" s="24">
        <f t="shared" si="1165"/>
        <v>716.00430000000006</v>
      </c>
      <c r="M716" s="24">
        <f t="shared" si="1166"/>
        <v>295.02990000000005</v>
      </c>
      <c r="N716" s="24">
        <f t="shared" si="1167"/>
        <v>1011.0342000000001</v>
      </c>
      <c r="P716" s="24">
        <f>19.73/1</f>
        <v>19.73</v>
      </c>
      <c r="Q716" s="24">
        <f t="shared" si="1168"/>
        <v>110.68</v>
      </c>
      <c r="R716" s="24">
        <f t="shared" si="1154"/>
        <v>137.97999999999999</v>
      </c>
      <c r="S716" s="24">
        <f t="shared" si="1155"/>
        <v>873.05420000000004</v>
      </c>
    </row>
    <row r="717" spans="1:19" ht="47.25">
      <c r="A717" s="9" t="s">
        <v>23336</v>
      </c>
      <c r="B717" s="10" t="s">
        <v>9008</v>
      </c>
      <c r="C717" s="10">
        <v>101850</v>
      </c>
      <c r="D717" s="445" t="str">
        <f>VLOOKUP(C717,'21. CUSTOS SINAPI - SERVIÇOS'!A:B,2,0)</f>
        <v>REASSENTAMENTO DE PARALELEPÍPEDOS, REJUNTAMENTO COM PÓ DE PEDRA, COM REAPROVEITAMENTO DOS PARALELEPÍPEDOS - INCLUSO RETIRADA E COLOCAÇÃO DO MATERIAL. AF_12/2020</v>
      </c>
      <c r="E717" s="11">
        <v>37.42</v>
      </c>
      <c r="F717" s="26" t="str">
        <f>VLOOKUP(C717,'21. CUSTOS SINAPI - SERVIÇOS'!A:C,3,0)</f>
        <v>M2</v>
      </c>
      <c r="G717" s="24">
        <f>VLOOKUP(C717,'21. CUSTOS SINAPI - SERVIÇOS'!A:D,4,0)</f>
        <v>62.15</v>
      </c>
      <c r="H717" s="24">
        <v>0</v>
      </c>
      <c r="I717" s="25">
        <f>'3. BDI'!$C$19</f>
        <v>0.24666704095238123</v>
      </c>
      <c r="J717" s="24">
        <f t="shared" si="1163"/>
        <v>77.48</v>
      </c>
      <c r="K717" s="24">
        <f t="shared" si="1164"/>
        <v>0</v>
      </c>
      <c r="L717" s="24">
        <f t="shared" si="1165"/>
        <v>2899.3016000000002</v>
      </c>
      <c r="M717" s="24">
        <f t="shared" si="1166"/>
        <v>0</v>
      </c>
      <c r="N717" s="24">
        <f t="shared" si="1167"/>
        <v>2899.3016000000002</v>
      </c>
      <c r="P717" s="24">
        <v>30.47</v>
      </c>
      <c r="Q717" s="24">
        <f>TRUNC((P717*E717),2)</f>
        <v>1140.18</v>
      </c>
      <c r="R717" s="24">
        <f t="shared" si="1154"/>
        <v>1421.42</v>
      </c>
      <c r="S717" s="24">
        <f t="shared" si="1155"/>
        <v>1477.8816000000002</v>
      </c>
    </row>
    <row r="718" spans="1:19">
      <c r="A718" s="345"/>
      <c r="B718" s="346"/>
      <c r="C718" s="347"/>
      <c r="D718" s="348" t="s">
        <v>22848</v>
      </c>
      <c r="E718" s="349"/>
      <c r="F718" s="347" t="s">
        <v>195</v>
      </c>
      <c r="G718" s="349"/>
      <c r="H718" s="349"/>
      <c r="I718" s="349"/>
      <c r="J718" s="349"/>
      <c r="K718" s="349"/>
      <c r="L718" s="349"/>
      <c r="M718" s="349"/>
      <c r="N718" s="349"/>
      <c r="P718" s="349"/>
      <c r="Q718" s="349"/>
      <c r="R718" s="24">
        <f t="shared" si="1154"/>
        <v>0</v>
      </c>
      <c r="S718" s="24">
        <f t="shared" si="1155"/>
        <v>0</v>
      </c>
    </row>
    <row r="719" spans="1:19">
      <c r="A719" s="9" t="s">
        <v>23338</v>
      </c>
      <c r="B719" s="10" t="s">
        <v>9016</v>
      </c>
      <c r="C719" s="10">
        <v>512050</v>
      </c>
      <c r="D719" s="43" t="str">
        <f>VLOOKUP(C719,'13. CUSTOS DER - SERVIÇOS'!A:B,2,0)</f>
        <v>DEMOLIÇÃO MECÂNICA DE PAVIMENTO</v>
      </c>
      <c r="E719" s="11">
        <v>119.96</v>
      </c>
      <c r="F719" s="26" t="str">
        <f>VLOOKUP(C719,'13. CUSTOS DER - SERVIÇOS'!A:C,3,0)</f>
        <v>M3</v>
      </c>
      <c r="G719" s="24">
        <f>VLOOKUP(C719,'13. CUSTOS DER - SERVIÇOS'!A:G,7,0)</f>
        <v>41.9</v>
      </c>
      <c r="H719" s="24">
        <f>VLOOKUP(C719,'10. CCU TRANSPORTE'!B:J,9,0)</f>
        <v>39.130000000000003</v>
      </c>
      <c r="I719" s="25">
        <f>'3. BDI'!$C$19</f>
        <v>0.24666704095238123</v>
      </c>
      <c r="J719" s="24">
        <f t="shared" ref="J719:J726" si="1169">TRUNC(G719+(G719*I719),2)</f>
        <v>52.23</v>
      </c>
      <c r="K719" s="24">
        <f t="shared" ref="K719:K726" si="1170">TRUNC(H719+(H719*I719),2)</f>
        <v>48.78</v>
      </c>
      <c r="L719" s="24">
        <f t="shared" ref="L719:L726" si="1171">J719*E719</f>
        <v>6265.5107999999991</v>
      </c>
      <c r="M719" s="24">
        <f t="shared" ref="M719:M726" si="1172">K719*E719</f>
        <v>5851.6487999999999</v>
      </c>
      <c r="N719" s="24">
        <f t="shared" ref="N719:N726" si="1173">L719+M719</f>
        <v>12117.159599999999</v>
      </c>
      <c r="P719" s="24">
        <f>200.92/15</f>
        <v>13.394666666666666</v>
      </c>
      <c r="Q719" s="24">
        <f t="shared" ref="Q719:Q726" si="1174">TRUNC(P719*E719,2)</f>
        <v>1606.82</v>
      </c>
      <c r="R719" s="24">
        <f t="shared" si="1154"/>
        <v>2003.16</v>
      </c>
      <c r="S719" s="24">
        <f t="shared" si="1155"/>
        <v>10113.999599999999</v>
      </c>
    </row>
    <row r="720" spans="1:19">
      <c r="A720" s="9" t="s">
        <v>23337</v>
      </c>
      <c r="B720" s="10" t="s">
        <v>9016</v>
      </c>
      <c r="C720" s="10">
        <v>511200</v>
      </c>
      <c r="D720" s="43" t="str">
        <f>VLOOKUP(C720,'13. CUSTOS DER - SERVIÇOS'!A:B,2,0)</f>
        <v>REGULARIZAÇÃO COMPAC.SUBLEITO 100% PN (B)</v>
      </c>
      <c r="E720" s="11">
        <v>480.98</v>
      </c>
      <c r="F720" s="26" t="str">
        <f>VLOOKUP(C720,'13. CUSTOS DER - SERVIÇOS'!A:C,3,0)</f>
        <v>M2</v>
      </c>
      <c r="G720" s="24">
        <f>VLOOKUP(C720,'13. CUSTOS DER - SERVIÇOS'!A:G,7,0)</f>
        <v>4.6399999999999997</v>
      </c>
      <c r="H720" s="24">
        <v>0</v>
      </c>
      <c r="I720" s="25">
        <f>'3. BDI'!$C$19</f>
        <v>0.24666704095238123</v>
      </c>
      <c r="J720" s="24">
        <f t="shared" si="1169"/>
        <v>5.78</v>
      </c>
      <c r="K720" s="24">
        <f t="shared" si="1170"/>
        <v>0</v>
      </c>
      <c r="L720" s="24">
        <f t="shared" si="1171"/>
        <v>2780.0644000000002</v>
      </c>
      <c r="M720" s="24">
        <f t="shared" si="1172"/>
        <v>0</v>
      </c>
      <c r="N720" s="24">
        <f t="shared" si="1173"/>
        <v>2780.0644000000002</v>
      </c>
      <c r="P720" s="24">
        <f>166.6/272.77</f>
        <v>0.61077097921325663</v>
      </c>
      <c r="Q720" s="24">
        <f t="shared" si="1174"/>
        <v>293.76</v>
      </c>
      <c r="R720" s="24">
        <f t="shared" si="1154"/>
        <v>366.22</v>
      </c>
      <c r="S720" s="24">
        <f t="shared" si="1155"/>
        <v>2413.8444</v>
      </c>
    </row>
    <row r="721" spans="1:19">
      <c r="A721" s="9" t="s">
        <v>23339</v>
      </c>
      <c r="B721" s="10" t="s">
        <v>9016</v>
      </c>
      <c r="C721" s="10">
        <v>531350</v>
      </c>
      <c r="D721" s="43" t="str">
        <f>VLOOKUP(C721,'13. CUSTOS DER - SERVIÇOS'!A:B,2,0)</f>
        <v>MACADAME SECO BRITADO PREENCHIDO C/BICA CORRIDA</v>
      </c>
      <c r="E721" s="11">
        <v>139.15</v>
      </c>
      <c r="F721" s="26" t="str">
        <f>VLOOKUP(C721,'13. CUSTOS DER - SERVIÇOS'!A:C,3,0)</f>
        <v>M3</v>
      </c>
      <c r="G721" s="24">
        <f>VLOOKUP(C721,'13. CUSTOS DER - SERVIÇOS'!A:G,7,0)</f>
        <v>105.23</v>
      </c>
      <c r="H721" s="24">
        <f>VLOOKUP(C721,'10. CCU TRANSPORTE'!B:J,9,0)</f>
        <v>23.09</v>
      </c>
      <c r="I721" s="25">
        <f>'3. BDI'!$C$19</f>
        <v>0.24666704095238123</v>
      </c>
      <c r="J721" s="24">
        <f t="shared" si="1169"/>
        <v>131.18</v>
      </c>
      <c r="K721" s="24">
        <f t="shared" si="1170"/>
        <v>28.78</v>
      </c>
      <c r="L721" s="24">
        <f t="shared" si="1171"/>
        <v>18253.697</v>
      </c>
      <c r="M721" s="24">
        <f t="shared" si="1172"/>
        <v>4004.7370000000005</v>
      </c>
      <c r="N721" s="24">
        <f t="shared" si="1173"/>
        <v>22258.434000000001</v>
      </c>
      <c r="P721" s="24">
        <f>338.93/57.22</f>
        <v>5.9232785739252014</v>
      </c>
      <c r="Q721" s="24">
        <f t="shared" si="1174"/>
        <v>824.22</v>
      </c>
      <c r="R721" s="24">
        <f t="shared" si="1154"/>
        <v>1027.52</v>
      </c>
      <c r="S721" s="24">
        <f t="shared" si="1155"/>
        <v>21230.914000000001</v>
      </c>
    </row>
    <row r="722" spans="1:19">
      <c r="A722" s="9" t="s">
        <v>23340</v>
      </c>
      <c r="B722" s="10" t="s">
        <v>9016</v>
      </c>
      <c r="C722" s="10">
        <v>530200</v>
      </c>
      <c r="D722" s="43" t="str">
        <f>VLOOKUP(C722,'13. CUSTOS DER - SERVIÇOS'!A:B,2,0)</f>
        <v>BICA CORRIDA</v>
      </c>
      <c r="E722" s="11">
        <v>78.55</v>
      </c>
      <c r="F722" s="26" t="str">
        <f>VLOOKUP(C722,'13. CUSTOS DER - SERVIÇOS'!A:C,3,0)</f>
        <v>M3</v>
      </c>
      <c r="G722" s="24">
        <f>VLOOKUP(C722,'13. CUSTOS DER - SERVIÇOS'!A:G,7,0)</f>
        <v>98.29</v>
      </c>
      <c r="H722" s="24">
        <f>VLOOKUP(C722,'10. CCU TRANSPORTE'!B:J,9,0)</f>
        <v>25.03</v>
      </c>
      <c r="I722" s="25">
        <f>'3. BDI'!$C$19</f>
        <v>0.24666704095238123</v>
      </c>
      <c r="J722" s="24">
        <f t="shared" si="1169"/>
        <v>122.53</v>
      </c>
      <c r="K722" s="24">
        <f t="shared" si="1170"/>
        <v>31.2</v>
      </c>
      <c r="L722" s="24">
        <f t="shared" si="1171"/>
        <v>9624.7314999999999</v>
      </c>
      <c r="M722" s="24">
        <f t="shared" si="1172"/>
        <v>2450.7599999999998</v>
      </c>
      <c r="N722" s="24">
        <f t="shared" si="1173"/>
        <v>12075.4915</v>
      </c>
      <c r="P722" s="24">
        <f>338.93/97.22</f>
        <v>3.4862168278132071</v>
      </c>
      <c r="Q722" s="24">
        <f t="shared" si="1174"/>
        <v>273.83999999999997</v>
      </c>
      <c r="R722" s="24">
        <f t="shared" si="1154"/>
        <v>341.38</v>
      </c>
      <c r="S722" s="24">
        <f t="shared" si="1155"/>
        <v>11734.111500000001</v>
      </c>
    </row>
    <row r="723" spans="1:19">
      <c r="A723" s="9" t="s">
        <v>23341</v>
      </c>
      <c r="B723" s="10" t="s">
        <v>9016</v>
      </c>
      <c r="C723" s="10">
        <v>531100</v>
      </c>
      <c r="D723" s="43" t="str">
        <f>VLOOKUP(C723,'13. CUSTOS DER - SERVIÇOS'!A:B,2,0)</f>
        <v>BRITA GRADUADA 100% PM</v>
      </c>
      <c r="E723" s="11">
        <v>70.790000000000006</v>
      </c>
      <c r="F723" s="26" t="str">
        <f>VLOOKUP(C723,'13. CUSTOS DER - SERVIÇOS'!A:C,3,0)</f>
        <v>M3</v>
      </c>
      <c r="G723" s="24">
        <f>VLOOKUP(C723,'13. CUSTOS DER - SERVIÇOS'!A:G,7,0)</f>
        <v>138.1</v>
      </c>
      <c r="H723" s="24">
        <f>VLOOKUP(C723,'10. CCU TRANSPORTE'!B:J,9,0)</f>
        <v>28.44</v>
      </c>
      <c r="I723" s="25">
        <f>'3. BDI'!$C$19</f>
        <v>0.24666704095238123</v>
      </c>
      <c r="J723" s="24">
        <f t="shared" si="1169"/>
        <v>172.16</v>
      </c>
      <c r="K723" s="24">
        <f t="shared" si="1170"/>
        <v>35.450000000000003</v>
      </c>
      <c r="L723" s="24">
        <f t="shared" si="1171"/>
        <v>12187.206400000001</v>
      </c>
      <c r="M723" s="24">
        <f t="shared" si="1172"/>
        <v>2509.5055000000002</v>
      </c>
      <c r="N723" s="24">
        <f t="shared" si="1173"/>
        <v>14696.711900000002</v>
      </c>
      <c r="P723" s="24">
        <f>306.75/82.28</f>
        <v>3.7281234807972776</v>
      </c>
      <c r="Q723" s="24">
        <f t="shared" si="1174"/>
        <v>263.91000000000003</v>
      </c>
      <c r="R723" s="24">
        <f t="shared" si="1154"/>
        <v>329</v>
      </c>
      <c r="S723" s="24">
        <f t="shared" si="1155"/>
        <v>14367.711900000002</v>
      </c>
    </row>
    <row r="724" spans="1:19">
      <c r="A724" s="9" t="s">
        <v>23342</v>
      </c>
      <c r="B724" s="10" t="s">
        <v>9016</v>
      </c>
      <c r="C724" s="10">
        <v>560100</v>
      </c>
      <c r="D724" s="43" t="str">
        <f>VLOOKUP(C724,'13. CUSTOS DER - SERVIÇOS'!A:B,2,0)</f>
        <v>IMPRIMAÇÃO IMPERMEAB. EXCLUSIVE FORNEC. DA EMULSÃO</v>
      </c>
      <c r="E724" s="11">
        <v>406.72</v>
      </c>
      <c r="F724" s="26" t="str">
        <f>VLOOKUP(C724,'13. CUSTOS DER - SERVIÇOS'!A:C,3,0)</f>
        <v>M2</v>
      </c>
      <c r="G724" s="24">
        <f>VLOOKUP(C724,'13. CUSTOS DER - SERVIÇOS'!A:G,7,0)</f>
        <v>0.49</v>
      </c>
      <c r="H724" s="24">
        <f>VLOOKUP(C724,'10. CCU TRANSPORTE'!B:J,9,0)</f>
        <v>9.5603999999999995E-2</v>
      </c>
      <c r="I724" s="25">
        <f>'3. BDI'!$C$19</f>
        <v>0.24666704095238123</v>
      </c>
      <c r="J724" s="24">
        <f t="shared" si="1169"/>
        <v>0.61</v>
      </c>
      <c r="K724" s="24">
        <f t="shared" si="1170"/>
        <v>0.11</v>
      </c>
      <c r="L724" s="24">
        <f t="shared" si="1171"/>
        <v>248.09920000000002</v>
      </c>
      <c r="M724" s="24">
        <f t="shared" si="1172"/>
        <v>44.739200000000004</v>
      </c>
      <c r="N724" s="24">
        <f t="shared" si="1173"/>
        <v>292.83840000000004</v>
      </c>
      <c r="P724" s="24">
        <f>71.5/1200</f>
        <v>5.9583333333333335E-2</v>
      </c>
      <c r="Q724" s="24">
        <f t="shared" si="1174"/>
        <v>24.23</v>
      </c>
      <c r="R724" s="24">
        <f t="shared" si="1154"/>
        <v>30.2</v>
      </c>
      <c r="S724" s="24">
        <f t="shared" si="1155"/>
        <v>262.63840000000005</v>
      </c>
    </row>
    <row r="725" spans="1:19">
      <c r="A725" s="9" t="s">
        <v>23343</v>
      </c>
      <c r="B725" s="10" t="s">
        <v>9016</v>
      </c>
      <c r="C725" s="10">
        <v>561100</v>
      </c>
      <c r="D725" s="43" t="str">
        <f>VLOOKUP(C725,'13. CUSTOS DER - SERVIÇOS'!A:B,2,0)</f>
        <v>PINTURA DE LIGAÇÃO EXCLUSIVE FORNEC. DA EMULSÃO</v>
      </c>
      <c r="E725" s="11">
        <v>406.72</v>
      </c>
      <c r="F725" s="26" t="str">
        <f>VLOOKUP(C725,'13. CUSTOS DER - SERVIÇOS'!A:C,3,0)</f>
        <v>M2</v>
      </c>
      <c r="G725" s="24">
        <f>VLOOKUP(C725,'13. CUSTOS DER - SERVIÇOS'!A:G,7,0)</f>
        <v>0.34</v>
      </c>
      <c r="H725" s="24">
        <f>VLOOKUP(C725,'10. CCU TRANSPORTE'!B:J,9,0)</f>
        <v>3.9835000000000002E-2</v>
      </c>
      <c r="I725" s="25">
        <f>'3. BDI'!$C$19</f>
        <v>0.24666704095238123</v>
      </c>
      <c r="J725" s="24">
        <f t="shared" si="1169"/>
        <v>0.42</v>
      </c>
      <c r="K725" s="24">
        <f t="shared" si="1170"/>
        <v>0.04</v>
      </c>
      <c r="L725" s="24">
        <f t="shared" si="1171"/>
        <v>170.82240000000002</v>
      </c>
      <c r="M725" s="24">
        <f t="shared" si="1172"/>
        <v>16.268800000000002</v>
      </c>
      <c r="N725" s="24">
        <f t="shared" si="1173"/>
        <v>187.09120000000001</v>
      </c>
      <c r="P725" s="24">
        <f>71.5/1728</f>
        <v>4.1377314814814818E-2</v>
      </c>
      <c r="Q725" s="24">
        <f t="shared" si="1174"/>
        <v>16.82</v>
      </c>
      <c r="R725" s="24">
        <f t="shared" si="1154"/>
        <v>20.96</v>
      </c>
      <c r="S725" s="24">
        <f t="shared" si="1155"/>
        <v>166.13120000000001</v>
      </c>
    </row>
    <row r="726" spans="1:19">
      <c r="A726" s="9" t="s">
        <v>23344</v>
      </c>
      <c r="B726" s="10" t="s">
        <v>9016</v>
      </c>
      <c r="C726" s="10">
        <v>570000</v>
      </c>
      <c r="D726" s="43" t="str">
        <f>VLOOKUP(C726,'13. CUSTOS DER - SERVIÇOS'!A:B,2,0)</f>
        <v>C.B.U.Q. EXCL. FORNEC. DO CAP (ATÉ 10.000 T)</v>
      </c>
      <c r="E726" s="11">
        <v>58.07</v>
      </c>
      <c r="F726" s="26" t="str">
        <f>VLOOKUP(C726,'13. CUSTOS DER - SERVIÇOS'!A:C,3,0)</f>
        <v>T</v>
      </c>
      <c r="G726" s="24">
        <f>VLOOKUP(C726,'13. CUSTOS DER - SERVIÇOS'!A:G,7,0)</f>
        <v>187.41</v>
      </c>
      <c r="H726" s="24">
        <f>VLOOKUP(C726,'10. CCU TRANSPORTE'!B:J,9,0)</f>
        <v>30.689999999999998</v>
      </c>
      <c r="I726" s="25">
        <f>'3. BDI'!$C$19</f>
        <v>0.24666704095238123</v>
      </c>
      <c r="J726" s="24">
        <f t="shared" si="1169"/>
        <v>233.63</v>
      </c>
      <c r="K726" s="24">
        <f t="shared" si="1170"/>
        <v>38.26</v>
      </c>
      <c r="L726" s="24">
        <f t="shared" si="1171"/>
        <v>13566.8941</v>
      </c>
      <c r="M726" s="24">
        <f t="shared" si="1172"/>
        <v>2221.7581999999998</v>
      </c>
      <c r="N726" s="24">
        <f t="shared" si="1173"/>
        <v>15788.6523</v>
      </c>
      <c r="P726" s="24">
        <f>432.59/32</f>
        <v>13.518437499999999</v>
      </c>
      <c r="Q726" s="24">
        <f t="shared" si="1174"/>
        <v>785.01</v>
      </c>
      <c r="R726" s="24">
        <f t="shared" si="1154"/>
        <v>978.64</v>
      </c>
      <c r="S726" s="24">
        <f t="shared" si="1155"/>
        <v>14810.0123</v>
      </c>
    </row>
    <row r="727" spans="1:19">
      <c r="A727" s="28" t="s">
        <v>22902</v>
      </c>
      <c r="B727" s="48"/>
      <c r="C727" s="29"/>
      <c r="D727" s="301" t="s">
        <v>22845</v>
      </c>
      <c r="E727" s="30"/>
      <c r="F727" s="29" t="s">
        <v>195</v>
      </c>
      <c r="G727" s="30"/>
      <c r="H727" s="30"/>
      <c r="I727" s="31"/>
      <c r="J727" s="30"/>
      <c r="K727" s="30"/>
      <c r="L727" s="30">
        <f t="shared" ref="L727:M727" si="1175">SUM(L728:L754)</f>
        <v>19242772.930199999</v>
      </c>
      <c r="M727" s="30">
        <f t="shared" si="1175"/>
        <v>3640607.6493000006</v>
      </c>
      <c r="N727" s="30">
        <f>SUM(N728:N754)</f>
        <v>22883380.579499993</v>
      </c>
      <c r="P727" s="30">
        <f t="shared" ref="P727:S727" si="1176">SUM(P728:P754)</f>
        <v>144.65478336736123</v>
      </c>
      <c r="Q727" s="30">
        <f t="shared" si="1176"/>
        <v>1440808.3133999999</v>
      </c>
      <c r="R727" s="30">
        <f t="shared" si="1176"/>
        <v>1796208.1299999997</v>
      </c>
      <c r="S727" s="30">
        <f t="shared" si="1176"/>
        <v>21087172.449499998</v>
      </c>
    </row>
    <row r="728" spans="1:19">
      <c r="A728" s="345"/>
      <c r="B728" s="346"/>
      <c r="C728" s="347"/>
      <c r="D728" s="348" t="s">
        <v>376</v>
      </c>
      <c r="E728" s="349"/>
      <c r="F728" s="347" t="s">
        <v>195</v>
      </c>
      <c r="G728" s="349"/>
      <c r="H728" s="349"/>
      <c r="I728" s="350"/>
      <c r="J728" s="349"/>
      <c r="K728" s="349"/>
      <c r="L728" s="349"/>
      <c r="M728" s="349"/>
      <c r="N728" s="349"/>
      <c r="P728" s="349"/>
      <c r="Q728" s="349"/>
      <c r="R728" s="24">
        <f t="shared" ref="R728:R754" si="1177">TRUNC((Q728*I728+Q728),2)</f>
        <v>0</v>
      </c>
      <c r="S728" s="24">
        <f t="shared" ref="S728:S754" si="1178">N728-R728</f>
        <v>0</v>
      </c>
    </row>
    <row r="729" spans="1:19">
      <c r="A729" s="9" t="s">
        <v>23325</v>
      </c>
      <c r="B729" s="10" t="s">
        <v>9016</v>
      </c>
      <c r="C729" s="10">
        <v>512050</v>
      </c>
      <c r="D729" s="43" t="str">
        <f>VLOOKUP(C729,'13. CUSTOS DER - SERVIÇOS'!A:B,2,0)</f>
        <v>DEMOLIÇÃO MECÂNICA DE PAVIMENTO</v>
      </c>
      <c r="E729" s="11">
        <v>507.96</v>
      </c>
      <c r="F729" s="26" t="str">
        <f>VLOOKUP(C729,'13. CUSTOS DER - SERVIÇOS'!A:C,3,0)</f>
        <v>M3</v>
      </c>
      <c r="G729" s="24">
        <f>VLOOKUP(C729,'13. CUSTOS DER - SERVIÇOS'!A:G,7,0)</f>
        <v>41.9</v>
      </c>
      <c r="H729" s="24">
        <f>VLOOKUP(C729,'10. CCU TRANSPORTE'!B:J,9,0)</f>
        <v>39.130000000000003</v>
      </c>
      <c r="I729" s="25">
        <f>'3. BDI'!$C$19</f>
        <v>0.24666704095238123</v>
      </c>
      <c r="J729" s="24">
        <f t="shared" ref="J729:J734" si="1179">TRUNC(G729+(G729*I729),2)</f>
        <v>52.23</v>
      </c>
      <c r="K729" s="24">
        <f t="shared" ref="K729:K734" si="1180">TRUNC(H729+(H729*I729),2)</f>
        <v>48.78</v>
      </c>
      <c r="L729" s="24">
        <f t="shared" ref="L729:L734" si="1181">J729*E729</f>
        <v>26530.750799999998</v>
      </c>
      <c r="M729" s="24">
        <f t="shared" ref="M729:M734" si="1182">K729*E729</f>
        <v>24778.288799999998</v>
      </c>
      <c r="N729" s="24">
        <f t="shared" ref="N729:N734" si="1183">L729+M729</f>
        <v>51309.039599999996</v>
      </c>
      <c r="P729" s="24">
        <f>200.92/15</f>
        <v>13.394666666666666</v>
      </c>
      <c r="Q729" s="24">
        <f t="shared" ref="Q729:Q732" si="1184">TRUNC(P729*E729,2)</f>
        <v>6803.95</v>
      </c>
      <c r="R729" s="24">
        <f t="shared" si="1177"/>
        <v>8482.26</v>
      </c>
      <c r="S729" s="24">
        <f t="shared" si="1178"/>
        <v>42826.779599999994</v>
      </c>
    </row>
    <row r="730" spans="1:19">
      <c r="A730" s="9" t="s">
        <v>23345</v>
      </c>
      <c r="B730" s="10" t="s">
        <v>9016</v>
      </c>
      <c r="C730" s="10">
        <v>511200</v>
      </c>
      <c r="D730" s="43" t="str">
        <f>VLOOKUP(C730,'13. CUSTOS DER - SERVIÇOS'!A:B,2,0)</f>
        <v>REGULARIZAÇÃO COMPAC.SUBLEITO 100% PN (B)</v>
      </c>
      <c r="E730" s="11">
        <v>97304.16</v>
      </c>
      <c r="F730" s="26" t="str">
        <f>VLOOKUP(C730,'13. CUSTOS DER - SERVIÇOS'!A:C,3,0)</f>
        <v>M2</v>
      </c>
      <c r="G730" s="24">
        <f>VLOOKUP(C730,'13. CUSTOS DER - SERVIÇOS'!A:G,7,0)</f>
        <v>4.6399999999999997</v>
      </c>
      <c r="H730" s="24"/>
      <c r="I730" s="25">
        <f>'3. BDI'!$C$19</f>
        <v>0.24666704095238123</v>
      </c>
      <c r="J730" s="24">
        <f t="shared" si="1179"/>
        <v>5.78</v>
      </c>
      <c r="K730" s="24">
        <f t="shared" si="1180"/>
        <v>0</v>
      </c>
      <c r="L730" s="24">
        <f t="shared" si="1181"/>
        <v>562418.04480000003</v>
      </c>
      <c r="M730" s="24">
        <f t="shared" si="1182"/>
        <v>0</v>
      </c>
      <c r="N730" s="24">
        <f t="shared" si="1183"/>
        <v>562418.04480000003</v>
      </c>
      <c r="P730" s="24">
        <f>166.6/272.77</f>
        <v>0.61077097921325663</v>
      </c>
      <c r="Q730" s="24">
        <f t="shared" si="1184"/>
        <v>59430.55</v>
      </c>
      <c r="R730" s="24">
        <f t="shared" si="1177"/>
        <v>74090.100000000006</v>
      </c>
      <c r="S730" s="24">
        <f t="shared" si="1178"/>
        <v>488327.94480000006</v>
      </c>
    </row>
    <row r="731" spans="1:19">
      <c r="A731" s="9" t="s">
        <v>23346</v>
      </c>
      <c r="B731" s="10" t="s">
        <v>9016</v>
      </c>
      <c r="C731" s="10">
        <v>531000</v>
      </c>
      <c r="D731" s="43" t="str">
        <f>VLOOKUP(C731,'13. CUSTOS DER - SERVIÇOS'!A:B,2,0)</f>
        <v>BRITA GRADUADA 100% PI</v>
      </c>
      <c r="E731" s="11">
        <v>19073.75</v>
      </c>
      <c r="F731" s="26" t="str">
        <f>VLOOKUP(C731,'13. CUSTOS DER - SERVIÇOS'!A:C,3,0)</f>
        <v>M3</v>
      </c>
      <c r="G731" s="24">
        <f>VLOOKUP(C731,'13. CUSTOS DER - SERVIÇOS'!A:G,7,0)</f>
        <v>132.22999999999999</v>
      </c>
      <c r="H731" s="24">
        <f>VLOOKUP(C731,'10. CCU TRANSPORTE'!B:J,9,0)</f>
        <v>34.799999999999997</v>
      </c>
      <c r="I731" s="25">
        <f>'3. BDI'!$C$19</f>
        <v>0.24666704095238123</v>
      </c>
      <c r="J731" s="24">
        <f t="shared" si="1179"/>
        <v>164.84</v>
      </c>
      <c r="K731" s="24">
        <f t="shared" si="1180"/>
        <v>43.38</v>
      </c>
      <c r="L731" s="24">
        <f t="shared" si="1181"/>
        <v>3144116.95</v>
      </c>
      <c r="M731" s="24">
        <f t="shared" si="1182"/>
        <v>827419.27500000002</v>
      </c>
      <c r="N731" s="24">
        <f t="shared" si="1183"/>
        <v>3971536.2250000001</v>
      </c>
      <c r="P731" s="24">
        <f>306.75/87.3</f>
        <v>3.5137457044673539</v>
      </c>
      <c r="Q731" s="24">
        <f t="shared" si="1184"/>
        <v>67020.3</v>
      </c>
      <c r="R731" s="24">
        <f t="shared" si="1177"/>
        <v>83551.990000000005</v>
      </c>
      <c r="S731" s="24">
        <f t="shared" si="1178"/>
        <v>3887984.2349999999</v>
      </c>
    </row>
    <row r="732" spans="1:19">
      <c r="A732" s="9" t="s">
        <v>23347</v>
      </c>
      <c r="B732" s="10" t="s">
        <v>9016</v>
      </c>
      <c r="C732" s="10">
        <v>502615</v>
      </c>
      <c r="D732" s="43" t="str">
        <f>VLOOKUP(C732,'13. CUSTOS DER - SERVIÇOS'!A:B,2,0)</f>
        <v>CONCRETO COMPACTADO A ROLO FCK= 15MPA</v>
      </c>
      <c r="E732" s="11">
        <v>9343.33</v>
      </c>
      <c r="F732" s="26" t="str">
        <f>VLOOKUP(C732,'13. CUSTOS DER - SERVIÇOS'!A:C,3,0)</f>
        <v>M3</v>
      </c>
      <c r="G732" s="24">
        <f>VLOOKUP(C732,'13. CUSTOS DER - SERVIÇOS'!A:G,7,0)</f>
        <v>307.27999999999997</v>
      </c>
      <c r="H732" s="24">
        <f>VLOOKUP(C732,'10. CCU TRANSPORTE'!B:J,9,0)</f>
        <v>60.91</v>
      </c>
      <c r="I732" s="25">
        <f>'3. BDI'!$C$19</f>
        <v>0.24666704095238123</v>
      </c>
      <c r="J732" s="24">
        <f t="shared" si="1179"/>
        <v>383.07</v>
      </c>
      <c r="K732" s="24">
        <f t="shared" si="1180"/>
        <v>75.930000000000007</v>
      </c>
      <c r="L732" s="24">
        <f t="shared" si="1181"/>
        <v>3579149.4230999998</v>
      </c>
      <c r="M732" s="24">
        <f t="shared" si="1182"/>
        <v>709439.04690000007</v>
      </c>
      <c r="N732" s="24">
        <f t="shared" si="1183"/>
        <v>4288588.47</v>
      </c>
      <c r="P732" s="24">
        <f>200.2/130</f>
        <v>1.5399999999999998</v>
      </c>
      <c r="Q732" s="24">
        <f t="shared" si="1184"/>
        <v>14388.72</v>
      </c>
      <c r="R732" s="24">
        <f t="shared" si="1177"/>
        <v>17937.939999999999</v>
      </c>
      <c r="S732" s="24">
        <f t="shared" si="1178"/>
        <v>4270650.5299999993</v>
      </c>
    </row>
    <row r="733" spans="1:19" ht="31.5">
      <c r="A733" s="9" t="s">
        <v>23259</v>
      </c>
      <c r="B733" s="10" t="s">
        <v>22708</v>
      </c>
      <c r="C733" s="10">
        <v>4011538</v>
      </c>
      <c r="D733" s="43" t="str">
        <f>UPPER(VLOOKUP(C733,'18. CUSTOS DNIT - SERVIÇOS'!A:B,2,0))</f>
        <v>CURA COM PINTURA ASFÁLTICA PARA PAVIMENTO DE CONCRETO COMPACTADO COM ROLO</v>
      </c>
      <c r="E733" s="11">
        <v>95368.74</v>
      </c>
      <c r="F733" s="26" t="str">
        <f>UPPER((VLOOKUP(C733,'18. CUSTOS DNIT - SERVIÇOS'!A:C,3,0)))</f>
        <v>M²</v>
      </c>
      <c r="G733" s="24">
        <f>VLOOKUP(C733,'18. CUSTOS DNIT - SERVIÇOS'!A:D,4,0)</f>
        <v>0.16</v>
      </c>
      <c r="H733" s="24"/>
      <c r="I733" s="25">
        <f>'3. BDI'!$C$19</f>
        <v>0.24666704095238123</v>
      </c>
      <c r="J733" s="24">
        <f t="shared" si="1179"/>
        <v>0.19</v>
      </c>
      <c r="K733" s="24">
        <f t="shared" si="1180"/>
        <v>0</v>
      </c>
      <c r="L733" s="24">
        <f t="shared" si="1181"/>
        <v>18120.060600000001</v>
      </c>
      <c r="M733" s="24">
        <f t="shared" si="1182"/>
        <v>0</v>
      </c>
      <c r="N733" s="24">
        <f t="shared" si="1183"/>
        <v>18120.060600000001</v>
      </c>
      <c r="P733" s="24">
        <v>0</v>
      </c>
      <c r="Q733" s="24">
        <f>TRUNC((P733*E733),2)</f>
        <v>0</v>
      </c>
      <c r="R733" s="24">
        <f t="shared" si="1177"/>
        <v>0</v>
      </c>
      <c r="S733" s="24">
        <f t="shared" si="1178"/>
        <v>18120.060600000001</v>
      </c>
    </row>
    <row r="734" spans="1:19" ht="31.5">
      <c r="A734" s="9" t="s">
        <v>23348</v>
      </c>
      <c r="B734" s="10" t="s">
        <v>9016</v>
      </c>
      <c r="C734" s="10">
        <v>503110</v>
      </c>
      <c r="D734" s="43" t="str">
        <f>VLOOKUP(C734,'13. CUSTOS DER - SERVIÇOS'!A:B,2,0)</f>
        <v>FORNECIMENTO E APLICAÇÃO DE LONA PLÁSTICA PRETA 200 MICRAS</v>
      </c>
      <c r="E734" s="11">
        <v>91497.93</v>
      </c>
      <c r="F734" s="26" t="str">
        <f>VLOOKUP(C734,'13. CUSTOS DER - SERVIÇOS'!A:C,3,0)</f>
        <v>M2</v>
      </c>
      <c r="G734" s="24">
        <f>VLOOKUP(C734,'13. CUSTOS DER - SERVIÇOS'!A:G,7,0)</f>
        <v>3.61</v>
      </c>
      <c r="H734" s="24"/>
      <c r="I734" s="25">
        <f>'3. BDI'!$C$19</f>
        <v>0.24666704095238123</v>
      </c>
      <c r="J734" s="24">
        <f t="shared" si="1179"/>
        <v>4.5</v>
      </c>
      <c r="K734" s="24">
        <f t="shared" si="1180"/>
        <v>0</v>
      </c>
      <c r="L734" s="24">
        <f t="shared" si="1181"/>
        <v>411740.68499999994</v>
      </c>
      <c r="M734" s="24">
        <f t="shared" si="1182"/>
        <v>0</v>
      </c>
      <c r="N734" s="24">
        <f t="shared" si="1183"/>
        <v>411740.68499999994</v>
      </c>
      <c r="P734" s="24">
        <f>125.84/300</f>
        <v>0.41946666666666665</v>
      </c>
      <c r="Q734" s="24">
        <f t="shared" ref="Q734:Q736" si="1185">TRUNC(P734*E734,2)</f>
        <v>38380.33</v>
      </c>
      <c r="R734" s="24">
        <f t="shared" si="1177"/>
        <v>47847.49</v>
      </c>
      <c r="S734" s="24">
        <f t="shared" si="1178"/>
        <v>363893.19499999995</v>
      </c>
    </row>
    <row r="735" spans="1:19" ht="31.5">
      <c r="A735" s="9" t="s">
        <v>23349</v>
      </c>
      <c r="B735" s="10" t="s">
        <v>9016</v>
      </c>
      <c r="C735" s="10">
        <v>504920</v>
      </c>
      <c r="D735" s="43" t="str">
        <f>VLOOKUP(C735,'13. CUSTOS DER - SERVIÇOS'!A:B,2,0)</f>
        <v>FORNECIMENTO E COLOCAÇÃO DE TELA TELCON Q-138 OU EQUIVALENTE</v>
      </c>
      <c r="E735" s="11">
        <v>109.37</v>
      </c>
      <c r="F735" s="26" t="str">
        <f>VLOOKUP(C735,'13. CUSTOS DER - SERVIÇOS'!A:C,3,0)</f>
        <v>KG</v>
      </c>
      <c r="G735" s="24">
        <f>VLOOKUP(C735,'13. CUSTOS DER - SERVIÇOS'!A:G,7,0)</f>
        <v>11.4</v>
      </c>
      <c r="H735" s="24">
        <f>VLOOKUP(C735,'10. CCU TRANSPORTE'!B:J,9,0)</f>
        <v>0.05</v>
      </c>
      <c r="I735" s="25">
        <f>'3. BDI'!$C$19</f>
        <v>0.24666704095238123</v>
      </c>
      <c r="J735" s="24">
        <f>TRUNC(G735+(G735*I735),2)</f>
        <v>14.21</v>
      </c>
      <c r="K735" s="24">
        <f>TRUNC(H735+(H735*I735),2)</f>
        <v>0.06</v>
      </c>
      <c r="L735" s="24">
        <f>J735*E735</f>
        <v>1554.1477000000002</v>
      </c>
      <c r="M735" s="24">
        <f>K735*E735</f>
        <v>6.5621999999999998</v>
      </c>
      <c r="N735" s="24">
        <f>L735+M735</f>
        <v>1560.7099000000003</v>
      </c>
      <c r="P735" s="24">
        <f>15.73/50</f>
        <v>0.31459999999999999</v>
      </c>
      <c r="Q735" s="24">
        <f t="shared" si="1185"/>
        <v>34.4</v>
      </c>
      <c r="R735" s="24">
        <f t="shared" si="1177"/>
        <v>42.88</v>
      </c>
      <c r="S735" s="24">
        <f t="shared" si="1178"/>
        <v>1517.8299000000002</v>
      </c>
    </row>
    <row r="736" spans="1:19" ht="31.5">
      <c r="A736" s="9" t="s">
        <v>23350</v>
      </c>
      <c r="B736" s="10" t="s">
        <v>9016</v>
      </c>
      <c r="C736" s="10">
        <v>507210</v>
      </c>
      <c r="D736" s="43" t="str">
        <f>VLOOKUP(C736,'13. CUSTOS DER - SERVIÇOS'!A:B,2,0)</f>
        <v>FORNECIMENTO E COLOCAÇÃO DE AÇO CA 50 PARA BARRAS DE LIGAÇÃO</v>
      </c>
      <c r="E736" s="11">
        <v>3238.57</v>
      </c>
      <c r="F736" s="26" t="str">
        <f>VLOOKUP(C736,'13. CUSTOS DER - SERVIÇOS'!A:C,3,0)</f>
        <v>KG</v>
      </c>
      <c r="G736" s="24">
        <f>VLOOKUP(C736,'13. CUSTOS DER - SERVIÇOS'!A:G,7,0)</f>
        <v>8.4</v>
      </c>
      <c r="H736" s="24"/>
      <c r="I736" s="25">
        <f>'3. BDI'!$C$19</f>
        <v>0.24666704095238123</v>
      </c>
      <c r="J736" s="24">
        <f>TRUNC(G736+(G736*I736),2)</f>
        <v>10.47</v>
      </c>
      <c r="K736" s="24">
        <f>TRUNC(H736+(H736*I736),2)</f>
        <v>0</v>
      </c>
      <c r="L736" s="24">
        <f>J736*E736</f>
        <v>33907.827900000004</v>
      </c>
      <c r="M736" s="24">
        <f>K736*E736</f>
        <v>0</v>
      </c>
      <c r="N736" s="24">
        <f>L736+M736</f>
        <v>33907.827900000004</v>
      </c>
      <c r="P736" s="24">
        <f>5.77/50</f>
        <v>0.11539999999999999</v>
      </c>
      <c r="Q736" s="24">
        <f t="shared" si="1185"/>
        <v>373.73</v>
      </c>
      <c r="R736" s="24">
        <f t="shared" si="1177"/>
        <v>465.91</v>
      </c>
      <c r="S736" s="24">
        <f t="shared" si="1178"/>
        <v>33441.9179</v>
      </c>
    </row>
    <row r="737" spans="1:19" ht="31.5">
      <c r="A737" s="9" t="s">
        <v>23351</v>
      </c>
      <c r="B737" s="10" t="s">
        <v>22708</v>
      </c>
      <c r="C737" s="10">
        <v>407819</v>
      </c>
      <c r="D737" s="43" t="str">
        <f>UPPER(VLOOKUP(C737,'18. CUSTOS DNIT - SERVIÇOS'!A:B,2,0))</f>
        <v>ARMAÇÃO EM AÇO CA-50 - FORNECIMENTO, PREPARO E COLOCAÇÃO</v>
      </c>
      <c r="E737" s="11">
        <v>378.42</v>
      </c>
      <c r="F737" s="26" t="str">
        <f>UPPER((VLOOKUP(C737,'18. CUSTOS DNIT - SERVIÇOS'!A:C,3,0)))</f>
        <v>KG</v>
      </c>
      <c r="G737" s="24">
        <f>VLOOKUP(C737,'18. CUSTOS DNIT - SERVIÇOS'!A:D,4,0)</f>
        <v>12.74</v>
      </c>
      <c r="H737" s="24"/>
      <c r="I737" s="25">
        <f>'3. BDI'!$C$19</f>
        <v>0.24666704095238123</v>
      </c>
      <c r="J737" s="24">
        <f t="shared" ref="J737" si="1186">TRUNC(G737+(G737*I737),2)</f>
        <v>15.88</v>
      </c>
      <c r="K737" s="24">
        <f t="shared" ref="K737" si="1187">TRUNC(H737+(H737*I737),2)</f>
        <v>0</v>
      </c>
      <c r="L737" s="24">
        <f t="shared" ref="L737" si="1188">J737*E737</f>
        <v>6009.3096000000005</v>
      </c>
      <c r="M737" s="24">
        <f t="shared" ref="M737" si="1189">K737*E737</f>
        <v>0</v>
      </c>
      <c r="N737" s="24">
        <f t="shared" ref="N737" si="1190">L737+M737</f>
        <v>6009.3096000000005</v>
      </c>
      <c r="P737" s="24">
        <f>5.1929/1</f>
        <v>5.1928999999999998</v>
      </c>
      <c r="Q737" s="24">
        <f>TRUNC((P737*E737),2)</f>
        <v>1965.09</v>
      </c>
      <c r="R737" s="24">
        <f t="shared" si="1177"/>
        <v>2449.81</v>
      </c>
      <c r="S737" s="24">
        <f t="shared" si="1178"/>
        <v>3559.4996000000006</v>
      </c>
    </row>
    <row r="738" spans="1:19" ht="31.5">
      <c r="A738" s="9" t="s">
        <v>23352</v>
      </c>
      <c r="B738" s="10" t="s">
        <v>9016</v>
      </c>
      <c r="C738" s="10">
        <v>507220</v>
      </c>
      <c r="D738" s="43" t="str">
        <f>VLOOKUP(C738,'13. CUSTOS DER - SERVIÇOS'!A:B,2,0)</f>
        <v>FORNECIMENTO E COLOCAÇÃO DE AÇO CA-25 PARA BARRA DE TRANSFERÊNCIA Ø= 20MM</v>
      </c>
      <c r="E738" s="11">
        <v>1968.73</v>
      </c>
      <c r="F738" s="26" t="str">
        <f>VLOOKUP(C738,'13. CUSTOS DER - SERVIÇOS'!A:C,3,0)</f>
        <v>KG</v>
      </c>
      <c r="G738" s="24">
        <f>VLOOKUP(C738,'13. CUSTOS DER - SERVIÇOS'!A:G,7,0)</f>
        <v>7.48</v>
      </c>
      <c r="H738" s="24"/>
      <c r="I738" s="25">
        <f>'3. BDI'!$C$19</f>
        <v>0.24666704095238123</v>
      </c>
      <c r="J738" s="24">
        <f>TRUNC(G738+(G738*I738),2)</f>
        <v>9.32</v>
      </c>
      <c r="K738" s="24">
        <f>TRUNC(H738+(H738*I738),2)</f>
        <v>0</v>
      </c>
      <c r="L738" s="24">
        <f>J738*E738</f>
        <v>18348.563600000001</v>
      </c>
      <c r="M738" s="24">
        <f>K738*E738</f>
        <v>0</v>
      </c>
      <c r="N738" s="24">
        <f>L738+M738</f>
        <v>18348.563600000001</v>
      </c>
      <c r="P738" s="24">
        <f>2.91/50</f>
        <v>5.8200000000000002E-2</v>
      </c>
      <c r="Q738" s="24">
        <f t="shared" ref="Q738:Q739" si="1191">TRUNC(P738*E738,2)</f>
        <v>114.58</v>
      </c>
      <c r="R738" s="24">
        <f t="shared" si="1177"/>
        <v>142.84</v>
      </c>
      <c r="S738" s="24">
        <f t="shared" si="1178"/>
        <v>18205.723600000001</v>
      </c>
    </row>
    <row r="739" spans="1:19" ht="31.5">
      <c r="A739" s="9" t="s">
        <v>23353</v>
      </c>
      <c r="B739" s="10" t="s">
        <v>9016</v>
      </c>
      <c r="C739" s="10">
        <v>504840</v>
      </c>
      <c r="D739" s="43" t="str">
        <f>VLOOKUP(C739,'13. CUSTOS DER - SERVIÇOS'!A:B,2,0)</f>
        <v>FORNECIMENTO E APLICAÇÃO DE FIBRA DE POLIPROPILENO MULTIFILAMENTOS (0,600KG/ M³)</v>
      </c>
      <c r="E739" s="11">
        <v>8997.18</v>
      </c>
      <c r="F739" s="26" t="str">
        <f>VLOOKUP(C739,'13. CUSTOS DER - SERVIÇOS'!A:C,3,0)</f>
        <v>KG</v>
      </c>
      <c r="G739" s="24">
        <f>VLOOKUP(C739,'13. CUSTOS DER - SERVIÇOS'!A:G,7,0)</f>
        <v>41.95</v>
      </c>
      <c r="H739" s="24">
        <v>0</v>
      </c>
      <c r="I739" s="25">
        <f>'3. BDI'!$C$19</f>
        <v>0.24666704095238123</v>
      </c>
      <c r="J739" s="24">
        <f>TRUNC(G739+(G739*I739),2)</f>
        <v>52.29</v>
      </c>
      <c r="K739" s="24">
        <f>TRUNC(H739+(H739*I739),2)</f>
        <v>0</v>
      </c>
      <c r="L739" s="24">
        <f>J739*E739</f>
        <v>470462.54220000003</v>
      </c>
      <c r="M739" s="24">
        <f>K739*E739</f>
        <v>0</v>
      </c>
      <c r="N739" s="24">
        <f>L739+M739</f>
        <v>470462.54220000003</v>
      </c>
      <c r="P739" s="24">
        <f>3.14/15</f>
        <v>0.20933333333333334</v>
      </c>
      <c r="Q739" s="24">
        <f t="shared" si="1191"/>
        <v>1883.4</v>
      </c>
      <c r="R739" s="24">
        <f t="shared" si="1177"/>
        <v>2347.9699999999998</v>
      </c>
      <c r="S739" s="24">
        <f t="shared" si="1178"/>
        <v>468114.57220000005</v>
      </c>
    </row>
    <row r="740" spans="1:19" ht="31.5">
      <c r="A740" s="9"/>
      <c r="B740" s="10"/>
      <c r="C740" s="10"/>
      <c r="D740" s="352" t="s">
        <v>23689</v>
      </c>
      <c r="E740" s="11"/>
      <c r="F740" s="26"/>
      <c r="G740" s="24"/>
      <c r="H740" s="24"/>
      <c r="I740" s="25"/>
      <c r="J740" s="24"/>
      <c r="K740" s="24"/>
      <c r="L740" s="24"/>
      <c r="M740" s="24"/>
      <c r="N740" s="24"/>
      <c r="P740" s="24"/>
      <c r="Q740" s="24"/>
      <c r="R740" s="24">
        <f t="shared" si="1177"/>
        <v>0</v>
      </c>
      <c r="S740" s="24">
        <f t="shared" si="1178"/>
        <v>0</v>
      </c>
    </row>
    <row r="741" spans="1:19" ht="31.5">
      <c r="A741" s="9" t="s">
        <v>23354</v>
      </c>
      <c r="B741" s="10" t="s">
        <v>9016</v>
      </c>
      <c r="C741" s="10">
        <v>502646</v>
      </c>
      <c r="D741" s="43" t="str">
        <f>VLOOKUP(C741,'13. CUSTOS DER - SERVIÇOS'!A:B,2,0)</f>
        <v>PAVIMENTO DE CONCRETO FCTMK=4,50MPA EXECUTADO COM RÉGUA VIBRATÓRIA</v>
      </c>
      <c r="E741" s="11">
        <v>14995.32</v>
      </c>
      <c r="F741" s="26" t="str">
        <f>VLOOKUP(C741,'13. CUSTOS DER - SERVIÇOS'!A:C,3,0)</f>
        <v>M3</v>
      </c>
      <c r="G741" s="24">
        <f>VLOOKUP(C741,'13. CUSTOS DER - SERVIÇOS'!A:G,7,0)</f>
        <v>378.42</v>
      </c>
      <c r="H741" s="24">
        <f>VLOOKUP(C741,'10. CCU TRANSPORTE'!B:J,9,0)</f>
        <v>106.85999999999999</v>
      </c>
      <c r="I741" s="25">
        <f>'3. BDI'!$C$19</f>
        <v>0.24666704095238123</v>
      </c>
      <c r="J741" s="24">
        <f>TRUNC(G741+(G741*I741),2)</f>
        <v>471.76</v>
      </c>
      <c r="K741" s="24">
        <f>TRUNC(H741+(H741*I741),2)</f>
        <v>133.21</v>
      </c>
      <c r="L741" s="24">
        <f>J741*E741</f>
        <v>7074192.1631999994</v>
      </c>
      <c r="M741" s="24">
        <f>K741*E741</f>
        <v>1997526.5772000002</v>
      </c>
      <c r="N741" s="24">
        <f>L741+M741</f>
        <v>9071718.7403999995</v>
      </c>
      <c r="P741" s="24">
        <f>281.72/5</f>
        <v>56.344000000000008</v>
      </c>
      <c r="Q741" s="24">
        <f t="shared" ref="Q741:Q745" si="1192">TRUNC(P741*E741,2)</f>
        <v>844896.31</v>
      </c>
      <c r="R741" s="24">
        <f t="shared" si="1177"/>
        <v>1053304.3799999999</v>
      </c>
      <c r="S741" s="24">
        <f t="shared" si="1178"/>
        <v>8018414.3603999997</v>
      </c>
    </row>
    <row r="742" spans="1:19">
      <c r="A742" s="9" t="s">
        <v>23355</v>
      </c>
      <c r="B742" s="10" t="s">
        <v>9016</v>
      </c>
      <c r="C742" s="10">
        <v>505415</v>
      </c>
      <c r="D742" s="43" t="str">
        <f>VLOOKUP(C742,'13. CUSTOS DER - SERVIÇOS'!A:B,2,0)</f>
        <v>CURA QUÍMICA DE PAVIMENTO DE CONCRETO</v>
      </c>
      <c r="E742" s="11">
        <v>91497.93</v>
      </c>
      <c r="F742" s="26" t="str">
        <f>VLOOKUP(C742,'13. CUSTOS DER - SERVIÇOS'!A:C,3,0)</f>
        <v>M2</v>
      </c>
      <c r="G742" s="24">
        <f>VLOOKUP(C742,'13. CUSTOS DER - SERVIÇOS'!A:G,7,0)</f>
        <v>8.49</v>
      </c>
      <c r="H742" s="24"/>
      <c r="I742" s="25">
        <f>'3. BDI'!$C$19</f>
        <v>0.24666704095238123</v>
      </c>
      <c r="J742" s="24">
        <f>TRUNC(G742+(G742*I742),2)</f>
        <v>10.58</v>
      </c>
      <c r="K742" s="24">
        <f>TRUNC(H742+(H742*I742),2)</f>
        <v>0</v>
      </c>
      <c r="L742" s="24">
        <f>J742*E742</f>
        <v>968048.09939999995</v>
      </c>
      <c r="M742" s="24">
        <f>K742*E742</f>
        <v>0</v>
      </c>
      <c r="N742" s="24">
        <f>L742+M742</f>
        <v>968048.09939999995</v>
      </c>
      <c r="P742" s="24">
        <f>31.46/80</f>
        <v>0.39324999999999999</v>
      </c>
      <c r="Q742" s="24">
        <f t="shared" si="1192"/>
        <v>35981.56</v>
      </c>
      <c r="R742" s="24">
        <f t="shared" si="1177"/>
        <v>44857.02</v>
      </c>
      <c r="S742" s="24">
        <f t="shared" si="1178"/>
        <v>923191.07939999993</v>
      </c>
    </row>
    <row r="743" spans="1:19">
      <c r="A743" s="9" t="s">
        <v>23356</v>
      </c>
      <c r="B743" s="10" t="s">
        <v>9016</v>
      </c>
      <c r="C743" s="10">
        <v>505416</v>
      </c>
      <c r="D743" s="43" t="str">
        <f>VLOOKUP(C743,'13. CUSTOS DER - SERVIÇOS'!A:B,2,0)</f>
        <v>CURA ÚMIDA DE PAVIMENTO DE CONCRETO COM MANTA DE CURA</v>
      </c>
      <c r="E743" s="11">
        <v>91497.93</v>
      </c>
      <c r="F743" s="26" t="str">
        <f>VLOOKUP(C743,'13. CUSTOS DER - SERVIÇOS'!A:C,3,0)</f>
        <v>M2</v>
      </c>
      <c r="G743" s="24">
        <f>VLOOKUP(C743,'13. CUSTOS DER - SERVIÇOS'!A:G,7,0)</f>
        <v>10</v>
      </c>
      <c r="H743" s="24"/>
      <c r="I743" s="25">
        <f>'3. BDI'!$C$19</f>
        <v>0.24666704095238123</v>
      </c>
      <c r="J743" s="24">
        <f t="shared" ref="J743:J745" si="1193">TRUNC(G743+(G743*I743),2)</f>
        <v>12.46</v>
      </c>
      <c r="K743" s="24">
        <f t="shared" ref="K743:K745" si="1194">TRUNC(H743+(H743*I743),2)</f>
        <v>0</v>
      </c>
      <c r="L743" s="24">
        <f t="shared" ref="L743:L745" si="1195">J743*E743</f>
        <v>1140064.2078</v>
      </c>
      <c r="M743" s="24">
        <f t="shared" ref="M743:M745" si="1196">K743*E743</f>
        <v>0</v>
      </c>
      <c r="N743" s="24">
        <f t="shared" ref="N743:N745" si="1197">L743+M743</f>
        <v>1140064.2078</v>
      </c>
      <c r="P743" s="24">
        <f>98.67/45</f>
        <v>2.1926666666666668</v>
      </c>
      <c r="Q743" s="24">
        <f t="shared" si="1192"/>
        <v>200624.46</v>
      </c>
      <c r="R743" s="24">
        <f t="shared" si="1177"/>
        <v>250111.9</v>
      </c>
      <c r="S743" s="24">
        <f t="shared" si="1178"/>
        <v>889952.30779999995</v>
      </c>
    </row>
    <row r="744" spans="1:19" ht="31.5">
      <c r="A744" s="9" t="s">
        <v>23357</v>
      </c>
      <c r="B744" s="10" t="s">
        <v>9016</v>
      </c>
      <c r="C744" s="10">
        <v>502680</v>
      </c>
      <c r="D744" s="43" t="str">
        <f>VLOOKUP(C744,'13. CUSTOS DER - SERVIÇOS'!A:B,2,0)</f>
        <v>JUNTA LONGITUDINAL, INCLUSIVE CORTE, SELANTE A BASE DE SILICONE E CORDÃO DE POLIPROPILENO</v>
      </c>
      <c r="E744" s="11">
        <v>19352.939999999999</v>
      </c>
      <c r="F744" s="26" t="str">
        <f>VLOOKUP(C744,'13. CUSTOS DER - SERVIÇOS'!A:C,3,0)</f>
        <v>M</v>
      </c>
      <c r="G744" s="24">
        <f>VLOOKUP(C744,'13. CUSTOS DER - SERVIÇOS'!A:G,7,0)</f>
        <v>14.93</v>
      </c>
      <c r="H744" s="24"/>
      <c r="I744" s="25">
        <f>'3. BDI'!$C$19</f>
        <v>0.24666704095238123</v>
      </c>
      <c r="J744" s="24">
        <f t="shared" si="1193"/>
        <v>18.61</v>
      </c>
      <c r="K744" s="24">
        <f t="shared" si="1194"/>
        <v>0</v>
      </c>
      <c r="L744" s="24">
        <f t="shared" si="1195"/>
        <v>360158.21339999995</v>
      </c>
      <c r="M744" s="24">
        <f t="shared" si="1196"/>
        <v>0</v>
      </c>
      <c r="N744" s="24">
        <f t="shared" si="1197"/>
        <v>360158.21339999995</v>
      </c>
      <c r="P744" s="24">
        <f>187.34/150</f>
        <v>1.2489333333333335</v>
      </c>
      <c r="Q744" s="24">
        <f t="shared" si="1192"/>
        <v>24170.53</v>
      </c>
      <c r="R744" s="24">
        <f t="shared" si="1177"/>
        <v>30132.6</v>
      </c>
      <c r="S744" s="24">
        <f t="shared" si="1178"/>
        <v>330025.61339999997</v>
      </c>
    </row>
    <row r="745" spans="1:19" ht="31.5">
      <c r="A745" s="9" t="s">
        <v>23358</v>
      </c>
      <c r="B745" s="10" t="s">
        <v>9016</v>
      </c>
      <c r="C745" s="10">
        <v>502670</v>
      </c>
      <c r="D745" s="43" t="str">
        <f>VLOOKUP(C745,'13. CUSTOS DER - SERVIÇOS'!A:B,2,0)</f>
        <v>JUNTA TRANSVERSAL , INCLUSIVE CORTE, SELANTE A BASE DE SILICONE E CORDÃO DE POLIPROPILENO</v>
      </c>
      <c r="E745" s="11">
        <v>26033.25</v>
      </c>
      <c r="F745" s="26" t="str">
        <f>VLOOKUP(C745,'13. CUSTOS DER - SERVIÇOS'!A:C,3,0)</f>
        <v>M</v>
      </c>
      <c r="G745" s="24">
        <f>VLOOKUP(C745,'13. CUSTOS DER - SERVIÇOS'!A:G,7,0)</f>
        <v>19.57</v>
      </c>
      <c r="H745" s="24"/>
      <c r="I745" s="25">
        <f>'3. BDI'!$C$19</f>
        <v>0.24666704095238123</v>
      </c>
      <c r="J745" s="24">
        <f t="shared" si="1193"/>
        <v>24.39</v>
      </c>
      <c r="K745" s="24">
        <f t="shared" si="1194"/>
        <v>0</v>
      </c>
      <c r="L745" s="24">
        <f t="shared" si="1195"/>
        <v>634950.96750000003</v>
      </c>
      <c r="M745" s="24">
        <f t="shared" si="1196"/>
        <v>0</v>
      </c>
      <c r="N745" s="24">
        <f t="shared" si="1197"/>
        <v>634950.96750000003</v>
      </c>
      <c r="P745" s="24">
        <f>187.34/60</f>
        <v>3.1223333333333332</v>
      </c>
      <c r="Q745" s="24">
        <f t="shared" si="1192"/>
        <v>81284.479999999996</v>
      </c>
      <c r="R745" s="24">
        <f t="shared" si="1177"/>
        <v>101334.68</v>
      </c>
      <c r="S745" s="24">
        <f t="shared" si="1178"/>
        <v>533616.28750000009</v>
      </c>
    </row>
    <row r="746" spans="1:19">
      <c r="A746" s="345"/>
      <c r="B746" s="346"/>
      <c r="C746" s="347"/>
      <c r="D746" s="348" t="s">
        <v>22739</v>
      </c>
      <c r="E746" s="349"/>
      <c r="F746" s="347" t="s">
        <v>195</v>
      </c>
      <c r="G746" s="349"/>
      <c r="H746" s="349"/>
      <c r="I746" s="349"/>
      <c r="J746" s="349"/>
      <c r="K746" s="349"/>
      <c r="L746" s="349"/>
      <c r="M746" s="349"/>
      <c r="N746" s="349"/>
      <c r="P746" s="349"/>
      <c r="Q746" s="349"/>
      <c r="R746" s="24">
        <f t="shared" si="1177"/>
        <v>0</v>
      </c>
      <c r="S746" s="24">
        <f t="shared" si="1178"/>
        <v>0</v>
      </c>
    </row>
    <row r="747" spans="1:19">
      <c r="A747" s="9" t="s">
        <v>23359</v>
      </c>
      <c r="B747" s="10" t="s">
        <v>9016</v>
      </c>
      <c r="C747" s="10">
        <v>511200</v>
      </c>
      <c r="D747" s="43" t="str">
        <f>VLOOKUP(C747,'13. CUSTOS DER - SERVIÇOS'!A:B,2,0)</f>
        <v>REGULARIZAÇÃO COMPAC.SUBLEITO 100% PN (B)</v>
      </c>
      <c r="E747" s="11">
        <v>4583.46</v>
      </c>
      <c r="F747" s="26" t="str">
        <f>VLOOKUP(C747,'13. CUSTOS DER - SERVIÇOS'!A:C,3,0)</f>
        <v>M2</v>
      </c>
      <c r="G747" s="24">
        <f>VLOOKUP(C747,'13. CUSTOS DER - SERVIÇOS'!A:G,7,0)</f>
        <v>4.6399999999999997</v>
      </c>
      <c r="H747" s="24">
        <v>0</v>
      </c>
      <c r="I747" s="25">
        <f>'3. BDI'!$C$19</f>
        <v>0.24666704095238123</v>
      </c>
      <c r="J747" s="24">
        <f t="shared" ref="J747:J754" si="1198">TRUNC(G747+(G747*I747),2)</f>
        <v>5.78</v>
      </c>
      <c r="K747" s="24">
        <f t="shared" ref="K747:K754" si="1199">TRUNC(H747+(H747*I747),2)</f>
        <v>0</v>
      </c>
      <c r="L747" s="24">
        <f t="shared" ref="L747:L754" si="1200">J747*E747</f>
        <v>26492.398800000003</v>
      </c>
      <c r="M747" s="24">
        <f t="shared" ref="M747:M754" si="1201">K747*E747</f>
        <v>0</v>
      </c>
      <c r="N747" s="24">
        <f t="shared" ref="N747:N754" si="1202">L747+M747</f>
        <v>26492.398800000003</v>
      </c>
      <c r="P747" s="24">
        <f>166.6/272.77</f>
        <v>0.61077097921325663</v>
      </c>
      <c r="Q747" s="24">
        <f t="shared" ref="Q747:Q749" si="1203">TRUNC(P747*E747,2)</f>
        <v>2799.44</v>
      </c>
      <c r="R747" s="24">
        <f t="shared" si="1177"/>
        <v>3489.96</v>
      </c>
      <c r="S747" s="24">
        <f t="shared" si="1178"/>
        <v>23002.438800000004</v>
      </c>
    </row>
    <row r="748" spans="1:19">
      <c r="A748" s="9" t="s">
        <v>23360</v>
      </c>
      <c r="B748" s="10" t="s">
        <v>9016</v>
      </c>
      <c r="C748" s="10">
        <v>531000</v>
      </c>
      <c r="D748" s="43" t="str">
        <f>VLOOKUP(C748,'13. CUSTOS DER - SERVIÇOS'!A:B,2,0)</f>
        <v>BRITA GRADUADA 100% PI</v>
      </c>
      <c r="E748" s="11">
        <v>857.6</v>
      </c>
      <c r="F748" s="26" t="str">
        <f>VLOOKUP(C748,'13. CUSTOS DER - SERVIÇOS'!A:C,3,0)</f>
        <v>M3</v>
      </c>
      <c r="G748" s="24">
        <f>VLOOKUP(C748,'13. CUSTOS DER - SERVIÇOS'!A:G,7,0)</f>
        <v>132.22999999999999</v>
      </c>
      <c r="H748" s="24">
        <f>VLOOKUP(C748,'10. CCU TRANSPORTE'!B:J,9,0)</f>
        <v>34.799999999999997</v>
      </c>
      <c r="I748" s="25">
        <f>'3. BDI'!$C$19</f>
        <v>0.24666704095238123</v>
      </c>
      <c r="J748" s="24">
        <f t="shared" si="1198"/>
        <v>164.84</v>
      </c>
      <c r="K748" s="24">
        <f t="shared" si="1199"/>
        <v>43.38</v>
      </c>
      <c r="L748" s="24">
        <f t="shared" si="1200"/>
        <v>141366.78400000001</v>
      </c>
      <c r="M748" s="24">
        <f t="shared" si="1201"/>
        <v>37202.688000000002</v>
      </c>
      <c r="N748" s="24">
        <f t="shared" si="1202"/>
        <v>178569.47200000001</v>
      </c>
      <c r="P748" s="24">
        <f>306.75/87.3</f>
        <v>3.5137457044673539</v>
      </c>
      <c r="Q748" s="24">
        <f t="shared" si="1203"/>
        <v>3013.38</v>
      </c>
      <c r="R748" s="24">
        <f t="shared" si="1177"/>
        <v>3756.68</v>
      </c>
      <c r="S748" s="24">
        <f t="shared" si="1178"/>
        <v>174812.79200000002</v>
      </c>
    </row>
    <row r="749" spans="1:19">
      <c r="A749" s="9" t="s">
        <v>23361</v>
      </c>
      <c r="B749" s="10" t="s">
        <v>9016</v>
      </c>
      <c r="C749" s="10">
        <v>502615</v>
      </c>
      <c r="D749" s="43" t="str">
        <f>VLOOKUP(C749,'13. CUSTOS DER - SERVIÇOS'!A:B,2,0)</f>
        <v>CONCRETO COMPACTADO A ROLO FCK= 15MPA</v>
      </c>
      <c r="E749" s="11">
        <v>494.07</v>
      </c>
      <c r="F749" s="26" t="str">
        <f>VLOOKUP(C749,'13. CUSTOS DER - SERVIÇOS'!A:C,3,0)</f>
        <v>M3</v>
      </c>
      <c r="G749" s="24">
        <f>VLOOKUP(C749,'13. CUSTOS DER - SERVIÇOS'!A:G,7,0)</f>
        <v>307.27999999999997</v>
      </c>
      <c r="H749" s="24">
        <f>VLOOKUP(C749,'10. CCU TRANSPORTE'!B:J,9,0)</f>
        <v>60.91</v>
      </c>
      <c r="I749" s="25">
        <f>'3. BDI'!$C$19</f>
        <v>0.24666704095238123</v>
      </c>
      <c r="J749" s="24">
        <f t="shared" si="1198"/>
        <v>383.07</v>
      </c>
      <c r="K749" s="24">
        <f t="shared" si="1199"/>
        <v>75.930000000000007</v>
      </c>
      <c r="L749" s="24">
        <f t="shared" si="1200"/>
        <v>189263.39489999998</v>
      </c>
      <c r="M749" s="24">
        <f t="shared" si="1201"/>
        <v>37514.735100000005</v>
      </c>
      <c r="N749" s="24">
        <f t="shared" si="1202"/>
        <v>226778.13</v>
      </c>
      <c r="P749" s="24">
        <f>200.2/130</f>
        <v>1.5399999999999998</v>
      </c>
      <c r="Q749" s="24">
        <f t="shared" si="1203"/>
        <v>760.86</v>
      </c>
      <c r="R749" s="24">
        <f t="shared" si="1177"/>
        <v>948.53</v>
      </c>
      <c r="S749" s="24">
        <f t="shared" si="1178"/>
        <v>225829.6</v>
      </c>
    </row>
    <row r="750" spans="1:19" ht="31.5">
      <c r="A750" s="9" t="s">
        <v>23362</v>
      </c>
      <c r="B750" s="10" t="s">
        <v>22708</v>
      </c>
      <c r="C750" s="10">
        <v>4011538</v>
      </c>
      <c r="D750" s="43" t="str">
        <f>UPPER(VLOOKUP(C750,'18. CUSTOS DNIT - SERVIÇOS'!A:B,2,0))</f>
        <v>CURA COM PINTURA ASFÁLTICA PARA PAVIMENTO DE CONCRETO COMPACTADO COM ROLO</v>
      </c>
      <c r="E750" s="11">
        <v>3608.52</v>
      </c>
      <c r="F750" s="26" t="str">
        <f>UPPER((VLOOKUP(C750,'18. CUSTOS DNIT - SERVIÇOS'!A:C,3,0)))</f>
        <v>M²</v>
      </c>
      <c r="G750" s="24">
        <f>VLOOKUP(C750,'18. CUSTOS DNIT - SERVIÇOS'!A:D,4,0)</f>
        <v>0.16</v>
      </c>
      <c r="H750" s="24"/>
      <c r="I750" s="25">
        <f>'3. BDI'!$C$19</f>
        <v>0.24666704095238123</v>
      </c>
      <c r="J750" s="24">
        <f t="shared" si="1198"/>
        <v>0.19</v>
      </c>
      <c r="K750" s="24">
        <f t="shared" si="1199"/>
        <v>0</v>
      </c>
      <c r="L750" s="24">
        <f t="shared" si="1200"/>
        <v>685.61879999999996</v>
      </c>
      <c r="M750" s="24">
        <f t="shared" si="1201"/>
        <v>0</v>
      </c>
      <c r="N750" s="24">
        <f t="shared" si="1202"/>
        <v>685.61879999999996</v>
      </c>
      <c r="P750" s="24">
        <v>0</v>
      </c>
      <c r="Q750" s="24">
        <f>TRUNC((P750*E750),2)</f>
        <v>0</v>
      </c>
      <c r="R750" s="24">
        <f t="shared" si="1177"/>
        <v>0</v>
      </c>
      <c r="S750" s="24">
        <f t="shared" si="1178"/>
        <v>685.61879999999996</v>
      </c>
    </row>
    <row r="751" spans="1:19">
      <c r="A751" s="9" t="s">
        <v>23363</v>
      </c>
      <c r="B751" s="10" t="s">
        <v>358</v>
      </c>
      <c r="C751" s="10" t="s">
        <v>22740</v>
      </c>
      <c r="D751" s="43" t="str">
        <f>VLOOKUP(C751,'12. CCU - PAVIMENTAÇÃO'!A:B,2,0)</f>
        <v>VIGA DE CONCRETO 15X14CM, COM BARRA DE 12,5MM</v>
      </c>
      <c r="E751" s="11">
        <v>544.30999999999995</v>
      </c>
      <c r="F751" s="26" t="str">
        <f>VLOOKUP(C751,'12. CCU - PAVIMENTAÇÃO'!A:G,7,0)</f>
        <v>M</v>
      </c>
      <c r="G751" s="24">
        <f>VLOOKUP(C751,'12. CCU - PAVIMENTAÇÃO'!A:J,10,0)</f>
        <v>85.078390000000013</v>
      </c>
      <c r="H751" s="24">
        <v>0</v>
      </c>
      <c r="I751" s="25">
        <f>'3. BDI'!$C$19</f>
        <v>0.24666704095238123</v>
      </c>
      <c r="J751" s="24">
        <f t="shared" si="1198"/>
        <v>106.06</v>
      </c>
      <c r="K751" s="24">
        <f t="shared" si="1199"/>
        <v>0</v>
      </c>
      <c r="L751" s="24">
        <f t="shared" si="1200"/>
        <v>57729.518599999996</v>
      </c>
      <c r="M751" s="24">
        <f t="shared" si="1201"/>
        <v>0</v>
      </c>
      <c r="N751" s="24">
        <f t="shared" si="1202"/>
        <v>57729.518599999996</v>
      </c>
      <c r="P751" s="24">
        <v>15.59</v>
      </c>
      <c r="Q751" s="24">
        <f t="shared" ref="Q751:Q752" si="1204">P751*E751</f>
        <v>8485.7928999999986</v>
      </c>
      <c r="R751" s="24">
        <f t="shared" si="1177"/>
        <v>10578.95</v>
      </c>
      <c r="S751" s="24">
        <f t="shared" si="1178"/>
        <v>47150.568599999999</v>
      </c>
    </row>
    <row r="752" spans="1:19">
      <c r="A752" s="9" t="s">
        <v>23364</v>
      </c>
      <c r="B752" s="10" t="s">
        <v>358</v>
      </c>
      <c r="C752" s="10" t="s">
        <v>22742</v>
      </c>
      <c r="D752" s="43" t="str">
        <f>VLOOKUP(C752,'12. CCU - PAVIMENTAÇÃO'!A:B,2,0)</f>
        <v>GUIA DE CONTENÇÃO LATERAL</v>
      </c>
      <c r="E752" s="11">
        <v>2410.0500000000002</v>
      </c>
      <c r="F752" s="26" t="str">
        <f>VLOOKUP(C752,'12. CCU - PAVIMENTAÇÃO'!A:G,7,0)</f>
        <v>M</v>
      </c>
      <c r="G752" s="24">
        <f>VLOOKUP(C752,'12. CCU - PAVIMENTAÇÃO'!A:J,10,0)</f>
        <v>20.378</v>
      </c>
      <c r="H752" s="24">
        <v>0</v>
      </c>
      <c r="I752" s="25">
        <f>'3. BDI'!$C$19</f>
        <v>0.24666704095238123</v>
      </c>
      <c r="J752" s="24">
        <f t="shared" si="1198"/>
        <v>25.4</v>
      </c>
      <c r="K752" s="24">
        <f t="shared" si="1199"/>
        <v>0</v>
      </c>
      <c r="L752" s="24">
        <f t="shared" si="1200"/>
        <v>61215.270000000004</v>
      </c>
      <c r="M752" s="24">
        <f t="shared" si="1201"/>
        <v>0</v>
      </c>
      <c r="N752" s="24">
        <f t="shared" si="1202"/>
        <v>61215.270000000004</v>
      </c>
      <c r="P752" s="24">
        <v>2.61</v>
      </c>
      <c r="Q752" s="24">
        <f t="shared" si="1204"/>
        <v>6290.2305000000006</v>
      </c>
      <c r="R752" s="24">
        <f t="shared" si="1177"/>
        <v>7841.82</v>
      </c>
      <c r="S752" s="24">
        <f t="shared" si="1178"/>
        <v>53373.450000000004</v>
      </c>
    </row>
    <row r="753" spans="1:19">
      <c r="A753" s="9" t="s">
        <v>23365</v>
      </c>
      <c r="B753" s="10" t="s">
        <v>9016</v>
      </c>
      <c r="C753" s="10">
        <v>532500</v>
      </c>
      <c r="D753" s="43" t="str">
        <f>VLOOKUP(C753,'13. CUSTOS DER - SERVIÇOS'!A:B,2,0)</f>
        <v>COLCHÃO DE AREIA PARA PARALELEPÍPEDO</v>
      </c>
      <c r="E753" s="11">
        <v>127.79</v>
      </c>
      <c r="F753" s="26" t="str">
        <f>VLOOKUP(C753,'13. CUSTOS DER - SERVIÇOS'!A:C,3,0)</f>
        <v>M3</v>
      </c>
      <c r="G753" s="24">
        <f>VLOOKUP(C753,'13. CUSTOS DER - SERVIÇOS'!A:G,7,0)</f>
        <v>102.38</v>
      </c>
      <c r="H753" s="24">
        <f>VLOOKUP(C753,'10. CCU TRANSPORTE'!B:J,9,0)</f>
        <v>42.19</v>
      </c>
      <c r="I753" s="25">
        <f>'3. BDI'!$C$19</f>
        <v>0.24666704095238123</v>
      </c>
      <c r="J753" s="24">
        <f t="shared" si="1198"/>
        <v>127.63</v>
      </c>
      <c r="K753" s="24">
        <f t="shared" si="1199"/>
        <v>52.59</v>
      </c>
      <c r="L753" s="24">
        <f t="shared" si="1200"/>
        <v>16309.8377</v>
      </c>
      <c r="M753" s="24">
        <f t="shared" si="1201"/>
        <v>6720.4761000000008</v>
      </c>
      <c r="N753" s="24">
        <f t="shared" si="1202"/>
        <v>23030.3138</v>
      </c>
      <c r="P753" s="24">
        <f>19.73/1</f>
        <v>19.73</v>
      </c>
      <c r="Q753" s="24">
        <f>TRUNC(P753*E753,2)</f>
        <v>2521.29</v>
      </c>
      <c r="R753" s="24">
        <f t="shared" si="1177"/>
        <v>3143.2</v>
      </c>
      <c r="S753" s="24">
        <f t="shared" si="1178"/>
        <v>19887.113799999999</v>
      </c>
    </row>
    <row r="754" spans="1:19" ht="31.5">
      <c r="A754" s="9" t="s">
        <v>23725</v>
      </c>
      <c r="B754" s="10" t="s">
        <v>9008</v>
      </c>
      <c r="C754" s="10">
        <v>92400</v>
      </c>
      <c r="D754" s="445" t="str">
        <f>VLOOKUP(C754,'21. CUSTOS SINAPI - SERVIÇOS'!A:B,2,0)</f>
        <v>EXECUÇÃO DE PAVIMENTO EM PISO INTERTRAVADO, COM BLOCO RETANGULAR DE 20 X 10 CM, ESPESSURA 10 CM. AF_10/2022</v>
      </c>
      <c r="E754" s="11">
        <v>3194.91</v>
      </c>
      <c r="F754" s="26" t="str">
        <f>VLOOKUP(C754,'21. CUSTOS SINAPI - SERVIÇOS'!A:C,3,0)</f>
        <v>M2</v>
      </c>
      <c r="G754" s="24">
        <f>VLOOKUP(C754,'21. CUSTOS SINAPI - SERVIÇOS'!A:D,4,0)</f>
        <v>75.31</v>
      </c>
      <c r="H754" s="24">
        <v>0</v>
      </c>
      <c r="I754" s="25">
        <f>'3. BDI'!$C$19</f>
        <v>0.24666704095238123</v>
      </c>
      <c r="J754" s="24">
        <f t="shared" si="1198"/>
        <v>93.88</v>
      </c>
      <c r="K754" s="24">
        <f t="shared" si="1199"/>
        <v>0</v>
      </c>
      <c r="L754" s="24">
        <f t="shared" si="1200"/>
        <v>299938.15079999994</v>
      </c>
      <c r="M754" s="24">
        <f t="shared" si="1201"/>
        <v>0</v>
      </c>
      <c r="N754" s="24">
        <f t="shared" si="1202"/>
        <v>299938.15079999994</v>
      </c>
      <c r="P754" s="24">
        <v>12.39</v>
      </c>
      <c r="Q754" s="24">
        <f>TRUNC((P754*E754),2)</f>
        <v>39584.93</v>
      </c>
      <c r="R754" s="24">
        <f t="shared" si="1177"/>
        <v>49349.22</v>
      </c>
      <c r="S754" s="24">
        <f t="shared" si="1178"/>
        <v>250588.93079999994</v>
      </c>
    </row>
    <row r="755" spans="1:19">
      <c r="A755" s="310" t="s">
        <v>342</v>
      </c>
      <c r="B755" s="311"/>
      <c r="C755" s="315"/>
      <c r="D755" s="317" t="s">
        <v>37</v>
      </c>
      <c r="E755" s="314"/>
      <c r="F755" s="315" t="s">
        <v>195</v>
      </c>
      <c r="G755" s="314"/>
      <c r="H755" s="314"/>
      <c r="I755" s="316"/>
      <c r="J755" s="314"/>
      <c r="K755" s="314"/>
      <c r="L755" s="314">
        <f t="shared" ref="L755:M755" si="1205">L756+L758+L760+L764</f>
        <v>476687.19130000006</v>
      </c>
      <c r="M755" s="314">
        <f t="shared" si="1205"/>
        <v>0</v>
      </c>
      <c r="N755" s="314">
        <f>N756+N758+N760+N764</f>
        <v>476687.19130000006</v>
      </c>
      <c r="P755" s="314">
        <f t="shared" ref="P755:S755" si="1206">P756+P758+P760+P764</f>
        <v>0</v>
      </c>
      <c r="Q755" s="314">
        <f t="shared" si="1206"/>
        <v>0</v>
      </c>
      <c r="R755" s="314">
        <f t="shared" si="1206"/>
        <v>0</v>
      </c>
      <c r="S755" s="314">
        <f t="shared" si="1206"/>
        <v>476687.19130000006</v>
      </c>
    </row>
    <row r="756" spans="1:19">
      <c r="A756" s="28" t="s">
        <v>22903</v>
      </c>
      <c r="B756" s="48"/>
      <c r="C756" s="29"/>
      <c r="D756" s="301" t="s">
        <v>22841</v>
      </c>
      <c r="E756" s="30"/>
      <c r="F756" s="29" t="s">
        <v>195</v>
      </c>
      <c r="G756" s="30"/>
      <c r="H756" s="30"/>
      <c r="I756" s="31"/>
      <c r="J756" s="30"/>
      <c r="K756" s="30"/>
      <c r="L756" s="30">
        <f t="shared" ref="L756:M756" si="1207">L757</f>
        <v>106857.08530000001</v>
      </c>
      <c r="M756" s="30">
        <f t="shared" si="1207"/>
        <v>0</v>
      </c>
      <c r="N756" s="30">
        <f>N757</f>
        <v>106857.08530000001</v>
      </c>
      <c r="P756" s="30">
        <f t="shared" ref="P756:S756" si="1208">P757</f>
        <v>0</v>
      </c>
      <c r="Q756" s="30">
        <f t="shared" si="1208"/>
        <v>0</v>
      </c>
      <c r="R756" s="30">
        <f t="shared" si="1208"/>
        <v>0</v>
      </c>
      <c r="S756" s="30">
        <f t="shared" si="1208"/>
        <v>106857.08530000001</v>
      </c>
    </row>
    <row r="757" spans="1:19">
      <c r="A757" s="9" t="s">
        <v>23366</v>
      </c>
      <c r="B757" s="10" t="s">
        <v>9016</v>
      </c>
      <c r="C757" s="14">
        <v>589220</v>
      </c>
      <c r="D757" s="43" t="str">
        <f>VLOOKUP(C757,'13. CUSTOS DER - SERVIÇOS'!A:B,2,0)</f>
        <v>FORNECIMENTO DE EMULSÃO ASFÁLTICA RM-1C</v>
      </c>
      <c r="E757" s="11">
        <v>22.67</v>
      </c>
      <c r="F757" s="26" t="str">
        <f>VLOOKUP(C757,'13. CUSTOS DER - SERVIÇOS'!A:C,3,0)</f>
        <v>T</v>
      </c>
      <c r="G757" s="24">
        <f>VLOOKUP(C757,'13. CUSTOS DER - SERVIÇOS'!A:G,7,0)</f>
        <v>4110.6899999999996</v>
      </c>
      <c r="H757" s="24">
        <v>0</v>
      </c>
      <c r="I757" s="25">
        <f>'3. BDI'!$C$40</f>
        <v>0.14666704095238123</v>
      </c>
      <c r="J757" s="24">
        <f t="shared" ref="J757" si="1209">TRUNC(G757+(G757*I757),2)</f>
        <v>4713.59</v>
      </c>
      <c r="K757" s="24">
        <f t="shared" ref="K757" si="1210">TRUNC(H757+(H757*I757),2)</f>
        <v>0</v>
      </c>
      <c r="L757" s="24">
        <f t="shared" ref="L757" si="1211">J757*E757</f>
        <v>106857.08530000001</v>
      </c>
      <c r="M757" s="24">
        <f t="shared" ref="M757" si="1212">K757*E757</f>
        <v>0</v>
      </c>
      <c r="N757" s="24">
        <f t="shared" ref="N757" si="1213">L757+M757</f>
        <v>106857.08530000001</v>
      </c>
      <c r="P757" s="24">
        <v>0</v>
      </c>
      <c r="Q757" s="24">
        <f>TRUNC(P757*E757,2)</f>
        <v>0</v>
      </c>
      <c r="R757" s="24">
        <f>TRUNC((Q757*I757+Q757),2)</f>
        <v>0</v>
      </c>
      <c r="S757" s="24">
        <f>N757-R757</f>
        <v>106857.08530000001</v>
      </c>
    </row>
    <row r="758" spans="1:19">
      <c r="A758" s="28" t="s">
        <v>22904</v>
      </c>
      <c r="B758" s="48"/>
      <c r="C758" s="29"/>
      <c r="D758" s="301" t="s">
        <v>22843</v>
      </c>
      <c r="E758" s="30"/>
      <c r="F758" s="29" t="s">
        <v>195</v>
      </c>
      <c r="G758" s="30"/>
      <c r="H758" s="30"/>
      <c r="I758" s="31"/>
      <c r="J758" s="30"/>
      <c r="K758" s="30"/>
      <c r="L758" s="30">
        <f t="shared" ref="L758:M758" si="1214">L759</f>
        <v>124155.96060000001</v>
      </c>
      <c r="M758" s="30">
        <f t="shared" si="1214"/>
        <v>0</v>
      </c>
      <c r="N758" s="30">
        <f>N759</f>
        <v>124155.96060000001</v>
      </c>
      <c r="P758" s="30">
        <f t="shared" ref="P758:S758" si="1215">P759</f>
        <v>0</v>
      </c>
      <c r="Q758" s="30">
        <f t="shared" si="1215"/>
        <v>0</v>
      </c>
      <c r="R758" s="30">
        <f t="shared" si="1215"/>
        <v>0</v>
      </c>
      <c r="S758" s="30">
        <f t="shared" si="1215"/>
        <v>124155.96060000001</v>
      </c>
    </row>
    <row r="759" spans="1:19">
      <c r="A759" s="9" t="s">
        <v>23367</v>
      </c>
      <c r="B759" s="10" t="s">
        <v>9016</v>
      </c>
      <c r="C759" s="14">
        <v>589220</v>
      </c>
      <c r="D759" s="43" t="str">
        <f>VLOOKUP(C759,'13. CUSTOS DER - SERVIÇOS'!A:B,2,0)</f>
        <v>FORNECIMENTO DE EMULSÃO ASFÁLTICA RM-1C</v>
      </c>
      <c r="E759" s="11">
        <v>26.34</v>
      </c>
      <c r="F759" s="26" t="str">
        <f>VLOOKUP(C759,'13. CUSTOS DER - SERVIÇOS'!A:C,3,0)</f>
        <v>T</v>
      </c>
      <c r="G759" s="24">
        <f>VLOOKUP(C759,'13. CUSTOS DER - SERVIÇOS'!A:G,7,0)</f>
        <v>4110.6899999999996</v>
      </c>
      <c r="H759" s="24">
        <v>0</v>
      </c>
      <c r="I759" s="25">
        <f>'3. BDI'!$C$40</f>
        <v>0.14666704095238123</v>
      </c>
      <c r="J759" s="24">
        <f t="shared" ref="J759" si="1216">TRUNC(G759+(G759*I759),2)</f>
        <v>4713.59</v>
      </c>
      <c r="K759" s="24">
        <f t="shared" ref="K759" si="1217">TRUNC(H759+(H759*I759),2)</f>
        <v>0</v>
      </c>
      <c r="L759" s="24">
        <f t="shared" ref="L759" si="1218">J759*E759</f>
        <v>124155.96060000001</v>
      </c>
      <c r="M759" s="24">
        <f t="shared" ref="M759" si="1219">K759*E759</f>
        <v>0</v>
      </c>
      <c r="N759" s="24">
        <f t="shared" ref="N759" si="1220">L759+M759</f>
        <v>124155.96060000001</v>
      </c>
      <c r="P759" s="24">
        <v>0</v>
      </c>
      <c r="Q759" s="24">
        <f>TRUNC(P759*E759,2)</f>
        <v>0</v>
      </c>
      <c r="R759" s="24">
        <f>TRUNC((Q759*I759+Q759),2)</f>
        <v>0</v>
      </c>
      <c r="S759" s="24">
        <f>N759-R759</f>
        <v>124155.96060000001</v>
      </c>
    </row>
    <row r="760" spans="1:19">
      <c r="A760" s="28" t="s">
        <v>22905</v>
      </c>
      <c r="B760" s="48"/>
      <c r="C760" s="29"/>
      <c r="D760" s="301" t="s">
        <v>22844</v>
      </c>
      <c r="E760" s="30"/>
      <c r="F760" s="29" t="s">
        <v>195</v>
      </c>
      <c r="G760" s="30"/>
      <c r="H760" s="30"/>
      <c r="I760" s="31"/>
      <c r="J760" s="30"/>
      <c r="K760" s="30"/>
      <c r="L760" s="30">
        <f t="shared" ref="L760:M760" si="1221">SUM(L761:L763)</f>
        <v>20930.174200000001</v>
      </c>
      <c r="M760" s="30">
        <f t="shared" si="1221"/>
        <v>0</v>
      </c>
      <c r="N760" s="30">
        <f>SUM(N761:N763)</f>
        <v>20930.174200000001</v>
      </c>
      <c r="P760" s="30">
        <f t="shared" ref="P760:S760" si="1222">SUM(P761:P763)</f>
        <v>0</v>
      </c>
      <c r="Q760" s="30">
        <f t="shared" si="1222"/>
        <v>0</v>
      </c>
      <c r="R760" s="30">
        <f t="shared" si="1222"/>
        <v>0</v>
      </c>
      <c r="S760" s="30">
        <f t="shared" si="1222"/>
        <v>20930.174200000001</v>
      </c>
    </row>
    <row r="761" spans="1:19">
      <c r="A761" s="9" t="s">
        <v>23368</v>
      </c>
      <c r="B761" s="10" t="s">
        <v>9016</v>
      </c>
      <c r="C761" s="14">
        <v>589190</v>
      </c>
      <c r="D761" s="43" t="str">
        <f>VLOOKUP(C761,'13. CUSTOS DER - SERVIÇOS'!A:B,2,0)</f>
        <v>FORNECIMENTO DE EMULSÃO ASFÁLTICA EAI P/IMPRIMAÇÃO</v>
      </c>
      <c r="E761" s="11">
        <v>0.49</v>
      </c>
      <c r="F761" s="26" t="str">
        <f>VLOOKUP(C761,'13. CUSTOS DER - SERVIÇOS'!A:C,3,0)</f>
        <v>T</v>
      </c>
      <c r="G761" s="24">
        <f>VLOOKUP(C761,'13. CUSTOS DER - SERVIÇOS'!A:G,7,0)</f>
        <v>4730.97</v>
      </c>
      <c r="H761" s="24">
        <v>0</v>
      </c>
      <c r="I761" s="25">
        <f>'3. BDI'!$C$40</f>
        <v>0.14666704095238123</v>
      </c>
      <c r="J761" s="24">
        <f t="shared" ref="J761:J763" si="1223">TRUNC(G761+(G761*I761),2)</f>
        <v>5424.84</v>
      </c>
      <c r="K761" s="24">
        <f t="shared" ref="K761:K763" si="1224">TRUNC(H761+(H761*I761),2)</f>
        <v>0</v>
      </c>
      <c r="L761" s="24">
        <f t="shared" ref="L761:L763" si="1225">J761*E761</f>
        <v>2658.1716000000001</v>
      </c>
      <c r="M761" s="24">
        <f t="shared" ref="M761:M763" si="1226">K761*E761</f>
        <v>0</v>
      </c>
      <c r="N761" s="24">
        <f t="shared" ref="N761:N763" si="1227">L761+M761</f>
        <v>2658.1716000000001</v>
      </c>
      <c r="P761" s="24">
        <v>0</v>
      </c>
      <c r="Q761" s="24">
        <f t="shared" ref="Q761:Q763" si="1228">TRUNC(P761*E761,2)</f>
        <v>0</v>
      </c>
      <c r="R761" s="24">
        <f>TRUNC((Q761*I761+Q761),2)</f>
        <v>0</v>
      </c>
      <c r="S761" s="24">
        <f>N761-R761</f>
        <v>2658.1716000000001</v>
      </c>
    </row>
    <row r="762" spans="1:19">
      <c r="A762" s="9" t="s">
        <v>23369</v>
      </c>
      <c r="B762" s="10" t="s">
        <v>9016</v>
      </c>
      <c r="C762" s="14">
        <v>589420</v>
      </c>
      <c r="D762" s="43" t="str">
        <f>VLOOKUP(C762,'13. CUSTOS DER - SERVIÇOS'!A:B,2,0)</f>
        <v>FORNECIMENTO DE EMULSÃO ASFÁLTICA RR-1C</v>
      </c>
      <c r="E762" s="11">
        <v>0.2</v>
      </c>
      <c r="F762" s="26" t="str">
        <f>VLOOKUP(C762,'13. CUSTOS DER - SERVIÇOS'!A:C,3,0)</f>
        <v>T</v>
      </c>
      <c r="G762" s="24">
        <f>VLOOKUP(C762,'13. CUSTOS DER - SERVIÇOS'!A:G,7,0)</f>
        <v>3861.37</v>
      </c>
      <c r="H762" s="24">
        <v>0</v>
      </c>
      <c r="I762" s="25">
        <f>'3. BDI'!$C$40</f>
        <v>0.14666704095238123</v>
      </c>
      <c r="J762" s="24">
        <f t="shared" si="1223"/>
        <v>4427.7</v>
      </c>
      <c r="K762" s="24">
        <f t="shared" si="1224"/>
        <v>0</v>
      </c>
      <c r="L762" s="24">
        <f t="shared" si="1225"/>
        <v>885.54</v>
      </c>
      <c r="M762" s="24">
        <f t="shared" si="1226"/>
        <v>0</v>
      </c>
      <c r="N762" s="24">
        <f t="shared" si="1227"/>
        <v>885.54</v>
      </c>
      <c r="P762" s="24">
        <v>0</v>
      </c>
      <c r="Q762" s="24">
        <f t="shared" si="1228"/>
        <v>0</v>
      </c>
      <c r="R762" s="24">
        <f>TRUNC((Q762*I762+Q762),2)</f>
        <v>0</v>
      </c>
      <c r="S762" s="24">
        <f>N762-R762</f>
        <v>885.54</v>
      </c>
    </row>
    <row r="763" spans="1:19">
      <c r="A763" s="9" t="s">
        <v>23370</v>
      </c>
      <c r="B763" s="10" t="s">
        <v>9016</v>
      </c>
      <c r="C763" s="14">
        <v>589000</v>
      </c>
      <c r="D763" s="43" t="str">
        <f>VLOOKUP(C763,'13. CUSTOS DER - SERVIÇOS'!A:B,2,0)</f>
        <v>FORNECIMENTO DE CAP-50/70</v>
      </c>
      <c r="E763" s="11">
        <v>3.14</v>
      </c>
      <c r="F763" s="26" t="str">
        <f>VLOOKUP(C763,'13. CUSTOS DER - SERVIÇOS'!A:C,3,0)</f>
        <v>T</v>
      </c>
      <c r="G763" s="24">
        <f>VLOOKUP(C763,'13. CUSTOS DER - SERVIÇOS'!A:G,7,0)</f>
        <v>4828.8599999999997</v>
      </c>
      <c r="H763" s="24">
        <v>0</v>
      </c>
      <c r="I763" s="25">
        <f>'3. BDI'!$C$40</f>
        <v>0.14666704095238123</v>
      </c>
      <c r="J763" s="24">
        <f t="shared" si="1223"/>
        <v>5537.09</v>
      </c>
      <c r="K763" s="24">
        <f t="shared" si="1224"/>
        <v>0</v>
      </c>
      <c r="L763" s="24">
        <f t="shared" si="1225"/>
        <v>17386.462600000003</v>
      </c>
      <c r="M763" s="24">
        <f t="shared" si="1226"/>
        <v>0</v>
      </c>
      <c r="N763" s="24">
        <f t="shared" si="1227"/>
        <v>17386.462600000003</v>
      </c>
      <c r="P763" s="24">
        <v>0</v>
      </c>
      <c r="Q763" s="24">
        <f t="shared" si="1228"/>
        <v>0</v>
      </c>
      <c r="R763" s="24">
        <f>TRUNC((Q763*I763+Q763),2)</f>
        <v>0</v>
      </c>
      <c r="S763" s="24">
        <f>N763-R763</f>
        <v>17386.462600000003</v>
      </c>
    </row>
    <row r="764" spans="1:19">
      <c r="A764" s="28" t="s">
        <v>22906</v>
      </c>
      <c r="B764" s="48"/>
      <c r="C764" s="29"/>
      <c r="D764" s="301" t="s">
        <v>22845</v>
      </c>
      <c r="E764" s="30"/>
      <c r="F764" s="29" t="s">
        <v>195</v>
      </c>
      <c r="G764" s="30"/>
      <c r="H764" s="30"/>
      <c r="I764" s="31"/>
      <c r="J764" s="30"/>
      <c r="K764" s="30"/>
      <c r="L764" s="30">
        <f t="shared" ref="L764:M764" si="1229">L765</f>
        <v>224743.9712</v>
      </c>
      <c r="M764" s="30">
        <f t="shared" si="1229"/>
        <v>0</v>
      </c>
      <c r="N764" s="30">
        <f>N765</f>
        <v>224743.9712</v>
      </c>
      <c r="P764" s="30">
        <f t="shared" ref="P764:S764" si="1230">P765</f>
        <v>0</v>
      </c>
      <c r="Q764" s="30">
        <f t="shared" si="1230"/>
        <v>0</v>
      </c>
      <c r="R764" s="30">
        <f t="shared" si="1230"/>
        <v>0</v>
      </c>
      <c r="S764" s="30">
        <f t="shared" si="1230"/>
        <v>224743.9712</v>
      </c>
    </row>
    <row r="765" spans="1:19">
      <c r="A765" s="9" t="s">
        <v>23371</v>
      </c>
      <c r="B765" s="10" t="s">
        <v>9016</v>
      </c>
      <c r="C765" s="14">
        <v>589220</v>
      </c>
      <c r="D765" s="43" t="str">
        <f>VLOOKUP(C765,'13. CUSTOS DER - SERVIÇOS'!A:B,2,0)</f>
        <v>FORNECIMENTO DE EMULSÃO ASFÁLTICA RM-1C</v>
      </c>
      <c r="E765" s="11">
        <v>47.68</v>
      </c>
      <c r="F765" s="26" t="str">
        <f>VLOOKUP(C765,'13. CUSTOS DER - SERVIÇOS'!A:C,3,0)</f>
        <v>T</v>
      </c>
      <c r="G765" s="24">
        <f>VLOOKUP(C765,'13. CUSTOS DER - SERVIÇOS'!A:G,7,0)</f>
        <v>4110.6899999999996</v>
      </c>
      <c r="H765" s="24">
        <v>0</v>
      </c>
      <c r="I765" s="25">
        <f>'3. BDI'!$C$40</f>
        <v>0.14666704095238123</v>
      </c>
      <c r="J765" s="24">
        <f t="shared" ref="J765" si="1231">TRUNC(G765+(G765*I765),2)</f>
        <v>4713.59</v>
      </c>
      <c r="K765" s="24">
        <f t="shared" ref="K765" si="1232">TRUNC(H765+(H765*I765),2)</f>
        <v>0</v>
      </c>
      <c r="L765" s="24">
        <f t="shared" ref="L765" si="1233">J765*E765</f>
        <v>224743.9712</v>
      </c>
      <c r="M765" s="24">
        <f t="shared" ref="M765" si="1234">K765*E765</f>
        <v>0</v>
      </c>
      <c r="N765" s="24">
        <f t="shared" ref="N765" si="1235">L765+M765</f>
        <v>224743.9712</v>
      </c>
      <c r="P765" s="24">
        <v>0</v>
      </c>
      <c r="Q765" s="24">
        <f>TRUNC(P765*E765,2)</f>
        <v>0</v>
      </c>
      <c r="R765" s="24">
        <f>TRUNC((Q765*I765+Q765),2)</f>
        <v>0</v>
      </c>
      <c r="S765" s="24">
        <f>N765-R765</f>
        <v>224743.9712</v>
      </c>
    </row>
    <row r="766" spans="1:19">
      <c r="A766" s="310" t="s">
        <v>343</v>
      </c>
      <c r="B766" s="311"/>
      <c r="C766" s="315"/>
      <c r="D766" s="317" t="s">
        <v>22873</v>
      </c>
      <c r="E766" s="314"/>
      <c r="F766" s="315" t="s">
        <v>195</v>
      </c>
      <c r="G766" s="314"/>
      <c r="H766" s="314"/>
      <c r="I766" s="316"/>
      <c r="J766" s="314"/>
      <c r="K766" s="314"/>
      <c r="L766" s="314">
        <f t="shared" ref="L766:M766" si="1236">L767</f>
        <v>563823.98</v>
      </c>
      <c r="M766" s="314">
        <f t="shared" si="1236"/>
        <v>51581.518800000013</v>
      </c>
      <c r="N766" s="314">
        <f>N767</f>
        <v>615405.49879999994</v>
      </c>
      <c r="P766" s="314">
        <f t="shared" ref="P766:S766" si="1237">P767</f>
        <v>275.09606061912928</v>
      </c>
      <c r="Q766" s="314">
        <f t="shared" si="1237"/>
        <v>58944.009175887557</v>
      </c>
      <c r="R766" s="314">
        <f t="shared" si="1237"/>
        <v>73483.47</v>
      </c>
      <c r="S766" s="314">
        <f t="shared" si="1237"/>
        <v>541922.02879999997</v>
      </c>
    </row>
    <row r="767" spans="1:19">
      <c r="A767" s="28" t="s">
        <v>22907</v>
      </c>
      <c r="B767" s="48"/>
      <c r="C767" s="29"/>
      <c r="D767" s="301" t="s">
        <v>22841</v>
      </c>
      <c r="E767" s="30"/>
      <c r="F767" s="29" t="s">
        <v>195</v>
      </c>
      <c r="G767" s="30"/>
      <c r="H767" s="30"/>
      <c r="I767" s="31"/>
      <c r="J767" s="30"/>
      <c r="K767" s="30"/>
      <c r="L767" s="30">
        <f t="shared" ref="L767:M767" si="1238">SUM(L768:L783)</f>
        <v>563823.98</v>
      </c>
      <c r="M767" s="30">
        <f t="shared" si="1238"/>
        <v>51581.518800000013</v>
      </c>
      <c r="N767" s="30">
        <f>SUM(N768:N783)</f>
        <v>615405.49879999994</v>
      </c>
      <c r="P767" s="30">
        <f t="shared" ref="P767:S767" si="1239">SUM(P768:P783)</f>
        <v>275.09606061912928</v>
      </c>
      <c r="Q767" s="30">
        <f t="shared" si="1239"/>
        <v>58944.009175887557</v>
      </c>
      <c r="R767" s="30">
        <f t="shared" si="1239"/>
        <v>73483.47</v>
      </c>
      <c r="S767" s="30">
        <f t="shared" si="1239"/>
        <v>541922.02879999997</v>
      </c>
    </row>
    <row r="768" spans="1:19">
      <c r="A768" s="9"/>
      <c r="B768" s="10"/>
      <c r="C768" s="12"/>
      <c r="D768" s="383" t="s">
        <v>22871</v>
      </c>
      <c r="E768" s="11"/>
      <c r="F768" s="26"/>
      <c r="G768" s="24"/>
      <c r="H768" s="24"/>
      <c r="I768" s="25"/>
      <c r="J768" s="24"/>
      <c r="K768" s="24"/>
      <c r="L768" s="24"/>
      <c r="M768" s="24"/>
      <c r="N768" s="24"/>
      <c r="P768" s="24"/>
      <c r="Q768" s="24"/>
      <c r="R768" s="24">
        <f t="shared" ref="R768:R783" si="1240">TRUNC((Q768*I768+Q768),2)</f>
        <v>0</v>
      </c>
      <c r="S768" s="24">
        <f t="shared" ref="S768:S783" si="1241">N768-R768</f>
        <v>0</v>
      </c>
    </row>
    <row r="769" spans="1:19">
      <c r="A769" s="9" t="s">
        <v>23372</v>
      </c>
      <c r="B769" s="10" t="s">
        <v>9016</v>
      </c>
      <c r="C769" s="14">
        <v>410200</v>
      </c>
      <c r="D769" s="43" t="str">
        <f>VLOOKUP(C769,'13. CUSTOS DER - SERVIÇOS'!A:B,2,0)</f>
        <v>ESC. CARGA E TRANSP. 1A. CAT.     0-200M</v>
      </c>
      <c r="E769" s="11">
        <v>226.77</v>
      </c>
      <c r="F769" s="26" t="str">
        <f>VLOOKUP(C769,'13. CUSTOS DER - SERVIÇOS'!A:C,3,0)</f>
        <v>M3</v>
      </c>
      <c r="G769" s="24">
        <f>VLOOKUP(C769,'13. CUSTOS DER - SERVIÇOS'!A:G,7,0)</f>
        <v>8.33</v>
      </c>
      <c r="H769" s="24">
        <v>0</v>
      </c>
      <c r="I769" s="25">
        <f>'3. BDI'!$C$19</f>
        <v>0.24666704095238123</v>
      </c>
      <c r="J769" s="24">
        <f>TRUNC(G769+(G769*I769),2)</f>
        <v>10.38</v>
      </c>
      <c r="K769" s="24">
        <f>TRUNC(H769+(H769*I769),2)</f>
        <v>0</v>
      </c>
      <c r="L769" s="24">
        <f>J769*E769</f>
        <v>2353.8726000000001</v>
      </c>
      <c r="M769" s="24">
        <f>K769*E769</f>
        <v>0</v>
      </c>
      <c r="N769" s="24">
        <f>L769+M769</f>
        <v>2353.8726000000001</v>
      </c>
      <c r="P769" s="24">
        <f>180.91/129.03</f>
        <v>1.4020770363481361</v>
      </c>
      <c r="Q769" s="24">
        <f>TRUNC(P769*E769,2)</f>
        <v>317.94</v>
      </c>
      <c r="R769" s="24">
        <f t="shared" si="1240"/>
        <v>396.36</v>
      </c>
      <c r="S769" s="24">
        <f t="shared" si="1241"/>
        <v>1957.5126</v>
      </c>
    </row>
    <row r="770" spans="1:19">
      <c r="A770" s="9" t="s">
        <v>23373</v>
      </c>
      <c r="B770" s="10" t="s">
        <v>358</v>
      </c>
      <c r="C770" s="10" t="s">
        <v>22636</v>
      </c>
      <c r="D770" s="43" t="s">
        <v>211</v>
      </c>
      <c r="E770" s="11">
        <v>153.81</v>
      </c>
      <c r="F770" s="13" t="s">
        <v>326</v>
      </c>
      <c r="G770" s="24">
        <f>VLOOKUP(C770,'9. CCU''S GERAIS AMEP'!A:K,11,0)</f>
        <v>27.468131442300237</v>
      </c>
      <c r="H770" s="24">
        <f>VLOOKUP(C770,'10. CCU TRANSPORTE'!B:J,9,0)</f>
        <v>36.69</v>
      </c>
      <c r="I770" s="25">
        <f>'3. BDI'!$C$19</f>
        <v>0.24666704095238123</v>
      </c>
      <c r="J770" s="24">
        <f>TRUNC(G770+(G770*I770),2)</f>
        <v>34.24</v>
      </c>
      <c r="K770" s="24">
        <f>TRUNC(H770+(H770*I770),2)</f>
        <v>45.74</v>
      </c>
      <c r="L770" s="24">
        <f>J770*E770</f>
        <v>5266.4544000000005</v>
      </c>
      <c r="M770" s="24">
        <f>K770*E770</f>
        <v>7035.2694000000001</v>
      </c>
      <c r="N770" s="24">
        <f>L770+M770</f>
        <v>12301.7238</v>
      </c>
      <c r="P770" s="24">
        <f>180.91/129.03</f>
        <v>1.4020770363481361</v>
      </c>
      <c r="Q770" s="24">
        <f t="shared" ref="Q770" si="1242">P770*E770</f>
        <v>215.65346896070682</v>
      </c>
      <c r="R770" s="24">
        <f t="shared" si="1240"/>
        <v>268.83999999999997</v>
      </c>
      <c r="S770" s="24">
        <f t="shared" si="1241"/>
        <v>12032.8838</v>
      </c>
    </row>
    <row r="771" spans="1:19">
      <c r="A771" s="9" t="s">
        <v>23374</v>
      </c>
      <c r="B771" s="10" t="s">
        <v>9016</v>
      </c>
      <c r="C771" s="14">
        <v>404300</v>
      </c>
      <c r="D771" s="43" t="str">
        <f>VLOOKUP(C771,'13. CUSTOS DER - SERVIÇOS'!A:B,2,0)</f>
        <v>ESPALHAMENTO E CONFORMAÇÃO DE BOTA-FORA</v>
      </c>
      <c r="E771" s="11">
        <v>153.81</v>
      </c>
      <c r="F771" s="26" t="str">
        <f>VLOOKUP(C771,'13. CUSTOS DER - SERVIÇOS'!A:C,3,0)</f>
        <v>M3</v>
      </c>
      <c r="G771" s="24">
        <f>VLOOKUP(C771,'13. CUSTOS DER - SERVIÇOS'!A:G,7,0)</f>
        <v>0.79</v>
      </c>
      <c r="H771" s="24">
        <v>0</v>
      </c>
      <c r="I771" s="25">
        <f>'3. BDI'!$C$19</f>
        <v>0.24666704095238123</v>
      </c>
      <c r="J771" s="24">
        <f t="shared" ref="J771" si="1243">TRUNC(G771+(G771*I771),2)</f>
        <v>0.98</v>
      </c>
      <c r="K771" s="24">
        <f t="shared" ref="K771" si="1244">TRUNC(H771+(H771*I771),2)</f>
        <v>0</v>
      </c>
      <c r="L771" s="24">
        <f t="shared" ref="L771" si="1245">J771*E771</f>
        <v>150.7338</v>
      </c>
      <c r="M771" s="24">
        <f t="shared" ref="M771" si="1246">K771*E771</f>
        <v>0</v>
      </c>
      <c r="N771" s="24">
        <f t="shared" ref="N771" si="1247">L771+M771</f>
        <v>150.7338</v>
      </c>
      <c r="P771" s="24">
        <f>31.46/574.08</f>
        <v>5.480072463768116E-2</v>
      </c>
      <c r="Q771" s="24">
        <f>TRUNC(P771*E771,2)</f>
        <v>8.42</v>
      </c>
      <c r="R771" s="24">
        <f t="shared" si="1240"/>
        <v>10.49</v>
      </c>
      <c r="S771" s="24">
        <f t="shared" si="1241"/>
        <v>140.24379999999999</v>
      </c>
    </row>
    <row r="772" spans="1:19" ht="31.5">
      <c r="A772" s="9" t="s">
        <v>23375</v>
      </c>
      <c r="B772" s="10" t="s">
        <v>358</v>
      </c>
      <c r="C772" s="10" t="s">
        <v>22655</v>
      </c>
      <c r="D772" s="43" t="s">
        <v>280</v>
      </c>
      <c r="E772" s="11">
        <v>97.98</v>
      </c>
      <c r="F772" s="13" t="s">
        <v>326</v>
      </c>
      <c r="G772" s="24">
        <f>VLOOKUP(C772,'9. CCU''S GERAIS AMEP'!A:K,11,0)</f>
        <v>89.188018348623856</v>
      </c>
      <c r="H772" s="24">
        <f>VLOOKUP(C772,'10. CCU TRANSPORTE'!B:J,9,0)</f>
        <v>22.18</v>
      </c>
      <c r="I772" s="25">
        <f>'3. BDI'!$C$19</f>
        <v>0.24666704095238123</v>
      </c>
      <c r="J772" s="24">
        <f>TRUNC(G772+(G772*I772),2)</f>
        <v>111.18</v>
      </c>
      <c r="K772" s="24">
        <f>TRUNC(H772+(H772*I772),2)</f>
        <v>27.65</v>
      </c>
      <c r="L772" s="24">
        <f>J772*E772</f>
        <v>10893.416400000002</v>
      </c>
      <c r="M772" s="24">
        <f>K772*E772</f>
        <v>2709.1469999999999</v>
      </c>
      <c r="N772" s="24">
        <f>L772+M772</f>
        <v>13602.563400000003</v>
      </c>
      <c r="P772" s="24">
        <f>244.55/109</f>
        <v>2.2435779816513763</v>
      </c>
      <c r="Q772" s="24">
        <f t="shared" ref="Q772" si="1248">P772*E772</f>
        <v>219.82577064220186</v>
      </c>
      <c r="R772" s="24">
        <f t="shared" si="1240"/>
        <v>274.04000000000002</v>
      </c>
      <c r="S772" s="24">
        <f t="shared" si="1241"/>
        <v>13328.523400000002</v>
      </c>
    </row>
    <row r="773" spans="1:19">
      <c r="A773" s="9" t="s">
        <v>23376</v>
      </c>
      <c r="B773" s="10" t="s">
        <v>9016</v>
      </c>
      <c r="C773" s="14">
        <v>860023</v>
      </c>
      <c r="D773" s="43" t="str">
        <f>VLOOKUP(C773,'13. CUSTOS DER - SERVIÇOS'!A:B,2,0)</f>
        <v>GABIÃO TIPO COLCHÃO ZN/AL + PVC E=0,23M (NBR 8964)</v>
      </c>
      <c r="E773" s="11">
        <v>40</v>
      </c>
      <c r="F773" s="26" t="str">
        <f>VLOOKUP(C773,'13. CUSTOS DER - SERVIÇOS'!A:C,3,0)</f>
        <v>M2</v>
      </c>
      <c r="G773" s="24">
        <f>VLOOKUP(C773,'13. CUSTOS DER - SERVIÇOS'!A:G,7,0)</f>
        <v>257.19</v>
      </c>
      <c r="H773" s="24">
        <f>VLOOKUP(C773,'10. CCU TRANSPORTE'!B:J,9,0)</f>
        <v>5.89</v>
      </c>
      <c r="I773" s="25">
        <f>'3. BDI'!$C$19</f>
        <v>0.24666704095238123</v>
      </c>
      <c r="J773" s="24">
        <f>TRUNC(G773+(G773*I773),2)</f>
        <v>320.63</v>
      </c>
      <c r="K773" s="24">
        <f>TRUNC(H773+(H773*I773),2)</f>
        <v>7.34</v>
      </c>
      <c r="L773" s="24">
        <f>J773*E773</f>
        <v>12825.2</v>
      </c>
      <c r="M773" s="24">
        <f>K773*E773</f>
        <v>293.60000000000002</v>
      </c>
      <c r="N773" s="24">
        <f>L773+M773</f>
        <v>13118.800000000001</v>
      </c>
      <c r="P773" s="24">
        <f>414.72/12.5</f>
        <v>33.177600000000005</v>
      </c>
      <c r="Q773" s="24">
        <f t="shared" ref="Q773:Q775" si="1249">TRUNC(P773*E773,2)</f>
        <v>1327.1</v>
      </c>
      <c r="R773" s="24">
        <f t="shared" si="1240"/>
        <v>1654.45</v>
      </c>
      <c r="S773" s="24">
        <f t="shared" si="1241"/>
        <v>11464.35</v>
      </c>
    </row>
    <row r="774" spans="1:19">
      <c r="A774" s="9" t="s">
        <v>23377</v>
      </c>
      <c r="B774" s="10" t="s">
        <v>9016</v>
      </c>
      <c r="C774" s="14">
        <v>860150</v>
      </c>
      <c r="D774" s="43" t="str">
        <f>VLOOKUP(C774,'13. CUSTOS DER - SERVIÇOS'!A:B,2,0)</f>
        <v>GABIÃO TIPO CAIXA 2X1X1,00M ZN/AL + PVC (NBR 8964)</v>
      </c>
      <c r="E774" s="11">
        <v>159</v>
      </c>
      <c r="F774" s="26" t="str">
        <f>VLOOKUP(C774,'13. CUSTOS DER - SERVIÇOS'!A:C,3,0)</f>
        <v>M3</v>
      </c>
      <c r="G774" s="24">
        <f>VLOOKUP(C774,'13. CUSTOS DER - SERVIÇOS'!A:G,7,0)</f>
        <v>688.53</v>
      </c>
      <c r="H774" s="24">
        <f>VLOOKUP(C774,'10. CCU TRANSPORTE'!B:J,9,0)</f>
        <v>22.71</v>
      </c>
      <c r="I774" s="25">
        <f>'3. BDI'!$C$19</f>
        <v>0.24666704095238123</v>
      </c>
      <c r="J774" s="24">
        <f>TRUNC(G774+(G774*I774),2)</f>
        <v>858.36</v>
      </c>
      <c r="K774" s="24">
        <f>TRUNC(H774+(H774*I774),2)</f>
        <v>28.31</v>
      </c>
      <c r="L774" s="24">
        <f>J774*E774</f>
        <v>136479.24</v>
      </c>
      <c r="M774" s="24">
        <f>K774*E774</f>
        <v>4501.29</v>
      </c>
      <c r="N774" s="24">
        <f>L774+M774</f>
        <v>140980.53</v>
      </c>
      <c r="P774" s="24">
        <f>414.72/4.2</f>
        <v>98.742857142857147</v>
      </c>
      <c r="Q774" s="24">
        <f t="shared" si="1249"/>
        <v>15700.11</v>
      </c>
      <c r="R774" s="24">
        <f t="shared" si="1240"/>
        <v>19572.8</v>
      </c>
      <c r="S774" s="24">
        <f t="shared" si="1241"/>
        <v>121407.73</v>
      </c>
    </row>
    <row r="775" spans="1:19">
      <c r="A775" s="9" t="s">
        <v>23378</v>
      </c>
      <c r="B775" s="10" t="s">
        <v>9016</v>
      </c>
      <c r="C775" s="14">
        <v>401100</v>
      </c>
      <c r="D775" s="43" t="str">
        <f>VLOOKUP(C775,'13. CUSTOS DER - SERVIÇOS'!A:B,2,0)</f>
        <v>COMPACTAÇÃO DE ATERROS 100% PN (B)</v>
      </c>
      <c r="E775" s="11">
        <v>177.17</v>
      </c>
      <c r="F775" s="26" t="str">
        <f>VLOOKUP(C775,'13. CUSTOS DER - SERVIÇOS'!A:C,3,0)</f>
        <v>M3</v>
      </c>
      <c r="G775" s="24">
        <f>VLOOKUP(C775,'13. CUSTOS DER - SERVIÇOS'!A:G,7,0)</f>
        <v>6.66</v>
      </c>
      <c r="H775" s="24">
        <v>0</v>
      </c>
      <c r="I775" s="25">
        <f>'3. BDI'!$C$19</f>
        <v>0.24666704095238123</v>
      </c>
      <c r="J775" s="24">
        <f>TRUNC(G775+(G775*I775),2)</f>
        <v>8.3000000000000007</v>
      </c>
      <c r="K775" s="24">
        <f>TRUNC(H775+(H775*I775),2)</f>
        <v>0</v>
      </c>
      <c r="L775" s="24">
        <f>J775*E775</f>
        <v>1470.511</v>
      </c>
      <c r="M775" s="24">
        <f>K775*E775</f>
        <v>0</v>
      </c>
      <c r="N775" s="24">
        <f>L775+M775</f>
        <v>1470.511</v>
      </c>
      <c r="P775" s="24">
        <f>71.5/136.18</f>
        <v>0.52504038772213246</v>
      </c>
      <c r="Q775" s="24">
        <f t="shared" si="1249"/>
        <v>93.02</v>
      </c>
      <c r="R775" s="24">
        <f t="shared" si="1240"/>
        <v>115.96</v>
      </c>
      <c r="S775" s="24">
        <f t="shared" si="1241"/>
        <v>1354.5509999999999</v>
      </c>
    </row>
    <row r="776" spans="1:19">
      <c r="A776" s="9"/>
      <c r="B776" s="10"/>
      <c r="C776" s="12"/>
      <c r="D776" s="383" t="s">
        <v>22872</v>
      </c>
      <c r="E776" s="11"/>
      <c r="F776" s="26"/>
      <c r="G776" s="24"/>
      <c r="H776" s="24"/>
      <c r="I776" s="25"/>
      <c r="J776" s="24"/>
      <c r="K776" s="24"/>
      <c r="L776" s="24"/>
      <c r="M776" s="24"/>
      <c r="N776" s="24"/>
      <c r="P776" s="24"/>
      <c r="Q776" s="24"/>
      <c r="R776" s="24">
        <f t="shared" si="1240"/>
        <v>0</v>
      </c>
      <c r="S776" s="24">
        <f t="shared" si="1241"/>
        <v>0</v>
      </c>
    </row>
    <row r="777" spans="1:19">
      <c r="A777" s="9" t="s">
        <v>23379</v>
      </c>
      <c r="B777" s="10" t="s">
        <v>9016</v>
      </c>
      <c r="C777" s="14">
        <v>410200</v>
      </c>
      <c r="D777" s="43" t="str">
        <f>VLOOKUP(C777,'13. CUSTOS DER - SERVIÇOS'!A:B,2,0)</f>
        <v>ESC. CARGA E TRANSP. 1A. CAT.     0-200M</v>
      </c>
      <c r="E777" s="11">
        <v>362.41</v>
      </c>
      <c r="F777" s="26" t="str">
        <f>VLOOKUP(C777,'13. CUSTOS DER - SERVIÇOS'!A:C,3,0)</f>
        <v>M3</v>
      </c>
      <c r="G777" s="24">
        <f>VLOOKUP(C777,'13. CUSTOS DER - SERVIÇOS'!A:G,7,0)</f>
        <v>8.33</v>
      </c>
      <c r="H777" s="24">
        <v>0</v>
      </c>
      <c r="I777" s="25">
        <f>'3. BDI'!$C$19</f>
        <v>0.24666704095238123</v>
      </c>
      <c r="J777" s="24">
        <f>TRUNC(G777+(G777*I777),2)</f>
        <v>10.38</v>
      </c>
      <c r="K777" s="24">
        <f>TRUNC(H777+(H777*I777),2)</f>
        <v>0</v>
      </c>
      <c r="L777" s="24">
        <f>J777*E777</f>
        <v>3761.8158000000008</v>
      </c>
      <c r="M777" s="24">
        <f>K777*E777</f>
        <v>0</v>
      </c>
      <c r="N777" s="24">
        <f>L777+M777</f>
        <v>3761.8158000000008</v>
      </c>
      <c r="P777" s="24">
        <f>180.91/129.03</f>
        <v>1.4020770363481361</v>
      </c>
      <c r="Q777" s="24">
        <f>TRUNC(P777*E777,2)</f>
        <v>508.12</v>
      </c>
      <c r="R777" s="24">
        <f t="shared" si="1240"/>
        <v>633.45000000000005</v>
      </c>
      <c r="S777" s="24">
        <f t="shared" si="1241"/>
        <v>3128.3658000000005</v>
      </c>
    </row>
    <row r="778" spans="1:19">
      <c r="A778" s="9" t="s">
        <v>23381</v>
      </c>
      <c r="B778" s="10" t="s">
        <v>358</v>
      </c>
      <c r="C778" s="10" t="s">
        <v>22636</v>
      </c>
      <c r="D778" s="43" t="s">
        <v>211</v>
      </c>
      <c r="E778" s="11">
        <v>411.11</v>
      </c>
      <c r="F778" s="13" t="s">
        <v>326</v>
      </c>
      <c r="G778" s="24">
        <f>VLOOKUP(C778,'9. CCU''S GERAIS AMEP'!A:K,11,0)</f>
        <v>27.468131442300237</v>
      </c>
      <c r="H778" s="24">
        <f>VLOOKUP(C778,'10. CCU TRANSPORTE'!B:J,9,0)</f>
        <v>36.69</v>
      </c>
      <c r="I778" s="25">
        <f>'3. BDI'!$C$19</f>
        <v>0.24666704095238123</v>
      </c>
      <c r="J778" s="24">
        <f>TRUNC(G778+(G778*I778),2)</f>
        <v>34.24</v>
      </c>
      <c r="K778" s="24">
        <f>TRUNC(H778+(H778*I778),2)</f>
        <v>45.74</v>
      </c>
      <c r="L778" s="24">
        <f>J778*E778</f>
        <v>14076.406400000002</v>
      </c>
      <c r="M778" s="24">
        <f>K778*E778</f>
        <v>18804.171400000003</v>
      </c>
      <c r="N778" s="24">
        <f>L778+M778</f>
        <v>32880.577800000006</v>
      </c>
      <c r="P778" s="24">
        <f>180.91/129.03</f>
        <v>1.4020770363481361</v>
      </c>
      <c r="Q778" s="24">
        <f t="shared" ref="Q778" si="1250">P778*E778</f>
        <v>576.40789041308221</v>
      </c>
      <c r="R778" s="24">
        <f t="shared" si="1240"/>
        <v>718.58</v>
      </c>
      <c r="S778" s="24">
        <f t="shared" si="1241"/>
        <v>32161.997800000005</v>
      </c>
    </row>
    <row r="779" spans="1:19">
      <c r="A779" s="9" t="s">
        <v>23382</v>
      </c>
      <c r="B779" s="10" t="s">
        <v>9016</v>
      </c>
      <c r="C779" s="14">
        <v>404300</v>
      </c>
      <c r="D779" s="43" t="str">
        <f>VLOOKUP(C779,'13. CUSTOS DER - SERVIÇOS'!A:B,2,0)</f>
        <v>ESPALHAMENTO E CONFORMAÇÃO DE BOTA-FORA</v>
      </c>
      <c r="E779" s="11">
        <v>411.11</v>
      </c>
      <c r="F779" s="26" t="str">
        <f>VLOOKUP(C779,'13. CUSTOS DER - SERVIÇOS'!A:C,3,0)</f>
        <v>M3</v>
      </c>
      <c r="G779" s="24">
        <f>VLOOKUP(C779,'13. CUSTOS DER - SERVIÇOS'!A:G,7,0)</f>
        <v>0.79</v>
      </c>
      <c r="H779" s="24">
        <v>0</v>
      </c>
      <c r="I779" s="25">
        <f>'3. BDI'!$C$19</f>
        <v>0.24666704095238123</v>
      </c>
      <c r="J779" s="24">
        <f t="shared" ref="J779" si="1251">TRUNC(G779+(G779*I779),2)</f>
        <v>0.98</v>
      </c>
      <c r="K779" s="24">
        <f t="shared" ref="K779" si="1252">TRUNC(H779+(H779*I779),2)</f>
        <v>0</v>
      </c>
      <c r="L779" s="24">
        <f t="shared" ref="L779" si="1253">J779*E779</f>
        <v>402.88780000000003</v>
      </c>
      <c r="M779" s="24">
        <f t="shared" ref="M779" si="1254">K779*E779</f>
        <v>0</v>
      </c>
      <c r="N779" s="24">
        <f t="shared" ref="N779" si="1255">L779+M779</f>
        <v>402.88780000000003</v>
      </c>
      <c r="P779" s="24">
        <f>31.46/574.08</f>
        <v>5.480072463768116E-2</v>
      </c>
      <c r="Q779" s="24">
        <f>TRUNC(P779*E779,2)</f>
        <v>22.52</v>
      </c>
      <c r="R779" s="24">
        <f t="shared" si="1240"/>
        <v>28.07</v>
      </c>
      <c r="S779" s="24">
        <f t="shared" si="1241"/>
        <v>374.81780000000003</v>
      </c>
    </row>
    <row r="780" spans="1:19" ht="31.5">
      <c r="A780" s="9" t="s">
        <v>23383</v>
      </c>
      <c r="B780" s="10" t="s">
        <v>358</v>
      </c>
      <c r="C780" s="10" t="s">
        <v>22655</v>
      </c>
      <c r="D780" s="43" t="s">
        <v>280</v>
      </c>
      <c r="E780" s="11">
        <v>262.06</v>
      </c>
      <c r="F780" s="13" t="s">
        <v>326</v>
      </c>
      <c r="G780" s="24">
        <f>VLOOKUP(C780,'9. CCU''S GERAIS AMEP'!A:K,11,0)</f>
        <v>89.188018348623856</v>
      </c>
      <c r="H780" s="24">
        <f>VLOOKUP(C780,'10. CCU TRANSPORTE'!B:J,9,0)</f>
        <v>22.18</v>
      </c>
      <c r="I780" s="25">
        <f>'3. BDI'!$C$19</f>
        <v>0.24666704095238123</v>
      </c>
      <c r="J780" s="24">
        <f>TRUNC(G780+(G780*I780),2)</f>
        <v>111.18</v>
      </c>
      <c r="K780" s="24">
        <f>TRUNC(H780+(H780*I780),2)</f>
        <v>27.65</v>
      </c>
      <c r="L780" s="24">
        <f>J780*E780</f>
        <v>29135.830800000003</v>
      </c>
      <c r="M780" s="24">
        <f>K780*E780</f>
        <v>7245.9589999999998</v>
      </c>
      <c r="N780" s="24">
        <f>L780+M780</f>
        <v>36381.789800000006</v>
      </c>
      <c r="P780" s="24">
        <f>244.55/109</f>
        <v>2.2435779816513763</v>
      </c>
      <c r="Q780" s="24">
        <f t="shared" ref="Q780" si="1256">P780*E780</f>
        <v>587.95204587155968</v>
      </c>
      <c r="R780" s="24">
        <f t="shared" si="1240"/>
        <v>732.98</v>
      </c>
      <c r="S780" s="24">
        <f t="shared" si="1241"/>
        <v>35648.809800000003</v>
      </c>
    </row>
    <row r="781" spans="1:19">
      <c r="A781" s="9" t="s">
        <v>23384</v>
      </c>
      <c r="B781" s="10" t="s">
        <v>9016</v>
      </c>
      <c r="C781" s="14">
        <v>860023</v>
      </c>
      <c r="D781" s="43" t="str">
        <f>VLOOKUP(C781,'13. CUSTOS DER - SERVIÇOS'!A:B,2,0)</f>
        <v>GABIÃO TIPO COLCHÃO ZN/AL + PVC E=0,23M (NBR 8964)</v>
      </c>
      <c r="E781" s="11">
        <v>116</v>
      </c>
      <c r="F781" s="26" t="str">
        <f>VLOOKUP(C781,'13. CUSTOS DER - SERVIÇOS'!A:C,3,0)</f>
        <v>M2</v>
      </c>
      <c r="G781" s="24">
        <f>VLOOKUP(C781,'13. CUSTOS DER - SERVIÇOS'!A:G,7,0)</f>
        <v>257.19</v>
      </c>
      <c r="H781" s="24">
        <f>VLOOKUP(C781,'10. CCU TRANSPORTE'!B:J,9,0)</f>
        <v>5.89</v>
      </c>
      <c r="I781" s="25">
        <f>'3. BDI'!$C$19</f>
        <v>0.24666704095238123</v>
      </c>
      <c r="J781" s="24">
        <f>TRUNC(G781+(G781*I781),2)</f>
        <v>320.63</v>
      </c>
      <c r="K781" s="24">
        <f>TRUNC(H781+(H781*I781),2)</f>
        <v>7.34</v>
      </c>
      <c r="L781" s="24">
        <f>J781*E781</f>
        <v>37193.08</v>
      </c>
      <c r="M781" s="24">
        <f>K781*E781</f>
        <v>851.43999999999994</v>
      </c>
      <c r="N781" s="24">
        <f>L781+M781</f>
        <v>38044.520000000004</v>
      </c>
      <c r="P781" s="24">
        <f>414.72/12.5</f>
        <v>33.177600000000005</v>
      </c>
      <c r="Q781" s="24">
        <f t="shared" ref="Q781:Q783" si="1257">TRUNC(P781*E781,2)</f>
        <v>3848.6</v>
      </c>
      <c r="R781" s="24">
        <f t="shared" si="1240"/>
        <v>4797.92</v>
      </c>
      <c r="S781" s="24">
        <f t="shared" si="1241"/>
        <v>33246.600000000006</v>
      </c>
    </row>
    <row r="782" spans="1:19">
      <c r="A782" s="9" t="s">
        <v>23385</v>
      </c>
      <c r="B782" s="10" t="s">
        <v>9016</v>
      </c>
      <c r="C782" s="14">
        <v>860150</v>
      </c>
      <c r="D782" s="43" t="str">
        <f>VLOOKUP(C782,'13. CUSTOS DER - SERVIÇOS'!A:B,2,0)</f>
        <v>GABIÃO TIPO CAIXA 2X1X1,00M ZN/AL + PVC (NBR 8964)</v>
      </c>
      <c r="E782" s="11">
        <v>358.2</v>
      </c>
      <c r="F782" s="26" t="str">
        <f>VLOOKUP(C782,'13. CUSTOS DER - SERVIÇOS'!A:C,3,0)</f>
        <v>M3</v>
      </c>
      <c r="G782" s="24">
        <f>VLOOKUP(C782,'13. CUSTOS DER - SERVIÇOS'!A:G,7,0)</f>
        <v>688.53</v>
      </c>
      <c r="H782" s="24">
        <f>VLOOKUP(C782,'10. CCU TRANSPORTE'!B:J,9,0)</f>
        <v>22.71</v>
      </c>
      <c r="I782" s="25">
        <f>'3. BDI'!$C$19</f>
        <v>0.24666704095238123</v>
      </c>
      <c r="J782" s="24">
        <f>TRUNC(G782+(G782*I782),2)</f>
        <v>858.36</v>
      </c>
      <c r="K782" s="24">
        <f>TRUNC(H782+(H782*I782),2)</f>
        <v>28.31</v>
      </c>
      <c r="L782" s="24">
        <f>J782*E782</f>
        <v>307464.55199999997</v>
      </c>
      <c r="M782" s="24">
        <f>K782*E782</f>
        <v>10140.642</v>
      </c>
      <c r="N782" s="24">
        <f>L782+M782</f>
        <v>317605.19399999996</v>
      </c>
      <c r="P782" s="24">
        <f>414.72/4.2</f>
        <v>98.742857142857147</v>
      </c>
      <c r="Q782" s="24">
        <f t="shared" si="1257"/>
        <v>35369.69</v>
      </c>
      <c r="R782" s="24">
        <f t="shared" si="1240"/>
        <v>44094.22</v>
      </c>
      <c r="S782" s="24">
        <f t="shared" si="1241"/>
        <v>273510.97399999993</v>
      </c>
    </row>
    <row r="783" spans="1:19">
      <c r="A783" s="9" t="s">
        <v>23386</v>
      </c>
      <c r="B783" s="10" t="s">
        <v>9016</v>
      </c>
      <c r="C783" s="14">
        <v>401100</v>
      </c>
      <c r="D783" s="43" t="str">
        <f>VLOOKUP(C783,'13. CUSTOS DER - SERVIÇOS'!A:B,2,0)</f>
        <v>COMPACTAÇÃO DE ATERROS 100% PN (B)</v>
      </c>
      <c r="E783" s="11">
        <v>283.13</v>
      </c>
      <c r="F783" s="26" t="str">
        <f>VLOOKUP(C783,'13. CUSTOS DER - SERVIÇOS'!A:C,3,0)</f>
        <v>M3</v>
      </c>
      <c r="G783" s="24">
        <f>VLOOKUP(C783,'13. CUSTOS DER - SERVIÇOS'!A:G,7,0)</f>
        <v>6.66</v>
      </c>
      <c r="H783" s="24">
        <v>0</v>
      </c>
      <c r="I783" s="25">
        <f>'3. BDI'!$C$19</f>
        <v>0.24666704095238123</v>
      </c>
      <c r="J783" s="24">
        <f>TRUNC(G783+(G783*I783),2)</f>
        <v>8.3000000000000007</v>
      </c>
      <c r="K783" s="24">
        <f>TRUNC(H783+(H783*I783),2)</f>
        <v>0</v>
      </c>
      <c r="L783" s="24">
        <f>J783*E783</f>
        <v>2349.9790000000003</v>
      </c>
      <c r="M783" s="24">
        <f>K783*E783</f>
        <v>0</v>
      </c>
      <c r="N783" s="24">
        <f>L783+M783</f>
        <v>2349.9790000000003</v>
      </c>
      <c r="P783" s="24">
        <f>71.5/136.18</f>
        <v>0.52504038772213246</v>
      </c>
      <c r="Q783" s="24">
        <f t="shared" si="1257"/>
        <v>148.65</v>
      </c>
      <c r="R783" s="24">
        <f t="shared" si="1240"/>
        <v>185.31</v>
      </c>
      <c r="S783" s="24">
        <f t="shared" si="1241"/>
        <v>2164.6690000000003</v>
      </c>
    </row>
    <row r="784" spans="1:19">
      <c r="A784" s="310" t="s">
        <v>344</v>
      </c>
      <c r="B784" s="311"/>
      <c r="C784" s="315"/>
      <c r="D784" s="313" t="s">
        <v>8</v>
      </c>
      <c r="E784" s="314"/>
      <c r="F784" s="315" t="s">
        <v>195</v>
      </c>
      <c r="G784" s="314"/>
      <c r="H784" s="314"/>
      <c r="I784" s="316"/>
      <c r="J784" s="314"/>
      <c r="K784" s="314"/>
      <c r="L784" s="314">
        <f t="shared" ref="L784:M784" si="1258">L785+L796+L805+L815+L826</f>
        <v>4084371.6609999994</v>
      </c>
      <c r="M784" s="314">
        <f t="shared" si="1258"/>
        <v>23.94</v>
      </c>
      <c r="N784" s="314">
        <f>N785+N796+N805+N815+N826</f>
        <v>4084395.6009999998</v>
      </c>
      <c r="P784" s="314">
        <f t="shared" ref="P784:S784" si="1259">P785+P796+P805+P815+P826</f>
        <v>878.40053571428575</v>
      </c>
      <c r="Q784" s="314">
        <f t="shared" si="1259"/>
        <v>539122.37308333337</v>
      </c>
      <c r="R784" s="314">
        <f t="shared" si="1259"/>
        <v>672105.8899999999</v>
      </c>
      <c r="S784" s="314">
        <f t="shared" si="1259"/>
        <v>3412289.7109999997</v>
      </c>
    </row>
    <row r="785" spans="1:19">
      <c r="A785" s="28" t="s">
        <v>22981</v>
      </c>
      <c r="B785" s="48"/>
      <c r="C785" s="29"/>
      <c r="D785" s="301" t="s">
        <v>22841</v>
      </c>
      <c r="E785" s="30"/>
      <c r="F785" s="29" t="s">
        <v>195</v>
      </c>
      <c r="G785" s="30"/>
      <c r="H785" s="30"/>
      <c r="I785" s="31"/>
      <c r="J785" s="30"/>
      <c r="K785" s="30"/>
      <c r="L785" s="30">
        <f t="shared" ref="L785:M785" si="1260">SUM(L786:L795)</f>
        <v>1004521.4517999998</v>
      </c>
      <c r="M785" s="30">
        <f t="shared" si="1260"/>
        <v>13.3</v>
      </c>
      <c r="N785" s="30">
        <f>SUM(N786:N795)</f>
        <v>1004534.7517999999</v>
      </c>
      <c r="P785" s="30">
        <f t="shared" ref="P785:S785" si="1261">SUM(P786:P795)</f>
        <v>220.86139285714285</v>
      </c>
      <c r="Q785" s="30">
        <f t="shared" si="1261"/>
        <v>125895.13124999999</v>
      </c>
      <c r="R785" s="30">
        <f t="shared" si="1261"/>
        <v>156949.25999999998</v>
      </c>
      <c r="S785" s="30">
        <f t="shared" si="1261"/>
        <v>847585.49179999996</v>
      </c>
    </row>
    <row r="786" spans="1:19">
      <c r="A786" s="9" t="s">
        <v>23387</v>
      </c>
      <c r="B786" s="10" t="s">
        <v>9016</v>
      </c>
      <c r="C786" s="12">
        <v>800900</v>
      </c>
      <c r="D786" s="43" t="str">
        <f>VLOOKUP(C786,'13. CUSTOS DER - SERVIÇOS'!A:B,2,0)</f>
        <v>LIMPEZA E LAVAGEM DE SINALIZAÇÃO VERTICAL</v>
      </c>
      <c r="E786" s="11">
        <v>0.49</v>
      </c>
      <c r="F786" s="26" t="str">
        <f>VLOOKUP(C786,'13. CUSTOS DER - SERVIÇOS'!A:C,3,0)</f>
        <v>M2</v>
      </c>
      <c r="G786" s="24">
        <f>VLOOKUP(C786,'13. CUSTOS DER - SERVIÇOS'!A:G,7,0)</f>
        <v>13.25</v>
      </c>
      <c r="H786" s="24">
        <v>0</v>
      </c>
      <c r="I786" s="25">
        <f>'3. BDI'!$C$19</f>
        <v>0.24666704095238123</v>
      </c>
      <c r="J786" s="24">
        <f t="shared" ref="J786:J795" si="1262">TRUNC(G786+(G786*I786),2)</f>
        <v>16.510000000000002</v>
      </c>
      <c r="K786" s="24">
        <f t="shared" ref="K786:K795" si="1263">TRUNC(H786+(H786*I786),2)</f>
        <v>0</v>
      </c>
      <c r="L786" s="24">
        <f t="shared" ref="L786:L795" si="1264">J786*E786</f>
        <v>8.0899000000000001</v>
      </c>
      <c r="M786" s="24">
        <f t="shared" ref="M786:M795" si="1265">K786*E786</f>
        <v>0</v>
      </c>
      <c r="N786" s="24">
        <f t="shared" ref="N786:N795" si="1266">L786+M786</f>
        <v>8.0899000000000001</v>
      </c>
      <c r="P786" s="24">
        <f>617.77/140</f>
        <v>4.4126428571428571</v>
      </c>
      <c r="Q786" s="24">
        <f t="shared" ref="Q786:Q793" si="1267">TRUNC(P786*E786,2)</f>
        <v>2.16</v>
      </c>
      <c r="R786" s="24">
        <f t="shared" ref="R786:R795" si="1268">TRUNC((Q786*I786+Q786),2)</f>
        <v>2.69</v>
      </c>
      <c r="S786" s="24">
        <f t="shared" ref="S786:S795" si="1269">N786-R786</f>
        <v>5.3999000000000006</v>
      </c>
    </row>
    <row r="787" spans="1:19">
      <c r="A787" s="9" t="s">
        <v>23388</v>
      </c>
      <c r="B787" s="10" t="s">
        <v>9016</v>
      </c>
      <c r="C787" s="12">
        <v>820000</v>
      </c>
      <c r="D787" s="43" t="str">
        <f>VLOOKUP(C787,'13. CUSTOS DER - SERVIÇOS'!A:B,2,0)</f>
        <v>PLACA SINALIZAÇÃO C/ PELÍCULA REFLETIVA</v>
      </c>
      <c r="E787" s="11">
        <v>47.29</v>
      </c>
      <c r="F787" s="26" t="str">
        <f>VLOOKUP(C787,'13. CUSTOS DER - SERVIÇOS'!A:C,3,0)</f>
        <v>M2</v>
      </c>
      <c r="G787" s="24">
        <f>VLOOKUP(C787,'13. CUSTOS DER - SERVIÇOS'!A:G,7,0)</f>
        <v>542.29999999999995</v>
      </c>
      <c r="H787" s="24">
        <v>0</v>
      </c>
      <c r="I787" s="25">
        <f>'3. BDI'!$C$19</f>
        <v>0.24666704095238123</v>
      </c>
      <c r="J787" s="24">
        <f t="shared" si="1262"/>
        <v>676.06</v>
      </c>
      <c r="K787" s="24">
        <f t="shared" si="1263"/>
        <v>0</v>
      </c>
      <c r="L787" s="24">
        <f t="shared" si="1264"/>
        <v>31970.877399999998</v>
      </c>
      <c r="M787" s="24">
        <f t="shared" si="1265"/>
        <v>0</v>
      </c>
      <c r="N787" s="24">
        <f t="shared" si="1266"/>
        <v>31970.877399999998</v>
      </c>
      <c r="P787" s="24">
        <v>0</v>
      </c>
      <c r="Q787" s="24">
        <f t="shared" si="1267"/>
        <v>0</v>
      </c>
      <c r="R787" s="24">
        <f t="shared" si="1268"/>
        <v>0</v>
      </c>
      <c r="S787" s="24">
        <f t="shared" si="1269"/>
        <v>31970.877399999998</v>
      </c>
    </row>
    <row r="788" spans="1:19">
      <c r="A788" s="9" t="s">
        <v>23389</v>
      </c>
      <c r="B788" s="10" t="s">
        <v>9016</v>
      </c>
      <c r="C788" s="12">
        <v>821000</v>
      </c>
      <c r="D788" s="43" t="str">
        <f>VLOOKUP(C788,'13. CUSTOS DER - SERVIÇOS'!A:B,2,0)</f>
        <v>SUPORTE DE MADEIRA 3"X3" P/ PLACA SINALIZAÇÃO, H=3,00M</v>
      </c>
      <c r="E788" s="11">
        <v>83</v>
      </c>
      <c r="F788" s="26" t="str">
        <f>VLOOKUP(C788,'13. CUSTOS DER - SERVIÇOS'!A:C,3,0)</f>
        <v>UD</v>
      </c>
      <c r="G788" s="24">
        <f>VLOOKUP(C788,'13. CUSTOS DER - SERVIÇOS'!A:G,7,0)</f>
        <v>167.69</v>
      </c>
      <c r="H788" s="24">
        <v>0</v>
      </c>
      <c r="I788" s="25">
        <f>'3. BDI'!$C$19</f>
        <v>0.24666704095238123</v>
      </c>
      <c r="J788" s="24">
        <f t="shared" si="1262"/>
        <v>209.05</v>
      </c>
      <c r="K788" s="24">
        <f t="shared" si="1263"/>
        <v>0</v>
      </c>
      <c r="L788" s="24">
        <f t="shared" si="1264"/>
        <v>17351.150000000001</v>
      </c>
      <c r="M788" s="24">
        <f t="shared" si="1265"/>
        <v>0</v>
      </c>
      <c r="N788" s="24">
        <f t="shared" si="1266"/>
        <v>17351.150000000001</v>
      </c>
      <c r="P788" s="24">
        <f>37.3/1</f>
        <v>37.299999999999997</v>
      </c>
      <c r="Q788" s="24">
        <f t="shared" si="1267"/>
        <v>3095.9</v>
      </c>
      <c r="R788" s="24">
        <f t="shared" si="1268"/>
        <v>3859.55</v>
      </c>
      <c r="S788" s="24">
        <f t="shared" si="1269"/>
        <v>13491.600000000002</v>
      </c>
    </row>
    <row r="789" spans="1:19" ht="31.5">
      <c r="A789" s="9" t="s">
        <v>23390</v>
      </c>
      <c r="B789" s="10" t="s">
        <v>9016</v>
      </c>
      <c r="C789" s="12">
        <v>822350</v>
      </c>
      <c r="D789" s="43" t="str">
        <f>VLOOKUP(C789,'13. CUSTOS DER - SERVIÇOS'!A:B,2,0)</f>
        <v>FAIXA DE SINALIZAÇÃO HORIZONTAL - TERMOPLÁSTICO POR ASPERSÃO - E=1,5MM</v>
      </c>
      <c r="E789" s="11">
        <v>4932.8500000000004</v>
      </c>
      <c r="F789" s="26" t="str">
        <f>VLOOKUP(C789,'13. CUSTOS DER - SERVIÇOS'!A:C,3,0)</f>
        <v>M2</v>
      </c>
      <c r="G789" s="24">
        <f>VLOOKUP(C789,'13. CUSTOS DER - SERVIÇOS'!A:G,7,0)</f>
        <v>55.68</v>
      </c>
      <c r="H789" s="24">
        <v>0</v>
      </c>
      <c r="I789" s="25">
        <f>'3. BDI'!$C$19</f>
        <v>0.24666704095238123</v>
      </c>
      <c r="J789" s="24">
        <f t="shared" si="1262"/>
        <v>69.41</v>
      </c>
      <c r="K789" s="24">
        <f t="shared" si="1263"/>
        <v>0</v>
      </c>
      <c r="L789" s="24">
        <f t="shared" si="1264"/>
        <v>342389.11849999998</v>
      </c>
      <c r="M789" s="24">
        <f t="shared" si="1265"/>
        <v>0</v>
      </c>
      <c r="N789" s="24">
        <f t="shared" si="1266"/>
        <v>342389.11849999998</v>
      </c>
      <c r="P789" s="24">
        <f>346.79/40</f>
        <v>8.6697500000000005</v>
      </c>
      <c r="Q789" s="24">
        <f t="shared" si="1267"/>
        <v>42766.57</v>
      </c>
      <c r="R789" s="24">
        <f t="shared" si="1268"/>
        <v>53315.67</v>
      </c>
      <c r="S789" s="24">
        <f t="shared" si="1269"/>
        <v>289073.4485</v>
      </c>
    </row>
    <row r="790" spans="1:19">
      <c r="A790" s="9" t="s">
        <v>23391</v>
      </c>
      <c r="B790" s="10" t="s">
        <v>9016</v>
      </c>
      <c r="C790" s="12">
        <v>823000</v>
      </c>
      <c r="D790" s="43" t="str">
        <f>VLOOKUP(C790,'13. CUSTOS DER - SERVIÇOS'!A:B,2,0)</f>
        <v>DEFENSA SIMPLES SEMI-MALEÁVEL C/ ESPAÇADOR E CALÇO</v>
      </c>
      <c r="E790" s="11">
        <v>800</v>
      </c>
      <c r="F790" s="26" t="str">
        <f>VLOOKUP(C790,'13. CUSTOS DER - SERVIÇOS'!A:C,3,0)</f>
        <v>M</v>
      </c>
      <c r="G790" s="24">
        <f>VLOOKUP(C790,'13. CUSTOS DER - SERVIÇOS'!A:G,7,0)</f>
        <v>490.71</v>
      </c>
      <c r="H790" s="24">
        <v>0</v>
      </c>
      <c r="I790" s="25">
        <f>'3. BDI'!$C$19</f>
        <v>0.24666704095238123</v>
      </c>
      <c r="J790" s="24">
        <f t="shared" si="1262"/>
        <v>611.75</v>
      </c>
      <c r="K790" s="24">
        <f t="shared" si="1263"/>
        <v>0</v>
      </c>
      <c r="L790" s="24">
        <f t="shared" si="1264"/>
        <v>489400</v>
      </c>
      <c r="M790" s="24">
        <f t="shared" si="1265"/>
        <v>0</v>
      </c>
      <c r="N790" s="24">
        <f t="shared" si="1266"/>
        <v>489400</v>
      </c>
      <c r="P790" s="24">
        <f>242.81/4</f>
        <v>60.702500000000001</v>
      </c>
      <c r="Q790" s="24">
        <f t="shared" si="1267"/>
        <v>48562</v>
      </c>
      <c r="R790" s="24">
        <f t="shared" si="1268"/>
        <v>60540.639999999999</v>
      </c>
      <c r="S790" s="24">
        <f t="shared" si="1269"/>
        <v>428859.36</v>
      </c>
    </row>
    <row r="791" spans="1:19">
      <c r="A791" s="9" t="s">
        <v>23392</v>
      </c>
      <c r="B791" s="10" t="s">
        <v>9016</v>
      </c>
      <c r="C791" s="12">
        <v>870000</v>
      </c>
      <c r="D791" s="43" t="str">
        <f>VLOOKUP(C791,'13. CUSTOS DER - SERVIÇOS'!A:B,2,0)</f>
        <v>TACHA REFLETIVA MONODIRECIONAL</v>
      </c>
      <c r="E791" s="11">
        <v>54</v>
      </c>
      <c r="F791" s="26" t="str">
        <f>VLOOKUP(C791,'13. CUSTOS DER - SERVIÇOS'!A:C,3,0)</f>
        <v>UD</v>
      </c>
      <c r="G791" s="24">
        <f>VLOOKUP(C791,'13. CUSTOS DER - SERVIÇOS'!A:G,7,0)</f>
        <v>17.63</v>
      </c>
      <c r="H791" s="24">
        <v>0</v>
      </c>
      <c r="I791" s="25">
        <f>'3. BDI'!$C$19</f>
        <v>0.24666704095238123</v>
      </c>
      <c r="J791" s="24">
        <f t="shared" si="1262"/>
        <v>21.97</v>
      </c>
      <c r="K791" s="24">
        <f t="shared" si="1263"/>
        <v>0</v>
      </c>
      <c r="L791" s="24">
        <f t="shared" si="1264"/>
        <v>1186.3799999999999</v>
      </c>
      <c r="M791" s="24">
        <f t="shared" si="1265"/>
        <v>0</v>
      </c>
      <c r="N791" s="24">
        <f t="shared" si="1266"/>
        <v>1186.3799999999999</v>
      </c>
      <c r="P791" s="24">
        <f>260.99/30</f>
        <v>8.6996666666666673</v>
      </c>
      <c r="Q791" s="24">
        <f t="shared" si="1267"/>
        <v>469.78</v>
      </c>
      <c r="R791" s="24">
        <f t="shared" si="1268"/>
        <v>585.65</v>
      </c>
      <c r="S791" s="24">
        <f t="shared" si="1269"/>
        <v>600.7299999999999</v>
      </c>
    </row>
    <row r="792" spans="1:19">
      <c r="A792" s="9" t="s">
        <v>23393</v>
      </c>
      <c r="B792" s="10" t="s">
        <v>9016</v>
      </c>
      <c r="C792" s="12">
        <v>871000</v>
      </c>
      <c r="D792" s="43" t="str">
        <f>VLOOKUP(C792,'13. CUSTOS DER - SERVIÇOS'!A:B,2,0)</f>
        <v>TACHA REFLETIVA BIDIRECIONAL</v>
      </c>
      <c r="E792" s="11">
        <v>1153</v>
      </c>
      <c r="F792" s="26" t="str">
        <f>VLOOKUP(C792,'13. CUSTOS DER - SERVIÇOS'!A:C,3,0)</f>
        <v>UD</v>
      </c>
      <c r="G792" s="24">
        <f>VLOOKUP(C792,'13. CUSTOS DER - SERVIÇOS'!A:G,7,0)</f>
        <v>18.28</v>
      </c>
      <c r="H792" s="24">
        <v>0</v>
      </c>
      <c r="I792" s="25">
        <f>'3. BDI'!$C$19</f>
        <v>0.24666704095238123</v>
      </c>
      <c r="J792" s="24">
        <f t="shared" si="1262"/>
        <v>22.78</v>
      </c>
      <c r="K792" s="24">
        <f t="shared" si="1263"/>
        <v>0</v>
      </c>
      <c r="L792" s="24">
        <f t="shared" si="1264"/>
        <v>26265.34</v>
      </c>
      <c r="M792" s="24">
        <f t="shared" si="1265"/>
        <v>0</v>
      </c>
      <c r="N792" s="24">
        <f t="shared" si="1266"/>
        <v>26265.34</v>
      </c>
      <c r="P792" s="24">
        <f>260.99/30</f>
        <v>8.6996666666666673</v>
      </c>
      <c r="Q792" s="24">
        <f t="shared" si="1267"/>
        <v>10030.709999999999</v>
      </c>
      <c r="R792" s="24">
        <f t="shared" si="1268"/>
        <v>12504.95</v>
      </c>
      <c r="S792" s="24">
        <f t="shared" si="1269"/>
        <v>13760.39</v>
      </c>
    </row>
    <row r="793" spans="1:19">
      <c r="A793" s="9" t="s">
        <v>23394</v>
      </c>
      <c r="B793" s="10" t="s">
        <v>9016</v>
      </c>
      <c r="C793" s="12">
        <v>873000</v>
      </c>
      <c r="D793" s="43" t="str">
        <f>VLOOKUP(C793,'13. CUSTOS DER - SERVIÇOS'!A:B,2,0)</f>
        <v>TACHÃO REFLETIVO BIDIRECIONAL</v>
      </c>
      <c r="E793" s="11">
        <v>2363</v>
      </c>
      <c r="F793" s="26" t="str">
        <f>VLOOKUP(C793,'13. CUSTOS DER - SERVIÇOS'!A:C,3,0)</f>
        <v>UD</v>
      </c>
      <c r="G793" s="24">
        <f>VLOOKUP(C793,'13. CUSTOS DER - SERVIÇOS'!A:G,7,0)</f>
        <v>31.82</v>
      </c>
      <c r="H793" s="24">
        <v>0</v>
      </c>
      <c r="I793" s="25">
        <f>'3. BDI'!$C$19</f>
        <v>0.24666704095238123</v>
      </c>
      <c r="J793" s="24">
        <f t="shared" si="1262"/>
        <v>39.659999999999997</v>
      </c>
      <c r="K793" s="24">
        <f t="shared" si="1263"/>
        <v>0</v>
      </c>
      <c r="L793" s="24">
        <f t="shared" si="1264"/>
        <v>93716.579999999987</v>
      </c>
      <c r="M793" s="24">
        <f t="shared" si="1265"/>
        <v>0</v>
      </c>
      <c r="N793" s="24">
        <f t="shared" si="1266"/>
        <v>93716.579999999987</v>
      </c>
      <c r="P793" s="24">
        <f>260.99/30</f>
        <v>8.6996666666666673</v>
      </c>
      <c r="Q793" s="24">
        <f t="shared" si="1267"/>
        <v>20557.310000000001</v>
      </c>
      <c r="R793" s="24">
        <f t="shared" si="1268"/>
        <v>25628.12</v>
      </c>
      <c r="S793" s="24">
        <f t="shared" si="1269"/>
        <v>68088.459999999992</v>
      </c>
    </row>
    <row r="794" spans="1:19">
      <c r="A794" s="9" t="s">
        <v>23395</v>
      </c>
      <c r="B794" s="10" t="s">
        <v>358</v>
      </c>
      <c r="C794" s="12" t="s">
        <v>22663</v>
      </c>
      <c r="D794" s="43" t="s">
        <v>287</v>
      </c>
      <c r="E794" s="11">
        <v>4.1399999999999997</v>
      </c>
      <c r="F794" s="13" t="s">
        <v>325</v>
      </c>
      <c r="G794" s="24">
        <f>VLOOKUP(C794,'9. CCU''S GERAIS AMEP'!A:K,11,0)</f>
        <v>27.597537878787879</v>
      </c>
      <c r="H794" s="24">
        <v>0</v>
      </c>
      <c r="I794" s="25">
        <f>'3. BDI'!$C$19</f>
        <v>0.24666704095238123</v>
      </c>
      <c r="J794" s="24">
        <f t="shared" si="1262"/>
        <v>34.4</v>
      </c>
      <c r="K794" s="24">
        <f t="shared" si="1263"/>
        <v>0</v>
      </c>
      <c r="L794" s="24">
        <f t="shared" si="1264"/>
        <v>142.416</v>
      </c>
      <c r="M794" s="24">
        <f t="shared" si="1265"/>
        <v>0</v>
      </c>
      <c r="N794" s="24">
        <f t="shared" si="1266"/>
        <v>142.416</v>
      </c>
      <c r="P794" s="24">
        <f>94.38/10.56</f>
        <v>8.9375</v>
      </c>
      <c r="Q794" s="24">
        <f t="shared" ref="Q794:Q795" si="1270">P794*E794</f>
        <v>37.001249999999999</v>
      </c>
      <c r="R794" s="24">
        <f t="shared" si="1268"/>
        <v>46.12</v>
      </c>
      <c r="S794" s="24">
        <f t="shared" si="1269"/>
        <v>96.295999999999992</v>
      </c>
    </row>
    <row r="795" spans="1:19">
      <c r="A795" s="9" t="s">
        <v>23396</v>
      </c>
      <c r="B795" s="10" t="s">
        <v>358</v>
      </c>
      <c r="C795" s="12" t="s">
        <v>22666</v>
      </c>
      <c r="D795" s="43" t="s">
        <v>290</v>
      </c>
      <c r="E795" s="11">
        <v>5</v>
      </c>
      <c r="F795" s="13" t="s">
        <v>328</v>
      </c>
      <c r="G795" s="24">
        <f>VLOOKUP(C795,'9. CCU''S GERAIS AMEP'!A:K,11,0)</f>
        <v>335.54140000000001</v>
      </c>
      <c r="H795" s="24">
        <f>VLOOKUP(C795,'10. CCU TRANSPORTE'!B:J,9,0)</f>
        <v>2.14</v>
      </c>
      <c r="I795" s="25">
        <f>'3. BDI'!$C$19</f>
        <v>0.24666704095238123</v>
      </c>
      <c r="J795" s="24">
        <f t="shared" si="1262"/>
        <v>418.3</v>
      </c>
      <c r="K795" s="24">
        <f t="shared" si="1263"/>
        <v>2.66</v>
      </c>
      <c r="L795" s="24">
        <f t="shared" si="1264"/>
        <v>2091.5</v>
      </c>
      <c r="M795" s="24">
        <f t="shared" si="1265"/>
        <v>13.3</v>
      </c>
      <c r="N795" s="24">
        <f t="shared" si="1266"/>
        <v>2104.8000000000002</v>
      </c>
      <c r="P795" s="24">
        <f>37.37/0.5</f>
        <v>74.739999999999995</v>
      </c>
      <c r="Q795" s="24">
        <f t="shared" si="1270"/>
        <v>373.7</v>
      </c>
      <c r="R795" s="24">
        <f t="shared" si="1268"/>
        <v>465.87</v>
      </c>
      <c r="S795" s="24">
        <f t="shared" si="1269"/>
        <v>1638.9300000000003</v>
      </c>
    </row>
    <row r="796" spans="1:19">
      <c r="A796" s="28" t="s">
        <v>22982</v>
      </c>
      <c r="B796" s="48"/>
      <c r="C796" s="29"/>
      <c r="D796" s="301" t="s">
        <v>22842</v>
      </c>
      <c r="E796" s="30"/>
      <c r="F796" s="29" t="s">
        <v>195</v>
      </c>
      <c r="G796" s="30"/>
      <c r="H796" s="30"/>
      <c r="I796" s="31"/>
      <c r="J796" s="30"/>
      <c r="K796" s="30"/>
      <c r="L796" s="30">
        <f t="shared" ref="L796:M796" si="1271">SUM(L797:L804)</f>
        <v>166502.75879999998</v>
      </c>
      <c r="M796" s="30">
        <f t="shared" si="1271"/>
        <v>0</v>
      </c>
      <c r="N796" s="30">
        <f>SUM(N797:N804)</f>
        <v>166502.75879999998</v>
      </c>
      <c r="P796" s="30">
        <f t="shared" ref="P796:S796" si="1272">SUM(P797:P804)</f>
        <v>99.190654761904767</v>
      </c>
      <c r="Q796" s="30">
        <f t="shared" si="1272"/>
        <v>25083.978499999997</v>
      </c>
      <c r="R796" s="30">
        <f t="shared" si="1272"/>
        <v>31271.329999999998</v>
      </c>
      <c r="S796" s="30">
        <f t="shared" si="1272"/>
        <v>135231.42879999999</v>
      </c>
    </row>
    <row r="797" spans="1:19">
      <c r="A797" s="9" t="s">
        <v>23397</v>
      </c>
      <c r="B797" s="10" t="s">
        <v>9016</v>
      </c>
      <c r="C797" s="12">
        <v>800900</v>
      </c>
      <c r="D797" s="43" t="str">
        <f>VLOOKUP(C797,'13. CUSTOS DER - SERVIÇOS'!A:B,2,0)</f>
        <v>LIMPEZA E LAVAGEM DE SINALIZAÇÃO VERTICAL</v>
      </c>
      <c r="E797" s="11">
        <v>13.47</v>
      </c>
      <c r="F797" s="26" t="str">
        <f>VLOOKUP(C797,'13. CUSTOS DER - SERVIÇOS'!A:C,3,0)</f>
        <v>M2</v>
      </c>
      <c r="G797" s="24">
        <f>VLOOKUP(C797,'13. CUSTOS DER - SERVIÇOS'!A:G,7,0)</f>
        <v>13.25</v>
      </c>
      <c r="H797" s="24">
        <v>0</v>
      </c>
      <c r="I797" s="25">
        <f>'3. BDI'!$C$19</f>
        <v>0.24666704095238123</v>
      </c>
      <c r="J797" s="24">
        <f t="shared" ref="J797:J804" si="1273">TRUNC(G797+(G797*I797),2)</f>
        <v>16.510000000000002</v>
      </c>
      <c r="K797" s="24">
        <f t="shared" ref="K797:K804" si="1274">TRUNC(H797+(H797*I797),2)</f>
        <v>0</v>
      </c>
      <c r="L797" s="24">
        <f t="shared" ref="L797:L804" si="1275">J797*E797</f>
        <v>222.38970000000003</v>
      </c>
      <c r="M797" s="24">
        <f t="shared" ref="M797:M804" si="1276">K797*E797</f>
        <v>0</v>
      </c>
      <c r="N797" s="24">
        <f t="shared" ref="N797:N804" si="1277">L797+M797</f>
        <v>222.38970000000003</v>
      </c>
      <c r="P797" s="24">
        <f>617.77/140</f>
        <v>4.4126428571428571</v>
      </c>
      <c r="Q797" s="24">
        <f t="shared" ref="Q797:Q802" si="1278">TRUNC(P797*E797,2)</f>
        <v>59.43</v>
      </c>
      <c r="R797" s="24">
        <f t="shared" ref="R797:R804" si="1279">TRUNC((Q797*I797+Q797),2)</f>
        <v>74.08</v>
      </c>
      <c r="S797" s="24">
        <f t="shared" ref="S797:S804" si="1280">N797-R797</f>
        <v>148.30970000000002</v>
      </c>
    </row>
    <row r="798" spans="1:19">
      <c r="A798" s="9" t="s">
        <v>23398</v>
      </c>
      <c r="B798" s="10" t="s">
        <v>9016</v>
      </c>
      <c r="C798" s="12">
        <v>820000</v>
      </c>
      <c r="D798" s="43" t="str">
        <f>VLOOKUP(C798,'13. CUSTOS DER - SERVIÇOS'!A:B,2,0)</f>
        <v>PLACA SINALIZAÇÃO C/ PELÍCULA REFLETIVA</v>
      </c>
      <c r="E798" s="11">
        <v>22.13</v>
      </c>
      <c r="F798" s="26" t="str">
        <f>VLOOKUP(C798,'13. CUSTOS DER - SERVIÇOS'!A:C,3,0)</f>
        <v>M2</v>
      </c>
      <c r="G798" s="24">
        <f>VLOOKUP(C798,'13. CUSTOS DER - SERVIÇOS'!A:G,7,0)</f>
        <v>542.29999999999995</v>
      </c>
      <c r="H798" s="24">
        <v>0</v>
      </c>
      <c r="I798" s="25">
        <f>'3. BDI'!$C$19</f>
        <v>0.24666704095238123</v>
      </c>
      <c r="J798" s="24">
        <f t="shared" si="1273"/>
        <v>676.06</v>
      </c>
      <c r="K798" s="24">
        <f t="shared" si="1274"/>
        <v>0</v>
      </c>
      <c r="L798" s="24">
        <f t="shared" si="1275"/>
        <v>14961.207799999998</v>
      </c>
      <c r="M798" s="24">
        <f t="shared" si="1276"/>
        <v>0</v>
      </c>
      <c r="N798" s="24">
        <f t="shared" si="1277"/>
        <v>14961.207799999998</v>
      </c>
      <c r="P798" s="24">
        <v>0</v>
      </c>
      <c r="Q798" s="24">
        <f t="shared" si="1278"/>
        <v>0</v>
      </c>
      <c r="R798" s="24">
        <f t="shared" si="1279"/>
        <v>0</v>
      </c>
      <c r="S798" s="24">
        <f t="shared" si="1280"/>
        <v>14961.207799999998</v>
      </c>
    </row>
    <row r="799" spans="1:19">
      <c r="A799" s="9" t="s">
        <v>23399</v>
      </c>
      <c r="B799" s="10" t="s">
        <v>9016</v>
      </c>
      <c r="C799" s="12">
        <v>821000</v>
      </c>
      <c r="D799" s="43" t="str">
        <f>VLOOKUP(C799,'13. CUSTOS DER - SERVIÇOS'!A:B,2,0)</f>
        <v>SUPORTE DE MADEIRA 3"X3" P/ PLACA SINALIZAÇÃO, H=3,00M</v>
      </c>
      <c r="E799" s="11">
        <v>53</v>
      </c>
      <c r="F799" s="26" t="str">
        <f>VLOOKUP(C799,'13. CUSTOS DER - SERVIÇOS'!A:C,3,0)</f>
        <v>UD</v>
      </c>
      <c r="G799" s="24">
        <f>VLOOKUP(C799,'13. CUSTOS DER - SERVIÇOS'!A:G,7,0)</f>
        <v>167.69</v>
      </c>
      <c r="H799" s="24">
        <v>0</v>
      </c>
      <c r="I799" s="25">
        <f>'3. BDI'!$C$19</f>
        <v>0.24666704095238123</v>
      </c>
      <c r="J799" s="24">
        <f t="shared" si="1273"/>
        <v>209.05</v>
      </c>
      <c r="K799" s="24">
        <f t="shared" si="1274"/>
        <v>0</v>
      </c>
      <c r="L799" s="24">
        <f t="shared" si="1275"/>
        <v>11079.650000000001</v>
      </c>
      <c r="M799" s="24">
        <f t="shared" si="1276"/>
        <v>0</v>
      </c>
      <c r="N799" s="24">
        <f t="shared" si="1277"/>
        <v>11079.650000000001</v>
      </c>
      <c r="P799" s="24">
        <f>37.3/1</f>
        <v>37.299999999999997</v>
      </c>
      <c r="Q799" s="24">
        <f t="shared" si="1278"/>
        <v>1976.9</v>
      </c>
      <c r="R799" s="24">
        <f t="shared" si="1279"/>
        <v>2464.5300000000002</v>
      </c>
      <c r="S799" s="24">
        <f t="shared" si="1280"/>
        <v>8615.1200000000008</v>
      </c>
    </row>
    <row r="800" spans="1:19" ht="31.5">
      <c r="A800" s="9" t="s">
        <v>23400</v>
      </c>
      <c r="B800" s="10" t="s">
        <v>9016</v>
      </c>
      <c r="C800" s="12">
        <v>822350</v>
      </c>
      <c r="D800" s="43" t="str">
        <f>VLOOKUP(C800,'13. CUSTOS DER - SERVIÇOS'!A:B,2,0)</f>
        <v>FAIXA DE SINALIZAÇÃO HORIZONTAL - TERMOPLÁSTICO POR ASPERSÃO - E=1,5MM</v>
      </c>
      <c r="E800" s="11">
        <v>1190.69</v>
      </c>
      <c r="F800" s="26" t="str">
        <f>VLOOKUP(C800,'13. CUSTOS DER - SERVIÇOS'!A:C,3,0)</f>
        <v>M2</v>
      </c>
      <c r="G800" s="24">
        <f>VLOOKUP(C800,'13. CUSTOS DER - SERVIÇOS'!A:G,7,0)</f>
        <v>55.68</v>
      </c>
      <c r="H800" s="24">
        <v>0</v>
      </c>
      <c r="I800" s="25">
        <f>'3. BDI'!$C$19</f>
        <v>0.24666704095238123</v>
      </c>
      <c r="J800" s="24">
        <f t="shared" si="1273"/>
        <v>69.41</v>
      </c>
      <c r="K800" s="24">
        <f t="shared" si="1274"/>
        <v>0</v>
      </c>
      <c r="L800" s="24">
        <f t="shared" si="1275"/>
        <v>82645.7929</v>
      </c>
      <c r="M800" s="24">
        <f t="shared" si="1276"/>
        <v>0</v>
      </c>
      <c r="N800" s="24">
        <f t="shared" si="1277"/>
        <v>82645.7929</v>
      </c>
      <c r="P800" s="24">
        <f>346.79/40</f>
        <v>8.6697500000000005</v>
      </c>
      <c r="Q800" s="24">
        <f t="shared" si="1278"/>
        <v>10322.98</v>
      </c>
      <c r="R800" s="24">
        <f t="shared" si="1279"/>
        <v>12869.31</v>
      </c>
      <c r="S800" s="24">
        <f t="shared" si="1280"/>
        <v>69776.482900000003</v>
      </c>
    </row>
    <row r="801" spans="1:19">
      <c r="A801" s="9" t="s">
        <v>23401</v>
      </c>
      <c r="B801" s="10" t="s">
        <v>9016</v>
      </c>
      <c r="C801" s="12">
        <v>871000</v>
      </c>
      <c r="D801" s="43" t="str">
        <f>VLOOKUP(C801,'13. CUSTOS DER - SERVIÇOS'!A:B,2,0)</f>
        <v>TACHA REFLETIVA BIDIRECIONAL</v>
      </c>
      <c r="E801" s="11">
        <v>14</v>
      </c>
      <c r="F801" s="26" t="str">
        <f>VLOOKUP(C801,'13. CUSTOS DER - SERVIÇOS'!A:C,3,0)</f>
        <v>UD</v>
      </c>
      <c r="G801" s="24">
        <f>VLOOKUP(C801,'13. CUSTOS DER - SERVIÇOS'!A:G,7,0)</f>
        <v>18.28</v>
      </c>
      <c r="H801" s="24">
        <v>0</v>
      </c>
      <c r="I801" s="25">
        <f>'3. BDI'!$C$19</f>
        <v>0.24666704095238123</v>
      </c>
      <c r="J801" s="24">
        <f t="shared" si="1273"/>
        <v>22.78</v>
      </c>
      <c r="K801" s="24">
        <f t="shared" si="1274"/>
        <v>0</v>
      </c>
      <c r="L801" s="24">
        <f t="shared" si="1275"/>
        <v>318.92</v>
      </c>
      <c r="M801" s="24">
        <f t="shared" si="1276"/>
        <v>0</v>
      </c>
      <c r="N801" s="24">
        <f t="shared" si="1277"/>
        <v>318.92</v>
      </c>
      <c r="P801" s="24">
        <f>260.99/30</f>
        <v>8.6996666666666673</v>
      </c>
      <c r="Q801" s="24">
        <f t="shared" si="1278"/>
        <v>121.79</v>
      </c>
      <c r="R801" s="24">
        <f t="shared" si="1279"/>
        <v>151.83000000000001</v>
      </c>
      <c r="S801" s="24">
        <f t="shared" si="1280"/>
        <v>167.09</v>
      </c>
    </row>
    <row r="802" spans="1:19">
      <c r="A802" s="9" t="s">
        <v>23402</v>
      </c>
      <c r="B802" s="10" t="s">
        <v>9016</v>
      </c>
      <c r="C802" s="12">
        <v>873000</v>
      </c>
      <c r="D802" s="43" t="str">
        <f>VLOOKUP(C802,'13. CUSTOS DER - SERVIÇOS'!A:B,2,0)</f>
        <v>TACHÃO REFLETIVO BIDIRECIONAL</v>
      </c>
      <c r="E802" s="11">
        <v>1437</v>
      </c>
      <c r="F802" s="26" t="str">
        <f>VLOOKUP(C802,'13. CUSTOS DER - SERVIÇOS'!A:C,3,0)</f>
        <v>UD</v>
      </c>
      <c r="G802" s="24">
        <f>VLOOKUP(C802,'13. CUSTOS DER - SERVIÇOS'!A:G,7,0)</f>
        <v>31.82</v>
      </c>
      <c r="H802" s="24">
        <v>0</v>
      </c>
      <c r="I802" s="25">
        <f>'3. BDI'!$C$19</f>
        <v>0.24666704095238123</v>
      </c>
      <c r="J802" s="24">
        <f t="shared" si="1273"/>
        <v>39.659999999999997</v>
      </c>
      <c r="K802" s="24">
        <f t="shared" si="1274"/>
        <v>0</v>
      </c>
      <c r="L802" s="24">
        <f t="shared" si="1275"/>
        <v>56991.42</v>
      </c>
      <c r="M802" s="24">
        <f t="shared" si="1276"/>
        <v>0</v>
      </c>
      <c r="N802" s="24">
        <f t="shared" si="1277"/>
        <v>56991.42</v>
      </c>
      <c r="P802" s="24">
        <f>260.99/30</f>
        <v>8.6996666666666673</v>
      </c>
      <c r="Q802" s="24">
        <f t="shared" si="1278"/>
        <v>12501.42</v>
      </c>
      <c r="R802" s="24">
        <f t="shared" si="1279"/>
        <v>15585.1</v>
      </c>
      <c r="S802" s="24">
        <f t="shared" si="1280"/>
        <v>41406.32</v>
      </c>
    </row>
    <row r="803" spans="1:19">
      <c r="A803" s="9" t="s">
        <v>23403</v>
      </c>
      <c r="B803" s="10" t="s">
        <v>358</v>
      </c>
      <c r="C803" s="12" t="s">
        <v>22663</v>
      </c>
      <c r="D803" s="43" t="s">
        <v>287</v>
      </c>
      <c r="E803" s="11">
        <v>2.2000000000000002</v>
      </c>
      <c r="F803" s="13" t="s">
        <v>325</v>
      </c>
      <c r="G803" s="24">
        <f>VLOOKUP(C803,'9. CCU''S GERAIS AMEP'!A:K,11,0)</f>
        <v>27.597537878787879</v>
      </c>
      <c r="H803" s="24">
        <v>0</v>
      </c>
      <c r="I803" s="25">
        <f>'3. BDI'!$C$19</f>
        <v>0.24666704095238123</v>
      </c>
      <c r="J803" s="24">
        <f t="shared" si="1273"/>
        <v>34.4</v>
      </c>
      <c r="K803" s="24">
        <f t="shared" si="1274"/>
        <v>0</v>
      </c>
      <c r="L803" s="24">
        <f t="shared" si="1275"/>
        <v>75.680000000000007</v>
      </c>
      <c r="M803" s="24">
        <f t="shared" si="1276"/>
        <v>0</v>
      </c>
      <c r="N803" s="24">
        <f t="shared" si="1277"/>
        <v>75.680000000000007</v>
      </c>
      <c r="P803" s="24">
        <f>94.38/10.56</f>
        <v>8.9375</v>
      </c>
      <c r="Q803" s="24">
        <f t="shared" ref="Q803:Q804" si="1281">P803*E803</f>
        <v>19.662500000000001</v>
      </c>
      <c r="R803" s="24">
        <f t="shared" si="1279"/>
        <v>24.51</v>
      </c>
      <c r="S803" s="24">
        <f t="shared" si="1280"/>
        <v>51.17</v>
      </c>
    </row>
    <row r="804" spans="1:19">
      <c r="A804" s="9" t="s">
        <v>23404</v>
      </c>
      <c r="B804" s="10" t="s">
        <v>358</v>
      </c>
      <c r="C804" s="12" t="s">
        <v>22664</v>
      </c>
      <c r="D804" s="43" t="s">
        <v>288</v>
      </c>
      <c r="E804" s="11">
        <v>3.64</v>
      </c>
      <c r="F804" s="13" t="s">
        <v>325</v>
      </c>
      <c r="G804" s="24">
        <f>VLOOKUP(C804,'9. CCU''S GERAIS AMEP'!A:K,11,0)</f>
        <v>45.775000000000006</v>
      </c>
      <c r="H804" s="24">
        <v>0</v>
      </c>
      <c r="I804" s="25">
        <f>'3. BDI'!$C$19</f>
        <v>0.24666704095238123</v>
      </c>
      <c r="J804" s="24">
        <f t="shared" si="1273"/>
        <v>57.06</v>
      </c>
      <c r="K804" s="24">
        <f t="shared" si="1274"/>
        <v>0</v>
      </c>
      <c r="L804" s="24">
        <f t="shared" si="1275"/>
        <v>207.69840000000002</v>
      </c>
      <c r="M804" s="24">
        <f t="shared" si="1276"/>
        <v>0</v>
      </c>
      <c r="N804" s="24">
        <f t="shared" si="1277"/>
        <v>207.69840000000002</v>
      </c>
      <c r="P804" s="24">
        <f>125.84/5.6</f>
        <v>22.471428571428575</v>
      </c>
      <c r="Q804" s="24">
        <f t="shared" si="1281"/>
        <v>81.796000000000021</v>
      </c>
      <c r="R804" s="24">
        <f t="shared" si="1279"/>
        <v>101.97</v>
      </c>
      <c r="S804" s="24">
        <f t="shared" si="1280"/>
        <v>105.72840000000002</v>
      </c>
    </row>
    <row r="805" spans="1:19">
      <c r="A805" s="28" t="s">
        <v>22983</v>
      </c>
      <c r="B805" s="48"/>
      <c r="C805" s="29"/>
      <c r="D805" s="301" t="s">
        <v>22843</v>
      </c>
      <c r="E805" s="30"/>
      <c r="F805" s="29" t="s">
        <v>195</v>
      </c>
      <c r="G805" s="30"/>
      <c r="H805" s="30"/>
      <c r="I805" s="31"/>
      <c r="J805" s="30"/>
      <c r="K805" s="30"/>
      <c r="L805" s="30">
        <f t="shared" ref="L805:M805" si="1282">SUM(L806:L814)</f>
        <v>934181.67729999986</v>
      </c>
      <c r="M805" s="30">
        <f t="shared" si="1282"/>
        <v>0</v>
      </c>
      <c r="N805" s="30">
        <f>SUM(N806:N814)</f>
        <v>934181.67729999986</v>
      </c>
      <c r="P805" s="30">
        <f t="shared" ref="P805:S805" si="1283">SUM(P806:P814)</f>
        <v>159.89315476190478</v>
      </c>
      <c r="Q805" s="30">
        <f t="shared" si="1283"/>
        <v>124580.70776785715</v>
      </c>
      <c r="R805" s="30">
        <f t="shared" si="1283"/>
        <v>155310.62</v>
      </c>
      <c r="S805" s="30">
        <f t="shared" si="1283"/>
        <v>778871.0573000001</v>
      </c>
    </row>
    <row r="806" spans="1:19">
      <c r="A806" s="9" t="s">
        <v>23405</v>
      </c>
      <c r="B806" s="10" t="s">
        <v>9016</v>
      </c>
      <c r="C806" s="12">
        <v>800900</v>
      </c>
      <c r="D806" s="43" t="str">
        <f>VLOOKUP(C806,'13. CUSTOS DER - SERVIÇOS'!A:B,2,0)</f>
        <v>LIMPEZA E LAVAGEM DE SINALIZAÇÃO VERTICAL</v>
      </c>
      <c r="E806" s="11">
        <v>0.3</v>
      </c>
      <c r="F806" s="26" t="str">
        <f>VLOOKUP(C806,'13. CUSTOS DER - SERVIÇOS'!A:C,3,0)</f>
        <v>M2</v>
      </c>
      <c r="G806" s="24">
        <f>VLOOKUP(C806,'13. CUSTOS DER - SERVIÇOS'!A:G,7,0)</f>
        <v>13.25</v>
      </c>
      <c r="H806" s="24">
        <v>0</v>
      </c>
      <c r="I806" s="25">
        <f>'3. BDI'!$C$19</f>
        <v>0.24666704095238123</v>
      </c>
      <c r="J806" s="24">
        <f t="shared" ref="J806:J814" si="1284">TRUNC(G806+(G806*I806),2)</f>
        <v>16.510000000000002</v>
      </c>
      <c r="K806" s="24">
        <f t="shared" ref="K806:K814" si="1285">TRUNC(H806+(H806*I806),2)</f>
        <v>0</v>
      </c>
      <c r="L806" s="24">
        <f t="shared" ref="L806:L814" si="1286">J806*E806</f>
        <v>4.9530000000000003</v>
      </c>
      <c r="M806" s="24">
        <f t="shared" ref="M806:M814" si="1287">K806*E806</f>
        <v>0</v>
      </c>
      <c r="N806" s="24">
        <f t="shared" ref="N806:N814" si="1288">L806+M806</f>
        <v>4.9530000000000003</v>
      </c>
      <c r="P806" s="24">
        <f>617.77/140</f>
        <v>4.4126428571428571</v>
      </c>
      <c r="Q806" s="24">
        <f t="shared" ref="Q806:Q812" si="1289">TRUNC(P806*E806,2)</f>
        <v>1.32</v>
      </c>
      <c r="R806" s="24">
        <f t="shared" ref="R806:R814" si="1290">TRUNC((Q806*I806+Q806),2)</f>
        <v>1.64</v>
      </c>
      <c r="S806" s="24">
        <f t="shared" ref="S806:S814" si="1291">N806-R806</f>
        <v>3.3130000000000006</v>
      </c>
    </row>
    <row r="807" spans="1:19">
      <c r="A807" s="9" t="s">
        <v>23406</v>
      </c>
      <c r="B807" s="10" t="s">
        <v>9016</v>
      </c>
      <c r="C807" s="12">
        <v>820000</v>
      </c>
      <c r="D807" s="43" t="str">
        <f>VLOOKUP(C807,'13. CUSTOS DER - SERVIÇOS'!A:B,2,0)</f>
        <v>PLACA SINALIZAÇÃO C/ PELÍCULA REFLETIVA</v>
      </c>
      <c r="E807" s="11">
        <v>19.48</v>
      </c>
      <c r="F807" s="26" t="str">
        <f>VLOOKUP(C807,'13. CUSTOS DER - SERVIÇOS'!A:C,3,0)</f>
        <v>M2</v>
      </c>
      <c r="G807" s="24">
        <f>VLOOKUP(C807,'13. CUSTOS DER - SERVIÇOS'!A:G,7,0)</f>
        <v>542.29999999999995</v>
      </c>
      <c r="H807" s="24">
        <v>0</v>
      </c>
      <c r="I807" s="25">
        <f>'3. BDI'!$C$19</f>
        <v>0.24666704095238123</v>
      </c>
      <c r="J807" s="24">
        <f t="shared" si="1284"/>
        <v>676.06</v>
      </c>
      <c r="K807" s="24">
        <f t="shared" si="1285"/>
        <v>0</v>
      </c>
      <c r="L807" s="24">
        <f t="shared" si="1286"/>
        <v>13169.648799999999</v>
      </c>
      <c r="M807" s="24">
        <f t="shared" si="1287"/>
        <v>0</v>
      </c>
      <c r="N807" s="24">
        <f t="shared" si="1288"/>
        <v>13169.648799999999</v>
      </c>
      <c r="P807" s="24">
        <v>0</v>
      </c>
      <c r="Q807" s="24">
        <f t="shared" si="1289"/>
        <v>0</v>
      </c>
      <c r="R807" s="24">
        <f t="shared" si="1290"/>
        <v>0</v>
      </c>
      <c r="S807" s="24">
        <f t="shared" si="1291"/>
        <v>13169.648799999999</v>
      </c>
    </row>
    <row r="808" spans="1:19">
      <c r="A808" s="9" t="s">
        <v>23407</v>
      </c>
      <c r="B808" s="10" t="s">
        <v>9016</v>
      </c>
      <c r="C808" s="12">
        <v>821000</v>
      </c>
      <c r="D808" s="43" t="str">
        <f>VLOOKUP(C808,'13. CUSTOS DER - SERVIÇOS'!A:B,2,0)</f>
        <v>SUPORTE DE MADEIRA 3"X3" P/ PLACA SINALIZAÇÃO, H=3,00M</v>
      </c>
      <c r="E808" s="11">
        <v>71</v>
      </c>
      <c r="F808" s="26" t="str">
        <f>VLOOKUP(C808,'13. CUSTOS DER - SERVIÇOS'!A:C,3,0)</f>
        <v>UD</v>
      </c>
      <c r="G808" s="24">
        <f>VLOOKUP(C808,'13. CUSTOS DER - SERVIÇOS'!A:G,7,0)</f>
        <v>167.69</v>
      </c>
      <c r="H808" s="24">
        <v>0</v>
      </c>
      <c r="I808" s="25">
        <f>'3. BDI'!$C$19</f>
        <v>0.24666704095238123</v>
      </c>
      <c r="J808" s="24">
        <f t="shared" si="1284"/>
        <v>209.05</v>
      </c>
      <c r="K808" s="24">
        <f t="shared" si="1285"/>
        <v>0</v>
      </c>
      <c r="L808" s="24">
        <f t="shared" si="1286"/>
        <v>14842.550000000001</v>
      </c>
      <c r="M808" s="24">
        <f t="shared" si="1287"/>
        <v>0</v>
      </c>
      <c r="N808" s="24">
        <f t="shared" si="1288"/>
        <v>14842.550000000001</v>
      </c>
      <c r="P808" s="24">
        <f>37.3/1</f>
        <v>37.299999999999997</v>
      </c>
      <c r="Q808" s="24">
        <f t="shared" si="1289"/>
        <v>2648.3</v>
      </c>
      <c r="R808" s="24">
        <f t="shared" si="1290"/>
        <v>3301.54</v>
      </c>
      <c r="S808" s="24">
        <f t="shared" si="1291"/>
        <v>11541.010000000002</v>
      </c>
    </row>
    <row r="809" spans="1:19" ht="31.5">
      <c r="A809" s="9" t="s">
        <v>23408</v>
      </c>
      <c r="B809" s="10" t="s">
        <v>9016</v>
      </c>
      <c r="C809" s="12">
        <v>822350</v>
      </c>
      <c r="D809" s="43" t="str">
        <f>VLOOKUP(C809,'13. CUSTOS DER - SERVIÇOS'!A:B,2,0)</f>
        <v>FAIXA DE SINALIZAÇÃO HORIZONTAL - TERMOPLÁSTICO POR ASPERSÃO - E=1,5MM</v>
      </c>
      <c r="E809" s="11">
        <v>5647.95</v>
      </c>
      <c r="F809" s="26" t="str">
        <f>VLOOKUP(C809,'13. CUSTOS DER - SERVIÇOS'!A:C,3,0)</f>
        <v>M2</v>
      </c>
      <c r="G809" s="24">
        <f>VLOOKUP(C809,'13. CUSTOS DER - SERVIÇOS'!A:G,7,0)</f>
        <v>55.68</v>
      </c>
      <c r="H809" s="24">
        <v>0</v>
      </c>
      <c r="I809" s="25">
        <f>'3. BDI'!$C$19</f>
        <v>0.24666704095238123</v>
      </c>
      <c r="J809" s="24">
        <f t="shared" si="1284"/>
        <v>69.41</v>
      </c>
      <c r="K809" s="24">
        <f t="shared" si="1285"/>
        <v>0</v>
      </c>
      <c r="L809" s="24">
        <f t="shared" si="1286"/>
        <v>392024.2095</v>
      </c>
      <c r="M809" s="24">
        <f t="shared" si="1287"/>
        <v>0</v>
      </c>
      <c r="N809" s="24">
        <f t="shared" si="1288"/>
        <v>392024.2095</v>
      </c>
      <c r="P809" s="24">
        <f>346.79/40</f>
        <v>8.6697500000000005</v>
      </c>
      <c r="Q809" s="24">
        <f t="shared" si="1289"/>
        <v>48966.31</v>
      </c>
      <c r="R809" s="24">
        <f t="shared" si="1290"/>
        <v>61044.68</v>
      </c>
      <c r="S809" s="24">
        <f t="shared" si="1291"/>
        <v>330979.5295</v>
      </c>
    </row>
    <row r="810" spans="1:19">
      <c r="A810" s="9" t="s">
        <v>23409</v>
      </c>
      <c r="B810" s="10" t="s">
        <v>9016</v>
      </c>
      <c r="C810" s="12">
        <v>823000</v>
      </c>
      <c r="D810" s="43" t="str">
        <f>VLOOKUP(C810,'13. CUSTOS DER - SERVIÇOS'!A:B,2,0)</f>
        <v>DEFENSA SIMPLES SEMI-MALEÁVEL C/ ESPAÇADOR E CALÇO</v>
      </c>
      <c r="E810" s="11">
        <v>612</v>
      </c>
      <c r="F810" s="26" t="str">
        <f>VLOOKUP(C810,'13. CUSTOS DER - SERVIÇOS'!A:C,3,0)</f>
        <v>M</v>
      </c>
      <c r="G810" s="24">
        <f>VLOOKUP(C810,'13. CUSTOS DER - SERVIÇOS'!A:G,7,0)</f>
        <v>490.71</v>
      </c>
      <c r="H810" s="24">
        <v>0</v>
      </c>
      <c r="I810" s="25">
        <f>'3. BDI'!$C$19</f>
        <v>0.24666704095238123</v>
      </c>
      <c r="J810" s="24">
        <f t="shared" si="1284"/>
        <v>611.75</v>
      </c>
      <c r="K810" s="24">
        <f t="shared" si="1285"/>
        <v>0</v>
      </c>
      <c r="L810" s="24">
        <f t="shared" si="1286"/>
        <v>374391</v>
      </c>
      <c r="M810" s="24">
        <f t="shared" si="1287"/>
        <v>0</v>
      </c>
      <c r="N810" s="24">
        <f t="shared" si="1288"/>
        <v>374391</v>
      </c>
      <c r="P810" s="24">
        <f>242.81/4</f>
        <v>60.702500000000001</v>
      </c>
      <c r="Q810" s="24">
        <f t="shared" si="1289"/>
        <v>37149.93</v>
      </c>
      <c r="R810" s="24">
        <f t="shared" si="1290"/>
        <v>46313.59</v>
      </c>
      <c r="S810" s="24">
        <f t="shared" si="1291"/>
        <v>328077.41000000003</v>
      </c>
    </row>
    <row r="811" spans="1:19">
      <c r="A811" s="9" t="s">
        <v>23410</v>
      </c>
      <c r="B811" s="10" t="s">
        <v>9016</v>
      </c>
      <c r="C811" s="12">
        <v>871000</v>
      </c>
      <c r="D811" s="43" t="str">
        <f>VLOOKUP(C811,'13. CUSTOS DER - SERVIÇOS'!A:B,2,0)</f>
        <v>TACHA REFLETIVA BIDIRECIONAL</v>
      </c>
      <c r="E811" s="11">
        <v>1361</v>
      </c>
      <c r="F811" s="26" t="str">
        <f>VLOOKUP(C811,'13. CUSTOS DER - SERVIÇOS'!A:C,3,0)</f>
        <v>UD</v>
      </c>
      <c r="G811" s="24">
        <f>VLOOKUP(C811,'13. CUSTOS DER - SERVIÇOS'!A:G,7,0)</f>
        <v>18.28</v>
      </c>
      <c r="H811" s="24">
        <v>0</v>
      </c>
      <c r="I811" s="25">
        <f>'3. BDI'!$C$19</f>
        <v>0.24666704095238123</v>
      </c>
      <c r="J811" s="24">
        <f t="shared" si="1284"/>
        <v>22.78</v>
      </c>
      <c r="K811" s="24">
        <f t="shared" si="1285"/>
        <v>0</v>
      </c>
      <c r="L811" s="24">
        <f t="shared" si="1286"/>
        <v>31003.58</v>
      </c>
      <c r="M811" s="24">
        <f t="shared" si="1287"/>
        <v>0</v>
      </c>
      <c r="N811" s="24">
        <f t="shared" si="1288"/>
        <v>31003.58</v>
      </c>
      <c r="P811" s="24">
        <f>260.99/30</f>
        <v>8.6996666666666673</v>
      </c>
      <c r="Q811" s="24">
        <f t="shared" si="1289"/>
        <v>11840.24</v>
      </c>
      <c r="R811" s="24">
        <f t="shared" si="1290"/>
        <v>14760.83</v>
      </c>
      <c r="S811" s="24">
        <f t="shared" si="1291"/>
        <v>16242.750000000002</v>
      </c>
    </row>
    <row r="812" spans="1:19">
      <c r="A812" s="9" t="s">
        <v>23411</v>
      </c>
      <c r="B812" s="10" t="s">
        <v>9016</v>
      </c>
      <c r="C812" s="12">
        <v>873000</v>
      </c>
      <c r="D812" s="43" t="str">
        <f>VLOOKUP(C812,'13. CUSTOS DER - SERVIÇOS'!A:B,2,0)</f>
        <v>TACHÃO REFLETIVO BIDIRECIONAL</v>
      </c>
      <c r="E812" s="11">
        <v>2724</v>
      </c>
      <c r="F812" s="26" t="str">
        <f>VLOOKUP(C812,'13. CUSTOS DER - SERVIÇOS'!A:C,3,0)</f>
        <v>UD</v>
      </c>
      <c r="G812" s="24">
        <f>VLOOKUP(C812,'13. CUSTOS DER - SERVIÇOS'!A:G,7,0)</f>
        <v>31.82</v>
      </c>
      <c r="H812" s="24">
        <v>0</v>
      </c>
      <c r="I812" s="25">
        <f>'3. BDI'!$C$19</f>
        <v>0.24666704095238123</v>
      </c>
      <c r="J812" s="24">
        <f t="shared" si="1284"/>
        <v>39.659999999999997</v>
      </c>
      <c r="K812" s="24">
        <f t="shared" si="1285"/>
        <v>0</v>
      </c>
      <c r="L812" s="24">
        <f t="shared" si="1286"/>
        <v>108033.84</v>
      </c>
      <c r="M812" s="24">
        <f t="shared" si="1287"/>
        <v>0</v>
      </c>
      <c r="N812" s="24">
        <f t="shared" si="1288"/>
        <v>108033.84</v>
      </c>
      <c r="P812" s="24">
        <f>260.99/30</f>
        <v>8.6996666666666673</v>
      </c>
      <c r="Q812" s="24">
        <f t="shared" si="1289"/>
        <v>23697.89</v>
      </c>
      <c r="R812" s="24">
        <f t="shared" si="1290"/>
        <v>29543.37</v>
      </c>
      <c r="S812" s="24">
        <f t="shared" si="1291"/>
        <v>78490.47</v>
      </c>
    </row>
    <row r="813" spans="1:19">
      <c r="A813" s="9" t="s">
        <v>23412</v>
      </c>
      <c r="B813" s="10" t="s">
        <v>358</v>
      </c>
      <c r="C813" s="12" t="s">
        <v>22663</v>
      </c>
      <c r="D813" s="43" t="s">
        <v>287</v>
      </c>
      <c r="E813" s="11">
        <v>0.79</v>
      </c>
      <c r="F813" s="13" t="s">
        <v>325</v>
      </c>
      <c r="G813" s="24">
        <f>VLOOKUP(C813,'9. CCU''S GERAIS AMEP'!A:K,11,0)</f>
        <v>27.597537878787879</v>
      </c>
      <c r="H813" s="24">
        <v>0</v>
      </c>
      <c r="I813" s="25">
        <f>'3. BDI'!$C$19</f>
        <v>0.24666704095238123</v>
      </c>
      <c r="J813" s="24">
        <f t="shared" si="1284"/>
        <v>34.4</v>
      </c>
      <c r="K813" s="24">
        <f t="shared" si="1285"/>
        <v>0</v>
      </c>
      <c r="L813" s="24">
        <f t="shared" si="1286"/>
        <v>27.175999999999998</v>
      </c>
      <c r="M813" s="24">
        <f t="shared" si="1287"/>
        <v>0</v>
      </c>
      <c r="N813" s="24">
        <f t="shared" si="1288"/>
        <v>27.175999999999998</v>
      </c>
      <c r="P813" s="24">
        <f>94.38/10.56</f>
        <v>8.9375</v>
      </c>
      <c r="Q813" s="24">
        <f t="shared" ref="Q813:Q814" si="1292">P813*E813</f>
        <v>7.0606249999999999</v>
      </c>
      <c r="R813" s="24">
        <f t="shared" si="1290"/>
        <v>8.8000000000000007</v>
      </c>
      <c r="S813" s="24">
        <f t="shared" si="1291"/>
        <v>18.375999999999998</v>
      </c>
    </row>
    <row r="814" spans="1:19">
      <c r="A814" s="9" t="s">
        <v>23413</v>
      </c>
      <c r="B814" s="10" t="s">
        <v>358</v>
      </c>
      <c r="C814" s="12" t="s">
        <v>22664</v>
      </c>
      <c r="D814" s="43" t="s">
        <v>288</v>
      </c>
      <c r="E814" s="11">
        <v>12</v>
      </c>
      <c r="F814" s="13" t="s">
        <v>325</v>
      </c>
      <c r="G814" s="24">
        <f>VLOOKUP(C814,'9. CCU''S GERAIS AMEP'!A:K,11,0)</f>
        <v>45.775000000000006</v>
      </c>
      <c r="H814" s="24">
        <v>0</v>
      </c>
      <c r="I814" s="25">
        <f>'3. BDI'!$C$19</f>
        <v>0.24666704095238123</v>
      </c>
      <c r="J814" s="24">
        <f t="shared" si="1284"/>
        <v>57.06</v>
      </c>
      <c r="K814" s="24">
        <f t="shared" si="1285"/>
        <v>0</v>
      </c>
      <c r="L814" s="24">
        <f t="shared" si="1286"/>
        <v>684.72</v>
      </c>
      <c r="M814" s="24">
        <f t="shared" si="1287"/>
        <v>0</v>
      </c>
      <c r="N814" s="24">
        <f t="shared" si="1288"/>
        <v>684.72</v>
      </c>
      <c r="P814" s="24">
        <f>125.84/5.6</f>
        <v>22.471428571428575</v>
      </c>
      <c r="Q814" s="24">
        <f t="shared" si="1292"/>
        <v>269.6571428571429</v>
      </c>
      <c r="R814" s="24">
        <f t="shared" si="1290"/>
        <v>336.17</v>
      </c>
      <c r="S814" s="24">
        <f t="shared" si="1291"/>
        <v>348.55</v>
      </c>
    </row>
    <row r="815" spans="1:19">
      <c r="A815" s="28" t="s">
        <v>22984</v>
      </c>
      <c r="B815" s="48"/>
      <c r="C815" s="29"/>
      <c r="D815" s="301" t="s">
        <v>22844</v>
      </c>
      <c r="E815" s="30"/>
      <c r="F815" s="29" t="s">
        <v>195</v>
      </c>
      <c r="G815" s="30"/>
      <c r="H815" s="30"/>
      <c r="I815" s="31"/>
      <c r="J815" s="30"/>
      <c r="K815" s="30"/>
      <c r="L815" s="30">
        <f t="shared" ref="L815:M815" si="1293">SUM(L816:L825)</f>
        <v>268311.44379999995</v>
      </c>
      <c r="M815" s="30">
        <f t="shared" si="1293"/>
        <v>0</v>
      </c>
      <c r="N815" s="30">
        <f>SUM(N816:N825)</f>
        <v>268311.44379999995</v>
      </c>
      <c r="P815" s="30">
        <f t="shared" ref="P815:S815" si="1294">SUM(P816:P825)</f>
        <v>168.23482142857145</v>
      </c>
      <c r="Q815" s="30">
        <f t="shared" si="1294"/>
        <v>37582.153779761902</v>
      </c>
      <c r="R815" s="30">
        <f t="shared" si="1294"/>
        <v>46852.39</v>
      </c>
      <c r="S815" s="30">
        <f t="shared" si="1294"/>
        <v>221459.05380000002</v>
      </c>
    </row>
    <row r="816" spans="1:19">
      <c r="A816" s="9" t="s">
        <v>23414</v>
      </c>
      <c r="B816" s="10" t="s">
        <v>9016</v>
      </c>
      <c r="C816" s="12">
        <v>800900</v>
      </c>
      <c r="D816" s="43" t="str">
        <f>VLOOKUP(C816,'13. CUSTOS DER - SERVIÇOS'!A:B,2,0)</f>
        <v>LIMPEZA E LAVAGEM DE SINALIZAÇÃO VERTICAL</v>
      </c>
      <c r="E816" s="11">
        <v>17.12</v>
      </c>
      <c r="F816" s="26" t="str">
        <f>VLOOKUP(C816,'13. CUSTOS DER - SERVIÇOS'!A:C,3,0)</f>
        <v>M2</v>
      </c>
      <c r="G816" s="24">
        <f>VLOOKUP(C816,'13. CUSTOS DER - SERVIÇOS'!A:G,7,0)</f>
        <v>13.25</v>
      </c>
      <c r="H816" s="24">
        <v>0</v>
      </c>
      <c r="I816" s="25">
        <f>'3. BDI'!$C$19</f>
        <v>0.24666704095238123</v>
      </c>
      <c r="J816" s="24">
        <f t="shared" ref="J816:J825" si="1295">TRUNC(G816+(G816*I816),2)</f>
        <v>16.510000000000002</v>
      </c>
      <c r="K816" s="24">
        <f t="shared" ref="K816:K825" si="1296">TRUNC(H816+(H816*I816),2)</f>
        <v>0</v>
      </c>
      <c r="L816" s="24">
        <f t="shared" ref="L816:L825" si="1297">J816*E816</f>
        <v>282.65120000000002</v>
      </c>
      <c r="M816" s="24">
        <f t="shared" ref="M816:M825" si="1298">K816*E816</f>
        <v>0</v>
      </c>
      <c r="N816" s="24">
        <f t="shared" ref="N816:N825" si="1299">L816+M816</f>
        <v>282.65120000000002</v>
      </c>
      <c r="P816" s="24">
        <f>617.77/140</f>
        <v>4.4126428571428571</v>
      </c>
      <c r="Q816" s="24">
        <f t="shared" ref="Q816:Q822" si="1300">TRUNC(P816*E816,2)</f>
        <v>75.540000000000006</v>
      </c>
      <c r="R816" s="24">
        <f t="shared" ref="R816:R825" si="1301">TRUNC((Q816*I816+Q816),2)</f>
        <v>94.17</v>
      </c>
      <c r="S816" s="24">
        <f t="shared" ref="S816:S825" si="1302">N816-R816</f>
        <v>188.4812</v>
      </c>
    </row>
    <row r="817" spans="1:19">
      <c r="A817" s="9" t="s">
        <v>23415</v>
      </c>
      <c r="B817" s="10" t="s">
        <v>9016</v>
      </c>
      <c r="C817" s="12">
        <v>820000</v>
      </c>
      <c r="D817" s="43" t="str">
        <f>VLOOKUP(C817,'13. CUSTOS DER - SERVIÇOS'!A:B,2,0)</f>
        <v>PLACA SINALIZAÇÃO C/ PELÍCULA REFLETIVA</v>
      </c>
      <c r="E817" s="11">
        <v>31.94</v>
      </c>
      <c r="F817" s="26" t="str">
        <f>VLOOKUP(C817,'13. CUSTOS DER - SERVIÇOS'!A:C,3,0)</f>
        <v>M2</v>
      </c>
      <c r="G817" s="24">
        <f>VLOOKUP(C817,'13. CUSTOS DER - SERVIÇOS'!A:G,7,0)</f>
        <v>542.29999999999995</v>
      </c>
      <c r="H817" s="24">
        <v>0</v>
      </c>
      <c r="I817" s="25">
        <f>'3. BDI'!$C$19</f>
        <v>0.24666704095238123</v>
      </c>
      <c r="J817" s="24">
        <f t="shared" si="1295"/>
        <v>676.06</v>
      </c>
      <c r="K817" s="24">
        <f t="shared" si="1296"/>
        <v>0</v>
      </c>
      <c r="L817" s="24">
        <f t="shared" si="1297"/>
        <v>21593.356400000001</v>
      </c>
      <c r="M817" s="24">
        <f t="shared" si="1298"/>
        <v>0</v>
      </c>
      <c r="N817" s="24">
        <f t="shared" si="1299"/>
        <v>21593.356400000001</v>
      </c>
      <c r="P817" s="24">
        <v>0</v>
      </c>
      <c r="Q817" s="24">
        <f t="shared" si="1300"/>
        <v>0</v>
      </c>
      <c r="R817" s="24">
        <f t="shared" si="1301"/>
        <v>0</v>
      </c>
      <c r="S817" s="24">
        <f t="shared" si="1302"/>
        <v>21593.356400000001</v>
      </c>
    </row>
    <row r="818" spans="1:19">
      <c r="A818" s="9" t="s">
        <v>23416</v>
      </c>
      <c r="B818" s="10" t="s">
        <v>9016</v>
      </c>
      <c r="C818" s="12">
        <v>821000</v>
      </c>
      <c r="D818" s="43" t="str">
        <f>VLOOKUP(C818,'13. CUSTOS DER - SERVIÇOS'!A:B,2,0)</f>
        <v>SUPORTE DE MADEIRA 3"X3" P/ PLACA SINALIZAÇÃO, H=3,00M</v>
      </c>
      <c r="E818" s="11">
        <v>80</v>
      </c>
      <c r="F818" s="26" t="str">
        <f>VLOOKUP(C818,'13. CUSTOS DER - SERVIÇOS'!A:C,3,0)</f>
        <v>UD</v>
      </c>
      <c r="G818" s="24">
        <f>VLOOKUP(C818,'13. CUSTOS DER - SERVIÇOS'!A:G,7,0)</f>
        <v>167.69</v>
      </c>
      <c r="H818" s="24">
        <v>0</v>
      </c>
      <c r="I818" s="25">
        <f>'3. BDI'!$C$19</f>
        <v>0.24666704095238123</v>
      </c>
      <c r="J818" s="24">
        <f t="shared" si="1295"/>
        <v>209.05</v>
      </c>
      <c r="K818" s="24">
        <f t="shared" si="1296"/>
        <v>0</v>
      </c>
      <c r="L818" s="24">
        <f t="shared" si="1297"/>
        <v>16724</v>
      </c>
      <c r="M818" s="24">
        <f t="shared" si="1298"/>
        <v>0</v>
      </c>
      <c r="N818" s="24">
        <f t="shared" si="1299"/>
        <v>16724</v>
      </c>
      <c r="P818" s="24">
        <f>37.3/1</f>
        <v>37.299999999999997</v>
      </c>
      <c r="Q818" s="24">
        <f t="shared" si="1300"/>
        <v>2984</v>
      </c>
      <c r="R818" s="24">
        <f t="shared" si="1301"/>
        <v>3720.05</v>
      </c>
      <c r="S818" s="24">
        <f t="shared" si="1302"/>
        <v>13003.95</v>
      </c>
    </row>
    <row r="819" spans="1:19" ht="31.5">
      <c r="A819" s="9" t="s">
        <v>23417</v>
      </c>
      <c r="B819" s="10" t="s">
        <v>9016</v>
      </c>
      <c r="C819" s="12">
        <v>822350</v>
      </c>
      <c r="D819" s="43" t="str">
        <f>VLOOKUP(C819,'13. CUSTOS DER - SERVIÇOS'!A:B,2,0)</f>
        <v>FAIXA DE SINALIZAÇÃO HORIZONTAL - TERMOPLÁSTICO POR ASPERSÃO - E=1,5MM</v>
      </c>
      <c r="E819" s="11">
        <v>2056.42</v>
      </c>
      <c r="F819" s="26" t="str">
        <f>VLOOKUP(C819,'13. CUSTOS DER - SERVIÇOS'!A:C,3,0)</f>
        <v>M2</v>
      </c>
      <c r="G819" s="24">
        <f>VLOOKUP(C819,'13. CUSTOS DER - SERVIÇOS'!A:G,7,0)</f>
        <v>55.68</v>
      </c>
      <c r="H819" s="24">
        <v>0</v>
      </c>
      <c r="I819" s="25">
        <f>'3. BDI'!$C$19</f>
        <v>0.24666704095238123</v>
      </c>
      <c r="J819" s="24">
        <f t="shared" si="1295"/>
        <v>69.41</v>
      </c>
      <c r="K819" s="24">
        <f t="shared" si="1296"/>
        <v>0</v>
      </c>
      <c r="L819" s="24">
        <f t="shared" si="1297"/>
        <v>142736.1122</v>
      </c>
      <c r="M819" s="24">
        <f t="shared" si="1298"/>
        <v>0</v>
      </c>
      <c r="N819" s="24">
        <f t="shared" si="1299"/>
        <v>142736.1122</v>
      </c>
      <c r="P819" s="24">
        <f>346.79/40</f>
        <v>8.6697500000000005</v>
      </c>
      <c r="Q819" s="24">
        <f t="shared" si="1300"/>
        <v>17828.64</v>
      </c>
      <c r="R819" s="24">
        <f t="shared" si="1301"/>
        <v>22226.37</v>
      </c>
      <c r="S819" s="24">
        <f t="shared" si="1302"/>
        <v>120509.74220000001</v>
      </c>
    </row>
    <row r="820" spans="1:19">
      <c r="A820" s="9" t="s">
        <v>23418</v>
      </c>
      <c r="B820" s="10" t="s">
        <v>9016</v>
      </c>
      <c r="C820" s="12">
        <v>823000</v>
      </c>
      <c r="D820" s="43" t="str">
        <f>VLOOKUP(C820,'13. CUSTOS DER - SERVIÇOS'!A:B,2,0)</f>
        <v>DEFENSA SIMPLES SEMI-MALEÁVEL C/ ESPAÇADOR E CALÇO</v>
      </c>
      <c r="E820" s="11">
        <v>34</v>
      </c>
      <c r="F820" s="26" t="str">
        <f>VLOOKUP(C820,'13. CUSTOS DER - SERVIÇOS'!A:C,3,0)</f>
        <v>M</v>
      </c>
      <c r="G820" s="24">
        <f>VLOOKUP(C820,'13. CUSTOS DER - SERVIÇOS'!A:G,7,0)</f>
        <v>490.71</v>
      </c>
      <c r="H820" s="24">
        <v>0</v>
      </c>
      <c r="I820" s="25">
        <f>'3. BDI'!$C$19</f>
        <v>0.24666704095238123</v>
      </c>
      <c r="J820" s="24">
        <f t="shared" si="1295"/>
        <v>611.75</v>
      </c>
      <c r="K820" s="24">
        <f t="shared" si="1296"/>
        <v>0</v>
      </c>
      <c r="L820" s="24">
        <f t="shared" si="1297"/>
        <v>20799.5</v>
      </c>
      <c r="M820" s="24">
        <f t="shared" si="1298"/>
        <v>0</v>
      </c>
      <c r="N820" s="24">
        <f t="shared" si="1299"/>
        <v>20799.5</v>
      </c>
      <c r="P820" s="24">
        <f>242.81/4</f>
        <v>60.702500000000001</v>
      </c>
      <c r="Q820" s="24">
        <f t="shared" si="1300"/>
        <v>2063.88</v>
      </c>
      <c r="R820" s="24">
        <f t="shared" si="1301"/>
        <v>2572.9699999999998</v>
      </c>
      <c r="S820" s="24">
        <f t="shared" si="1302"/>
        <v>18226.53</v>
      </c>
    </row>
    <row r="821" spans="1:19">
      <c r="A821" s="9" t="s">
        <v>23419</v>
      </c>
      <c r="B821" s="10" t="s">
        <v>9016</v>
      </c>
      <c r="C821" s="12">
        <v>871000</v>
      </c>
      <c r="D821" s="43" t="str">
        <f>VLOOKUP(C821,'13. CUSTOS DER - SERVIÇOS'!A:B,2,0)</f>
        <v>TACHA REFLETIVA BIDIRECIONAL</v>
      </c>
      <c r="E821" s="11">
        <v>14</v>
      </c>
      <c r="F821" s="26" t="str">
        <f>VLOOKUP(C821,'13. CUSTOS DER - SERVIÇOS'!A:C,3,0)</f>
        <v>UD</v>
      </c>
      <c r="G821" s="24">
        <f>VLOOKUP(C821,'13. CUSTOS DER - SERVIÇOS'!A:G,7,0)</f>
        <v>18.28</v>
      </c>
      <c r="H821" s="24">
        <v>0</v>
      </c>
      <c r="I821" s="25">
        <f>'3. BDI'!$C$19</f>
        <v>0.24666704095238123</v>
      </c>
      <c r="J821" s="24">
        <f t="shared" si="1295"/>
        <v>22.78</v>
      </c>
      <c r="K821" s="24">
        <f t="shared" si="1296"/>
        <v>0</v>
      </c>
      <c r="L821" s="24">
        <f t="shared" si="1297"/>
        <v>318.92</v>
      </c>
      <c r="M821" s="24">
        <f t="shared" si="1298"/>
        <v>0</v>
      </c>
      <c r="N821" s="24">
        <f t="shared" si="1299"/>
        <v>318.92</v>
      </c>
      <c r="P821" s="24">
        <f>260.99/30</f>
        <v>8.6996666666666673</v>
      </c>
      <c r="Q821" s="24">
        <f t="shared" si="1300"/>
        <v>121.79</v>
      </c>
      <c r="R821" s="24">
        <f t="shared" si="1301"/>
        <v>151.83000000000001</v>
      </c>
      <c r="S821" s="24">
        <f t="shared" si="1302"/>
        <v>167.09</v>
      </c>
    </row>
    <row r="822" spans="1:19">
      <c r="A822" s="9" t="s">
        <v>23420</v>
      </c>
      <c r="B822" s="10" t="s">
        <v>9016</v>
      </c>
      <c r="C822" s="12">
        <v>873000</v>
      </c>
      <c r="D822" s="43" t="str">
        <f>VLOOKUP(C822,'13. CUSTOS DER - SERVIÇOS'!A:B,2,0)</f>
        <v>TACHÃO REFLETIVO BIDIRECIONAL</v>
      </c>
      <c r="E822" s="11">
        <v>1636</v>
      </c>
      <c r="F822" s="26" t="str">
        <f>VLOOKUP(C822,'13. CUSTOS DER - SERVIÇOS'!A:C,3,0)</f>
        <v>UD</v>
      </c>
      <c r="G822" s="24">
        <f>VLOOKUP(C822,'13. CUSTOS DER - SERVIÇOS'!A:G,7,0)</f>
        <v>31.82</v>
      </c>
      <c r="H822" s="24">
        <v>0</v>
      </c>
      <c r="I822" s="25">
        <f>'3. BDI'!$C$19</f>
        <v>0.24666704095238123</v>
      </c>
      <c r="J822" s="24">
        <f t="shared" si="1295"/>
        <v>39.659999999999997</v>
      </c>
      <c r="K822" s="24">
        <f t="shared" si="1296"/>
        <v>0</v>
      </c>
      <c r="L822" s="24">
        <f t="shared" si="1297"/>
        <v>64883.759999999995</v>
      </c>
      <c r="M822" s="24">
        <f t="shared" si="1298"/>
        <v>0</v>
      </c>
      <c r="N822" s="24">
        <f t="shared" si="1299"/>
        <v>64883.759999999995</v>
      </c>
      <c r="P822" s="24">
        <f>260.99/30</f>
        <v>8.6996666666666673</v>
      </c>
      <c r="Q822" s="24">
        <f t="shared" si="1300"/>
        <v>14232.65</v>
      </c>
      <c r="R822" s="24">
        <f t="shared" si="1301"/>
        <v>17743.37</v>
      </c>
      <c r="S822" s="24">
        <f t="shared" si="1302"/>
        <v>47140.39</v>
      </c>
    </row>
    <row r="823" spans="1:19">
      <c r="A823" s="9" t="s">
        <v>23421</v>
      </c>
      <c r="B823" s="10" t="s">
        <v>358</v>
      </c>
      <c r="C823" s="12" t="s">
        <v>22663</v>
      </c>
      <c r="D823" s="43" t="s">
        <v>287</v>
      </c>
      <c r="E823" s="11">
        <v>6.93</v>
      </c>
      <c r="F823" s="13" t="s">
        <v>325</v>
      </c>
      <c r="G823" s="24">
        <f>VLOOKUP(C823,'9. CCU''S GERAIS AMEP'!A:K,11,0)</f>
        <v>27.597537878787879</v>
      </c>
      <c r="H823" s="24">
        <v>0</v>
      </c>
      <c r="I823" s="25">
        <f>'3. BDI'!$C$19</f>
        <v>0.24666704095238123</v>
      </c>
      <c r="J823" s="24">
        <f t="shared" si="1295"/>
        <v>34.4</v>
      </c>
      <c r="K823" s="24">
        <f t="shared" si="1296"/>
        <v>0</v>
      </c>
      <c r="L823" s="24">
        <f t="shared" si="1297"/>
        <v>238.39199999999997</v>
      </c>
      <c r="M823" s="24">
        <f t="shared" si="1298"/>
        <v>0</v>
      </c>
      <c r="N823" s="24">
        <f t="shared" si="1299"/>
        <v>238.39199999999997</v>
      </c>
      <c r="P823" s="24">
        <f>94.38/10.56</f>
        <v>8.9375</v>
      </c>
      <c r="Q823" s="24">
        <f t="shared" ref="Q823:Q825" si="1303">P823*E823</f>
        <v>61.936875000000001</v>
      </c>
      <c r="R823" s="24">
        <f t="shared" si="1301"/>
        <v>77.209999999999994</v>
      </c>
      <c r="S823" s="24">
        <f t="shared" si="1302"/>
        <v>161.18199999999996</v>
      </c>
    </row>
    <row r="824" spans="1:19">
      <c r="A824" s="9" t="s">
        <v>23422</v>
      </c>
      <c r="B824" s="10" t="s">
        <v>358</v>
      </c>
      <c r="C824" s="12" t="s">
        <v>22664</v>
      </c>
      <c r="D824" s="43" t="s">
        <v>288</v>
      </c>
      <c r="E824" s="11">
        <v>3.2</v>
      </c>
      <c r="F824" s="13" t="s">
        <v>325</v>
      </c>
      <c r="G824" s="24">
        <f>VLOOKUP(C824,'9. CCU''S GERAIS AMEP'!A:K,11,0)</f>
        <v>45.775000000000006</v>
      </c>
      <c r="H824" s="24">
        <v>0</v>
      </c>
      <c r="I824" s="25">
        <f>'3. BDI'!$C$19</f>
        <v>0.24666704095238123</v>
      </c>
      <c r="J824" s="24">
        <f t="shared" si="1295"/>
        <v>57.06</v>
      </c>
      <c r="K824" s="24">
        <f t="shared" si="1296"/>
        <v>0</v>
      </c>
      <c r="L824" s="24">
        <f t="shared" si="1297"/>
        <v>182.59200000000001</v>
      </c>
      <c r="M824" s="24">
        <f t="shared" si="1298"/>
        <v>0</v>
      </c>
      <c r="N824" s="24">
        <f t="shared" si="1299"/>
        <v>182.59200000000001</v>
      </c>
      <c r="P824" s="24">
        <f>125.84/5.6</f>
        <v>22.471428571428575</v>
      </c>
      <c r="Q824" s="24">
        <f t="shared" si="1303"/>
        <v>71.908571428571449</v>
      </c>
      <c r="R824" s="24">
        <f t="shared" si="1301"/>
        <v>89.64</v>
      </c>
      <c r="S824" s="24">
        <f t="shared" si="1302"/>
        <v>92.952000000000012</v>
      </c>
    </row>
    <row r="825" spans="1:19">
      <c r="A825" s="9" t="s">
        <v>23423</v>
      </c>
      <c r="B825" s="10" t="s">
        <v>358</v>
      </c>
      <c r="C825" s="12" t="s">
        <v>22665</v>
      </c>
      <c r="D825" s="43" t="s">
        <v>289</v>
      </c>
      <c r="E825" s="11">
        <v>17</v>
      </c>
      <c r="F825" s="13" t="s">
        <v>328</v>
      </c>
      <c r="G825" s="24">
        <f>VLOOKUP(C825,'9. CCU''S GERAIS AMEP'!A:K,11,0)</f>
        <v>26.057666666666666</v>
      </c>
      <c r="H825" s="24">
        <v>0</v>
      </c>
      <c r="I825" s="25">
        <f>'3. BDI'!$C$19</f>
        <v>0.24666704095238123</v>
      </c>
      <c r="J825" s="24">
        <f t="shared" si="1295"/>
        <v>32.479999999999997</v>
      </c>
      <c r="K825" s="24">
        <f t="shared" si="1296"/>
        <v>0</v>
      </c>
      <c r="L825" s="24">
        <f t="shared" si="1297"/>
        <v>552.16</v>
      </c>
      <c r="M825" s="24">
        <f t="shared" si="1298"/>
        <v>0</v>
      </c>
      <c r="N825" s="24">
        <f t="shared" si="1299"/>
        <v>552.16</v>
      </c>
      <c r="P825" s="24">
        <f>100.1/12</f>
        <v>8.3416666666666668</v>
      </c>
      <c r="Q825" s="24">
        <f t="shared" si="1303"/>
        <v>141.80833333333334</v>
      </c>
      <c r="R825" s="24">
        <f t="shared" si="1301"/>
        <v>176.78</v>
      </c>
      <c r="S825" s="24">
        <f t="shared" si="1302"/>
        <v>375.38</v>
      </c>
    </row>
    <row r="826" spans="1:19">
      <c r="A826" s="28" t="s">
        <v>22985</v>
      </c>
      <c r="B826" s="48"/>
      <c r="C826" s="29"/>
      <c r="D826" s="301" t="s">
        <v>22845</v>
      </c>
      <c r="E826" s="30"/>
      <c r="F826" s="29" t="s">
        <v>195</v>
      </c>
      <c r="G826" s="30"/>
      <c r="H826" s="30"/>
      <c r="I826" s="31"/>
      <c r="J826" s="30"/>
      <c r="K826" s="30"/>
      <c r="L826" s="30">
        <f t="shared" ref="L826:M826" si="1304">SUM(L827:L835)</f>
        <v>1710854.3292999999</v>
      </c>
      <c r="M826" s="30">
        <f t="shared" si="1304"/>
        <v>10.64</v>
      </c>
      <c r="N826" s="30">
        <f>SUM(N827:N835)</f>
        <v>1710864.9693</v>
      </c>
      <c r="P826" s="30">
        <f t="shared" ref="P826:S826" si="1305">SUM(P827:P835)</f>
        <v>230.22051190476191</v>
      </c>
      <c r="Q826" s="30">
        <f t="shared" si="1305"/>
        <v>225980.40178571423</v>
      </c>
      <c r="R826" s="30">
        <f t="shared" si="1305"/>
        <v>281722.28999999998</v>
      </c>
      <c r="S826" s="30">
        <f t="shared" si="1305"/>
        <v>1429142.6792999995</v>
      </c>
    </row>
    <row r="827" spans="1:19">
      <c r="A827" s="9" t="s">
        <v>23424</v>
      </c>
      <c r="B827" s="10" t="s">
        <v>9016</v>
      </c>
      <c r="C827" s="12">
        <v>820000</v>
      </c>
      <c r="D827" s="43" t="str">
        <f>VLOOKUP(C827,'13. CUSTOS DER - SERVIÇOS'!A:B,2,0)</f>
        <v>PLACA SINALIZAÇÃO C/ PELÍCULA REFLETIVA</v>
      </c>
      <c r="E827" s="11">
        <v>55.48</v>
      </c>
      <c r="F827" s="26" t="str">
        <f>VLOOKUP(C827,'13. CUSTOS DER - SERVIÇOS'!A:C,3,0)</f>
        <v>M2</v>
      </c>
      <c r="G827" s="24">
        <f>VLOOKUP(C827,'13. CUSTOS DER - SERVIÇOS'!A:G,7,0)</f>
        <v>542.29999999999995</v>
      </c>
      <c r="H827" s="24">
        <v>0</v>
      </c>
      <c r="I827" s="25">
        <f>'3. BDI'!$C$19</f>
        <v>0.24666704095238123</v>
      </c>
      <c r="J827" s="24">
        <f t="shared" ref="J827:J835" si="1306">TRUNC(G827+(G827*I827),2)</f>
        <v>676.06</v>
      </c>
      <c r="K827" s="24">
        <f t="shared" ref="K827:K835" si="1307">TRUNC(H827+(H827*I827),2)</f>
        <v>0</v>
      </c>
      <c r="L827" s="24">
        <f t="shared" ref="L827:L835" si="1308">J827*E827</f>
        <v>37507.808799999992</v>
      </c>
      <c r="M827" s="24">
        <f t="shared" ref="M827:M835" si="1309">K827*E827</f>
        <v>0</v>
      </c>
      <c r="N827" s="24">
        <f t="shared" ref="N827:N835" si="1310">L827+M827</f>
        <v>37507.808799999992</v>
      </c>
      <c r="P827" s="24">
        <v>0</v>
      </c>
      <c r="Q827" s="24">
        <f t="shared" ref="Q827:Q832" si="1311">TRUNC(P827*E827,2)</f>
        <v>0</v>
      </c>
      <c r="R827" s="24">
        <f t="shared" ref="R827:R835" si="1312">TRUNC((Q827*I827+Q827),2)</f>
        <v>0</v>
      </c>
      <c r="S827" s="24">
        <f t="shared" ref="S827:S835" si="1313">N827-R827</f>
        <v>37507.808799999992</v>
      </c>
    </row>
    <row r="828" spans="1:19">
      <c r="A828" s="9" t="s">
        <v>23428</v>
      </c>
      <c r="B828" s="10" t="s">
        <v>9016</v>
      </c>
      <c r="C828" s="12">
        <v>821000</v>
      </c>
      <c r="D828" s="43" t="str">
        <f>VLOOKUP(C828,'13. CUSTOS DER - SERVIÇOS'!A:B,2,0)</f>
        <v>SUPORTE DE MADEIRA 3"X3" P/ PLACA SINALIZAÇÃO, H=3,00M</v>
      </c>
      <c r="E828" s="11">
        <v>163</v>
      </c>
      <c r="F828" s="26" t="str">
        <f>VLOOKUP(C828,'13. CUSTOS DER - SERVIÇOS'!A:C,3,0)</f>
        <v>UD</v>
      </c>
      <c r="G828" s="24">
        <f>VLOOKUP(C828,'13. CUSTOS DER - SERVIÇOS'!A:G,7,0)</f>
        <v>167.69</v>
      </c>
      <c r="H828" s="24">
        <v>0</v>
      </c>
      <c r="I828" s="25">
        <f>'3. BDI'!$C$19</f>
        <v>0.24666704095238123</v>
      </c>
      <c r="J828" s="24">
        <f t="shared" si="1306"/>
        <v>209.05</v>
      </c>
      <c r="K828" s="24">
        <f t="shared" si="1307"/>
        <v>0</v>
      </c>
      <c r="L828" s="24">
        <f t="shared" si="1308"/>
        <v>34075.15</v>
      </c>
      <c r="M828" s="24">
        <f t="shared" si="1309"/>
        <v>0</v>
      </c>
      <c r="N828" s="24">
        <f t="shared" si="1310"/>
        <v>34075.15</v>
      </c>
      <c r="P828" s="24">
        <f>37.3/1</f>
        <v>37.299999999999997</v>
      </c>
      <c r="Q828" s="24">
        <f t="shared" si="1311"/>
        <v>6079.9</v>
      </c>
      <c r="R828" s="24">
        <f t="shared" si="1312"/>
        <v>7579.61</v>
      </c>
      <c r="S828" s="24">
        <f t="shared" si="1313"/>
        <v>26495.54</v>
      </c>
    </row>
    <row r="829" spans="1:19" ht="31.5">
      <c r="A829" s="9" t="s">
        <v>23427</v>
      </c>
      <c r="B829" s="10" t="s">
        <v>9016</v>
      </c>
      <c r="C829" s="12">
        <v>822350</v>
      </c>
      <c r="D829" s="43" t="str">
        <f>VLOOKUP(C829,'13. CUSTOS DER - SERVIÇOS'!A:B,2,0)</f>
        <v>FAIXA DE SINALIZAÇÃO HORIZONTAL - TERMOPLÁSTICO POR ASPERSÃO - E=1,5MM</v>
      </c>
      <c r="E829" s="11">
        <v>10535.05</v>
      </c>
      <c r="F829" s="26" t="str">
        <f>VLOOKUP(C829,'13. CUSTOS DER - SERVIÇOS'!A:C,3,0)</f>
        <v>M2</v>
      </c>
      <c r="G829" s="24">
        <f>VLOOKUP(C829,'13. CUSTOS DER - SERVIÇOS'!A:G,7,0)</f>
        <v>55.68</v>
      </c>
      <c r="H829" s="24">
        <v>0</v>
      </c>
      <c r="I829" s="25">
        <f>'3. BDI'!$C$19</f>
        <v>0.24666704095238123</v>
      </c>
      <c r="J829" s="24">
        <f t="shared" si="1306"/>
        <v>69.41</v>
      </c>
      <c r="K829" s="24">
        <f t="shared" si="1307"/>
        <v>0</v>
      </c>
      <c r="L829" s="24">
        <f t="shared" si="1308"/>
        <v>731237.82049999991</v>
      </c>
      <c r="M829" s="24">
        <f t="shared" si="1309"/>
        <v>0</v>
      </c>
      <c r="N829" s="24">
        <f t="shared" si="1310"/>
        <v>731237.82049999991</v>
      </c>
      <c r="P829" s="24">
        <f>346.79/40</f>
        <v>8.6697500000000005</v>
      </c>
      <c r="Q829" s="24">
        <f t="shared" si="1311"/>
        <v>91336.24</v>
      </c>
      <c r="R829" s="24">
        <f t="shared" si="1312"/>
        <v>113865.88</v>
      </c>
      <c r="S829" s="24">
        <f t="shared" si="1313"/>
        <v>617371.94049999991</v>
      </c>
    </row>
    <row r="830" spans="1:19">
      <c r="A830" s="9" t="s">
        <v>23426</v>
      </c>
      <c r="B830" s="10" t="s">
        <v>9016</v>
      </c>
      <c r="C830" s="12">
        <v>823000</v>
      </c>
      <c r="D830" s="43" t="str">
        <f>VLOOKUP(C830,'13. CUSTOS DER - SERVIÇOS'!A:B,2,0)</f>
        <v>DEFENSA SIMPLES SEMI-MALEÁVEL C/ ESPAÇADOR E CALÇO</v>
      </c>
      <c r="E830" s="11">
        <v>1081</v>
      </c>
      <c r="F830" s="26" t="str">
        <f>VLOOKUP(C830,'13. CUSTOS DER - SERVIÇOS'!A:C,3,0)</f>
        <v>M</v>
      </c>
      <c r="G830" s="24">
        <f>VLOOKUP(C830,'13. CUSTOS DER - SERVIÇOS'!A:G,7,0)</f>
        <v>490.71</v>
      </c>
      <c r="H830" s="24">
        <v>0</v>
      </c>
      <c r="I830" s="25">
        <f>'3. BDI'!$C$19</f>
        <v>0.24666704095238123</v>
      </c>
      <c r="J830" s="24">
        <f t="shared" si="1306"/>
        <v>611.75</v>
      </c>
      <c r="K830" s="24">
        <f t="shared" si="1307"/>
        <v>0</v>
      </c>
      <c r="L830" s="24">
        <f t="shared" si="1308"/>
        <v>661301.75</v>
      </c>
      <c r="M830" s="24">
        <f t="shared" si="1309"/>
        <v>0</v>
      </c>
      <c r="N830" s="24">
        <f t="shared" si="1310"/>
        <v>661301.75</v>
      </c>
      <c r="P830" s="24">
        <f>242.81/4</f>
        <v>60.702500000000001</v>
      </c>
      <c r="Q830" s="24">
        <f t="shared" si="1311"/>
        <v>65619.399999999994</v>
      </c>
      <c r="R830" s="24">
        <f t="shared" si="1312"/>
        <v>81805.539999999994</v>
      </c>
      <c r="S830" s="24">
        <f t="shared" si="1313"/>
        <v>579496.21</v>
      </c>
    </row>
    <row r="831" spans="1:19">
      <c r="A831" s="9" t="s">
        <v>23425</v>
      </c>
      <c r="B831" s="10" t="s">
        <v>9016</v>
      </c>
      <c r="C831" s="12">
        <v>871000</v>
      </c>
      <c r="D831" s="43" t="str">
        <f>VLOOKUP(C831,'13. CUSTOS DER - SERVIÇOS'!A:B,2,0)</f>
        <v>TACHA REFLETIVA BIDIRECIONAL</v>
      </c>
      <c r="E831" s="11">
        <v>2393</v>
      </c>
      <c r="F831" s="26" t="str">
        <f>VLOOKUP(C831,'13. CUSTOS DER - SERVIÇOS'!A:C,3,0)</f>
        <v>UD</v>
      </c>
      <c r="G831" s="24">
        <f>VLOOKUP(C831,'13. CUSTOS DER - SERVIÇOS'!A:G,7,0)</f>
        <v>18.28</v>
      </c>
      <c r="H831" s="24">
        <v>0</v>
      </c>
      <c r="I831" s="25">
        <f>'3. BDI'!$C$19</f>
        <v>0.24666704095238123</v>
      </c>
      <c r="J831" s="24">
        <f t="shared" si="1306"/>
        <v>22.78</v>
      </c>
      <c r="K831" s="24">
        <f t="shared" si="1307"/>
        <v>0</v>
      </c>
      <c r="L831" s="24">
        <f t="shared" si="1308"/>
        <v>54512.54</v>
      </c>
      <c r="M831" s="24">
        <f t="shared" si="1309"/>
        <v>0</v>
      </c>
      <c r="N831" s="24">
        <f t="shared" si="1310"/>
        <v>54512.54</v>
      </c>
      <c r="P831" s="24">
        <f>260.99/30</f>
        <v>8.6996666666666673</v>
      </c>
      <c r="Q831" s="24">
        <f t="shared" si="1311"/>
        <v>20818.3</v>
      </c>
      <c r="R831" s="24">
        <f t="shared" si="1312"/>
        <v>25953.48</v>
      </c>
      <c r="S831" s="24">
        <f t="shared" si="1313"/>
        <v>28559.06</v>
      </c>
    </row>
    <row r="832" spans="1:19">
      <c r="A832" s="9" t="s">
        <v>23429</v>
      </c>
      <c r="B832" s="10" t="s">
        <v>9016</v>
      </c>
      <c r="C832" s="12">
        <v>873000</v>
      </c>
      <c r="D832" s="43" t="str">
        <f>VLOOKUP(C832,'13. CUSTOS DER - SERVIÇOS'!A:B,2,0)</f>
        <v>TACHÃO REFLETIVO BIDIRECIONAL</v>
      </c>
      <c r="E832" s="11">
        <v>4800</v>
      </c>
      <c r="F832" s="26" t="str">
        <f>VLOOKUP(C832,'13. CUSTOS DER - SERVIÇOS'!A:C,3,0)</f>
        <v>UD</v>
      </c>
      <c r="G832" s="24">
        <f>VLOOKUP(C832,'13. CUSTOS DER - SERVIÇOS'!A:G,7,0)</f>
        <v>31.82</v>
      </c>
      <c r="H832" s="24">
        <v>0</v>
      </c>
      <c r="I832" s="25">
        <f>'3. BDI'!$C$19</f>
        <v>0.24666704095238123</v>
      </c>
      <c r="J832" s="24">
        <f t="shared" si="1306"/>
        <v>39.659999999999997</v>
      </c>
      <c r="K832" s="24">
        <f t="shared" si="1307"/>
        <v>0</v>
      </c>
      <c r="L832" s="24">
        <f t="shared" si="1308"/>
        <v>190367.99999999997</v>
      </c>
      <c r="M832" s="24">
        <f t="shared" si="1309"/>
        <v>0</v>
      </c>
      <c r="N832" s="24">
        <f t="shared" si="1310"/>
        <v>190367.99999999997</v>
      </c>
      <c r="P832" s="24">
        <f>260.99/30</f>
        <v>8.6996666666666673</v>
      </c>
      <c r="Q832" s="24">
        <f t="shared" si="1311"/>
        <v>41758.400000000001</v>
      </c>
      <c r="R832" s="24">
        <f t="shared" si="1312"/>
        <v>52058.82</v>
      </c>
      <c r="S832" s="24">
        <f t="shared" si="1313"/>
        <v>138309.17999999996</v>
      </c>
    </row>
    <row r="833" spans="1:19">
      <c r="A833" s="9" t="s">
        <v>23430</v>
      </c>
      <c r="B833" s="10" t="s">
        <v>358</v>
      </c>
      <c r="C833" s="12" t="s">
        <v>22663</v>
      </c>
      <c r="D833" s="43" t="s">
        <v>287</v>
      </c>
      <c r="E833" s="11">
        <v>0.2</v>
      </c>
      <c r="F833" s="13" t="s">
        <v>325</v>
      </c>
      <c r="G833" s="24">
        <f>VLOOKUP(C833,'9. CCU''S GERAIS AMEP'!A:K,11,0)</f>
        <v>27.597537878787879</v>
      </c>
      <c r="H833" s="24">
        <v>0</v>
      </c>
      <c r="I833" s="25">
        <f>'3. BDI'!$C$19</f>
        <v>0.24666704095238123</v>
      </c>
      <c r="J833" s="24">
        <f t="shared" si="1306"/>
        <v>34.4</v>
      </c>
      <c r="K833" s="24">
        <f t="shared" si="1307"/>
        <v>0</v>
      </c>
      <c r="L833" s="24">
        <f t="shared" si="1308"/>
        <v>6.88</v>
      </c>
      <c r="M833" s="24">
        <f t="shared" si="1309"/>
        <v>0</v>
      </c>
      <c r="N833" s="24">
        <f t="shared" si="1310"/>
        <v>6.88</v>
      </c>
      <c r="P833" s="24">
        <f>94.38/10.56</f>
        <v>8.9375</v>
      </c>
      <c r="Q833" s="24">
        <f t="shared" ref="Q833:Q835" si="1314">P833*E833</f>
        <v>1.7875000000000001</v>
      </c>
      <c r="R833" s="24">
        <f t="shared" si="1312"/>
        <v>2.2200000000000002</v>
      </c>
      <c r="S833" s="24">
        <f t="shared" si="1313"/>
        <v>4.66</v>
      </c>
    </row>
    <row r="834" spans="1:19">
      <c r="A834" s="9" t="s">
        <v>23431</v>
      </c>
      <c r="B834" s="10" t="s">
        <v>358</v>
      </c>
      <c r="C834" s="12" t="s">
        <v>22664</v>
      </c>
      <c r="D834" s="43" t="s">
        <v>288</v>
      </c>
      <c r="E834" s="11">
        <v>3</v>
      </c>
      <c r="F834" s="13" t="s">
        <v>325</v>
      </c>
      <c r="G834" s="24">
        <f>VLOOKUP(C834,'9. CCU''S GERAIS AMEP'!A:K,11,0)</f>
        <v>45.775000000000006</v>
      </c>
      <c r="H834" s="24">
        <v>0</v>
      </c>
      <c r="I834" s="25">
        <f>'3. BDI'!$C$19</f>
        <v>0.24666704095238123</v>
      </c>
      <c r="J834" s="24">
        <f t="shared" si="1306"/>
        <v>57.06</v>
      </c>
      <c r="K834" s="24">
        <f t="shared" si="1307"/>
        <v>0</v>
      </c>
      <c r="L834" s="24">
        <f t="shared" si="1308"/>
        <v>171.18</v>
      </c>
      <c r="M834" s="24">
        <f t="shared" si="1309"/>
        <v>0</v>
      </c>
      <c r="N834" s="24">
        <f t="shared" si="1310"/>
        <v>171.18</v>
      </c>
      <c r="P834" s="24">
        <f>125.84/5.6</f>
        <v>22.471428571428575</v>
      </c>
      <c r="Q834" s="24">
        <f t="shared" si="1314"/>
        <v>67.414285714285725</v>
      </c>
      <c r="R834" s="24">
        <f t="shared" si="1312"/>
        <v>84.04</v>
      </c>
      <c r="S834" s="24">
        <f t="shared" si="1313"/>
        <v>87.14</v>
      </c>
    </row>
    <row r="835" spans="1:19">
      <c r="A835" s="9" t="s">
        <v>23432</v>
      </c>
      <c r="B835" s="10" t="s">
        <v>358</v>
      </c>
      <c r="C835" s="12" t="s">
        <v>22666</v>
      </c>
      <c r="D835" s="43" t="s">
        <v>290</v>
      </c>
      <c r="E835" s="11">
        <v>4</v>
      </c>
      <c r="F835" s="13" t="s">
        <v>328</v>
      </c>
      <c r="G835" s="24">
        <f>VLOOKUP(C835,'9. CCU''S GERAIS AMEP'!A:K,11,0)</f>
        <v>335.54140000000001</v>
      </c>
      <c r="H835" s="24">
        <f>VLOOKUP(C835,'10. CCU TRANSPORTE'!B:J,9,0)</f>
        <v>2.14</v>
      </c>
      <c r="I835" s="25">
        <f>'3. BDI'!$C$19</f>
        <v>0.24666704095238123</v>
      </c>
      <c r="J835" s="24">
        <f t="shared" si="1306"/>
        <v>418.3</v>
      </c>
      <c r="K835" s="24">
        <f t="shared" si="1307"/>
        <v>2.66</v>
      </c>
      <c r="L835" s="24">
        <f t="shared" si="1308"/>
        <v>1673.2</v>
      </c>
      <c r="M835" s="24">
        <f t="shared" si="1309"/>
        <v>10.64</v>
      </c>
      <c r="N835" s="24">
        <f t="shared" si="1310"/>
        <v>1683.8400000000001</v>
      </c>
      <c r="P835" s="24">
        <f>37.37/0.5</f>
        <v>74.739999999999995</v>
      </c>
      <c r="Q835" s="24">
        <f t="shared" si="1314"/>
        <v>298.95999999999998</v>
      </c>
      <c r="R835" s="24">
        <f t="shared" si="1312"/>
        <v>372.7</v>
      </c>
      <c r="S835" s="24">
        <f t="shared" si="1313"/>
        <v>1311.14</v>
      </c>
    </row>
    <row r="836" spans="1:19">
      <c r="A836" s="310" t="s">
        <v>345</v>
      </c>
      <c r="B836" s="311"/>
      <c r="C836" s="315"/>
      <c r="D836" s="313" t="s">
        <v>38</v>
      </c>
      <c r="E836" s="314"/>
      <c r="F836" s="315" t="s">
        <v>195</v>
      </c>
      <c r="G836" s="314"/>
      <c r="H836" s="314"/>
      <c r="I836" s="316"/>
      <c r="J836" s="314"/>
      <c r="K836" s="314"/>
      <c r="L836" s="314">
        <f t="shared" ref="L836:M836" si="1315">L837+L856+L870+L885+L900</f>
        <v>4596877.4939999999</v>
      </c>
      <c r="M836" s="314">
        <f t="shared" si="1315"/>
        <v>55708.388699999996</v>
      </c>
      <c r="N836" s="314">
        <f>N837+N856+N870+N885+N900</f>
        <v>4652585.8827000009</v>
      </c>
      <c r="P836" s="314">
        <f t="shared" ref="P836:S836" si="1316">P837+P856+P870+P885+P900</f>
        <v>18773.163821837679</v>
      </c>
      <c r="Q836" s="314">
        <f t="shared" si="1316"/>
        <v>3844009.6221677242</v>
      </c>
      <c r="R836" s="314">
        <f t="shared" si="1316"/>
        <v>4792199.75</v>
      </c>
      <c r="S836" s="314">
        <f t="shared" si="1316"/>
        <v>-139613.86730000016</v>
      </c>
    </row>
    <row r="837" spans="1:19">
      <c r="A837" s="28" t="s">
        <v>22986</v>
      </c>
      <c r="B837" s="48"/>
      <c r="C837" s="29"/>
      <c r="D837" s="301" t="s">
        <v>22841</v>
      </c>
      <c r="E837" s="30"/>
      <c r="F837" s="29" t="s">
        <v>195</v>
      </c>
      <c r="G837" s="30"/>
      <c r="H837" s="30"/>
      <c r="I837" s="31"/>
      <c r="J837" s="30"/>
      <c r="K837" s="30"/>
      <c r="L837" s="30">
        <f t="shared" ref="L837:M837" si="1317">SUM(L838:L855)</f>
        <v>1138228.5762</v>
      </c>
      <c r="M837" s="30">
        <f t="shared" si="1317"/>
        <v>24432.568599999999</v>
      </c>
      <c r="N837" s="30">
        <f>SUM(N838:N855)</f>
        <v>1162661.1448000001</v>
      </c>
      <c r="P837" s="30">
        <f t="shared" ref="P837:S837" si="1318">SUM(P838:P855)</f>
        <v>3700.2734310342021</v>
      </c>
      <c r="Q837" s="30">
        <f t="shared" si="1318"/>
        <v>765298.66948128678</v>
      </c>
      <c r="R837" s="30">
        <f t="shared" si="1318"/>
        <v>954072.56</v>
      </c>
      <c r="S837" s="30">
        <f t="shared" si="1318"/>
        <v>208588.58480000007</v>
      </c>
    </row>
    <row r="838" spans="1:19">
      <c r="A838" s="9" t="s">
        <v>23433</v>
      </c>
      <c r="B838" s="10" t="s">
        <v>9016</v>
      </c>
      <c r="C838" s="12">
        <v>606500</v>
      </c>
      <c r="D838" s="43" t="str">
        <f>VLOOKUP(C838,'13. CUSTOS DER - SERVIÇOS'!A:B,2,0)</f>
        <v>DEMOLIÇÃO DE ALVENARIA</v>
      </c>
      <c r="E838" s="11">
        <v>97.92</v>
      </c>
      <c r="F838" s="26" t="str">
        <f>VLOOKUP(C838,'13. CUSTOS DER - SERVIÇOS'!A:C,3,0)</f>
        <v>M3</v>
      </c>
      <c r="G838" s="24">
        <f>VLOOKUP(C838,'13. CUSTOS DER - SERVIÇOS'!A:G,7,0)</f>
        <v>182.46</v>
      </c>
      <c r="H838" s="24">
        <v>0</v>
      </c>
      <c r="I838" s="25">
        <f>'3. BDI'!$C$19</f>
        <v>0.24666704095238123</v>
      </c>
      <c r="J838" s="24">
        <f t="shared" ref="J838:J855" si="1319">TRUNC(G838+(G838*I838),2)</f>
        <v>227.46</v>
      </c>
      <c r="K838" s="24">
        <f t="shared" ref="K838:K855" si="1320">TRUNC(H838+(H838*I838),2)</f>
        <v>0</v>
      </c>
      <c r="L838" s="24">
        <f t="shared" ref="L838:L855" si="1321">J838*E838</f>
        <v>22272.8832</v>
      </c>
      <c r="M838" s="24">
        <f t="shared" ref="M838:M855" si="1322">K838*E838</f>
        <v>0</v>
      </c>
      <c r="N838" s="24">
        <f t="shared" ref="N838:N855" si="1323">L838+M838</f>
        <v>22272.8832</v>
      </c>
      <c r="P838" s="24">
        <f>165.88/1</f>
        <v>165.88</v>
      </c>
      <c r="Q838" s="24">
        <f t="shared" ref="Q838:Q845" si="1324">TRUNC(P838*E838,2)</f>
        <v>16242.96</v>
      </c>
      <c r="R838" s="24">
        <f t="shared" ref="R838:R855" si="1325">TRUNC((Q838*I838+Q838),2)</f>
        <v>20249.560000000001</v>
      </c>
      <c r="S838" s="24">
        <f t="shared" ref="S838:S855" si="1326">N838-R838</f>
        <v>2023.3231999999989</v>
      </c>
    </row>
    <row r="839" spans="1:19">
      <c r="A839" s="9" t="s">
        <v>23434</v>
      </c>
      <c r="B839" s="10" t="s">
        <v>9016</v>
      </c>
      <c r="C839" s="12">
        <v>606600</v>
      </c>
      <c r="D839" s="43" t="str">
        <f>VLOOKUP(C839,'13. CUSTOS DER - SERVIÇOS'!A:B,2,0)</f>
        <v>DEMOLIÇÃO DE CONCRETO ARMADO</v>
      </c>
      <c r="E839" s="11">
        <v>22.75</v>
      </c>
      <c r="F839" s="26" t="str">
        <f>VLOOKUP(C839,'13. CUSTOS DER - SERVIÇOS'!A:C,3,0)</f>
        <v>M3</v>
      </c>
      <c r="G839" s="24">
        <f>VLOOKUP(C839,'13. CUSTOS DER - SERVIÇOS'!A:G,7,0)</f>
        <v>309.52999999999997</v>
      </c>
      <c r="H839" s="24">
        <v>0</v>
      </c>
      <c r="I839" s="25">
        <f>'3. BDI'!$C$19</f>
        <v>0.24666704095238123</v>
      </c>
      <c r="J839" s="24">
        <f t="shared" si="1319"/>
        <v>385.88</v>
      </c>
      <c r="K839" s="24">
        <f t="shared" si="1320"/>
        <v>0</v>
      </c>
      <c r="L839" s="24">
        <f t="shared" si="1321"/>
        <v>8778.77</v>
      </c>
      <c r="M839" s="24">
        <f t="shared" si="1322"/>
        <v>0</v>
      </c>
      <c r="N839" s="24">
        <f t="shared" si="1323"/>
        <v>8778.77</v>
      </c>
      <c r="P839" s="24">
        <f>142.72/1</f>
        <v>142.72</v>
      </c>
      <c r="Q839" s="24">
        <f t="shared" si="1324"/>
        <v>3246.88</v>
      </c>
      <c r="R839" s="24">
        <f t="shared" si="1325"/>
        <v>4047.77</v>
      </c>
      <c r="S839" s="24">
        <f t="shared" si="1326"/>
        <v>4731</v>
      </c>
    </row>
    <row r="840" spans="1:19">
      <c r="A840" s="9" t="s">
        <v>23435</v>
      </c>
      <c r="B840" s="10" t="s">
        <v>9016</v>
      </c>
      <c r="C840" s="12">
        <v>606700</v>
      </c>
      <c r="D840" s="43" t="str">
        <f>VLOOKUP(C840,'13. CUSTOS DER - SERVIÇOS'!A:B,2,0)</f>
        <v>DEMOLIÇÃO DE CONCRETO SIMPLES</v>
      </c>
      <c r="E840" s="11">
        <v>25.73</v>
      </c>
      <c r="F840" s="26" t="str">
        <f>VLOOKUP(C840,'13. CUSTOS DER - SERVIÇOS'!A:C,3,0)</f>
        <v>M3</v>
      </c>
      <c r="G840" s="24">
        <f>VLOOKUP(C840,'13. CUSTOS DER - SERVIÇOS'!A:G,7,0)</f>
        <v>148.04</v>
      </c>
      <c r="H840" s="24">
        <v>0</v>
      </c>
      <c r="I840" s="25">
        <f>'3. BDI'!$C$19</f>
        <v>0.24666704095238123</v>
      </c>
      <c r="J840" s="24">
        <f t="shared" si="1319"/>
        <v>184.55</v>
      </c>
      <c r="K840" s="24">
        <f t="shared" si="1320"/>
        <v>0</v>
      </c>
      <c r="L840" s="24">
        <f t="shared" si="1321"/>
        <v>4748.4715000000006</v>
      </c>
      <c r="M840" s="24">
        <f t="shared" si="1322"/>
        <v>0</v>
      </c>
      <c r="N840" s="24">
        <f t="shared" si="1323"/>
        <v>4748.4715000000006</v>
      </c>
      <c r="P840" s="24">
        <f>142.72/2</f>
        <v>71.36</v>
      </c>
      <c r="Q840" s="24">
        <f t="shared" si="1324"/>
        <v>1836.09</v>
      </c>
      <c r="R840" s="24">
        <f t="shared" si="1325"/>
        <v>2288.9899999999998</v>
      </c>
      <c r="S840" s="24">
        <f t="shared" si="1326"/>
        <v>2459.4815000000008</v>
      </c>
    </row>
    <row r="841" spans="1:19">
      <c r="A841" s="9" t="s">
        <v>23436</v>
      </c>
      <c r="B841" s="10" t="s">
        <v>9016</v>
      </c>
      <c r="C841" s="12">
        <v>800000</v>
      </c>
      <c r="D841" s="43" t="str">
        <f>VLOOKUP(C841,'13. CUSTOS DER - SERVIÇOS'!A:B,2,0)</f>
        <v>ENLEIVAMENTO</v>
      </c>
      <c r="E841" s="11">
        <v>17522.37</v>
      </c>
      <c r="F841" s="26" t="str">
        <f>VLOOKUP(C841,'13. CUSTOS DER - SERVIÇOS'!A:C,3,0)</f>
        <v>M2</v>
      </c>
      <c r="G841" s="24">
        <f>VLOOKUP(C841,'13. CUSTOS DER - SERVIÇOS'!A:G,7,0)</f>
        <v>12.41</v>
      </c>
      <c r="H841" s="24">
        <v>0</v>
      </c>
      <c r="I841" s="25">
        <f>'3. BDI'!$C$19</f>
        <v>0.24666704095238123</v>
      </c>
      <c r="J841" s="24">
        <f t="shared" si="1319"/>
        <v>15.47</v>
      </c>
      <c r="K841" s="24">
        <f t="shared" si="1320"/>
        <v>0</v>
      </c>
      <c r="L841" s="24">
        <f t="shared" si="1321"/>
        <v>271071.06390000001</v>
      </c>
      <c r="M841" s="24">
        <f t="shared" si="1322"/>
        <v>0</v>
      </c>
      <c r="N841" s="24">
        <f t="shared" si="1323"/>
        <v>271071.06390000001</v>
      </c>
      <c r="P841" s="24">
        <f>722.16/130</f>
        <v>5.555076923076923</v>
      </c>
      <c r="Q841" s="24">
        <f t="shared" si="1324"/>
        <v>97338.11</v>
      </c>
      <c r="R841" s="24">
        <f t="shared" si="1325"/>
        <v>121348.21</v>
      </c>
      <c r="S841" s="24">
        <f t="shared" si="1326"/>
        <v>149722.85389999999</v>
      </c>
    </row>
    <row r="842" spans="1:19">
      <c r="A842" s="9" t="s">
        <v>23437</v>
      </c>
      <c r="B842" s="10" t="s">
        <v>9016</v>
      </c>
      <c r="C842" s="12">
        <v>800100</v>
      </c>
      <c r="D842" s="43" t="str">
        <f>VLOOKUP(C842,'13. CUSTOS DER - SERVIÇOS'!A:B,2,0)</f>
        <v>HIDROSSEMEADURA</v>
      </c>
      <c r="E842" s="11">
        <v>1798.38</v>
      </c>
      <c r="F842" s="26" t="str">
        <f>VLOOKUP(C842,'13. CUSTOS DER - SERVIÇOS'!A:C,3,0)</f>
        <v>M2</v>
      </c>
      <c r="G842" s="24">
        <f>VLOOKUP(C842,'13. CUSTOS DER - SERVIÇOS'!A:G,7,0)</f>
        <v>11.53</v>
      </c>
      <c r="H842" s="24">
        <v>0</v>
      </c>
      <c r="I842" s="25">
        <f>'3. BDI'!$C$19</f>
        <v>0.24666704095238123</v>
      </c>
      <c r="J842" s="24">
        <f t="shared" si="1319"/>
        <v>14.37</v>
      </c>
      <c r="K842" s="24">
        <f t="shared" si="1320"/>
        <v>0</v>
      </c>
      <c r="L842" s="24">
        <f t="shared" si="1321"/>
        <v>25842.720600000001</v>
      </c>
      <c r="M842" s="24">
        <f t="shared" si="1322"/>
        <v>0</v>
      </c>
      <c r="N842" s="24">
        <f t="shared" si="1323"/>
        <v>25842.720600000001</v>
      </c>
      <c r="P842" s="24">
        <f>715.01/400</f>
        <v>1.787525</v>
      </c>
      <c r="Q842" s="24">
        <f t="shared" si="1324"/>
        <v>3214.64</v>
      </c>
      <c r="R842" s="24">
        <f t="shared" si="1325"/>
        <v>4007.58</v>
      </c>
      <c r="S842" s="24">
        <f t="shared" si="1326"/>
        <v>21835.140599999999</v>
      </c>
    </row>
    <row r="843" spans="1:19">
      <c r="A843" s="9" t="s">
        <v>23438</v>
      </c>
      <c r="B843" s="10" t="s">
        <v>9016</v>
      </c>
      <c r="C843" s="12">
        <v>831000</v>
      </c>
      <c r="D843" s="43" t="str">
        <f>VLOOKUP(C843,'13. CUSTOS DER - SERVIÇOS'!A:B,2,0)</f>
        <v>CERCA 4 FIOS C/ MOURÕES DE CONCRETO</v>
      </c>
      <c r="E843" s="11">
        <v>2772.74</v>
      </c>
      <c r="F843" s="26" t="str">
        <f>VLOOKUP(C843,'13. CUSTOS DER - SERVIÇOS'!A:C,3,0)</f>
        <v>M</v>
      </c>
      <c r="G843" s="24">
        <f>VLOOKUP(C843,'13. CUSTOS DER - SERVIÇOS'!A:G,7,0)</f>
        <v>41.45</v>
      </c>
      <c r="H843" s="24">
        <v>0</v>
      </c>
      <c r="I843" s="25">
        <f>'3. BDI'!$C$19</f>
        <v>0.24666704095238123</v>
      </c>
      <c r="J843" s="24">
        <f t="shared" si="1319"/>
        <v>51.67</v>
      </c>
      <c r="K843" s="24">
        <f t="shared" si="1320"/>
        <v>0</v>
      </c>
      <c r="L843" s="24">
        <f t="shared" si="1321"/>
        <v>143267.47579999999</v>
      </c>
      <c r="M843" s="24">
        <f t="shared" si="1322"/>
        <v>0</v>
      </c>
      <c r="N843" s="24">
        <f t="shared" si="1323"/>
        <v>143267.47579999999</v>
      </c>
      <c r="P843" s="24">
        <f>755.77/30</f>
        <v>25.192333333333334</v>
      </c>
      <c r="Q843" s="24">
        <f t="shared" si="1324"/>
        <v>69851.789999999994</v>
      </c>
      <c r="R843" s="24">
        <f t="shared" si="1325"/>
        <v>87081.919999999998</v>
      </c>
      <c r="S843" s="24">
        <f t="shared" si="1326"/>
        <v>56185.555799999987</v>
      </c>
    </row>
    <row r="844" spans="1:19">
      <c r="A844" s="9" t="s">
        <v>23439</v>
      </c>
      <c r="B844" s="10" t="s">
        <v>9016</v>
      </c>
      <c r="C844" s="12">
        <v>841000</v>
      </c>
      <c r="D844" s="43" t="str">
        <f>VLOOKUP(C844,'13. CUSTOS DER - SERVIÇOS'!A:B,2,0)</f>
        <v>REMOÇÃO DE CERCAS</v>
      </c>
      <c r="E844" s="11">
        <v>4196.57</v>
      </c>
      <c r="F844" s="26" t="str">
        <f>VLOOKUP(C844,'13. CUSTOS DER - SERVIÇOS'!A:C,3,0)</f>
        <v>M</v>
      </c>
      <c r="G844" s="24">
        <f>VLOOKUP(C844,'13. CUSTOS DER - SERVIÇOS'!A:G,7,0)</f>
        <v>12.51</v>
      </c>
      <c r="H844" s="24">
        <v>0</v>
      </c>
      <c r="I844" s="25">
        <f>'3. BDI'!$C$19</f>
        <v>0.24666704095238123</v>
      </c>
      <c r="J844" s="24">
        <f t="shared" si="1319"/>
        <v>15.59</v>
      </c>
      <c r="K844" s="24">
        <f t="shared" si="1320"/>
        <v>0</v>
      </c>
      <c r="L844" s="24">
        <f t="shared" si="1321"/>
        <v>65424.526299999998</v>
      </c>
      <c r="M844" s="24">
        <f t="shared" si="1322"/>
        <v>0</v>
      </c>
      <c r="N844" s="24">
        <f t="shared" si="1323"/>
        <v>65424.526299999998</v>
      </c>
      <c r="P844" s="24">
        <f>35.75/3</f>
        <v>11.916666666666666</v>
      </c>
      <c r="Q844" s="24">
        <f t="shared" si="1324"/>
        <v>50009.120000000003</v>
      </c>
      <c r="R844" s="24">
        <f t="shared" si="1325"/>
        <v>62344.72</v>
      </c>
      <c r="S844" s="24">
        <f t="shared" si="1326"/>
        <v>3079.8062999999966</v>
      </c>
    </row>
    <row r="845" spans="1:19">
      <c r="A845" s="9" t="s">
        <v>23380</v>
      </c>
      <c r="B845" s="10" t="s">
        <v>9016</v>
      </c>
      <c r="C845" s="12">
        <v>850000</v>
      </c>
      <c r="D845" s="43" t="str">
        <f>VLOOKUP(C845,'13. CUSTOS DER - SERVIÇOS'!A:B,2,0)</f>
        <v>ABRIGO EM PARADA DE ÔNIBUS</v>
      </c>
      <c r="E845" s="11">
        <v>6</v>
      </c>
      <c r="F845" s="26" t="str">
        <f>VLOOKUP(C845,'13. CUSTOS DER - SERVIÇOS'!A:C,3,0)</f>
        <v>UD</v>
      </c>
      <c r="G845" s="24">
        <f>VLOOKUP(C845,'13. CUSTOS DER - SERVIÇOS'!A:G,7,0)</f>
        <v>7254.91</v>
      </c>
      <c r="H845" s="24">
        <f>VLOOKUP(C845,'10. CCU TRANSPORTE'!B:J,9,0)</f>
        <v>878.92</v>
      </c>
      <c r="I845" s="25">
        <f>'3. BDI'!$C$19</f>
        <v>0.24666704095238123</v>
      </c>
      <c r="J845" s="24">
        <f t="shared" si="1319"/>
        <v>9044.4500000000007</v>
      </c>
      <c r="K845" s="24">
        <f t="shared" si="1320"/>
        <v>1095.72</v>
      </c>
      <c r="L845" s="24">
        <f t="shared" si="1321"/>
        <v>54266.700000000004</v>
      </c>
      <c r="M845" s="24">
        <f t="shared" si="1322"/>
        <v>6574.32</v>
      </c>
      <c r="N845" s="24">
        <f t="shared" si="1323"/>
        <v>60841.020000000004</v>
      </c>
      <c r="P845" s="24">
        <f>2411.67/1</f>
        <v>2411.67</v>
      </c>
      <c r="Q845" s="24">
        <f t="shared" si="1324"/>
        <v>14470.02</v>
      </c>
      <c r="R845" s="24">
        <f t="shared" si="1325"/>
        <v>18039.29</v>
      </c>
      <c r="S845" s="24">
        <f t="shared" si="1326"/>
        <v>42801.73</v>
      </c>
    </row>
    <row r="846" spans="1:19">
      <c r="A846" s="9" t="s">
        <v>23440</v>
      </c>
      <c r="B846" s="10" t="s">
        <v>358</v>
      </c>
      <c r="C846" s="12" t="s">
        <v>22667</v>
      </c>
      <c r="D846" s="43" t="s">
        <v>298</v>
      </c>
      <c r="E846" s="11">
        <v>828.32</v>
      </c>
      <c r="F846" s="13" t="s">
        <v>328</v>
      </c>
      <c r="G846" s="24">
        <f>VLOOKUP(C846,'9. CCU''S GERAIS AMEP'!A:K,11,0)</f>
        <v>92.439369333333332</v>
      </c>
      <c r="H846" s="24">
        <v>0</v>
      </c>
      <c r="I846" s="25">
        <f>'3. BDI'!$C$19</f>
        <v>0.24666704095238123</v>
      </c>
      <c r="J846" s="24">
        <f t="shared" si="1319"/>
        <v>115.24</v>
      </c>
      <c r="K846" s="24">
        <f t="shared" si="1320"/>
        <v>0</v>
      </c>
      <c r="L846" s="24">
        <f t="shared" si="1321"/>
        <v>95455.596799999999</v>
      </c>
      <c r="M846" s="24">
        <f t="shared" si="1322"/>
        <v>0</v>
      </c>
      <c r="N846" s="24">
        <f t="shared" si="1323"/>
        <v>95455.596799999999</v>
      </c>
      <c r="P846" s="24">
        <f>755.77/30</f>
        <v>25.192333333333334</v>
      </c>
      <c r="Q846" s="24">
        <f t="shared" ref="Q846:Q847" si="1327">P846*E846</f>
        <v>20867.313546666668</v>
      </c>
      <c r="R846" s="24">
        <f t="shared" si="1325"/>
        <v>26014.59</v>
      </c>
      <c r="S846" s="24">
        <f t="shared" si="1326"/>
        <v>69441.006800000003</v>
      </c>
    </row>
    <row r="847" spans="1:19">
      <c r="A847" s="9" t="s">
        <v>23441</v>
      </c>
      <c r="B847" s="10" t="s">
        <v>358</v>
      </c>
      <c r="C847" s="12" t="s">
        <v>22668</v>
      </c>
      <c r="D847" s="43" t="s">
        <v>299</v>
      </c>
      <c r="E847" s="11">
        <v>480.23</v>
      </c>
      <c r="F847" s="13" t="s">
        <v>328</v>
      </c>
      <c r="G847" s="24">
        <f>VLOOKUP(C847,'9. CCU''S GERAIS AMEP'!A:K,11,0)</f>
        <v>90.479369333333324</v>
      </c>
      <c r="H847" s="24">
        <v>0</v>
      </c>
      <c r="I847" s="25">
        <f>'3. BDI'!$C$19</f>
        <v>0.24666704095238123</v>
      </c>
      <c r="J847" s="24">
        <f t="shared" si="1319"/>
        <v>112.79</v>
      </c>
      <c r="K847" s="24">
        <f t="shared" si="1320"/>
        <v>0</v>
      </c>
      <c r="L847" s="24">
        <f t="shared" si="1321"/>
        <v>54165.141700000007</v>
      </c>
      <c r="M847" s="24">
        <f t="shared" si="1322"/>
        <v>0</v>
      </c>
      <c r="N847" s="24">
        <f t="shared" si="1323"/>
        <v>54165.141700000007</v>
      </c>
      <c r="P847" s="24">
        <f>755.77</f>
        <v>755.77</v>
      </c>
      <c r="Q847" s="24">
        <f t="shared" si="1327"/>
        <v>362943.42710000003</v>
      </c>
      <c r="R847" s="24">
        <f t="shared" si="1325"/>
        <v>452469.6</v>
      </c>
      <c r="S847" s="24">
        <f t="shared" si="1326"/>
        <v>-398304.45829999994</v>
      </c>
    </row>
    <row r="848" spans="1:19">
      <c r="A848" s="9" t="s">
        <v>23442</v>
      </c>
      <c r="B848" s="10" t="s">
        <v>9016</v>
      </c>
      <c r="C848" s="12">
        <v>810250</v>
      </c>
      <c r="D848" s="43" t="str">
        <f>VLOOKUP(C848,'13. CUSTOS DER - SERVIÇOS'!A:B,2,0)</f>
        <v>MEIO FIO DE CONCRETO TIPO 3 (PRÉ-MOLDADO)</v>
      </c>
      <c r="E848" s="11">
        <v>140.49</v>
      </c>
      <c r="F848" s="26" t="str">
        <f>VLOOKUP(C848,'13. CUSTOS DER - SERVIÇOS'!A:C,3,0)</f>
        <v>M</v>
      </c>
      <c r="G848" s="24">
        <f>VLOOKUP(C848,'13. CUSTOS DER - SERVIÇOS'!A:G,7,0)</f>
        <v>40.090000000000003</v>
      </c>
      <c r="H848" s="24">
        <f>VLOOKUP(C848,'10. CCU TRANSPORTE'!B:J,9,0)</f>
        <v>2.09</v>
      </c>
      <c r="I848" s="25">
        <f>'3. BDI'!$C$19</f>
        <v>0.24666704095238123</v>
      </c>
      <c r="J848" s="24">
        <f t="shared" si="1319"/>
        <v>49.97</v>
      </c>
      <c r="K848" s="24">
        <f t="shared" si="1320"/>
        <v>2.6</v>
      </c>
      <c r="L848" s="24">
        <f t="shared" si="1321"/>
        <v>7020.2853000000005</v>
      </c>
      <c r="M848" s="24">
        <f t="shared" si="1322"/>
        <v>365.27400000000006</v>
      </c>
      <c r="N848" s="24">
        <f t="shared" si="1323"/>
        <v>7385.5593000000008</v>
      </c>
      <c r="P848" s="24">
        <f>274.57/15</f>
        <v>18.304666666666666</v>
      </c>
      <c r="Q848" s="24">
        <f>TRUNC(P848*E848,2)</f>
        <v>2571.62</v>
      </c>
      <c r="R848" s="24">
        <f t="shared" si="1325"/>
        <v>3205.95</v>
      </c>
      <c r="S848" s="24">
        <f t="shared" si="1326"/>
        <v>4179.609300000001</v>
      </c>
    </row>
    <row r="849" spans="1:19">
      <c r="A849" s="9" t="s">
        <v>23443</v>
      </c>
      <c r="B849" s="10" t="s">
        <v>358</v>
      </c>
      <c r="C849" s="12" t="s">
        <v>22669</v>
      </c>
      <c r="D849" s="43" t="s">
        <v>301</v>
      </c>
      <c r="E849" s="11">
        <v>457.1</v>
      </c>
      <c r="F849" s="13" t="s">
        <v>325</v>
      </c>
      <c r="G849" s="24">
        <f>VLOOKUP(C849,'9. CCU''S GERAIS AMEP'!A:K,11,0)</f>
        <v>36.546399999999998</v>
      </c>
      <c r="H849" s="24">
        <f>VLOOKUP(C849,'10. CCU TRANSPORTE'!B:J,9,0)</f>
        <v>4.2799999999999994</v>
      </c>
      <c r="I849" s="25">
        <f>'3. BDI'!$C$19</f>
        <v>0.24666704095238123</v>
      </c>
      <c r="J849" s="24">
        <f t="shared" si="1319"/>
        <v>45.56</v>
      </c>
      <c r="K849" s="24">
        <f t="shared" si="1320"/>
        <v>5.33</v>
      </c>
      <c r="L849" s="24">
        <f t="shared" si="1321"/>
        <v>20825.476000000002</v>
      </c>
      <c r="M849" s="24">
        <f t="shared" si="1322"/>
        <v>2436.3430000000003</v>
      </c>
      <c r="N849" s="24">
        <f t="shared" si="1323"/>
        <v>23261.819000000003</v>
      </c>
      <c r="P849" s="24">
        <v>0</v>
      </c>
      <c r="Q849" s="24">
        <f t="shared" ref="Q849:Q855" si="1328">P849*E849</f>
        <v>0</v>
      </c>
      <c r="R849" s="24">
        <f t="shared" si="1325"/>
        <v>0</v>
      </c>
      <c r="S849" s="24">
        <f t="shared" si="1326"/>
        <v>23261.819000000003</v>
      </c>
    </row>
    <row r="850" spans="1:19" ht="47.25">
      <c r="A850" s="9" t="s">
        <v>23444</v>
      </c>
      <c r="B850" s="10" t="s">
        <v>358</v>
      </c>
      <c r="C850" s="12" t="s">
        <v>22670</v>
      </c>
      <c r="D850" s="43" t="s">
        <v>302</v>
      </c>
      <c r="E850" s="11">
        <v>228</v>
      </c>
      <c r="F850" s="13" t="s">
        <v>328</v>
      </c>
      <c r="G850" s="24">
        <f>VLOOKUP(C850,'9. CCU''S GERAIS AMEP'!A:K,11,0)</f>
        <v>593.845842686624</v>
      </c>
      <c r="H850" s="24">
        <f>VLOOKUP(C850,'10. CCU TRANSPORTE'!B:J,9,0)</f>
        <v>11.8</v>
      </c>
      <c r="I850" s="25">
        <f>'3. BDI'!$C$19</f>
        <v>0.24666704095238123</v>
      </c>
      <c r="J850" s="24">
        <f t="shared" si="1319"/>
        <v>740.32</v>
      </c>
      <c r="K850" s="24">
        <f t="shared" si="1320"/>
        <v>14.71</v>
      </c>
      <c r="L850" s="24">
        <f t="shared" si="1321"/>
        <v>168792.96000000002</v>
      </c>
      <c r="M850" s="24">
        <f t="shared" si="1322"/>
        <v>3353.88</v>
      </c>
      <c r="N850" s="24">
        <f t="shared" si="1323"/>
        <v>172146.84000000003</v>
      </c>
      <c r="P850" s="24">
        <v>0</v>
      </c>
      <c r="Q850" s="24">
        <f t="shared" si="1328"/>
        <v>0</v>
      </c>
      <c r="R850" s="24">
        <f t="shared" si="1325"/>
        <v>0</v>
      </c>
      <c r="S850" s="24">
        <f t="shared" si="1326"/>
        <v>172146.84000000003</v>
      </c>
    </row>
    <row r="851" spans="1:19">
      <c r="A851" s="9" t="s">
        <v>23445</v>
      </c>
      <c r="B851" s="10" t="s">
        <v>358</v>
      </c>
      <c r="C851" s="12" t="s">
        <v>22671</v>
      </c>
      <c r="D851" s="43" t="s">
        <v>303</v>
      </c>
      <c r="E851" s="11">
        <v>200</v>
      </c>
      <c r="F851" s="13" t="s">
        <v>328</v>
      </c>
      <c r="G851" s="24">
        <f>VLOOKUP(C851,'9. CCU''S GERAIS AMEP'!A:K,11,0)</f>
        <v>57.81397599999999</v>
      </c>
      <c r="H851" s="24">
        <f>VLOOKUP(C851,'10. CCU TRANSPORTE'!B:J,9,0)</f>
        <v>7.4</v>
      </c>
      <c r="I851" s="25">
        <f>'3. BDI'!$C$19</f>
        <v>0.24666704095238123</v>
      </c>
      <c r="J851" s="24">
        <f t="shared" si="1319"/>
        <v>72.069999999999993</v>
      </c>
      <c r="K851" s="24">
        <f t="shared" si="1320"/>
        <v>9.2200000000000006</v>
      </c>
      <c r="L851" s="24">
        <f t="shared" si="1321"/>
        <v>14413.999999999998</v>
      </c>
      <c r="M851" s="24">
        <f t="shared" si="1322"/>
        <v>1844.0000000000002</v>
      </c>
      <c r="N851" s="24">
        <f t="shared" si="1323"/>
        <v>16257.999999999998</v>
      </c>
      <c r="P851" s="24">
        <f>7.72/1</f>
        <v>7.72</v>
      </c>
      <c r="Q851" s="24">
        <f t="shared" si="1328"/>
        <v>1544</v>
      </c>
      <c r="R851" s="24">
        <f t="shared" si="1325"/>
        <v>1924.85</v>
      </c>
      <c r="S851" s="24">
        <f t="shared" si="1326"/>
        <v>14333.149999999998</v>
      </c>
    </row>
    <row r="852" spans="1:19">
      <c r="A852" s="9" t="s">
        <v>23446</v>
      </c>
      <c r="B852" s="10" t="s">
        <v>358</v>
      </c>
      <c r="C852" s="12" t="s">
        <v>22672</v>
      </c>
      <c r="D852" s="43" t="s">
        <v>304</v>
      </c>
      <c r="E852" s="11">
        <v>2</v>
      </c>
      <c r="F852" s="13" t="s">
        <v>331</v>
      </c>
      <c r="G852" s="24">
        <f>VLOOKUP(C852,'9. CCU''S GERAIS AMEP'!A:K,11,0)</f>
        <v>791.38519999999994</v>
      </c>
      <c r="H852" s="24">
        <f>VLOOKUP(C852,'10. CCU TRANSPORTE'!B:J,9,0)</f>
        <v>26.12</v>
      </c>
      <c r="I852" s="25">
        <f>'3. BDI'!$C$19</f>
        <v>0.24666704095238123</v>
      </c>
      <c r="J852" s="24">
        <f t="shared" si="1319"/>
        <v>986.59</v>
      </c>
      <c r="K852" s="24">
        <f t="shared" si="1320"/>
        <v>32.56</v>
      </c>
      <c r="L852" s="24">
        <f t="shared" si="1321"/>
        <v>1973.18</v>
      </c>
      <c r="M852" s="24">
        <f t="shared" si="1322"/>
        <v>65.12</v>
      </c>
      <c r="N852" s="24">
        <f t="shared" si="1323"/>
        <v>2038.3000000000002</v>
      </c>
      <c r="P852" s="24">
        <v>0</v>
      </c>
      <c r="Q852" s="24">
        <f t="shared" si="1328"/>
        <v>0</v>
      </c>
      <c r="R852" s="24">
        <f t="shared" si="1325"/>
        <v>0</v>
      </c>
      <c r="S852" s="24">
        <f t="shared" si="1326"/>
        <v>2038.3000000000002</v>
      </c>
    </row>
    <row r="853" spans="1:19">
      <c r="A853" s="9" t="s">
        <v>23447</v>
      </c>
      <c r="B853" s="10" t="s">
        <v>358</v>
      </c>
      <c r="C853" s="12" t="s">
        <v>22673</v>
      </c>
      <c r="D853" s="43" t="s">
        <v>305</v>
      </c>
      <c r="E853" s="11">
        <v>6.2</v>
      </c>
      <c r="F853" s="13" t="s">
        <v>328</v>
      </c>
      <c r="G853" s="24">
        <f>VLOOKUP(C853,'9. CCU''S GERAIS AMEP'!A:K,11,0)</f>
        <v>29.588666666666668</v>
      </c>
      <c r="H853" s="24"/>
      <c r="I853" s="25">
        <f>'3. BDI'!$C$19</f>
        <v>0.24666704095238123</v>
      </c>
      <c r="J853" s="24">
        <f t="shared" si="1319"/>
        <v>36.880000000000003</v>
      </c>
      <c r="K853" s="24">
        <f t="shared" si="1320"/>
        <v>0</v>
      </c>
      <c r="L853" s="24">
        <f t="shared" si="1321"/>
        <v>228.65600000000003</v>
      </c>
      <c r="M853" s="24">
        <f t="shared" si="1322"/>
        <v>0</v>
      </c>
      <c r="N853" s="24">
        <f t="shared" si="1323"/>
        <v>228.65600000000003</v>
      </c>
      <c r="P853" s="24">
        <f>169.08/6</f>
        <v>28.180000000000003</v>
      </c>
      <c r="Q853" s="24">
        <f t="shared" si="1328"/>
        <v>174.71600000000004</v>
      </c>
      <c r="R853" s="24">
        <f t="shared" si="1325"/>
        <v>217.81</v>
      </c>
      <c r="S853" s="24">
        <f t="shared" si="1326"/>
        <v>10.846000000000032</v>
      </c>
    </row>
    <row r="854" spans="1:19">
      <c r="A854" s="9" t="s">
        <v>23448</v>
      </c>
      <c r="B854" s="10" t="s">
        <v>358</v>
      </c>
      <c r="C854" s="12" t="s">
        <v>22674</v>
      </c>
      <c r="D854" s="43" t="s">
        <v>306</v>
      </c>
      <c r="E854" s="11">
        <v>230.33</v>
      </c>
      <c r="F854" s="13" t="s">
        <v>326</v>
      </c>
      <c r="G854" s="24">
        <f>VLOOKUP(C854,'9. CCU''S GERAIS AMEP'!A:K,11,0)</f>
        <v>6.3513377345378732</v>
      </c>
      <c r="H854" s="24">
        <f>VLOOKUP(C854,'10. CCU TRANSPORTE'!B:J,9,0)</f>
        <v>34.11</v>
      </c>
      <c r="I854" s="25">
        <f>'3. BDI'!$C$19</f>
        <v>0.24666704095238123</v>
      </c>
      <c r="J854" s="24">
        <f t="shared" si="1319"/>
        <v>7.91</v>
      </c>
      <c r="K854" s="24">
        <f t="shared" si="1320"/>
        <v>42.52</v>
      </c>
      <c r="L854" s="24">
        <f t="shared" si="1321"/>
        <v>1821.9103000000002</v>
      </c>
      <c r="M854" s="24">
        <f t="shared" si="1322"/>
        <v>9793.6316000000006</v>
      </c>
      <c r="N854" s="24">
        <f t="shared" si="1323"/>
        <v>11615.5419</v>
      </c>
      <c r="P854" s="24">
        <f>8.58/86.34</f>
        <v>9.9374565670604584E-2</v>
      </c>
      <c r="Q854" s="24">
        <f t="shared" si="1328"/>
        <v>22.888943710910354</v>
      </c>
      <c r="R854" s="24">
        <f t="shared" si="1325"/>
        <v>28.53</v>
      </c>
      <c r="S854" s="24">
        <f t="shared" si="1326"/>
        <v>11587.0119</v>
      </c>
    </row>
    <row r="855" spans="1:19">
      <c r="A855" s="9" t="s">
        <v>23449</v>
      </c>
      <c r="B855" s="10" t="s">
        <v>358</v>
      </c>
      <c r="C855" s="10" t="s">
        <v>22675</v>
      </c>
      <c r="D855" s="43" t="s">
        <v>307</v>
      </c>
      <c r="E855" s="11">
        <v>4181.96</v>
      </c>
      <c r="F855" s="9" t="s">
        <v>326</v>
      </c>
      <c r="G855" s="24">
        <f>VLOOKUP(C855,'9. CCU''S GERAIS AMEP'!A:K,11,0)</f>
        <v>34.122109090909092</v>
      </c>
      <c r="H855" s="24">
        <v>0</v>
      </c>
      <c r="I855" s="25">
        <f>'3. BDI'!$C$19</f>
        <v>0.24666704095238123</v>
      </c>
      <c r="J855" s="24">
        <f t="shared" si="1319"/>
        <v>42.53</v>
      </c>
      <c r="K855" s="24">
        <f t="shared" si="1320"/>
        <v>0</v>
      </c>
      <c r="L855" s="24">
        <f t="shared" si="1321"/>
        <v>177858.75880000001</v>
      </c>
      <c r="M855" s="24">
        <f t="shared" si="1322"/>
        <v>0</v>
      </c>
      <c r="N855" s="24">
        <f t="shared" si="1323"/>
        <v>177858.75880000001</v>
      </c>
      <c r="P855" s="24">
        <f>318.18/11</f>
        <v>28.925454545454546</v>
      </c>
      <c r="Q855" s="24">
        <f t="shared" si="1328"/>
        <v>120965.09389090909</v>
      </c>
      <c r="R855" s="24">
        <f t="shared" si="1325"/>
        <v>150803.19</v>
      </c>
      <c r="S855" s="24">
        <f t="shared" si="1326"/>
        <v>27055.568800000008</v>
      </c>
    </row>
    <row r="856" spans="1:19">
      <c r="A856" s="28" t="s">
        <v>22987</v>
      </c>
      <c r="B856" s="48"/>
      <c r="C856" s="29"/>
      <c r="D856" s="301" t="s">
        <v>22842</v>
      </c>
      <c r="E856" s="30"/>
      <c r="F856" s="29" t="s">
        <v>195</v>
      </c>
      <c r="G856" s="30"/>
      <c r="H856" s="30"/>
      <c r="I856" s="31"/>
      <c r="J856" s="30"/>
      <c r="K856" s="30"/>
      <c r="L856" s="30">
        <f t="shared" ref="L856:M856" si="1329">SUM(L857:L869)</f>
        <v>362612.11810000002</v>
      </c>
      <c r="M856" s="30">
        <f t="shared" si="1329"/>
        <v>6218.0066000000006</v>
      </c>
      <c r="N856" s="30">
        <f>SUM(N857:N869)</f>
        <v>368830.12470000004</v>
      </c>
      <c r="P856" s="30">
        <f t="shared" ref="P856:S856" si="1330">SUM(P857:P869)</f>
        <v>3649.056431034202</v>
      </c>
      <c r="Q856" s="30">
        <f t="shared" si="1330"/>
        <v>268171.93002019712</v>
      </c>
      <c r="R856" s="30">
        <f t="shared" si="1330"/>
        <v>334321.03999999998</v>
      </c>
      <c r="S856" s="30">
        <f t="shared" si="1330"/>
        <v>34509.084700000007</v>
      </c>
    </row>
    <row r="857" spans="1:19">
      <c r="A857" s="9" t="s">
        <v>23450</v>
      </c>
      <c r="B857" s="10" t="s">
        <v>9016</v>
      </c>
      <c r="C857" s="12">
        <v>606500</v>
      </c>
      <c r="D857" s="43" t="str">
        <f>VLOOKUP(C857,'13. CUSTOS DER - SERVIÇOS'!A:B,2,0)</f>
        <v>DEMOLIÇÃO DE ALVENARIA</v>
      </c>
      <c r="E857" s="11">
        <v>47.85</v>
      </c>
      <c r="F857" s="26" t="str">
        <f>VLOOKUP(C857,'13. CUSTOS DER - SERVIÇOS'!A:C,3,0)</f>
        <v>M3</v>
      </c>
      <c r="G857" s="24">
        <f>VLOOKUP(C857,'13. CUSTOS DER - SERVIÇOS'!A:G,7,0)</f>
        <v>182.46</v>
      </c>
      <c r="H857" s="24">
        <v>0</v>
      </c>
      <c r="I857" s="25">
        <f>'3. BDI'!$C$19</f>
        <v>0.24666704095238123</v>
      </c>
      <c r="J857" s="24">
        <f t="shared" ref="J857:J869" si="1331">TRUNC(G857+(G857*I857),2)</f>
        <v>227.46</v>
      </c>
      <c r="K857" s="24">
        <f t="shared" ref="K857:K869" si="1332">TRUNC(H857+(H857*I857),2)</f>
        <v>0</v>
      </c>
      <c r="L857" s="24">
        <f t="shared" ref="L857:L869" si="1333">J857*E857</f>
        <v>10883.961000000001</v>
      </c>
      <c r="M857" s="24">
        <f t="shared" ref="M857:M869" si="1334">K857*E857</f>
        <v>0</v>
      </c>
      <c r="N857" s="24">
        <f t="shared" ref="N857:N869" si="1335">L857+M857</f>
        <v>10883.961000000001</v>
      </c>
      <c r="P857" s="24">
        <f>165.88/1</f>
        <v>165.88</v>
      </c>
      <c r="Q857" s="24">
        <f t="shared" ref="Q857:Q864" si="1336">TRUNC(P857*E857,2)</f>
        <v>7937.35</v>
      </c>
      <c r="R857" s="24">
        <f t="shared" ref="R857:R869" si="1337">TRUNC((Q857*I857+Q857),2)</f>
        <v>9895.23</v>
      </c>
      <c r="S857" s="24">
        <f t="shared" ref="S857:S869" si="1338">N857-R857</f>
        <v>988.73100000000159</v>
      </c>
    </row>
    <row r="858" spans="1:19">
      <c r="A858" s="9" t="s">
        <v>23451</v>
      </c>
      <c r="B858" s="10" t="s">
        <v>9016</v>
      </c>
      <c r="C858" s="12">
        <v>606600</v>
      </c>
      <c r="D858" s="43" t="str">
        <f>VLOOKUP(C858,'13. CUSTOS DER - SERVIÇOS'!A:B,2,0)</f>
        <v>DEMOLIÇÃO DE CONCRETO ARMADO</v>
      </c>
      <c r="E858" s="11">
        <v>10.89</v>
      </c>
      <c r="F858" s="26" t="str">
        <f>VLOOKUP(C858,'13. CUSTOS DER - SERVIÇOS'!A:C,3,0)</f>
        <v>M3</v>
      </c>
      <c r="G858" s="24">
        <f>VLOOKUP(C858,'13. CUSTOS DER - SERVIÇOS'!A:G,7,0)</f>
        <v>309.52999999999997</v>
      </c>
      <c r="H858" s="24">
        <v>0</v>
      </c>
      <c r="I858" s="25">
        <f>'3. BDI'!$C$19</f>
        <v>0.24666704095238123</v>
      </c>
      <c r="J858" s="24">
        <f t="shared" si="1331"/>
        <v>385.88</v>
      </c>
      <c r="K858" s="24">
        <f t="shared" si="1332"/>
        <v>0</v>
      </c>
      <c r="L858" s="24">
        <f t="shared" si="1333"/>
        <v>4202.2332000000006</v>
      </c>
      <c r="M858" s="24">
        <f t="shared" si="1334"/>
        <v>0</v>
      </c>
      <c r="N858" s="24">
        <f t="shared" si="1335"/>
        <v>4202.2332000000006</v>
      </c>
      <c r="P858" s="24">
        <f>142.72/1</f>
        <v>142.72</v>
      </c>
      <c r="Q858" s="24">
        <f t="shared" si="1336"/>
        <v>1554.22</v>
      </c>
      <c r="R858" s="24">
        <f t="shared" si="1337"/>
        <v>1937.59</v>
      </c>
      <c r="S858" s="24">
        <f t="shared" si="1338"/>
        <v>2264.6432000000004</v>
      </c>
    </row>
    <row r="859" spans="1:19">
      <c r="A859" s="9" t="s">
        <v>23452</v>
      </c>
      <c r="B859" s="10" t="s">
        <v>9016</v>
      </c>
      <c r="C859" s="12">
        <v>606700</v>
      </c>
      <c r="D859" s="43" t="str">
        <f>VLOOKUP(C859,'13. CUSTOS DER - SERVIÇOS'!A:B,2,0)</f>
        <v>DEMOLIÇÃO DE CONCRETO SIMPLES</v>
      </c>
      <c r="E859" s="11">
        <v>1.08</v>
      </c>
      <c r="F859" s="26" t="str">
        <f>VLOOKUP(C859,'13. CUSTOS DER - SERVIÇOS'!A:C,3,0)</f>
        <v>M3</v>
      </c>
      <c r="G859" s="24">
        <f>VLOOKUP(C859,'13. CUSTOS DER - SERVIÇOS'!A:G,7,0)</f>
        <v>148.04</v>
      </c>
      <c r="H859" s="24">
        <v>0</v>
      </c>
      <c r="I859" s="25">
        <f>'3. BDI'!$C$19</f>
        <v>0.24666704095238123</v>
      </c>
      <c r="J859" s="24">
        <f t="shared" si="1331"/>
        <v>184.55</v>
      </c>
      <c r="K859" s="24">
        <f t="shared" si="1332"/>
        <v>0</v>
      </c>
      <c r="L859" s="24">
        <f t="shared" si="1333"/>
        <v>199.31400000000002</v>
      </c>
      <c r="M859" s="24">
        <f t="shared" si="1334"/>
        <v>0</v>
      </c>
      <c r="N859" s="24">
        <f t="shared" si="1335"/>
        <v>199.31400000000002</v>
      </c>
      <c r="P859" s="24">
        <f>142.72/2</f>
        <v>71.36</v>
      </c>
      <c r="Q859" s="24">
        <f t="shared" si="1336"/>
        <v>77.06</v>
      </c>
      <c r="R859" s="24">
        <f t="shared" si="1337"/>
        <v>96.06</v>
      </c>
      <c r="S859" s="24">
        <f t="shared" si="1338"/>
        <v>103.25400000000002</v>
      </c>
    </row>
    <row r="860" spans="1:19">
      <c r="A860" s="9" t="s">
        <v>23453</v>
      </c>
      <c r="B860" s="10" t="s">
        <v>9016</v>
      </c>
      <c r="C860" s="12">
        <v>800000</v>
      </c>
      <c r="D860" s="43" t="str">
        <f>VLOOKUP(C860,'13. CUSTOS DER - SERVIÇOS'!A:B,2,0)</f>
        <v>ENLEIVAMENTO</v>
      </c>
      <c r="E860" s="11">
        <v>2442.59</v>
      </c>
      <c r="F860" s="26" t="str">
        <f>VLOOKUP(C860,'13. CUSTOS DER - SERVIÇOS'!A:C,3,0)</f>
        <v>M2</v>
      </c>
      <c r="G860" s="24">
        <f>VLOOKUP(C860,'13. CUSTOS DER - SERVIÇOS'!A:G,7,0)</f>
        <v>12.41</v>
      </c>
      <c r="H860" s="24">
        <v>0</v>
      </c>
      <c r="I860" s="25">
        <f>'3. BDI'!$C$19</f>
        <v>0.24666704095238123</v>
      </c>
      <c r="J860" s="24">
        <f t="shared" si="1331"/>
        <v>15.47</v>
      </c>
      <c r="K860" s="24">
        <f t="shared" si="1332"/>
        <v>0</v>
      </c>
      <c r="L860" s="24">
        <f t="shared" si="1333"/>
        <v>37786.867300000005</v>
      </c>
      <c r="M860" s="24">
        <f t="shared" si="1334"/>
        <v>0</v>
      </c>
      <c r="N860" s="24">
        <f t="shared" si="1335"/>
        <v>37786.867300000005</v>
      </c>
      <c r="P860" s="24">
        <f>722.16/130</f>
        <v>5.555076923076923</v>
      </c>
      <c r="Q860" s="24">
        <f t="shared" si="1336"/>
        <v>13568.77</v>
      </c>
      <c r="R860" s="24">
        <f t="shared" si="1337"/>
        <v>16915.73</v>
      </c>
      <c r="S860" s="24">
        <f t="shared" si="1338"/>
        <v>20871.137300000006</v>
      </c>
    </row>
    <row r="861" spans="1:19">
      <c r="A861" s="9" t="s">
        <v>23454</v>
      </c>
      <c r="B861" s="10" t="s">
        <v>9016</v>
      </c>
      <c r="C861" s="12">
        <v>800100</v>
      </c>
      <c r="D861" s="43" t="str">
        <f>VLOOKUP(C861,'13. CUSTOS DER - SERVIÇOS'!A:B,2,0)</f>
        <v>HIDROSSEMEADURA</v>
      </c>
      <c r="E861" s="11">
        <v>1129.05</v>
      </c>
      <c r="F861" s="26" t="str">
        <f>VLOOKUP(C861,'13. CUSTOS DER - SERVIÇOS'!A:C,3,0)</f>
        <v>M2</v>
      </c>
      <c r="G861" s="24">
        <f>VLOOKUP(C861,'13. CUSTOS DER - SERVIÇOS'!A:G,7,0)</f>
        <v>11.53</v>
      </c>
      <c r="H861" s="24">
        <v>0</v>
      </c>
      <c r="I861" s="25">
        <f>'3. BDI'!$C$19</f>
        <v>0.24666704095238123</v>
      </c>
      <c r="J861" s="24">
        <f t="shared" si="1331"/>
        <v>14.37</v>
      </c>
      <c r="K861" s="24">
        <f t="shared" si="1332"/>
        <v>0</v>
      </c>
      <c r="L861" s="24">
        <f t="shared" si="1333"/>
        <v>16224.448499999999</v>
      </c>
      <c r="M861" s="24">
        <f t="shared" si="1334"/>
        <v>0</v>
      </c>
      <c r="N861" s="24">
        <f t="shared" si="1335"/>
        <v>16224.448499999999</v>
      </c>
      <c r="P861" s="24">
        <f>715.01/400</f>
        <v>1.787525</v>
      </c>
      <c r="Q861" s="24">
        <f t="shared" si="1336"/>
        <v>2018.2</v>
      </c>
      <c r="R861" s="24">
        <f t="shared" si="1337"/>
        <v>2516.02</v>
      </c>
      <c r="S861" s="24">
        <f t="shared" si="1338"/>
        <v>13708.428499999998</v>
      </c>
    </row>
    <row r="862" spans="1:19">
      <c r="A862" s="9" t="s">
        <v>23455</v>
      </c>
      <c r="B862" s="10" t="s">
        <v>9016</v>
      </c>
      <c r="C862" s="12">
        <v>831000</v>
      </c>
      <c r="D862" s="43" t="str">
        <f>VLOOKUP(C862,'13. CUSTOS DER - SERVIÇOS'!A:B,2,0)</f>
        <v>CERCA 4 FIOS C/ MOURÕES DE CONCRETO</v>
      </c>
      <c r="E862" s="11">
        <v>986.74</v>
      </c>
      <c r="F862" s="26" t="str">
        <f>VLOOKUP(C862,'13. CUSTOS DER - SERVIÇOS'!A:C,3,0)</f>
        <v>M</v>
      </c>
      <c r="G862" s="24">
        <f>VLOOKUP(C862,'13. CUSTOS DER - SERVIÇOS'!A:G,7,0)</f>
        <v>41.45</v>
      </c>
      <c r="H862" s="24">
        <v>0</v>
      </c>
      <c r="I862" s="25">
        <f>'3. BDI'!$C$19</f>
        <v>0.24666704095238123</v>
      </c>
      <c r="J862" s="24">
        <f t="shared" si="1331"/>
        <v>51.67</v>
      </c>
      <c r="K862" s="24">
        <f t="shared" si="1332"/>
        <v>0</v>
      </c>
      <c r="L862" s="24">
        <f t="shared" si="1333"/>
        <v>50984.855800000005</v>
      </c>
      <c r="M862" s="24">
        <f t="shared" si="1334"/>
        <v>0</v>
      </c>
      <c r="N862" s="24">
        <f t="shared" si="1335"/>
        <v>50984.855800000005</v>
      </c>
      <c r="P862" s="24">
        <f>755.77/30</f>
        <v>25.192333333333334</v>
      </c>
      <c r="Q862" s="24">
        <f t="shared" si="1336"/>
        <v>24858.28</v>
      </c>
      <c r="R862" s="24">
        <f t="shared" si="1337"/>
        <v>30989.99</v>
      </c>
      <c r="S862" s="24">
        <f t="shared" si="1338"/>
        <v>19994.865800000003</v>
      </c>
    </row>
    <row r="863" spans="1:19">
      <c r="A863" s="9" t="s">
        <v>23456</v>
      </c>
      <c r="B863" s="10" t="s">
        <v>9016</v>
      </c>
      <c r="C863" s="12">
        <v>841000</v>
      </c>
      <c r="D863" s="43" t="str">
        <f>VLOOKUP(C863,'13. CUSTOS DER - SERVIÇOS'!A:B,2,0)</f>
        <v>REMOÇÃO DE CERCAS</v>
      </c>
      <c r="E863" s="11">
        <v>1094.1400000000001</v>
      </c>
      <c r="F863" s="26" t="str">
        <f>VLOOKUP(C863,'13. CUSTOS DER - SERVIÇOS'!A:C,3,0)</f>
        <v>M</v>
      </c>
      <c r="G863" s="24">
        <f>VLOOKUP(C863,'13. CUSTOS DER - SERVIÇOS'!A:G,7,0)</f>
        <v>12.51</v>
      </c>
      <c r="H863" s="24">
        <v>0</v>
      </c>
      <c r="I863" s="25">
        <f>'3. BDI'!$C$19</f>
        <v>0.24666704095238123</v>
      </c>
      <c r="J863" s="24">
        <f t="shared" si="1331"/>
        <v>15.59</v>
      </c>
      <c r="K863" s="24">
        <f t="shared" si="1332"/>
        <v>0</v>
      </c>
      <c r="L863" s="24">
        <f t="shared" si="1333"/>
        <v>17057.642600000003</v>
      </c>
      <c r="M863" s="24">
        <f t="shared" si="1334"/>
        <v>0</v>
      </c>
      <c r="N863" s="24">
        <f t="shared" si="1335"/>
        <v>17057.642600000003</v>
      </c>
      <c r="P863" s="24">
        <f>35.75/3</f>
        <v>11.916666666666666</v>
      </c>
      <c r="Q863" s="24">
        <f t="shared" si="1336"/>
        <v>13038.5</v>
      </c>
      <c r="R863" s="24">
        <f t="shared" si="1337"/>
        <v>16254.66</v>
      </c>
      <c r="S863" s="24">
        <f t="shared" si="1338"/>
        <v>802.982600000003</v>
      </c>
    </row>
    <row r="864" spans="1:19">
      <c r="A864" s="9" t="s">
        <v>23457</v>
      </c>
      <c r="B864" s="10" t="s">
        <v>9016</v>
      </c>
      <c r="C864" s="12">
        <v>850000</v>
      </c>
      <c r="D864" s="43" t="str">
        <f>VLOOKUP(C864,'13. CUSTOS DER - SERVIÇOS'!A:B,2,0)</f>
        <v>ABRIGO EM PARADA DE ÔNIBUS</v>
      </c>
      <c r="E864" s="11">
        <v>1</v>
      </c>
      <c r="F864" s="26" t="str">
        <f>VLOOKUP(C864,'13. CUSTOS DER - SERVIÇOS'!A:C,3,0)</f>
        <v>UD</v>
      </c>
      <c r="G864" s="24">
        <f>VLOOKUP(C864,'13. CUSTOS DER - SERVIÇOS'!A:G,7,0)</f>
        <v>7254.91</v>
      </c>
      <c r="H864" s="24">
        <f>VLOOKUP(C864,'10. CCU TRANSPORTE'!B:J,9,0)</f>
        <v>878.92</v>
      </c>
      <c r="I864" s="25">
        <f>'3. BDI'!$C$19</f>
        <v>0.24666704095238123</v>
      </c>
      <c r="J864" s="24">
        <f t="shared" si="1331"/>
        <v>9044.4500000000007</v>
      </c>
      <c r="K864" s="24">
        <f t="shared" si="1332"/>
        <v>1095.72</v>
      </c>
      <c r="L864" s="24">
        <f t="shared" si="1333"/>
        <v>9044.4500000000007</v>
      </c>
      <c r="M864" s="24">
        <f t="shared" si="1334"/>
        <v>1095.72</v>
      </c>
      <c r="N864" s="24">
        <f t="shared" si="1335"/>
        <v>10140.17</v>
      </c>
      <c r="P864" s="24">
        <f>2411.67/1</f>
        <v>2411.67</v>
      </c>
      <c r="Q864" s="24">
        <f t="shared" si="1336"/>
        <v>2411.67</v>
      </c>
      <c r="R864" s="24">
        <f t="shared" si="1337"/>
        <v>3006.54</v>
      </c>
      <c r="S864" s="24">
        <f t="shared" si="1338"/>
        <v>7133.63</v>
      </c>
    </row>
    <row r="865" spans="1:19">
      <c r="A865" s="9" t="s">
        <v>23458</v>
      </c>
      <c r="B865" s="10" t="s">
        <v>358</v>
      </c>
      <c r="C865" s="12" t="s">
        <v>22668</v>
      </c>
      <c r="D865" s="43" t="s">
        <v>299</v>
      </c>
      <c r="E865" s="11">
        <v>165.61</v>
      </c>
      <c r="F865" s="13" t="s">
        <v>328</v>
      </c>
      <c r="G865" s="24">
        <f>VLOOKUP(C865,'9. CCU''S GERAIS AMEP'!A:K,11,0)</f>
        <v>90.479369333333324</v>
      </c>
      <c r="H865" s="24">
        <v>0</v>
      </c>
      <c r="I865" s="25">
        <f>'3. BDI'!$C$19</f>
        <v>0.24666704095238123</v>
      </c>
      <c r="J865" s="24">
        <f t="shared" si="1331"/>
        <v>112.79</v>
      </c>
      <c r="K865" s="24">
        <f t="shared" si="1332"/>
        <v>0</v>
      </c>
      <c r="L865" s="24">
        <f t="shared" si="1333"/>
        <v>18679.151900000004</v>
      </c>
      <c r="M865" s="24">
        <f t="shared" si="1334"/>
        <v>0</v>
      </c>
      <c r="N865" s="24">
        <f t="shared" si="1335"/>
        <v>18679.151900000004</v>
      </c>
      <c r="P865" s="24">
        <f>755.77</f>
        <v>755.77</v>
      </c>
      <c r="Q865" s="24">
        <f t="shared" ref="Q865:Q869" si="1339">P865*E865</f>
        <v>125163.06970000001</v>
      </c>
      <c r="R865" s="24">
        <f t="shared" si="1337"/>
        <v>156036.67000000001</v>
      </c>
      <c r="S865" s="24">
        <f t="shared" si="1338"/>
        <v>-137357.51810000002</v>
      </c>
    </row>
    <row r="866" spans="1:19" ht="47.25">
      <c r="A866" s="9" t="s">
        <v>23459</v>
      </c>
      <c r="B866" s="10" t="s">
        <v>358</v>
      </c>
      <c r="C866" s="12" t="s">
        <v>22670</v>
      </c>
      <c r="D866" s="43" t="s">
        <v>302</v>
      </c>
      <c r="E866" s="11">
        <v>112.06</v>
      </c>
      <c r="F866" s="13" t="s">
        <v>328</v>
      </c>
      <c r="G866" s="24">
        <f>VLOOKUP(C866,'9. CCU''S GERAIS AMEP'!A:K,11,0)</f>
        <v>593.845842686624</v>
      </c>
      <c r="H866" s="24">
        <f>VLOOKUP(C866,'10. CCU TRANSPORTE'!B:J,9,0)</f>
        <v>11.8</v>
      </c>
      <c r="I866" s="25">
        <f>'3. BDI'!$C$19</f>
        <v>0.24666704095238123</v>
      </c>
      <c r="J866" s="24">
        <f t="shared" si="1331"/>
        <v>740.32</v>
      </c>
      <c r="K866" s="24">
        <f t="shared" si="1332"/>
        <v>14.71</v>
      </c>
      <c r="L866" s="24">
        <f t="shared" si="1333"/>
        <v>82960.2592</v>
      </c>
      <c r="M866" s="24">
        <f t="shared" si="1334"/>
        <v>1648.4026000000001</v>
      </c>
      <c r="N866" s="24">
        <f t="shared" si="1335"/>
        <v>84608.661800000002</v>
      </c>
      <c r="P866" s="24">
        <v>0</v>
      </c>
      <c r="Q866" s="24">
        <f t="shared" si="1339"/>
        <v>0</v>
      </c>
      <c r="R866" s="24">
        <f t="shared" si="1337"/>
        <v>0</v>
      </c>
      <c r="S866" s="24">
        <f t="shared" si="1338"/>
        <v>84608.661800000002</v>
      </c>
    </row>
    <row r="867" spans="1:19">
      <c r="A867" s="9" t="s">
        <v>23460</v>
      </c>
      <c r="B867" s="10" t="s">
        <v>358</v>
      </c>
      <c r="C867" s="12" t="s">
        <v>22673</v>
      </c>
      <c r="D867" s="43" t="s">
        <v>305</v>
      </c>
      <c r="E867" s="11">
        <v>13.6</v>
      </c>
      <c r="F867" s="13" t="s">
        <v>328</v>
      </c>
      <c r="G867" s="24">
        <f>VLOOKUP(C867,'9. CCU''S GERAIS AMEP'!A:K,11,0)</f>
        <v>29.588666666666668</v>
      </c>
      <c r="H867" s="24"/>
      <c r="I867" s="25">
        <f>'3. BDI'!$C$19</f>
        <v>0.24666704095238123</v>
      </c>
      <c r="J867" s="24">
        <f t="shared" si="1331"/>
        <v>36.880000000000003</v>
      </c>
      <c r="K867" s="24">
        <f t="shared" si="1332"/>
        <v>0</v>
      </c>
      <c r="L867" s="24">
        <f t="shared" si="1333"/>
        <v>501.56800000000004</v>
      </c>
      <c r="M867" s="24">
        <f t="shared" si="1334"/>
        <v>0</v>
      </c>
      <c r="N867" s="24">
        <f t="shared" si="1335"/>
        <v>501.56800000000004</v>
      </c>
      <c r="P867" s="24">
        <f>169.08/6</f>
        <v>28.180000000000003</v>
      </c>
      <c r="Q867" s="24">
        <f t="shared" si="1339"/>
        <v>383.24800000000005</v>
      </c>
      <c r="R867" s="24">
        <f t="shared" si="1337"/>
        <v>477.78</v>
      </c>
      <c r="S867" s="24">
        <f t="shared" si="1338"/>
        <v>23.788000000000068</v>
      </c>
    </row>
    <row r="868" spans="1:19">
      <c r="A868" s="9" t="s">
        <v>23461</v>
      </c>
      <c r="B868" s="10" t="s">
        <v>358</v>
      </c>
      <c r="C868" s="12" t="s">
        <v>22674</v>
      </c>
      <c r="D868" s="43" t="s">
        <v>306</v>
      </c>
      <c r="E868" s="11">
        <v>81.7</v>
      </c>
      <c r="F868" s="13" t="s">
        <v>326</v>
      </c>
      <c r="G868" s="24">
        <f>VLOOKUP(C868,'9. CCU''S GERAIS AMEP'!A:K,11,0)</f>
        <v>6.3513377345378732</v>
      </c>
      <c r="H868" s="24">
        <f>VLOOKUP(C868,'10. CCU TRANSPORTE'!B:J,9,0)</f>
        <v>34.11</v>
      </c>
      <c r="I868" s="25">
        <f>'3. BDI'!$C$19</f>
        <v>0.24666704095238123</v>
      </c>
      <c r="J868" s="24">
        <f t="shared" si="1331"/>
        <v>7.91</v>
      </c>
      <c r="K868" s="24">
        <f t="shared" si="1332"/>
        <v>42.52</v>
      </c>
      <c r="L868" s="24">
        <f t="shared" si="1333"/>
        <v>646.24700000000007</v>
      </c>
      <c r="M868" s="24">
        <f t="shared" si="1334"/>
        <v>3473.8840000000005</v>
      </c>
      <c r="N868" s="24">
        <f t="shared" si="1335"/>
        <v>4120.1310000000003</v>
      </c>
      <c r="P868" s="24">
        <f>8.58/86.34</f>
        <v>9.9374565670604584E-2</v>
      </c>
      <c r="Q868" s="24">
        <f t="shared" si="1339"/>
        <v>8.1189020152883948</v>
      </c>
      <c r="R868" s="24">
        <f t="shared" si="1337"/>
        <v>10.119999999999999</v>
      </c>
      <c r="S868" s="24">
        <f t="shared" si="1338"/>
        <v>4110.0110000000004</v>
      </c>
    </row>
    <row r="869" spans="1:19">
      <c r="A869" s="9" t="s">
        <v>23462</v>
      </c>
      <c r="B869" s="10" t="s">
        <v>358</v>
      </c>
      <c r="C869" s="10" t="s">
        <v>22675</v>
      </c>
      <c r="D869" s="43" t="s">
        <v>307</v>
      </c>
      <c r="E869" s="11">
        <v>2667.32</v>
      </c>
      <c r="F869" s="9" t="s">
        <v>326</v>
      </c>
      <c r="G869" s="24">
        <f>VLOOKUP(C869,'9. CCU''S GERAIS AMEP'!A:K,11,0)</f>
        <v>34.122109090909092</v>
      </c>
      <c r="H869" s="24">
        <v>0</v>
      </c>
      <c r="I869" s="25">
        <f>'3. BDI'!$C$19</f>
        <v>0.24666704095238123</v>
      </c>
      <c r="J869" s="24">
        <f t="shared" si="1331"/>
        <v>42.53</v>
      </c>
      <c r="K869" s="24">
        <f t="shared" si="1332"/>
        <v>0</v>
      </c>
      <c r="L869" s="24">
        <f t="shared" si="1333"/>
        <v>113441.11960000001</v>
      </c>
      <c r="M869" s="24">
        <f t="shared" si="1334"/>
        <v>0</v>
      </c>
      <c r="N869" s="24">
        <f t="shared" si="1335"/>
        <v>113441.11960000001</v>
      </c>
      <c r="P869" s="24">
        <f>318.18/11</f>
        <v>28.925454545454546</v>
      </c>
      <c r="Q869" s="24">
        <f t="shared" si="1339"/>
        <v>77153.443418181821</v>
      </c>
      <c r="R869" s="24">
        <f t="shared" si="1337"/>
        <v>96184.65</v>
      </c>
      <c r="S869" s="24">
        <f t="shared" si="1338"/>
        <v>17256.469600000011</v>
      </c>
    </row>
    <row r="870" spans="1:19">
      <c r="A870" s="28" t="s">
        <v>22988</v>
      </c>
      <c r="B870" s="48"/>
      <c r="C870" s="29"/>
      <c r="D870" s="301" t="s">
        <v>22843</v>
      </c>
      <c r="E870" s="30"/>
      <c r="F870" s="29" t="s">
        <v>195</v>
      </c>
      <c r="G870" s="30"/>
      <c r="H870" s="30"/>
      <c r="I870" s="31"/>
      <c r="J870" s="30"/>
      <c r="K870" s="30"/>
      <c r="L870" s="30">
        <f t="shared" ref="L870:M870" si="1340">SUM(L871:L884)</f>
        <v>1021112.2401000002</v>
      </c>
      <c r="M870" s="30">
        <f t="shared" si="1340"/>
        <v>9812.6255999999994</v>
      </c>
      <c r="N870" s="30">
        <f>SUM(N871:N884)</f>
        <v>1030924.8657000001</v>
      </c>
      <c r="P870" s="30">
        <f t="shared" ref="P870:S870" si="1341">SUM(P871:P884)</f>
        <v>3674.2487643675354</v>
      </c>
      <c r="Q870" s="30">
        <f t="shared" si="1341"/>
        <v>675333.56681517302</v>
      </c>
      <c r="R870" s="30">
        <f t="shared" si="1341"/>
        <v>841916.02</v>
      </c>
      <c r="S870" s="30">
        <f t="shared" si="1341"/>
        <v>189008.84569999995</v>
      </c>
    </row>
    <row r="871" spans="1:19">
      <c r="A871" s="9" t="s">
        <v>23463</v>
      </c>
      <c r="B871" s="10" t="s">
        <v>9016</v>
      </c>
      <c r="C871" s="12">
        <v>606500</v>
      </c>
      <c r="D871" s="43" t="str">
        <f>VLOOKUP(C871,'13. CUSTOS DER - SERVIÇOS'!A:B,2,0)</f>
        <v>DEMOLIÇÃO DE ALVENARIA</v>
      </c>
      <c r="E871" s="11">
        <v>4.88</v>
      </c>
      <c r="F871" s="26" t="str">
        <f>VLOOKUP(C871,'13. CUSTOS DER - SERVIÇOS'!A:C,3,0)</f>
        <v>M3</v>
      </c>
      <c r="G871" s="24">
        <f>VLOOKUP(C871,'13. CUSTOS DER - SERVIÇOS'!A:G,7,0)</f>
        <v>182.46</v>
      </c>
      <c r="H871" s="24">
        <v>0</v>
      </c>
      <c r="I871" s="25">
        <f>'3. BDI'!$C$19</f>
        <v>0.24666704095238123</v>
      </c>
      <c r="J871" s="24">
        <f t="shared" ref="J871:J884" si="1342">TRUNC(G871+(G871*I871),2)</f>
        <v>227.46</v>
      </c>
      <c r="K871" s="24">
        <f t="shared" ref="K871:K884" si="1343">TRUNC(H871+(H871*I871),2)</f>
        <v>0</v>
      </c>
      <c r="L871" s="24">
        <f t="shared" ref="L871:L884" si="1344">J871*E871</f>
        <v>1110.0047999999999</v>
      </c>
      <c r="M871" s="24">
        <f t="shared" ref="M871:M884" si="1345">K871*E871</f>
        <v>0</v>
      </c>
      <c r="N871" s="24">
        <f t="shared" ref="N871:N884" si="1346">L871+M871</f>
        <v>1110.0047999999999</v>
      </c>
      <c r="P871" s="24">
        <f>165.88/1</f>
        <v>165.88</v>
      </c>
      <c r="Q871" s="24">
        <f t="shared" ref="Q871:Q878" si="1347">TRUNC(P871*E871,2)</f>
        <v>809.49</v>
      </c>
      <c r="R871" s="24">
        <f t="shared" ref="R871:R884" si="1348">TRUNC((Q871*I871+Q871),2)</f>
        <v>1009.16</v>
      </c>
      <c r="S871" s="24">
        <f t="shared" ref="S871:S884" si="1349">N871-R871</f>
        <v>100.84479999999996</v>
      </c>
    </row>
    <row r="872" spans="1:19">
      <c r="A872" s="9" t="s">
        <v>23464</v>
      </c>
      <c r="B872" s="10" t="s">
        <v>9016</v>
      </c>
      <c r="C872" s="12">
        <v>606600</v>
      </c>
      <c r="D872" s="43" t="str">
        <f>VLOOKUP(C872,'13. CUSTOS DER - SERVIÇOS'!A:B,2,0)</f>
        <v>DEMOLIÇÃO DE CONCRETO ARMADO</v>
      </c>
      <c r="E872" s="11">
        <v>1.94</v>
      </c>
      <c r="F872" s="26" t="str">
        <f>VLOOKUP(C872,'13. CUSTOS DER - SERVIÇOS'!A:C,3,0)</f>
        <v>M3</v>
      </c>
      <c r="G872" s="24">
        <f>VLOOKUP(C872,'13. CUSTOS DER - SERVIÇOS'!A:G,7,0)</f>
        <v>309.52999999999997</v>
      </c>
      <c r="H872" s="24">
        <v>0</v>
      </c>
      <c r="I872" s="25">
        <f>'3. BDI'!$C$19</f>
        <v>0.24666704095238123</v>
      </c>
      <c r="J872" s="24">
        <f t="shared" si="1342"/>
        <v>385.88</v>
      </c>
      <c r="K872" s="24">
        <f t="shared" si="1343"/>
        <v>0</v>
      </c>
      <c r="L872" s="24">
        <f t="shared" si="1344"/>
        <v>748.60719999999992</v>
      </c>
      <c r="M872" s="24">
        <f t="shared" si="1345"/>
        <v>0</v>
      </c>
      <c r="N872" s="24">
        <f t="shared" si="1346"/>
        <v>748.60719999999992</v>
      </c>
      <c r="P872" s="24">
        <f>142.72/1</f>
        <v>142.72</v>
      </c>
      <c r="Q872" s="24">
        <f t="shared" si="1347"/>
        <v>276.87</v>
      </c>
      <c r="R872" s="24">
        <f t="shared" si="1348"/>
        <v>345.16</v>
      </c>
      <c r="S872" s="24">
        <f t="shared" si="1349"/>
        <v>403.4471999999999</v>
      </c>
    </row>
    <row r="873" spans="1:19">
      <c r="A873" s="9" t="s">
        <v>23465</v>
      </c>
      <c r="B873" s="10" t="s">
        <v>9016</v>
      </c>
      <c r="C873" s="12">
        <v>606700</v>
      </c>
      <c r="D873" s="43" t="str">
        <f>VLOOKUP(C873,'13. CUSTOS DER - SERVIÇOS'!A:B,2,0)</f>
        <v>DEMOLIÇÃO DE CONCRETO SIMPLES</v>
      </c>
      <c r="E873" s="11">
        <v>2.37</v>
      </c>
      <c r="F873" s="26" t="str">
        <f>VLOOKUP(C873,'13. CUSTOS DER - SERVIÇOS'!A:C,3,0)</f>
        <v>M3</v>
      </c>
      <c r="G873" s="24">
        <f>VLOOKUP(C873,'13. CUSTOS DER - SERVIÇOS'!A:G,7,0)</f>
        <v>148.04</v>
      </c>
      <c r="H873" s="24">
        <v>0</v>
      </c>
      <c r="I873" s="25">
        <f>'3. BDI'!$C$19</f>
        <v>0.24666704095238123</v>
      </c>
      <c r="J873" s="24">
        <f t="shared" si="1342"/>
        <v>184.55</v>
      </c>
      <c r="K873" s="24">
        <f t="shared" si="1343"/>
        <v>0</v>
      </c>
      <c r="L873" s="24">
        <f t="shared" si="1344"/>
        <v>437.38350000000003</v>
      </c>
      <c r="M873" s="24">
        <f t="shared" si="1345"/>
        <v>0</v>
      </c>
      <c r="N873" s="24">
        <f t="shared" si="1346"/>
        <v>437.38350000000003</v>
      </c>
      <c r="P873" s="24">
        <f>142.72/2</f>
        <v>71.36</v>
      </c>
      <c r="Q873" s="24">
        <f t="shared" si="1347"/>
        <v>169.12</v>
      </c>
      <c r="R873" s="24">
        <f t="shared" si="1348"/>
        <v>210.83</v>
      </c>
      <c r="S873" s="24">
        <f t="shared" si="1349"/>
        <v>226.55350000000001</v>
      </c>
    </row>
    <row r="874" spans="1:19">
      <c r="A874" s="9" t="s">
        <v>23466</v>
      </c>
      <c r="B874" s="10" t="s">
        <v>9016</v>
      </c>
      <c r="C874" s="12">
        <v>800000</v>
      </c>
      <c r="D874" s="43" t="str">
        <f>VLOOKUP(C874,'13. CUSTOS DER - SERVIÇOS'!A:B,2,0)</f>
        <v>ENLEIVAMENTO</v>
      </c>
      <c r="E874" s="11">
        <v>22252.86</v>
      </c>
      <c r="F874" s="26" t="str">
        <f>VLOOKUP(C874,'13. CUSTOS DER - SERVIÇOS'!A:C,3,0)</f>
        <v>M2</v>
      </c>
      <c r="G874" s="24">
        <f>VLOOKUP(C874,'13. CUSTOS DER - SERVIÇOS'!A:G,7,0)</f>
        <v>12.41</v>
      </c>
      <c r="H874" s="24">
        <v>0</v>
      </c>
      <c r="I874" s="25">
        <f>'3. BDI'!$C$19</f>
        <v>0.24666704095238123</v>
      </c>
      <c r="J874" s="24">
        <f t="shared" si="1342"/>
        <v>15.47</v>
      </c>
      <c r="K874" s="24">
        <f t="shared" si="1343"/>
        <v>0</v>
      </c>
      <c r="L874" s="24">
        <f t="shared" si="1344"/>
        <v>344251.74420000002</v>
      </c>
      <c r="M874" s="24">
        <f t="shared" si="1345"/>
        <v>0</v>
      </c>
      <c r="N874" s="24">
        <f t="shared" si="1346"/>
        <v>344251.74420000002</v>
      </c>
      <c r="P874" s="24">
        <f>722.16/130</f>
        <v>5.555076923076923</v>
      </c>
      <c r="Q874" s="24">
        <f t="shared" si="1347"/>
        <v>123616.34</v>
      </c>
      <c r="R874" s="24">
        <f t="shared" si="1348"/>
        <v>154108.41</v>
      </c>
      <c r="S874" s="24">
        <f t="shared" si="1349"/>
        <v>190143.33420000001</v>
      </c>
    </row>
    <row r="875" spans="1:19">
      <c r="A875" s="9" t="s">
        <v>23467</v>
      </c>
      <c r="B875" s="10" t="s">
        <v>9016</v>
      </c>
      <c r="C875" s="12">
        <v>800100</v>
      </c>
      <c r="D875" s="43" t="str">
        <f>VLOOKUP(C875,'13. CUSTOS DER - SERVIÇOS'!A:B,2,0)</f>
        <v>HIDROSSEMEADURA</v>
      </c>
      <c r="E875" s="11">
        <v>3829.29</v>
      </c>
      <c r="F875" s="26" t="str">
        <f>VLOOKUP(C875,'13. CUSTOS DER - SERVIÇOS'!A:C,3,0)</f>
        <v>M2</v>
      </c>
      <c r="G875" s="24">
        <f>VLOOKUP(C875,'13. CUSTOS DER - SERVIÇOS'!A:G,7,0)</f>
        <v>11.53</v>
      </c>
      <c r="H875" s="24">
        <v>0</v>
      </c>
      <c r="I875" s="25">
        <f>'3. BDI'!$C$19</f>
        <v>0.24666704095238123</v>
      </c>
      <c r="J875" s="24">
        <f t="shared" si="1342"/>
        <v>14.37</v>
      </c>
      <c r="K875" s="24">
        <f t="shared" si="1343"/>
        <v>0</v>
      </c>
      <c r="L875" s="24">
        <f t="shared" si="1344"/>
        <v>55026.897299999997</v>
      </c>
      <c r="M875" s="24">
        <f t="shared" si="1345"/>
        <v>0</v>
      </c>
      <c r="N875" s="24">
        <f t="shared" si="1346"/>
        <v>55026.897299999997</v>
      </c>
      <c r="P875" s="24">
        <f>715.01/400</f>
        <v>1.787525</v>
      </c>
      <c r="Q875" s="24">
        <f t="shared" si="1347"/>
        <v>6844.95</v>
      </c>
      <c r="R875" s="24">
        <f t="shared" si="1348"/>
        <v>8533.3700000000008</v>
      </c>
      <c r="S875" s="24">
        <f t="shared" si="1349"/>
        <v>46493.527299999994</v>
      </c>
    </row>
    <row r="876" spans="1:19">
      <c r="A876" s="9" t="s">
        <v>23468</v>
      </c>
      <c r="B876" s="10" t="s">
        <v>9016</v>
      </c>
      <c r="C876" s="12">
        <v>831000</v>
      </c>
      <c r="D876" s="43" t="str">
        <f>VLOOKUP(C876,'13. CUSTOS DER - SERVIÇOS'!A:B,2,0)</f>
        <v>CERCA 4 FIOS C/ MOURÕES DE CONCRETO</v>
      </c>
      <c r="E876" s="11">
        <v>1314.36</v>
      </c>
      <c r="F876" s="26" t="str">
        <f>VLOOKUP(C876,'13. CUSTOS DER - SERVIÇOS'!A:C,3,0)</f>
        <v>M</v>
      </c>
      <c r="G876" s="24">
        <f>VLOOKUP(C876,'13. CUSTOS DER - SERVIÇOS'!A:G,7,0)</f>
        <v>41.45</v>
      </c>
      <c r="H876" s="24">
        <v>0</v>
      </c>
      <c r="I876" s="25">
        <f>'3. BDI'!$C$19</f>
        <v>0.24666704095238123</v>
      </c>
      <c r="J876" s="24">
        <f t="shared" si="1342"/>
        <v>51.67</v>
      </c>
      <c r="K876" s="24">
        <f t="shared" si="1343"/>
        <v>0</v>
      </c>
      <c r="L876" s="24">
        <f t="shared" si="1344"/>
        <v>67912.981199999995</v>
      </c>
      <c r="M876" s="24">
        <f t="shared" si="1345"/>
        <v>0</v>
      </c>
      <c r="N876" s="24">
        <f t="shared" si="1346"/>
        <v>67912.981199999995</v>
      </c>
      <c r="P876" s="24">
        <f>755.77/30</f>
        <v>25.192333333333334</v>
      </c>
      <c r="Q876" s="24">
        <f t="shared" si="1347"/>
        <v>33111.79</v>
      </c>
      <c r="R876" s="24">
        <f t="shared" si="1348"/>
        <v>41279.370000000003</v>
      </c>
      <c r="S876" s="24">
        <f t="shared" si="1349"/>
        <v>26633.611199999992</v>
      </c>
    </row>
    <row r="877" spans="1:19">
      <c r="A877" s="9" t="s">
        <v>23469</v>
      </c>
      <c r="B877" s="10" t="s">
        <v>9016</v>
      </c>
      <c r="C877" s="12">
        <v>841000</v>
      </c>
      <c r="D877" s="43" t="str">
        <f>VLOOKUP(C877,'13. CUSTOS DER - SERVIÇOS'!A:B,2,0)</f>
        <v>REMOÇÃO DE CERCAS</v>
      </c>
      <c r="E877" s="11">
        <v>1932.1</v>
      </c>
      <c r="F877" s="26" t="str">
        <f>VLOOKUP(C877,'13. CUSTOS DER - SERVIÇOS'!A:C,3,0)</f>
        <v>M</v>
      </c>
      <c r="G877" s="24">
        <f>VLOOKUP(C877,'13. CUSTOS DER - SERVIÇOS'!A:G,7,0)</f>
        <v>12.51</v>
      </c>
      <c r="H877" s="24">
        <v>0</v>
      </c>
      <c r="I877" s="25">
        <f>'3. BDI'!$C$19</f>
        <v>0.24666704095238123</v>
      </c>
      <c r="J877" s="24">
        <f t="shared" si="1342"/>
        <v>15.59</v>
      </c>
      <c r="K877" s="24">
        <f t="shared" si="1343"/>
        <v>0</v>
      </c>
      <c r="L877" s="24">
        <f t="shared" si="1344"/>
        <v>30121.438999999998</v>
      </c>
      <c r="M877" s="24">
        <f t="shared" si="1345"/>
        <v>0</v>
      </c>
      <c r="N877" s="24">
        <f t="shared" si="1346"/>
        <v>30121.438999999998</v>
      </c>
      <c r="P877" s="24">
        <f>35.75/3</f>
        <v>11.916666666666666</v>
      </c>
      <c r="Q877" s="24">
        <f t="shared" si="1347"/>
        <v>23024.19</v>
      </c>
      <c r="R877" s="24">
        <f t="shared" si="1348"/>
        <v>28703.49</v>
      </c>
      <c r="S877" s="24">
        <f t="shared" si="1349"/>
        <v>1417.9489999999969</v>
      </c>
    </row>
    <row r="878" spans="1:19">
      <c r="A878" s="9" t="s">
        <v>23470</v>
      </c>
      <c r="B878" s="10" t="s">
        <v>9016</v>
      </c>
      <c r="C878" s="12">
        <v>850000</v>
      </c>
      <c r="D878" s="43" t="str">
        <f>VLOOKUP(C878,'13. CUSTOS DER - SERVIÇOS'!A:B,2,0)</f>
        <v>ABRIGO EM PARADA DE ÔNIBUS</v>
      </c>
      <c r="E878" s="11">
        <v>7</v>
      </c>
      <c r="F878" s="26" t="str">
        <f>VLOOKUP(C878,'13. CUSTOS DER - SERVIÇOS'!A:C,3,0)</f>
        <v>UD</v>
      </c>
      <c r="G878" s="24">
        <f>VLOOKUP(C878,'13. CUSTOS DER - SERVIÇOS'!A:G,7,0)</f>
        <v>7254.91</v>
      </c>
      <c r="H878" s="24">
        <f>VLOOKUP(C878,'10. CCU TRANSPORTE'!B:J,9,0)</f>
        <v>878.92</v>
      </c>
      <c r="I878" s="25">
        <f>'3. BDI'!$C$19</f>
        <v>0.24666704095238123</v>
      </c>
      <c r="J878" s="24">
        <f t="shared" si="1342"/>
        <v>9044.4500000000007</v>
      </c>
      <c r="K878" s="24">
        <f t="shared" si="1343"/>
        <v>1095.72</v>
      </c>
      <c r="L878" s="24">
        <f t="shared" si="1344"/>
        <v>63311.150000000009</v>
      </c>
      <c r="M878" s="24">
        <f t="shared" si="1345"/>
        <v>7670.04</v>
      </c>
      <c r="N878" s="24">
        <f t="shared" si="1346"/>
        <v>70981.19</v>
      </c>
      <c r="P878" s="24">
        <f>2411.67/1</f>
        <v>2411.67</v>
      </c>
      <c r="Q878" s="24">
        <f t="shared" si="1347"/>
        <v>16881.689999999999</v>
      </c>
      <c r="R878" s="24">
        <f t="shared" si="1348"/>
        <v>21045.84</v>
      </c>
      <c r="S878" s="24">
        <f t="shared" si="1349"/>
        <v>49935.350000000006</v>
      </c>
    </row>
    <row r="879" spans="1:19">
      <c r="A879" s="9" t="s">
        <v>23471</v>
      </c>
      <c r="B879" s="10" t="s">
        <v>358</v>
      </c>
      <c r="C879" s="12" t="s">
        <v>22667</v>
      </c>
      <c r="D879" s="43" t="s">
        <v>298</v>
      </c>
      <c r="E879" s="11">
        <v>1731.94</v>
      </c>
      <c r="F879" s="13" t="s">
        <v>328</v>
      </c>
      <c r="G879" s="24">
        <f>VLOOKUP(C879,'9. CCU''S GERAIS AMEP'!A:K,11,0)</f>
        <v>92.439369333333332</v>
      </c>
      <c r="H879" s="24">
        <v>0</v>
      </c>
      <c r="I879" s="25">
        <f>'3. BDI'!$C$19</f>
        <v>0.24666704095238123</v>
      </c>
      <c r="J879" s="24">
        <f t="shared" si="1342"/>
        <v>115.24</v>
      </c>
      <c r="K879" s="24">
        <f t="shared" si="1343"/>
        <v>0</v>
      </c>
      <c r="L879" s="24">
        <f t="shared" si="1344"/>
        <v>199588.76559999998</v>
      </c>
      <c r="M879" s="24">
        <f t="shared" si="1345"/>
        <v>0</v>
      </c>
      <c r="N879" s="24">
        <f t="shared" si="1346"/>
        <v>199588.76559999998</v>
      </c>
      <c r="P879" s="24">
        <f>755.77/30</f>
        <v>25.192333333333334</v>
      </c>
      <c r="Q879" s="24">
        <f t="shared" ref="Q879:Q884" si="1350">P879*E879</f>
        <v>43631.609793333337</v>
      </c>
      <c r="R879" s="24">
        <f t="shared" si="1348"/>
        <v>54394.080000000002</v>
      </c>
      <c r="S879" s="24">
        <f t="shared" si="1349"/>
        <v>145194.68559999997</v>
      </c>
    </row>
    <row r="880" spans="1:19">
      <c r="A880" s="9" t="s">
        <v>23472</v>
      </c>
      <c r="B880" s="10" t="s">
        <v>358</v>
      </c>
      <c r="C880" s="12" t="s">
        <v>22668</v>
      </c>
      <c r="D880" s="43" t="s">
        <v>299</v>
      </c>
      <c r="E880" s="11">
        <v>375.41</v>
      </c>
      <c r="F880" s="13" t="s">
        <v>328</v>
      </c>
      <c r="G880" s="24">
        <f>VLOOKUP(C880,'9. CCU''S GERAIS AMEP'!A:K,11,0)</f>
        <v>90.479369333333324</v>
      </c>
      <c r="H880" s="24">
        <v>0</v>
      </c>
      <c r="I880" s="25">
        <f>'3. BDI'!$C$19</f>
        <v>0.24666704095238123</v>
      </c>
      <c r="J880" s="24">
        <f t="shared" si="1342"/>
        <v>112.79</v>
      </c>
      <c r="K880" s="24">
        <f t="shared" si="1343"/>
        <v>0</v>
      </c>
      <c r="L880" s="24">
        <f t="shared" si="1344"/>
        <v>42342.493900000009</v>
      </c>
      <c r="M880" s="24">
        <f t="shared" si="1345"/>
        <v>0</v>
      </c>
      <c r="N880" s="24">
        <f t="shared" si="1346"/>
        <v>42342.493900000009</v>
      </c>
      <c r="P880" s="24">
        <f>755.77</f>
        <v>755.77</v>
      </c>
      <c r="Q880" s="24">
        <f t="shared" si="1350"/>
        <v>283723.61570000002</v>
      </c>
      <c r="R880" s="24">
        <f t="shared" si="1348"/>
        <v>353708.88</v>
      </c>
      <c r="S880" s="24">
        <f t="shared" si="1349"/>
        <v>-311366.3861</v>
      </c>
    </row>
    <row r="881" spans="1:19" ht="47.25">
      <c r="A881" s="9" t="s">
        <v>23473</v>
      </c>
      <c r="B881" s="10" t="s">
        <v>358</v>
      </c>
      <c r="C881" s="12" t="s">
        <v>22670</v>
      </c>
      <c r="D881" s="43" t="s">
        <v>302</v>
      </c>
      <c r="E881" s="11">
        <v>7.4</v>
      </c>
      <c r="F881" s="13" t="s">
        <v>328</v>
      </c>
      <c r="G881" s="24">
        <f>VLOOKUP(C881,'9. CCU''S GERAIS AMEP'!A:K,11,0)</f>
        <v>593.845842686624</v>
      </c>
      <c r="H881" s="24">
        <f>VLOOKUP(C881,'10. CCU TRANSPORTE'!B:J,9,0)</f>
        <v>11.8</v>
      </c>
      <c r="I881" s="25">
        <f>'3. BDI'!$C$19</f>
        <v>0.24666704095238123</v>
      </c>
      <c r="J881" s="24">
        <f t="shared" si="1342"/>
        <v>740.32</v>
      </c>
      <c r="K881" s="24">
        <f t="shared" si="1343"/>
        <v>14.71</v>
      </c>
      <c r="L881" s="24">
        <f t="shared" si="1344"/>
        <v>5478.3680000000004</v>
      </c>
      <c r="M881" s="24">
        <f t="shared" si="1345"/>
        <v>108.85400000000001</v>
      </c>
      <c r="N881" s="24">
        <f t="shared" si="1346"/>
        <v>5587.2220000000007</v>
      </c>
      <c r="P881" s="24">
        <v>0</v>
      </c>
      <c r="Q881" s="24">
        <f t="shared" si="1350"/>
        <v>0</v>
      </c>
      <c r="R881" s="24">
        <f t="shared" si="1348"/>
        <v>0</v>
      </c>
      <c r="S881" s="24">
        <f t="shared" si="1349"/>
        <v>5587.2220000000007</v>
      </c>
    </row>
    <row r="882" spans="1:19">
      <c r="A882" s="9" t="s">
        <v>23474</v>
      </c>
      <c r="B882" s="10" t="s">
        <v>358</v>
      </c>
      <c r="C882" s="12" t="s">
        <v>22673</v>
      </c>
      <c r="D882" s="43" t="s">
        <v>305</v>
      </c>
      <c r="E882" s="11">
        <v>45</v>
      </c>
      <c r="F882" s="13" t="s">
        <v>328</v>
      </c>
      <c r="G882" s="24">
        <f>VLOOKUP(C882,'9. CCU''S GERAIS AMEP'!A:K,11,0)</f>
        <v>29.588666666666668</v>
      </c>
      <c r="H882" s="24"/>
      <c r="I882" s="25">
        <f>'3. BDI'!$C$19</f>
        <v>0.24666704095238123</v>
      </c>
      <c r="J882" s="24">
        <f t="shared" si="1342"/>
        <v>36.880000000000003</v>
      </c>
      <c r="K882" s="24">
        <f t="shared" si="1343"/>
        <v>0</v>
      </c>
      <c r="L882" s="24">
        <f t="shared" si="1344"/>
        <v>1659.6000000000001</v>
      </c>
      <c r="M882" s="24">
        <f t="shared" si="1345"/>
        <v>0</v>
      </c>
      <c r="N882" s="24">
        <f t="shared" si="1346"/>
        <v>1659.6000000000001</v>
      </c>
      <c r="P882" s="24">
        <f>169.08/6</f>
        <v>28.180000000000003</v>
      </c>
      <c r="Q882" s="24">
        <f t="shared" si="1350"/>
        <v>1268.1000000000001</v>
      </c>
      <c r="R882" s="24">
        <f t="shared" si="1348"/>
        <v>1580.89</v>
      </c>
      <c r="S882" s="24">
        <f t="shared" si="1349"/>
        <v>78.710000000000036</v>
      </c>
    </row>
    <row r="883" spans="1:19">
      <c r="A883" s="9" t="s">
        <v>23475</v>
      </c>
      <c r="B883" s="10" t="s">
        <v>358</v>
      </c>
      <c r="C883" s="12" t="s">
        <v>22674</v>
      </c>
      <c r="D883" s="43" t="s">
        <v>306</v>
      </c>
      <c r="E883" s="11">
        <v>47.83</v>
      </c>
      <c r="F883" s="13" t="s">
        <v>326</v>
      </c>
      <c r="G883" s="24">
        <f>VLOOKUP(C883,'9. CCU''S GERAIS AMEP'!A:K,11,0)</f>
        <v>6.3513377345378732</v>
      </c>
      <c r="H883" s="24">
        <f>VLOOKUP(C883,'10. CCU TRANSPORTE'!B:J,9,0)</f>
        <v>34.11</v>
      </c>
      <c r="I883" s="25">
        <f>'3. BDI'!$C$19</f>
        <v>0.24666704095238123</v>
      </c>
      <c r="J883" s="24">
        <f t="shared" si="1342"/>
        <v>7.91</v>
      </c>
      <c r="K883" s="24">
        <f t="shared" si="1343"/>
        <v>42.52</v>
      </c>
      <c r="L883" s="24">
        <f t="shared" si="1344"/>
        <v>378.33530000000002</v>
      </c>
      <c r="M883" s="24">
        <f t="shared" si="1345"/>
        <v>2033.7316000000001</v>
      </c>
      <c r="N883" s="24">
        <f t="shared" si="1346"/>
        <v>2412.0669000000003</v>
      </c>
      <c r="P883" s="24">
        <f>8.58/86.34</f>
        <v>9.9374565670604584E-2</v>
      </c>
      <c r="Q883" s="24">
        <f t="shared" si="1350"/>
        <v>4.7530854760250172</v>
      </c>
      <c r="R883" s="24">
        <f t="shared" si="1348"/>
        <v>5.92</v>
      </c>
      <c r="S883" s="24">
        <f t="shared" si="1349"/>
        <v>2406.1469000000002</v>
      </c>
    </row>
    <row r="884" spans="1:19">
      <c r="A884" s="9" t="s">
        <v>23476</v>
      </c>
      <c r="B884" s="10" t="s">
        <v>358</v>
      </c>
      <c r="C884" s="10" t="s">
        <v>22675</v>
      </c>
      <c r="D884" s="43" t="s">
        <v>307</v>
      </c>
      <c r="E884" s="11">
        <v>4908.17</v>
      </c>
      <c r="F884" s="9" t="s">
        <v>326</v>
      </c>
      <c r="G884" s="24">
        <f>VLOOKUP(C884,'9. CCU''S GERAIS AMEP'!A:K,11,0)</f>
        <v>34.122109090909092</v>
      </c>
      <c r="H884" s="24">
        <v>0</v>
      </c>
      <c r="I884" s="25">
        <f>'3. BDI'!$C$19</f>
        <v>0.24666704095238123</v>
      </c>
      <c r="J884" s="24">
        <f t="shared" si="1342"/>
        <v>42.53</v>
      </c>
      <c r="K884" s="24">
        <f t="shared" si="1343"/>
        <v>0</v>
      </c>
      <c r="L884" s="24">
        <f t="shared" si="1344"/>
        <v>208744.47010000001</v>
      </c>
      <c r="M884" s="24">
        <f t="shared" si="1345"/>
        <v>0</v>
      </c>
      <c r="N884" s="24">
        <f t="shared" si="1346"/>
        <v>208744.47010000001</v>
      </c>
      <c r="P884" s="24">
        <f>318.18/11</f>
        <v>28.925454545454546</v>
      </c>
      <c r="Q884" s="24">
        <f t="shared" si="1350"/>
        <v>141971.04823636363</v>
      </c>
      <c r="R884" s="24">
        <f t="shared" si="1348"/>
        <v>176990.62</v>
      </c>
      <c r="S884" s="24">
        <f t="shared" si="1349"/>
        <v>31753.850100000011</v>
      </c>
    </row>
    <row r="885" spans="1:19">
      <c r="A885" s="28" t="s">
        <v>22989</v>
      </c>
      <c r="B885" s="48"/>
      <c r="C885" s="29"/>
      <c r="D885" s="301" t="s">
        <v>22844</v>
      </c>
      <c r="E885" s="30"/>
      <c r="F885" s="29" t="s">
        <v>195</v>
      </c>
      <c r="G885" s="30"/>
      <c r="H885" s="30"/>
      <c r="I885" s="31"/>
      <c r="J885" s="30"/>
      <c r="K885" s="30"/>
      <c r="L885" s="30">
        <f t="shared" ref="L885:M885" si="1351">SUM(L886:L899)</f>
        <v>330530.44940000004</v>
      </c>
      <c r="M885" s="30">
        <f t="shared" si="1351"/>
        <v>3891.6147000000001</v>
      </c>
      <c r="N885" s="30">
        <f>SUM(N886:N899)</f>
        <v>334422.06409999996</v>
      </c>
      <c r="P885" s="30">
        <f t="shared" ref="P885:S885" si="1352">SUM(P886:P899)</f>
        <v>3897.8764310342021</v>
      </c>
      <c r="Q885" s="30">
        <f t="shared" si="1352"/>
        <v>588894.01390861068</v>
      </c>
      <c r="R885" s="30">
        <f t="shared" si="1352"/>
        <v>734154.69000000006</v>
      </c>
      <c r="S885" s="30">
        <f t="shared" si="1352"/>
        <v>-399732.62589999998</v>
      </c>
    </row>
    <row r="886" spans="1:19">
      <c r="A886" s="9" t="s">
        <v>23477</v>
      </c>
      <c r="B886" s="10" t="s">
        <v>9016</v>
      </c>
      <c r="C886" s="12">
        <v>606500</v>
      </c>
      <c r="D886" s="43" t="str">
        <f>VLOOKUP(C886,'13. CUSTOS DER - SERVIÇOS'!A:B,2,0)</f>
        <v>DEMOLIÇÃO DE ALVENARIA</v>
      </c>
      <c r="E886" s="11">
        <v>7.14</v>
      </c>
      <c r="F886" s="26" t="str">
        <f>VLOOKUP(C886,'13. CUSTOS DER - SERVIÇOS'!A:C,3,0)</f>
        <v>M3</v>
      </c>
      <c r="G886" s="24">
        <f>VLOOKUP(C886,'13. CUSTOS DER - SERVIÇOS'!A:G,7,0)</f>
        <v>182.46</v>
      </c>
      <c r="H886" s="24">
        <v>0</v>
      </c>
      <c r="I886" s="25">
        <f>'3. BDI'!$C$19</f>
        <v>0.24666704095238123</v>
      </c>
      <c r="J886" s="24">
        <f t="shared" ref="J886:J899" si="1353">TRUNC(G886+(G886*I886),2)</f>
        <v>227.46</v>
      </c>
      <c r="K886" s="24">
        <f t="shared" ref="K886:K899" si="1354">TRUNC(H886+(H886*I886),2)</f>
        <v>0</v>
      </c>
      <c r="L886" s="24">
        <f t="shared" ref="L886:L899" si="1355">J886*E886</f>
        <v>1624.0644</v>
      </c>
      <c r="M886" s="24">
        <f t="shared" ref="M886:M899" si="1356">K886*E886</f>
        <v>0</v>
      </c>
      <c r="N886" s="24">
        <f t="shared" ref="N886:N899" si="1357">L886+M886</f>
        <v>1624.0644</v>
      </c>
      <c r="P886" s="24">
        <f>165.88/1</f>
        <v>165.88</v>
      </c>
      <c r="Q886" s="24">
        <f t="shared" ref="Q886:Q894" si="1358">TRUNC(P886*E886,2)</f>
        <v>1184.3800000000001</v>
      </c>
      <c r="R886" s="24">
        <f t="shared" ref="R886:R899" si="1359">TRUNC((Q886*I886+Q886),2)</f>
        <v>1476.52</v>
      </c>
      <c r="S886" s="24">
        <f t="shared" ref="S886:S899" si="1360">N886-R886</f>
        <v>147.5444</v>
      </c>
    </row>
    <row r="887" spans="1:19">
      <c r="A887" s="9" t="s">
        <v>23478</v>
      </c>
      <c r="B887" s="10" t="s">
        <v>9016</v>
      </c>
      <c r="C887" s="12">
        <v>606600</v>
      </c>
      <c r="D887" s="43" t="str">
        <f>VLOOKUP(C887,'13. CUSTOS DER - SERVIÇOS'!A:B,2,0)</f>
        <v>DEMOLIÇÃO DE CONCRETO ARMADO</v>
      </c>
      <c r="E887" s="11">
        <v>1.49</v>
      </c>
      <c r="F887" s="26" t="str">
        <f>VLOOKUP(C887,'13. CUSTOS DER - SERVIÇOS'!A:C,3,0)</f>
        <v>M3</v>
      </c>
      <c r="G887" s="24">
        <f>VLOOKUP(C887,'13. CUSTOS DER - SERVIÇOS'!A:G,7,0)</f>
        <v>309.52999999999997</v>
      </c>
      <c r="H887" s="24">
        <v>0</v>
      </c>
      <c r="I887" s="25">
        <f>'3. BDI'!$C$19</f>
        <v>0.24666704095238123</v>
      </c>
      <c r="J887" s="24">
        <f t="shared" si="1353"/>
        <v>385.88</v>
      </c>
      <c r="K887" s="24">
        <f t="shared" si="1354"/>
        <v>0</v>
      </c>
      <c r="L887" s="24">
        <f t="shared" si="1355"/>
        <v>574.96119999999996</v>
      </c>
      <c r="M887" s="24">
        <f t="shared" si="1356"/>
        <v>0</v>
      </c>
      <c r="N887" s="24">
        <f t="shared" si="1357"/>
        <v>574.96119999999996</v>
      </c>
      <c r="P887" s="24">
        <f>142.72/1</f>
        <v>142.72</v>
      </c>
      <c r="Q887" s="24">
        <f t="shared" si="1358"/>
        <v>212.65</v>
      </c>
      <c r="R887" s="24">
        <f t="shared" si="1359"/>
        <v>265.10000000000002</v>
      </c>
      <c r="S887" s="24">
        <f t="shared" si="1360"/>
        <v>309.86119999999994</v>
      </c>
    </row>
    <row r="888" spans="1:19">
      <c r="A888" s="9" t="s">
        <v>23479</v>
      </c>
      <c r="B888" s="10" t="s">
        <v>9016</v>
      </c>
      <c r="C888" s="12">
        <v>606700</v>
      </c>
      <c r="D888" s="43" t="str">
        <f>VLOOKUP(C888,'13. CUSTOS DER - SERVIÇOS'!A:B,2,0)</f>
        <v>DEMOLIÇÃO DE CONCRETO SIMPLES</v>
      </c>
      <c r="E888" s="11">
        <v>8.4</v>
      </c>
      <c r="F888" s="26" t="str">
        <f>VLOOKUP(C888,'13. CUSTOS DER - SERVIÇOS'!A:C,3,0)</f>
        <v>M3</v>
      </c>
      <c r="G888" s="24">
        <f>VLOOKUP(C888,'13. CUSTOS DER - SERVIÇOS'!A:G,7,0)</f>
        <v>148.04</v>
      </c>
      <c r="H888" s="24">
        <v>0</v>
      </c>
      <c r="I888" s="25">
        <f>'3. BDI'!$C$19</f>
        <v>0.24666704095238123</v>
      </c>
      <c r="J888" s="24">
        <f t="shared" si="1353"/>
        <v>184.55</v>
      </c>
      <c r="K888" s="24">
        <f t="shared" si="1354"/>
        <v>0</v>
      </c>
      <c r="L888" s="24">
        <f t="shared" si="1355"/>
        <v>1550.2200000000003</v>
      </c>
      <c r="M888" s="24">
        <f t="shared" si="1356"/>
        <v>0</v>
      </c>
      <c r="N888" s="24">
        <f t="shared" si="1357"/>
        <v>1550.2200000000003</v>
      </c>
      <c r="P888" s="24">
        <f>142.72/2</f>
        <v>71.36</v>
      </c>
      <c r="Q888" s="24">
        <f t="shared" si="1358"/>
        <v>599.41999999999996</v>
      </c>
      <c r="R888" s="24">
        <f t="shared" si="1359"/>
        <v>747.27</v>
      </c>
      <c r="S888" s="24">
        <f t="shared" si="1360"/>
        <v>802.95000000000027</v>
      </c>
    </row>
    <row r="889" spans="1:19">
      <c r="A889" s="9" t="s">
        <v>23480</v>
      </c>
      <c r="B889" s="10" t="s">
        <v>9016</v>
      </c>
      <c r="C889" s="12">
        <v>800000</v>
      </c>
      <c r="D889" s="43" t="str">
        <f>VLOOKUP(C889,'13. CUSTOS DER - SERVIÇOS'!A:B,2,0)</f>
        <v>ENLEIVAMENTO</v>
      </c>
      <c r="E889" s="11">
        <v>2728.7</v>
      </c>
      <c r="F889" s="26" t="str">
        <f>VLOOKUP(C889,'13. CUSTOS DER - SERVIÇOS'!A:C,3,0)</f>
        <v>M2</v>
      </c>
      <c r="G889" s="24">
        <f>VLOOKUP(C889,'13. CUSTOS DER - SERVIÇOS'!A:G,7,0)</f>
        <v>12.41</v>
      </c>
      <c r="H889" s="24">
        <v>0</v>
      </c>
      <c r="I889" s="25">
        <f>'3. BDI'!$C$19</f>
        <v>0.24666704095238123</v>
      </c>
      <c r="J889" s="24">
        <f t="shared" si="1353"/>
        <v>15.47</v>
      </c>
      <c r="K889" s="24">
        <f t="shared" si="1354"/>
        <v>0</v>
      </c>
      <c r="L889" s="24">
        <f t="shared" si="1355"/>
        <v>42212.989000000001</v>
      </c>
      <c r="M889" s="24">
        <f t="shared" si="1356"/>
        <v>0</v>
      </c>
      <c r="N889" s="24">
        <f t="shared" si="1357"/>
        <v>42212.989000000001</v>
      </c>
      <c r="P889" s="24">
        <f>722.16/130</f>
        <v>5.555076923076923</v>
      </c>
      <c r="Q889" s="24">
        <f t="shared" si="1358"/>
        <v>15158.13</v>
      </c>
      <c r="R889" s="24">
        <f t="shared" si="1359"/>
        <v>18897.14</v>
      </c>
      <c r="S889" s="24">
        <f t="shared" si="1360"/>
        <v>23315.849000000002</v>
      </c>
    </row>
    <row r="890" spans="1:19">
      <c r="A890" s="9" t="s">
        <v>23481</v>
      </c>
      <c r="B890" s="10" t="s">
        <v>9016</v>
      </c>
      <c r="C890" s="12">
        <v>800100</v>
      </c>
      <c r="D890" s="43" t="str">
        <f>VLOOKUP(C890,'13. CUSTOS DER - SERVIÇOS'!A:B,2,0)</f>
        <v>HIDROSSEMEADURA</v>
      </c>
      <c r="E890" s="11">
        <v>1250.03</v>
      </c>
      <c r="F890" s="26" t="str">
        <f>VLOOKUP(C890,'13. CUSTOS DER - SERVIÇOS'!A:C,3,0)</f>
        <v>M2</v>
      </c>
      <c r="G890" s="24">
        <f>VLOOKUP(C890,'13. CUSTOS DER - SERVIÇOS'!A:G,7,0)</f>
        <v>11.53</v>
      </c>
      <c r="H890" s="24">
        <v>0</v>
      </c>
      <c r="I890" s="25">
        <f>'3. BDI'!$C$19</f>
        <v>0.24666704095238123</v>
      </c>
      <c r="J890" s="24">
        <f t="shared" si="1353"/>
        <v>14.37</v>
      </c>
      <c r="K890" s="24">
        <f t="shared" si="1354"/>
        <v>0</v>
      </c>
      <c r="L890" s="24">
        <f t="shared" si="1355"/>
        <v>17962.931099999998</v>
      </c>
      <c r="M890" s="24">
        <f t="shared" si="1356"/>
        <v>0</v>
      </c>
      <c r="N890" s="24">
        <f t="shared" si="1357"/>
        <v>17962.931099999998</v>
      </c>
      <c r="P890" s="24">
        <f>715.01/400</f>
        <v>1.787525</v>
      </c>
      <c r="Q890" s="24">
        <f t="shared" si="1358"/>
        <v>2234.4499999999998</v>
      </c>
      <c r="R890" s="24">
        <f t="shared" si="1359"/>
        <v>2785.61</v>
      </c>
      <c r="S890" s="24">
        <f t="shared" si="1360"/>
        <v>15177.321099999997</v>
      </c>
    </row>
    <row r="891" spans="1:19">
      <c r="A891" s="9" t="s">
        <v>23482</v>
      </c>
      <c r="B891" s="10" t="s">
        <v>9016</v>
      </c>
      <c r="C891" s="12">
        <v>831000</v>
      </c>
      <c r="D891" s="43" t="str">
        <f>VLOOKUP(C891,'13. CUSTOS DER - SERVIÇOS'!A:B,2,0)</f>
        <v>CERCA 4 FIOS C/ MOURÕES DE CONCRETO</v>
      </c>
      <c r="E891" s="11">
        <v>239.88</v>
      </c>
      <c r="F891" s="26" t="str">
        <f>VLOOKUP(C891,'13. CUSTOS DER - SERVIÇOS'!A:C,3,0)</f>
        <v>M</v>
      </c>
      <c r="G891" s="24">
        <f>VLOOKUP(C891,'13. CUSTOS DER - SERVIÇOS'!A:G,7,0)</f>
        <v>41.45</v>
      </c>
      <c r="H891" s="24">
        <v>0</v>
      </c>
      <c r="I891" s="25">
        <f>'3. BDI'!$C$19</f>
        <v>0.24666704095238123</v>
      </c>
      <c r="J891" s="24">
        <f t="shared" si="1353"/>
        <v>51.67</v>
      </c>
      <c r="K891" s="24">
        <f t="shared" si="1354"/>
        <v>0</v>
      </c>
      <c r="L891" s="24">
        <f t="shared" si="1355"/>
        <v>12394.5996</v>
      </c>
      <c r="M891" s="24">
        <f t="shared" si="1356"/>
        <v>0</v>
      </c>
      <c r="N891" s="24">
        <f t="shared" si="1357"/>
        <v>12394.5996</v>
      </c>
      <c r="P891" s="24">
        <f>755.77/30</f>
        <v>25.192333333333334</v>
      </c>
      <c r="Q891" s="24">
        <f t="shared" si="1358"/>
        <v>6043.13</v>
      </c>
      <c r="R891" s="24">
        <f t="shared" si="1359"/>
        <v>7533.77</v>
      </c>
      <c r="S891" s="24">
        <f t="shared" si="1360"/>
        <v>4860.8295999999991</v>
      </c>
    </row>
    <row r="892" spans="1:19">
      <c r="A892" s="9" t="s">
        <v>23483</v>
      </c>
      <c r="B892" s="10" t="s">
        <v>9016</v>
      </c>
      <c r="C892" s="12">
        <v>841000</v>
      </c>
      <c r="D892" s="43" t="str">
        <f>VLOOKUP(C892,'13. CUSTOS DER - SERVIÇOS'!A:B,2,0)</f>
        <v>REMOÇÃO DE CERCAS</v>
      </c>
      <c r="E892" s="11">
        <v>838.8</v>
      </c>
      <c r="F892" s="26" t="str">
        <f>VLOOKUP(C892,'13. CUSTOS DER - SERVIÇOS'!A:C,3,0)</f>
        <v>M</v>
      </c>
      <c r="G892" s="24">
        <f>VLOOKUP(C892,'13. CUSTOS DER - SERVIÇOS'!A:G,7,0)</f>
        <v>12.51</v>
      </c>
      <c r="H892" s="24">
        <v>0</v>
      </c>
      <c r="I892" s="25">
        <f>'3. BDI'!$C$19</f>
        <v>0.24666704095238123</v>
      </c>
      <c r="J892" s="24">
        <f t="shared" si="1353"/>
        <v>15.59</v>
      </c>
      <c r="K892" s="24">
        <f t="shared" si="1354"/>
        <v>0</v>
      </c>
      <c r="L892" s="24">
        <f t="shared" si="1355"/>
        <v>13076.892</v>
      </c>
      <c r="M892" s="24">
        <f t="shared" si="1356"/>
        <v>0</v>
      </c>
      <c r="N892" s="24">
        <f t="shared" si="1357"/>
        <v>13076.892</v>
      </c>
      <c r="P892" s="24">
        <f>35.75/3</f>
        <v>11.916666666666666</v>
      </c>
      <c r="Q892" s="24">
        <f t="shared" si="1358"/>
        <v>9995.7000000000007</v>
      </c>
      <c r="R892" s="24">
        <f t="shared" si="1359"/>
        <v>12461.3</v>
      </c>
      <c r="S892" s="24">
        <f t="shared" si="1360"/>
        <v>615.59200000000055</v>
      </c>
    </row>
    <row r="893" spans="1:19">
      <c r="A893" s="9" t="s">
        <v>23484</v>
      </c>
      <c r="B893" s="10" t="s">
        <v>9016</v>
      </c>
      <c r="C893" s="12">
        <v>843000</v>
      </c>
      <c r="D893" s="43" t="str">
        <f>VLOOKUP(C893,'13. CUSTOS DER - SERVIÇOS'!A:B,2,0)</f>
        <v>REMOÇÃO DE CASA DE ALVENARIA</v>
      </c>
      <c r="E893" s="11">
        <v>13.75</v>
      </c>
      <c r="F893" s="26" t="str">
        <f>VLOOKUP(C893,'13. CUSTOS DER - SERVIÇOS'!A:C,3,0)</f>
        <v>M2</v>
      </c>
      <c r="G893" s="24">
        <f>VLOOKUP(C893,'13. CUSTOS DER - SERVIÇOS'!A:G,7,0)</f>
        <v>348.34</v>
      </c>
      <c r="H893" s="24">
        <v>0</v>
      </c>
      <c r="I893" s="25">
        <f>'3. BDI'!$C$19</f>
        <v>0.24666704095238123</v>
      </c>
      <c r="J893" s="24">
        <f t="shared" si="1353"/>
        <v>434.26</v>
      </c>
      <c r="K893" s="24">
        <f t="shared" si="1354"/>
        <v>0</v>
      </c>
      <c r="L893" s="24">
        <f t="shared" si="1355"/>
        <v>5971.0749999999998</v>
      </c>
      <c r="M893" s="24">
        <f t="shared" si="1356"/>
        <v>0</v>
      </c>
      <c r="N893" s="24">
        <f t="shared" si="1357"/>
        <v>5971.0749999999998</v>
      </c>
      <c r="P893" s="24">
        <f>248.82/1</f>
        <v>248.82</v>
      </c>
      <c r="Q893" s="24">
        <f t="shared" si="1358"/>
        <v>3421.27</v>
      </c>
      <c r="R893" s="24">
        <f t="shared" si="1359"/>
        <v>4265.18</v>
      </c>
      <c r="S893" s="24">
        <f t="shared" si="1360"/>
        <v>1705.8949999999995</v>
      </c>
    </row>
    <row r="894" spans="1:19">
      <c r="A894" s="9" t="s">
        <v>23485</v>
      </c>
      <c r="B894" s="10" t="s">
        <v>9016</v>
      </c>
      <c r="C894" s="12">
        <v>850000</v>
      </c>
      <c r="D894" s="43" t="str">
        <f>VLOOKUP(C894,'13. CUSTOS DER - SERVIÇOS'!A:B,2,0)</f>
        <v>ABRIGO EM PARADA DE ÔNIBUS</v>
      </c>
      <c r="E894" s="11">
        <v>2</v>
      </c>
      <c r="F894" s="26" t="str">
        <f>VLOOKUP(C894,'13. CUSTOS DER - SERVIÇOS'!A:C,3,0)</f>
        <v>UD</v>
      </c>
      <c r="G894" s="24">
        <f>VLOOKUP(C894,'13. CUSTOS DER - SERVIÇOS'!A:G,7,0)</f>
        <v>7254.91</v>
      </c>
      <c r="H894" s="24">
        <f>VLOOKUP(C894,'10. CCU TRANSPORTE'!B:J,9,0)</f>
        <v>878.92</v>
      </c>
      <c r="I894" s="25">
        <f>'3. BDI'!$C$19</f>
        <v>0.24666704095238123</v>
      </c>
      <c r="J894" s="24">
        <f t="shared" si="1353"/>
        <v>9044.4500000000007</v>
      </c>
      <c r="K894" s="24">
        <f t="shared" si="1354"/>
        <v>1095.72</v>
      </c>
      <c r="L894" s="24">
        <f t="shared" si="1355"/>
        <v>18088.900000000001</v>
      </c>
      <c r="M894" s="24">
        <f t="shared" si="1356"/>
        <v>2191.44</v>
      </c>
      <c r="N894" s="24">
        <f t="shared" si="1357"/>
        <v>20280.34</v>
      </c>
      <c r="P894" s="24">
        <f>2411.67/1</f>
        <v>2411.67</v>
      </c>
      <c r="Q894" s="24">
        <f t="shared" si="1358"/>
        <v>4823.34</v>
      </c>
      <c r="R894" s="24">
        <f t="shared" si="1359"/>
        <v>6013.09</v>
      </c>
      <c r="S894" s="24">
        <f t="shared" si="1360"/>
        <v>14267.25</v>
      </c>
    </row>
    <row r="895" spans="1:19">
      <c r="A895" s="9" t="s">
        <v>23486</v>
      </c>
      <c r="B895" s="10" t="s">
        <v>358</v>
      </c>
      <c r="C895" s="12" t="s">
        <v>22668</v>
      </c>
      <c r="D895" s="43" t="s">
        <v>299</v>
      </c>
      <c r="E895" s="11">
        <v>598.91999999999996</v>
      </c>
      <c r="F895" s="13" t="s">
        <v>328</v>
      </c>
      <c r="G895" s="24">
        <f>VLOOKUP(C895,'9. CCU''S GERAIS AMEP'!A:K,11,0)</f>
        <v>90.479369333333324</v>
      </c>
      <c r="H895" s="24">
        <v>0</v>
      </c>
      <c r="I895" s="25">
        <f>'3. BDI'!$C$19</f>
        <v>0.24666704095238123</v>
      </c>
      <c r="J895" s="24">
        <f t="shared" si="1353"/>
        <v>112.79</v>
      </c>
      <c r="K895" s="24">
        <f t="shared" si="1354"/>
        <v>0</v>
      </c>
      <c r="L895" s="24">
        <f t="shared" si="1355"/>
        <v>67552.186799999996</v>
      </c>
      <c r="M895" s="24">
        <f t="shared" si="1356"/>
        <v>0</v>
      </c>
      <c r="N895" s="24">
        <f t="shared" si="1357"/>
        <v>67552.186799999996</v>
      </c>
      <c r="P895" s="24">
        <f>755.77</f>
        <v>755.77</v>
      </c>
      <c r="Q895" s="24">
        <f t="shared" ref="Q895:Q899" si="1361">P895*E895</f>
        <v>452645.76839999994</v>
      </c>
      <c r="R895" s="24">
        <f t="shared" si="1359"/>
        <v>564298.56000000006</v>
      </c>
      <c r="S895" s="24">
        <f t="shared" si="1360"/>
        <v>-496746.37320000003</v>
      </c>
    </row>
    <row r="896" spans="1:19" ht="47.25">
      <c r="A896" s="9" t="s">
        <v>23487</v>
      </c>
      <c r="B896" s="10" t="s">
        <v>358</v>
      </c>
      <c r="C896" s="12" t="s">
        <v>22670</v>
      </c>
      <c r="D896" s="43" t="s">
        <v>302</v>
      </c>
      <c r="E896" s="11">
        <v>17.850000000000001</v>
      </c>
      <c r="F896" s="13" t="s">
        <v>328</v>
      </c>
      <c r="G896" s="24">
        <f>VLOOKUP(C896,'9. CCU''S GERAIS AMEP'!A:K,11,0)</f>
        <v>593.845842686624</v>
      </c>
      <c r="H896" s="24">
        <f>VLOOKUP(C896,'10. CCU TRANSPORTE'!B:J,9,0)</f>
        <v>11.8</v>
      </c>
      <c r="I896" s="25">
        <f>'3. BDI'!$C$19</f>
        <v>0.24666704095238123</v>
      </c>
      <c r="J896" s="24">
        <f t="shared" si="1353"/>
        <v>740.32</v>
      </c>
      <c r="K896" s="24">
        <f t="shared" si="1354"/>
        <v>14.71</v>
      </c>
      <c r="L896" s="24">
        <f t="shared" si="1355"/>
        <v>13214.712000000001</v>
      </c>
      <c r="M896" s="24">
        <f t="shared" si="1356"/>
        <v>262.57350000000002</v>
      </c>
      <c r="N896" s="24">
        <f t="shared" si="1357"/>
        <v>13477.285500000002</v>
      </c>
      <c r="P896" s="24">
        <v>0</v>
      </c>
      <c r="Q896" s="24">
        <f t="shared" si="1361"/>
        <v>0</v>
      </c>
      <c r="R896" s="24">
        <f t="shared" si="1359"/>
        <v>0</v>
      </c>
      <c r="S896" s="24">
        <f t="shared" si="1360"/>
        <v>13477.285500000002</v>
      </c>
    </row>
    <row r="897" spans="1:19">
      <c r="A897" s="9" t="s">
        <v>23488</v>
      </c>
      <c r="B897" s="10" t="s">
        <v>358</v>
      </c>
      <c r="C897" s="12" t="s">
        <v>22673</v>
      </c>
      <c r="D897" s="43" t="s">
        <v>305</v>
      </c>
      <c r="E897" s="11">
        <v>15.95</v>
      </c>
      <c r="F897" s="13" t="s">
        <v>328</v>
      </c>
      <c r="G897" s="24">
        <f>VLOOKUP(C897,'9. CCU''S GERAIS AMEP'!A:K,11,0)</f>
        <v>29.588666666666668</v>
      </c>
      <c r="H897" s="24"/>
      <c r="I897" s="25">
        <f>'3. BDI'!$C$19</f>
        <v>0.24666704095238123</v>
      </c>
      <c r="J897" s="24">
        <f t="shared" si="1353"/>
        <v>36.880000000000003</v>
      </c>
      <c r="K897" s="24">
        <f t="shared" si="1354"/>
        <v>0</v>
      </c>
      <c r="L897" s="24">
        <f t="shared" si="1355"/>
        <v>588.23599999999999</v>
      </c>
      <c r="M897" s="24">
        <f t="shared" si="1356"/>
        <v>0</v>
      </c>
      <c r="N897" s="24">
        <f t="shared" si="1357"/>
        <v>588.23599999999999</v>
      </c>
      <c r="P897" s="24">
        <f>169.08/6</f>
        <v>28.180000000000003</v>
      </c>
      <c r="Q897" s="24">
        <f t="shared" si="1361"/>
        <v>449.47100000000006</v>
      </c>
      <c r="R897" s="24">
        <f t="shared" si="1359"/>
        <v>560.34</v>
      </c>
      <c r="S897" s="24">
        <f t="shared" si="1360"/>
        <v>27.895999999999958</v>
      </c>
    </row>
    <row r="898" spans="1:19">
      <c r="A898" s="9" t="s">
        <v>23489</v>
      </c>
      <c r="B898" s="10" t="s">
        <v>358</v>
      </c>
      <c r="C898" s="12" t="s">
        <v>22674</v>
      </c>
      <c r="D898" s="43" t="s">
        <v>306</v>
      </c>
      <c r="E898" s="11">
        <v>33.81</v>
      </c>
      <c r="F898" s="13" t="s">
        <v>326</v>
      </c>
      <c r="G898" s="24">
        <f>VLOOKUP(C898,'9. CCU''S GERAIS AMEP'!A:K,11,0)</f>
        <v>6.3513377345378732</v>
      </c>
      <c r="H898" s="24">
        <f>VLOOKUP(C898,'10. CCU TRANSPORTE'!B:J,9,0)</f>
        <v>34.11</v>
      </c>
      <c r="I898" s="25">
        <f>'3. BDI'!$C$19</f>
        <v>0.24666704095238123</v>
      </c>
      <c r="J898" s="24">
        <f t="shared" si="1353"/>
        <v>7.91</v>
      </c>
      <c r="K898" s="24">
        <f t="shared" si="1354"/>
        <v>42.52</v>
      </c>
      <c r="L898" s="24">
        <f t="shared" si="1355"/>
        <v>267.43710000000004</v>
      </c>
      <c r="M898" s="24">
        <f t="shared" si="1356"/>
        <v>1437.6012000000003</v>
      </c>
      <c r="N898" s="24">
        <f t="shared" si="1357"/>
        <v>1705.0383000000004</v>
      </c>
      <c r="P898" s="24">
        <f>8.58/86.34</f>
        <v>9.9374565670604584E-2</v>
      </c>
      <c r="Q898" s="24">
        <f t="shared" si="1361"/>
        <v>3.359854065323141</v>
      </c>
      <c r="R898" s="24">
        <f t="shared" si="1359"/>
        <v>4.18</v>
      </c>
      <c r="S898" s="24">
        <f t="shared" si="1360"/>
        <v>1700.8583000000003</v>
      </c>
    </row>
    <row r="899" spans="1:19">
      <c r="A899" s="9" t="s">
        <v>23490</v>
      </c>
      <c r="B899" s="10" t="s">
        <v>358</v>
      </c>
      <c r="C899" s="10" t="s">
        <v>22675</v>
      </c>
      <c r="D899" s="43" t="s">
        <v>307</v>
      </c>
      <c r="E899" s="11">
        <v>3184.84</v>
      </c>
      <c r="F899" s="9" t="s">
        <v>326</v>
      </c>
      <c r="G899" s="24">
        <f>VLOOKUP(C899,'9. CCU''S GERAIS AMEP'!A:K,11,0)</f>
        <v>34.122109090909092</v>
      </c>
      <c r="H899" s="24">
        <v>0</v>
      </c>
      <c r="I899" s="25">
        <f>'3. BDI'!$C$19</f>
        <v>0.24666704095238123</v>
      </c>
      <c r="J899" s="24">
        <f t="shared" si="1353"/>
        <v>42.53</v>
      </c>
      <c r="K899" s="24">
        <f t="shared" si="1354"/>
        <v>0</v>
      </c>
      <c r="L899" s="24">
        <f t="shared" si="1355"/>
        <v>135451.2452</v>
      </c>
      <c r="M899" s="24">
        <f t="shared" si="1356"/>
        <v>0</v>
      </c>
      <c r="N899" s="24">
        <f t="shared" si="1357"/>
        <v>135451.2452</v>
      </c>
      <c r="P899" s="24">
        <f>318.18/11</f>
        <v>28.925454545454546</v>
      </c>
      <c r="Q899" s="24">
        <f t="shared" si="1361"/>
        <v>92122.944654545456</v>
      </c>
      <c r="R899" s="24">
        <f t="shared" si="1359"/>
        <v>114846.63</v>
      </c>
      <c r="S899" s="24">
        <f t="shared" si="1360"/>
        <v>20604.6152</v>
      </c>
    </row>
    <row r="900" spans="1:19">
      <c r="A900" s="28" t="s">
        <v>22990</v>
      </c>
      <c r="B900" s="48"/>
      <c r="C900" s="29"/>
      <c r="D900" s="301" t="s">
        <v>22845</v>
      </c>
      <c r="E900" s="30"/>
      <c r="F900" s="29" t="s">
        <v>195</v>
      </c>
      <c r="G900" s="30"/>
      <c r="H900" s="30"/>
      <c r="I900" s="31"/>
      <c r="J900" s="30"/>
      <c r="K900" s="30"/>
      <c r="L900" s="30">
        <f t="shared" ref="L900:M900" si="1362">SUM(L901:L914)</f>
        <v>1744394.1102</v>
      </c>
      <c r="M900" s="30">
        <f t="shared" si="1362"/>
        <v>11353.573200000001</v>
      </c>
      <c r="N900" s="30">
        <f>SUM(N901:N914)</f>
        <v>1755747.6834000004</v>
      </c>
      <c r="P900" s="30">
        <f t="shared" ref="P900:S900" si="1363">SUM(P901:P914)</f>
        <v>3851.7087643675354</v>
      </c>
      <c r="Q900" s="30">
        <f t="shared" si="1363"/>
        <v>1546311.4419424564</v>
      </c>
      <c r="R900" s="30">
        <f t="shared" si="1363"/>
        <v>1927735.4400000004</v>
      </c>
      <c r="S900" s="30">
        <f t="shared" si="1363"/>
        <v>-171987.7566000002</v>
      </c>
    </row>
    <row r="901" spans="1:19">
      <c r="A901" s="9" t="s">
        <v>23491</v>
      </c>
      <c r="B901" s="10" t="s">
        <v>9016</v>
      </c>
      <c r="C901" s="12">
        <v>606500</v>
      </c>
      <c r="D901" s="43" t="str">
        <f>VLOOKUP(C901,'13. CUSTOS DER - SERVIÇOS'!A:B,2,0)</f>
        <v>DEMOLIÇÃO DE ALVENARIA</v>
      </c>
      <c r="E901" s="11">
        <v>77.040000000000006</v>
      </c>
      <c r="F901" s="26" t="str">
        <f>VLOOKUP(C901,'13. CUSTOS DER - SERVIÇOS'!A:C,3,0)</f>
        <v>M3</v>
      </c>
      <c r="G901" s="24">
        <f>VLOOKUP(C901,'13. CUSTOS DER - SERVIÇOS'!A:G,7,0)</f>
        <v>182.46</v>
      </c>
      <c r="H901" s="24">
        <v>0</v>
      </c>
      <c r="I901" s="25">
        <f>'3. BDI'!$C$19</f>
        <v>0.24666704095238123</v>
      </c>
      <c r="J901" s="24">
        <f t="shared" ref="J901:J914" si="1364">TRUNC(G901+(G901*I901),2)</f>
        <v>227.46</v>
      </c>
      <c r="K901" s="24">
        <f t="shared" ref="K901:K914" si="1365">TRUNC(H901+(H901*I901),2)</f>
        <v>0</v>
      </c>
      <c r="L901" s="24">
        <f t="shared" ref="L901:L914" si="1366">J901*E901</f>
        <v>17523.518400000001</v>
      </c>
      <c r="M901" s="24">
        <f t="shared" ref="M901:M914" si="1367">K901*E901</f>
        <v>0</v>
      </c>
      <c r="N901" s="24">
        <f t="shared" ref="N901:N914" si="1368">L901+M901</f>
        <v>17523.518400000001</v>
      </c>
      <c r="P901" s="24">
        <f>165.88/1</f>
        <v>165.88</v>
      </c>
      <c r="Q901" s="24">
        <f t="shared" ref="Q901:Q908" si="1369">TRUNC(P901*E901,2)</f>
        <v>12779.39</v>
      </c>
      <c r="R901" s="24">
        <f t="shared" ref="R901:R914" si="1370">TRUNC((Q901*I901+Q901),2)</f>
        <v>15931.64</v>
      </c>
      <c r="S901" s="24">
        <f t="shared" ref="S901:S914" si="1371">N901-R901</f>
        <v>1591.8784000000014</v>
      </c>
    </row>
    <row r="902" spans="1:19">
      <c r="A902" s="9" t="s">
        <v>23492</v>
      </c>
      <c r="B902" s="10" t="s">
        <v>9016</v>
      </c>
      <c r="C902" s="12">
        <v>606600</v>
      </c>
      <c r="D902" s="43" t="str">
        <f>VLOOKUP(C902,'13. CUSTOS DER - SERVIÇOS'!A:B,2,0)</f>
        <v>DEMOLIÇÃO DE CONCRETO ARMADO</v>
      </c>
      <c r="E902" s="11">
        <v>17.45</v>
      </c>
      <c r="F902" s="26" t="str">
        <f>VLOOKUP(C902,'13. CUSTOS DER - SERVIÇOS'!A:C,3,0)</f>
        <v>M3</v>
      </c>
      <c r="G902" s="24">
        <f>VLOOKUP(C902,'13. CUSTOS DER - SERVIÇOS'!A:G,7,0)</f>
        <v>309.52999999999997</v>
      </c>
      <c r="H902" s="24">
        <v>0</v>
      </c>
      <c r="I902" s="25">
        <f>'3. BDI'!$C$19</f>
        <v>0.24666704095238123</v>
      </c>
      <c r="J902" s="24">
        <f t="shared" si="1364"/>
        <v>385.88</v>
      </c>
      <c r="K902" s="24">
        <f t="shared" si="1365"/>
        <v>0</v>
      </c>
      <c r="L902" s="24">
        <f t="shared" si="1366"/>
        <v>6733.6059999999998</v>
      </c>
      <c r="M902" s="24">
        <f t="shared" si="1367"/>
        <v>0</v>
      </c>
      <c r="N902" s="24">
        <f t="shared" si="1368"/>
        <v>6733.6059999999998</v>
      </c>
      <c r="P902" s="24">
        <f>142.72/1</f>
        <v>142.72</v>
      </c>
      <c r="Q902" s="24">
        <f t="shared" si="1369"/>
        <v>2490.46</v>
      </c>
      <c r="R902" s="24">
        <f t="shared" si="1370"/>
        <v>3104.77</v>
      </c>
      <c r="S902" s="24">
        <f t="shared" si="1371"/>
        <v>3628.8359999999998</v>
      </c>
    </row>
    <row r="903" spans="1:19">
      <c r="A903" s="9" t="s">
        <v>23493</v>
      </c>
      <c r="B903" s="10" t="s">
        <v>9016</v>
      </c>
      <c r="C903" s="12">
        <v>800000</v>
      </c>
      <c r="D903" s="43" t="str">
        <f>VLOOKUP(C903,'13. CUSTOS DER - SERVIÇOS'!A:B,2,0)</f>
        <v>ENLEIVAMENTO</v>
      </c>
      <c r="E903" s="11">
        <v>37442.35</v>
      </c>
      <c r="F903" s="26" t="str">
        <f>VLOOKUP(C903,'13. CUSTOS DER - SERVIÇOS'!A:C,3,0)</f>
        <v>M2</v>
      </c>
      <c r="G903" s="24">
        <f>VLOOKUP(C903,'13. CUSTOS DER - SERVIÇOS'!A:G,7,0)</f>
        <v>12.41</v>
      </c>
      <c r="H903" s="24">
        <v>0</v>
      </c>
      <c r="I903" s="25">
        <f>'3. BDI'!$C$19</f>
        <v>0.24666704095238123</v>
      </c>
      <c r="J903" s="24">
        <f t="shared" si="1364"/>
        <v>15.47</v>
      </c>
      <c r="K903" s="24">
        <f t="shared" si="1365"/>
        <v>0</v>
      </c>
      <c r="L903" s="24">
        <f t="shared" si="1366"/>
        <v>579233.15449999995</v>
      </c>
      <c r="M903" s="24">
        <f t="shared" si="1367"/>
        <v>0</v>
      </c>
      <c r="N903" s="24">
        <f t="shared" si="1368"/>
        <v>579233.15449999995</v>
      </c>
      <c r="P903" s="24">
        <f>722.16/130</f>
        <v>5.555076923076923</v>
      </c>
      <c r="Q903" s="24">
        <f t="shared" si="1369"/>
        <v>207995.13</v>
      </c>
      <c r="R903" s="24">
        <f t="shared" si="1370"/>
        <v>259300.67</v>
      </c>
      <c r="S903" s="24">
        <f t="shared" si="1371"/>
        <v>319932.4844999999</v>
      </c>
    </row>
    <row r="904" spans="1:19">
      <c r="A904" s="9" t="s">
        <v>23494</v>
      </c>
      <c r="B904" s="10" t="s">
        <v>9016</v>
      </c>
      <c r="C904" s="12">
        <v>800100</v>
      </c>
      <c r="D904" s="43" t="str">
        <f>VLOOKUP(C904,'13. CUSTOS DER - SERVIÇOS'!A:B,2,0)</f>
        <v>HIDROSSEMEADURA</v>
      </c>
      <c r="E904" s="11">
        <v>6091.91</v>
      </c>
      <c r="F904" s="26" t="str">
        <f>VLOOKUP(C904,'13. CUSTOS DER - SERVIÇOS'!A:C,3,0)</f>
        <v>M2</v>
      </c>
      <c r="G904" s="24">
        <f>VLOOKUP(C904,'13. CUSTOS DER - SERVIÇOS'!A:G,7,0)</f>
        <v>11.53</v>
      </c>
      <c r="H904" s="24">
        <v>0</v>
      </c>
      <c r="I904" s="25">
        <f>'3. BDI'!$C$19</f>
        <v>0.24666704095238123</v>
      </c>
      <c r="J904" s="24">
        <f t="shared" si="1364"/>
        <v>14.37</v>
      </c>
      <c r="K904" s="24">
        <f t="shared" si="1365"/>
        <v>0</v>
      </c>
      <c r="L904" s="24">
        <f t="shared" si="1366"/>
        <v>87540.746699999989</v>
      </c>
      <c r="M904" s="24">
        <f t="shared" si="1367"/>
        <v>0</v>
      </c>
      <c r="N904" s="24">
        <f t="shared" si="1368"/>
        <v>87540.746699999989</v>
      </c>
      <c r="P904" s="24">
        <f>715.01/400</f>
        <v>1.787525</v>
      </c>
      <c r="Q904" s="24">
        <f t="shared" si="1369"/>
        <v>10889.44</v>
      </c>
      <c r="R904" s="24">
        <f t="shared" si="1370"/>
        <v>13575.5</v>
      </c>
      <c r="S904" s="24">
        <f t="shared" si="1371"/>
        <v>73965.246699999989</v>
      </c>
    </row>
    <row r="905" spans="1:19">
      <c r="A905" s="9" t="s">
        <v>23495</v>
      </c>
      <c r="B905" s="10" t="s">
        <v>9016</v>
      </c>
      <c r="C905" s="12">
        <v>831000</v>
      </c>
      <c r="D905" s="43" t="str">
        <f>VLOOKUP(C905,'13. CUSTOS DER - SERVIÇOS'!A:B,2,0)</f>
        <v>CERCA 4 FIOS C/ MOURÕES DE CONCRETO</v>
      </c>
      <c r="E905" s="11">
        <v>2633.59</v>
      </c>
      <c r="F905" s="26" t="str">
        <f>VLOOKUP(C905,'13. CUSTOS DER - SERVIÇOS'!A:C,3,0)</f>
        <v>M</v>
      </c>
      <c r="G905" s="24">
        <f>VLOOKUP(C905,'13. CUSTOS DER - SERVIÇOS'!A:G,7,0)</f>
        <v>41.45</v>
      </c>
      <c r="H905" s="24">
        <v>0</v>
      </c>
      <c r="I905" s="25">
        <f>'3. BDI'!$C$19</f>
        <v>0.24666704095238123</v>
      </c>
      <c r="J905" s="24">
        <f t="shared" si="1364"/>
        <v>51.67</v>
      </c>
      <c r="K905" s="24">
        <f t="shared" si="1365"/>
        <v>0</v>
      </c>
      <c r="L905" s="24">
        <f t="shared" si="1366"/>
        <v>136077.59530000002</v>
      </c>
      <c r="M905" s="24">
        <f t="shared" si="1367"/>
        <v>0</v>
      </c>
      <c r="N905" s="24">
        <f t="shared" si="1368"/>
        <v>136077.59530000002</v>
      </c>
      <c r="P905" s="24">
        <f>755.77/30</f>
        <v>25.192333333333334</v>
      </c>
      <c r="Q905" s="24">
        <f t="shared" si="1369"/>
        <v>66346.27</v>
      </c>
      <c r="R905" s="24">
        <f t="shared" si="1370"/>
        <v>82711.7</v>
      </c>
      <c r="S905" s="24">
        <f t="shared" si="1371"/>
        <v>53365.895300000018</v>
      </c>
    </row>
    <row r="906" spans="1:19">
      <c r="A906" s="9" t="s">
        <v>23496</v>
      </c>
      <c r="B906" s="10" t="s">
        <v>9016</v>
      </c>
      <c r="C906" s="12">
        <v>841000</v>
      </c>
      <c r="D906" s="43" t="str">
        <f>VLOOKUP(C906,'13. CUSTOS DER - SERVIÇOS'!A:B,2,0)</f>
        <v>REMOÇÃO DE CERCAS</v>
      </c>
      <c r="E906" s="11">
        <v>4198.07</v>
      </c>
      <c r="F906" s="26" t="str">
        <f>VLOOKUP(C906,'13. CUSTOS DER - SERVIÇOS'!A:C,3,0)</f>
        <v>M</v>
      </c>
      <c r="G906" s="24">
        <f>VLOOKUP(C906,'13. CUSTOS DER - SERVIÇOS'!A:G,7,0)</f>
        <v>12.51</v>
      </c>
      <c r="H906" s="24">
        <v>0</v>
      </c>
      <c r="I906" s="25">
        <f>'3. BDI'!$C$19</f>
        <v>0.24666704095238123</v>
      </c>
      <c r="J906" s="24">
        <f t="shared" si="1364"/>
        <v>15.59</v>
      </c>
      <c r="K906" s="24">
        <f t="shared" si="1365"/>
        <v>0</v>
      </c>
      <c r="L906" s="24">
        <f t="shared" si="1366"/>
        <v>65447.911299999992</v>
      </c>
      <c r="M906" s="24">
        <f t="shared" si="1367"/>
        <v>0</v>
      </c>
      <c r="N906" s="24">
        <f t="shared" si="1368"/>
        <v>65447.911299999992</v>
      </c>
      <c r="P906" s="24">
        <f>35.75/3</f>
        <v>11.916666666666666</v>
      </c>
      <c r="Q906" s="24">
        <f t="shared" si="1369"/>
        <v>50027</v>
      </c>
      <c r="R906" s="24">
        <f t="shared" si="1370"/>
        <v>62367.01</v>
      </c>
      <c r="S906" s="24">
        <f t="shared" si="1371"/>
        <v>3080.9012999999904</v>
      </c>
    </row>
    <row r="907" spans="1:19">
      <c r="A907" s="9" t="s">
        <v>23497</v>
      </c>
      <c r="B907" s="10" t="s">
        <v>9016</v>
      </c>
      <c r="C907" s="12">
        <v>843000</v>
      </c>
      <c r="D907" s="43" t="str">
        <f>VLOOKUP(C907,'13. CUSTOS DER - SERVIÇOS'!A:B,2,0)</f>
        <v>REMOÇÃO DE CASA DE ALVENARIA</v>
      </c>
      <c r="E907" s="11">
        <v>25.92</v>
      </c>
      <c r="F907" s="26" t="str">
        <f>VLOOKUP(C907,'13. CUSTOS DER - SERVIÇOS'!A:C,3,0)</f>
        <v>M2</v>
      </c>
      <c r="G907" s="24">
        <f>VLOOKUP(C907,'13. CUSTOS DER - SERVIÇOS'!A:G,7,0)</f>
        <v>348.34</v>
      </c>
      <c r="H907" s="24">
        <v>0</v>
      </c>
      <c r="I907" s="25">
        <f>'3. BDI'!$C$19</f>
        <v>0.24666704095238123</v>
      </c>
      <c r="J907" s="24">
        <f t="shared" si="1364"/>
        <v>434.26</v>
      </c>
      <c r="K907" s="24">
        <f t="shared" si="1365"/>
        <v>0</v>
      </c>
      <c r="L907" s="24">
        <f t="shared" si="1366"/>
        <v>11256.019200000001</v>
      </c>
      <c r="M907" s="24">
        <f t="shared" si="1367"/>
        <v>0</v>
      </c>
      <c r="N907" s="24">
        <f t="shared" si="1368"/>
        <v>11256.019200000001</v>
      </c>
      <c r="P907" s="24">
        <f>248.82/1</f>
        <v>248.82</v>
      </c>
      <c r="Q907" s="24">
        <f t="shared" si="1369"/>
        <v>6449.41</v>
      </c>
      <c r="R907" s="24">
        <f t="shared" si="1370"/>
        <v>8040.26</v>
      </c>
      <c r="S907" s="24">
        <f t="shared" si="1371"/>
        <v>3215.7592000000004</v>
      </c>
    </row>
    <row r="908" spans="1:19">
      <c r="A908" s="9" t="s">
        <v>23498</v>
      </c>
      <c r="B908" s="10" t="s">
        <v>9016</v>
      </c>
      <c r="C908" s="12">
        <v>850000</v>
      </c>
      <c r="D908" s="43" t="str">
        <f>VLOOKUP(C908,'13. CUSTOS DER - SERVIÇOS'!A:B,2,0)</f>
        <v>ABRIGO EM PARADA DE ÔNIBUS</v>
      </c>
      <c r="E908" s="11">
        <v>1</v>
      </c>
      <c r="F908" s="26" t="str">
        <f>VLOOKUP(C908,'13. CUSTOS DER - SERVIÇOS'!A:C,3,0)</f>
        <v>UD</v>
      </c>
      <c r="G908" s="24">
        <f>VLOOKUP(C908,'13. CUSTOS DER - SERVIÇOS'!A:G,7,0)</f>
        <v>7254.91</v>
      </c>
      <c r="H908" s="24">
        <f>VLOOKUP(C908,'10. CCU TRANSPORTE'!B:J,9,0)</f>
        <v>878.92</v>
      </c>
      <c r="I908" s="25">
        <f>'3. BDI'!$C$19</f>
        <v>0.24666704095238123</v>
      </c>
      <c r="J908" s="24">
        <f t="shared" si="1364"/>
        <v>9044.4500000000007</v>
      </c>
      <c r="K908" s="24">
        <f t="shared" si="1365"/>
        <v>1095.72</v>
      </c>
      <c r="L908" s="24">
        <f t="shared" si="1366"/>
        <v>9044.4500000000007</v>
      </c>
      <c r="M908" s="24">
        <f t="shared" si="1367"/>
        <v>1095.72</v>
      </c>
      <c r="N908" s="24">
        <f t="shared" si="1368"/>
        <v>10140.17</v>
      </c>
      <c r="P908" s="24">
        <f>2411.67/1</f>
        <v>2411.67</v>
      </c>
      <c r="Q908" s="24">
        <f t="shared" si="1369"/>
        <v>2411.67</v>
      </c>
      <c r="R908" s="24">
        <f t="shared" si="1370"/>
        <v>3006.54</v>
      </c>
      <c r="S908" s="24">
        <f t="shared" si="1371"/>
        <v>7133.63</v>
      </c>
    </row>
    <row r="909" spans="1:19">
      <c r="A909" s="9" t="s">
        <v>23499</v>
      </c>
      <c r="B909" s="10" t="s">
        <v>358</v>
      </c>
      <c r="C909" s="12" t="s">
        <v>22667</v>
      </c>
      <c r="D909" s="43" t="s">
        <v>298</v>
      </c>
      <c r="E909" s="11">
        <v>1691.57</v>
      </c>
      <c r="F909" s="13" t="s">
        <v>328</v>
      </c>
      <c r="G909" s="24">
        <f>VLOOKUP(C909,'9. CCU''S GERAIS AMEP'!A:K,11,0)</f>
        <v>92.439369333333332</v>
      </c>
      <c r="H909" s="24">
        <v>0</v>
      </c>
      <c r="I909" s="25">
        <f>'3. BDI'!$C$19</f>
        <v>0.24666704095238123</v>
      </c>
      <c r="J909" s="24">
        <f t="shared" si="1364"/>
        <v>115.24</v>
      </c>
      <c r="K909" s="24">
        <f t="shared" si="1365"/>
        <v>0</v>
      </c>
      <c r="L909" s="24">
        <f t="shared" si="1366"/>
        <v>194936.52679999999</v>
      </c>
      <c r="M909" s="24">
        <f t="shared" si="1367"/>
        <v>0</v>
      </c>
      <c r="N909" s="24">
        <f t="shared" si="1368"/>
        <v>194936.52679999999</v>
      </c>
      <c r="P909" s="24">
        <f>755.77/30</f>
        <v>25.192333333333334</v>
      </c>
      <c r="Q909" s="24">
        <f t="shared" ref="Q909:Q914" si="1372">P909*E909</f>
        <v>42614.595296666666</v>
      </c>
      <c r="R909" s="24">
        <f t="shared" si="1370"/>
        <v>53126.21</v>
      </c>
      <c r="S909" s="24">
        <f t="shared" si="1371"/>
        <v>141810.3168</v>
      </c>
    </row>
    <row r="910" spans="1:19">
      <c r="A910" s="9" t="s">
        <v>23500</v>
      </c>
      <c r="B910" s="10" t="s">
        <v>358</v>
      </c>
      <c r="C910" s="12" t="s">
        <v>22668</v>
      </c>
      <c r="D910" s="43" t="s">
        <v>299</v>
      </c>
      <c r="E910" s="11">
        <v>1183.24</v>
      </c>
      <c r="F910" s="13" t="s">
        <v>328</v>
      </c>
      <c r="G910" s="24">
        <f>VLOOKUP(C910,'9. CCU''S GERAIS AMEP'!A:K,11,0)</f>
        <v>90.479369333333324</v>
      </c>
      <c r="H910" s="24">
        <v>0</v>
      </c>
      <c r="I910" s="25">
        <f>'3. BDI'!$C$19</f>
        <v>0.24666704095238123</v>
      </c>
      <c r="J910" s="24">
        <f t="shared" si="1364"/>
        <v>112.79</v>
      </c>
      <c r="K910" s="24">
        <f t="shared" si="1365"/>
        <v>0</v>
      </c>
      <c r="L910" s="24">
        <f t="shared" si="1366"/>
        <v>133457.63959999999</v>
      </c>
      <c r="M910" s="24">
        <f t="shared" si="1367"/>
        <v>0</v>
      </c>
      <c r="N910" s="24">
        <f t="shared" si="1368"/>
        <v>133457.63959999999</v>
      </c>
      <c r="P910" s="24">
        <f>755.77</f>
        <v>755.77</v>
      </c>
      <c r="Q910" s="24">
        <f t="shared" si="1372"/>
        <v>894257.29480000003</v>
      </c>
      <c r="R910" s="24">
        <f t="shared" si="1370"/>
        <v>1114841.0900000001</v>
      </c>
      <c r="S910" s="24">
        <f t="shared" si="1371"/>
        <v>-981383.45040000009</v>
      </c>
    </row>
    <row r="911" spans="1:19" ht="47.25">
      <c r="A911" s="9" t="s">
        <v>23501</v>
      </c>
      <c r="B911" s="10" t="s">
        <v>358</v>
      </c>
      <c r="C911" s="12" t="s">
        <v>22670</v>
      </c>
      <c r="D911" s="43" t="s">
        <v>302</v>
      </c>
      <c r="E911" s="11">
        <v>181.52</v>
      </c>
      <c r="F911" s="13" t="s">
        <v>328</v>
      </c>
      <c r="G911" s="24">
        <f>VLOOKUP(C911,'9. CCU''S GERAIS AMEP'!A:K,11,0)</f>
        <v>593.845842686624</v>
      </c>
      <c r="H911" s="24">
        <f>VLOOKUP(C911,'10. CCU TRANSPORTE'!B:J,9,0)</f>
        <v>11.8</v>
      </c>
      <c r="I911" s="25">
        <f>'3. BDI'!$C$19</f>
        <v>0.24666704095238123</v>
      </c>
      <c r="J911" s="24">
        <f t="shared" si="1364"/>
        <v>740.32</v>
      </c>
      <c r="K911" s="24">
        <f t="shared" si="1365"/>
        <v>14.71</v>
      </c>
      <c r="L911" s="24">
        <f t="shared" si="1366"/>
        <v>134382.88640000002</v>
      </c>
      <c r="M911" s="24">
        <f t="shared" si="1367"/>
        <v>2670.1592000000005</v>
      </c>
      <c r="N911" s="24">
        <f t="shared" si="1368"/>
        <v>137053.04560000001</v>
      </c>
      <c r="P911" s="24">
        <v>0</v>
      </c>
      <c r="Q911" s="24">
        <f t="shared" si="1372"/>
        <v>0</v>
      </c>
      <c r="R911" s="24">
        <f t="shared" si="1370"/>
        <v>0</v>
      </c>
      <c r="S911" s="24">
        <f t="shared" si="1371"/>
        <v>137053.04560000001</v>
      </c>
    </row>
    <row r="912" spans="1:19">
      <c r="A912" s="9" t="s">
        <v>23502</v>
      </c>
      <c r="B912" s="10" t="s">
        <v>358</v>
      </c>
      <c r="C912" s="12" t="s">
        <v>22673</v>
      </c>
      <c r="D912" s="43" t="s">
        <v>305</v>
      </c>
      <c r="E912" s="11">
        <v>62.12</v>
      </c>
      <c r="F912" s="13" t="s">
        <v>328</v>
      </c>
      <c r="G912" s="24">
        <f>VLOOKUP(C912,'9. CCU''S GERAIS AMEP'!A:K,11,0)</f>
        <v>29.588666666666668</v>
      </c>
      <c r="H912" s="24"/>
      <c r="I912" s="25">
        <f>'3. BDI'!$C$19</f>
        <v>0.24666704095238123</v>
      </c>
      <c r="J912" s="24">
        <f t="shared" si="1364"/>
        <v>36.880000000000003</v>
      </c>
      <c r="K912" s="24">
        <f t="shared" si="1365"/>
        <v>0</v>
      </c>
      <c r="L912" s="24">
        <f t="shared" si="1366"/>
        <v>2290.9856</v>
      </c>
      <c r="M912" s="24">
        <f t="shared" si="1367"/>
        <v>0</v>
      </c>
      <c r="N912" s="24">
        <f t="shared" si="1368"/>
        <v>2290.9856</v>
      </c>
      <c r="P912" s="24">
        <f>169.08/6</f>
        <v>28.180000000000003</v>
      </c>
      <c r="Q912" s="24">
        <f t="shared" si="1372"/>
        <v>1750.5416000000002</v>
      </c>
      <c r="R912" s="24">
        <f t="shared" si="1370"/>
        <v>2182.34</v>
      </c>
      <c r="S912" s="24">
        <f t="shared" si="1371"/>
        <v>108.64559999999983</v>
      </c>
    </row>
    <row r="913" spans="1:19">
      <c r="A913" s="9" t="s">
        <v>23503</v>
      </c>
      <c r="B913" s="10" t="s">
        <v>358</v>
      </c>
      <c r="C913" s="12" t="s">
        <v>22674</v>
      </c>
      <c r="D913" s="43" t="s">
        <v>306</v>
      </c>
      <c r="E913" s="11">
        <v>178.45</v>
      </c>
      <c r="F913" s="13" t="s">
        <v>326</v>
      </c>
      <c r="G913" s="24">
        <f>VLOOKUP(C913,'9. CCU''S GERAIS AMEP'!A:K,11,0)</f>
        <v>6.3513377345378732</v>
      </c>
      <c r="H913" s="24">
        <f>VLOOKUP(C913,'10. CCU TRANSPORTE'!B:J,9,0)</f>
        <v>34.11</v>
      </c>
      <c r="I913" s="25">
        <f>'3. BDI'!$C$19</f>
        <v>0.24666704095238123</v>
      </c>
      <c r="J913" s="24">
        <f t="shared" si="1364"/>
        <v>7.91</v>
      </c>
      <c r="K913" s="24">
        <f t="shared" si="1365"/>
        <v>42.52</v>
      </c>
      <c r="L913" s="24">
        <f t="shared" si="1366"/>
        <v>1411.5394999999999</v>
      </c>
      <c r="M913" s="24">
        <f t="shared" si="1367"/>
        <v>7587.6940000000004</v>
      </c>
      <c r="N913" s="24">
        <f t="shared" si="1368"/>
        <v>8999.2335000000003</v>
      </c>
      <c r="P913" s="24">
        <f>8.58/86.34</f>
        <v>9.9374565670604584E-2</v>
      </c>
      <c r="Q913" s="24">
        <f t="shared" si="1372"/>
        <v>17.733391243919385</v>
      </c>
      <c r="R913" s="24">
        <f t="shared" si="1370"/>
        <v>22.1</v>
      </c>
      <c r="S913" s="24">
        <f t="shared" si="1371"/>
        <v>8977.1334999999999</v>
      </c>
    </row>
    <row r="914" spans="1:19">
      <c r="A914" s="9" t="s">
        <v>23504</v>
      </c>
      <c r="B914" s="10" t="s">
        <v>358</v>
      </c>
      <c r="C914" s="10" t="s">
        <v>22675</v>
      </c>
      <c r="D914" s="43" t="s">
        <v>307</v>
      </c>
      <c r="E914" s="11">
        <v>8583.5300000000007</v>
      </c>
      <c r="F914" s="9" t="s">
        <v>326</v>
      </c>
      <c r="G914" s="24">
        <f>VLOOKUP(C914,'9. CCU''S GERAIS AMEP'!A:K,11,0)</f>
        <v>34.122109090909092</v>
      </c>
      <c r="H914" s="24">
        <v>0</v>
      </c>
      <c r="I914" s="25">
        <f>'3. BDI'!$C$19</f>
        <v>0.24666704095238123</v>
      </c>
      <c r="J914" s="24">
        <f t="shared" si="1364"/>
        <v>42.53</v>
      </c>
      <c r="K914" s="24">
        <f t="shared" si="1365"/>
        <v>0</v>
      </c>
      <c r="L914" s="24">
        <f t="shared" si="1366"/>
        <v>365057.53090000001</v>
      </c>
      <c r="M914" s="24">
        <f t="shared" si="1367"/>
        <v>0</v>
      </c>
      <c r="N914" s="24">
        <f t="shared" si="1368"/>
        <v>365057.53090000001</v>
      </c>
      <c r="P914" s="24">
        <f>318.18/11</f>
        <v>28.925454545454546</v>
      </c>
      <c r="Q914" s="24">
        <f t="shared" si="1372"/>
        <v>248282.50685454547</v>
      </c>
      <c r="R914" s="24">
        <f t="shared" si="1370"/>
        <v>309525.61</v>
      </c>
      <c r="S914" s="24">
        <f t="shared" si="1371"/>
        <v>55531.920900000026</v>
      </c>
    </row>
    <row r="915" spans="1:19">
      <c r="A915" s="310" t="s">
        <v>346</v>
      </c>
      <c r="B915" s="311"/>
      <c r="C915" s="312"/>
      <c r="D915" s="313" t="s">
        <v>23655</v>
      </c>
      <c r="E915" s="314"/>
      <c r="F915" s="315" t="s">
        <v>195</v>
      </c>
      <c r="G915" s="314"/>
      <c r="H915" s="314"/>
      <c r="I915" s="316"/>
      <c r="J915" s="314"/>
      <c r="K915" s="314"/>
      <c r="L915" s="314">
        <f t="shared" ref="L915:M915" si="1373">L916+L928+L940+L952+L964</f>
        <v>1443330.0736</v>
      </c>
      <c r="M915" s="314">
        <f t="shared" si="1373"/>
        <v>4138.2</v>
      </c>
      <c r="N915" s="314">
        <f>N916+N928+N940+N952+N964</f>
        <v>1447468.2736</v>
      </c>
      <c r="P915" s="314">
        <f t="shared" ref="P915:S915" si="1374">P916+P928+P940+P952+P964</f>
        <v>10583.25</v>
      </c>
      <c r="Q915" s="314">
        <f t="shared" si="1374"/>
        <v>251455.66879999998</v>
      </c>
      <c r="R915" s="314">
        <f t="shared" si="1374"/>
        <v>288335.76</v>
      </c>
      <c r="S915" s="314">
        <f t="shared" si="1374"/>
        <v>1159132.5136000002</v>
      </c>
    </row>
    <row r="916" spans="1:19">
      <c r="A916" s="28" t="s">
        <v>22991</v>
      </c>
      <c r="B916" s="48"/>
      <c r="C916" s="29"/>
      <c r="D916" s="301" t="s">
        <v>22841</v>
      </c>
      <c r="E916" s="30"/>
      <c r="F916" s="29" t="s">
        <v>195</v>
      </c>
      <c r="G916" s="30"/>
      <c r="H916" s="30"/>
      <c r="I916" s="31"/>
      <c r="J916" s="30"/>
      <c r="K916" s="30"/>
      <c r="L916" s="30">
        <f t="shared" ref="L916:M916" si="1375">SUM(L917:L927)</f>
        <v>373284.08160000003</v>
      </c>
      <c r="M916" s="30">
        <f t="shared" si="1375"/>
        <v>597.74</v>
      </c>
      <c r="N916" s="30">
        <f>SUM(N917:N927)</f>
        <v>373881.82160000002</v>
      </c>
      <c r="P916" s="30">
        <f t="shared" ref="P916:S916" si="1376">SUM(P917:P927)</f>
        <v>2116.65</v>
      </c>
      <c r="Q916" s="30">
        <f t="shared" si="1376"/>
        <v>70862.732799999998</v>
      </c>
      <c r="R916" s="30">
        <f t="shared" si="1376"/>
        <v>81255.920000000013</v>
      </c>
      <c r="S916" s="30">
        <f t="shared" si="1376"/>
        <v>292625.90160000004</v>
      </c>
    </row>
    <row r="917" spans="1:19" s="7" customFormat="1" ht="31.5">
      <c r="A917" s="345"/>
      <c r="B917" s="346"/>
      <c r="C917" s="347"/>
      <c r="D917" s="348" t="s">
        <v>312</v>
      </c>
      <c r="E917" s="349"/>
      <c r="F917" s="347" t="s">
        <v>195</v>
      </c>
      <c r="G917" s="349"/>
      <c r="H917" s="349"/>
      <c r="I917" s="350"/>
      <c r="J917" s="349"/>
      <c r="K917" s="349"/>
      <c r="L917" s="349"/>
      <c r="M917" s="349"/>
      <c r="N917" s="349"/>
      <c r="O917"/>
      <c r="P917" s="349"/>
      <c r="Q917" s="349"/>
      <c r="R917" s="24">
        <f t="shared" ref="R917:R927" si="1377">TRUNC((Q917*I917+Q917),2)</f>
        <v>0</v>
      </c>
      <c r="S917" s="24">
        <f t="shared" ref="S917:S927" si="1378">N917-R917</f>
        <v>0</v>
      </c>
    </row>
    <row r="918" spans="1:19" ht="31.5">
      <c r="A918" s="9" t="s">
        <v>23505</v>
      </c>
      <c r="B918" s="10" t="s">
        <v>358</v>
      </c>
      <c r="C918" s="12" t="s">
        <v>22679</v>
      </c>
      <c r="D918" s="43" t="s">
        <v>313</v>
      </c>
      <c r="E918" s="11">
        <v>38</v>
      </c>
      <c r="F918" s="13" t="s">
        <v>329</v>
      </c>
      <c r="G918" s="24">
        <f>VLOOKUP(C918,'9. CCU''S GERAIS AMEP'!A:K,11,0)</f>
        <v>2521.4999999999995</v>
      </c>
      <c r="H918" s="24">
        <v>0</v>
      </c>
      <c r="I918" s="25">
        <f>'3. BDI'!$C$40</f>
        <v>0.14666704095238123</v>
      </c>
      <c r="J918" s="24">
        <f t="shared" ref="J918" si="1379">TRUNC(G918+(G918*I918),2)</f>
        <v>2891.32</v>
      </c>
      <c r="K918" s="24">
        <f t="shared" ref="K918" si="1380">TRUNC(H918+(H918*I918),2)</f>
        <v>0</v>
      </c>
      <c r="L918" s="24">
        <f t="shared" ref="L918" si="1381">J918*E918</f>
        <v>109870.16</v>
      </c>
      <c r="M918" s="24">
        <f t="shared" ref="M918" si="1382">K918*E918</f>
        <v>0</v>
      </c>
      <c r="N918" s="24">
        <f t="shared" ref="N918" si="1383">L918+M918</f>
        <v>109870.16</v>
      </c>
      <c r="P918" s="24">
        <f>406.14/0.28</f>
        <v>1450.4999999999998</v>
      </c>
      <c r="Q918" s="24">
        <f t="shared" ref="Q918" si="1384">P918*E918</f>
        <v>55118.999999999993</v>
      </c>
      <c r="R918" s="24">
        <f t="shared" si="1377"/>
        <v>63203.14</v>
      </c>
      <c r="S918" s="24">
        <f t="shared" si="1378"/>
        <v>46667.020000000004</v>
      </c>
    </row>
    <row r="919" spans="1:19" s="7" customFormat="1">
      <c r="A919" s="345"/>
      <c r="B919" s="346"/>
      <c r="C919" s="347"/>
      <c r="D919" s="348" t="s">
        <v>22874</v>
      </c>
      <c r="E919" s="349"/>
      <c r="F919" s="347" t="s">
        <v>195</v>
      </c>
      <c r="G919" s="349"/>
      <c r="H919" s="349"/>
      <c r="I919" s="25"/>
      <c r="J919" s="349"/>
      <c r="K919" s="349"/>
      <c r="L919" s="349"/>
      <c r="M919" s="349"/>
      <c r="N919" s="349"/>
      <c r="O919"/>
      <c r="P919" s="349"/>
      <c r="Q919" s="349"/>
      <c r="R919" s="24">
        <f t="shared" si="1377"/>
        <v>0</v>
      </c>
      <c r="S919" s="24">
        <f t="shared" si="1378"/>
        <v>0</v>
      </c>
    </row>
    <row r="920" spans="1:19">
      <c r="A920" s="9" t="s">
        <v>23620</v>
      </c>
      <c r="B920" s="10" t="s">
        <v>358</v>
      </c>
      <c r="C920" s="12" t="s">
        <v>22685</v>
      </c>
      <c r="D920" s="43" t="s">
        <v>320</v>
      </c>
      <c r="E920" s="11">
        <v>50</v>
      </c>
      <c r="F920" s="13" t="s">
        <v>329</v>
      </c>
      <c r="G920" s="24">
        <f>VLOOKUP(C920,'9. CCU''S GERAIS AMEP'!A:K,11,0)</f>
        <v>141.46026000000001</v>
      </c>
      <c r="H920" s="24">
        <v>0</v>
      </c>
      <c r="I920" s="25">
        <f>'3. BDI'!$C$40</f>
        <v>0.14666704095238123</v>
      </c>
      <c r="J920" s="24">
        <f>TRUNC(G920+(G920*I920),2)</f>
        <v>162.19999999999999</v>
      </c>
      <c r="K920" s="24">
        <f>TRUNC(H920+(H920*I920),2)</f>
        <v>0</v>
      </c>
      <c r="L920" s="24">
        <f>J920*E920</f>
        <v>8109.9999999999991</v>
      </c>
      <c r="M920" s="24">
        <f>K920*E920</f>
        <v>0</v>
      </c>
      <c r="N920" s="24">
        <f>L920+M920</f>
        <v>8109.9999999999991</v>
      </c>
      <c r="P920" s="24">
        <v>0</v>
      </c>
      <c r="Q920" s="24">
        <f t="shared" ref="Q920:Q923" si="1385">P920*E920</f>
        <v>0</v>
      </c>
      <c r="R920" s="24">
        <f t="shared" si="1377"/>
        <v>0</v>
      </c>
      <c r="S920" s="24">
        <f t="shared" si="1378"/>
        <v>8109.9999999999991</v>
      </c>
    </row>
    <row r="921" spans="1:19" ht="47.25">
      <c r="A921" s="9" t="s">
        <v>23621</v>
      </c>
      <c r="B921" s="10" t="s">
        <v>358</v>
      </c>
      <c r="C921" s="12" t="s">
        <v>22683</v>
      </c>
      <c r="D921" s="43" t="s">
        <v>318</v>
      </c>
      <c r="E921" s="11">
        <v>63</v>
      </c>
      <c r="F921" s="13" t="s">
        <v>329</v>
      </c>
      <c r="G921" s="24">
        <f>VLOOKUP(C921,'9. CCU''S GERAIS AMEP'!A:K,11,0)</f>
        <v>352.67982333333339</v>
      </c>
      <c r="H921" s="24">
        <v>0</v>
      </c>
      <c r="I921" s="25">
        <f>'3. BDI'!$C$40</f>
        <v>0.14666704095238123</v>
      </c>
      <c r="J921" s="24">
        <f>TRUNC(G921+(G921*I921),2)</f>
        <v>404.4</v>
      </c>
      <c r="K921" s="24">
        <f>TRUNC(H921+(H921*I921),2)</f>
        <v>0</v>
      </c>
      <c r="L921" s="24">
        <f>J921*E921</f>
        <v>25477.199999999997</v>
      </c>
      <c r="M921" s="24">
        <f>K921*E921</f>
        <v>0</v>
      </c>
      <c r="N921" s="24">
        <f>L921+M921</f>
        <v>25477.199999999997</v>
      </c>
      <c r="P921" s="24">
        <f>54.86/1</f>
        <v>54.86</v>
      </c>
      <c r="Q921" s="24">
        <f t="shared" si="1385"/>
        <v>3456.18</v>
      </c>
      <c r="R921" s="24">
        <f t="shared" si="1377"/>
        <v>3963.08</v>
      </c>
      <c r="S921" s="24">
        <f t="shared" si="1378"/>
        <v>21514.119999999995</v>
      </c>
    </row>
    <row r="922" spans="1:19" ht="47.25">
      <c r="A922" s="9" t="s">
        <v>23622</v>
      </c>
      <c r="B922" s="10" t="s">
        <v>358</v>
      </c>
      <c r="C922" s="12" t="s">
        <v>22682</v>
      </c>
      <c r="D922" s="43" t="s">
        <v>317</v>
      </c>
      <c r="E922" s="11">
        <v>138</v>
      </c>
      <c r="F922" s="13" t="s">
        <v>330</v>
      </c>
      <c r="G922" s="24">
        <f>VLOOKUP(C922,'9. CCU''S GERAIS AMEP'!A:K,11,0)</f>
        <v>1142.8080376666667</v>
      </c>
      <c r="H922" s="24">
        <v>0</v>
      </c>
      <c r="I922" s="25">
        <f>'3. BDI'!$C$40</f>
        <v>0.14666704095238123</v>
      </c>
      <c r="J922" s="24">
        <f>TRUNC(G922+(G922*I922),2)</f>
        <v>1310.42</v>
      </c>
      <c r="K922" s="24">
        <f>TRUNC(H922+(H922*I922),2)</f>
        <v>0</v>
      </c>
      <c r="L922" s="24">
        <f>J922*E922</f>
        <v>180837.96000000002</v>
      </c>
      <c r="M922" s="24">
        <f>K922*E922</f>
        <v>0</v>
      </c>
      <c r="N922" s="24">
        <f>L922+M922</f>
        <v>180837.96000000002</v>
      </c>
      <c r="P922" s="24">
        <f>19.41/1</f>
        <v>19.41</v>
      </c>
      <c r="Q922" s="24">
        <f t="shared" si="1385"/>
        <v>2678.58</v>
      </c>
      <c r="R922" s="24">
        <f t="shared" si="1377"/>
        <v>3071.43</v>
      </c>
      <c r="S922" s="24">
        <f t="shared" si="1378"/>
        <v>177766.53000000003</v>
      </c>
    </row>
    <row r="923" spans="1:19">
      <c r="A923" s="9" t="s">
        <v>23623</v>
      </c>
      <c r="B923" s="10" t="s">
        <v>358</v>
      </c>
      <c r="C923" s="12" t="s">
        <v>22681</v>
      </c>
      <c r="D923" s="43" t="s">
        <v>316</v>
      </c>
      <c r="E923" s="11">
        <v>150</v>
      </c>
      <c r="F923" s="13" t="s">
        <v>329</v>
      </c>
      <c r="G923" s="24">
        <f>VLOOKUP(C923,'9. CCU''S GERAIS AMEP'!A:K,11,0)</f>
        <v>19.021000000000001</v>
      </c>
      <c r="H923" s="24">
        <v>0</v>
      </c>
      <c r="I923" s="25">
        <f>'3. BDI'!$C$40</f>
        <v>0.14666704095238123</v>
      </c>
      <c r="J923" s="24">
        <f>TRUNC(G923+(G923*I923),2)</f>
        <v>21.81</v>
      </c>
      <c r="K923" s="24">
        <f>TRUNC(H923+(H923*I923),2)</f>
        <v>0</v>
      </c>
      <c r="L923" s="24">
        <f>J923*E923</f>
        <v>3271.5</v>
      </c>
      <c r="M923" s="24">
        <f>K923*E923</f>
        <v>0</v>
      </c>
      <c r="N923" s="24">
        <f>L923+M923</f>
        <v>3271.5</v>
      </c>
      <c r="P923" s="24">
        <f>8.15</f>
        <v>8.15</v>
      </c>
      <c r="Q923" s="24">
        <f t="shared" si="1385"/>
        <v>1222.5</v>
      </c>
      <c r="R923" s="24">
        <f t="shared" si="1377"/>
        <v>1401.8</v>
      </c>
      <c r="S923" s="24">
        <f t="shared" si="1378"/>
        <v>1869.7</v>
      </c>
    </row>
    <row r="924" spans="1:19" s="7" customFormat="1">
      <c r="A924" s="345"/>
      <c r="B924" s="346"/>
      <c r="C924" s="347"/>
      <c r="D924" s="348" t="s">
        <v>22875</v>
      </c>
      <c r="E924" s="349"/>
      <c r="F924" s="347" t="s">
        <v>195</v>
      </c>
      <c r="G924" s="349"/>
      <c r="H924" s="349"/>
      <c r="I924" s="25"/>
      <c r="J924" s="349"/>
      <c r="K924" s="349"/>
      <c r="L924" s="349"/>
      <c r="M924" s="349"/>
      <c r="N924" s="349"/>
      <c r="O924"/>
      <c r="P924" s="349"/>
      <c r="Q924" s="349"/>
      <c r="R924" s="24">
        <f t="shared" si="1377"/>
        <v>0</v>
      </c>
      <c r="S924" s="24">
        <f t="shared" si="1378"/>
        <v>0</v>
      </c>
    </row>
    <row r="925" spans="1:19" ht="31.5">
      <c r="A925" s="9" t="s">
        <v>23624</v>
      </c>
      <c r="B925" s="10" t="s">
        <v>358</v>
      </c>
      <c r="C925" s="12" t="s">
        <v>22680</v>
      </c>
      <c r="D925" s="43" t="s">
        <v>315</v>
      </c>
      <c r="E925" s="11">
        <v>192.78</v>
      </c>
      <c r="F925" s="13" t="s">
        <v>328</v>
      </c>
      <c r="G925" s="24">
        <f>VLOOKUP(C925,'9. CCU''S GERAIS AMEP'!A:K,11,0)</f>
        <v>11.530429999999999</v>
      </c>
      <c r="H925" s="24">
        <v>0</v>
      </c>
      <c r="I925" s="25">
        <f>'3. BDI'!$C$40</f>
        <v>0.14666704095238123</v>
      </c>
      <c r="J925" s="24">
        <f t="shared" ref="J925:J926" si="1386">TRUNC(G925+(G925*I925),2)</f>
        <v>13.22</v>
      </c>
      <c r="K925" s="24">
        <f t="shared" ref="K925:K926" si="1387">TRUNC(H925+(H925*I925),2)</f>
        <v>0</v>
      </c>
      <c r="L925" s="24">
        <f t="shared" ref="L925:L926" si="1388">J925*E925</f>
        <v>2548.5516000000002</v>
      </c>
      <c r="M925" s="24">
        <f t="shared" ref="M925:M926" si="1389">K925*E925</f>
        <v>0</v>
      </c>
      <c r="N925" s="24">
        <f t="shared" ref="N925:N926" si="1390">L925+M925</f>
        <v>2548.5516000000002</v>
      </c>
      <c r="P925" s="24">
        <f>3.26</f>
        <v>3.26</v>
      </c>
      <c r="Q925" s="24">
        <f t="shared" ref="Q925:Q927" si="1391">P925*E925</f>
        <v>628.46280000000002</v>
      </c>
      <c r="R925" s="24">
        <f t="shared" si="1377"/>
        <v>720.63</v>
      </c>
      <c r="S925" s="24">
        <f t="shared" si="1378"/>
        <v>1827.9216000000001</v>
      </c>
    </row>
    <row r="926" spans="1:19" ht="47.25">
      <c r="A926" s="9" t="s">
        <v>23625</v>
      </c>
      <c r="B926" s="10" t="s">
        <v>358</v>
      </c>
      <c r="C926" s="12" t="s">
        <v>22684</v>
      </c>
      <c r="D926" s="43" t="s">
        <v>319</v>
      </c>
      <c r="E926" s="11">
        <v>13</v>
      </c>
      <c r="F926" s="13" t="s">
        <v>329</v>
      </c>
      <c r="G926" s="24">
        <f>VLOOKUP(C926,'9. CCU''S GERAIS AMEP'!A:K,11,0)</f>
        <v>2838.8766300000002</v>
      </c>
      <c r="H926" s="24">
        <f>VLOOKUP(C926,'10. CCU TRANSPORTE'!B:J,9,0)</f>
        <v>40.1</v>
      </c>
      <c r="I926" s="25">
        <f>'3. BDI'!$C$40</f>
        <v>0.14666704095238123</v>
      </c>
      <c r="J926" s="24">
        <f t="shared" si="1386"/>
        <v>3255.24</v>
      </c>
      <c r="K926" s="24">
        <f t="shared" si="1387"/>
        <v>45.98</v>
      </c>
      <c r="L926" s="24">
        <f t="shared" si="1388"/>
        <v>42318.119999999995</v>
      </c>
      <c r="M926" s="24">
        <f t="shared" si="1389"/>
        <v>597.74</v>
      </c>
      <c r="N926" s="24">
        <f t="shared" si="1390"/>
        <v>42915.859999999993</v>
      </c>
      <c r="P926" s="24">
        <f>572.32/1</f>
        <v>572.32000000000005</v>
      </c>
      <c r="Q926" s="24">
        <f t="shared" si="1391"/>
        <v>7440.1600000000008</v>
      </c>
      <c r="R926" s="24">
        <f t="shared" si="1377"/>
        <v>8531.3799999999992</v>
      </c>
      <c r="S926" s="24">
        <f t="shared" si="1378"/>
        <v>34384.479999999996</v>
      </c>
    </row>
    <row r="927" spans="1:19">
      <c r="A927" s="9" t="s">
        <v>23626</v>
      </c>
      <c r="B927" s="10" t="s">
        <v>358</v>
      </c>
      <c r="C927" s="12" t="s">
        <v>22681</v>
      </c>
      <c r="D927" s="43" t="s">
        <v>316</v>
      </c>
      <c r="E927" s="11">
        <v>39</v>
      </c>
      <c r="F927" s="13" t="s">
        <v>329</v>
      </c>
      <c r="G927" s="24">
        <f>VLOOKUP(C927,'9. CCU''S GERAIS AMEP'!A:K,11,0)</f>
        <v>19.021000000000001</v>
      </c>
      <c r="H927" s="24">
        <v>0</v>
      </c>
      <c r="I927" s="25">
        <f>'3. BDI'!$C$40</f>
        <v>0.14666704095238123</v>
      </c>
      <c r="J927" s="24">
        <f>TRUNC(G927+(G927*I927),2)</f>
        <v>21.81</v>
      </c>
      <c r="K927" s="24">
        <f>TRUNC(H927+(H927*I927),2)</f>
        <v>0</v>
      </c>
      <c r="L927" s="24">
        <f>J927*E927</f>
        <v>850.58999999999992</v>
      </c>
      <c r="M927" s="24">
        <f>K927*E927</f>
        <v>0</v>
      </c>
      <c r="N927" s="24">
        <f>L927+M927</f>
        <v>850.58999999999992</v>
      </c>
      <c r="P927" s="24">
        <f>8.15</f>
        <v>8.15</v>
      </c>
      <c r="Q927" s="24">
        <f t="shared" si="1391"/>
        <v>317.85000000000002</v>
      </c>
      <c r="R927" s="24">
        <f t="shared" si="1377"/>
        <v>364.46</v>
      </c>
      <c r="S927" s="24">
        <f t="shared" si="1378"/>
        <v>486.12999999999994</v>
      </c>
    </row>
    <row r="928" spans="1:19">
      <c r="A928" s="28" t="s">
        <v>22992</v>
      </c>
      <c r="B928" s="48"/>
      <c r="C928" s="29"/>
      <c r="D928" s="301" t="s">
        <v>22842</v>
      </c>
      <c r="E928" s="30"/>
      <c r="F928" s="29" t="s">
        <v>195</v>
      </c>
      <c r="G928" s="30"/>
      <c r="H928" s="30"/>
      <c r="I928" s="30"/>
      <c r="J928" s="30"/>
      <c r="K928" s="30"/>
      <c r="L928" s="30">
        <f t="shared" ref="L928:M928" si="1392">SUM(L929:L939)</f>
        <v>266248.1176</v>
      </c>
      <c r="M928" s="30">
        <f t="shared" si="1392"/>
        <v>367.84</v>
      </c>
      <c r="N928" s="30">
        <f>SUM(N929:N939)</f>
        <v>266615.95760000002</v>
      </c>
      <c r="P928" s="30">
        <f t="shared" ref="P928:S928" si="1393">SUM(P929:P939)</f>
        <v>2116.65</v>
      </c>
      <c r="Q928" s="30">
        <f t="shared" si="1393"/>
        <v>57187.690799999989</v>
      </c>
      <c r="R928" s="30">
        <f t="shared" si="1393"/>
        <v>65575.210000000006</v>
      </c>
      <c r="S928" s="30">
        <f t="shared" si="1393"/>
        <v>201040.74759999997</v>
      </c>
    </row>
    <row r="929" spans="1:19" s="7" customFormat="1" ht="31.5">
      <c r="A929" s="345"/>
      <c r="B929" s="346"/>
      <c r="C929" s="347"/>
      <c r="D929" s="348" t="s">
        <v>312</v>
      </c>
      <c r="E929" s="349"/>
      <c r="F929" s="347" t="s">
        <v>195</v>
      </c>
      <c r="G929" s="349"/>
      <c r="H929" s="349"/>
      <c r="I929" s="25"/>
      <c r="J929" s="349"/>
      <c r="K929" s="349"/>
      <c r="L929" s="349"/>
      <c r="M929" s="349"/>
      <c r="N929" s="349"/>
      <c r="O929"/>
      <c r="P929" s="349"/>
      <c r="Q929" s="349"/>
      <c r="R929" s="24">
        <f t="shared" ref="R929:R939" si="1394">TRUNC((Q929*I929+Q929),2)</f>
        <v>0</v>
      </c>
      <c r="S929" s="24">
        <f t="shared" ref="S929:S939" si="1395">N929-R929</f>
        <v>0</v>
      </c>
    </row>
    <row r="930" spans="1:19" ht="31.5">
      <c r="A930" s="9" t="s">
        <v>23506</v>
      </c>
      <c r="B930" s="10" t="s">
        <v>358</v>
      </c>
      <c r="C930" s="12" t="s">
        <v>22679</v>
      </c>
      <c r="D930" s="43" t="s">
        <v>313</v>
      </c>
      <c r="E930" s="11">
        <v>31</v>
      </c>
      <c r="F930" s="13" t="s">
        <v>329</v>
      </c>
      <c r="G930" s="24">
        <f>VLOOKUP(C930,'9. CCU''S GERAIS AMEP'!A:K,11,0)</f>
        <v>2521.4999999999995</v>
      </c>
      <c r="H930" s="24">
        <v>0</v>
      </c>
      <c r="I930" s="25">
        <f>'3. BDI'!$C$40</f>
        <v>0.14666704095238123</v>
      </c>
      <c r="J930" s="24">
        <f t="shared" ref="J930" si="1396">TRUNC(G930+(G930*I930),2)</f>
        <v>2891.32</v>
      </c>
      <c r="K930" s="24">
        <f t="shared" ref="K930" si="1397">TRUNC(H930+(H930*I930),2)</f>
        <v>0</v>
      </c>
      <c r="L930" s="24">
        <f t="shared" ref="L930" si="1398">J930*E930</f>
        <v>89630.92</v>
      </c>
      <c r="M930" s="24">
        <f t="shared" ref="M930" si="1399">K930*E930</f>
        <v>0</v>
      </c>
      <c r="N930" s="24">
        <f t="shared" ref="N930" si="1400">L930+M930</f>
        <v>89630.92</v>
      </c>
      <c r="P930" s="24">
        <f>406.14/0.28</f>
        <v>1450.4999999999998</v>
      </c>
      <c r="Q930" s="24">
        <f t="shared" ref="Q930" si="1401">P930*E930</f>
        <v>44965.499999999993</v>
      </c>
      <c r="R930" s="24">
        <f t="shared" si="1394"/>
        <v>51560.45</v>
      </c>
      <c r="S930" s="24">
        <f t="shared" si="1395"/>
        <v>38070.47</v>
      </c>
    </row>
    <row r="931" spans="1:19" s="7" customFormat="1">
      <c r="A931" s="345"/>
      <c r="B931" s="346"/>
      <c r="C931" s="347"/>
      <c r="D931" s="348" t="s">
        <v>22874</v>
      </c>
      <c r="E931" s="349"/>
      <c r="F931" s="347" t="s">
        <v>195</v>
      </c>
      <c r="G931" s="349"/>
      <c r="H931" s="349"/>
      <c r="I931" s="25"/>
      <c r="J931" s="349"/>
      <c r="K931" s="349"/>
      <c r="L931" s="349"/>
      <c r="M931" s="349"/>
      <c r="N931" s="349"/>
      <c r="O931"/>
      <c r="P931" s="349"/>
      <c r="Q931" s="349"/>
      <c r="R931" s="24">
        <f t="shared" si="1394"/>
        <v>0</v>
      </c>
      <c r="S931" s="24">
        <f t="shared" si="1395"/>
        <v>0</v>
      </c>
    </row>
    <row r="932" spans="1:19">
      <c r="A932" s="9" t="s">
        <v>23627</v>
      </c>
      <c r="B932" s="10" t="s">
        <v>358</v>
      </c>
      <c r="C932" s="12" t="s">
        <v>22685</v>
      </c>
      <c r="D932" s="43" t="s">
        <v>320</v>
      </c>
      <c r="E932" s="11">
        <v>60</v>
      </c>
      <c r="F932" s="13" t="s">
        <v>329</v>
      </c>
      <c r="G932" s="24">
        <f>VLOOKUP(C932,'9. CCU''S GERAIS AMEP'!A:K,11,0)</f>
        <v>141.46026000000001</v>
      </c>
      <c r="H932" s="24">
        <v>0</v>
      </c>
      <c r="I932" s="25">
        <f>'3. BDI'!$C$40</f>
        <v>0.14666704095238123</v>
      </c>
      <c r="J932" s="24">
        <f>TRUNC(G932+(G932*I932),2)</f>
        <v>162.19999999999999</v>
      </c>
      <c r="K932" s="24">
        <f>TRUNC(H932+(H932*I932),2)</f>
        <v>0</v>
      </c>
      <c r="L932" s="24">
        <f>J932*E932</f>
        <v>9732</v>
      </c>
      <c r="M932" s="24">
        <f>K932*E932</f>
        <v>0</v>
      </c>
      <c r="N932" s="24">
        <f>L932+M932</f>
        <v>9732</v>
      </c>
      <c r="P932" s="24">
        <v>0</v>
      </c>
      <c r="Q932" s="24">
        <f t="shared" ref="Q932:Q935" si="1402">P932*E932</f>
        <v>0</v>
      </c>
      <c r="R932" s="24">
        <f t="shared" si="1394"/>
        <v>0</v>
      </c>
      <c r="S932" s="24">
        <f t="shared" si="1395"/>
        <v>9732</v>
      </c>
    </row>
    <row r="933" spans="1:19" ht="47.25">
      <c r="A933" s="9" t="s">
        <v>23628</v>
      </c>
      <c r="B933" s="10" t="s">
        <v>358</v>
      </c>
      <c r="C933" s="12" t="s">
        <v>22683</v>
      </c>
      <c r="D933" s="43" t="s">
        <v>318</v>
      </c>
      <c r="E933" s="11">
        <v>68</v>
      </c>
      <c r="F933" s="13" t="s">
        <v>329</v>
      </c>
      <c r="G933" s="24">
        <f>VLOOKUP(C933,'9. CCU''S GERAIS AMEP'!A:K,11,0)</f>
        <v>352.67982333333339</v>
      </c>
      <c r="H933" s="24">
        <v>0</v>
      </c>
      <c r="I933" s="25">
        <f>'3. BDI'!$C$40</f>
        <v>0.14666704095238123</v>
      </c>
      <c r="J933" s="24">
        <f>TRUNC(G933+(G933*I933),2)</f>
        <v>404.4</v>
      </c>
      <c r="K933" s="24">
        <f>TRUNC(H933+(H933*I933),2)</f>
        <v>0</v>
      </c>
      <c r="L933" s="24">
        <f>J933*E933</f>
        <v>27499.199999999997</v>
      </c>
      <c r="M933" s="24">
        <f>K933*E933</f>
        <v>0</v>
      </c>
      <c r="N933" s="24">
        <f>L933+M933</f>
        <v>27499.199999999997</v>
      </c>
      <c r="P933" s="24">
        <f>54.86/1</f>
        <v>54.86</v>
      </c>
      <c r="Q933" s="24">
        <f t="shared" si="1402"/>
        <v>3730.48</v>
      </c>
      <c r="R933" s="24">
        <f t="shared" si="1394"/>
        <v>4277.6099999999997</v>
      </c>
      <c r="S933" s="24">
        <f t="shared" si="1395"/>
        <v>23221.589999999997</v>
      </c>
    </row>
    <row r="934" spans="1:19" ht="47.25">
      <c r="A934" s="9" t="s">
        <v>23629</v>
      </c>
      <c r="B934" s="10" t="s">
        <v>358</v>
      </c>
      <c r="C934" s="12" t="s">
        <v>22682</v>
      </c>
      <c r="D934" s="43" t="s">
        <v>317</v>
      </c>
      <c r="E934" s="11">
        <v>81</v>
      </c>
      <c r="F934" s="13" t="s">
        <v>330</v>
      </c>
      <c r="G934" s="24">
        <f>VLOOKUP(C934,'9. CCU''S GERAIS AMEP'!A:K,11,0)</f>
        <v>1142.8080376666667</v>
      </c>
      <c r="H934" s="24">
        <v>0</v>
      </c>
      <c r="I934" s="25">
        <f>'3. BDI'!$C$40</f>
        <v>0.14666704095238123</v>
      </c>
      <c r="J934" s="24">
        <f>TRUNC(G934+(G934*I934),2)</f>
        <v>1310.42</v>
      </c>
      <c r="K934" s="24">
        <f>TRUNC(H934+(H934*I934),2)</f>
        <v>0</v>
      </c>
      <c r="L934" s="24">
        <f>J934*E934</f>
        <v>106144.02</v>
      </c>
      <c r="M934" s="24">
        <f>K934*E934</f>
        <v>0</v>
      </c>
      <c r="N934" s="24">
        <f>L934+M934</f>
        <v>106144.02</v>
      </c>
      <c r="P934" s="24">
        <f>19.41/1</f>
        <v>19.41</v>
      </c>
      <c r="Q934" s="24">
        <f t="shared" si="1402"/>
        <v>1572.21</v>
      </c>
      <c r="R934" s="24">
        <f t="shared" si="1394"/>
        <v>1802.8</v>
      </c>
      <c r="S934" s="24">
        <f t="shared" si="1395"/>
        <v>104341.22</v>
      </c>
    </row>
    <row r="935" spans="1:19">
      <c r="A935" s="9" t="s">
        <v>23630</v>
      </c>
      <c r="B935" s="10" t="s">
        <v>358</v>
      </c>
      <c r="C935" s="12" t="s">
        <v>22681</v>
      </c>
      <c r="D935" s="43" t="s">
        <v>316</v>
      </c>
      <c r="E935" s="11">
        <v>180</v>
      </c>
      <c r="F935" s="13" t="s">
        <v>329</v>
      </c>
      <c r="G935" s="24">
        <f>VLOOKUP(C935,'9. CCU''S GERAIS AMEP'!A:K,11,0)</f>
        <v>19.021000000000001</v>
      </c>
      <c r="H935" s="24">
        <v>0</v>
      </c>
      <c r="I935" s="25">
        <f>'3. BDI'!$C$40</f>
        <v>0.14666704095238123</v>
      </c>
      <c r="J935" s="24">
        <f>TRUNC(G935+(G935*I935),2)</f>
        <v>21.81</v>
      </c>
      <c r="K935" s="24">
        <f>TRUNC(H935+(H935*I935),2)</f>
        <v>0</v>
      </c>
      <c r="L935" s="24">
        <f>J935*E935</f>
        <v>3925.7999999999997</v>
      </c>
      <c r="M935" s="24">
        <f>K935*E935</f>
        <v>0</v>
      </c>
      <c r="N935" s="24">
        <f>L935+M935</f>
        <v>3925.7999999999997</v>
      </c>
      <c r="P935" s="24">
        <f>8.15</f>
        <v>8.15</v>
      </c>
      <c r="Q935" s="24">
        <f t="shared" si="1402"/>
        <v>1467</v>
      </c>
      <c r="R935" s="24">
        <f t="shared" si="1394"/>
        <v>1682.16</v>
      </c>
      <c r="S935" s="24">
        <f t="shared" si="1395"/>
        <v>2243.6399999999994</v>
      </c>
    </row>
    <row r="936" spans="1:19" s="7" customFormat="1">
      <c r="A936" s="345"/>
      <c r="B936" s="346"/>
      <c r="C936" s="347"/>
      <c r="D936" s="348" t="s">
        <v>22875</v>
      </c>
      <c r="E936" s="349"/>
      <c r="F936" s="347" t="s">
        <v>195</v>
      </c>
      <c r="G936" s="349"/>
      <c r="H936" s="349"/>
      <c r="I936" s="25"/>
      <c r="J936" s="349"/>
      <c r="K936" s="349"/>
      <c r="L936" s="349"/>
      <c r="M936" s="349"/>
      <c r="N936" s="349"/>
      <c r="O936"/>
      <c r="P936" s="349"/>
      <c r="Q936" s="349"/>
      <c r="R936" s="24">
        <f t="shared" si="1394"/>
        <v>0</v>
      </c>
      <c r="S936" s="24">
        <f t="shared" si="1395"/>
        <v>0</v>
      </c>
    </row>
    <row r="937" spans="1:19" ht="31.5">
      <c r="A937" s="9" t="s">
        <v>23631</v>
      </c>
      <c r="B937" s="10" t="s">
        <v>358</v>
      </c>
      <c r="C937" s="12" t="s">
        <v>22680</v>
      </c>
      <c r="D937" s="43" t="s">
        <v>315</v>
      </c>
      <c r="E937" s="11">
        <v>208.08</v>
      </c>
      <c r="F937" s="13" t="s">
        <v>328</v>
      </c>
      <c r="G937" s="24">
        <f>VLOOKUP(C937,'9. CCU''S GERAIS AMEP'!A:K,11,0)</f>
        <v>11.530429999999999</v>
      </c>
      <c r="H937" s="24">
        <v>0</v>
      </c>
      <c r="I937" s="25">
        <f>'3. BDI'!$C$40</f>
        <v>0.14666704095238123</v>
      </c>
      <c r="J937" s="24">
        <f t="shared" ref="J937:J938" si="1403">TRUNC(G937+(G937*I937),2)</f>
        <v>13.22</v>
      </c>
      <c r="K937" s="24">
        <f t="shared" ref="K937:K938" si="1404">TRUNC(H937+(H937*I937),2)</f>
        <v>0</v>
      </c>
      <c r="L937" s="24">
        <f t="shared" ref="L937:L938" si="1405">J937*E937</f>
        <v>2750.8176000000003</v>
      </c>
      <c r="M937" s="24">
        <f t="shared" ref="M937:M938" si="1406">K937*E937</f>
        <v>0</v>
      </c>
      <c r="N937" s="24">
        <f t="shared" ref="N937:N938" si="1407">L937+M937</f>
        <v>2750.8176000000003</v>
      </c>
      <c r="P937" s="24">
        <f>3.26</f>
        <v>3.26</v>
      </c>
      <c r="Q937" s="24">
        <f t="shared" ref="Q937:Q939" si="1408">P937*E937</f>
        <v>678.34079999999994</v>
      </c>
      <c r="R937" s="24">
        <f t="shared" si="1394"/>
        <v>777.83</v>
      </c>
      <c r="S937" s="24">
        <f t="shared" si="1395"/>
        <v>1972.9876000000004</v>
      </c>
    </row>
    <row r="938" spans="1:19" ht="47.25">
      <c r="A938" s="9" t="s">
        <v>23632</v>
      </c>
      <c r="B938" s="10" t="s">
        <v>358</v>
      </c>
      <c r="C938" s="12" t="s">
        <v>22684</v>
      </c>
      <c r="D938" s="43" t="s">
        <v>319</v>
      </c>
      <c r="E938" s="11">
        <v>8</v>
      </c>
      <c r="F938" s="13" t="s">
        <v>329</v>
      </c>
      <c r="G938" s="24">
        <f>VLOOKUP(C938,'9. CCU''S GERAIS AMEP'!A:K,11,0)</f>
        <v>2838.8766300000002</v>
      </c>
      <c r="H938" s="24">
        <f>VLOOKUP(C938,'10. CCU TRANSPORTE'!B:J,9,0)</f>
        <v>40.1</v>
      </c>
      <c r="I938" s="25">
        <f>'3. BDI'!$C$40</f>
        <v>0.14666704095238123</v>
      </c>
      <c r="J938" s="24">
        <f t="shared" si="1403"/>
        <v>3255.24</v>
      </c>
      <c r="K938" s="24">
        <f t="shared" si="1404"/>
        <v>45.98</v>
      </c>
      <c r="L938" s="24">
        <f t="shared" si="1405"/>
        <v>26041.919999999998</v>
      </c>
      <c r="M938" s="24">
        <f t="shared" si="1406"/>
        <v>367.84</v>
      </c>
      <c r="N938" s="24">
        <f t="shared" si="1407"/>
        <v>26409.759999999998</v>
      </c>
      <c r="P938" s="24">
        <f>572.32/1</f>
        <v>572.32000000000005</v>
      </c>
      <c r="Q938" s="24">
        <f t="shared" si="1408"/>
        <v>4578.5600000000004</v>
      </c>
      <c r="R938" s="24">
        <f t="shared" si="1394"/>
        <v>5250.08</v>
      </c>
      <c r="S938" s="24">
        <f t="shared" si="1395"/>
        <v>21159.68</v>
      </c>
    </row>
    <row r="939" spans="1:19">
      <c r="A939" s="9" t="s">
        <v>23633</v>
      </c>
      <c r="B939" s="10" t="s">
        <v>358</v>
      </c>
      <c r="C939" s="12" t="s">
        <v>22681</v>
      </c>
      <c r="D939" s="43" t="s">
        <v>316</v>
      </c>
      <c r="E939" s="11">
        <v>24</v>
      </c>
      <c r="F939" s="13" t="s">
        <v>329</v>
      </c>
      <c r="G939" s="24">
        <f>VLOOKUP(C939,'9. CCU''S GERAIS AMEP'!A:K,11,0)</f>
        <v>19.021000000000001</v>
      </c>
      <c r="H939" s="24">
        <v>0</v>
      </c>
      <c r="I939" s="25">
        <f>'3. BDI'!$C$40</f>
        <v>0.14666704095238123</v>
      </c>
      <c r="J939" s="24">
        <f>TRUNC(G939+(G939*I939),2)</f>
        <v>21.81</v>
      </c>
      <c r="K939" s="24">
        <f>TRUNC(H939+(H939*I939),2)</f>
        <v>0</v>
      </c>
      <c r="L939" s="24">
        <f>J939*E939</f>
        <v>523.43999999999994</v>
      </c>
      <c r="M939" s="24">
        <f>K939*E939</f>
        <v>0</v>
      </c>
      <c r="N939" s="24">
        <f>L939+M939</f>
        <v>523.43999999999994</v>
      </c>
      <c r="P939" s="24">
        <f>8.15</f>
        <v>8.15</v>
      </c>
      <c r="Q939" s="24">
        <f t="shared" si="1408"/>
        <v>195.60000000000002</v>
      </c>
      <c r="R939" s="24">
        <f t="shared" si="1394"/>
        <v>224.28</v>
      </c>
      <c r="S939" s="24">
        <f t="shared" si="1395"/>
        <v>299.15999999999997</v>
      </c>
    </row>
    <row r="940" spans="1:19">
      <c r="A940" s="28" t="s">
        <v>22993</v>
      </c>
      <c r="B940" s="48"/>
      <c r="C940" s="29"/>
      <c r="D940" s="301" t="s">
        <v>22843</v>
      </c>
      <c r="E940" s="30"/>
      <c r="F940" s="29" t="s">
        <v>195</v>
      </c>
      <c r="G940" s="30"/>
      <c r="H940" s="30"/>
      <c r="I940" s="30"/>
      <c r="J940" s="30"/>
      <c r="K940" s="30"/>
      <c r="L940" s="30">
        <f t="shared" ref="L940:M940" si="1409">SUM(L941:L951)</f>
        <v>184134.7512</v>
      </c>
      <c r="M940" s="30">
        <f t="shared" si="1409"/>
        <v>1057.54</v>
      </c>
      <c r="N940" s="30">
        <f>SUM(N941:N951)</f>
        <v>185192.29120000001</v>
      </c>
      <c r="P940" s="30">
        <f t="shared" ref="P940:S940" si="1410">SUM(P941:P951)</f>
        <v>2116.65</v>
      </c>
      <c r="Q940" s="30">
        <f t="shared" si="1410"/>
        <v>27928.659599999999</v>
      </c>
      <c r="R940" s="30">
        <f t="shared" si="1410"/>
        <v>32024.839999999997</v>
      </c>
      <c r="S940" s="30">
        <f t="shared" si="1410"/>
        <v>153167.45120000001</v>
      </c>
    </row>
    <row r="941" spans="1:19" s="7" customFormat="1" ht="31.5">
      <c r="A941" s="345"/>
      <c r="B941" s="346"/>
      <c r="C941" s="347"/>
      <c r="D941" s="348" t="s">
        <v>312</v>
      </c>
      <c r="E941" s="349"/>
      <c r="F941" s="347" t="s">
        <v>195</v>
      </c>
      <c r="G941" s="349"/>
      <c r="H941" s="349"/>
      <c r="I941" s="25"/>
      <c r="J941" s="349"/>
      <c r="K941" s="349"/>
      <c r="L941" s="349"/>
      <c r="M941" s="349"/>
      <c r="N941" s="349"/>
      <c r="O941"/>
      <c r="P941" s="349"/>
      <c r="Q941" s="349"/>
      <c r="R941" s="24">
        <f t="shared" ref="R941:R951" si="1411">TRUNC((Q941*I941+Q941),2)</f>
        <v>0</v>
      </c>
      <c r="S941" s="24">
        <f t="shared" ref="S941:S951" si="1412">N941-R941</f>
        <v>0</v>
      </c>
    </row>
    <row r="942" spans="1:19" ht="31.5">
      <c r="A942" s="9" t="s">
        <v>23508</v>
      </c>
      <c r="B942" s="10" t="s">
        <v>358</v>
      </c>
      <c r="C942" s="12" t="s">
        <v>22679</v>
      </c>
      <c r="D942" s="43" t="s">
        <v>313</v>
      </c>
      <c r="E942" s="11">
        <v>7</v>
      </c>
      <c r="F942" s="13" t="s">
        <v>329</v>
      </c>
      <c r="G942" s="24">
        <f>VLOOKUP(C942,'9. CCU''S GERAIS AMEP'!A:K,11,0)</f>
        <v>2521.4999999999995</v>
      </c>
      <c r="H942" s="24">
        <v>0</v>
      </c>
      <c r="I942" s="25">
        <f>'3. BDI'!$C$40</f>
        <v>0.14666704095238123</v>
      </c>
      <c r="J942" s="24">
        <f t="shared" ref="J942" si="1413">TRUNC(G942+(G942*I942),2)</f>
        <v>2891.32</v>
      </c>
      <c r="K942" s="24">
        <f t="shared" ref="K942" si="1414">TRUNC(H942+(H942*I942),2)</f>
        <v>0</v>
      </c>
      <c r="L942" s="24">
        <f t="shared" ref="L942" si="1415">J942*E942</f>
        <v>20239.240000000002</v>
      </c>
      <c r="M942" s="24">
        <f t="shared" ref="M942" si="1416">K942*E942</f>
        <v>0</v>
      </c>
      <c r="N942" s="24">
        <f t="shared" ref="N942" si="1417">L942+M942</f>
        <v>20239.240000000002</v>
      </c>
      <c r="P942" s="24">
        <f>406.14/0.28</f>
        <v>1450.4999999999998</v>
      </c>
      <c r="Q942" s="24">
        <f t="shared" ref="Q942" si="1418">P942*E942</f>
        <v>10153.499999999998</v>
      </c>
      <c r="R942" s="24">
        <f t="shared" si="1411"/>
        <v>11642.68</v>
      </c>
      <c r="S942" s="24">
        <f t="shared" si="1412"/>
        <v>8596.5600000000013</v>
      </c>
    </row>
    <row r="943" spans="1:19" s="7" customFormat="1">
      <c r="A943" s="345"/>
      <c r="B943" s="346"/>
      <c r="C943" s="347"/>
      <c r="D943" s="348" t="s">
        <v>22874</v>
      </c>
      <c r="E943" s="349"/>
      <c r="F943" s="347" t="s">
        <v>195</v>
      </c>
      <c r="G943" s="349"/>
      <c r="H943" s="349"/>
      <c r="I943" s="25"/>
      <c r="J943" s="349"/>
      <c r="K943" s="349"/>
      <c r="L943" s="349"/>
      <c r="M943" s="349"/>
      <c r="N943" s="349"/>
      <c r="O943"/>
      <c r="P943" s="349"/>
      <c r="Q943" s="349"/>
      <c r="R943" s="24">
        <f t="shared" si="1411"/>
        <v>0</v>
      </c>
      <c r="S943" s="24">
        <f t="shared" si="1412"/>
        <v>0</v>
      </c>
    </row>
    <row r="944" spans="1:19">
      <c r="A944" s="9" t="s">
        <v>23634</v>
      </c>
      <c r="B944" s="10" t="s">
        <v>358</v>
      </c>
      <c r="C944" s="12" t="s">
        <v>22685</v>
      </c>
      <c r="D944" s="43" t="s">
        <v>320</v>
      </c>
      <c r="E944" s="11">
        <v>24</v>
      </c>
      <c r="F944" s="13" t="s">
        <v>329</v>
      </c>
      <c r="G944" s="24">
        <f>VLOOKUP(C944,'9. CCU''S GERAIS AMEP'!A:K,11,0)</f>
        <v>141.46026000000001</v>
      </c>
      <c r="H944" s="24">
        <v>0</v>
      </c>
      <c r="I944" s="25">
        <f>'3. BDI'!$C$40</f>
        <v>0.14666704095238123</v>
      </c>
      <c r="J944" s="24">
        <f>TRUNC(G944+(G944*I944),2)</f>
        <v>162.19999999999999</v>
      </c>
      <c r="K944" s="24">
        <f>TRUNC(H944+(H944*I944),2)</f>
        <v>0</v>
      </c>
      <c r="L944" s="24">
        <f>J944*E944</f>
        <v>3892.7999999999997</v>
      </c>
      <c r="M944" s="24">
        <f>K944*E944</f>
        <v>0</v>
      </c>
      <c r="N944" s="24">
        <f>L944+M944</f>
        <v>3892.7999999999997</v>
      </c>
      <c r="P944" s="24">
        <v>0</v>
      </c>
      <c r="Q944" s="24">
        <f t="shared" ref="Q944:Q947" si="1419">P944*E944</f>
        <v>0</v>
      </c>
      <c r="R944" s="24">
        <f t="shared" si="1411"/>
        <v>0</v>
      </c>
      <c r="S944" s="24">
        <f t="shared" si="1412"/>
        <v>3892.7999999999997</v>
      </c>
    </row>
    <row r="945" spans="1:19" ht="47.25">
      <c r="A945" s="9" t="s">
        <v>23635</v>
      </c>
      <c r="B945" s="10" t="s">
        <v>358</v>
      </c>
      <c r="C945" s="12" t="s">
        <v>22683</v>
      </c>
      <c r="D945" s="43" t="s">
        <v>318</v>
      </c>
      <c r="E945" s="11">
        <v>41</v>
      </c>
      <c r="F945" s="13" t="s">
        <v>329</v>
      </c>
      <c r="G945" s="24">
        <f>VLOOKUP(C945,'9. CCU''S GERAIS AMEP'!A:K,11,0)</f>
        <v>352.67982333333339</v>
      </c>
      <c r="H945" s="24">
        <v>0</v>
      </c>
      <c r="I945" s="25">
        <f>'3. BDI'!$C$40</f>
        <v>0.14666704095238123</v>
      </c>
      <c r="J945" s="24">
        <f>TRUNC(G945+(G945*I945),2)</f>
        <v>404.4</v>
      </c>
      <c r="K945" s="24">
        <f>TRUNC(H945+(H945*I945),2)</f>
        <v>0</v>
      </c>
      <c r="L945" s="24">
        <f>J945*E945</f>
        <v>16580.399999999998</v>
      </c>
      <c r="M945" s="24">
        <f>K945*E945</f>
        <v>0</v>
      </c>
      <c r="N945" s="24">
        <f>L945+M945</f>
        <v>16580.399999999998</v>
      </c>
      <c r="P945" s="24">
        <f>54.86/1</f>
        <v>54.86</v>
      </c>
      <c r="Q945" s="24">
        <f t="shared" si="1419"/>
        <v>2249.2599999999998</v>
      </c>
      <c r="R945" s="24">
        <f t="shared" si="1411"/>
        <v>2579.15</v>
      </c>
      <c r="S945" s="24">
        <f t="shared" si="1412"/>
        <v>14001.249999999998</v>
      </c>
    </row>
    <row r="946" spans="1:19" ht="47.25">
      <c r="A946" s="9" t="s">
        <v>23636</v>
      </c>
      <c r="B946" s="10" t="s">
        <v>358</v>
      </c>
      <c r="C946" s="12" t="s">
        <v>22682</v>
      </c>
      <c r="D946" s="43" t="s">
        <v>317</v>
      </c>
      <c r="E946" s="11">
        <v>49</v>
      </c>
      <c r="F946" s="13" t="s">
        <v>330</v>
      </c>
      <c r="G946" s="24">
        <f>VLOOKUP(C946,'9. CCU''S GERAIS AMEP'!A:K,11,0)</f>
        <v>1142.8080376666667</v>
      </c>
      <c r="H946" s="24">
        <v>0</v>
      </c>
      <c r="I946" s="25">
        <f>'3. BDI'!$C$40</f>
        <v>0.14666704095238123</v>
      </c>
      <c r="J946" s="24">
        <f>TRUNC(G946+(G946*I946),2)</f>
        <v>1310.42</v>
      </c>
      <c r="K946" s="24">
        <f>TRUNC(H946+(H946*I946),2)</f>
        <v>0</v>
      </c>
      <c r="L946" s="24">
        <f>J946*E946</f>
        <v>64210.58</v>
      </c>
      <c r="M946" s="24">
        <f>K946*E946</f>
        <v>0</v>
      </c>
      <c r="N946" s="24">
        <f>L946+M946</f>
        <v>64210.58</v>
      </c>
      <c r="P946" s="24">
        <f>19.41/1</f>
        <v>19.41</v>
      </c>
      <c r="Q946" s="24">
        <f t="shared" si="1419"/>
        <v>951.09</v>
      </c>
      <c r="R946" s="24">
        <f t="shared" si="1411"/>
        <v>1090.58</v>
      </c>
      <c r="S946" s="24">
        <f t="shared" si="1412"/>
        <v>63120</v>
      </c>
    </row>
    <row r="947" spans="1:19">
      <c r="A947" s="9" t="s">
        <v>23637</v>
      </c>
      <c r="B947" s="10" t="s">
        <v>358</v>
      </c>
      <c r="C947" s="12" t="s">
        <v>22681</v>
      </c>
      <c r="D947" s="43" t="s">
        <v>316</v>
      </c>
      <c r="E947" s="11">
        <v>54</v>
      </c>
      <c r="F947" s="13" t="s">
        <v>329</v>
      </c>
      <c r="G947" s="24">
        <f>VLOOKUP(C947,'9. CCU''S GERAIS AMEP'!A:K,11,0)</f>
        <v>19.021000000000001</v>
      </c>
      <c r="H947" s="24">
        <v>0</v>
      </c>
      <c r="I947" s="25">
        <f>'3. BDI'!$C$40</f>
        <v>0.14666704095238123</v>
      </c>
      <c r="J947" s="24">
        <f>TRUNC(G947+(G947*I947),2)</f>
        <v>21.81</v>
      </c>
      <c r="K947" s="24">
        <f>TRUNC(H947+(H947*I947),2)</f>
        <v>0</v>
      </c>
      <c r="L947" s="24">
        <f>J947*E947</f>
        <v>1177.74</v>
      </c>
      <c r="M947" s="24">
        <f>K947*E947</f>
        <v>0</v>
      </c>
      <c r="N947" s="24">
        <f>L947+M947</f>
        <v>1177.74</v>
      </c>
      <c r="P947" s="24">
        <f>8.15</f>
        <v>8.15</v>
      </c>
      <c r="Q947" s="24">
        <f t="shared" si="1419"/>
        <v>440.1</v>
      </c>
      <c r="R947" s="24">
        <f t="shared" si="1411"/>
        <v>504.64</v>
      </c>
      <c r="S947" s="24">
        <f t="shared" si="1412"/>
        <v>673.1</v>
      </c>
    </row>
    <row r="948" spans="1:19" s="7" customFormat="1">
      <c r="A948" s="345"/>
      <c r="B948" s="346"/>
      <c r="C948" s="347"/>
      <c r="D948" s="348" t="s">
        <v>22875</v>
      </c>
      <c r="E948" s="349"/>
      <c r="F948" s="347" t="s">
        <v>195</v>
      </c>
      <c r="G948" s="349"/>
      <c r="H948" s="349"/>
      <c r="I948" s="25"/>
      <c r="J948" s="349"/>
      <c r="K948" s="349"/>
      <c r="L948" s="349"/>
      <c r="M948" s="349"/>
      <c r="N948" s="349"/>
      <c r="O948"/>
      <c r="P948" s="349"/>
      <c r="Q948" s="349"/>
      <c r="R948" s="24">
        <f t="shared" si="1411"/>
        <v>0</v>
      </c>
      <c r="S948" s="24">
        <f t="shared" si="1412"/>
        <v>0</v>
      </c>
    </row>
    <row r="949" spans="1:19" ht="31.5">
      <c r="A949" s="9" t="s">
        <v>23638</v>
      </c>
      <c r="B949" s="10" t="s">
        <v>358</v>
      </c>
      <c r="C949" s="12" t="s">
        <v>22680</v>
      </c>
      <c r="D949" s="43" t="s">
        <v>315</v>
      </c>
      <c r="E949" s="11">
        <v>125.46</v>
      </c>
      <c r="F949" s="13" t="s">
        <v>328</v>
      </c>
      <c r="G949" s="24">
        <f>VLOOKUP(C949,'9. CCU''S GERAIS AMEP'!A:K,11,0)</f>
        <v>11.530429999999999</v>
      </c>
      <c r="H949" s="24">
        <v>0</v>
      </c>
      <c r="I949" s="25">
        <f>'3. BDI'!$C$40</f>
        <v>0.14666704095238123</v>
      </c>
      <c r="J949" s="24">
        <f t="shared" ref="J949:J950" si="1420">TRUNC(G949+(G949*I949),2)</f>
        <v>13.22</v>
      </c>
      <c r="K949" s="24">
        <f t="shared" ref="K949:K950" si="1421">TRUNC(H949+(H949*I949),2)</f>
        <v>0</v>
      </c>
      <c r="L949" s="24">
        <f t="shared" ref="L949:L950" si="1422">J949*E949</f>
        <v>1658.5812000000001</v>
      </c>
      <c r="M949" s="24">
        <f t="shared" ref="M949:M950" si="1423">K949*E949</f>
        <v>0</v>
      </c>
      <c r="N949" s="24">
        <f t="shared" ref="N949:N950" si="1424">L949+M949</f>
        <v>1658.5812000000001</v>
      </c>
      <c r="P949" s="24">
        <f>3.26</f>
        <v>3.26</v>
      </c>
      <c r="Q949" s="24">
        <f t="shared" ref="Q949:Q951" si="1425">P949*E949</f>
        <v>408.99959999999993</v>
      </c>
      <c r="R949" s="24">
        <f t="shared" si="1411"/>
        <v>468.98</v>
      </c>
      <c r="S949" s="24">
        <f t="shared" si="1412"/>
        <v>1189.6012000000001</v>
      </c>
    </row>
    <row r="950" spans="1:19" ht="47.25">
      <c r="A950" s="9" t="s">
        <v>23639</v>
      </c>
      <c r="B950" s="10" t="s">
        <v>358</v>
      </c>
      <c r="C950" s="12" t="s">
        <v>22684</v>
      </c>
      <c r="D950" s="43" t="s">
        <v>319</v>
      </c>
      <c r="E950" s="11">
        <v>23</v>
      </c>
      <c r="F950" s="13" t="s">
        <v>329</v>
      </c>
      <c r="G950" s="24">
        <f>VLOOKUP(C950,'9. CCU''S GERAIS AMEP'!A:K,11,0)</f>
        <v>2838.8766300000002</v>
      </c>
      <c r="H950" s="24">
        <f>VLOOKUP(C950,'10. CCU TRANSPORTE'!B:J,9,0)</f>
        <v>40.1</v>
      </c>
      <c r="I950" s="25">
        <f>'3. BDI'!$C$40</f>
        <v>0.14666704095238123</v>
      </c>
      <c r="J950" s="24">
        <f t="shared" si="1420"/>
        <v>3255.24</v>
      </c>
      <c r="K950" s="24">
        <f t="shared" si="1421"/>
        <v>45.98</v>
      </c>
      <c r="L950" s="24">
        <f t="shared" si="1422"/>
        <v>74870.51999999999</v>
      </c>
      <c r="M950" s="24">
        <f t="shared" si="1423"/>
        <v>1057.54</v>
      </c>
      <c r="N950" s="24">
        <f t="shared" si="1424"/>
        <v>75928.059999999983</v>
      </c>
      <c r="P950" s="24">
        <f>572.32/1</f>
        <v>572.32000000000005</v>
      </c>
      <c r="Q950" s="24">
        <f t="shared" si="1425"/>
        <v>13163.36</v>
      </c>
      <c r="R950" s="24">
        <f t="shared" si="1411"/>
        <v>15093.99</v>
      </c>
      <c r="S950" s="24">
        <f t="shared" si="1412"/>
        <v>60834.069999999985</v>
      </c>
    </row>
    <row r="951" spans="1:19">
      <c r="A951" s="9" t="s">
        <v>23640</v>
      </c>
      <c r="B951" s="10" t="s">
        <v>358</v>
      </c>
      <c r="C951" s="12" t="s">
        <v>22681</v>
      </c>
      <c r="D951" s="43" t="s">
        <v>316</v>
      </c>
      <c r="E951" s="11">
        <v>69</v>
      </c>
      <c r="F951" s="13" t="s">
        <v>329</v>
      </c>
      <c r="G951" s="24">
        <f>VLOOKUP(C951,'9. CCU''S GERAIS AMEP'!A:K,11,0)</f>
        <v>19.021000000000001</v>
      </c>
      <c r="H951" s="24">
        <v>0</v>
      </c>
      <c r="I951" s="25">
        <f>'3. BDI'!$C$40</f>
        <v>0.14666704095238123</v>
      </c>
      <c r="J951" s="24">
        <f>TRUNC(G951+(G951*I951),2)</f>
        <v>21.81</v>
      </c>
      <c r="K951" s="24">
        <f>TRUNC(H951+(H951*I951),2)</f>
        <v>0</v>
      </c>
      <c r="L951" s="24">
        <f>J951*E951</f>
        <v>1504.8899999999999</v>
      </c>
      <c r="M951" s="24">
        <f>K951*E951</f>
        <v>0</v>
      </c>
      <c r="N951" s="24">
        <f>L951+M951</f>
        <v>1504.8899999999999</v>
      </c>
      <c r="P951" s="24">
        <f>8.15</f>
        <v>8.15</v>
      </c>
      <c r="Q951" s="24">
        <f t="shared" si="1425"/>
        <v>562.35</v>
      </c>
      <c r="R951" s="24">
        <f t="shared" si="1411"/>
        <v>644.82000000000005</v>
      </c>
      <c r="S951" s="24">
        <f t="shared" si="1412"/>
        <v>860.06999999999982</v>
      </c>
    </row>
    <row r="952" spans="1:19">
      <c r="A952" s="28" t="s">
        <v>22994</v>
      </c>
      <c r="B952" s="48"/>
      <c r="C952" s="29"/>
      <c r="D952" s="301" t="s">
        <v>22844</v>
      </c>
      <c r="E952" s="30"/>
      <c r="F952" s="29" t="s">
        <v>195</v>
      </c>
      <c r="G952" s="30"/>
      <c r="H952" s="30"/>
      <c r="I952" s="30"/>
      <c r="J952" s="30"/>
      <c r="K952" s="30"/>
      <c r="L952" s="30">
        <f t="shared" ref="L952:M952" si="1426">SUM(L953:L963)</f>
        <v>367358.98160000006</v>
      </c>
      <c r="M952" s="30">
        <f t="shared" si="1426"/>
        <v>1379.3999999999999</v>
      </c>
      <c r="N952" s="30">
        <f>SUM(N953:N963)</f>
        <v>368738.38160000002</v>
      </c>
      <c r="P952" s="30">
        <f t="shared" ref="P952:S952" si="1427">SUM(P953:P963)</f>
        <v>2116.65</v>
      </c>
      <c r="Q952" s="30">
        <f t="shared" si="1427"/>
        <v>64816.602799999993</v>
      </c>
      <c r="R952" s="30">
        <f t="shared" si="1427"/>
        <v>74323.03</v>
      </c>
      <c r="S952" s="30">
        <f t="shared" si="1427"/>
        <v>294415.35159999999</v>
      </c>
    </row>
    <row r="953" spans="1:19" s="7" customFormat="1" ht="31.5">
      <c r="A953" s="345"/>
      <c r="B953" s="346"/>
      <c r="C953" s="347"/>
      <c r="D953" s="348" t="s">
        <v>312</v>
      </c>
      <c r="E953" s="349"/>
      <c r="F953" s="347" t="s">
        <v>195</v>
      </c>
      <c r="G953" s="349"/>
      <c r="H953" s="349"/>
      <c r="I953" s="25"/>
      <c r="J953" s="349"/>
      <c r="K953" s="349"/>
      <c r="L953" s="349"/>
      <c r="M953" s="349"/>
      <c r="N953" s="349"/>
      <c r="O953"/>
      <c r="P953" s="349"/>
      <c r="Q953" s="349"/>
      <c r="R953" s="24">
        <f t="shared" ref="R953:R963" si="1428">TRUNC((Q953*I953+Q953),2)</f>
        <v>0</v>
      </c>
      <c r="S953" s="24">
        <f t="shared" ref="S953:S963" si="1429">N953-R953</f>
        <v>0</v>
      </c>
    </row>
    <row r="954" spans="1:19" ht="31.5">
      <c r="A954" s="9" t="s">
        <v>23509</v>
      </c>
      <c r="B954" s="10" t="s">
        <v>358</v>
      </c>
      <c r="C954" s="12" t="s">
        <v>22679</v>
      </c>
      <c r="D954" s="43" t="s">
        <v>313</v>
      </c>
      <c r="E954" s="11">
        <v>26</v>
      </c>
      <c r="F954" s="13" t="s">
        <v>329</v>
      </c>
      <c r="G954" s="24">
        <f>VLOOKUP(C954,'9. CCU''S GERAIS AMEP'!A:K,11,0)</f>
        <v>2521.4999999999995</v>
      </c>
      <c r="H954" s="24">
        <v>0</v>
      </c>
      <c r="I954" s="25">
        <f>'3. BDI'!$C$40</f>
        <v>0.14666704095238123</v>
      </c>
      <c r="J954" s="24">
        <f t="shared" ref="J954" si="1430">TRUNC(G954+(G954*I954),2)</f>
        <v>2891.32</v>
      </c>
      <c r="K954" s="24">
        <f t="shared" ref="K954" si="1431">TRUNC(H954+(H954*I954),2)</f>
        <v>0</v>
      </c>
      <c r="L954" s="24">
        <f t="shared" ref="L954" si="1432">J954*E954</f>
        <v>75174.320000000007</v>
      </c>
      <c r="M954" s="24">
        <f t="shared" ref="M954" si="1433">K954*E954</f>
        <v>0</v>
      </c>
      <c r="N954" s="24">
        <f t="shared" ref="N954" si="1434">L954+M954</f>
        <v>75174.320000000007</v>
      </c>
      <c r="P954" s="24">
        <f>406.14/0.28</f>
        <v>1450.4999999999998</v>
      </c>
      <c r="Q954" s="24">
        <f t="shared" ref="Q954" si="1435">P954*E954</f>
        <v>37712.999999999993</v>
      </c>
      <c r="R954" s="24">
        <f t="shared" si="1428"/>
        <v>43244.25</v>
      </c>
      <c r="S954" s="24">
        <f t="shared" si="1429"/>
        <v>31930.070000000007</v>
      </c>
    </row>
    <row r="955" spans="1:19" s="7" customFormat="1">
      <c r="A955" s="345"/>
      <c r="B955" s="346"/>
      <c r="C955" s="347"/>
      <c r="D955" s="348" t="s">
        <v>22874</v>
      </c>
      <c r="E955" s="349"/>
      <c r="F955" s="347" t="s">
        <v>195</v>
      </c>
      <c r="G955" s="349"/>
      <c r="H955" s="349"/>
      <c r="I955" s="25"/>
      <c r="J955" s="349"/>
      <c r="K955" s="349"/>
      <c r="L955" s="349"/>
      <c r="M955" s="349"/>
      <c r="N955" s="349"/>
      <c r="O955"/>
      <c r="P955" s="349"/>
      <c r="Q955" s="349"/>
      <c r="R955" s="24">
        <f t="shared" si="1428"/>
        <v>0</v>
      </c>
      <c r="S955" s="24">
        <f t="shared" si="1429"/>
        <v>0</v>
      </c>
    </row>
    <row r="956" spans="1:19">
      <c r="A956" s="9" t="s">
        <v>23641</v>
      </c>
      <c r="B956" s="10" t="s">
        <v>358</v>
      </c>
      <c r="C956" s="12" t="s">
        <v>22685</v>
      </c>
      <c r="D956" s="43" t="s">
        <v>320</v>
      </c>
      <c r="E956" s="11">
        <v>58</v>
      </c>
      <c r="F956" s="13" t="s">
        <v>329</v>
      </c>
      <c r="G956" s="24">
        <f>VLOOKUP(C956,'9. CCU''S GERAIS AMEP'!A:K,11,0)</f>
        <v>141.46026000000001</v>
      </c>
      <c r="H956" s="24">
        <v>0</v>
      </c>
      <c r="I956" s="25">
        <f>'3. BDI'!$C$40</f>
        <v>0.14666704095238123</v>
      </c>
      <c r="J956" s="24">
        <f>TRUNC(G956+(G956*I956),2)</f>
        <v>162.19999999999999</v>
      </c>
      <c r="K956" s="24">
        <f>TRUNC(H956+(H956*I956),2)</f>
        <v>0</v>
      </c>
      <c r="L956" s="24">
        <f>J956*E956</f>
        <v>9407.5999999999985</v>
      </c>
      <c r="M956" s="24">
        <f>K956*E956</f>
        <v>0</v>
      </c>
      <c r="N956" s="24">
        <f>L956+M956</f>
        <v>9407.5999999999985</v>
      </c>
      <c r="P956" s="24">
        <v>0</v>
      </c>
      <c r="Q956" s="24">
        <f t="shared" ref="Q956:Q959" si="1436">P956*E956</f>
        <v>0</v>
      </c>
      <c r="R956" s="24">
        <f t="shared" si="1428"/>
        <v>0</v>
      </c>
      <c r="S956" s="24">
        <f t="shared" si="1429"/>
        <v>9407.5999999999985</v>
      </c>
    </row>
    <row r="957" spans="1:19" ht="47.25">
      <c r="A957" s="9" t="s">
        <v>23642</v>
      </c>
      <c r="B957" s="10" t="s">
        <v>358</v>
      </c>
      <c r="C957" s="12" t="s">
        <v>22683</v>
      </c>
      <c r="D957" s="43" t="s">
        <v>318</v>
      </c>
      <c r="E957" s="11">
        <v>88</v>
      </c>
      <c r="F957" s="13" t="s">
        <v>329</v>
      </c>
      <c r="G957" s="24">
        <f>VLOOKUP(C957,'9. CCU''S GERAIS AMEP'!A:K,11,0)</f>
        <v>352.67982333333339</v>
      </c>
      <c r="H957" s="24">
        <v>0</v>
      </c>
      <c r="I957" s="25">
        <f>'3. BDI'!$C$40</f>
        <v>0.14666704095238123</v>
      </c>
      <c r="J957" s="24">
        <f>TRUNC(G957+(G957*I957),2)</f>
        <v>404.4</v>
      </c>
      <c r="K957" s="24">
        <f>TRUNC(H957+(H957*I957),2)</f>
        <v>0</v>
      </c>
      <c r="L957" s="24">
        <f>J957*E957</f>
        <v>35587.199999999997</v>
      </c>
      <c r="M957" s="24">
        <f>K957*E957</f>
        <v>0</v>
      </c>
      <c r="N957" s="24">
        <f>L957+M957</f>
        <v>35587.199999999997</v>
      </c>
      <c r="P957" s="24">
        <f>54.86/1</f>
        <v>54.86</v>
      </c>
      <c r="Q957" s="24">
        <f t="shared" si="1436"/>
        <v>4827.68</v>
      </c>
      <c r="R957" s="24">
        <f t="shared" si="1428"/>
        <v>5535.74</v>
      </c>
      <c r="S957" s="24">
        <f t="shared" si="1429"/>
        <v>30051.46</v>
      </c>
    </row>
    <row r="958" spans="1:19" ht="47.25">
      <c r="A958" s="9" t="s">
        <v>23643</v>
      </c>
      <c r="B958" s="10" t="s">
        <v>358</v>
      </c>
      <c r="C958" s="12" t="s">
        <v>22682</v>
      </c>
      <c r="D958" s="43" t="s">
        <v>317</v>
      </c>
      <c r="E958" s="11">
        <v>107</v>
      </c>
      <c r="F958" s="13" t="s">
        <v>330</v>
      </c>
      <c r="G958" s="24">
        <f>VLOOKUP(C958,'9. CCU''S GERAIS AMEP'!A:K,11,0)</f>
        <v>1142.8080376666667</v>
      </c>
      <c r="H958" s="24">
        <v>0</v>
      </c>
      <c r="I958" s="25">
        <f>'3. BDI'!$C$40</f>
        <v>0.14666704095238123</v>
      </c>
      <c r="J958" s="24">
        <f>TRUNC(G958+(G958*I958),2)</f>
        <v>1310.42</v>
      </c>
      <c r="K958" s="24">
        <f>TRUNC(H958+(H958*I958),2)</f>
        <v>0</v>
      </c>
      <c r="L958" s="24">
        <f>J958*E958</f>
        <v>140214.94</v>
      </c>
      <c r="M958" s="24">
        <f>K958*E958</f>
        <v>0</v>
      </c>
      <c r="N958" s="24">
        <f>L958+M958</f>
        <v>140214.94</v>
      </c>
      <c r="P958" s="24">
        <f>19.41/1</f>
        <v>19.41</v>
      </c>
      <c r="Q958" s="24">
        <f t="shared" si="1436"/>
        <v>2076.87</v>
      </c>
      <c r="R958" s="24">
        <f t="shared" si="1428"/>
        <v>2381.4699999999998</v>
      </c>
      <c r="S958" s="24">
        <f t="shared" si="1429"/>
        <v>137833.47</v>
      </c>
    </row>
    <row r="959" spans="1:19">
      <c r="A959" s="9" t="s">
        <v>23644</v>
      </c>
      <c r="B959" s="10" t="s">
        <v>358</v>
      </c>
      <c r="C959" s="12" t="s">
        <v>22681</v>
      </c>
      <c r="D959" s="43" t="s">
        <v>316</v>
      </c>
      <c r="E959" s="11">
        <v>174</v>
      </c>
      <c r="F959" s="13" t="s">
        <v>329</v>
      </c>
      <c r="G959" s="24">
        <f>VLOOKUP(C959,'9. CCU''S GERAIS AMEP'!A:K,11,0)</f>
        <v>19.021000000000001</v>
      </c>
      <c r="H959" s="24">
        <v>0</v>
      </c>
      <c r="I959" s="25">
        <f>'3. BDI'!$C$40</f>
        <v>0.14666704095238123</v>
      </c>
      <c r="J959" s="24">
        <f>TRUNC(G959+(G959*I959),2)</f>
        <v>21.81</v>
      </c>
      <c r="K959" s="24">
        <f>TRUNC(H959+(H959*I959),2)</f>
        <v>0</v>
      </c>
      <c r="L959" s="24">
        <f>J959*E959</f>
        <v>3794.9399999999996</v>
      </c>
      <c r="M959" s="24">
        <f>K959*E959</f>
        <v>0</v>
      </c>
      <c r="N959" s="24">
        <f>L959+M959</f>
        <v>3794.9399999999996</v>
      </c>
      <c r="P959" s="24">
        <f>8.15</f>
        <v>8.15</v>
      </c>
      <c r="Q959" s="24">
        <f t="shared" si="1436"/>
        <v>1418.1000000000001</v>
      </c>
      <c r="R959" s="24">
        <f t="shared" si="1428"/>
        <v>1626.08</v>
      </c>
      <c r="S959" s="24">
        <f t="shared" si="1429"/>
        <v>2168.8599999999997</v>
      </c>
    </row>
    <row r="960" spans="1:19" s="7" customFormat="1">
      <c r="A960" s="345"/>
      <c r="B960" s="346"/>
      <c r="C960" s="347"/>
      <c r="D960" s="348" t="s">
        <v>22875</v>
      </c>
      <c r="E960" s="349"/>
      <c r="F960" s="347" t="s">
        <v>195</v>
      </c>
      <c r="G960" s="349"/>
      <c r="H960" s="349"/>
      <c r="I960" s="25"/>
      <c r="J960" s="349"/>
      <c r="K960" s="349"/>
      <c r="L960" s="349"/>
      <c r="M960" s="349"/>
      <c r="N960" s="349"/>
      <c r="O960"/>
      <c r="P960" s="349"/>
      <c r="Q960" s="349"/>
      <c r="R960" s="24">
        <f t="shared" si="1428"/>
        <v>0</v>
      </c>
      <c r="S960" s="24">
        <f t="shared" si="1429"/>
        <v>0</v>
      </c>
    </row>
    <row r="961" spans="1:19" ht="31.5">
      <c r="A961" s="9" t="s">
        <v>23645</v>
      </c>
      <c r="B961" s="10" t="s">
        <v>358</v>
      </c>
      <c r="C961" s="12" t="s">
        <v>22680</v>
      </c>
      <c r="D961" s="43" t="s">
        <v>315</v>
      </c>
      <c r="E961" s="11">
        <v>269.27999999999997</v>
      </c>
      <c r="F961" s="13" t="s">
        <v>328</v>
      </c>
      <c r="G961" s="24">
        <f>VLOOKUP(C961,'9. CCU''S GERAIS AMEP'!A:K,11,0)</f>
        <v>11.530429999999999</v>
      </c>
      <c r="H961" s="24">
        <v>0</v>
      </c>
      <c r="I961" s="25">
        <f>'3. BDI'!$C$40</f>
        <v>0.14666704095238123</v>
      </c>
      <c r="J961" s="24">
        <f t="shared" ref="J961:J962" si="1437">TRUNC(G961+(G961*I961),2)</f>
        <v>13.22</v>
      </c>
      <c r="K961" s="24">
        <f t="shared" ref="K961:K962" si="1438">TRUNC(H961+(H961*I961),2)</f>
        <v>0</v>
      </c>
      <c r="L961" s="24">
        <f t="shared" ref="L961:L962" si="1439">J961*E961</f>
        <v>3559.8815999999997</v>
      </c>
      <c r="M961" s="24">
        <f t="shared" ref="M961:M962" si="1440">K961*E961</f>
        <v>0</v>
      </c>
      <c r="N961" s="24">
        <f t="shared" ref="N961:N962" si="1441">L961+M961</f>
        <v>3559.8815999999997</v>
      </c>
      <c r="P961" s="24">
        <f>3.26</f>
        <v>3.26</v>
      </c>
      <c r="Q961" s="24">
        <f t="shared" ref="Q961:Q963" si="1442">P961*E961</f>
        <v>877.85279999999989</v>
      </c>
      <c r="R961" s="24">
        <f t="shared" si="1428"/>
        <v>1006.6</v>
      </c>
      <c r="S961" s="24">
        <f t="shared" si="1429"/>
        <v>2553.2815999999998</v>
      </c>
    </row>
    <row r="962" spans="1:19" ht="47.25">
      <c r="A962" s="9" t="s">
        <v>23646</v>
      </c>
      <c r="B962" s="10" t="s">
        <v>358</v>
      </c>
      <c r="C962" s="12" t="s">
        <v>22684</v>
      </c>
      <c r="D962" s="43" t="s">
        <v>319</v>
      </c>
      <c r="E962" s="11">
        <v>30</v>
      </c>
      <c r="F962" s="13" t="s">
        <v>329</v>
      </c>
      <c r="G962" s="24">
        <f>VLOOKUP(C962,'9. CCU''S GERAIS AMEP'!A:K,11,0)</f>
        <v>2838.8766300000002</v>
      </c>
      <c r="H962" s="24">
        <f>VLOOKUP(C962,'10. CCU TRANSPORTE'!B:J,9,0)</f>
        <v>40.1</v>
      </c>
      <c r="I962" s="25">
        <f>'3. BDI'!$C$40</f>
        <v>0.14666704095238123</v>
      </c>
      <c r="J962" s="24">
        <f t="shared" si="1437"/>
        <v>3255.24</v>
      </c>
      <c r="K962" s="24">
        <f t="shared" si="1438"/>
        <v>45.98</v>
      </c>
      <c r="L962" s="24">
        <f t="shared" si="1439"/>
        <v>97657.2</v>
      </c>
      <c r="M962" s="24">
        <f t="shared" si="1440"/>
        <v>1379.3999999999999</v>
      </c>
      <c r="N962" s="24">
        <f t="shared" si="1441"/>
        <v>99036.599999999991</v>
      </c>
      <c r="P962" s="24">
        <f>572.32/1</f>
        <v>572.32000000000005</v>
      </c>
      <c r="Q962" s="24">
        <f t="shared" si="1442"/>
        <v>17169.600000000002</v>
      </c>
      <c r="R962" s="24">
        <f t="shared" si="1428"/>
        <v>19687.810000000001</v>
      </c>
      <c r="S962" s="24">
        <f t="shared" si="1429"/>
        <v>79348.789999999994</v>
      </c>
    </row>
    <row r="963" spans="1:19">
      <c r="A963" s="9" t="s">
        <v>23647</v>
      </c>
      <c r="B963" s="10" t="s">
        <v>358</v>
      </c>
      <c r="C963" s="12" t="s">
        <v>22681</v>
      </c>
      <c r="D963" s="43" t="s">
        <v>316</v>
      </c>
      <c r="E963" s="11">
        <v>90</v>
      </c>
      <c r="F963" s="13" t="s">
        <v>329</v>
      </c>
      <c r="G963" s="24">
        <f>VLOOKUP(C963,'9. CCU''S GERAIS AMEP'!A:K,11,0)</f>
        <v>19.021000000000001</v>
      </c>
      <c r="H963" s="24">
        <v>0</v>
      </c>
      <c r="I963" s="25">
        <f>'3. BDI'!$C$40</f>
        <v>0.14666704095238123</v>
      </c>
      <c r="J963" s="24">
        <f>TRUNC(G963+(G963*I963),2)</f>
        <v>21.81</v>
      </c>
      <c r="K963" s="24">
        <f>TRUNC(H963+(H963*I963),2)</f>
        <v>0</v>
      </c>
      <c r="L963" s="24">
        <f>J963*E963</f>
        <v>1962.8999999999999</v>
      </c>
      <c r="M963" s="24">
        <f>K963*E963</f>
        <v>0</v>
      </c>
      <c r="N963" s="24">
        <f>L963+M963</f>
        <v>1962.8999999999999</v>
      </c>
      <c r="P963" s="24">
        <f>8.15</f>
        <v>8.15</v>
      </c>
      <c r="Q963" s="24">
        <f t="shared" si="1442"/>
        <v>733.5</v>
      </c>
      <c r="R963" s="24">
        <f t="shared" si="1428"/>
        <v>841.08</v>
      </c>
      <c r="S963" s="24">
        <f t="shared" si="1429"/>
        <v>1121.8199999999997</v>
      </c>
    </row>
    <row r="964" spans="1:19">
      <c r="A964" s="28" t="s">
        <v>22995</v>
      </c>
      <c r="B964" s="48"/>
      <c r="C964" s="29"/>
      <c r="D964" s="301" t="s">
        <v>22845</v>
      </c>
      <c r="E964" s="30"/>
      <c r="F964" s="29" t="s">
        <v>195</v>
      </c>
      <c r="G964" s="30"/>
      <c r="H964" s="30"/>
      <c r="I964" s="30"/>
      <c r="J964" s="30"/>
      <c r="K964" s="30"/>
      <c r="L964" s="30">
        <f t="shared" ref="L964:M964" si="1443">SUM(L965:L975)</f>
        <v>252304.14159999997</v>
      </c>
      <c r="M964" s="30">
        <f t="shared" si="1443"/>
        <v>735.68</v>
      </c>
      <c r="N964" s="30">
        <f>SUM(N965:N975)</f>
        <v>253039.82159999997</v>
      </c>
      <c r="P964" s="30">
        <f t="shared" ref="P964:S964" si="1444">SUM(P965:P975)</f>
        <v>2116.65</v>
      </c>
      <c r="Q964" s="30">
        <f t="shared" si="1444"/>
        <v>30659.982800000002</v>
      </c>
      <c r="R964" s="30">
        <f t="shared" si="1444"/>
        <v>35156.76</v>
      </c>
      <c r="S964" s="30">
        <f t="shared" si="1444"/>
        <v>217883.06160000002</v>
      </c>
    </row>
    <row r="965" spans="1:19" s="7" customFormat="1" ht="31.5">
      <c r="A965" s="345"/>
      <c r="B965" s="346"/>
      <c r="C965" s="347"/>
      <c r="D965" s="348" t="s">
        <v>312</v>
      </c>
      <c r="E965" s="349"/>
      <c r="F965" s="347" t="s">
        <v>195</v>
      </c>
      <c r="G965" s="349"/>
      <c r="H965" s="349"/>
      <c r="I965" s="25"/>
      <c r="J965" s="349"/>
      <c r="K965" s="349"/>
      <c r="L965" s="349"/>
      <c r="M965" s="349"/>
      <c r="N965" s="349"/>
      <c r="O965"/>
      <c r="P965" s="349"/>
      <c r="Q965" s="349"/>
      <c r="R965" s="24">
        <f t="shared" ref="R965:R975" si="1445">TRUNC((Q965*I965+Q965),2)</f>
        <v>0</v>
      </c>
      <c r="S965" s="24">
        <f t="shared" ref="S965:S975" si="1446">N965-R965</f>
        <v>0</v>
      </c>
    </row>
    <row r="966" spans="1:19" ht="31.5">
      <c r="A966" s="9" t="s">
        <v>23507</v>
      </c>
      <c r="B966" s="10" t="s">
        <v>358</v>
      </c>
      <c r="C966" s="12" t="s">
        <v>22679</v>
      </c>
      <c r="D966" s="43" t="s">
        <v>313</v>
      </c>
      <c r="E966" s="11">
        <v>11</v>
      </c>
      <c r="F966" s="13" t="s">
        <v>329</v>
      </c>
      <c r="G966" s="24">
        <f>VLOOKUP(C966,'9. CCU''S GERAIS AMEP'!A:K,11,0)</f>
        <v>2521.4999999999995</v>
      </c>
      <c r="H966" s="24">
        <v>0</v>
      </c>
      <c r="I966" s="25">
        <f>'3. BDI'!$C$40</f>
        <v>0.14666704095238123</v>
      </c>
      <c r="J966" s="24">
        <f t="shared" ref="J966" si="1447">TRUNC(G966+(G966*I966),2)</f>
        <v>2891.32</v>
      </c>
      <c r="K966" s="24">
        <f t="shared" ref="K966" si="1448">TRUNC(H966+(H966*I966),2)</f>
        <v>0</v>
      </c>
      <c r="L966" s="24">
        <f t="shared" ref="L966" si="1449">J966*E966</f>
        <v>31804.52</v>
      </c>
      <c r="M966" s="24">
        <f t="shared" ref="M966" si="1450">K966*E966</f>
        <v>0</v>
      </c>
      <c r="N966" s="24">
        <f t="shared" ref="N966" si="1451">L966+M966</f>
        <v>31804.52</v>
      </c>
      <c r="P966" s="24">
        <f>406.14/0.28</f>
        <v>1450.4999999999998</v>
      </c>
      <c r="Q966" s="24">
        <f t="shared" ref="Q966" si="1452">P966*E966</f>
        <v>15955.499999999998</v>
      </c>
      <c r="R966" s="24">
        <f t="shared" si="1445"/>
        <v>18295.64</v>
      </c>
      <c r="S966" s="24">
        <f t="shared" si="1446"/>
        <v>13508.880000000001</v>
      </c>
    </row>
    <row r="967" spans="1:19" s="7" customFormat="1">
      <c r="A967" s="345"/>
      <c r="B967" s="346"/>
      <c r="C967" s="347"/>
      <c r="D967" s="348" t="s">
        <v>22874</v>
      </c>
      <c r="E967" s="349"/>
      <c r="F967" s="347" t="s">
        <v>195</v>
      </c>
      <c r="G967" s="349"/>
      <c r="H967" s="349"/>
      <c r="I967" s="25"/>
      <c r="J967" s="349"/>
      <c r="K967" s="349"/>
      <c r="L967" s="349"/>
      <c r="M967" s="349"/>
      <c r="N967" s="349"/>
      <c r="O967"/>
      <c r="P967" s="349"/>
      <c r="Q967" s="349"/>
      <c r="R967" s="24">
        <f t="shared" si="1445"/>
        <v>0</v>
      </c>
      <c r="S967" s="24">
        <f t="shared" si="1446"/>
        <v>0</v>
      </c>
    </row>
    <row r="968" spans="1:19">
      <c r="A968" s="9" t="s">
        <v>23510</v>
      </c>
      <c r="B968" s="10" t="s">
        <v>358</v>
      </c>
      <c r="C968" s="12" t="s">
        <v>22685</v>
      </c>
      <c r="D968" s="43" t="s">
        <v>320</v>
      </c>
      <c r="E968" s="11">
        <v>22</v>
      </c>
      <c r="F968" s="13" t="s">
        <v>329</v>
      </c>
      <c r="G968" s="24">
        <f>VLOOKUP(C968,'9. CCU''S GERAIS AMEP'!A:K,11,0)</f>
        <v>141.46026000000001</v>
      </c>
      <c r="H968" s="24">
        <v>0</v>
      </c>
      <c r="I968" s="25">
        <f>'3. BDI'!$C$40</f>
        <v>0.14666704095238123</v>
      </c>
      <c r="J968" s="24">
        <f>TRUNC(G968+(G968*I968),2)</f>
        <v>162.19999999999999</v>
      </c>
      <c r="K968" s="24">
        <f>TRUNC(H968+(H968*I968),2)</f>
        <v>0</v>
      </c>
      <c r="L968" s="24">
        <f>J968*E968</f>
        <v>3568.3999999999996</v>
      </c>
      <c r="M968" s="24">
        <f>K968*E968</f>
        <v>0</v>
      </c>
      <c r="N968" s="24">
        <f>L968+M968</f>
        <v>3568.3999999999996</v>
      </c>
      <c r="P968" s="24">
        <v>0</v>
      </c>
      <c r="Q968" s="24">
        <f t="shared" ref="Q968:Q971" si="1453">P968*E968</f>
        <v>0</v>
      </c>
      <c r="R968" s="24">
        <f t="shared" si="1445"/>
        <v>0</v>
      </c>
      <c r="S968" s="24">
        <f t="shared" si="1446"/>
        <v>3568.3999999999996</v>
      </c>
    </row>
    <row r="969" spans="1:19" ht="47.25">
      <c r="A969" s="9" t="s">
        <v>23648</v>
      </c>
      <c r="B969" s="10" t="s">
        <v>358</v>
      </c>
      <c r="C969" s="12" t="s">
        <v>22683</v>
      </c>
      <c r="D969" s="43" t="s">
        <v>318</v>
      </c>
      <c r="E969" s="11">
        <v>38</v>
      </c>
      <c r="F969" s="13" t="s">
        <v>329</v>
      </c>
      <c r="G969" s="24">
        <f>VLOOKUP(C969,'9. CCU''S GERAIS AMEP'!A:K,11,0)</f>
        <v>352.67982333333339</v>
      </c>
      <c r="H969" s="24">
        <v>0</v>
      </c>
      <c r="I969" s="25">
        <f>'3. BDI'!$C$40</f>
        <v>0.14666704095238123</v>
      </c>
      <c r="J969" s="24">
        <f>TRUNC(G969+(G969*I969),2)</f>
        <v>404.4</v>
      </c>
      <c r="K969" s="24">
        <f>TRUNC(H969+(H969*I969),2)</f>
        <v>0</v>
      </c>
      <c r="L969" s="24">
        <f>J969*E969</f>
        <v>15367.199999999999</v>
      </c>
      <c r="M969" s="24">
        <f>K969*E969</f>
        <v>0</v>
      </c>
      <c r="N969" s="24">
        <f>L969+M969</f>
        <v>15367.199999999999</v>
      </c>
      <c r="P969" s="24">
        <f>54.86/1</f>
        <v>54.86</v>
      </c>
      <c r="Q969" s="24">
        <f t="shared" si="1453"/>
        <v>2084.6799999999998</v>
      </c>
      <c r="R969" s="24">
        <f t="shared" si="1445"/>
        <v>2390.4299999999998</v>
      </c>
      <c r="S969" s="24">
        <f t="shared" si="1446"/>
        <v>12976.769999999999</v>
      </c>
    </row>
    <row r="970" spans="1:19" ht="47.25">
      <c r="A970" s="9" t="s">
        <v>23649</v>
      </c>
      <c r="B970" s="10" t="s">
        <v>358</v>
      </c>
      <c r="C970" s="12" t="s">
        <v>22682</v>
      </c>
      <c r="D970" s="43" t="s">
        <v>317</v>
      </c>
      <c r="E970" s="11">
        <v>111</v>
      </c>
      <c r="F970" s="13" t="s">
        <v>330</v>
      </c>
      <c r="G970" s="24">
        <f>VLOOKUP(C970,'9. CCU''S GERAIS AMEP'!A:K,11,0)</f>
        <v>1142.8080376666667</v>
      </c>
      <c r="H970" s="24">
        <v>0</v>
      </c>
      <c r="I970" s="25">
        <f>'3. BDI'!$C$40</f>
        <v>0.14666704095238123</v>
      </c>
      <c r="J970" s="24">
        <f>TRUNC(G970+(G970*I970),2)</f>
        <v>1310.42</v>
      </c>
      <c r="K970" s="24">
        <f>TRUNC(H970+(H970*I970),2)</f>
        <v>0</v>
      </c>
      <c r="L970" s="24">
        <f>J970*E970</f>
        <v>145456.62</v>
      </c>
      <c r="M970" s="24">
        <f>K970*E970</f>
        <v>0</v>
      </c>
      <c r="N970" s="24">
        <f>L970+M970</f>
        <v>145456.62</v>
      </c>
      <c r="P970" s="24">
        <f>19.41/1</f>
        <v>19.41</v>
      </c>
      <c r="Q970" s="24">
        <f t="shared" si="1453"/>
        <v>2154.5100000000002</v>
      </c>
      <c r="R970" s="24">
        <f t="shared" si="1445"/>
        <v>2470.5</v>
      </c>
      <c r="S970" s="24">
        <f t="shared" si="1446"/>
        <v>142986.12</v>
      </c>
    </row>
    <row r="971" spans="1:19">
      <c r="A971" s="9" t="s">
        <v>23650</v>
      </c>
      <c r="B971" s="10" t="s">
        <v>358</v>
      </c>
      <c r="C971" s="12" t="s">
        <v>22681</v>
      </c>
      <c r="D971" s="43" t="s">
        <v>316</v>
      </c>
      <c r="E971" s="11">
        <v>66</v>
      </c>
      <c r="F971" s="13" t="s">
        <v>329</v>
      </c>
      <c r="G971" s="24">
        <f>VLOOKUP(C971,'9. CCU''S GERAIS AMEP'!A:K,11,0)</f>
        <v>19.021000000000001</v>
      </c>
      <c r="H971" s="24">
        <v>0</v>
      </c>
      <c r="I971" s="25">
        <f>'3. BDI'!$C$40</f>
        <v>0.14666704095238123</v>
      </c>
      <c r="J971" s="24">
        <f>TRUNC(G971+(G971*I971),2)</f>
        <v>21.81</v>
      </c>
      <c r="K971" s="24">
        <f>TRUNC(H971+(H971*I971),2)</f>
        <v>0</v>
      </c>
      <c r="L971" s="24">
        <f>J971*E971</f>
        <v>1439.4599999999998</v>
      </c>
      <c r="M971" s="24">
        <f>K971*E971</f>
        <v>0</v>
      </c>
      <c r="N971" s="24">
        <f>L971+M971</f>
        <v>1439.4599999999998</v>
      </c>
      <c r="P971" s="24">
        <f>8.15</f>
        <v>8.15</v>
      </c>
      <c r="Q971" s="24">
        <f t="shared" si="1453"/>
        <v>537.9</v>
      </c>
      <c r="R971" s="24">
        <f t="shared" si="1445"/>
        <v>616.79</v>
      </c>
      <c r="S971" s="24">
        <f t="shared" si="1446"/>
        <v>822.66999999999985</v>
      </c>
    </row>
    <row r="972" spans="1:19" s="7" customFormat="1">
      <c r="A972" s="345"/>
      <c r="B972" s="346"/>
      <c r="C972" s="347"/>
      <c r="D972" s="348" t="s">
        <v>22875</v>
      </c>
      <c r="E972" s="349"/>
      <c r="F972" s="347" t="s">
        <v>195</v>
      </c>
      <c r="G972" s="349"/>
      <c r="H972" s="349"/>
      <c r="I972" s="25"/>
      <c r="J972" s="349"/>
      <c r="K972" s="349"/>
      <c r="L972" s="349"/>
      <c r="M972" s="349"/>
      <c r="N972" s="349"/>
      <c r="O972"/>
      <c r="P972" s="349"/>
      <c r="Q972" s="349"/>
      <c r="R972" s="24">
        <f t="shared" si="1445"/>
        <v>0</v>
      </c>
      <c r="S972" s="24">
        <f t="shared" si="1446"/>
        <v>0</v>
      </c>
    </row>
    <row r="973" spans="1:19" ht="31.5">
      <c r="A973" s="9" t="s">
        <v>23651</v>
      </c>
      <c r="B973" s="10" t="s">
        <v>358</v>
      </c>
      <c r="C973" s="12" t="s">
        <v>22680</v>
      </c>
      <c r="D973" s="43" t="s">
        <v>315</v>
      </c>
      <c r="E973" s="11">
        <v>116.28</v>
      </c>
      <c r="F973" s="13" t="s">
        <v>328</v>
      </c>
      <c r="G973" s="24">
        <f>VLOOKUP(C973,'9. CCU''S GERAIS AMEP'!A:K,11,0)</f>
        <v>11.530429999999999</v>
      </c>
      <c r="H973" s="24">
        <v>0</v>
      </c>
      <c r="I973" s="25">
        <f>'3. BDI'!$C$40</f>
        <v>0.14666704095238123</v>
      </c>
      <c r="J973" s="24">
        <f t="shared" ref="J973:J974" si="1454">TRUNC(G973+(G973*I973),2)</f>
        <v>13.22</v>
      </c>
      <c r="K973" s="24">
        <f t="shared" ref="K973:K974" si="1455">TRUNC(H973+(H973*I973),2)</f>
        <v>0</v>
      </c>
      <c r="L973" s="24">
        <f t="shared" ref="L973:L974" si="1456">J973*E973</f>
        <v>1537.2216000000001</v>
      </c>
      <c r="M973" s="24">
        <f t="shared" ref="M973:M974" si="1457">K973*E973</f>
        <v>0</v>
      </c>
      <c r="N973" s="24">
        <f t="shared" ref="N973:N974" si="1458">L973+M973</f>
        <v>1537.2216000000001</v>
      </c>
      <c r="P973" s="24">
        <f>3.26</f>
        <v>3.26</v>
      </c>
      <c r="Q973" s="24">
        <f t="shared" ref="Q973:Q975" si="1459">P973*E973</f>
        <v>379.07279999999997</v>
      </c>
      <c r="R973" s="24">
        <f t="shared" si="1445"/>
        <v>434.67</v>
      </c>
      <c r="S973" s="24">
        <f t="shared" si="1446"/>
        <v>1102.5516</v>
      </c>
    </row>
    <row r="974" spans="1:19" ht="47.25">
      <c r="A974" s="9" t="s">
        <v>23652</v>
      </c>
      <c r="B974" s="10" t="s">
        <v>358</v>
      </c>
      <c r="C974" s="12" t="s">
        <v>22684</v>
      </c>
      <c r="D974" s="43" t="s">
        <v>319</v>
      </c>
      <c r="E974" s="11">
        <v>16</v>
      </c>
      <c r="F974" s="13" t="s">
        <v>329</v>
      </c>
      <c r="G974" s="24">
        <f>VLOOKUP(C974,'9. CCU''S GERAIS AMEP'!A:K,11,0)</f>
        <v>2838.8766300000002</v>
      </c>
      <c r="H974" s="24">
        <f>VLOOKUP(C974,'10. CCU TRANSPORTE'!B:J,9,0)</f>
        <v>40.1</v>
      </c>
      <c r="I974" s="25">
        <f>'3. BDI'!$C$40</f>
        <v>0.14666704095238123</v>
      </c>
      <c r="J974" s="24">
        <f t="shared" si="1454"/>
        <v>3255.24</v>
      </c>
      <c r="K974" s="24">
        <f t="shared" si="1455"/>
        <v>45.98</v>
      </c>
      <c r="L974" s="24">
        <f t="shared" si="1456"/>
        <v>52083.839999999997</v>
      </c>
      <c r="M974" s="24">
        <f t="shared" si="1457"/>
        <v>735.68</v>
      </c>
      <c r="N974" s="24">
        <f t="shared" si="1458"/>
        <v>52819.519999999997</v>
      </c>
      <c r="P974" s="24">
        <f>572.32/1</f>
        <v>572.32000000000005</v>
      </c>
      <c r="Q974" s="24">
        <f t="shared" si="1459"/>
        <v>9157.1200000000008</v>
      </c>
      <c r="R974" s="24">
        <f t="shared" si="1445"/>
        <v>10500.16</v>
      </c>
      <c r="S974" s="24">
        <f t="shared" si="1446"/>
        <v>42319.360000000001</v>
      </c>
    </row>
    <row r="975" spans="1:19">
      <c r="A975" s="9" t="s">
        <v>23653</v>
      </c>
      <c r="B975" s="10" t="s">
        <v>358</v>
      </c>
      <c r="C975" s="12" t="s">
        <v>22681</v>
      </c>
      <c r="D975" s="43" t="s">
        <v>316</v>
      </c>
      <c r="E975" s="11">
        <v>48</v>
      </c>
      <c r="F975" s="13" t="s">
        <v>329</v>
      </c>
      <c r="G975" s="24">
        <f>VLOOKUP(C975,'9. CCU''S GERAIS AMEP'!A:K,11,0)</f>
        <v>19.021000000000001</v>
      </c>
      <c r="H975" s="24">
        <v>0</v>
      </c>
      <c r="I975" s="25">
        <f>'3. BDI'!$C$40</f>
        <v>0.14666704095238123</v>
      </c>
      <c r="J975" s="24">
        <f>TRUNC(G975+(G975*I975),2)</f>
        <v>21.81</v>
      </c>
      <c r="K975" s="24">
        <f>TRUNC(H975+(H975*I975),2)</f>
        <v>0</v>
      </c>
      <c r="L975" s="24">
        <f>J975*E975</f>
        <v>1046.8799999999999</v>
      </c>
      <c r="M975" s="24">
        <f>K975*E975</f>
        <v>0</v>
      </c>
      <c r="N975" s="24">
        <f>L975+M975</f>
        <v>1046.8799999999999</v>
      </c>
      <c r="P975" s="24">
        <f>8.15</f>
        <v>8.15</v>
      </c>
      <c r="Q975" s="24">
        <f t="shared" si="1459"/>
        <v>391.20000000000005</v>
      </c>
      <c r="R975" s="24">
        <f t="shared" si="1445"/>
        <v>448.57</v>
      </c>
      <c r="S975" s="24">
        <f t="shared" si="1446"/>
        <v>598.30999999999995</v>
      </c>
    </row>
    <row r="976" spans="1:19">
      <c r="A976" s="310" t="s">
        <v>347</v>
      </c>
      <c r="B976" s="311"/>
      <c r="C976" s="312"/>
      <c r="D976" s="313" t="s">
        <v>23654</v>
      </c>
      <c r="E976" s="314"/>
      <c r="F976" s="315" t="s">
        <v>195</v>
      </c>
      <c r="G976" s="314"/>
      <c r="H976" s="314"/>
      <c r="I976" s="316"/>
      <c r="J976" s="314"/>
      <c r="K976" s="314"/>
      <c r="L976" s="314">
        <f t="shared" ref="L976:M976" si="1460">SUM(L977)</f>
        <v>1602728.53</v>
      </c>
      <c r="M976" s="314">
        <f t="shared" si="1460"/>
        <v>0</v>
      </c>
      <c r="N976" s="314">
        <f>SUM(N977)</f>
        <v>1602728.53</v>
      </c>
      <c r="P976" s="314">
        <f t="shared" ref="P976:S976" si="1461">SUM(P977)</f>
        <v>0</v>
      </c>
      <c r="Q976" s="314">
        <f t="shared" si="1461"/>
        <v>0</v>
      </c>
      <c r="R976" s="314">
        <f t="shared" si="1461"/>
        <v>0</v>
      </c>
      <c r="S976" s="314">
        <f t="shared" si="1461"/>
        <v>1602728.53</v>
      </c>
    </row>
    <row r="977" spans="1:19">
      <c r="A977" s="9" t="s">
        <v>22996</v>
      </c>
      <c r="B977" s="10" t="s">
        <v>22707</v>
      </c>
      <c r="C977" s="12" t="s">
        <v>61</v>
      </c>
      <c r="D977" s="43" t="s">
        <v>314</v>
      </c>
      <c r="E977" s="11">
        <v>1</v>
      </c>
      <c r="F977" s="13" t="s">
        <v>329</v>
      </c>
      <c r="G977" s="24">
        <f>VLOOKUP(C977,'23. CUSTOS COTAÇÕES DE MERCADO'!A:F,6,0)</f>
        <v>1397727.9133333333</v>
      </c>
      <c r="H977" s="24">
        <v>0</v>
      </c>
      <c r="I977" s="25">
        <f>'3. BDI'!C40</f>
        <v>0.14666704095238123</v>
      </c>
      <c r="J977" s="24">
        <f>TRUNC(G977+(G977*I977),2)</f>
        <v>1602728.53</v>
      </c>
      <c r="K977" s="24">
        <f>TRUNC(H977+(H977*I977),2)</f>
        <v>0</v>
      </c>
      <c r="L977" s="24">
        <f>J977*E977</f>
        <v>1602728.53</v>
      </c>
      <c r="M977" s="24">
        <f>K977*E977</f>
        <v>0</v>
      </c>
      <c r="N977" s="24">
        <f>L977+M977</f>
        <v>1602728.53</v>
      </c>
      <c r="P977" s="24"/>
      <c r="Q977" s="24"/>
      <c r="R977" s="24">
        <f>TRUNC((Q977*I977+Q977),2)</f>
        <v>0</v>
      </c>
      <c r="S977" s="24">
        <f>N977-R977</f>
        <v>1602728.53</v>
      </c>
    </row>
    <row r="978" spans="1:19">
      <c r="A978" s="310" t="s">
        <v>348</v>
      </c>
      <c r="B978" s="311"/>
      <c r="C978" s="312"/>
      <c r="D978" s="313" t="s">
        <v>114</v>
      </c>
      <c r="E978" s="314"/>
      <c r="F978" s="315" t="s">
        <v>195</v>
      </c>
      <c r="G978" s="314"/>
      <c r="H978" s="314"/>
      <c r="I978" s="316"/>
      <c r="J978" s="314"/>
      <c r="K978" s="314"/>
      <c r="L978" s="314">
        <f>SUM(L979:L980)</f>
        <v>33270.32</v>
      </c>
      <c r="M978" s="314">
        <f>SUM(M979:M980)</f>
        <v>0</v>
      </c>
      <c r="N978" s="314">
        <f>SUM(N979:N980)</f>
        <v>33270.32</v>
      </c>
      <c r="P978" s="314">
        <f t="shared" ref="P978:S978" si="1462">SUM(P979:P980)</f>
        <v>1741.92</v>
      </c>
      <c r="Q978" s="314">
        <f t="shared" si="1462"/>
        <v>1741.92</v>
      </c>
      <c r="R978" s="314">
        <f t="shared" si="1462"/>
        <v>2171.59</v>
      </c>
      <c r="S978" s="314">
        <f t="shared" si="1462"/>
        <v>31098.730000000003</v>
      </c>
    </row>
    <row r="979" spans="1:19">
      <c r="A979" s="9" t="s">
        <v>22997</v>
      </c>
      <c r="B979" s="10" t="s">
        <v>358</v>
      </c>
      <c r="C979" s="23" t="s">
        <v>22714</v>
      </c>
      <c r="D979" s="43" t="s">
        <v>322</v>
      </c>
      <c r="E979" s="11">
        <v>1</v>
      </c>
      <c r="F979" s="26" t="s">
        <v>331</v>
      </c>
      <c r="G979" s="24">
        <f>VLOOKUP(C979,'11. CCU DESMOBILIZAÇÃO EQPTO'!A:K,11,0)</f>
        <v>6850.02</v>
      </c>
      <c r="H979" s="24"/>
      <c r="I979" s="25">
        <f>'3. BDI'!$C$19</f>
        <v>0.24666704095238123</v>
      </c>
      <c r="J979" s="24">
        <f t="shared" ref="J979:J980" si="1463">TRUNC(G979+(G979*I979),2)</f>
        <v>8539.69</v>
      </c>
      <c r="K979" s="24">
        <f t="shared" ref="K979:K980" si="1464">TRUNC(H979+(H979*I979),2)</f>
        <v>0</v>
      </c>
      <c r="L979" s="24">
        <f t="shared" ref="L979:L980" si="1465">J979*E979</f>
        <v>8539.69</v>
      </c>
      <c r="M979" s="24">
        <f t="shared" ref="M979:M980" si="1466">K979*E979</f>
        <v>0</v>
      </c>
      <c r="N979" s="24">
        <f t="shared" ref="N979:N980" si="1467">L979+M979</f>
        <v>8539.69</v>
      </c>
      <c r="P979" s="24">
        <f>'11. CCU DESMOBILIZAÇÃO EQPTO'!M12</f>
        <v>785.16</v>
      </c>
      <c r="Q979" s="24">
        <f t="shared" ref="Q979:Q980" si="1468">P979*E979</f>
        <v>785.16</v>
      </c>
      <c r="R979" s="24">
        <f>TRUNC((Q979*I979+Q979),2)</f>
        <v>978.83</v>
      </c>
      <c r="S979" s="24">
        <f>N979-R979</f>
        <v>7560.8600000000006</v>
      </c>
    </row>
    <row r="980" spans="1:19">
      <c r="A980" s="9" t="s">
        <v>22998</v>
      </c>
      <c r="B980" s="10" t="s">
        <v>358</v>
      </c>
      <c r="C980" s="23" t="s">
        <v>22719</v>
      </c>
      <c r="D980" s="43" t="s">
        <v>323</v>
      </c>
      <c r="E980" s="11">
        <v>1</v>
      </c>
      <c r="F980" s="26" t="s">
        <v>331</v>
      </c>
      <c r="G980" s="24">
        <f>VLOOKUP(C980,'11. CCU DESMOBILIZAÇÃO EQPTO'!A:K,11,0)</f>
        <v>19837.400000000005</v>
      </c>
      <c r="H980" s="24"/>
      <c r="I980" s="25">
        <f>'3. BDI'!$C$19</f>
        <v>0.24666704095238123</v>
      </c>
      <c r="J980" s="24">
        <f t="shared" si="1463"/>
        <v>24730.63</v>
      </c>
      <c r="K980" s="24">
        <f t="shared" si="1464"/>
        <v>0</v>
      </c>
      <c r="L980" s="24">
        <f t="shared" si="1465"/>
        <v>24730.63</v>
      </c>
      <c r="M980" s="24">
        <f t="shared" si="1466"/>
        <v>0</v>
      </c>
      <c r="N980" s="24">
        <f t="shared" si="1467"/>
        <v>24730.63</v>
      </c>
      <c r="P980" s="24">
        <f>'11. CCU DESMOBILIZAÇÃO EQPTO'!M22</f>
        <v>956.76</v>
      </c>
      <c r="Q980" s="24">
        <f t="shared" si="1468"/>
        <v>956.76</v>
      </c>
      <c r="R980" s="24">
        <f>TRUNC((Q980*I980+Q980),2)</f>
        <v>1192.76</v>
      </c>
      <c r="S980" s="24">
        <f>N980-R980</f>
        <v>23537.870000000003</v>
      </c>
    </row>
    <row r="981" spans="1:19">
      <c r="A981" s="509" t="s">
        <v>163</v>
      </c>
      <c r="B981" s="510"/>
      <c r="C981" s="510"/>
      <c r="D981" s="510"/>
      <c r="E981" s="510"/>
      <c r="F981" s="510"/>
      <c r="G981" s="510"/>
      <c r="H981" s="510"/>
      <c r="I981" s="510"/>
      <c r="J981" s="510"/>
      <c r="K981" s="511"/>
      <c r="L981" s="207">
        <f>L915+L836+L784+L766+L755+L621+L534+L151+L73+L69+L978+L32+L29+L13+L23+L976</f>
        <v>93505546.254999995</v>
      </c>
      <c r="M981" s="207">
        <f>M915+M836+M784+M766+M755+M621+M534+M151+M73+M69+M978+M32+M29+M13+M23+M976</f>
        <v>16547760.675900003</v>
      </c>
      <c r="N981" s="207">
        <f>N915+N836+N784+N766+N755+N621+N534+N151+N73+N69+N978+N32+N29+N13+N23+N976</f>
        <v>110053306.93089999</v>
      </c>
      <c r="P981" s="207">
        <f t="shared" ref="P981:S981" si="1469">P915+P836+P784+P766+P755+P621+P534+P151+P73+P69+P978+P32+P29+P13+P23+P976</f>
        <v>3986078.013299658</v>
      </c>
      <c r="Q981" s="207">
        <f t="shared" si="1469"/>
        <v>16021574.26337783</v>
      </c>
      <c r="R981" s="207">
        <f t="shared" si="1469"/>
        <v>19948419.719999999</v>
      </c>
      <c r="S981" s="207">
        <f t="shared" si="1469"/>
        <v>90104887.210899994</v>
      </c>
    </row>
    <row r="982" spans="1:19">
      <c r="R982" s="49">
        <f>R981/N981</f>
        <v>0.18126142935918468</v>
      </c>
      <c r="S982" s="49">
        <f>S981/N981</f>
        <v>0.81873857064081534</v>
      </c>
    </row>
    <row r="983" spans="1:19">
      <c r="N983" s="21"/>
      <c r="P983" s="21"/>
      <c r="Q983" s="21"/>
      <c r="R983" s="21"/>
      <c r="S983" s="21"/>
    </row>
  </sheetData>
  <autoFilter ref="A11:S983">
    <filterColumn colId="6" showButton="0"/>
    <filterColumn colId="9" showButton="0"/>
    <filterColumn colId="11" showButton="0"/>
    <filterColumn colId="12" showButton="0"/>
    <filterColumn colId="15" showButton="0"/>
    <filterColumn colId="16" showButton="0"/>
  </autoFilter>
  <mergeCells count="16">
    <mergeCell ref="P11:Q11"/>
    <mergeCell ref="P10:S10"/>
    <mergeCell ref="A981:K981"/>
    <mergeCell ref="A10:N10"/>
    <mergeCell ref="I11:I12"/>
    <mergeCell ref="J11:K11"/>
    <mergeCell ref="A3:N3"/>
    <mergeCell ref="A4:N4"/>
    <mergeCell ref="A11:A12"/>
    <mergeCell ref="B11:B12"/>
    <mergeCell ref="C11:C12"/>
    <mergeCell ref="D11:D12"/>
    <mergeCell ref="E11:E12"/>
    <mergeCell ref="F11:F12"/>
    <mergeCell ref="G11:H11"/>
    <mergeCell ref="L11:N11"/>
  </mergeCells>
  <printOptions horizontalCentered="1"/>
  <pageMargins left="0.39370078740157483" right="0.31496062992125984" top="0.39370078740157483" bottom="0.59055118110236227" header="0.31496062992125984" footer="0.31496062992125984"/>
  <pageSetup paperSize="9" scale="57" fitToHeight="0" orientation="landscape" r:id="rId1"/>
  <headerFooter>
    <oddFooter>&amp;L&amp;9AGÊNCIA DE ASSUNTOS METROPOLITANOS DO PARANÁ - AMEP
DIRETORIA DE OBRAS&amp;C&amp;9ENGª CIBELE CRISTINE MELLO FRANCZAK
DIRETORA DE OBRAS&amp;R&amp;9Página &amp;P de &amp;N</oddFooter>
  </headerFooter>
  <rowBreaks count="1" manualBreakCount="1">
    <brk id="769" max="13" man="1"/>
  </rowBreaks>
  <ignoredErrors>
    <ignoredError sqref="D163"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I48"/>
  <sheetViews>
    <sheetView showGridLines="0" zoomScaleNormal="100" zoomScaleSheetLayoutView="55" workbookViewId="0">
      <selection activeCell="H47" sqref="H47"/>
    </sheetView>
  </sheetViews>
  <sheetFormatPr defaultRowHeight="15.75"/>
  <cols>
    <col min="1" max="1" width="22.28515625" style="196" customWidth="1"/>
    <col min="2" max="2" width="72.7109375" style="196" customWidth="1"/>
    <col min="3" max="3" width="11.140625" style="196" bestFit="1" customWidth="1"/>
    <col min="4" max="4" width="23.42578125" style="196" customWidth="1"/>
    <col min="5" max="7" width="17.140625" style="196" customWidth="1"/>
    <col min="8" max="8" width="9.140625" style="196" customWidth="1"/>
    <col min="9" max="9" width="25.140625" customWidth="1"/>
    <col min="10" max="16384" width="9.140625" style="196"/>
  </cols>
  <sheetData>
    <row r="1" spans="1:9" s="6" customFormat="1" ht="39" customHeight="1">
      <c r="A1" s="495" t="s">
        <v>167</v>
      </c>
      <c r="B1" s="495"/>
      <c r="C1" s="495"/>
      <c r="D1" s="495"/>
      <c r="E1" s="495"/>
      <c r="F1" s="495"/>
      <c r="G1" s="495"/>
      <c r="I1"/>
    </row>
    <row r="2" spans="1:9" s="6" customFormat="1" ht="39" customHeight="1">
      <c r="A2" s="541" t="s">
        <v>165</v>
      </c>
      <c r="B2" s="541"/>
      <c r="C2" s="541"/>
      <c r="D2" s="62"/>
      <c r="E2" s="62"/>
      <c r="F2" s="62"/>
      <c r="G2" s="62"/>
      <c r="I2"/>
    </row>
    <row r="3" spans="1:9" s="6" customFormat="1">
      <c r="A3" s="539"/>
      <c r="B3" s="539"/>
      <c r="C3" s="539"/>
      <c r="D3" s="539"/>
      <c r="E3" s="539"/>
      <c r="F3" s="539"/>
      <c r="G3" s="539"/>
      <c r="I3"/>
    </row>
    <row r="4" spans="1:9" s="6" customFormat="1">
      <c r="A4" s="539" t="s">
        <v>25931</v>
      </c>
      <c r="B4" s="539"/>
      <c r="C4" s="539"/>
      <c r="D4" s="539"/>
      <c r="E4" s="539"/>
      <c r="F4" s="539"/>
      <c r="G4" s="539"/>
      <c r="I4"/>
    </row>
    <row r="5" spans="1:9" s="6" customFormat="1">
      <c r="A5" s="58"/>
      <c r="B5" s="4"/>
      <c r="C5" s="20"/>
      <c r="G5" s="61"/>
      <c r="I5"/>
    </row>
    <row r="6" spans="1:9" s="189" customFormat="1" ht="21">
      <c r="A6" s="540" t="s">
        <v>9129</v>
      </c>
      <c r="B6" s="540"/>
      <c r="C6" s="540"/>
      <c r="D6" s="540"/>
      <c r="E6" s="540"/>
      <c r="F6" s="540"/>
      <c r="G6" s="540"/>
      <c r="I6"/>
    </row>
    <row r="7" spans="1:9" s="190" customFormat="1" ht="18" customHeight="1">
      <c r="A7" s="525" t="s">
        <v>154</v>
      </c>
      <c r="B7" s="525" t="s">
        <v>157</v>
      </c>
      <c r="C7" s="525" t="s">
        <v>9122</v>
      </c>
      <c r="D7" s="526" t="s">
        <v>9121</v>
      </c>
      <c r="E7" s="525" t="s">
        <v>9127</v>
      </c>
      <c r="F7" s="525"/>
      <c r="G7" s="525"/>
      <c r="I7"/>
    </row>
    <row r="8" spans="1:9" s="190" customFormat="1" ht="30" customHeight="1">
      <c r="A8" s="525"/>
      <c r="B8" s="525"/>
      <c r="C8" s="525"/>
      <c r="D8" s="526"/>
      <c r="E8" s="191" t="s">
        <v>9124</v>
      </c>
      <c r="F8" s="191" t="s">
        <v>9123</v>
      </c>
      <c r="G8" s="191" t="s">
        <v>9125</v>
      </c>
      <c r="I8"/>
    </row>
    <row r="9" spans="1:9" ht="15.95" customHeight="1">
      <c r="A9" s="192">
        <v>1</v>
      </c>
      <c r="B9" s="193" t="s">
        <v>9098</v>
      </c>
      <c r="C9" s="194">
        <f>F9</f>
        <v>4.0099999999999997E-2</v>
      </c>
      <c r="D9" s="192" t="str">
        <f>IF(AND(C9&gt;=E9,C9&lt;=G9),"OK","DIFERE")</f>
        <v>OK</v>
      </c>
      <c r="E9" s="195">
        <v>3.7999999999999999E-2</v>
      </c>
      <c r="F9" s="195">
        <v>4.0099999999999997E-2</v>
      </c>
      <c r="G9" s="195">
        <v>4.6699999999999998E-2</v>
      </c>
    </row>
    <row r="10" spans="1:9" ht="15.95" customHeight="1">
      <c r="A10" s="192">
        <v>2</v>
      </c>
      <c r="B10" s="193" t="s">
        <v>9099</v>
      </c>
      <c r="C10" s="194">
        <f t="shared" ref="C10:C13" si="0">F10</f>
        <v>4.0000000000000001E-3</v>
      </c>
      <c r="D10" s="192" t="str">
        <f>IF(AND(C10&gt;=E10,C10&lt;=G10),"OK","DIFERE")</f>
        <v>OK</v>
      </c>
      <c r="E10" s="195">
        <v>3.2000000000000002E-3</v>
      </c>
      <c r="F10" s="195">
        <v>4.0000000000000001E-3</v>
      </c>
      <c r="G10" s="195">
        <v>7.4000000000000003E-3</v>
      </c>
    </row>
    <row r="11" spans="1:9" ht="15.95" customHeight="1">
      <c r="A11" s="192">
        <v>3</v>
      </c>
      <c r="B11" s="193" t="s">
        <v>9100</v>
      </c>
      <c r="C11" s="194">
        <f t="shared" si="0"/>
        <v>5.5999999999999999E-3</v>
      </c>
      <c r="D11" s="192" t="str">
        <f>IF(AND(C11&gt;=E11,C11&lt;=G11),"OK","DIFERE")</f>
        <v>OK</v>
      </c>
      <c r="E11" s="195">
        <v>5.0000000000000001E-3</v>
      </c>
      <c r="F11" s="195">
        <v>5.5999999999999999E-3</v>
      </c>
      <c r="G11" s="195">
        <v>9.7000000000000003E-3</v>
      </c>
    </row>
    <row r="12" spans="1:9" ht="15.95" customHeight="1">
      <c r="A12" s="192">
        <v>4</v>
      </c>
      <c r="B12" s="193" t="s">
        <v>9101</v>
      </c>
      <c r="C12" s="194">
        <f t="shared" si="0"/>
        <v>1.11E-2</v>
      </c>
      <c r="D12" s="192" t="str">
        <f>IF(AND(C12&gt;=E12,C12&lt;=G12),"OK","DIFERE")</f>
        <v>OK</v>
      </c>
      <c r="E12" s="195">
        <v>1.0200000000000001E-2</v>
      </c>
      <c r="F12" s="195">
        <v>1.11E-2</v>
      </c>
      <c r="G12" s="195">
        <v>1.21E-2</v>
      </c>
    </row>
    <row r="13" spans="1:9" ht="15.95" customHeight="1">
      <c r="A13" s="192">
        <v>5</v>
      </c>
      <c r="B13" s="193" t="s">
        <v>9102</v>
      </c>
      <c r="C13" s="194">
        <f t="shared" si="0"/>
        <v>7.2999999999999995E-2</v>
      </c>
      <c r="D13" s="192" t="str">
        <f>IF(AND(C13&gt;=E13,C13&lt;=G13),"OK","DIFERE")</f>
        <v>OK</v>
      </c>
      <c r="E13" s="195">
        <v>6.6400000000000001E-2</v>
      </c>
      <c r="F13" s="195">
        <v>7.2999999999999995E-2</v>
      </c>
      <c r="G13" s="195">
        <v>8.6900000000000005E-2</v>
      </c>
    </row>
    <row r="14" spans="1:9" ht="15.95" customHeight="1">
      <c r="A14" s="197">
        <v>6</v>
      </c>
      <c r="B14" s="198" t="s">
        <v>9103</v>
      </c>
      <c r="C14" s="199">
        <f>SUM(C15:C18)</f>
        <v>8.6499999999999994E-2</v>
      </c>
      <c r="D14" s="516" t="s">
        <v>9109</v>
      </c>
      <c r="E14" s="517"/>
      <c r="F14" s="517"/>
      <c r="G14" s="518"/>
    </row>
    <row r="15" spans="1:9" ht="15.95" customHeight="1">
      <c r="A15" s="192" t="s">
        <v>9104</v>
      </c>
      <c r="B15" s="201" t="s">
        <v>11</v>
      </c>
      <c r="C15" s="202">
        <v>6.4999999999999997E-3</v>
      </c>
      <c r="D15" s="200"/>
      <c r="E15" s="200"/>
      <c r="F15" s="200"/>
      <c r="G15" s="203"/>
    </row>
    <row r="16" spans="1:9" ht="15.95" customHeight="1">
      <c r="A16" s="192" t="s">
        <v>9105</v>
      </c>
      <c r="B16" s="201" t="s">
        <v>12</v>
      </c>
      <c r="C16" s="202">
        <v>0.03</v>
      </c>
      <c r="D16" s="200"/>
      <c r="E16" s="200"/>
      <c r="F16" s="200"/>
      <c r="G16" s="203"/>
    </row>
    <row r="17" spans="1:9" ht="15.95" customHeight="1">
      <c r="A17" s="192" t="s">
        <v>9106</v>
      </c>
      <c r="B17" s="201" t="s">
        <v>9120</v>
      </c>
      <c r="C17" s="202">
        <v>0.05</v>
      </c>
      <c r="D17" s="200"/>
      <c r="E17" s="200"/>
      <c r="F17" s="200"/>
      <c r="G17" s="203"/>
    </row>
    <row r="18" spans="1:9" ht="15.95" customHeight="1">
      <c r="A18" s="192" t="s">
        <v>9107</v>
      </c>
      <c r="B18" s="201" t="s">
        <v>9108</v>
      </c>
      <c r="C18" s="202">
        <v>0</v>
      </c>
      <c r="D18" s="200"/>
      <c r="E18" s="200"/>
      <c r="F18" s="200"/>
      <c r="G18" s="203"/>
    </row>
    <row r="19" spans="1:9" ht="15.95" customHeight="1">
      <c r="A19" s="530" t="s">
        <v>164</v>
      </c>
      <c r="B19" s="531"/>
      <c r="C19" s="536">
        <f>(((1+$C9+$C10+$C11)*(1+$C12)*(1+$C13)/(1-$C14)))-1</f>
        <v>0.24666704095238123</v>
      </c>
      <c r="D19" s="527" t="s">
        <v>9119</v>
      </c>
      <c r="E19" s="528"/>
      <c r="F19" s="528"/>
      <c r="G19" s="529"/>
    </row>
    <row r="20" spans="1:9" ht="15.95" customHeight="1">
      <c r="A20" s="532"/>
      <c r="B20" s="533"/>
      <c r="C20" s="537"/>
      <c r="D20" s="206" t="s">
        <v>9118</v>
      </c>
      <c r="E20" s="204">
        <v>0.19600000000000001</v>
      </c>
      <c r="F20" s="204">
        <v>0.2097</v>
      </c>
      <c r="G20" s="204">
        <v>0.24229999999999999</v>
      </c>
    </row>
    <row r="21" spans="1:9" ht="15.95" customHeight="1">
      <c r="A21" s="534"/>
      <c r="B21" s="535"/>
      <c r="C21" s="538"/>
      <c r="D21" s="206" t="s">
        <v>9117</v>
      </c>
      <c r="E21" s="204">
        <v>0.29770000000000002</v>
      </c>
      <c r="F21" s="204">
        <v>0.31130000000000002</v>
      </c>
      <c r="G21" s="204">
        <v>0.34739999999999999</v>
      </c>
    </row>
    <row r="22" spans="1:9">
      <c r="A22" s="200"/>
      <c r="B22" s="200"/>
      <c r="C22" s="200"/>
      <c r="D22" s="200"/>
      <c r="E22" s="200"/>
      <c r="F22" s="200"/>
      <c r="G22" s="200"/>
    </row>
    <row r="23" spans="1:9">
      <c r="A23" s="200"/>
      <c r="B23" s="200"/>
      <c r="C23" s="200"/>
      <c r="E23" s="200"/>
      <c r="F23" s="200"/>
      <c r="G23" s="200"/>
    </row>
    <row r="24" spans="1:9" s="189" customFormat="1" ht="21">
      <c r="A24" s="524" t="s">
        <v>22736</v>
      </c>
      <c r="B24" s="524"/>
      <c r="C24" s="524"/>
      <c r="D24" s="524"/>
      <c r="E24" s="524"/>
      <c r="F24" s="524"/>
      <c r="G24" s="524"/>
      <c r="I24"/>
    </row>
    <row r="25" spans="1:9" s="190" customFormat="1" ht="18" customHeight="1">
      <c r="A25" s="525" t="s">
        <v>154</v>
      </c>
      <c r="B25" s="525" t="s">
        <v>157</v>
      </c>
      <c r="C25" s="525" t="s">
        <v>9122</v>
      </c>
      <c r="D25" s="526" t="s">
        <v>9121</v>
      </c>
      <c r="E25" s="525" t="s">
        <v>9127</v>
      </c>
      <c r="F25" s="525"/>
      <c r="G25" s="525"/>
      <c r="I25"/>
    </row>
    <row r="26" spans="1:9" s="190" customFormat="1" ht="30" customHeight="1">
      <c r="A26" s="525"/>
      <c r="B26" s="525"/>
      <c r="C26" s="525"/>
      <c r="D26" s="526"/>
      <c r="E26" s="191" t="s">
        <v>9124</v>
      </c>
      <c r="F26" s="191" t="s">
        <v>9123</v>
      </c>
      <c r="G26" s="191" t="s">
        <v>9125</v>
      </c>
      <c r="I26"/>
    </row>
    <row r="27" spans="1:9" ht="15.95" customHeight="1">
      <c r="A27" s="192">
        <v>1</v>
      </c>
      <c r="B27" s="193" t="s">
        <v>9098</v>
      </c>
      <c r="C27" s="194">
        <f>F27</f>
        <v>4.0099999999999997E-2</v>
      </c>
      <c r="D27" s="192" t="str">
        <f>IF(AND(C27&gt;=E27,C27&lt;=G27),"OK","DIFERE")</f>
        <v>OK</v>
      </c>
      <c r="E27" s="195">
        <v>3.7999999999999999E-2</v>
      </c>
      <c r="F27" s="195">
        <v>4.0099999999999997E-2</v>
      </c>
      <c r="G27" s="195">
        <v>4.6699999999999998E-2</v>
      </c>
    </row>
    <row r="28" spans="1:9" ht="15.95" customHeight="1">
      <c r="A28" s="192">
        <v>2</v>
      </c>
      <c r="B28" s="193" t="s">
        <v>9099</v>
      </c>
      <c r="C28" s="194">
        <f t="shared" ref="C28:C31" si="1">F28</f>
        <v>4.0000000000000001E-3</v>
      </c>
      <c r="D28" s="192" t="str">
        <f>IF(AND(C28&gt;=E28,C28&lt;=G28),"OK","DIFERE")</f>
        <v>OK</v>
      </c>
      <c r="E28" s="195">
        <v>3.2000000000000002E-3</v>
      </c>
      <c r="F28" s="195">
        <v>4.0000000000000001E-3</v>
      </c>
      <c r="G28" s="195">
        <v>7.4000000000000003E-3</v>
      </c>
    </row>
    <row r="29" spans="1:9" ht="15.95" customHeight="1">
      <c r="A29" s="192">
        <v>3</v>
      </c>
      <c r="B29" s="193" t="s">
        <v>9100</v>
      </c>
      <c r="C29" s="194">
        <f t="shared" si="1"/>
        <v>5.5999999999999999E-3</v>
      </c>
      <c r="D29" s="192" t="str">
        <f>IF(AND(C29&gt;=E29,C29&lt;=G29),"OK","DIFERE")</f>
        <v>OK</v>
      </c>
      <c r="E29" s="195">
        <v>5.0000000000000001E-3</v>
      </c>
      <c r="F29" s="195">
        <v>5.5999999999999999E-3</v>
      </c>
      <c r="G29" s="195">
        <v>9.7000000000000003E-3</v>
      </c>
    </row>
    <row r="30" spans="1:9" ht="15.95" customHeight="1">
      <c r="A30" s="192">
        <v>4</v>
      </c>
      <c r="B30" s="193" t="s">
        <v>9101</v>
      </c>
      <c r="C30" s="194">
        <f t="shared" si="1"/>
        <v>1.11E-2</v>
      </c>
      <c r="D30" s="192" t="str">
        <f>IF(AND(C30&gt;=E30,C30&lt;=G30),"OK","DIFERE")</f>
        <v>OK</v>
      </c>
      <c r="E30" s="195">
        <v>1.0200000000000001E-2</v>
      </c>
      <c r="F30" s="195">
        <v>1.11E-2</v>
      </c>
      <c r="G30" s="195">
        <v>1.21E-2</v>
      </c>
    </row>
    <row r="31" spans="1:9" ht="15.95" customHeight="1">
      <c r="A31" s="192">
        <v>5</v>
      </c>
      <c r="B31" s="193" t="s">
        <v>9102</v>
      </c>
      <c r="C31" s="194">
        <f t="shared" si="1"/>
        <v>7.2999999999999995E-2</v>
      </c>
      <c r="D31" s="192" t="str">
        <f>IF(AND(C31&gt;=E31,C31&lt;=G31),"OK","DIFERE")</f>
        <v>OK</v>
      </c>
      <c r="E31" s="195">
        <v>6.6400000000000001E-2</v>
      </c>
      <c r="F31" s="195">
        <v>7.2999999999999995E-2</v>
      </c>
      <c r="G31" s="195">
        <v>8.6900000000000005E-2</v>
      </c>
    </row>
    <row r="32" spans="1:9" ht="15.95" customHeight="1">
      <c r="A32" s="197">
        <v>6</v>
      </c>
      <c r="B32" s="198" t="s">
        <v>9103</v>
      </c>
      <c r="C32" s="199">
        <f>SUM(C33:C36)</f>
        <v>8.6499999999999994E-2</v>
      </c>
      <c r="D32" s="516" t="s">
        <v>9109</v>
      </c>
      <c r="E32" s="517"/>
      <c r="F32" s="517"/>
      <c r="G32" s="518"/>
    </row>
    <row r="33" spans="1:7" ht="15.95" customHeight="1">
      <c r="A33" s="192" t="s">
        <v>9104</v>
      </c>
      <c r="B33" s="201" t="s">
        <v>11</v>
      </c>
      <c r="C33" s="202">
        <v>6.4999999999999997E-3</v>
      </c>
      <c r="D33" s="200"/>
      <c r="E33" s="200"/>
      <c r="F33" s="200"/>
      <c r="G33" s="203"/>
    </row>
    <row r="34" spans="1:7" ht="15.95" customHeight="1">
      <c r="A34" s="192" t="s">
        <v>9105</v>
      </c>
      <c r="B34" s="201" t="s">
        <v>12</v>
      </c>
      <c r="C34" s="202">
        <v>0.03</v>
      </c>
      <c r="D34" s="200"/>
      <c r="E34" s="200"/>
      <c r="F34" s="200"/>
      <c r="G34" s="203"/>
    </row>
    <row r="35" spans="1:7" ht="15.95" customHeight="1">
      <c r="A35" s="192" t="s">
        <v>9106</v>
      </c>
      <c r="B35" s="201" t="s">
        <v>9120</v>
      </c>
      <c r="C35" s="202">
        <v>0.05</v>
      </c>
      <c r="D35" s="200"/>
      <c r="E35" s="200"/>
      <c r="F35" s="200"/>
      <c r="G35" s="203"/>
    </row>
    <row r="36" spans="1:7" ht="15.95" customHeight="1">
      <c r="A36" s="192" t="s">
        <v>9107</v>
      </c>
      <c r="B36" s="201" t="s">
        <v>9108</v>
      </c>
      <c r="C36" s="202">
        <v>0</v>
      </c>
      <c r="D36" s="200"/>
      <c r="E36" s="200"/>
      <c r="F36" s="200"/>
      <c r="G36" s="203"/>
    </row>
    <row r="37" spans="1:7" ht="15.95" customHeight="1">
      <c r="A37" s="519" t="s">
        <v>164</v>
      </c>
      <c r="B37" s="519"/>
      <c r="C37" s="520">
        <f>(((1+$C27+$C28+$C29)*(1+$C30)*(1+$C31)/(1-$C32)))-1</f>
        <v>0.24666704095238123</v>
      </c>
      <c r="D37" s="521" t="s">
        <v>9119</v>
      </c>
      <c r="E37" s="521"/>
      <c r="F37" s="521"/>
      <c r="G37" s="521"/>
    </row>
    <row r="38" spans="1:7" ht="15.95" customHeight="1">
      <c r="A38" s="519"/>
      <c r="B38" s="519"/>
      <c r="C38" s="520"/>
      <c r="D38" s="206" t="s">
        <v>9118</v>
      </c>
      <c r="E38" s="204">
        <v>0.19600000000000001</v>
      </c>
      <c r="F38" s="204">
        <v>0.2097</v>
      </c>
      <c r="G38" s="204">
        <v>0.24229999999999999</v>
      </c>
    </row>
    <row r="39" spans="1:7" ht="15.95" customHeight="1">
      <c r="A39" s="519"/>
      <c r="B39" s="519"/>
      <c r="C39" s="520"/>
      <c r="D39" s="206" t="s">
        <v>9117</v>
      </c>
      <c r="E39" s="204">
        <v>0.29770000000000002</v>
      </c>
      <c r="F39" s="204">
        <v>0.31130000000000002</v>
      </c>
      <c r="G39" s="204">
        <v>0.34739999999999999</v>
      </c>
    </row>
    <row r="40" spans="1:7">
      <c r="A40" s="522" t="s">
        <v>22737</v>
      </c>
      <c r="B40" s="522"/>
      <c r="C40" s="318">
        <f>C37-10%</f>
        <v>0.14666704095238123</v>
      </c>
      <c r="D40" s="523"/>
      <c r="E40" s="523"/>
      <c r="F40" s="523"/>
      <c r="G40" s="523"/>
    </row>
    <row r="41" spans="1:7">
      <c r="A41" s="205" t="s">
        <v>9128</v>
      </c>
      <c r="B41" s="200"/>
      <c r="C41" s="200"/>
      <c r="D41" s="514" t="s">
        <v>23679</v>
      </c>
      <c r="E41" s="514"/>
      <c r="F41" s="514"/>
      <c r="G41" s="514"/>
    </row>
    <row r="42" spans="1:7">
      <c r="A42" s="200" t="s">
        <v>9110</v>
      </c>
      <c r="B42" s="200"/>
      <c r="C42" s="200"/>
      <c r="D42" s="515" t="s">
        <v>23677</v>
      </c>
      <c r="E42" s="515"/>
      <c r="F42" s="515"/>
      <c r="G42" s="515"/>
    </row>
    <row r="43" spans="1:7">
      <c r="A43" s="200" t="s">
        <v>9111</v>
      </c>
      <c r="B43" s="200"/>
      <c r="C43" s="200"/>
      <c r="D43" s="515" t="s">
        <v>23678</v>
      </c>
      <c r="E43" s="515"/>
      <c r="F43" s="515"/>
      <c r="G43" s="515"/>
    </row>
    <row r="44" spans="1:7">
      <c r="A44" s="200" t="s">
        <v>9112</v>
      </c>
      <c r="B44" s="200"/>
      <c r="C44" s="200"/>
      <c r="D44" s="515" t="s">
        <v>23676</v>
      </c>
      <c r="E44" s="515"/>
      <c r="F44" s="515"/>
      <c r="G44" s="515"/>
    </row>
    <row r="45" spans="1:7">
      <c r="A45" s="200" t="s">
        <v>9113</v>
      </c>
      <c r="B45" s="200"/>
      <c r="C45" s="200"/>
      <c r="D45" s="513"/>
      <c r="E45" s="513"/>
      <c r="F45" s="513"/>
      <c r="G45" s="513"/>
    </row>
    <row r="46" spans="1:7">
      <c r="A46" s="200" t="s">
        <v>9114</v>
      </c>
      <c r="B46" s="200"/>
      <c r="C46" s="200"/>
      <c r="D46" s="513"/>
      <c r="E46" s="513"/>
      <c r="F46" s="513"/>
      <c r="G46" s="513"/>
    </row>
    <row r="47" spans="1:7">
      <c r="A47" s="200" t="s">
        <v>9115</v>
      </c>
      <c r="B47" s="200"/>
      <c r="C47" s="200"/>
      <c r="D47" s="513"/>
      <c r="E47" s="513"/>
      <c r="F47" s="513"/>
      <c r="G47" s="513"/>
    </row>
    <row r="48" spans="1:7">
      <c r="A48" s="200" t="s">
        <v>9116</v>
      </c>
      <c r="B48" s="200"/>
      <c r="C48" s="200"/>
      <c r="D48" s="513"/>
      <c r="E48" s="513"/>
      <c r="F48" s="513"/>
      <c r="G48" s="513"/>
    </row>
  </sheetData>
  <mergeCells count="34">
    <mergeCell ref="A1:G1"/>
    <mergeCell ref="A3:G3"/>
    <mergeCell ref="A4:G4"/>
    <mergeCell ref="A6:G6"/>
    <mergeCell ref="A2:C2"/>
    <mergeCell ref="E7:G7"/>
    <mergeCell ref="D19:G19"/>
    <mergeCell ref="A7:A8"/>
    <mergeCell ref="B7:B8"/>
    <mergeCell ref="C7:C8"/>
    <mergeCell ref="D7:D8"/>
    <mergeCell ref="D14:G14"/>
    <mergeCell ref="A19:B21"/>
    <mergeCell ref="C19:C21"/>
    <mergeCell ref="A24:G24"/>
    <mergeCell ref="A25:A26"/>
    <mergeCell ref="B25:B26"/>
    <mergeCell ref="C25:C26"/>
    <mergeCell ref="D25:D26"/>
    <mergeCell ref="E25:G25"/>
    <mergeCell ref="D32:G32"/>
    <mergeCell ref="A37:B39"/>
    <mergeCell ref="C37:C39"/>
    <mergeCell ref="D37:G37"/>
    <mergeCell ref="A40:B40"/>
    <mergeCell ref="D40:G40"/>
    <mergeCell ref="D46:G46"/>
    <mergeCell ref="D47:G47"/>
    <mergeCell ref="D48:G48"/>
    <mergeCell ref="D41:G41"/>
    <mergeCell ref="D42:G42"/>
    <mergeCell ref="D43:G43"/>
    <mergeCell ref="D44:G44"/>
    <mergeCell ref="D45:G45"/>
  </mergeCells>
  <printOptions horizontalCentered="1"/>
  <pageMargins left="0.78740157480314965" right="0.39370078740157483" top="0.39370078740157483" bottom="0.59055118110236227" header="0" footer="0.19685039370078741"/>
  <pageSetup paperSize="9" scale="63" orientation="landscape" r:id="rId1"/>
  <headerFooter>
    <oddFooter>&amp;LAGÊNCIA DE ASSUNTOS METROPOLITANOS DO PARANÁ - AMEP
DIRETORIA DE OBRAS&amp;CENGª CIBELE CRISTINE MELLO FRANCZAK
DIRETORA DE OBRAS&amp;RPágina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3:AU79"/>
  <sheetViews>
    <sheetView showGridLines="0" zoomScale="85" zoomScaleNormal="85" zoomScaleSheetLayoutView="25" workbookViewId="0">
      <pane xSplit="4" ySplit="15" topLeftCell="E16" activePane="bottomRight" state="frozen"/>
      <selection activeCell="B30" sqref="B30"/>
      <selection pane="topRight" activeCell="B30" sqref="B30"/>
      <selection pane="bottomLeft" activeCell="B30" sqref="B30"/>
      <selection pane="bottomRight" activeCell="B30" sqref="B30"/>
    </sheetView>
  </sheetViews>
  <sheetFormatPr defaultRowHeight="15.75"/>
  <cols>
    <col min="1" max="1" width="16.42578125" style="6" customWidth="1"/>
    <col min="2" max="2" width="51.7109375" style="398" bestFit="1" customWidth="1"/>
    <col min="3" max="3" width="16.85546875" style="47" bestFit="1" customWidth="1"/>
    <col min="4" max="4" width="16.85546875" style="47" customWidth="1"/>
    <col min="5" max="5" width="20.42578125" style="47" customWidth="1"/>
    <col min="6" max="35" width="15.7109375" style="47" customWidth="1"/>
    <col min="36" max="36" width="17.140625" style="47" bestFit="1" customWidth="1"/>
    <col min="37" max="37" width="15.7109375" style="47" customWidth="1"/>
    <col min="38" max="38" width="17.140625" style="47" bestFit="1" customWidth="1"/>
    <col min="39" max="39" width="17.140625" style="47" customWidth="1"/>
    <col min="40" max="40" width="17.140625" style="47" bestFit="1" customWidth="1"/>
    <col min="41" max="41" width="15.7109375" style="47" bestFit="1" customWidth="1"/>
    <col min="42" max="42" width="17.140625" style="47" bestFit="1" customWidth="1"/>
    <col min="43" max="43" width="15.7109375" style="47" bestFit="1" customWidth="1"/>
    <col min="44" max="44" width="17.140625" style="47" bestFit="1" customWidth="1"/>
    <col min="45" max="45" width="15.7109375" style="47" bestFit="1" customWidth="1"/>
    <col min="46" max="46" width="17.140625" style="47" bestFit="1" customWidth="1"/>
    <col min="47" max="47" width="17.42578125" style="6" customWidth="1"/>
    <col min="48" max="16384" width="9.140625" style="6"/>
  </cols>
  <sheetData>
    <row r="3" spans="1:47">
      <c r="A3" s="495"/>
      <c r="B3" s="495"/>
      <c r="C3" s="495"/>
      <c r="D3" s="399"/>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0"/>
      <c r="AH3" s="399"/>
      <c r="AI3" s="399"/>
      <c r="AJ3" s="399"/>
      <c r="AK3" s="399"/>
      <c r="AL3" s="399"/>
      <c r="AM3" s="399"/>
      <c r="AN3" s="399"/>
      <c r="AO3" s="399"/>
      <c r="AP3" s="399"/>
      <c r="AQ3" s="399"/>
      <c r="AR3" s="399"/>
      <c r="AS3" s="399"/>
      <c r="AT3" s="399"/>
    </row>
    <row r="4" spans="1:47">
      <c r="A4" s="541"/>
      <c r="B4" s="541"/>
      <c r="C4" s="541"/>
      <c r="D4" s="128"/>
      <c r="E4" s="128"/>
      <c r="F4" s="128"/>
      <c r="G4" s="128"/>
      <c r="H4" s="128"/>
      <c r="I4" s="128"/>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row>
    <row r="5" spans="1:47">
      <c r="A5" s="545" t="s">
        <v>167</v>
      </c>
      <c r="B5" s="545"/>
      <c r="C5" s="545"/>
      <c r="D5" s="401"/>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row>
    <row r="6" spans="1:47" ht="32.25" customHeight="1">
      <c r="A6" s="546" t="s">
        <v>165</v>
      </c>
      <c r="B6" s="546"/>
      <c r="C6" s="546"/>
      <c r="D6" s="6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row>
    <row r="7" spans="1:47" ht="15" customHeight="1">
      <c r="A7" s="547"/>
      <c r="B7" s="547"/>
      <c r="C7" s="547"/>
      <c r="D7" s="63"/>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row>
    <row r="8" spans="1:47" ht="33.75" customHeight="1">
      <c r="A8" s="546" t="s">
        <v>25931</v>
      </c>
      <c r="B8" s="546"/>
      <c r="C8" s="546"/>
      <c r="D8" s="62"/>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row>
    <row r="9" spans="1:47">
      <c r="A9" s="62"/>
      <c r="B9" s="128"/>
      <c r="C9" s="62"/>
      <c r="D9" s="62"/>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row>
    <row r="10" spans="1:47" ht="15.75" customHeight="1">
      <c r="A10" s="543" t="s">
        <v>23702</v>
      </c>
      <c r="B10" s="544"/>
      <c r="C10" s="544"/>
      <c r="D10" s="394"/>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row>
    <row r="11" spans="1:47">
      <c r="A11" s="544"/>
      <c r="B11" s="544"/>
      <c r="C11" s="544"/>
      <c r="D11" s="394"/>
      <c r="E11" s="20"/>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row>
    <row r="12" spans="1:47">
      <c r="A12" s="388"/>
      <c r="B12" s="388"/>
      <c r="C12" s="388"/>
      <c r="D12" s="394"/>
      <c r="E12" s="20"/>
      <c r="F12" s="20"/>
      <c r="G12" s="20"/>
      <c r="H12" s="20"/>
      <c r="I12" s="20"/>
      <c r="J12" s="20"/>
      <c r="K12" s="20"/>
      <c r="L12" s="20"/>
      <c r="M12" s="20"/>
      <c r="N12" s="20"/>
      <c r="O12" s="20"/>
      <c r="P12" s="20"/>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row>
    <row r="13" spans="1:47" ht="15.75" customHeight="1">
      <c r="A13" s="548" t="s">
        <v>9027</v>
      </c>
      <c r="B13" s="549"/>
      <c r="C13" s="549"/>
      <c r="D13" s="550"/>
      <c r="E13" s="542" t="s">
        <v>9029</v>
      </c>
      <c r="F13" s="542"/>
      <c r="G13" s="542" t="s">
        <v>9030</v>
      </c>
      <c r="H13" s="542"/>
      <c r="I13" s="542" t="s">
        <v>9031</v>
      </c>
      <c r="J13" s="542"/>
      <c r="K13" s="542" t="s">
        <v>9032</v>
      </c>
      <c r="L13" s="542"/>
      <c r="M13" s="542" t="s">
        <v>9033</v>
      </c>
      <c r="N13" s="542"/>
      <c r="O13" s="542" t="s">
        <v>9034</v>
      </c>
      <c r="P13" s="542"/>
      <c r="Q13" s="542" t="s">
        <v>9035</v>
      </c>
      <c r="R13" s="542"/>
      <c r="S13" s="542" t="s">
        <v>9036</v>
      </c>
      <c r="T13" s="542"/>
      <c r="U13" s="542" t="s">
        <v>9037</v>
      </c>
      <c r="V13" s="542"/>
      <c r="W13" s="542" t="s">
        <v>9038</v>
      </c>
      <c r="X13" s="542"/>
      <c r="Y13" s="542" t="s">
        <v>9039</v>
      </c>
      <c r="Z13" s="542"/>
      <c r="AA13" s="542" t="s">
        <v>9040</v>
      </c>
      <c r="AB13" s="542"/>
      <c r="AC13" s="542" t="s">
        <v>9041</v>
      </c>
      <c r="AD13" s="542"/>
      <c r="AE13" s="542" t="s">
        <v>9042</v>
      </c>
      <c r="AF13" s="542"/>
      <c r="AG13" s="542" t="s">
        <v>9043</v>
      </c>
      <c r="AH13" s="542"/>
      <c r="AI13" s="542" t="s">
        <v>9044</v>
      </c>
      <c r="AJ13" s="542"/>
      <c r="AK13" s="542" t="s">
        <v>9045</v>
      </c>
      <c r="AL13" s="542"/>
      <c r="AM13" s="542" t="s">
        <v>9046</v>
      </c>
      <c r="AN13" s="542"/>
      <c r="AO13" s="542" t="s">
        <v>9047</v>
      </c>
      <c r="AP13" s="542"/>
      <c r="AQ13" s="542" t="s">
        <v>9048</v>
      </c>
      <c r="AR13" s="542"/>
      <c r="AS13" s="542" t="s">
        <v>9049</v>
      </c>
      <c r="AT13" s="542"/>
    </row>
    <row r="14" spans="1:47" ht="15.75" customHeight="1">
      <c r="A14" s="400" t="s">
        <v>154</v>
      </c>
      <c r="B14" s="396" t="s">
        <v>157</v>
      </c>
      <c r="C14" s="41" t="s">
        <v>332</v>
      </c>
      <c r="D14" s="41" t="s">
        <v>14</v>
      </c>
      <c r="E14" s="41" t="s">
        <v>14</v>
      </c>
      <c r="F14" s="41" t="s">
        <v>9028</v>
      </c>
      <c r="G14" s="41" t="s">
        <v>14</v>
      </c>
      <c r="H14" s="41" t="s">
        <v>9028</v>
      </c>
      <c r="I14" s="41" t="s">
        <v>14</v>
      </c>
      <c r="J14" s="41" t="s">
        <v>9028</v>
      </c>
      <c r="K14" s="41" t="s">
        <v>14</v>
      </c>
      <c r="L14" s="41" t="s">
        <v>9028</v>
      </c>
      <c r="M14" s="41" t="s">
        <v>14</v>
      </c>
      <c r="N14" s="41" t="s">
        <v>9028</v>
      </c>
      <c r="O14" s="41" t="s">
        <v>14</v>
      </c>
      <c r="P14" s="41" t="s">
        <v>9028</v>
      </c>
      <c r="Q14" s="41" t="s">
        <v>14</v>
      </c>
      <c r="R14" s="41" t="s">
        <v>9028</v>
      </c>
      <c r="S14" s="41" t="s">
        <v>14</v>
      </c>
      <c r="T14" s="41" t="s">
        <v>9028</v>
      </c>
      <c r="U14" s="41" t="s">
        <v>14</v>
      </c>
      <c r="V14" s="41" t="s">
        <v>9028</v>
      </c>
      <c r="W14" s="41" t="s">
        <v>14</v>
      </c>
      <c r="X14" s="41" t="s">
        <v>9028</v>
      </c>
      <c r="Y14" s="41" t="s">
        <v>14</v>
      </c>
      <c r="Z14" s="41" t="s">
        <v>9028</v>
      </c>
      <c r="AA14" s="41" t="s">
        <v>14</v>
      </c>
      <c r="AB14" s="41" t="s">
        <v>9028</v>
      </c>
      <c r="AC14" s="41" t="s">
        <v>14</v>
      </c>
      <c r="AD14" s="41" t="s">
        <v>9028</v>
      </c>
      <c r="AE14" s="41" t="s">
        <v>14</v>
      </c>
      <c r="AF14" s="41" t="s">
        <v>9028</v>
      </c>
      <c r="AG14" s="41" t="s">
        <v>14</v>
      </c>
      <c r="AH14" s="41" t="s">
        <v>9028</v>
      </c>
      <c r="AI14" s="41" t="s">
        <v>14</v>
      </c>
      <c r="AJ14" s="41" t="s">
        <v>9028</v>
      </c>
      <c r="AK14" s="41" t="s">
        <v>14</v>
      </c>
      <c r="AL14" s="41" t="s">
        <v>9028</v>
      </c>
      <c r="AM14" s="41" t="s">
        <v>14</v>
      </c>
      <c r="AN14" s="41" t="s">
        <v>9028</v>
      </c>
      <c r="AO14" s="41" t="s">
        <v>14</v>
      </c>
      <c r="AP14" s="41" t="s">
        <v>9028</v>
      </c>
      <c r="AQ14" s="41" t="s">
        <v>14</v>
      </c>
      <c r="AR14" s="41" t="s">
        <v>9028</v>
      </c>
      <c r="AS14" s="41" t="s">
        <v>14</v>
      </c>
      <c r="AT14" s="41" t="s">
        <v>9028</v>
      </c>
    </row>
    <row r="15" spans="1:47" ht="15.75" customHeight="1">
      <c r="A15" s="391" t="s">
        <v>23668</v>
      </c>
      <c r="B15" s="395" t="s">
        <v>23656</v>
      </c>
      <c r="C15" s="392">
        <f>SUM(C16:C22)</f>
        <v>12458554.5878</v>
      </c>
      <c r="D15" s="393">
        <f t="shared" ref="D15:D59" si="0">C15/$C$74</f>
        <v>0.11320472719299973</v>
      </c>
      <c r="E15" s="393">
        <f>F15/C15</f>
        <v>6.8896897417510386E-2</v>
      </c>
      <c r="F15" s="392">
        <f>SUM(F16:F22)</f>
        <v>858355.75740610994</v>
      </c>
      <c r="G15" s="393">
        <f>H15/C15</f>
        <v>8.2377641107903854E-2</v>
      </c>
      <c r="H15" s="392">
        <f t="shared" ref="H15:AT15" si="1">SUM(H16:H22)</f>
        <v>1026306.3385570175</v>
      </c>
      <c r="I15" s="393">
        <f>J15/C15</f>
        <v>3.1711086413011923E-2</v>
      </c>
      <c r="J15" s="392">
        <f t="shared" si="1"/>
        <v>395074.30111495196</v>
      </c>
      <c r="K15" s="393">
        <f>L15/C15</f>
        <v>3.9846349642530379E-2</v>
      </c>
      <c r="L15" s="392">
        <f t="shared" si="1"/>
        <v>496427.92214602977</v>
      </c>
      <c r="M15" s="393">
        <f>N15/C15</f>
        <v>5.2131513126844303E-2</v>
      </c>
      <c r="N15" s="392">
        <f t="shared" si="1"/>
        <v>649483.30203540204</v>
      </c>
      <c r="O15" s="393">
        <f>P15/C15</f>
        <v>6.3292902522888272E-2</v>
      </c>
      <c r="P15" s="392">
        <f t="shared" si="1"/>
        <v>788538.08110170788</v>
      </c>
      <c r="Q15" s="393">
        <f>R15/C15</f>
        <v>7.0368571913816194E-2</v>
      </c>
      <c r="R15" s="392">
        <f t="shared" si="1"/>
        <v>876690.69445380894</v>
      </c>
      <c r="S15" s="393">
        <f>T15/C15</f>
        <v>6.3026345723158961E-2</v>
      </c>
      <c r="T15" s="392">
        <f t="shared" si="1"/>
        <v>785217.16866153094</v>
      </c>
      <c r="U15" s="393">
        <f>V15/C15</f>
        <v>6.7348922336414416E-2</v>
      </c>
      <c r="V15" s="392">
        <f t="shared" si="1"/>
        <v>839070.22535772168</v>
      </c>
      <c r="W15" s="393">
        <f>X15/C15</f>
        <v>7.732507646409488E-2</v>
      </c>
      <c r="X15" s="392">
        <f t="shared" si="1"/>
        <v>963358.686133735</v>
      </c>
      <c r="Y15" s="393">
        <f>Z15/C15</f>
        <v>6.2963107753367456E-2</v>
      </c>
      <c r="Z15" s="392">
        <f t="shared" si="1"/>
        <v>784429.31496286194</v>
      </c>
      <c r="AA15" s="393">
        <f>AB15/C15</f>
        <v>5.6018745183741753E-2</v>
      </c>
      <c r="AB15" s="392">
        <f t="shared" si="1"/>
        <v>697912.59481170494</v>
      </c>
      <c r="AC15" s="393">
        <f>AD15/C15</f>
        <v>4.5433339240018217E-2</v>
      </c>
      <c r="AD15" s="392">
        <f t="shared" si="1"/>
        <v>566033.73702780274</v>
      </c>
      <c r="AE15" s="393">
        <f>AF15/C15</f>
        <v>3.9594708611137515E-2</v>
      </c>
      <c r="AF15" s="392">
        <f t="shared" si="1"/>
        <v>493292.83861989144</v>
      </c>
      <c r="AG15" s="393">
        <f>AH15/C15</f>
        <v>3.72588359295749E-2</v>
      </c>
      <c r="AH15" s="392">
        <f t="shared" si="1"/>
        <v>464191.24130649288</v>
      </c>
      <c r="AI15" s="393">
        <f>AJ15/C15</f>
        <v>4.1677728782373739E-2</v>
      </c>
      <c r="AJ15" s="392">
        <f t="shared" si="1"/>
        <v>519244.25913072645</v>
      </c>
      <c r="AK15" s="393">
        <f>AL15/C15</f>
        <v>2.6931416568398002E-2</v>
      </c>
      <c r="AL15" s="392">
        <f t="shared" si="1"/>
        <v>335526.52344416786</v>
      </c>
      <c r="AM15" s="393">
        <f>AN15/C15</f>
        <v>1.1904066899955913E-2</v>
      </c>
      <c r="AN15" s="392">
        <f t="shared" si="1"/>
        <v>148307.46728992386</v>
      </c>
      <c r="AO15" s="393">
        <f>AP15/C15</f>
        <v>1.2682121082860784E-2</v>
      </c>
      <c r="AP15" s="392">
        <f t="shared" si="1"/>
        <v>158000.89779991031</v>
      </c>
      <c r="AQ15" s="393">
        <f>AR15/C15</f>
        <v>1.1878862299796686E-2</v>
      </c>
      <c r="AR15" s="392">
        <f t="shared" si="1"/>
        <v>147993.45440297647</v>
      </c>
      <c r="AS15" s="393">
        <f>AT15/C15</f>
        <v>3.7331760980601633E-2</v>
      </c>
      <c r="AT15" s="392">
        <f t="shared" si="1"/>
        <v>465099.78203552746</v>
      </c>
      <c r="AU15" s="387"/>
    </row>
    <row r="16" spans="1:47">
      <c r="A16" s="9" t="s">
        <v>333</v>
      </c>
      <c r="B16" s="397" t="str">
        <f>VLOOKUP(A16,'1. PLANILHA RESUMO'!A:B,2,0)</f>
        <v>ADMINISTRAÇÃO LOCAL</v>
      </c>
      <c r="C16" s="164">
        <f>VLOOKUP(A16,'2. PLANILHA SINTÉTICA'!A:N,14,0)</f>
        <v>7517008.6199999992</v>
      </c>
      <c r="D16" s="25">
        <f t="shared" si="0"/>
        <v>6.8303341622617128E-2</v>
      </c>
      <c r="E16" s="158">
        <f>E76</f>
        <v>7.7994544765933524E-3</v>
      </c>
      <c r="F16" s="154">
        <f>E16*C16</f>
        <v>58628.566531849814</v>
      </c>
      <c r="G16" s="158">
        <f>G76</f>
        <v>9.3255383884230988E-3</v>
      </c>
      <c r="H16" s="154">
        <f>G16*C16</f>
        <v>70100.15245191734</v>
      </c>
      <c r="I16" s="158">
        <f>I76</f>
        <v>2.0138690613236514E-2</v>
      </c>
      <c r="J16" s="154">
        <f>I16*C16</f>
        <v>151382.71093521194</v>
      </c>
      <c r="K16" s="158">
        <f>K76</f>
        <v>3.4732389742418546E-2</v>
      </c>
      <c r="L16" s="154">
        <f>K16*C16</f>
        <v>261083.67308695975</v>
      </c>
      <c r="M16" s="158">
        <f>M76</f>
        <v>5.7666616475688173E-2</v>
      </c>
      <c r="N16" s="154">
        <f>M16*C16</f>
        <v>433480.45313398197</v>
      </c>
      <c r="O16" s="158">
        <f>O76</f>
        <v>7.616530206936066E-2</v>
      </c>
      <c r="P16" s="154">
        <f>O16*C16</f>
        <v>572535.23220028786</v>
      </c>
      <c r="Q16" s="158">
        <f>Q76</f>
        <v>8.5319370751864188E-2</v>
      </c>
      <c r="R16" s="154">
        <f>Q16*C16</f>
        <v>641346.44539473893</v>
      </c>
      <c r="S16" s="158">
        <f>S76</f>
        <v>7.5723515634349634E-2</v>
      </c>
      <c r="T16" s="154">
        <f>S16*C16</f>
        <v>569214.31976011093</v>
      </c>
      <c r="U16" s="158">
        <f>U76</f>
        <v>8.1100105641342443E-2</v>
      </c>
      <c r="V16" s="154">
        <f>U16*C16</f>
        <v>609630.19318888173</v>
      </c>
      <c r="W16" s="158">
        <f>W76</f>
        <v>9.5034301041066929E-2</v>
      </c>
      <c r="X16" s="154">
        <f>W16*C16</f>
        <v>714373.660121375</v>
      </c>
      <c r="Y16" s="158">
        <f>Y76</f>
        <v>7.5618706163122898E-2</v>
      </c>
      <c r="Z16" s="154">
        <f>Y16*C16</f>
        <v>568426.46606144193</v>
      </c>
      <c r="AA16" s="158">
        <f>AA76</f>
        <v>6.3215459539618699E-2</v>
      </c>
      <c r="AB16" s="154">
        <f>AA16*C16</f>
        <v>475191.15427657496</v>
      </c>
      <c r="AC16" s="158">
        <f>AC76</f>
        <v>6.7886544624766287E-2</v>
      </c>
      <c r="AD16" s="154">
        <f>AC16*C16</f>
        <v>510303.74112638278</v>
      </c>
      <c r="AE16" s="158">
        <f>AE76</f>
        <v>5.7315918188312713E-2</v>
      </c>
      <c r="AF16" s="154">
        <f>AE16*C16</f>
        <v>430844.2510847614</v>
      </c>
      <c r="AG16" s="158">
        <f>AG76</f>
        <v>5.4338270188796577E-2</v>
      </c>
      <c r="AH16" s="154">
        <f>AG16*C16</f>
        <v>408461.24540507287</v>
      </c>
      <c r="AI16" s="158">
        <f>AI76</f>
        <v>6.0768278272321105E-2</v>
      </c>
      <c r="AJ16" s="154">
        <f>AI16*C16</f>
        <v>456795.67159559642</v>
      </c>
      <c r="AK16" s="158">
        <f>AK76</f>
        <v>3.7221791498058425E-2</v>
      </c>
      <c r="AL16" s="154">
        <f>AK16*C16</f>
        <v>279796.52754274785</v>
      </c>
      <c r="AM16" s="158">
        <f>AM76</f>
        <v>1.1421947758095545E-2</v>
      </c>
      <c r="AN16" s="154">
        <f>AM16*C16</f>
        <v>85858.879754793874</v>
      </c>
      <c r="AO16" s="158">
        <f>AO76</f>
        <v>1.360526601318309E-2</v>
      </c>
      <c r="AP16" s="154">
        <f>AO16*C16</f>
        <v>102270.90189849031</v>
      </c>
      <c r="AQ16" s="158">
        <f>AQ76</f>
        <v>1.1376401101938135E-2</v>
      </c>
      <c r="AR16" s="154">
        <f>AQ16*C16</f>
        <v>85516.505147846445</v>
      </c>
      <c r="AS16" s="158">
        <f>AS76</f>
        <v>4.2261318174432808E-3</v>
      </c>
      <c r="AT16" s="154">
        <f>AS16*C16</f>
        <v>31767.869300977403</v>
      </c>
      <c r="AU16" s="451">
        <f>E16+G16+I16+K16+M16+O16+Q16+S16+U16+W16+Y16+AA16+AC16+AE16+AG16+AI16+AK16+AM16+AO16+AQ16+AS16</f>
        <v>1.0000000000000004</v>
      </c>
    </row>
    <row r="17" spans="1:47">
      <c r="A17" s="9" t="s">
        <v>334</v>
      </c>
      <c r="B17" s="397" t="str">
        <f>VLOOKUP(A17,'1. PLANILHA RESUMO'!A:B,2,0)</f>
        <v>PROGRAMAS AMBIENTAIS</v>
      </c>
      <c r="C17" s="164">
        <f>VLOOKUP(A17,'2. PLANILHA SINTÉTICA'!A:N,14,0)</f>
        <v>2035936.8587000002</v>
      </c>
      <c r="D17" s="25">
        <f t="shared" si="0"/>
        <v>1.8499551857885738E-2</v>
      </c>
      <c r="E17" s="158">
        <v>7.9799999999999996E-2</v>
      </c>
      <c r="F17" s="154">
        <f t="shared" ref="F17:F22" si="2">E17*C17</f>
        <v>162467.76132426001</v>
      </c>
      <c r="G17" s="158">
        <v>0.17299999999999999</v>
      </c>
      <c r="H17" s="154">
        <f t="shared" ref="H17:H22" si="3">G17*C17</f>
        <v>352217.07655510004</v>
      </c>
      <c r="I17" s="158">
        <v>4.02E-2</v>
      </c>
      <c r="J17" s="154">
        <f t="shared" ref="J17:J22" si="4">I17*C17</f>
        <v>81844.661719740005</v>
      </c>
      <c r="K17" s="158">
        <v>3.61E-2</v>
      </c>
      <c r="L17" s="154">
        <f t="shared" ref="L17:L22" si="5">K17*C17</f>
        <v>73497.320599070008</v>
      </c>
      <c r="M17" s="158">
        <v>2.6599999999999999E-2</v>
      </c>
      <c r="N17" s="154">
        <f t="shared" ref="N17:N22" si="6">M17*C17</f>
        <v>54155.920441419999</v>
      </c>
      <c r="O17" s="158">
        <v>2.6599999999999999E-2</v>
      </c>
      <c r="P17" s="154">
        <f t="shared" ref="P17:P22" si="7">O17*C17</f>
        <v>54155.920441419999</v>
      </c>
      <c r="Q17" s="158">
        <v>3.61E-2</v>
      </c>
      <c r="R17" s="154">
        <f t="shared" ref="R17:R22" si="8">Q17*C17</f>
        <v>73497.320599070008</v>
      </c>
      <c r="S17" s="158">
        <v>2.6599999999999999E-2</v>
      </c>
      <c r="T17" s="154">
        <f t="shared" ref="T17:T22" si="9">S17*C17</f>
        <v>54155.920441419999</v>
      </c>
      <c r="U17" s="158">
        <v>3.32E-2</v>
      </c>
      <c r="V17" s="154">
        <f t="shared" ref="V17:V22" si="10">U17*C17</f>
        <v>67593.103708840004</v>
      </c>
      <c r="W17" s="158">
        <v>4.2799999999999998E-2</v>
      </c>
      <c r="X17" s="154">
        <f t="shared" ref="X17:X22" si="11">W17*C17</f>
        <v>87138.097552360006</v>
      </c>
      <c r="Y17" s="158">
        <v>2.6599999999999999E-2</v>
      </c>
      <c r="Z17" s="154">
        <f t="shared" ref="Z17:Z22" si="12">Y17*C17</f>
        <v>54155.920441419999</v>
      </c>
      <c r="AA17" s="158">
        <v>2.9899999999999999E-2</v>
      </c>
      <c r="AB17" s="154">
        <f t="shared" ref="AB17:AB22" si="13">AA17*C17</f>
        <v>60874.512075130006</v>
      </c>
      <c r="AC17" s="158">
        <v>2.6599999999999999E-2</v>
      </c>
      <c r="AD17" s="154">
        <f t="shared" ref="AD17:AD22" si="14">AC17*C17</f>
        <v>54155.920441419999</v>
      </c>
      <c r="AE17" s="158">
        <v>2.9899999999999999E-2</v>
      </c>
      <c r="AF17" s="154">
        <f t="shared" ref="AF17:AF22" si="15">AE17*C17</f>
        <v>60874.512075130006</v>
      </c>
      <c r="AG17" s="158">
        <v>2.6599999999999999E-2</v>
      </c>
      <c r="AH17" s="154">
        <f t="shared" ref="AH17:AH22" si="16">AG17*C17</f>
        <v>54155.920441419999</v>
      </c>
      <c r="AI17" s="158">
        <v>2.9899999999999999E-2</v>
      </c>
      <c r="AJ17" s="154">
        <f t="shared" ref="AJ17:AJ22" si="17">AI17*C17</f>
        <v>60874.512075130006</v>
      </c>
      <c r="AK17" s="158">
        <v>2.6599999999999999E-2</v>
      </c>
      <c r="AL17" s="154">
        <f t="shared" ref="AL17:AL22" si="18">AK17*C17</f>
        <v>54155.920441419999</v>
      </c>
      <c r="AM17" s="158">
        <v>2.9899999999999999E-2</v>
      </c>
      <c r="AN17" s="154">
        <f t="shared" ref="AN17:AN22" si="19">AM17*C17</f>
        <v>60874.512075130006</v>
      </c>
      <c r="AO17" s="158">
        <v>2.6599999999999999E-2</v>
      </c>
      <c r="AP17" s="154">
        <f t="shared" ref="AP17:AP22" si="20">AO17*C17</f>
        <v>54155.920441419999</v>
      </c>
      <c r="AQ17" s="158">
        <v>2.9899999999999999E-2</v>
      </c>
      <c r="AR17" s="154">
        <f t="shared" ref="AR17:AR22" si="21">AQ17*C17</f>
        <v>60874.512075130006</v>
      </c>
      <c r="AS17" s="158">
        <v>0.19650000000000001</v>
      </c>
      <c r="AT17" s="154">
        <f t="shared" ref="AT17:AT22" si="22">AS17*C17</f>
        <v>400061.59273455007</v>
      </c>
      <c r="AU17" s="451">
        <f t="shared" ref="AU17:AU74" si="23">E17+G17+I17+K17+M17+O17+Q17+S17+U17+W17+Y17+AA17+AC17+AE17+AG17+AI17+AK17+AM17+AO17+AQ17+AS17</f>
        <v>1</v>
      </c>
    </row>
    <row r="18" spans="1:47">
      <c r="A18" s="9" t="s">
        <v>335</v>
      </c>
      <c r="B18" s="397" t="str">
        <f>VLOOKUP(A18,'1. PLANILHA RESUMO'!A:B,2,0)</f>
        <v>MOBILIZAÇÃO</v>
      </c>
      <c r="C18" s="164">
        <f>VLOOKUP(A18,'2. PLANILHA SINTÉTICA'!A:N,14,0)</f>
        <v>33270.32</v>
      </c>
      <c r="D18" s="25">
        <f t="shared" si="0"/>
        <v>3.0231095209969192E-4</v>
      </c>
      <c r="E18" s="158">
        <v>1</v>
      </c>
      <c r="F18" s="154">
        <f t="shared" si="2"/>
        <v>33270.32</v>
      </c>
      <c r="G18" s="165"/>
      <c r="H18" s="164">
        <f t="shared" si="3"/>
        <v>0</v>
      </c>
      <c r="I18" s="165"/>
      <c r="J18" s="164">
        <f t="shared" si="4"/>
        <v>0</v>
      </c>
      <c r="K18" s="165"/>
      <c r="L18" s="164">
        <f t="shared" si="5"/>
        <v>0</v>
      </c>
      <c r="M18" s="165"/>
      <c r="N18" s="164">
        <f t="shared" si="6"/>
        <v>0</v>
      </c>
      <c r="O18" s="165"/>
      <c r="P18" s="164">
        <f t="shared" si="7"/>
        <v>0</v>
      </c>
      <c r="Q18" s="165"/>
      <c r="R18" s="164">
        <f t="shared" si="8"/>
        <v>0</v>
      </c>
      <c r="S18" s="165"/>
      <c r="T18" s="164">
        <f t="shared" si="9"/>
        <v>0</v>
      </c>
      <c r="U18" s="165"/>
      <c r="V18" s="164">
        <f t="shared" si="10"/>
        <v>0</v>
      </c>
      <c r="W18" s="165"/>
      <c r="X18" s="164">
        <f t="shared" si="11"/>
        <v>0</v>
      </c>
      <c r="Y18" s="165"/>
      <c r="Z18" s="164">
        <f t="shared" si="12"/>
        <v>0</v>
      </c>
      <c r="AA18" s="165"/>
      <c r="AB18" s="164">
        <f t="shared" si="13"/>
        <v>0</v>
      </c>
      <c r="AC18" s="165"/>
      <c r="AD18" s="164">
        <f t="shared" si="14"/>
        <v>0</v>
      </c>
      <c r="AE18" s="165"/>
      <c r="AF18" s="164">
        <f t="shared" si="15"/>
        <v>0</v>
      </c>
      <c r="AG18" s="165"/>
      <c r="AH18" s="164">
        <f t="shared" si="16"/>
        <v>0</v>
      </c>
      <c r="AI18" s="165"/>
      <c r="AJ18" s="164">
        <f t="shared" si="17"/>
        <v>0</v>
      </c>
      <c r="AK18" s="165"/>
      <c r="AL18" s="164">
        <f t="shared" si="18"/>
        <v>0</v>
      </c>
      <c r="AM18" s="165"/>
      <c r="AN18" s="164">
        <f t="shared" si="19"/>
        <v>0</v>
      </c>
      <c r="AO18" s="165"/>
      <c r="AP18" s="164">
        <f t="shared" si="20"/>
        <v>0</v>
      </c>
      <c r="AQ18" s="165"/>
      <c r="AR18" s="164">
        <f t="shared" si="21"/>
        <v>0</v>
      </c>
      <c r="AS18" s="165"/>
      <c r="AT18" s="164">
        <f t="shared" si="22"/>
        <v>0</v>
      </c>
      <c r="AU18" s="451">
        <f t="shared" si="23"/>
        <v>1</v>
      </c>
    </row>
    <row r="19" spans="1:47">
      <c r="A19" s="9" t="s">
        <v>336</v>
      </c>
      <c r="B19" s="397" t="str">
        <f>VLOOKUP(A19,'1. PLANILHA RESUMO'!A:B,2,0)</f>
        <v>CANTEIRO DE OBRAS</v>
      </c>
      <c r="C19" s="164">
        <f>VLOOKUP(A19,'2. PLANILHA SINTÉTICA'!A:N,14,0)</f>
        <v>1207978.2191000003</v>
      </c>
      <c r="D19" s="25">
        <f t="shared" si="0"/>
        <v>1.0976300965299142E-2</v>
      </c>
      <c r="E19" s="158">
        <v>0.5</v>
      </c>
      <c r="F19" s="154">
        <f t="shared" si="2"/>
        <v>603989.10955000017</v>
      </c>
      <c r="G19" s="158">
        <v>0.5</v>
      </c>
      <c r="H19" s="154">
        <f t="shared" si="3"/>
        <v>603989.10955000017</v>
      </c>
      <c r="I19" s="165"/>
      <c r="J19" s="164">
        <f t="shared" si="4"/>
        <v>0</v>
      </c>
      <c r="K19" s="165"/>
      <c r="L19" s="164">
        <f t="shared" si="5"/>
        <v>0</v>
      </c>
      <c r="M19" s="165"/>
      <c r="N19" s="164">
        <f t="shared" si="6"/>
        <v>0</v>
      </c>
      <c r="O19" s="165"/>
      <c r="P19" s="164">
        <f t="shared" si="7"/>
        <v>0</v>
      </c>
      <c r="Q19" s="165"/>
      <c r="R19" s="164">
        <f t="shared" si="8"/>
        <v>0</v>
      </c>
      <c r="S19" s="165"/>
      <c r="T19" s="164">
        <f t="shared" si="9"/>
        <v>0</v>
      </c>
      <c r="U19" s="165"/>
      <c r="V19" s="164">
        <f t="shared" si="10"/>
        <v>0</v>
      </c>
      <c r="W19" s="165"/>
      <c r="X19" s="164">
        <f t="shared" si="11"/>
        <v>0</v>
      </c>
      <c r="Y19" s="165"/>
      <c r="Z19" s="164">
        <f t="shared" si="12"/>
        <v>0</v>
      </c>
      <c r="AA19" s="165"/>
      <c r="AB19" s="164">
        <f t="shared" si="13"/>
        <v>0</v>
      </c>
      <c r="AC19" s="165"/>
      <c r="AD19" s="164">
        <f t="shared" si="14"/>
        <v>0</v>
      </c>
      <c r="AE19" s="165"/>
      <c r="AF19" s="164">
        <f t="shared" si="15"/>
        <v>0</v>
      </c>
      <c r="AG19" s="165"/>
      <c r="AH19" s="164">
        <f t="shared" si="16"/>
        <v>0</v>
      </c>
      <c r="AI19" s="165"/>
      <c r="AJ19" s="164">
        <f t="shared" si="17"/>
        <v>0</v>
      </c>
      <c r="AK19" s="165"/>
      <c r="AL19" s="164">
        <f t="shared" si="18"/>
        <v>0</v>
      </c>
      <c r="AM19" s="165"/>
      <c r="AN19" s="164">
        <f t="shared" si="19"/>
        <v>0</v>
      </c>
      <c r="AO19" s="165"/>
      <c r="AP19" s="164">
        <f t="shared" si="20"/>
        <v>0</v>
      </c>
      <c r="AQ19" s="165"/>
      <c r="AR19" s="164">
        <f t="shared" si="21"/>
        <v>0</v>
      </c>
      <c r="AS19" s="165"/>
      <c r="AT19" s="164">
        <f t="shared" si="22"/>
        <v>0</v>
      </c>
      <c r="AU19" s="451">
        <f t="shared" si="23"/>
        <v>1</v>
      </c>
    </row>
    <row r="20" spans="1:47">
      <c r="A20" s="9" t="s">
        <v>337</v>
      </c>
      <c r="B20" s="397" t="str">
        <f>VLOOKUP(A20,'1. PLANILHA RESUMO'!A:B,2,0)</f>
        <v>SINALIZAÇÃO DE OBRA</v>
      </c>
      <c r="C20" s="164">
        <f>VLOOKUP(A20,'2. PLANILHA SINTÉTICA'!A:N,14,0)</f>
        <v>28361.72</v>
      </c>
      <c r="D20" s="25">
        <f t="shared" si="0"/>
        <v>2.5770893025329708E-4</v>
      </c>
      <c r="E20" s="165"/>
      <c r="F20" s="164">
        <f t="shared" si="2"/>
        <v>0</v>
      </c>
      <c r="G20" s="165"/>
      <c r="H20" s="164">
        <f t="shared" si="3"/>
        <v>0</v>
      </c>
      <c r="I20" s="158">
        <v>5.5500000000000001E-2</v>
      </c>
      <c r="J20" s="154">
        <f t="shared" si="4"/>
        <v>1574.07546</v>
      </c>
      <c r="K20" s="158">
        <v>5.5500000000000001E-2</v>
      </c>
      <c r="L20" s="154">
        <f t="shared" si="5"/>
        <v>1574.07546</v>
      </c>
      <c r="M20" s="158">
        <v>5.5500000000000001E-2</v>
      </c>
      <c r="N20" s="154">
        <f t="shared" si="6"/>
        <v>1574.07546</v>
      </c>
      <c r="O20" s="158">
        <v>5.5500000000000001E-2</v>
      </c>
      <c r="P20" s="154">
        <f t="shared" si="7"/>
        <v>1574.07546</v>
      </c>
      <c r="Q20" s="158">
        <v>5.5500000000000001E-2</v>
      </c>
      <c r="R20" s="154">
        <f t="shared" si="8"/>
        <v>1574.07546</v>
      </c>
      <c r="S20" s="158">
        <v>5.5500000000000001E-2</v>
      </c>
      <c r="T20" s="154">
        <f t="shared" si="9"/>
        <v>1574.07546</v>
      </c>
      <c r="U20" s="158">
        <v>5.5500000000000001E-2</v>
      </c>
      <c r="V20" s="154">
        <f t="shared" si="10"/>
        <v>1574.07546</v>
      </c>
      <c r="W20" s="158">
        <v>5.5500000000000001E-2</v>
      </c>
      <c r="X20" s="154">
        <f t="shared" si="11"/>
        <v>1574.07546</v>
      </c>
      <c r="Y20" s="158">
        <v>5.5500000000000001E-2</v>
      </c>
      <c r="Z20" s="154">
        <f t="shared" si="12"/>
        <v>1574.07546</v>
      </c>
      <c r="AA20" s="158">
        <v>5.5500000000000001E-2</v>
      </c>
      <c r="AB20" s="154">
        <f t="shared" si="13"/>
        <v>1574.07546</v>
      </c>
      <c r="AC20" s="158">
        <v>5.5500000000000001E-2</v>
      </c>
      <c r="AD20" s="154">
        <f t="shared" si="14"/>
        <v>1574.07546</v>
      </c>
      <c r="AE20" s="158">
        <v>5.5500000000000001E-2</v>
      </c>
      <c r="AF20" s="154">
        <f t="shared" si="15"/>
        <v>1574.07546</v>
      </c>
      <c r="AG20" s="158">
        <v>5.5500000000000001E-2</v>
      </c>
      <c r="AH20" s="154">
        <f t="shared" si="16"/>
        <v>1574.07546</v>
      </c>
      <c r="AI20" s="158">
        <v>5.5500000000000001E-2</v>
      </c>
      <c r="AJ20" s="154">
        <f t="shared" si="17"/>
        <v>1574.07546</v>
      </c>
      <c r="AK20" s="158">
        <v>5.5500000000000001E-2</v>
      </c>
      <c r="AL20" s="154">
        <f t="shared" si="18"/>
        <v>1574.07546</v>
      </c>
      <c r="AM20" s="158">
        <v>5.5500000000000001E-2</v>
      </c>
      <c r="AN20" s="154">
        <f t="shared" si="19"/>
        <v>1574.07546</v>
      </c>
      <c r="AO20" s="158">
        <v>5.5500000000000001E-2</v>
      </c>
      <c r="AP20" s="154">
        <f t="shared" si="20"/>
        <v>1574.07546</v>
      </c>
      <c r="AQ20" s="158">
        <v>5.6500000000000002E-2</v>
      </c>
      <c r="AR20" s="154">
        <f t="shared" si="21"/>
        <v>1602.4371800000001</v>
      </c>
      <c r="AS20" s="165"/>
      <c r="AT20" s="164">
        <f t="shared" si="22"/>
        <v>0</v>
      </c>
      <c r="AU20" s="451">
        <f t="shared" si="23"/>
        <v>1</v>
      </c>
    </row>
    <row r="21" spans="1:47">
      <c r="A21" s="9" t="s">
        <v>347</v>
      </c>
      <c r="B21" s="397" t="str">
        <f>VLOOKUP(A21,'1. PLANILHA RESUMO'!A:B,2,0)</f>
        <v>INTERFERÊNCIAS</v>
      </c>
      <c r="C21" s="164">
        <f>VLOOKUP(A21,'2. PLANILHA SINTÉTICA'!A:N,14,0)</f>
        <v>1602728.53</v>
      </c>
      <c r="D21" s="25">
        <f t="shared" si="0"/>
        <v>1.4563201912745042E-2</v>
      </c>
      <c r="E21" s="165"/>
      <c r="F21" s="164">
        <f t="shared" si="2"/>
        <v>0</v>
      </c>
      <c r="G21" s="165"/>
      <c r="H21" s="164">
        <f t="shared" si="3"/>
        <v>0</v>
      </c>
      <c r="I21" s="158">
        <v>0.1</v>
      </c>
      <c r="J21" s="154">
        <f t="shared" si="4"/>
        <v>160272.853</v>
      </c>
      <c r="K21" s="158">
        <v>0.1</v>
      </c>
      <c r="L21" s="154">
        <f t="shared" si="5"/>
        <v>160272.853</v>
      </c>
      <c r="M21" s="158">
        <v>0.1</v>
      </c>
      <c r="N21" s="154">
        <f t="shared" si="6"/>
        <v>160272.853</v>
      </c>
      <c r="O21" s="158">
        <v>0.1</v>
      </c>
      <c r="P21" s="154">
        <f t="shared" si="7"/>
        <v>160272.853</v>
      </c>
      <c r="Q21" s="158">
        <v>0.1</v>
      </c>
      <c r="R21" s="154">
        <f t="shared" si="8"/>
        <v>160272.853</v>
      </c>
      <c r="S21" s="158">
        <v>0.1</v>
      </c>
      <c r="T21" s="154">
        <f t="shared" si="9"/>
        <v>160272.853</v>
      </c>
      <c r="U21" s="158">
        <v>0.1</v>
      </c>
      <c r="V21" s="154">
        <f t="shared" si="10"/>
        <v>160272.853</v>
      </c>
      <c r="W21" s="158">
        <v>0.1</v>
      </c>
      <c r="X21" s="154">
        <f t="shared" si="11"/>
        <v>160272.853</v>
      </c>
      <c r="Y21" s="158">
        <v>0.1</v>
      </c>
      <c r="Z21" s="154">
        <f t="shared" si="12"/>
        <v>160272.853</v>
      </c>
      <c r="AA21" s="158">
        <v>0.1</v>
      </c>
      <c r="AB21" s="154">
        <f t="shared" si="13"/>
        <v>160272.853</v>
      </c>
      <c r="AC21" s="165"/>
      <c r="AD21" s="164">
        <f t="shared" si="14"/>
        <v>0</v>
      </c>
      <c r="AE21" s="165"/>
      <c r="AF21" s="164">
        <f t="shared" si="15"/>
        <v>0</v>
      </c>
      <c r="AG21" s="165"/>
      <c r="AH21" s="164">
        <f t="shared" si="16"/>
        <v>0</v>
      </c>
      <c r="AI21" s="165"/>
      <c r="AJ21" s="164">
        <f t="shared" si="17"/>
        <v>0</v>
      </c>
      <c r="AK21" s="165"/>
      <c r="AL21" s="164">
        <f t="shared" si="18"/>
        <v>0</v>
      </c>
      <c r="AM21" s="165"/>
      <c r="AN21" s="164">
        <f t="shared" si="19"/>
        <v>0</v>
      </c>
      <c r="AO21" s="165"/>
      <c r="AP21" s="164">
        <f t="shared" si="20"/>
        <v>0</v>
      </c>
      <c r="AQ21" s="165"/>
      <c r="AR21" s="164">
        <f t="shared" si="21"/>
        <v>0</v>
      </c>
      <c r="AS21" s="165"/>
      <c r="AT21" s="164">
        <f t="shared" si="22"/>
        <v>0</v>
      </c>
      <c r="AU21" s="451">
        <f t="shared" si="23"/>
        <v>0.99999999999999989</v>
      </c>
    </row>
    <row r="22" spans="1:47">
      <c r="A22" s="9" t="s">
        <v>348</v>
      </c>
      <c r="B22" s="397" t="str">
        <f>VLOOKUP(A22,'1. PLANILHA RESUMO'!A:B,2,0)</f>
        <v>DESMOBILIZAÇÃO</v>
      </c>
      <c r="C22" s="164">
        <f>VLOOKUP(A22,'2. PLANILHA SINTÉTICA'!A:N,14,0)</f>
        <v>33270.32</v>
      </c>
      <c r="D22" s="25">
        <f t="shared" si="0"/>
        <v>3.0231095209969192E-4</v>
      </c>
      <c r="E22" s="165"/>
      <c r="F22" s="164">
        <f t="shared" si="2"/>
        <v>0</v>
      </c>
      <c r="G22" s="165"/>
      <c r="H22" s="164">
        <f t="shared" si="3"/>
        <v>0</v>
      </c>
      <c r="I22" s="165"/>
      <c r="J22" s="164">
        <f t="shared" si="4"/>
        <v>0</v>
      </c>
      <c r="K22" s="165"/>
      <c r="L22" s="164">
        <f t="shared" si="5"/>
        <v>0</v>
      </c>
      <c r="M22" s="165"/>
      <c r="N22" s="164">
        <f t="shared" si="6"/>
        <v>0</v>
      </c>
      <c r="O22" s="165"/>
      <c r="P22" s="164">
        <f t="shared" si="7"/>
        <v>0</v>
      </c>
      <c r="Q22" s="165"/>
      <c r="R22" s="164">
        <f t="shared" si="8"/>
        <v>0</v>
      </c>
      <c r="S22" s="165"/>
      <c r="T22" s="164">
        <f t="shared" si="9"/>
        <v>0</v>
      </c>
      <c r="U22" s="165"/>
      <c r="V22" s="164">
        <f t="shared" si="10"/>
        <v>0</v>
      </c>
      <c r="W22" s="165"/>
      <c r="X22" s="164">
        <f t="shared" si="11"/>
        <v>0</v>
      </c>
      <c r="Y22" s="165"/>
      <c r="Z22" s="164">
        <f t="shared" si="12"/>
        <v>0</v>
      </c>
      <c r="AA22" s="165"/>
      <c r="AB22" s="164">
        <f t="shared" si="13"/>
        <v>0</v>
      </c>
      <c r="AC22" s="165"/>
      <c r="AD22" s="164">
        <f t="shared" si="14"/>
        <v>0</v>
      </c>
      <c r="AE22" s="165"/>
      <c r="AF22" s="164">
        <f t="shared" si="15"/>
        <v>0</v>
      </c>
      <c r="AG22" s="165"/>
      <c r="AH22" s="164">
        <f t="shared" si="16"/>
        <v>0</v>
      </c>
      <c r="AI22" s="165"/>
      <c r="AJ22" s="164">
        <f t="shared" si="17"/>
        <v>0</v>
      </c>
      <c r="AK22" s="165"/>
      <c r="AL22" s="164">
        <f t="shared" si="18"/>
        <v>0</v>
      </c>
      <c r="AM22" s="165"/>
      <c r="AN22" s="164">
        <f t="shared" si="19"/>
        <v>0</v>
      </c>
      <c r="AO22" s="165"/>
      <c r="AP22" s="164">
        <f t="shared" si="20"/>
        <v>0</v>
      </c>
      <c r="AQ22" s="165"/>
      <c r="AR22" s="164">
        <f t="shared" si="21"/>
        <v>0</v>
      </c>
      <c r="AS22" s="158">
        <v>1</v>
      </c>
      <c r="AT22" s="154">
        <f t="shared" si="22"/>
        <v>33270.32</v>
      </c>
      <c r="AU22" s="451">
        <f t="shared" si="23"/>
        <v>1</v>
      </c>
    </row>
    <row r="23" spans="1:47" ht="15.75" customHeight="1">
      <c r="A23" s="391" t="s">
        <v>23669</v>
      </c>
      <c r="B23" s="395" t="s">
        <v>23657</v>
      </c>
      <c r="C23" s="392">
        <f>SUM(C24:C32)</f>
        <v>22516795.919399999</v>
      </c>
      <c r="D23" s="393">
        <f t="shared" si="0"/>
        <v>0.20459899431770634</v>
      </c>
      <c r="E23" s="393">
        <f>F23/C23</f>
        <v>0</v>
      </c>
      <c r="F23" s="392">
        <f t="shared" ref="F23:AT23" si="24">SUM(F24:F32)</f>
        <v>0</v>
      </c>
      <c r="G23" s="393">
        <f>H23/C23</f>
        <v>0</v>
      </c>
      <c r="H23" s="392">
        <f t="shared" si="24"/>
        <v>0</v>
      </c>
      <c r="I23" s="393">
        <f>J23/C23</f>
        <v>4.899998109275399E-2</v>
      </c>
      <c r="J23" s="392">
        <f t="shared" si="24"/>
        <v>1103322.5743200001</v>
      </c>
      <c r="K23" s="393">
        <f>L23/C23</f>
        <v>8.7691873933039372E-2</v>
      </c>
      <c r="L23" s="392">
        <f t="shared" si="24"/>
        <v>1974540.02914</v>
      </c>
      <c r="M23" s="393">
        <f>N23/C23</f>
        <v>0.13671770205803024</v>
      </c>
      <c r="N23" s="392">
        <f t="shared" si="24"/>
        <v>3078444.5958100003</v>
      </c>
      <c r="O23" s="393">
        <f>P23/C23</f>
        <v>0.13630028663562097</v>
      </c>
      <c r="P23" s="392">
        <f t="shared" si="24"/>
        <v>3069045.7379300003</v>
      </c>
      <c r="Q23" s="393">
        <f>R23/C23</f>
        <v>0.17712682875647243</v>
      </c>
      <c r="R23" s="392">
        <f t="shared" si="24"/>
        <v>3988328.6549600009</v>
      </c>
      <c r="S23" s="393">
        <f>T23/C23</f>
        <v>0.13329037603143917</v>
      </c>
      <c r="T23" s="392">
        <f t="shared" si="24"/>
        <v>3001272.1951200007</v>
      </c>
      <c r="U23" s="393">
        <f>V23/C23</f>
        <v>0.10416431686264975</v>
      </c>
      <c r="V23" s="392">
        <f t="shared" si="24"/>
        <v>2345446.6648800005</v>
      </c>
      <c r="W23" s="393">
        <f>X23/C23</f>
        <v>0.13735471156246165</v>
      </c>
      <c r="X23" s="392">
        <f t="shared" si="24"/>
        <v>3092788.0088200006</v>
      </c>
      <c r="Y23" s="393">
        <f>Z23/C23</f>
        <v>3.8353923067532623E-2</v>
      </c>
      <c r="Z23" s="392">
        <f t="shared" si="24"/>
        <v>863607.45842000004</v>
      </c>
      <c r="AA23" s="393">
        <f>AB23/C23</f>
        <v>0</v>
      </c>
      <c r="AB23" s="392">
        <f t="shared" si="24"/>
        <v>0</v>
      </c>
      <c r="AC23" s="393">
        <f>AD23/C23</f>
        <v>0</v>
      </c>
      <c r="AD23" s="392">
        <f t="shared" si="24"/>
        <v>0</v>
      </c>
      <c r="AE23" s="393">
        <f>AF23/C23</f>
        <v>0</v>
      </c>
      <c r="AF23" s="392">
        <f t="shared" si="24"/>
        <v>0</v>
      </c>
      <c r="AG23" s="393">
        <f>AH23/C23</f>
        <v>0</v>
      </c>
      <c r="AH23" s="392">
        <f t="shared" si="24"/>
        <v>0</v>
      </c>
      <c r="AI23" s="393">
        <f>AJ23/C23</f>
        <v>0</v>
      </c>
      <c r="AJ23" s="392">
        <f t="shared" si="24"/>
        <v>0</v>
      </c>
      <c r="AK23" s="393">
        <f>AL23/C23</f>
        <v>0</v>
      </c>
      <c r="AL23" s="392">
        <f t="shared" si="24"/>
        <v>0</v>
      </c>
      <c r="AM23" s="393">
        <f>AN23/C23</f>
        <v>0</v>
      </c>
      <c r="AN23" s="392">
        <f t="shared" si="24"/>
        <v>0</v>
      </c>
      <c r="AO23" s="393">
        <f>AP23/C23</f>
        <v>0</v>
      </c>
      <c r="AP23" s="392">
        <f t="shared" si="24"/>
        <v>0</v>
      </c>
      <c r="AQ23" s="393">
        <f>AR23/C23</f>
        <v>0</v>
      </c>
      <c r="AR23" s="392">
        <f t="shared" si="24"/>
        <v>0</v>
      </c>
      <c r="AS23" s="393">
        <f>AT23/C23</f>
        <v>0</v>
      </c>
      <c r="AT23" s="392">
        <f t="shared" si="24"/>
        <v>0</v>
      </c>
      <c r="AU23" s="451">
        <f t="shared" si="23"/>
        <v>1.0000000000000004</v>
      </c>
    </row>
    <row r="24" spans="1:47">
      <c r="A24" s="9" t="s">
        <v>338</v>
      </c>
      <c r="B24" s="397" t="str">
        <f>VLOOKUP(A24,'1. PLANILHA RESUMO'!A:B,2,0)</f>
        <v>TERRAPLENAGEM</v>
      </c>
      <c r="C24" s="164">
        <f>'2. PLANILHA SINTÉTICA'!N74</f>
        <v>4902100.6543999994</v>
      </c>
      <c r="D24" s="25">
        <f t="shared" si="0"/>
        <v>4.454296550559738E-2</v>
      </c>
      <c r="E24" s="165"/>
      <c r="F24" s="164">
        <f t="shared" ref="F24:F32" si="25">E24*C24</f>
        <v>0</v>
      </c>
      <c r="G24" s="165"/>
      <c r="H24" s="164">
        <f t="shared" ref="H24:H32" si="26">G24*C24</f>
        <v>0</v>
      </c>
      <c r="I24" s="158">
        <v>0.1</v>
      </c>
      <c r="J24" s="154">
        <f t="shared" ref="J24:J32" si="27">I24*C24</f>
        <v>490210.06543999998</v>
      </c>
      <c r="K24" s="158">
        <v>0.2</v>
      </c>
      <c r="L24" s="154">
        <f t="shared" ref="L24:L32" si="28">K24*C24</f>
        <v>980420.13087999995</v>
      </c>
      <c r="M24" s="158">
        <v>0.2</v>
      </c>
      <c r="N24" s="154">
        <f t="shared" ref="N24:N32" si="29">M24*C24</f>
        <v>980420.13087999995</v>
      </c>
      <c r="O24" s="158">
        <v>0.2</v>
      </c>
      <c r="P24" s="154">
        <f t="shared" ref="P24:P32" si="30">O24*C24</f>
        <v>980420.13087999995</v>
      </c>
      <c r="Q24" s="158">
        <v>0.2</v>
      </c>
      <c r="R24" s="154">
        <f t="shared" ref="R24:R32" si="31">Q24*C24</f>
        <v>980420.13087999995</v>
      </c>
      <c r="S24" s="158">
        <v>0.1</v>
      </c>
      <c r="T24" s="154">
        <f t="shared" ref="T24:T32" si="32">S24*C24</f>
        <v>490210.06543999998</v>
      </c>
      <c r="U24" s="165"/>
      <c r="V24" s="164">
        <f t="shared" ref="V24:V32" si="33">U24*C24</f>
        <v>0</v>
      </c>
      <c r="W24" s="165"/>
      <c r="X24" s="164">
        <f t="shared" ref="X24:X32" si="34">W24*C24</f>
        <v>0</v>
      </c>
      <c r="Y24" s="165"/>
      <c r="Z24" s="164">
        <f t="shared" ref="Z24:Z32" si="35">Y24*C24</f>
        <v>0</v>
      </c>
      <c r="AA24" s="165"/>
      <c r="AB24" s="164">
        <f t="shared" ref="AB24:AB32" si="36">AA24*C24</f>
        <v>0</v>
      </c>
      <c r="AC24" s="165"/>
      <c r="AD24" s="164">
        <f t="shared" ref="AD24:AD32" si="37">AC24*C24</f>
        <v>0</v>
      </c>
      <c r="AE24" s="165"/>
      <c r="AF24" s="164">
        <f t="shared" ref="AF24:AF32" si="38">AE24*C24</f>
        <v>0</v>
      </c>
      <c r="AG24" s="165"/>
      <c r="AH24" s="164">
        <f t="shared" ref="AH24:AH32" si="39">AG24*C24</f>
        <v>0</v>
      </c>
      <c r="AI24" s="165"/>
      <c r="AJ24" s="164">
        <f t="shared" ref="AJ24:AJ32" si="40">AI24*C24</f>
        <v>0</v>
      </c>
      <c r="AK24" s="165"/>
      <c r="AL24" s="164">
        <f t="shared" ref="AL24:AL32" si="41">AK24*C24</f>
        <v>0</v>
      </c>
      <c r="AM24" s="165"/>
      <c r="AN24" s="164">
        <f t="shared" ref="AN24:AN32" si="42">AM24*C24</f>
        <v>0</v>
      </c>
      <c r="AO24" s="165"/>
      <c r="AP24" s="164">
        <f t="shared" ref="AP24:AP32" si="43">AO24*C24</f>
        <v>0</v>
      </c>
      <c r="AQ24" s="165"/>
      <c r="AR24" s="164">
        <f t="shared" ref="AR24:AR32" si="44">AQ24*C24</f>
        <v>0</v>
      </c>
      <c r="AS24" s="165"/>
      <c r="AT24" s="164">
        <f t="shared" ref="AT24:AT32" si="45">AS24*C24</f>
        <v>0</v>
      </c>
      <c r="AU24" s="451">
        <f t="shared" si="23"/>
        <v>0.99999999999999989</v>
      </c>
    </row>
    <row r="25" spans="1:47">
      <c r="A25" s="9" t="s">
        <v>339</v>
      </c>
      <c r="B25" s="397" t="str">
        <f>VLOOKUP(A25,'1. PLANILHA RESUMO'!A:B,2,0)</f>
        <v xml:space="preserve">DRENAGEM </v>
      </c>
      <c r="C25" s="164">
        <f>'2. PLANILHA SINTÉTICA'!N152</f>
        <v>2687173.2260000007</v>
      </c>
      <c r="D25" s="25">
        <f t="shared" si="0"/>
        <v>2.4417014817076026E-2</v>
      </c>
      <c r="E25" s="165"/>
      <c r="F25" s="164">
        <f t="shared" si="25"/>
        <v>0</v>
      </c>
      <c r="G25" s="165"/>
      <c r="H25" s="164">
        <f t="shared" si="26"/>
        <v>0</v>
      </c>
      <c r="I25" s="158">
        <v>0.15</v>
      </c>
      <c r="J25" s="154">
        <f t="shared" si="27"/>
        <v>403075.98390000011</v>
      </c>
      <c r="K25" s="158">
        <v>0.2</v>
      </c>
      <c r="L25" s="154">
        <f t="shared" si="28"/>
        <v>537434.64520000014</v>
      </c>
      <c r="M25" s="158">
        <v>0.2</v>
      </c>
      <c r="N25" s="154">
        <f t="shared" si="29"/>
        <v>537434.64520000014</v>
      </c>
      <c r="O25" s="158">
        <v>0.2</v>
      </c>
      <c r="P25" s="154">
        <f t="shared" si="30"/>
        <v>537434.64520000014</v>
      </c>
      <c r="Q25" s="158">
        <v>0.2</v>
      </c>
      <c r="R25" s="154">
        <f t="shared" si="31"/>
        <v>537434.64520000014</v>
      </c>
      <c r="S25" s="158">
        <v>0.05</v>
      </c>
      <c r="T25" s="154">
        <f t="shared" si="32"/>
        <v>134358.66130000004</v>
      </c>
      <c r="U25" s="165"/>
      <c r="V25" s="164">
        <f t="shared" si="33"/>
        <v>0</v>
      </c>
      <c r="W25" s="165"/>
      <c r="X25" s="164">
        <f t="shared" si="34"/>
        <v>0</v>
      </c>
      <c r="Y25" s="165"/>
      <c r="Z25" s="164">
        <f t="shared" si="35"/>
        <v>0</v>
      </c>
      <c r="AA25" s="165"/>
      <c r="AB25" s="164">
        <f t="shared" si="36"/>
        <v>0</v>
      </c>
      <c r="AC25" s="165"/>
      <c r="AD25" s="164">
        <f t="shared" si="37"/>
        <v>0</v>
      </c>
      <c r="AE25" s="165"/>
      <c r="AF25" s="164">
        <f t="shared" si="38"/>
        <v>0</v>
      </c>
      <c r="AG25" s="165"/>
      <c r="AH25" s="164">
        <f t="shared" si="39"/>
        <v>0</v>
      </c>
      <c r="AI25" s="165"/>
      <c r="AJ25" s="164">
        <f t="shared" si="40"/>
        <v>0</v>
      </c>
      <c r="AK25" s="165"/>
      <c r="AL25" s="164">
        <f t="shared" si="41"/>
        <v>0</v>
      </c>
      <c r="AM25" s="165"/>
      <c r="AN25" s="164">
        <f t="shared" si="42"/>
        <v>0</v>
      </c>
      <c r="AO25" s="165"/>
      <c r="AP25" s="164">
        <f t="shared" si="43"/>
        <v>0</v>
      </c>
      <c r="AQ25" s="165"/>
      <c r="AR25" s="164">
        <f t="shared" si="44"/>
        <v>0</v>
      </c>
      <c r="AS25" s="165"/>
      <c r="AT25" s="164">
        <f t="shared" si="45"/>
        <v>0</v>
      </c>
      <c r="AU25" s="451">
        <f t="shared" si="23"/>
        <v>1</v>
      </c>
    </row>
    <row r="26" spans="1:47">
      <c r="A26" s="9" t="s">
        <v>340</v>
      </c>
      <c r="B26" s="397" t="str">
        <f>VLOOKUP(A26,'1. PLANILHA RESUMO'!A:B,2,0)</f>
        <v>OBRAS DE ARTES CORRENTES</v>
      </c>
      <c r="C26" s="164">
        <f>'2. PLANILHA SINTÉTICA'!N535</f>
        <v>625136.07000000007</v>
      </c>
      <c r="D26" s="25">
        <f t="shared" si="0"/>
        <v>5.6803024591756159E-3</v>
      </c>
      <c r="E26" s="165"/>
      <c r="F26" s="164">
        <f t="shared" si="25"/>
        <v>0</v>
      </c>
      <c r="G26" s="165"/>
      <c r="H26" s="164">
        <f t="shared" si="26"/>
        <v>0</v>
      </c>
      <c r="I26" s="158">
        <v>0.15</v>
      </c>
      <c r="J26" s="154">
        <f t="shared" si="27"/>
        <v>93770.410500000013</v>
      </c>
      <c r="K26" s="158">
        <v>0.2</v>
      </c>
      <c r="L26" s="154">
        <f t="shared" si="28"/>
        <v>125027.21400000002</v>
      </c>
      <c r="M26" s="158">
        <v>0.2</v>
      </c>
      <c r="N26" s="154">
        <f t="shared" si="29"/>
        <v>125027.21400000002</v>
      </c>
      <c r="O26" s="158">
        <v>0.2</v>
      </c>
      <c r="P26" s="154">
        <f t="shared" si="30"/>
        <v>125027.21400000002</v>
      </c>
      <c r="Q26" s="158">
        <v>0.2</v>
      </c>
      <c r="R26" s="154">
        <f t="shared" si="31"/>
        <v>125027.21400000002</v>
      </c>
      <c r="S26" s="158">
        <v>0.05</v>
      </c>
      <c r="T26" s="154">
        <f t="shared" si="32"/>
        <v>31256.803500000005</v>
      </c>
      <c r="U26" s="165"/>
      <c r="V26" s="164">
        <f t="shared" si="33"/>
        <v>0</v>
      </c>
      <c r="W26" s="165"/>
      <c r="X26" s="164">
        <f t="shared" si="34"/>
        <v>0</v>
      </c>
      <c r="Y26" s="165"/>
      <c r="Z26" s="164">
        <f t="shared" si="35"/>
        <v>0</v>
      </c>
      <c r="AA26" s="165"/>
      <c r="AB26" s="164">
        <f t="shared" si="36"/>
        <v>0</v>
      </c>
      <c r="AC26" s="165"/>
      <c r="AD26" s="164">
        <f t="shared" si="37"/>
        <v>0</v>
      </c>
      <c r="AE26" s="165"/>
      <c r="AF26" s="164">
        <f t="shared" si="38"/>
        <v>0</v>
      </c>
      <c r="AG26" s="165"/>
      <c r="AH26" s="164">
        <f t="shared" si="39"/>
        <v>0</v>
      </c>
      <c r="AI26" s="165"/>
      <c r="AJ26" s="164">
        <f t="shared" si="40"/>
        <v>0</v>
      </c>
      <c r="AK26" s="165"/>
      <c r="AL26" s="164">
        <f t="shared" si="41"/>
        <v>0</v>
      </c>
      <c r="AM26" s="165"/>
      <c r="AN26" s="164">
        <f t="shared" si="42"/>
        <v>0</v>
      </c>
      <c r="AO26" s="165"/>
      <c r="AP26" s="164">
        <f t="shared" si="43"/>
        <v>0</v>
      </c>
      <c r="AQ26" s="165"/>
      <c r="AR26" s="164">
        <f t="shared" si="44"/>
        <v>0</v>
      </c>
      <c r="AS26" s="165"/>
      <c r="AT26" s="164">
        <f t="shared" si="45"/>
        <v>0</v>
      </c>
      <c r="AU26" s="451">
        <f t="shared" si="23"/>
        <v>1</v>
      </c>
    </row>
    <row r="27" spans="1:47">
      <c r="A27" s="9" t="s">
        <v>341</v>
      </c>
      <c r="B27" s="397" t="str">
        <f>VLOOKUP(A27,'1. PLANILHA RESUMO'!A:B,2,0)</f>
        <v xml:space="preserve">PAVIMENTAÇÃO </v>
      </c>
      <c r="C27" s="164">
        <f>'2. PLANILHA SINTÉTICA'!N622</f>
        <v>11039045.666700002</v>
      </c>
      <c r="D27" s="25">
        <f t="shared" si="0"/>
        <v>0.10030635129965855</v>
      </c>
      <c r="E27" s="165"/>
      <c r="F27" s="164">
        <f t="shared" si="25"/>
        <v>0</v>
      </c>
      <c r="G27" s="165"/>
      <c r="H27" s="164">
        <f t="shared" si="26"/>
        <v>0</v>
      </c>
      <c r="I27" s="165"/>
      <c r="J27" s="164">
        <f t="shared" si="27"/>
        <v>0</v>
      </c>
      <c r="K27" s="165"/>
      <c r="L27" s="164">
        <f t="shared" si="28"/>
        <v>0</v>
      </c>
      <c r="M27" s="158">
        <v>0.1</v>
      </c>
      <c r="N27" s="154">
        <f t="shared" si="29"/>
        <v>1103904.5666700003</v>
      </c>
      <c r="O27" s="158">
        <v>0.1</v>
      </c>
      <c r="P27" s="154">
        <f t="shared" si="30"/>
        <v>1103904.5666700003</v>
      </c>
      <c r="Q27" s="158">
        <v>0.2</v>
      </c>
      <c r="R27" s="154">
        <f t="shared" si="31"/>
        <v>2207809.1333400006</v>
      </c>
      <c r="S27" s="158">
        <v>0.2</v>
      </c>
      <c r="T27" s="154">
        <f t="shared" si="32"/>
        <v>2207809.1333400006</v>
      </c>
      <c r="U27" s="158">
        <v>0.2</v>
      </c>
      <c r="V27" s="154">
        <f t="shared" si="33"/>
        <v>2207809.1333400006</v>
      </c>
      <c r="W27" s="158">
        <v>0.2</v>
      </c>
      <c r="X27" s="154">
        <f t="shared" si="34"/>
        <v>2207809.1333400006</v>
      </c>
      <c r="Y27" s="165"/>
      <c r="Z27" s="164">
        <f t="shared" si="35"/>
        <v>0</v>
      </c>
      <c r="AA27" s="165"/>
      <c r="AB27" s="164">
        <f t="shared" si="36"/>
        <v>0</v>
      </c>
      <c r="AC27" s="165"/>
      <c r="AD27" s="164">
        <f t="shared" si="37"/>
        <v>0</v>
      </c>
      <c r="AE27" s="165"/>
      <c r="AF27" s="164">
        <f t="shared" si="38"/>
        <v>0</v>
      </c>
      <c r="AG27" s="165"/>
      <c r="AH27" s="164">
        <f t="shared" si="39"/>
        <v>0</v>
      </c>
      <c r="AI27" s="165"/>
      <c r="AJ27" s="164">
        <f t="shared" si="40"/>
        <v>0</v>
      </c>
      <c r="AK27" s="165"/>
      <c r="AL27" s="164">
        <f t="shared" si="41"/>
        <v>0</v>
      </c>
      <c r="AM27" s="165"/>
      <c r="AN27" s="164">
        <f t="shared" si="42"/>
        <v>0</v>
      </c>
      <c r="AO27" s="165"/>
      <c r="AP27" s="164">
        <f t="shared" si="43"/>
        <v>0</v>
      </c>
      <c r="AQ27" s="165"/>
      <c r="AR27" s="164">
        <f t="shared" si="44"/>
        <v>0</v>
      </c>
      <c r="AS27" s="165"/>
      <c r="AT27" s="164">
        <f t="shared" si="45"/>
        <v>0</v>
      </c>
      <c r="AU27" s="451">
        <f t="shared" si="23"/>
        <v>1</v>
      </c>
    </row>
    <row r="28" spans="1:47">
      <c r="A28" s="9" t="s">
        <v>342</v>
      </c>
      <c r="B28" s="397" t="str">
        <f>VLOOKUP(A28,'1. PLANILHA RESUMO'!A:B,2,0)</f>
        <v>LIGANTES BETUMINOSOS</v>
      </c>
      <c r="C28" s="164">
        <f>'2. PLANILHA SINTÉTICA'!N756</f>
        <v>106857.08530000001</v>
      </c>
      <c r="D28" s="25">
        <f t="shared" si="0"/>
        <v>9.709575139536078E-4</v>
      </c>
      <c r="E28" s="165"/>
      <c r="F28" s="164">
        <f t="shared" si="25"/>
        <v>0</v>
      </c>
      <c r="G28" s="165"/>
      <c r="H28" s="164">
        <f t="shared" si="26"/>
        <v>0</v>
      </c>
      <c r="I28" s="165"/>
      <c r="J28" s="164">
        <f t="shared" si="27"/>
        <v>0</v>
      </c>
      <c r="K28" s="165"/>
      <c r="L28" s="164">
        <f t="shared" si="28"/>
        <v>0</v>
      </c>
      <c r="M28" s="165"/>
      <c r="N28" s="164">
        <f t="shared" si="29"/>
        <v>0</v>
      </c>
      <c r="O28" s="158">
        <v>0.2</v>
      </c>
      <c r="P28" s="154">
        <f t="shared" si="30"/>
        <v>21371.417060000003</v>
      </c>
      <c r="Q28" s="158">
        <v>0.2</v>
      </c>
      <c r="R28" s="154">
        <f t="shared" si="31"/>
        <v>21371.417060000003</v>
      </c>
      <c r="S28" s="158">
        <v>0.2</v>
      </c>
      <c r="T28" s="154">
        <f t="shared" si="32"/>
        <v>21371.417060000003</v>
      </c>
      <c r="U28" s="158">
        <v>0.2</v>
      </c>
      <c r="V28" s="154">
        <f t="shared" si="33"/>
        <v>21371.417060000003</v>
      </c>
      <c r="W28" s="158">
        <v>0.2</v>
      </c>
      <c r="X28" s="154">
        <f t="shared" si="34"/>
        <v>21371.417060000003</v>
      </c>
      <c r="Y28" s="165"/>
      <c r="Z28" s="164">
        <f t="shared" si="35"/>
        <v>0</v>
      </c>
      <c r="AA28" s="165"/>
      <c r="AB28" s="164">
        <f t="shared" si="36"/>
        <v>0</v>
      </c>
      <c r="AC28" s="165"/>
      <c r="AD28" s="164">
        <f t="shared" si="37"/>
        <v>0</v>
      </c>
      <c r="AE28" s="165"/>
      <c r="AF28" s="164">
        <f t="shared" si="38"/>
        <v>0</v>
      </c>
      <c r="AG28" s="165"/>
      <c r="AH28" s="164">
        <f t="shared" si="39"/>
        <v>0</v>
      </c>
      <c r="AI28" s="165"/>
      <c r="AJ28" s="164">
        <f t="shared" si="40"/>
        <v>0</v>
      </c>
      <c r="AK28" s="165"/>
      <c r="AL28" s="164">
        <f t="shared" si="41"/>
        <v>0</v>
      </c>
      <c r="AM28" s="165"/>
      <c r="AN28" s="164">
        <f t="shared" si="42"/>
        <v>0</v>
      </c>
      <c r="AO28" s="165"/>
      <c r="AP28" s="164">
        <f t="shared" si="43"/>
        <v>0</v>
      </c>
      <c r="AQ28" s="165"/>
      <c r="AR28" s="164">
        <f t="shared" si="44"/>
        <v>0</v>
      </c>
      <c r="AS28" s="165"/>
      <c r="AT28" s="164">
        <f t="shared" si="45"/>
        <v>0</v>
      </c>
      <c r="AU28" s="451">
        <f t="shared" si="23"/>
        <v>1</v>
      </c>
    </row>
    <row r="29" spans="1:47">
      <c r="A29" s="9" t="s">
        <v>343</v>
      </c>
      <c r="B29" s="397" t="str">
        <f>VLOOKUP(A29,'1. PLANILHA RESUMO'!A:B,2,0)</f>
        <v>CONTENÇÕES</v>
      </c>
      <c r="C29" s="164">
        <f>'2. PLANILHA SINTÉTICA'!N767</f>
        <v>615405.49879999994</v>
      </c>
      <c r="D29" s="25">
        <f t="shared" si="0"/>
        <v>5.5918855685672337E-3</v>
      </c>
      <c r="E29" s="165"/>
      <c r="F29" s="164">
        <f t="shared" si="25"/>
        <v>0</v>
      </c>
      <c r="G29" s="165"/>
      <c r="H29" s="164">
        <f t="shared" si="26"/>
        <v>0</v>
      </c>
      <c r="I29" s="165"/>
      <c r="J29" s="164">
        <f t="shared" si="27"/>
        <v>0</v>
      </c>
      <c r="K29" s="158">
        <v>0.35</v>
      </c>
      <c r="L29" s="154">
        <f t="shared" si="28"/>
        <v>215391.92457999996</v>
      </c>
      <c r="M29" s="158">
        <v>0.35</v>
      </c>
      <c r="N29" s="154">
        <f t="shared" si="29"/>
        <v>215391.92457999996</v>
      </c>
      <c r="O29" s="158">
        <v>0.3</v>
      </c>
      <c r="P29" s="154">
        <f t="shared" si="30"/>
        <v>184621.64963999999</v>
      </c>
      <c r="Q29" s="165"/>
      <c r="R29" s="164">
        <f t="shared" si="31"/>
        <v>0</v>
      </c>
      <c r="S29" s="165"/>
      <c r="T29" s="164">
        <f t="shared" si="32"/>
        <v>0</v>
      </c>
      <c r="U29" s="165"/>
      <c r="V29" s="164">
        <f t="shared" si="33"/>
        <v>0</v>
      </c>
      <c r="W29" s="165"/>
      <c r="X29" s="164">
        <f t="shared" si="34"/>
        <v>0</v>
      </c>
      <c r="Y29" s="165"/>
      <c r="Z29" s="164">
        <f t="shared" si="35"/>
        <v>0</v>
      </c>
      <c r="AA29" s="165"/>
      <c r="AB29" s="164">
        <f t="shared" si="36"/>
        <v>0</v>
      </c>
      <c r="AC29" s="165"/>
      <c r="AD29" s="164">
        <f t="shared" si="37"/>
        <v>0</v>
      </c>
      <c r="AE29" s="165"/>
      <c r="AF29" s="164">
        <f t="shared" si="38"/>
        <v>0</v>
      </c>
      <c r="AG29" s="165"/>
      <c r="AH29" s="164">
        <f t="shared" si="39"/>
        <v>0</v>
      </c>
      <c r="AI29" s="165"/>
      <c r="AJ29" s="164">
        <f t="shared" si="40"/>
        <v>0</v>
      </c>
      <c r="AK29" s="165"/>
      <c r="AL29" s="164">
        <f t="shared" si="41"/>
        <v>0</v>
      </c>
      <c r="AM29" s="165"/>
      <c r="AN29" s="164">
        <f t="shared" si="42"/>
        <v>0</v>
      </c>
      <c r="AO29" s="165"/>
      <c r="AP29" s="164">
        <f t="shared" si="43"/>
        <v>0</v>
      </c>
      <c r="AQ29" s="165"/>
      <c r="AR29" s="164">
        <f t="shared" si="44"/>
        <v>0</v>
      </c>
      <c r="AS29" s="165"/>
      <c r="AT29" s="164">
        <f t="shared" si="45"/>
        <v>0</v>
      </c>
      <c r="AU29" s="451">
        <f t="shared" si="23"/>
        <v>1</v>
      </c>
    </row>
    <row r="30" spans="1:47">
      <c r="A30" s="9" t="s">
        <v>344</v>
      </c>
      <c r="B30" s="397" t="str">
        <f>VLOOKUP(A30,'1. PLANILHA RESUMO'!A:B,2,0)</f>
        <v>SINALIZAÇÃO VIÁRIA</v>
      </c>
      <c r="C30" s="164">
        <f>'2. PLANILHA SINTÉTICA'!N785</f>
        <v>1004534.7517999999</v>
      </c>
      <c r="D30" s="25">
        <f t="shared" si="0"/>
        <v>9.1277107414021157E-3</v>
      </c>
      <c r="E30" s="165"/>
      <c r="F30" s="164">
        <f t="shared" si="25"/>
        <v>0</v>
      </c>
      <c r="G30" s="165"/>
      <c r="H30" s="164">
        <f t="shared" si="26"/>
        <v>0</v>
      </c>
      <c r="I30" s="165"/>
      <c r="J30" s="164">
        <f t="shared" si="27"/>
        <v>0</v>
      </c>
      <c r="K30" s="165"/>
      <c r="L30" s="164">
        <f t="shared" si="28"/>
        <v>0</v>
      </c>
      <c r="M30" s="165"/>
      <c r="N30" s="164">
        <f t="shared" si="29"/>
        <v>0</v>
      </c>
      <c r="O30" s="165"/>
      <c r="P30" s="164">
        <f t="shared" si="30"/>
        <v>0</v>
      </c>
      <c r="Q30" s="165"/>
      <c r="R30" s="164">
        <f t="shared" si="31"/>
        <v>0</v>
      </c>
      <c r="S30" s="165"/>
      <c r="T30" s="164">
        <f t="shared" si="32"/>
        <v>0</v>
      </c>
      <c r="U30" s="165"/>
      <c r="V30" s="164">
        <f t="shared" si="33"/>
        <v>0</v>
      </c>
      <c r="W30" s="158">
        <v>0.5</v>
      </c>
      <c r="X30" s="154">
        <f t="shared" si="34"/>
        <v>502267.37589999993</v>
      </c>
      <c r="Y30" s="158">
        <v>0.5</v>
      </c>
      <c r="Z30" s="154">
        <f t="shared" si="35"/>
        <v>502267.37589999993</v>
      </c>
      <c r="AA30" s="165"/>
      <c r="AB30" s="164">
        <f t="shared" si="36"/>
        <v>0</v>
      </c>
      <c r="AC30" s="165"/>
      <c r="AD30" s="164">
        <f t="shared" si="37"/>
        <v>0</v>
      </c>
      <c r="AE30" s="165"/>
      <c r="AF30" s="164">
        <f t="shared" si="38"/>
        <v>0</v>
      </c>
      <c r="AG30" s="165"/>
      <c r="AH30" s="164">
        <f t="shared" si="39"/>
        <v>0</v>
      </c>
      <c r="AI30" s="165"/>
      <c r="AJ30" s="164">
        <f t="shared" si="40"/>
        <v>0</v>
      </c>
      <c r="AK30" s="165"/>
      <c r="AL30" s="164">
        <f t="shared" si="41"/>
        <v>0</v>
      </c>
      <c r="AM30" s="165"/>
      <c r="AN30" s="164">
        <f t="shared" si="42"/>
        <v>0</v>
      </c>
      <c r="AO30" s="165"/>
      <c r="AP30" s="164">
        <f t="shared" si="43"/>
        <v>0</v>
      </c>
      <c r="AQ30" s="165"/>
      <c r="AR30" s="164">
        <f t="shared" si="44"/>
        <v>0</v>
      </c>
      <c r="AS30" s="165"/>
      <c r="AT30" s="164">
        <f t="shared" si="45"/>
        <v>0</v>
      </c>
      <c r="AU30" s="451">
        <f t="shared" si="23"/>
        <v>1</v>
      </c>
    </row>
    <row r="31" spans="1:47">
      <c r="A31" s="9" t="s">
        <v>345</v>
      </c>
      <c r="B31" s="397" t="str">
        <f>VLOOKUP(A31,'1. PLANILHA RESUMO'!A:B,2,0)</f>
        <v>SERVIÇOS COMPLEMENTARES</v>
      </c>
      <c r="C31" s="164">
        <f>'2. PLANILHA SINTÉTICA'!N837</f>
        <v>1162661.1448000001</v>
      </c>
      <c r="D31" s="25">
        <f t="shared" si="0"/>
        <v>1.0564527111666068E-2</v>
      </c>
      <c r="E31" s="165"/>
      <c r="F31" s="164">
        <f t="shared" si="25"/>
        <v>0</v>
      </c>
      <c r="G31" s="165"/>
      <c r="H31" s="164">
        <f t="shared" si="26"/>
        <v>0</v>
      </c>
      <c r="I31" s="158">
        <v>0.1</v>
      </c>
      <c r="J31" s="154">
        <f t="shared" si="27"/>
        <v>116266.11448000002</v>
      </c>
      <c r="K31" s="158">
        <v>0.1</v>
      </c>
      <c r="L31" s="154">
        <f t="shared" si="28"/>
        <v>116266.11448000002</v>
      </c>
      <c r="M31" s="158">
        <v>0.1</v>
      </c>
      <c r="N31" s="154">
        <f t="shared" si="29"/>
        <v>116266.11448000002</v>
      </c>
      <c r="O31" s="158">
        <v>0.1</v>
      </c>
      <c r="P31" s="154">
        <f t="shared" si="30"/>
        <v>116266.11448000002</v>
      </c>
      <c r="Q31" s="158">
        <v>0.1</v>
      </c>
      <c r="R31" s="154">
        <f t="shared" si="31"/>
        <v>116266.11448000002</v>
      </c>
      <c r="S31" s="158">
        <v>0.1</v>
      </c>
      <c r="T31" s="154">
        <f t="shared" si="32"/>
        <v>116266.11448000002</v>
      </c>
      <c r="U31" s="158">
        <v>0.1</v>
      </c>
      <c r="V31" s="154">
        <f t="shared" si="33"/>
        <v>116266.11448000002</v>
      </c>
      <c r="W31" s="158">
        <v>0.15</v>
      </c>
      <c r="X31" s="154">
        <f t="shared" si="34"/>
        <v>174399.17172000001</v>
      </c>
      <c r="Y31" s="158">
        <v>0.15</v>
      </c>
      <c r="Z31" s="154">
        <f t="shared" si="35"/>
        <v>174399.17172000001</v>
      </c>
      <c r="AA31" s="165"/>
      <c r="AB31" s="164">
        <f t="shared" si="36"/>
        <v>0</v>
      </c>
      <c r="AC31" s="165"/>
      <c r="AD31" s="164">
        <f t="shared" si="37"/>
        <v>0</v>
      </c>
      <c r="AE31" s="165"/>
      <c r="AF31" s="164">
        <f t="shared" si="38"/>
        <v>0</v>
      </c>
      <c r="AG31" s="165"/>
      <c r="AH31" s="164">
        <f t="shared" si="39"/>
        <v>0</v>
      </c>
      <c r="AI31" s="165"/>
      <c r="AJ31" s="164">
        <f t="shared" si="40"/>
        <v>0</v>
      </c>
      <c r="AK31" s="165"/>
      <c r="AL31" s="164">
        <f t="shared" si="41"/>
        <v>0</v>
      </c>
      <c r="AM31" s="165"/>
      <c r="AN31" s="164">
        <f t="shared" si="42"/>
        <v>0</v>
      </c>
      <c r="AO31" s="165"/>
      <c r="AP31" s="164">
        <f t="shared" si="43"/>
        <v>0</v>
      </c>
      <c r="AQ31" s="165"/>
      <c r="AR31" s="164">
        <f t="shared" si="44"/>
        <v>0</v>
      </c>
      <c r="AS31" s="165"/>
      <c r="AT31" s="164">
        <f t="shared" si="45"/>
        <v>0</v>
      </c>
      <c r="AU31" s="451">
        <f t="shared" si="23"/>
        <v>1</v>
      </c>
    </row>
    <row r="32" spans="1:47">
      <c r="A32" s="9" t="s">
        <v>346</v>
      </c>
      <c r="B32" s="397" t="str">
        <f>VLOOKUP(A32,'1. PLANILHA RESUMO'!A:B,2,0)</f>
        <v xml:space="preserve">ILUMINAÇÃO PÚBLICA </v>
      </c>
      <c r="C32" s="164">
        <f>'2. PLANILHA SINTÉTICA'!N916</f>
        <v>373881.82160000002</v>
      </c>
      <c r="D32" s="25">
        <f t="shared" si="0"/>
        <v>3.3972793006097676E-3</v>
      </c>
      <c r="E32" s="165"/>
      <c r="F32" s="164">
        <f t="shared" si="25"/>
        <v>0</v>
      </c>
      <c r="G32" s="165"/>
      <c r="H32" s="164">
        <f t="shared" si="26"/>
        <v>0</v>
      </c>
      <c r="I32" s="165"/>
      <c r="J32" s="164">
        <f t="shared" si="27"/>
        <v>0</v>
      </c>
      <c r="K32" s="165"/>
      <c r="L32" s="164">
        <f t="shared" si="28"/>
        <v>0</v>
      </c>
      <c r="M32" s="165"/>
      <c r="N32" s="164">
        <f t="shared" si="29"/>
        <v>0</v>
      </c>
      <c r="O32" s="165"/>
      <c r="P32" s="164">
        <f t="shared" si="30"/>
        <v>0</v>
      </c>
      <c r="Q32" s="165"/>
      <c r="R32" s="164">
        <f t="shared" si="31"/>
        <v>0</v>
      </c>
      <c r="S32" s="165"/>
      <c r="T32" s="164">
        <f t="shared" si="32"/>
        <v>0</v>
      </c>
      <c r="U32" s="165"/>
      <c r="V32" s="164">
        <f t="shared" si="33"/>
        <v>0</v>
      </c>
      <c r="W32" s="158">
        <v>0.5</v>
      </c>
      <c r="X32" s="154">
        <f t="shared" si="34"/>
        <v>186940.91080000001</v>
      </c>
      <c r="Y32" s="158">
        <v>0.5</v>
      </c>
      <c r="Z32" s="154">
        <f t="shared" si="35"/>
        <v>186940.91080000001</v>
      </c>
      <c r="AA32" s="165"/>
      <c r="AB32" s="164">
        <f t="shared" si="36"/>
        <v>0</v>
      </c>
      <c r="AC32" s="165"/>
      <c r="AD32" s="164">
        <f t="shared" si="37"/>
        <v>0</v>
      </c>
      <c r="AE32" s="165"/>
      <c r="AF32" s="164">
        <f t="shared" si="38"/>
        <v>0</v>
      </c>
      <c r="AG32" s="165"/>
      <c r="AH32" s="164">
        <f t="shared" si="39"/>
        <v>0</v>
      </c>
      <c r="AI32" s="165"/>
      <c r="AJ32" s="164">
        <f t="shared" si="40"/>
        <v>0</v>
      </c>
      <c r="AK32" s="165"/>
      <c r="AL32" s="164">
        <f t="shared" si="41"/>
        <v>0</v>
      </c>
      <c r="AM32" s="165"/>
      <c r="AN32" s="164">
        <f t="shared" si="42"/>
        <v>0</v>
      </c>
      <c r="AO32" s="165"/>
      <c r="AP32" s="164">
        <f t="shared" si="43"/>
        <v>0</v>
      </c>
      <c r="AQ32" s="165"/>
      <c r="AR32" s="164">
        <f t="shared" si="44"/>
        <v>0</v>
      </c>
      <c r="AS32" s="165"/>
      <c r="AT32" s="164">
        <f t="shared" si="45"/>
        <v>0</v>
      </c>
      <c r="AU32" s="451">
        <f t="shared" si="23"/>
        <v>1</v>
      </c>
    </row>
    <row r="33" spans="1:47" ht="15.75" customHeight="1">
      <c r="A33" s="391" t="s">
        <v>23670</v>
      </c>
      <c r="B33" s="395" t="s">
        <v>23658</v>
      </c>
      <c r="C33" s="392">
        <f>SUM(C34:C40)</f>
        <v>2380345.0782999997</v>
      </c>
      <c r="D33" s="393">
        <f t="shared" si="0"/>
        <v>2.1629019106118866E-2</v>
      </c>
      <c r="E33" s="393">
        <f>F33/C33</f>
        <v>0</v>
      </c>
      <c r="F33" s="392">
        <f t="shared" ref="F33:AT33" si="46">SUM(F34:F40)</f>
        <v>0</v>
      </c>
      <c r="G33" s="393">
        <f>H33/C33</f>
        <v>0</v>
      </c>
      <c r="H33" s="392">
        <f t="shared" si="46"/>
        <v>0</v>
      </c>
      <c r="I33" s="393">
        <f>J33/C33</f>
        <v>0</v>
      </c>
      <c r="J33" s="392">
        <f t="shared" si="46"/>
        <v>0</v>
      </c>
      <c r="K33" s="393">
        <f>L33/C33</f>
        <v>0</v>
      </c>
      <c r="L33" s="392">
        <f t="shared" si="46"/>
        <v>0</v>
      </c>
      <c r="M33" s="393">
        <f>N33/C33</f>
        <v>0</v>
      </c>
      <c r="N33" s="392">
        <f t="shared" si="46"/>
        <v>0</v>
      </c>
      <c r="O33" s="393">
        <f>P33/C33</f>
        <v>0</v>
      </c>
      <c r="P33" s="392">
        <f t="shared" si="46"/>
        <v>0</v>
      </c>
      <c r="Q33" s="393">
        <f>R33/C33</f>
        <v>0</v>
      </c>
      <c r="R33" s="392">
        <f t="shared" si="46"/>
        <v>0</v>
      </c>
      <c r="S33" s="393">
        <f>T33/C33</f>
        <v>0</v>
      </c>
      <c r="T33" s="392">
        <f t="shared" si="46"/>
        <v>0</v>
      </c>
      <c r="U33" s="393">
        <f>V33/C33</f>
        <v>0</v>
      </c>
      <c r="V33" s="392">
        <f t="shared" si="46"/>
        <v>0</v>
      </c>
      <c r="W33" s="393">
        <f>X33/C33</f>
        <v>0</v>
      </c>
      <c r="X33" s="392">
        <f t="shared" si="46"/>
        <v>0</v>
      </c>
      <c r="Y33" s="393">
        <f>Z33/C33</f>
        <v>0.11019183350920538</v>
      </c>
      <c r="Z33" s="392">
        <f t="shared" si="46"/>
        <v>262294.58856249001</v>
      </c>
      <c r="AA33" s="393">
        <f>AB33/C33</f>
        <v>0.19160374907205324</v>
      </c>
      <c r="AB33" s="392">
        <f t="shared" si="46"/>
        <v>456083.04108749004</v>
      </c>
      <c r="AC33" s="393">
        <f>AD33/C33</f>
        <v>0.19160374907205324</v>
      </c>
      <c r="AD33" s="392">
        <f t="shared" si="46"/>
        <v>456083.04108749004</v>
      </c>
      <c r="AE33" s="393">
        <f>AF33/C33</f>
        <v>0.19160374907205324</v>
      </c>
      <c r="AF33" s="392">
        <f t="shared" si="46"/>
        <v>456083.04108749004</v>
      </c>
      <c r="AG33" s="393">
        <f>AH33/C33</f>
        <v>0.19821991223619728</v>
      </c>
      <c r="AH33" s="392">
        <f t="shared" si="46"/>
        <v>471831.79251249006</v>
      </c>
      <c r="AI33" s="393">
        <f>AJ33/C33</f>
        <v>0.11677700703843788</v>
      </c>
      <c r="AJ33" s="392">
        <f t="shared" si="46"/>
        <v>277969.57396255003</v>
      </c>
      <c r="AK33" s="393">
        <f>AL33/C33</f>
        <v>0</v>
      </c>
      <c r="AL33" s="392">
        <f t="shared" si="46"/>
        <v>0</v>
      </c>
      <c r="AM33" s="393">
        <f>AN33/C33</f>
        <v>0</v>
      </c>
      <c r="AN33" s="392">
        <f t="shared" si="46"/>
        <v>0</v>
      </c>
      <c r="AO33" s="393">
        <f>AP33/C33</f>
        <v>0</v>
      </c>
      <c r="AP33" s="392">
        <f t="shared" si="46"/>
        <v>0</v>
      </c>
      <c r="AQ33" s="393">
        <f>AR33/C33</f>
        <v>0</v>
      </c>
      <c r="AR33" s="392">
        <f t="shared" si="46"/>
        <v>0</v>
      </c>
      <c r="AS33" s="393">
        <f>AT33/C33</f>
        <v>0</v>
      </c>
      <c r="AT33" s="392">
        <f t="shared" si="46"/>
        <v>0</v>
      </c>
      <c r="AU33" s="451">
        <f t="shared" si="23"/>
        <v>1.0000000000000002</v>
      </c>
    </row>
    <row r="34" spans="1:47">
      <c r="A34" s="9" t="s">
        <v>338</v>
      </c>
      <c r="B34" s="397" t="str">
        <f>VLOOKUP(A34,'1. PLANILHA RESUMO'!A:B,2,0)</f>
        <v>TERRAPLENAGEM</v>
      </c>
      <c r="C34" s="164">
        <f>'2. PLANILHA SINTÉTICA'!N90</f>
        <v>229656.83730000001</v>
      </c>
      <c r="D34" s="25">
        <f t="shared" si="0"/>
        <v>2.0867781596440025E-3</v>
      </c>
      <c r="E34" s="165"/>
      <c r="F34" s="164">
        <f t="shared" ref="F34:F40" si="47">E34*C34</f>
        <v>0</v>
      </c>
      <c r="G34" s="165"/>
      <c r="H34" s="164">
        <f t="shared" ref="H34:H40" si="48">G34*C34</f>
        <v>0</v>
      </c>
      <c r="I34" s="165"/>
      <c r="J34" s="164">
        <f t="shared" ref="J34:J40" si="49">I34*C34</f>
        <v>0</v>
      </c>
      <c r="K34" s="165"/>
      <c r="L34" s="164">
        <f t="shared" ref="L34:L40" si="50">K34*$C34</f>
        <v>0</v>
      </c>
      <c r="M34" s="165"/>
      <c r="N34" s="164">
        <f t="shared" ref="N34:N40" si="51">M34*$C34</f>
        <v>0</v>
      </c>
      <c r="O34" s="165"/>
      <c r="P34" s="164">
        <f t="shared" ref="P34:P40" si="52">O34*$C34</f>
        <v>0</v>
      </c>
      <c r="Q34" s="165"/>
      <c r="R34" s="164">
        <f t="shared" ref="R34:R40" si="53">Q34*$C34</f>
        <v>0</v>
      </c>
      <c r="S34" s="165"/>
      <c r="T34" s="164">
        <f t="shared" ref="T34:T40" si="54">S34*$C34</f>
        <v>0</v>
      </c>
      <c r="U34" s="165"/>
      <c r="V34" s="164">
        <f t="shared" ref="V34:V40" si="55">U34*$C34</f>
        <v>0</v>
      </c>
      <c r="W34" s="165"/>
      <c r="X34" s="164">
        <f t="shared" ref="X34:X40" si="56">W34*C34</f>
        <v>0</v>
      </c>
      <c r="Y34" s="158">
        <v>0.25</v>
      </c>
      <c r="Z34" s="154">
        <f t="shared" ref="Z34:Z40" si="57">Y34*$C34</f>
        <v>57414.209325000003</v>
      </c>
      <c r="AA34" s="158">
        <v>0.25</v>
      </c>
      <c r="AB34" s="154">
        <f t="shared" ref="AB34:AB40" si="58">AA34*$C34</f>
        <v>57414.209325000003</v>
      </c>
      <c r="AC34" s="158">
        <v>0.25</v>
      </c>
      <c r="AD34" s="154">
        <f t="shared" ref="AD34:AD40" si="59">AC34*$C34</f>
        <v>57414.209325000003</v>
      </c>
      <c r="AE34" s="158">
        <v>0.25</v>
      </c>
      <c r="AF34" s="154">
        <f t="shared" ref="AF34:AF40" si="60">AE34*$C34</f>
        <v>57414.209325000003</v>
      </c>
      <c r="AG34" s="165"/>
      <c r="AH34" s="164">
        <f t="shared" ref="AH34:AH40" si="61">AG34*$C34</f>
        <v>0</v>
      </c>
      <c r="AI34" s="165"/>
      <c r="AJ34" s="164">
        <f t="shared" ref="AJ34:AJ40" si="62">AI34*$C34</f>
        <v>0</v>
      </c>
      <c r="AK34" s="165"/>
      <c r="AL34" s="164">
        <f t="shared" ref="AL34:AL40" si="63">AK34*C34</f>
        <v>0</v>
      </c>
      <c r="AM34" s="165"/>
      <c r="AN34" s="164">
        <f t="shared" ref="AN34:AN40" si="64">AM34*C34</f>
        <v>0</v>
      </c>
      <c r="AO34" s="165"/>
      <c r="AP34" s="164">
        <f t="shared" ref="AP34:AP40" si="65">AO34*C34</f>
        <v>0</v>
      </c>
      <c r="AQ34" s="165"/>
      <c r="AR34" s="164">
        <f t="shared" ref="AR34:AR40" si="66">AQ34*C34</f>
        <v>0</v>
      </c>
      <c r="AS34" s="165"/>
      <c r="AT34" s="164">
        <f t="shared" ref="AT34:AT40" si="67">AS34*C34</f>
        <v>0</v>
      </c>
      <c r="AU34" s="451">
        <f t="shared" si="23"/>
        <v>1</v>
      </c>
    </row>
    <row r="35" spans="1:47">
      <c r="A35" s="9" t="s">
        <v>339</v>
      </c>
      <c r="B35" s="397" t="str">
        <f>VLOOKUP(A35,'1. PLANILHA RESUMO'!A:B,2,0)</f>
        <v xml:space="preserve">DRENAGEM </v>
      </c>
      <c r="C35" s="164">
        <f>'2. PLANILHA SINTÉTICA'!N235</f>
        <v>450813.73360000004</v>
      </c>
      <c r="D35" s="25">
        <f t="shared" si="0"/>
        <v>4.0963215569983363E-3</v>
      </c>
      <c r="E35" s="165"/>
      <c r="F35" s="164">
        <f t="shared" si="47"/>
        <v>0</v>
      </c>
      <c r="G35" s="165"/>
      <c r="H35" s="164">
        <f t="shared" si="48"/>
        <v>0</v>
      </c>
      <c r="I35" s="165"/>
      <c r="J35" s="164">
        <f t="shared" si="49"/>
        <v>0</v>
      </c>
      <c r="K35" s="165"/>
      <c r="L35" s="164">
        <f t="shared" si="50"/>
        <v>0</v>
      </c>
      <c r="M35" s="165"/>
      <c r="N35" s="164">
        <f t="shared" si="51"/>
        <v>0</v>
      </c>
      <c r="O35" s="165"/>
      <c r="P35" s="164">
        <f t="shared" si="52"/>
        <v>0</v>
      </c>
      <c r="Q35" s="165"/>
      <c r="R35" s="164">
        <f t="shared" si="53"/>
        <v>0</v>
      </c>
      <c r="S35" s="165"/>
      <c r="T35" s="164">
        <f t="shared" si="54"/>
        <v>0</v>
      </c>
      <c r="U35" s="165"/>
      <c r="V35" s="164">
        <f t="shared" si="55"/>
        <v>0</v>
      </c>
      <c r="W35" s="165"/>
      <c r="X35" s="164">
        <f t="shared" si="56"/>
        <v>0</v>
      </c>
      <c r="Y35" s="158">
        <v>0.25</v>
      </c>
      <c r="Z35" s="154">
        <f t="shared" si="57"/>
        <v>112703.43340000001</v>
      </c>
      <c r="AA35" s="158">
        <v>0.25</v>
      </c>
      <c r="AB35" s="154">
        <f t="shared" si="58"/>
        <v>112703.43340000001</v>
      </c>
      <c r="AC35" s="158">
        <v>0.25</v>
      </c>
      <c r="AD35" s="154">
        <f t="shared" si="59"/>
        <v>112703.43340000001</v>
      </c>
      <c r="AE35" s="158">
        <v>0.25</v>
      </c>
      <c r="AF35" s="154">
        <f t="shared" si="60"/>
        <v>112703.43340000001</v>
      </c>
      <c r="AG35" s="165"/>
      <c r="AH35" s="164">
        <f t="shared" si="61"/>
        <v>0</v>
      </c>
      <c r="AI35" s="165"/>
      <c r="AJ35" s="164">
        <f t="shared" si="62"/>
        <v>0</v>
      </c>
      <c r="AK35" s="165"/>
      <c r="AL35" s="164">
        <f t="shared" si="63"/>
        <v>0</v>
      </c>
      <c r="AM35" s="165"/>
      <c r="AN35" s="164">
        <f t="shared" si="64"/>
        <v>0</v>
      </c>
      <c r="AO35" s="165"/>
      <c r="AP35" s="164">
        <f t="shared" si="65"/>
        <v>0</v>
      </c>
      <c r="AQ35" s="165"/>
      <c r="AR35" s="164">
        <f t="shared" si="66"/>
        <v>0</v>
      </c>
      <c r="AS35" s="165"/>
      <c r="AT35" s="164">
        <f t="shared" si="67"/>
        <v>0</v>
      </c>
      <c r="AU35" s="451">
        <f t="shared" si="23"/>
        <v>1</v>
      </c>
    </row>
    <row r="36" spans="1:47">
      <c r="A36" s="9" t="s">
        <v>340</v>
      </c>
      <c r="B36" s="397" t="str">
        <f>VLOOKUP(A36,'1. PLANILHA RESUMO'!A:B,2,0)</f>
        <v>OBRAS DE ARTES CORRENTES</v>
      </c>
      <c r="C36" s="164">
        <f>'2. PLANILHA SINTÉTICA'!N559</f>
        <v>122771.85619999999</v>
      </c>
      <c r="D36" s="25">
        <f t="shared" si="0"/>
        <v>1.1155671703448739E-3</v>
      </c>
      <c r="E36" s="165"/>
      <c r="F36" s="164">
        <f t="shared" si="47"/>
        <v>0</v>
      </c>
      <c r="G36" s="165"/>
      <c r="H36" s="164">
        <f t="shared" si="48"/>
        <v>0</v>
      </c>
      <c r="I36" s="165"/>
      <c r="J36" s="164">
        <f t="shared" si="49"/>
        <v>0</v>
      </c>
      <c r="K36" s="165"/>
      <c r="L36" s="164">
        <f t="shared" si="50"/>
        <v>0</v>
      </c>
      <c r="M36" s="165"/>
      <c r="N36" s="164">
        <f t="shared" si="51"/>
        <v>0</v>
      </c>
      <c r="O36" s="165"/>
      <c r="P36" s="164">
        <f t="shared" si="52"/>
        <v>0</v>
      </c>
      <c r="Q36" s="165"/>
      <c r="R36" s="164">
        <f t="shared" si="53"/>
        <v>0</v>
      </c>
      <c r="S36" s="165"/>
      <c r="T36" s="164">
        <f t="shared" si="54"/>
        <v>0</v>
      </c>
      <c r="U36" s="165"/>
      <c r="V36" s="164">
        <f t="shared" si="55"/>
        <v>0</v>
      </c>
      <c r="W36" s="165"/>
      <c r="X36" s="164">
        <f t="shared" si="56"/>
        <v>0</v>
      </c>
      <c r="Y36" s="158">
        <v>0.25</v>
      </c>
      <c r="Z36" s="154">
        <f t="shared" si="57"/>
        <v>30692.964049999999</v>
      </c>
      <c r="AA36" s="158">
        <v>0.25</v>
      </c>
      <c r="AB36" s="154">
        <f t="shared" si="58"/>
        <v>30692.964049999999</v>
      </c>
      <c r="AC36" s="158">
        <v>0.25</v>
      </c>
      <c r="AD36" s="154">
        <f t="shared" si="59"/>
        <v>30692.964049999999</v>
      </c>
      <c r="AE36" s="158">
        <v>0.25</v>
      </c>
      <c r="AF36" s="154">
        <f t="shared" si="60"/>
        <v>30692.964049999999</v>
      </c>
      <c r="AG36" s="165"/>
      <c r="AH36" s="164">
        <f t="shared" si="61"/>
        <v>0</v>
      </c>
      <c r="AI36" s="165"/>
      <c r="AJ36" s="164">
        <f t="shared" si="62"/>
        <v>0</v>
      </c>
      <c r="AK36" s="165"/>
      <c r="AL36" s="164">
        <f t="shared" si="63"/>
        <v>0</v>
      </c>
      <c r="AM36" s="165"/>
      <c r="AN36" s="164">
        <f t="shared" si="64"/>
        <v>0</v>
      </c>
      <c r="AO36" s="165"/>
      <c r="AP36" s="164">
        <f t="shared" si="65"/>
        <v>0</v>
      </c>
      <c r="AQ36" s="165"/>
      <c r="AR36" s="164">
        <f t="shared" si="66"/>
        <v>0</v>
      </c>
      <c r="AS36" s="165"/>
      <c r="AT36" s="164">
        <f t="shared" si="67"/>
        <v>0</v>
      </c>
      <c r="AU36" s="451">
        <f t="shared" si="23"/>
        <v>1</v>
      </c>
    </row>
    <row r="37" spans="1:47">
      <c r="A37" s="9" t="s">
        <v>341</v>
      </c>
      <c r="B37" s="397" t="str">
        <f>VLOOKUP(A37,'1. PLANILHA RESUMO'!A:B,2,0)</f>
        <v xml:space="preserve">PAVIMENTAÇÃO </v>
      </c>
      <c r="C37" s="164">
        <f>'2. PLANILHA SINTÉTICA'!N659</f>
        <v>775153.8101</v>
      </c>
      <c r="D37" s="25">
        <f t="shared" si="0"/>
        <v>7.0434395086982869E-3</v>
      </c>
      <c r="E37" s="165"/>
      <c r="F37" s="164">
        <f t="shared" si="47"/>
        <v>0</v>
      </c>
      <c r="G37" s="165"/>
      <c r="H37" s="164">
        <f t="shared" si="48"/>
        <v>0</v>
      </c>
      <c r="I37" s="165"/>
      <c r="J37" s="164">
        <f t="shared" si="49"/>
        <v>0</v>
      </c>
      <c r="K37" s="165"/>
      <c r="L37" s="164">
        <f t="shared" si="50"/>
        <v>0</v>
      </c>
      <c r="M37" s="165"/>
      <c r="N37" s="164">
        <f t="shared" si="51"/>
        <v>0</v>
      </c>
      <c r="O37" s="165"/>
      <c r="P37" s="164">
        <f t="shared" si="52"/>
        <v>0</v>
      </c>
      <c r="Q37" s="165"/>
      <c r="R37" s="164">
        <f t="shared" si="53"/>
        <v>0</v>
      </c>
      <c r="S37" s="165"/>
      <c r="T37" s="164">
        <f t="shared" si="54"/>
        <v>0</v>
      </c>
      <c r="U37" s="165"/>
      <c r="V37" s="164">
        <f t="shared" si="55"/>
        <v>0</v>
      </c>
      <c r="W37" s="165"/>
      <c r="X37" s="164">
        <f t="shared" si="56"/>
        <v>0</v>
      </c>
      <c r="Y37" s="165"/>
      <c r="Z37" s="164">
        <f t="shared" si="57"/>
        <v>0</v>
      </c>
      <c r="AA37" s="158">
        <v>0.25</v>
      </c>
      <c r="AB37" s="154">
        <f t="shared" si="58"/>
        <v>193788.452525</v>
      </c>
      <c r="AC37" s="158">
        <v>0.25</v>
      </c>
      <c r="AD37" s="154">
        <f t="shared" si="59"/>
        <v>193788.452525</v>
      </c>
      <c r="AE37" s="158">
        <v>0.25</v>
      </c>
      <c r="AF37" s="154">
        <f t="shared" si="60"/>
        <v>193788.452525</v>
      </c>
      <c r="AG37" s="158">
        <v>0.25</v>
      </c>
      <c r="AH37" s="154">
        <f t="shared" si="61"/>
        <v>193788.452525</v>
      </c>
      <c r="AI37" s="165"/>
      <c r="AJ37" s="164">
        <f t="shared" si="62"/>
        <v>0</v>
      </c>
      <c r="AK37" s="165"/>
      <c r="AL37" s="164">
        <f t="shared" si="63"/>
        <v>0</v>
      </c>
      <c r="AM37" s="165"/>
      <c r="AN37" s="164">
        <f t="shared" si="64"/>
        <v>0</v>
      </c>
      <c r="AO37" s="165"/>
      <c r="AP37" s="164">
        <f t="shared" si="65"/>
        <v>0</v>
      </c>
      <c r="AQ37" s="165"/>
      <c r="AR37" s="164">
        <f t="shared" si="66"/>
        <v>0</v>
      </c>
      <c r="AS37" s="165"/>
      <c r="AT37" s="164">
        <f t="shared" si="67"/>
        <v>0</v>
      </c>
      <c r="AU37" s="451">
        <f t="shared" si="23"/>
        <v>1</v>
      </c>
    </row>
    <row r="38" spans="1:47">
      <c r="A38" s="9" t="s">
        <v>344</v>
      </c>
      <c r="B38" s="397" t="str">
        <f>VLOOKUP(A38,'1. PLANILHA RESUMO'!A:B,2,0)</f>
        <v>SINALIZAÇÃO VIÁRIA</v>
      </c>
      <c r="C38" s="164">
        <f>'2. PLANILHA SINTÉTICA'!N796</f>
        <v>166502.75879999998</v>
      </c>
      <c r="D38" s="25">
        <f t="shared" si="0"/>
        <v>1.5129282657952599E-3</v>
      </c>
      <c r="E38" s="165"/>
      <c r="F38" s="164">
        <f t="shared" si="47"/>
        <v>0</v>
      </c>
      <c r="G38" s="165"/>
      <c r="H38" s="164">
        <f t="shared" si="48"/>
        <v>0</v>
      </c>
      <c r="I38" s="165"/>
      <c r="J38" s="164">
        <f t="shared" si="49"/>
        <v>0</v>
      </c>
      <c r="K38" s="165"/>
      <c r="L38" s="164">
        <f t="shared" si="50"/>
        <v>0</v>
      </c>
      <c r="M38" s="165"/>
      <c r="N38" s="164">
        <f t="shared" si="51"/>
        <v>0</v>
      </c>
      <c r="O38" s="165"/>
      <c r="P38" s="164">
        <f t="shared" si="52"/>
        <v>0</v>
      </c>
      <c r="Q38" s="165"/>
      <c r="R38" s="164">
        <f t="shared" si="53"/>
        <v>0</v>
      </c>
      <c r="S38" s="165"/>
      <c r="T38" s="164">
        <f t="shared" si="54"/>
        <v>0</v>
      </c>
      <c r="U38" s="165"/>
      <c r="V38" s="164">
        <f t="shared" si="55"/>
        <v>0</v>
      </c>
      <c r="W38" s="165"/>
      <c r="X38" s="164">
        <f t="shared" si="56"/>
        <v>0</v>
      </c>
      <c r="Y38" s="165"/>
      <c r="Z38" s="164">
        <f t="shared" si="57"/>
        <v>0</v>
      </c>
      <c r="AA38" s="165"/>
      <c r="AB38" s="164">
        <f t="shared" si="58"/>
        <v>0</v>
      </c>
      <c r="AC38" s="165"/>
      <c r="AD38" s="164">
        <f t="shared" si="59"/>
        <v>0</v>
      </c>
      <c r="AE38" s="165"/>
      <c r="AF38" s="164">
        <f t="shared" si="60"/>
        <v>0</v>
      </c>
      <c r="AG38" s="158">
        <v>0.5</v>
      </c>
      <c r="AH38" s="154">
        <f t="shared" si="61"/>
        <v>83251.379399999991</v>
      </c>
      <c r="AI38" s="158">
        <v>0.5</v>
      </c>
      <c r="AJ38" s="154">
        <f t="shared" si="62"/>
        <v>83251.379399999991</v>
      </c>
      <c r="AK38" s="165"/>
      <c r="AL38" s="164">
        <f t="shared" si="63"/>
        <v>0</v>
      </c>
      <c r="AM38" s="165"/>
      <c r="AN38" s="164">
        <f t="shared" si="64"/>
        <v>0</v>
      </c>
      <c r="AO38" s="165"/>
      <c r="AP38" s="164">
        <f t="shared" si="65"/>
        <v>0</v>
      </c>
      <c r="AQ38" s="165"/>
      <c r="AR38" s="164">
        <f t="shared" si="66"/>
        <v>0</v>
      </c>
      <c r="AS38" s="165"/>
      <c r="AT38" s="164">
        <f t="shared" si="67"/>
        <v>0</v>
      </c>
      <c r="AU38" s="451">
        <f t="shared" si="23"/>
        <v>1</v>
      </c>
    </row>
    <row r="39" spans="1:47">
      <c r="A39" s="9" t="s">
        <v>345</v>
      </c>
      <c r="B39" s="397" t="str">
        <f>VLOOKUP(A39,'1. PLANILHA RESUMO'!A:B,2,0)</f>
        <v>SERVIÇOS COMPLEMENTARES</v>
      </c>
      <c r="C39" s="164">
        <f>'2. PLANILHA SINTÉTICA'!N856</f>
        <v>368830.12470000004</v>
      </c>
      <c r="D39" s="25">
        <f t="shared" si="0"/>
        <v>3.3513770279668216E-3</v>
      </c>
      <c r="E39" s="165"/>
      <c r="F39" s="164">
        <f t="shared" si="47"/>
        <v>0</v>
      </c>
      <c r="G39" s="165"/>
      <c r="H39" s="164">
        <f t="shared" si="48"/>
        <v>0</v>
      </c>
      <c r="I39" s="165"/>
      <c r="J39" s="164">
        <f t="shared" si="49"/>
        <v>0</v>
      </c>
      <c r="K39" s="165"/>
      <c r="L39" s="164">
        <f t="shared" si="50"/>
        <v>0</v>
      </c>
      <c r="M39" s="165"/>
      <c r="N39" s="164">
        <f t="shared" si="51"/>
        <v>0</v>
      </c>
      <c r="O39" s="165"/>
      <c r="P39" s="164">
        <f t="shared" si="52"/>
        <v>0</v>
      </c>
      <c r="Q39" s="165"/>
      <c r="R39" s="164">
        <f t="shared" si="53"/>
        <v>0</v>
      </c>
      <c r="S39" s="165"/>
      <c r="T39" s="164">
        <f t="shared" si="54"/>
        <v>0</v>
      </c>
      <c r="U39" s="165"/>
      <c r="V39" s="164">
        <f t="shared" si="55"/>
        <v>0</v>
      </c>
      <c r="W39" s="165"/>
      <c r="X39" s="164">
        <f t="shared" si="56"/>
        <v>0</v>
      </c>
      <c r="Y39" s="158">
        <v>0.16669999999999999</v>
      </c>
      <c r="Z39" s="154">
        <f t="shared" si="57"/>
        <v>61483.981787490004</v>
      </c>
      <c r="AA39" s="158">
        <v>0.16669999999999999</v>
      </c>
      <c r="AB39" s="154">
        <f t="shared" si="58"/>
        <v>61483.981787490004</v>
      </c>
      <c r="AC39" s="158">
        <v>0.16669999999999999</v>
      </c>
      <c r="AD39" s="154">
        <f t="shared" si="59"/>
        <v>61483.981787490004</v>
      </c>
      <c r="AE39" s="158">
        <v>0.16669999999999999</v>
      </c>
      <c r="AF39" s="154">
        <f t="shared" si="60"/>
        <v>61483.981787490004</v>
      </c>
      <c r="AG39" s="158">
        <v>0.16669999999999999</v>
      </c>
      <c r="AH39" s="154">
        <f t="shared" si="61"/>
        <v>61483.981787490004</v>
      </c>
      <c r="AI39" s="158">
        <v>0.16650000000000001</v>
      </c>
      <c r="AJ39" s="154">
        <f t="shared" si="62"/>
        <v>61410.215762550011</v>
      </c>
      <c r="AK39" s="165"/>
      <c r="AL39" s="164">
        <f t="shared" si="63"/>
        <v>0</v>
      </c>
      <c r="AM39" s="165"/>
      <c r="AN39" s="164">
        <f t="shared" si="64"/>
        <v>0</v>
      </c>
      <c r="AO39" s="165"/>
      <c r="AP39" s="164">
        <f t="shared" si="65"/>
        <v>0</v>
      </c>
      <c r="AQ39" s="165"/>
      <c r="AR39" s="164">
        <f t="shared" si="66"/>
        <v>0</v>
      </c>
      <c r="AS39" s="165"/>
      <c r="AT39" s="164">
        <f t="shared" si="67"/>
        <v>0</v>
      </c>
      <c r="AU39" s="451">
        <f t="shared" si="23"/>
        <v>0.99999999999999989</v>
      </c>
    </row>
    <row r="40" spans="1:47">
      <c r="A40" s="9" t="s">
        <v>346</v>
      </c>
      <c r="B40" s="397" t="str">
        <f>VLOOKUP(A40,'1. PLANILHA RESUMO'!A:B,2,0)</f>
        <v xml:space="preserve">ILUMINAÇÃO PÚBLICA </v>
      </c>
      <c r="C40" s="164">
        <f>'2. PLANILHA SINTÉTICA'!N928</f>
        <v>266615.95760000002</v>
      </c>
      <c r="D40" s="25">
        <f t="shared" si="0"/>
        <v>2.4226074166712884E-3</v>
      </c>
      <c r="E40" s="165"/>
      <c r="F40" s="164">
        <f t="shared" si="47"/>
        <v>0</v>
      </c>
      <c r="G40" s="165"/>
      <c r="H40" s="164">
        <f t="shared" si="48"/>
        <v>0</v>
      </c>
      <c r="I40" s="165"/>
      <c r="J40" s="164">
        <f t="shared" si="49"/>
        <v>0</v>
      </c>
      <c r="K40" s="165"/>
      <c r="L40" s="164">
        <f t="shared" si="50"/>
        <v>0</v>
      </c>
      <c r="M40" s="165"/>
      <c r="N40" s="164">
        <f t="shared" si="51"/>
        <v>0</v>
      </c>
      <c r="O40" s="165"/>
      <c r="P40" s="164">
        <f t="shared" si="52"/>
        <v>0</v>
      </c>
      <c r="Q40" s="165"/>
      <c r="R40" s="164">
        <f t="shared" si="53"/>
        <v>0</v>
      </c>
      <c r="S40" s="165"/>
      <c r="T40" s="164">
        <f t="shared" si="54"/>
        <v>0</v>
      </c>
      <c r="U40" s="165"/>
      <c r="V40" s="164">
        <f t="shared" si="55"/>
        <v>0</v>
      </c>
      <c r="W40" s="165"/>
      <c r="X40" s="164">
        <f t="shared" si="56"/>
        <v>0</v>
      </c>
      <c r="Y40" s="165"/>
      <c r="Z40" s="164">
        <f t="shared" si="57"/>
        <v>0</v>
      </c>
      <c r="AA40" s="165"/>
      <c r="AB40" s="164">
        <f t="shared" si="58"/>
        <v>0</v>
      </c>
      <c r="AC40" s="165"/>
      <c r="AD40" s="164">
        <f t="shared" si="59"/>
        <v>0</v>
      </c>
      <c r="AE40" s="165"/>
      <c r="AF40" s="164">
        <f t="shared" si="60"/>
        <v>0</v>
      </c>
      <c r="AG40" s="158">
        <v>0.5</v>
      </c>
      <c r="AH40" s="154">
        <f t="shared" si="61"/>
        <v>133307.97880000001</v>
      </c>
      <c r="AI40" s="158">
        <v>0.5</v>
      </c>
      <c r="AJ40" s="154">
        <f t="shared" si="62"/>
        <v>133307.97880000001</v>
      </c>
      <c r="AK40" s="165"/>
      <c r="AL40" s="164">
        <f t="shared" si="63"/>
        <v>0</v>
      </c>
      <c r="AM40" s="165"/>
      <c r="AN40" s="164">
        <f t="shared" si="64"/>
        <v>0</v>
      </c>
      <c r="AO40" s="165"/>
      <c r="AP40" s="164">
        <f t="shared" si="65"/>
        <v>0</v>
      </c>
      <c r="AQ40" s="165"/>
      <c r="AR40" s="164">
        <f t="shared" si="66"/>
        <v>0</v>
      </c>
      <c r="AS40" s="165"/>
      <c r="AT40" s="164">
        <f t="shared" si="67"/>
        <v>0</v>
      </c>
      <c r="AU40" s="451">
        <f t="shared" si="23"/>
        <v>1</v>
      </c>
    </row>
    <row r="41" spans="1:47" ht="15.75" customHeight="1">
      <c r="A41" s="391" t="s">
        <v>23671</v>
      </c>
      <c r="B41" s="395" t="s">
        <v>23659</v>
      </c>
      <c r="C41" s="392">
        <f>SUM(C42:C49)</f>
        <v>23797709.253299996</v>
      </c>
      <c r="D41" s="393">
        <f t="shared" si="0"/>
        <v>0.21623802061888103</v>
      </c>
      <c r="E41" s="393">
        <f>F41/C41</f>
        <v>0</v>
      </c>
      <c r="F41" s="392">
        <f>SUM(F42:F49)</f>
        <v>0</v>
      </c>
      <c r="G41" s="393">
        <f>H41/C41</f>
        <v>0</v>
      </c>
      <c r="H41" s="392">
        <f>SUM(H42:H49)</f>
        <v>0</v>
      </c>
      <c r="I41" s="393">
        <f>J41/C41</f>
        <v>0</v>
      </c>
      <c r="J41" s="392">
        <f>SUM(J42:J49)</f>
        <v>0</v>
      </c>
      <c r="K41" s="393">
        <f>L41/C41</f>
        <v>0</v>
      </c>
      <c r="L41" s="392">
        <f>SUM(L42:L49)</f>
        <v>0</v>
      </c>
      <c r="M41" s="393">
        <f>N41/C41</f>
        <v>0</v>
      </c>
      <c r="N41" s="392">
        <f>SUM(N42:N49)</f>
        <v>0</v>
      </c>
      <c r="O41" s="393">
        <f>P41/C41</f>
        <v>0</v>
      </c>
      <c r="P41" s="392">
        <f>SUM(P42:P49)</f>
        <v>0</v>
      </c>
      <c r="Q41" s="393">
        <f>R41/C41</f>
        <v>0</v>
      </c>
      <c r="R41" s="392">
        <f>SUM(R42:R49)</f>
        <v>0</v>
      </c>
      <c r="S41" s="393">
        <f>T41/C41</f>
        <v>0</v>
      </c>
      <c r="T41" s="392">
        <f>SUM(T42:T49)</f>
        <v>0</v>
      </c>
      <c r="U41" s="393">
        <f>V41/C41</f>
        <v>5.0159617092534796E-2</v>
      </c>
      <c r="V41" s="392">
        <f>SUM(V42:V49)</f>
        <v>1193683.983825</v>
      </c>
      <c r="W41" s="393">
        <f>X41/C41</f>
        <v>7.7972146080097698E-2</v>
      </c>
      <c r="X41" s="392">
        <f>SUM(X42:X49)</f>
        <v>1855558.46227</v>
      </c>
      <c r="Y41" s="393">
        <f>Z41/C41</f>
        <v>0.13159463740551997</v>
      </c>
      <c r="Z41" s="392">
        <f>SUM(Z42:Z49)</f>
        <v>3131650.9202700001</v>
      </c>
      <c r="AA41" s="393">
        <f>AB41/C41</f>
        <v>0.13263806523530389</v>
      </c>
      <c r="AB41" s="392">
        <f>SUM(AB42:AB49)</f>
        <v>3156482.1123899999</v>
      </c>
      <c r="AC41" s="393">
        <f>AD41/C41</f>
        <v>0.1862605565607261</v>
      </c>
      <c r="AD41" s="392">
        <f>SUM(AD42:AD49)</f>
        <v>4432574.5703899991</v>
      </c>
      <c r="AE41" s="393">
        <f>AF41/C41</f>
        <v>0.14043297350864017</v>
      </c>
      <c r="AF41" s="392">
        <f>SUM(AF42:AF49)</f>
        <v>3341983.0731349997</v>
      </c>
      <c r="AG41" s="393">
        <f>AH41/C41</f>
        <v>0.11262044452107728</v>
      </c>
      <c r="AH41" s="392">
        <f>SUM(AH42:AH49)</f>
        <v>2680108.5946899997</v>
      </c>
      <c r="AI41" s="393">
        <f>AJ41/C41</f>
        <v>0.13830498503836428</v>
      </c>
      <c r="AJ41" s="392">
        <f>SUM(AJ42:AJ49)</f>
        <v>3291341.8222249993</v>
      </c>
      <c r="AK41" s="393">
        <f>AL41/C41</f>
        <v>3.0016574557735865E-2</v>
      </c>
      <c r="AL41" s="392">
        <f>SUM(AL42:AL49)</f>
        <v>714325.71410500002</v>
      </c>
      <c r="AM41" s="393">
        <f>AN41/C41</f>
        <v>0</v>
      </c>
      <c r="AN41" s="392">
        <f>SUM(AN42:AN49)</f>
        <v>0</v>
      </c>
      <c r="AO41" s="393">
        <f>AP41/C41</f>
        <v>0</v>
      </c>
      <c r="AP41" s="392">
        <f>SUM(AP42:AP49)</f>
        <v>0</v>
      </c>
      <c r="AQ41" s="393">
        <f>AR41/C41</f>
        <v>0</v>
      </c>
      <c r="AR41" s="392">
        <f>SUM(AR42:AR49)</f>
        <v>0</v>
      </c>
      <c r="AS41" s="393">
        <f>AT41/C41</f>
        <v>0</v>
      </c>
      <c r="AT41" s="392">
        <f>SUM(AT42:AT49)</f>
        <v>0</v>
      </c>
      <c r="AU41" s="451">
        <f t="shared" si="23"/>
        <v>1</v>
      </c>
    </row>
    <row r="42" spans="1:47">
      <c r="A42" s="9" t="s">
        <v>338</v>
      </c>
      <c r="B42" s="397" t="str">
        <f>VLOOKUP(A42,'1. PLANILHA RESUMO'!A:B,2,0)</f>
        <v>TERRAPLENAGEM</v>
      </c>
      <c r="C42" s="164">
        <f>'2. PLANILHA SINTÉTICA'!N101</f>
        <v>4475159.6903999997</v>
      </c>
      <c r="D42" s="25">
        <f t="shared" si="0"/>
        <v>4.0663564005485563E-2</v>
      </c>
      <c r="E42" s="165"/>
      <c r="F42" s="164">
        <f t="shared" ref="F42:F49" si="68">E42*C42</f>
        <v>0</v>
      </c>
      <c r="G42" s="165"/>
      <c r="H42" s="164">
        <f t="shared" ref="H42:H49" si="69">G42*C42</f>
        <v>0</v>
      </c>
      <c r="I42" s="165"/>
      <c r="J42" s="164">
        <f t="shared" ref="J42:J49" si="70">I42*C42</f>
        <v>0</v>
      </c>
      <c r="K42" s="165"/>
      <c r="L42" s="164">
        <f t="shared" ref="L42:L49" si="71">K42*C42</f>
        <v>0</v>
      </c>
      <c r="M42" s="165"/>
      <c r="N42" s="164">
        <f t="shared" ref="N42:N49" si="72">M42*C42</f>
        <v>0</v>
      </c>
      <c r="O42" s="165"/>
      <c r="P42" s="164">
        <f t="shared" ref="P42:P49" si="73">O42*C42</f>
        <v>0</v>
      </c>
      <c r="Q42" s="165"/>
      <c r="R42" s="164">
        <f t="shared" ref="R42:R49" si="74">Q42*C42</f>
        <v>0</v>
      </c>
      <c r="S42" s="165"/>
      <c r="T42" s="164">
        <f t="shared" ref="T42:T49" si="75">S42*C42</f>
        <v>0</v>
      </c>
      <c r="U42" s="158">
        <v>0.1</v>
      </c>
      <c r="V42" s="154">
        <f>U42*$C42</f>
        <v>447515.96904</v>
      </c>
      <c r="W42" s="158">
        <v>0.2</v>
      </c>
      <c r="X42" s="154">
        <f>W42*$C42</f>
        <v>895031.93807999999</v>
      </c>
      <c r="Y42" s="158">
        <v>0.2</v>
      </c>
      <c r="Z42" s="154">
        <f t="shared" ref="Z42:Z49" si="76">Y42*$C42</f>
        <v>895031.93807999999</v>
      </c>
      <c r="AA42" s="158">
        <v>0.2</v>
      </c>
      <c r="AB42" s="154">
        <f t="shared" ref="AB42:AB49" si="77">AA42*$C42</f>
        <v>895031.93807999999</v>
      </c>
      <c r="AC42" s="158">
        <v>0.2</v>
      </c>
      <c r="AD42" s="154">
        <f t="shared" ref="AD42:AD49" si="78">AC42*$C42</f>
        <v>895031.93807999999</v>
      </c>
      <c r="AE42" s="158">
        <v>0.1</v>
      </c>
      <c r="AF42" s="154">
        <f t="shared" ref="AF42:AF49" si="79">AE42*$C42</f>
        <v>447515.96904</v>
      </c>
      <c r="AG42" s="165"/>
      <c r="AH42" s="164">
        <f t="shared" ref="AH42:AH49" si="80">AG42*$C42</f>
        <v>0</v>
      </c>
      <c r="AI42" s="165"/>
      <c r="AJ42" s="164">
        <f t="shared" ref="AJ42:AJ49" si="81">AI42*$C42</f>
        <v>0</v>
      </c>
      <c r="AK42" s="165"/>
      <c r="AL42" s="164">
        <f t="shared" ref="AL42:AL49" si="82">AK42*$C42</f>
        <v>0</v>
      </c>
      <c r="AM42" s="165"/>
      <c r="AN42" s="164">
        <f t="shared" ref="AN42:AN49" si="83">AM42*$C42</f>
        <v>0</v>
      </c>
      <c r="AO42" s="165"/>
      <c r="AP42" s="164">
        <f t="shared" ref="AP42:AP49" si="84">AO42*$C42</f>
        <v>0</v>
      </c>
      <c r="AQ42" s="165"/>
      <c r="AR42" s="164">
        <f t="shared" ref="AR42:AR49" si="85">AQ42*$C42</f>
        <v>0</v>
      </c>
      <c r="AS42" s="165"/>
      <c r="AT42" s="164">
        <f t="shared" ref="AT42:AT49" si="86">AS42*C42</f>
        <v>0</v>
      </c>
      <c r="AU42" s="451">
        <f t="shared" si="23"/>
        <v>0.99999999999999989</v>
      </c>
    </row>
    <row r="43" spans="1:47">
      <c r="A43" s="9" t="s">
        <v>339</v>
      </c>
      <c r="B43" s="397" t="str">
        <f>VLOOKUP(A43,'1. PLANILHA RESUMO'!A:B,2,0)</f>
        <v xml:space="preserve">DRENAGEM </v>
      </c>
      <c r="C43" s="164">
        <f>'2. PLANILHA SINTÉTICA'!N285</f>
        <v>3467112.1449000007</v>
      </c>
      <c r="D43" s="25">
        <f t="shared" si="0"/>
        <v>3.1503934244128826E-2</v>
      </c>
      <c r="E43" s="165"/>
      <c r="F43" s="164">
        <f t="shared" si="68"/>
        <v>0</v>
      </c>
      <c r="G43" s="165"/>
      <c r="H43" s="164">
        <f t="shared" si="69"/>
        <v>0</v>
      </c>
      <c r="I43" s="165"/>
      <c r="J43" s="164">
        <f t="shared" si="70"/>
        <v>0</v>
      </c>
      <c r="K43" s="165"/>
      <c r="L43" s="164">
        <f t="shared" si="71"/>
        <v>0</v>
      </c>
      <c r="M43" s="165"/>
      <c r="N43" s="164">
        <f t="shared" si="72"/>
        <v>0</v>
      </c>
      <c r="O43" s="165"/>
      <c r="P43" s="164">
        <f t="shared" si="73"/>
        <v>0</v>
      </c>
      <c r="Q43" s="165"/>
      <c r="R43" s="164">
        <f t="shared" si="74"/>
        <v>0</v>
      </c>
      <c r="S43" s="165"/>
      <c r="T43" s="164">
        <f t="shared" si="75"/>
        <v>0</v>
      </c>
      <c r="U43" s="158">
        <v>0.15</v>
      </c>
      <c r="V43" s="154">
        <f t="shared" ref="V43:V49" si="87">U43*$C43</f>
        <v>520066.82173500006</v>
      </c>
      <c r="W43" s="158">
        <v>0.2</v>
      </c>
      <c r="X43" s="154">
        <f t="shared" ref="X43:X49" si="88">W43*$C43</f>
        <v>693422.4289800002</v>
      </c>
      <c r="Y43" s="158">
        <v>0.2</v>
      </c>
      <c r="Z43" s="154">
        <f t="shared" si="76"/>
        <v>693422.4289800002</v>
      </c>
      <c r="AA43" s="158">
        <v>0.2</v>
      </c>
      <c r="AB43" s="154">
        <f t="shared" si="77"/>
        <v>693422.4289800002</v>
      </c>
      <c r="AC43" s="158">
        <v>0.2</v>
      </c>
      <c r="AD43" s="154">
        <f t="shared" si="78"/>
        <v>693422.4289800002</v>
      </c>
      <c r="AE43" s="158">
        <v>0.05</v>
      </c>
      <c r="AF43" s="154">
        <f t="shared" si="79"/>
        <v>173355.60724500005</v>
      </c>
      <c r="AG43" s="165"/>
      <c r="AH43" s="164">
        <f t="shared" si="80"/>
        <v>0</v>
      </c>
      <c r="AI43" s="165"/>
      <c r="AJ43" s="164">
        <f t="shared" si="81"/>
        <v>0</v>
      </c>
      <c r="AK43" s="165"/>
      <c r="AL43" s="164">
        <f t="shared" si="82"/>
        <v>0</v>
      </c>
      <c r="AM43" s="165"/>
      <c r="AN43" s="164">
        <f t="shared" si="83"/>
        <v>0</v>
      </c>
      <c r="AO43" s="165"/>
      <c r="AP43" s="164">
        <f t="shared" si="84"/>
        <v>0</v>
      </c>
      <c r="AQ43" s="165"/>
      <c r="AR43" s="164">
        <f t="shared" si="85"/>
        <v>0</v>
      </c>
      <c r="AS43" s="165"/>
      <c r="AT43" s="164">
        <f t="shared" si="86"/>
        <v>0</v>
      </c>
      <c r="AU43" s="451">
        <f t="shared" si="23"/>
        <v>1</v>
      </c>
    </row>
    <row r="44" spans="1:47">
      <c r="A44" s="9" t="s">
        <v>340</v>
      </c>
      <c r="B44" s="397" t="str">
        <f>VLOOKUP(A44,'1. PLANILHA RESUMO'!A:B,2,0)</f>
        <v>OBRAS DE ARTES CORRENTES</v>
      </c>
      <c r="C44" s="164">
        <f>'2. PLANILHA SINTÉTICA'!N568</f>
        <v>820058.04319999996</v>
      </c>
      <c r="D44" s="25">
        <f t="shared" si="0"/>
        <v>7.4514620784171077E-3</v>
      </c>
      <c r="E44" s="165"/>
      <c r="F44" s="164">
        <f t="shared" si="68"/>
        <v>0</v>
      </c>
      <c r="G44" s="165"/>
      <c r="H44" s="164">
        <f t="shared" si="69"/>
        <v>0</v>
      </c>
      <c r="I44" s="165"/>
      <c r="J44" s="164">
        <f t="shared" si="70"/>
        <v>0</v>
      </c>
      <c r="K44" s="165"/>
      <c r="L44" s="164">
        <f t="shared" si="71"/>
        <v>0</v>
      </c>
      <c r="M44" s="165"/>
      <c r="N44" s="164">
        <f t="shared" si="72"/>
        <v>0</v>
      </c>
      <c r="O44" s="165"/>
      <c r="P44" s="164">
        <f t="shared" si="73"/>
        <v>0</v>
      </c>
      <c r="Q44" s="165"/>
      <c r="R44" s="164">
        <f t="shared" si="74"/>
        <v>0</v>
      </c>
      <c r="S44" s="165"/>
      <c r="T44" s="164">
        <f t="shared" si="75"/>
        <v>0</v>
      </c>
      <c r="U44" s="158">
        <v>0.15</v>
      </c>
      <c r="V44" s="154">
        <f t="shared" si="87"/>
        <v>123008.70647999999</v>
      </c>
      <c r="W44" s="158">
        <v>0.2</v>
      </c>
      <c r="X44" s="154">
        <f t="shared" si="88"/>
        <v>164011.60863999999</v>
      </c>
      <c r="Y44" s="158">
        <v>0.2</v>
      </c>
      <c r="Z44" s="154">
        <f t="shared" si="76"/>
        <v>164011.60863999999</v>
      </c>
      <c r="AA44" s="158">
        <v>0.2</v>
      </c>
      <c r="AB44" s="154">
        <f t="shared" si="77"/>
        <v>164011.60863999999</v>
      </c>
      <c r="AC44" s="158">
        <v>0.2</v>
      </c>
      <c r="AD44" s="154">
        <f t="shared" si="78"/>
        <v>164011.60863999999</v>
      </c>
      <c r="AE44" s="158">
        <v>0.05</v>
      </c>
      <c r="AF44" s="154">
        <f t="shared" si="79"/>
        <v>41002.902159999998</v>
      </c>
      <c r="AG44" s="165"/>
      <c r="AH44" s="164">
        <f t="shared" si="80"/>
        <v>0</v>
      </c>
      <c r="AI44" s="165"/>
      <c r="AJ44" s="164">
        <f t="shared" si="81"/>
        <v>0</v>
      </c>
      <c r="AK44" s="165"/>
      <c r="AL44" s="164">
        <f t="shared" si="82"/>
        <v>0</v>
      </c>
      <c r="AM44" s="165"/>
      <c r="AN44" s="164">
        <f t="shared" si="83"/>
        <v>0</v>
      </c>
      <c r="AO44" s="165"/>
      <c r="AP44" s="164">
        <f t="shared" si="84"/>
        <v>0</v>
      </c>
      <c r="AQ44" s="165"/>
      <c r="AR44" s="164">
        <f t="shared" si="85"/>
        <v>0</v>
      </c>
      <c r="AS44" s="165"/>
      <c r="AT44" s="164">
        <f t="shared" si="86"/>
        <v>0</v>
      </c>
      <c r="AU44" s="451">
        <f t="shared" si="23"/>
        <v>1</v>
      </c>
    </row>
    <row r="45" spans="1:47">
      <c r="A45" s="9" t="s">
        <v>341</v>
      </c>
      <c r="B45" s="397" t="str">
        <f>VLOOKUP(A45,'1. PLANILHA RESUMO'!A:B,2,0)</f>
        <v xml:space="preserve">PAVIMENTAÇÃO </v>
      </c>
      <c r="C45" s="164">
        <f>'2. PLANILHA SINTÉTICA'!N675</f>
        <v>12760924.579999998</v>
      </c>
      <c r="D45" s="25">
        <f t="shared" si="0"/>
        <v>0.11595221384862425</v>
      </c>
      <c r="E45" s="165"/>
      <c r="F45" s="164">
        <f t="shared" si="68"/>
        <v>0</v>
      </c>
      <c r="G45" s="165"/>
      <c r="H45" s="164">
        <f t="shared" si="69"/>
        <v>0</v>
      </c>
      <c r="I45" s="165"/>
      <c r="J45" s="164">
        <f t="shared" si="70"/>
        <v>0</v>
      </c>
      <c r="K45" s="165"/>
      <c r="L45" s="164">
        <f t="shared" si="71"/>
        <v>0</v>
      </c>
      <c r="M45" s="165"/>
      <c r="N45" s="164">
        <f t="shared" si="72"/>
        <v>0</v>
      </c>
      <c r="O45" s="165"/>
      <c r="P45" s="164">
        <f t="shared" si="73"/>
        <v>0</v>
      </c>
      <c r="Q45" s="165"/>
      <c r="R45" s="164">
        <f t="shared" si="74"/>
        <v>0</v>
      </c>
      <c r="S45" s="165"/>
      <c r="T45" s="164">
        <f t="shared" si="75"/>
        <v>0</v>
      </c>
      <c r="U45" s="165"/>
      <c r="V45" s="164">
        <f t="shared" si="87"/>
        <v>0</v>
      </c>
      <c r="W45" s="165"/>
      <c r="X45" s="164">
        <f t="shared" si="88"/>
        <v>0</v>
      </c>
      <c r="Y45" s="158">
        <v>0.1</v>
      </c>
      <c r="Z45" s="154">
        <f t="shared" si="76"/>
        <v>1276092.4579999999</v>
      </c>
      <c r="AA45" s="158">
        <v>0.1</v>
      </c>
      <c r="AB45" s="154">
        <f t="shared" si="77"/>
        <v>1276092.4579999999</v>
      </c>
      <c r="AC45" s="158">
        <v>0.2</v>
      </c>
      <c r="AD45" s="154">
        <f t="shared" si="78"/>
        <v>2552184.9159999997</v>
      </c>
      <c r="AE45" s="158">
        <v>0.2</v>
      </c>
      <c r="AF45" s="154">
        <f t="shared" si="79"/>
        <v>2552184.9159999997</v>
      </c>
      <c r="AG45" s="158">
        <v>0.2</v>
      </c>
      <c r="AH45" s="154">
        <f t="shared" si="80"/>
        <v>2552184.9159999997</v>
      </c>
      <c r="AI45" s="158">
        <v>0.2</v>
      </c>
      <c r="AJ45" s="154">
        <f t="shared" si="81"/>
        <v>2552184.9159999997</v>
      </c>
      <c r="AK45" s="165"/>
      <c r="AL45" s="164">
        <f t="shared" si="82"/>
        <v>0</v>
      </c>
      <c r="AM45" s="165"/>
      <c r="AN45" s="164">
        <f t="shared" si="83"/>
        <v>0</v>
      </c>
      <c r="AO45" s="165"/>
      <c r="AP45" s="164">
        <f t="shared" si="84"/>
        <v>0</v>
      </c>
      <c r="AQ45" s="165"/>
      <c r="AR45" s="164">
        <f t="shared" si="85"/>
        <v>0</v>
      </c>
      <c r="AS45" s="165"/>
      <c r="AT45" s="164">
        <f t="shared" si="86"/>
        <v>0</v>
      </c>
      <c r="AU45" s="451">
        <f t="shared" si="23"/>
        <v>1</v>
      </c>
    </row>
    <row r="46" spans="1:47">
      <c r="A46" s="9" t="s">
        <v>342</v>
      </c>
      <c r="B46" s="397" t="str">
        <f>VLOOKUP(A46,'1. PLANILHA RESUMO'!A:B,2,0)</f>
        <v>LIGANTES BETUMINOSOS</v>
      </c>
      <c r="C46" s="164">
        <f>'2. PLANILHA SINTÉTICA'!N758</f>
        <v>124155.96060000001</v>
      </c>
      <c r="D46" s="25">
        <f t="shared" si="0"/>
        <v>1.1281438428556694E-3</v>
      </c>
      <c r="E46" s="165"/>
      <c r="F46" s="164">
        <f t="shared" si="68"/>
        <v>0</v>
      </c>
      <c r="G46" s="165"/>
      <c r="H46" s="164">
        <f t="shared" si="69"/>
        <v>0</v>
      </c>
      <c r="I46" s="165"/>
      <c r="J46" s="164">
        <f t="shared" si="70"/>
        <v>0</v>
      </c>
      <c r="K46" s="165"/>
      <c r="L46" s="164">
        <f t="shared" si="71"/>
        <v>0</v>
      </c>
      <c r="M46" s="165"/>
      <c r="N46" s="164">
        <f t="shared" si="72"/>
        <v>0</v>
      </c>
      <c r="O46" s="165"/>
      <c r="P46" s="164">
        <f t="shared" si="73"/>
        <v>0</v>
      </c>
      <c r="Q46" s="165"/>
      <c r="R46" s="164">
        <f t="shared" si="74"/>
        <v>0</v>
      </c>
      <c r="S46" s="165"/>
      <c r="T46" s="164">
        <f t="shared" si="75"/>
        <v>0</v>
      </c>
      <c r="U46" s="165"/>
      <c r="V46" s="164">
        <f t="shared" si="87"/>
        <v>0</v>
      </c>
      <c r="W46" s="165"/>
      <c r="X46" s="164">
        <f t="shared" si="88"/>
        <v>0</v>
      </c>
      <c r="Y46" s="165"/>
      <c r="Z46" s="164">
        <f t="shared" si="76"/>
        <v>0</v>
      </c>
      <c r="AA46" s="158">
        <v>0.2</v>
      </c>
      <c r="AB46" s="154">
        <f t="shared" si="77"/>
        <v>24831.192120000003</v>
      </c>
      <c r="AC46" s="158">
        <v>0.2</v>
      </c>
      <c r="AD46" s="154">
        <f t="shared" si="78"/>
        <v>24831.192120000003</v>
      </c>
      <c r="AE46" s="158">
        <v>0.2</v>
      </c>
      <c r="AF46" s="154">
        <f t="shared" si="79"/>
        <v>24831.192120000003</v>
      </c>
      <c r="AG46" s="158">
        <v>0.2</v>
      </c>
      <c r="AH46" s="154">
        <f t="shared" si="80"/>
        <v>24831.192120000003</v>
      </c>
      <c r="AI46" s="158">
        <v>0.2</v>
      </c>
      <c r="AJ46" s="154">
        <f t="shared" si="81"/>
        <v>24831.192120000003</v>
      </c>
      <c r="AK46" s="165"/>
      <c r="AL46" s="164">
        <f t="shared" si="82"/>
        <v>0</v>
      </c>
      <c r="AM46" s="165"/>
      <c r="AN46" s="164">
        <f t="shared" si="83"/>
        <v>0</v>
      </c>
      <c r="AO46" s="165"/>
      <c r="AP46" s="164">
        <f t="shared" si="84"/>
        <v>0</v>
      </c>
      <c r="AQ46" s="165"/>
      <c r="AR46" s="164">
        <f t="shared" si="85"/>
        <v>0</v>
      </c>
      <c r="AS46" s="165"/>
      <c r="AT46" s="164">
        <f t="shared" si="86"/>
        <v>0</v>
      </c>
      <c r="AU46" s="451">
        <f t="shared" si="23"/>
        <v>1</v>
      </c>
    </row>
    <row r="47" spans="1:47">
      <c r="A47" s="9" t="s">
        <v>344</v>
      </c>
      <c r="B47" s="397" t="str">
        <f>VLOOKUP(A47,'1. PLANILHA RESUMO'!A:B,2,0)</f>
        <v>SINALIZAÇÃO VIÁRIA</v>
      </c>
      <c r="C47" s="164">
        <f>'2. PLANILHA SINTÉTICA'!N805</f>
        <v>934181.67729999986</v>
      </c>
      <c r="D47" s="25">
        <f t="shared" si="0"/>
        <v>8.4884471294129453E-3</v>
      </c>
      <c r="E47" s="165"/>
      <c r="F47" s="164">
        <f t="shared" si="68"/>
        <v>0</v>
      </c>
      <c r="G47" s="165"/>
      <c r="H47" s="164">
        <f t="shared" si="69"/>
        <v>0</v>
      </c>
      <c r="I47" s="165"/>
      <c r="J47" s="164">
        <f t="shared" si="70"/>
        <v>0</v>
      </c>
      <c r="K47" s="165"/>
      <c r="L47" s="164">
        <f t="shared" si="71"/>
        <v>0</v>
      </c>
      <c r="M47" s="165"/>
      <c r="N47" s="164">
        <f t="shared" si="72"/>
        <v>0</v>
      </c>
      <c r="O47" s="165"/>
      <c r="P47" s="164">
        <f t="shared" si="73"/>
        <v>0</v>
      </c>
      <c r="Q47" s="165"/>
      <c r="R47" s="164">
        <f t="shared" si="74"/>
        <v>0</v>
      </c>
      <c r="S47" s="165"/>
      <c r="T47" s="164">
        <f t="shared" si="75"/>
        <v>0</v>
      </c>
      <c r="U47" s="165"/>
      <c r="V47" s="164">
        <f t="shared" si="87"/>
        <v>0</v>
      </c>
      <c r="W47" s="165"/>
      <c r="X47" s="164">
        <f t="shared" si="88"/>
        <v>0</v>
      </c>
      <c r="Y47" s="165"/>
      <c r="Z47" s="164">
        <f t="shared" si="76"/>
        <v>0</v>
      </c>
      <c r="AA47" s="165"/>
      <c r="AB47" s="164">
        <f t="shared" si="77"/>
        <v>0</v>
      </c>
      <c r="AC47" s="165"/>
      <c r="AD47" s="164">
        <f t="shared" si="78"/>
        <v>0</v>
      </c>
      <c r="AE47" s="165"/>
      <c r="AF47" s="164">
        <f t="shared" si="79"/>
        <v>0</v>
      </c>
      <c r="AG47" s="165"/>
      <c r="AH47" s="164">
        <f t="shared" si="80"/>
        <v>0</v>
      </c>
      <c r="AI47" s="158">
        <v>0.5</v>
      </c>
      <c r="AJ47" s="154">
        <f t="shared" si="81"/>
        <v>467090.83864999993</v>
      </c>
      <c r="AK47" s="158">
        <v>0.5</v>
      </c>
      <c r="AL47" s="154">
        <f t="shared" si="82"/>
        <v>467090.83864999993</v>
      </c>
      <c r="AM47" s="165"/>
      <c r="AN47" s="164">
        <f t="shared" si="83"/>
        <v>0</v>
      </c>
      <c r="AO47" s="165"/>
      <c r="AP47" s="164">
        <f t="shared" si="84"/>
        <v>0</v>
      </c>
      <c r="AQ47" s="165"/>
      <c r="AR47" s="164">
        <f t="shared" si="85"/>
        <v>0</v>
      </c>
      <c r="AS47" s="165"/>
      <c r="AT47" s="164">
        <f t="shared" si="86"/>
        <v>0</v>
      </c>
      <c r="AU47" s="451">
        <f t="shared" si="23"/>
        <v>1</v>
      </c>
    </row>
    <row r="48" spans="1:47">
      <c r="A48" s="9" t="s">
        <v>345</v>
      </c>
      <c r="B48" s="397" t="str">
        <f>VLOOKUP(A48,'1. PLANILHA RESUMO'!A:B,2,0)</f>
        <v>SERVIÇOS COMPLEMENTARES</v>
      </c>
      <c r="C48" s="164">
        <f>'2. PLANILHA SINTÉTICA'!N870</f>
        <v>1030924.8657000001</v>
      </c>
      <c r="D48" s="25">
        <f t="shared" si="0"/>
        <v>9.3675046616027158E-3</v>
      </c>
      <c r="E48" s="165"/>
      <c r="F48" s="164">
        <f t="shared" si="68"/>
        <v>0</v>
      </c>
      <c r="G48" s="165"/>
      <c r="H48" s="164">
        <f t="shared" si="69"/>
        <v>0</v>
      </c>
      <c r="I48" s="165"/>
      <c r="J48" s="164">
        <f t="shared" si="70"/>
        <v>0</v>
      </c>
      <c r="K48" s="165"/>
      <c r="L48" s="164">
        <f t="shared" si="71"/>
        <v>0</v>
      </c>
      <c r="M48" s="165"/>
      <c r="N48" s="164">
        <f t="shared" si="72"/>
        <v>0</v>
      </c>
      <c r="O48" s="165"/>
      <c r="P48" s="164">
        <f t="shared" si="73"/>
        <v>0</v>
      </c>
      <c r="Q48" s="165"/>
      <c r="R48" s="164">
        <f t="shared" si="74"/>
        <v>0</v>
      </c>
      <c r="S48" s="165"/>
      <c r="T48" s="164">
        <f t="shared" si="75"/>
        <v>0</v>
      </c>
      <c r="U48" s="158">
        <v>0.1</v>
      </c>
      <c r="V48" s="154">
        <f t="shared" si="87"/>
        <v>103092.48657000001</v>
      </c>
      <c r="W48" s="158">
        <v>0.1</v>
      </c>
      <c r="X48" s="154">
        <f t="shared" si="88"/>
        <v>103092.48657000001</v>
      </c>
      <c r="Y48" s="158">
        <v>0.1</v>
      </c>
      <c r="Z48" s="154">
        <f t="shared" si="76"/>
        <v>103092.48657000001</v>
      </c>
      <c r="AA48" s="158">
        <v>0.1</v>
      </c>
      <c r="AB48" s="154">
        <f t="shared" si="77"/>
        <v>103092.48657000001</v>
      </c>
      <c r="AC48" s="158">
        <v>0.1</v>
      </c>
      <c r="AD48" s="154">
        <f t="shared" si="78"/>
        <v>103092.48657000001</v>
      </c>
      <c r="AE48" s="158">
        <v>0.1</v>
      </c>
      <c r="AF48" s="154">
        <f t="shared" si="79"/>
        <v>103092.48657000001</v>
      </c>
      <c r="AG48" s="158">
        <v>0.1</v>
      </c>
      <c r="AH48" s="154">
        <f t="shared" si="80"/>
        <v>103092.48657000001</v>
      </c>
      <c r="AI48" s="158">
        <v>0.15</v>
      </c>
      <c r="AJ48" s="154">
        <f t="shared" si="81"/>
        <v>154638.72985500001</v>
      </c>
      <c r="AK48" s="158">
        <v>0.15</v>
      </c>
      <c r="AL48" s="154">
        <f t="shared" si="82"/>
        <v>154638.72985500001</v>
      </c>
      <c r="AM48" s="165"/>
      <c r="AN48" s="164">
        <f t="shared" si="83"/>
        <v>0</v>
      </c>
      <c r="AO48" s="165"/>
      <c r="AP48" s="164">
        <f t="shared" si="84"/>
        <v>0</v>
      </c>
      <c r="AQ48" s="165"/>
      <c r="AR48" s="164">
        <f t="shared" si="85"/>
        <v>0</v>
      </c>
      <c r="AS48" s="165"/>
      <c r="AT48" s="164">
        <f t="shared" si="86"/>
        <v>0</v>
      </c>
      <c r="AU48" s="451">
        <f t="shared" si="23"/>
        <v>1</v>
      </c>
    </row>
    <row r="49" spans="1:47">
      <c r="A49" s="9" t="s">
        <v>346</v>
      </c>
      <c r="B49" s="397" t="str">
        <f>VLOOKUP(A49,'1. PLANILHA RESUMO'!A:B,2,0)</f>
        <v xml:space="preserve">ILUMINAÇÃO PÚBLICA </v>
      </c>
      <c r="C49" s="164">
        <f>'2. PLANILHA SINTÉTICA'!N940</f>
        <v>185192.29120000001</v>
      </c>
      <c r="D49" s="25">
        <f t="shared" si="0"/>
        <v>1.6827508083539743E-3</v>
      </c>
      <c r="E49" s="165"/>
      <c r="F49" s="164">
        <f t="shared" si="68"/>
        <v>0</v>
      </c>
      <c r="G49" s="165"/>
      <c r="H49" s="164">
        <f t="shared" si="69"/>
        <v>0</v>
      </c>
      <c r="I49" s="165"/>
      <c r="J49" s="164">
        <f t="shared" si="70"/>
        <v>0</v>
      </c>
      <c r="K49" s="165"/>
      <c r="L49" s="164">
        <f t="shared" si="71"/>
        <v>0</v>
      </c>
      <c r="M49" s="165"/>
      <c r="N49" s="164">
        <f t="shared" si="72"/>
        <v>0</v>
      </c>
      <c r="O49" s="165"/>
      <c r="P49" s="164">
        <f t="shared" si="73"/>
        <v>0</v>
      </c>
      <c r="Q49" s="165"/>
      <c r="R49" s="164">
        <f t="shared" si="74"/>
        <v>0</v>
      </c>
      <c r="S49" s="165"/>
      <c r="T49" s="164">
        <f t="shared" si="75"/>
        <v>0</v>
      </c>
      <c r="U49" s="165"/>
      <c r="V49" s="164">
        <f t="shared" si="87"/>
        <v>0</v>
      </c>
      <c r="W49" s="165"/>
      <c r="X49" s="164">
        <f t="shared" si="88"/>
        <v>0</v>
      </c>
      <c r="Y49" s="165"/>
      <c r="Z49" s="164">
        <f t="shared" si="76"/>
        <v>0</v>
      </c>
      <c r="AA49" s="165"/>
      <c r="AB49" s="164">
        <f t="shared" si="77"/>
        <v>0</v>
      </c>
      <c r="AC49" s="165"/>
      <c r="AD49" s="164">
        <f t="shared" si="78"/>
        <v>0</v>
      </c>
      <c r="AE49" s="165"/>
      <c r="AF49" s="164">
        <f t="shared" si="79"/>
        <v>0</v>
      </c>
      <c r="AG49" s="165"/>
      <c r="AH49" s="164">
        <f t="shared" si="80"/>
        <v>0</v>
      </c>
      <c r="AI49" s="158">
        <v>0.5</v>
      </c>
      <c r="AJ49" s="154">
        <f t="shared" si="81"/>
        <v>92596.145600000003</v>
      </c>
      <c r="AK49" s="158">
        <v>0.5</v>
      </c>
      <c r="AL49" s="154">
        <f t="shared" si="82"/>
        <v>92596.145600000003</v>
      </c>
      <c r="AM49" s="165"/>
      <c r="AN49" s="164">
        <f t="shared" si="83"/>
        <v>0</v>
      </c>
      <c r="AO49" s="165"/>
      <c r="AP49" s="164">
        <f t="shared" si="84"/>
        <v>0</v>
      </c>
      <c r="AQ49" s="165"/>
      <c r="AR49" s="164">
        <f t="shared" si="85"/>
        <v>0</v>
      </c>
      <c r="AS49" s="165"/>
      <c r="AT49" s="164">
        <f t="shared" si="86"/>
        <v>0</v>
      </c>
      <c r="AU49" s="451">
        <f t="shared" si="23"/>
        <v>1</v>
      </c>
    </row>
    <row r="50" spans="1:47" ht="15.75" customHeight="1">
      <c r="A50" s="391" t="s">
        <v>23672</v>
      </c>
      <c r="B50" s="395" t="s">
        <v>23660</v>
      </c>
      <c r="C50" s="392">
        <f>SUM(C51:C58)</f>
        <v>3100397.1973000001</v>
      </c>
      <c r="D50" s="393">
        <f t="shared" si="0"/>
        <v>2.8171776784923601E-2</v>
      </c>
      <c r="E50" s="393">
        <f>F50/C50</f>
        <v>0</v>
      </c>
      <c r="F50" s="392">
        <f>SUM(F51:F58)</f>
        <v>0</v>
      </c>
      <c r="G50" s="393">
        <f>H50/C50</f>
        <v>0</v>
      </c>
      <c r="H50" s="392">
        <f>SUM(H51:H58)</f>
        <v>0</v>
      </c>
      <c r="I50" s="393">
        <f>J50/C50</f>
        <v>0</v>
      </c>
      <c r="J50" s="392">
        <f>SUM(J51:J58)</f>
        <v>0</v>
      </c>
      <c r="K50" s="393">
        <f>L50/C50</f>
        <v>0</v>
      </c>
      <c r="L50" s="392">
        <f>SUM(L51:L58)</f>
        <v>0</v>
      </c>
      <c r="M50" s="393">
        <f>N50/C50</f>
        <v>0</v>
      </c>
      <c r="N50" s="392">
        <f>SUM(N51:N58)</f>
        <v>0</v>
      </c>
      <c r="O50" s="393">
        <f>P50/C50</f>
        <v>0</v>
      </c>
      <c r="P50" s="392">
        <f>SUM(P51:P58)</f>
        <v>0</v>
      </c>
      <c r="Q50" s="393">
        <f>R50/C50</f>
        <v>0</v>
      </c>
      <c r="R50" s="392">
        <f>SUM(R51:R58)</f>
        <v>0</v>
      </c>
      <c r="S50" s="393">
        <f>T50/C50</f>
        <v>0</v>
      </c>
      <c r="T50" s="392">
        <f>SUM(T51:T58)</f>
        <v>0</v>
      </c>
      <c r="U50" s="393">
        <f>V50/C50</f>
        <v>0</v>
      </c>
      <c r="V50" s="392">
        <f>SUM(V51:V58)</f>
        <v>0</v>
      </c>
      <c r="W50" s="393">
        <f>X50/C50</f>
        <v>0</v>
      </c>
      <c r="X50" s="392">
        <f>SUM(X51:X58)</f>
        <v>0</v>
      </c>
      <c r="Y50" s="393">
        <f>Z50/C50</f>
        <v>0</v>
      </c>
      <c r="Z50" s="392">
        <f>SUM(Z51:Z58)</f>
        <v>0</v>
      </c>
      <c r="AA50" s="393">
        <f>AB50/C50</f>
        <v>0</v>
      </c>
      <c r="AB50" s="392">
        <f>SUM(AB51:AB58)</f>
        <v>0</v>
      </c>
      <c r="AC50" s="393">
        <f>AD50/C50</f>
        <v>0</v>
      </c>
      <c r="AD50" s="392">
        <f>SUM(AD51:AD58)</f>
        <v>0</v>
      </c>
      <c r="AE50" s="393">
        <f>AF50/C50</f>
        <v>0</v>
      </c>
      <c r="AF50" s="392">
        <f>SUM(AF51:AF58)</f>
        <v>0</v>
      </c>
      <c r="AG50" s="393">
        <f>AH50/C50</f>
        <v>0.11209122347714554</v>
      </c>
      <c r="AH50" s="392">
        <f>SUM(AH51:AH58)</f>
        <v>347527.31511046999</v>
      </c>
      <c r="AI50" s="393">
        <f>AJ50/C50</f>
        <v>0.18795880153451267</v>
      </c>
      <c r="AJ50" s="392">
        <f>SUM(AJ51:AJ58)</f>
        <v>582746.94148547004</v>
      </c>
      <c r="AK50" s="393">
        <f>AL50/C50</f>
        <v>0.19133420359883965</v>
      </c>
      <c r="AL50" s="392">
        <f>SUM(AL51:AL58)</f>
        <v>593212.02858547005</v>
      </c>
      <c r="AM50" s="393">
        <f>AN50/C50</f>
        <v>0.19133420359883965</v>
      </c>
      <c r="AN50" s="392">
        <f>SUM(AN51:AN58)</f>
        <v>593212.02858547005</v>
      </c>
      <c r="AO50" s="393">
        <f>AP50/C50</f>
        <v>0.19658535935048915</v>
      </c>
      <c r="AP50" s="392">
        <f>SUM(AP51:AP58)</f>
        <v>609492.69716046995</v>
      </c>
      <c r="AQ50" s="393">
        <f>AR50/C50</f>
        <v>0.12069620844017331</v>
      </c>
      <c r="AR50" s="392">
        <f>SUM(AR51:AR58)</f>
        <v>374206.18637264997</v>
      </c>
      <c r="AS50" s="393">
        <f>AT50/C50</f>
        <v>0</v>
      </c>
      <c r="AT50" s="392">
        <f>SUM(AT51:AT58)</f>
        <v>0</v>
      </c>
      <c r="AU50" s="451">
        <f t="shared" si="23"/>
        <v>1</v>
      </c>
    </row>
    <row r="51" spans="1:47">
      <c r="A51" s="9" t="s">
        <v>338</v>
      </c>
      <c r="B51" s="397" t="str">
        <f>VLOOKUP(A51,'1. PLANILHA RESUMO'!A:B,2,0)</f>
        <v>TERRAPLENAGEM</v>
      </c>
      <c r="C51" s="164">
        <f>'2. PLANILHA SINTÉTICA'!N119</f>
        <v>290941.26270000002</v>
      </c>
      <c r="D51" s="25">
        <f t="shared" si="0"/>
        <v>2.6436394399549988E-3</v>
      </c>
      <c r="E51" s="165"/>
      <c r="F51" s="164">
        <f t="shared" ref="F51:F58" si="89">E51*C51</f>
        <v>0</v>
      </c>
      <c r="G51" s="165"/>
      <c r="H51" s="164">
        <f t="shared" ref="H51:H58" si="90">G51*C51</f>
        <v>0</v>
      </c>
      <c r="I51" s="165"/>
      <c r="J51" s="164">
        <f t="shared" ref="J51:J58" si="91">I51*C51</f>
        <v>0</v>
      </c>
      <c r="K51" s="165"/>
      <c r="L51" s="164">
        <f t="shared" ref="L51:L58" si="92">K51*C51</f>
        <v>0</v>
      </c>
      <c r="M51" s="165"/>
      <c r="N51" s="164">
        <f t="shared" ref="N51:N58" si="93">M51*C51</f>
        <v>0</v>
      </c>
      <c r="O51" s="165"/>
      <c r="P51" s="164">
        <f t="shared" ref="P51:P58" si="94">O51*C51</f>
        <v>0</v>
      </c>
      <c r="Q51" s="165"/>
      <c r="R51" s="164">
        <f t="shared" ref="R51:R58" si="95">Q51*C51</f>
        <v>0</v>
      </c>
      <c r="S51" s="165"/>
      <c r="T51" s="164">
        <f t="shared" ref="T51:T58" si="96">S51*C51</f>
        <v>0</v>
      </c>
      <c r="U51" s="165"/>
      <c r="V51" s="164">
        <f t="shared" ref="V51:V58" si="97">U51*C51</f>
        <v>0</v>
      </c>
      <c r="W51" s="165"/>
      <c r="X51" s="164">
        <f t="shared" ref="X51:X58" si="98">W51*C51</f>
        <v>0</v>
      </c>
      <c r="Y51" s="165"/>
      <c r="Z51" s="164">
        <f t="shared" ref="Z51:Z58" si="99">Y51*C51</f>
        <v>0</v>
      </c>
      <c r="AA51" s="165"/>
      <c r="AB51" s="164">
        <f t="shared" ref="AB51:AB58" si="100">AA51*C51</f>
        <v>0</v>
      </c>
      <c r="AC51" s="165"/>
      <c r="AD51" s="164">
        <f t="shared" ref="AD51:AD58" si="101">AC51*C51</f>
        <v>0</v>
      </c>
      <c r="AE51" s="165"/>
      <c r="AF51" s="164">
        <f t="shared" ref="AF51:AF58" si="102">AE51*C51</f>
        <v>0</v>
      </c>
      <c r="AG51" s="158">
        <v>0.25</v>
      </c>
      <c r="AH51" s="154">
        <f t="shared" ref="AH51:AH58" si="103">AG51*$C51</f>
        <v>72735.315675000005</v>
      </c>
      <c r="AI51" s="158">
        <v>0.25</v>
      </c>
      <c r="AJ51" s="154">
        <f t="shared" ref="AJ51:AJ58" si="104">AI51*$C51</f>
        <v>72735.315675000005</v>
      </c>
      <c r="AK51" s="158">
        <v>0.25</v>
      </c>
      <c r="AL51" s="154">
        <f t="shared" ref="AL51:AL58" si="105">AK51*$C51</f>
        <v>72735.315675000005</v>
      </c>
      <c r="AM51" s="158">
        <v>0.25</v>
      </c>
      <c r="AN51" s="154">
        <f t="shared" ref="AN51:AN58" si="106">AM51*$C51</f>
        <v>72735.315675000005</v>
      </c>
      <c r="AO51" s="165"/>
      <c r="AP51" s="164">
        <f t="shared" ref="AP51:AP58" si="107">AO51*$C51</f>
        <v>0</v>
      </c>
      <c r="AQ51" s="165"/>
      <c r="AR51" s="164">
        <f t="shared" ref="AR51:AR58" si="108">AQ51*$C51</f>
        <v>0</v>
      </c>
      <c r="AS51" s="165"/>
      <c r="AT51" s="164">
        <f t="shared" ref="AT51:AT58" si="109">AS51*C51</f>
        <v>0</v>
      </c>
      <c r="AU51" s="451">
        <f t="shared" si="23"/>
        <v>1</v>
      </c>
    </row>
    <row r="52" spans="1:47">
      <c r="A52" s="9" t="s">
        <v>339</v>
      </c>
      <c r="B52" s="397" t="str">
        <f>VLOOKUP(A52,'1. PLANILHA RESUMO'!A:B,2,0)</f>
        <v xml:space="preserve">DRENAGEM </v>
      </c>
      <c r="C52" s="164">
        <f>'2. PLANILHA SINTÉTICA'!N384</f>
        <v>666685.28740000003</v>
      </c>
      <c r="D52" s="25">
        <f t="shared" si="0"/>
        <v>6.0578396596350963E-3</v>
      </c>
      <c r="E52" s="165"/>
      <c r="F52" s="164">
        <f t="shared" si="89"/>
        <v>0</v>
      </c>
      <c r="G52" s="165"/>
      <c r="H52" s="164">
        <f t="shared" si="90"/>
        <v>0</v>
      </c>
      <c r="I52" s="165"/>
      <c r="J52" s="164">
        <f t="shared" si="91"/>
        <v>0</v>
      </c>
      <c r="K52" s="165"/>
      <c r="L52" s="164">
        <f t="shared" si="92"/>
        <v>0</v>
      </c>
      <c r="M52" s="165"/>
      <c r="N52" s="164">
        <f t="shared" si="93"/>
        <v>0</v>
      </c>
      <c r="O52" s="165"/>
      <c r="P52" s="164">
        <f t="shared" si="94"/>
        <v>0</v>
      </c>
      <c r="Q52" s="165"/>
      <c r="R52" s="164">
        <f t="shared" si="95"/>
        <v>0</v>
      </c>
      <c r="S52" s="165"/>
      <c r="T52" s="164">
        <f t="shared" si="96"/>
        <v>0</v>
      </c>
      <c r="U52" s="165"/>
      <c r="V52" s="164">
        <f t="shared" si="97"/>
        <v>0</v>
      </c>
      <c r="W52" s="165"/>
      <c r="X52" s="164">
        <f t="shared" si="98"/>
        <v>0</v>
      </c>
      <c r="Y52" s="165"/>
      <c r="Z52" s="164">
        <f t="shared" si="99"/>
        <v>0</v>
      </c>
      <c r="AA52" s="165"/>
      <c r="AB52" s="164">
        <f t="shared" si="100"/>
        <v>0</v>
      </c>
      <c r="AC52" s="165"/>
      <c r="AD52" s="164">
        <f t="shared" si="101"/>
        <v>0</v>
      </c>
      <c r="AE52" s="165"/>
      <c r="AF52" s="164">
        <f t="shared" si="102"/>
        <v>0</v>
      </c>
      <c r="AG52" s="158">
        <v>0.25</v>
      </c>
      <c r="AH52" s="154">
        <f t="shared" si="103"/>
        <v>166671.32185000001</v>
      </c>
      <c r="AI52" s="158">
        <v>0.25</v>
      </c>
      <c r="AJ52" s="154">
        <f t="shared" si="104"/>
        <v>166671.32185000001</v>
      </c>
      <c r="AK52" s="158">
        <v>0.25</v>
      </c>
      <c r="AL52" s="154">
        <f t="shared" si="105"/>
        <v>166671.32185000001</v>
      </c>
      <c r="AM52" s="158">
        <v>0.25</v>
      </c>
      <c r="AN52" s="154">
        <f t="shared" si="106"/>
        <v>166671.32185000001</v>
      </c>
      <c r="AO52" s="165"/>
      <c r="AP52" s="164">
        <f t="shared" si="107"/>
        <v>0</v>
      </c>
      <c r="AQ52" s="165"/>
      <c r="AR52" s="164">
        <f t="shared" si="108"/>
        <v>0</v>
      </c>
      <c r="AS52" s="165"/>
      <c r="AT52" s="164">
        <f t="shared" si="109"/>
        <v>0</v>
      </c>
      <c r="AU52" s="451">
        <f t="shared" si="23"/>
        <v>1</v>
      </c>
    </row>
    <row r="53" spans="1:47">
      <c r="A53" s="9" t="s">
        <v>340</v>
      </c>
      <c r="B53" s="397" t="str">
        <f>VLOOKUP(A53,'1. PLANILHA RESUMO'!A:B,2,0)</f>
        <v>OBRAS DE ARTES CORRENTES</v>
      </c>
      <c r="C53" s="164">
        <f>'2. PLANILHA SINTÉTICA'!N587</f>
        <v>209490.07800000001</v>
      </c>
      <c r="D53" s="25">
        <f t="shared" si="0"/>
        <v>1.9035327864480632E-3</v>
      </c>
      <c r="E53" s="165"/>
      <c r="F53" s="164">
        <f t="shared" si="89"/>
        <v>0</v>
      </c>
      <c r="G53" s="165"/>
      <c r="H53" s="164">
        <f t="shared" si="90"/>
        <v>0</v>
      </c>
      <c r="I53" s="165"/>
      <c r="J53" s="164">
        <f t="shared" si="91"/>
        <v>0</v>
      </c>
      <c r="K53" s="165"/>
      <c r="L53" s="164">
        <f t="shared" si="92"/>
        <v>0</v>
      </c>
      <c r="M53" s="165"/>
      <c r="N53" s="164">
        <f t="shared" si="93"/>
        <v>0</v>
      </c>
      <c r="O53" s="165"/>
      <c r="P53" s="164">
        <f t="shared" si="94"/>
        <v>0</v>
      </c>
      <c r="Q53" s="165"/>
      <c r="R53" s="164">
        <f t="shared" si="95"/>
        <v>0</v>
      </c>
      <c r="S53" s="165"/>
      <c r="T53" s="164">
        <f t="shared" si="96"/>
        <v>0</v>
      </c>
      <c r="U53" s="165"/>
      <c r="V53" s="164">
        <f t="shared" si="97"/>
        <v>0</v>
      </c>
      <c r="W53" s="165"/>
      <c r="X53" s="164">
        <f t="shared" si="98"/>
        <v>0</v>
      </c>
      <c r="Y53" s="165"/>
      <c r="Z53" s="164">
        <f t="shared" si="99"/>
        <v>0</v>
      </c>
      <c r="AA53" s="165"/>
      <c r="AB53" s="164">
        <f t="shared" si="100"/>
        <v>0</v>
      </c>
      <c r="AC53" s="165"/>
      <c r="AD53" s="164">
        <f t="shared" si="101"/>
        <v>0</v>
      </c>
      <c r="AE53" s="165"/>
      <c r="AF53" s="164">
        <f t="shared" si="102"/>
        <v>0</v>
      </c>
      <c r="AG53" s="158">
        <v>0.25</v>
      </c>
      <c r="AH53" s="154">
        <f t="shared" si="103"/>
        <v>52372.519500000002</v>
      </c>
      <c r="AI53" s="158">
        <v>0.25</v>
      </c>
      <c r="AJ53" s="154">
        <f t="shared" si="104"/>
        <v>52372.519500000002</v>
      </c>
      <c r="AK53" s="158">
        <v>0.25</v>
      </c>
      <c r="AL53" s="154">
        <f t="shared" si="105"/>
        <v>52372.519500000002</v>
      </c>
      <c r="AM53" s="158">
        <v>0.25</v>
      </c>
      <c r="AN53" s="154">
        <f t="shared" si="106"/>
        <v>52372.519500000002</v>
      </c>
      <c r="AO53" s="165"/>
      <c r="AP53" s="164">
        <f t="shared" si="107"/>
        <v>0</v>
      </c>
      <c r="AQ53" s="165"/>
      <c r="AR53" s="164">
        <f t="shared" si="108"/>
        <v>0</v>
      </c>
      <c r="AS53" s="165"/>
      <c r="AT53" s="164">
        <f t="shared" si="109"/>
        <v>0</v>
      </c>
      <c r="AU53" s="451">
        <f t="shared" si="23"/>
        <v>1</v>
      </c>
    </row>
    <row r="54" spans="1:47">
      <c r="A54" s="9" t="s">
        <v>341</v>
      </c>
      <c r="B54" s="397" t="str">
        <f>VLOOKUP(A54,'1. PLANILHA RESUMO'!A:B,2,0)</f>
        <v xml:space="preserve">PAVIMENTAÇÃO </v>
      </c>
      <c r="C54" s="164">
        <f>'2. PLANILHA SINTÉTICA'!N702</f>
        <v>940878.50550000009</v>
      </c>
      <c r="D54" s="25">
        <f t="shared" si="0"/>
        <v>8.5492978969796581E-3</v>
      </c>
      <c r="E54" s="165"/>
      <c r="F54" s="164">
        <f t="shared" si="89"/>
        <v>0</v>
      </c>
      <c r="G54" s="165"/>
      <c r="H54" s="164">
        <f t="shared" si="90"/>
        <v>0</v>
      </c>
      <c r="I54" s="165"/>
      <c r="J54" s="164">
        <f t="shared" si="91"/>
        <v>0</v>
      </c>
      <c r="K54" s="165"/>
      <c r="L54" s="164">
        <f t="shared" si="92"/>
        <v>0</v>
      </c>
      <c r="M54" s="165"/>
      <c r="N54" s="164">
        <f t="shared" si="93"/>
        <v>0</v>
      </c>
      <c r="O54" s="165"/>
      <c r="P54" s="164">
        <f t="shared" si="94"/>
        <v>0</v>
      </c>
      <c r="Q54" s="165"/>
      <c r="R54" s="164">
        <f t="shared" si="95"/>
        <v>0</v>
      </c>
      <c r="S54" s="165"/>
      <c r="T54" s="164">
        <f t="shared" si="96"/>
        <v>0</v>
      </c>
      <c r="U54" s="165"/>
      <c r="V54" s="164">
        <f t="shared" si="97"/>
        <v>0</v>
      </c>
      <c r="W54" s="165"/>
      <c r="X54" s="164">
        <f t="shared" si="98"/>
        <v>0</v>
      </c>
      <c r="Y54" s="165"/>
      <c r="Z54" s="164">
        <f t="shared" si="99"/>
        <v>0</v>
      </c>
      <c r="AA54" s="165"/>
      <c r="AB54" s="164">
        <f t="shared" si="100"/>
        <v>0</v>
      </c>
      <c r="AC54" s="165"/>
      <c r="AD54" s="164">
        <f t="shared" si="101"/>
        <v>0</v>
      </c>
      <c r="AE54" s="165"/>
      <c r="AF54" s="164">
        <f t="shared" si="102"/>
        <v>0</v>
      </c>
      <c r="AG54" s="165"/>
      <c r="AH54" s="164">
        <f t="shared" si="103"/>
        <v>0</v>
      </c>
      <c r="AI54" s="158">
        <v>0.25</v>
      </c>
      <c r="AJ54" s="154">
        <f t="shared" si="104"/>
        <v>235219.62637500002</v>
      </c>
      <c r="AK54" s="158">
        <v>0.25</v>
      </c>
      <c r="AL54" s="154">
        <f t="shared" si="105"/>
        <v>235219.62637500002</v>
      </c>
      <c r="AM54" s="158">
        <v>0.25</v>
      </c>
      <c r="AN54" s="154">
        <f t="shared" si="106"/>
        <v>235219.62637500002</v>
      </c>
      <c r="AO54" s="158">
        <v>0.25</v>
      </c>
      <c r="AP54" s="154">
        <f t="shared" si="107"/>
        <v>235219.62637500002</v>
      </c>
      <c r="AQ54" s="165"/>
      <c r="AR54" s="164">
        <f t="shared" si="108"/>
        <v>0</v>
      </c>
      <c r="AS54" s="165"/>
      <c r="AT54" s="164">
        <f t="shared" si="109"/>
        <v>0</v>
      </c>
      <c r="AU54" s="451">
        <f t="shared" si="23"/>
        <v>1</v>
      </c>
    </row>
    <row r="55" spans="1:47">
      <c r="A55" s="9" t="s">
        <v>342</v>
      </c>
      <c r="B55" s="397" t="str">
        <f>VLOOKUP(A55,'1. PLANILHA RESUMO'!A:B,2,0)</f>
        <v>LIGANTES BETUMINOSOS</v>
      </c>
      <c r="C55" s="164">
        <f>'2. PLANILHA SINTÉTICA'!N760</f>
        <v>20930.174200000001</v>
      </c>
      <c r="D55" s="25">
        <f t="shared" si="0"/>
        <v>1.9018214703117999E-4</v>
      </c>
      <c r="E55" s="165"/>
      <c r="F55" s="164">
        <f t="shared" si="89"/>
        <v>0</v>
      </c>
      <c r="G55" s="165"/>
      <c r="H55" s="164">
        <f t="shared" si="90"/>
        <v>0</v>
      </c>
      <c r="I55" s="165"/>
      <c r="J55" s="164">
        <f t="shared" si="91"/>
        <v>0</v>
      </c>
      <c r="K55" s="165"/>
      <c r="L55" s="164">
        <f t="shared" si="92"/>
        <v>0</v>
      </c>
      <c r="M55" s="165"/>
      <c r="N55" s="164">
        <f t="shared" si="93"/>
        <v>0</v>
      </c>
      <c r="O55" s="165"/>
      <c r="P55" s="164">
        <f t="shared" si="94"/>
        <v>0</v>
      </c>
      <c r="Q55" s="165"/>
      <c r="R55" s="164">
        <f t="shared" si="95"/>
        <v>0</v>
      </c>
      <c r="S55" s="165"/>
      <c r="T55" s="164">
        <f t="shared" si="96"/>
        <v>0</v>
      </c>
      <c r="U55" s="165"/>
      <c r="V55" s="164">
        <f t="shared" ref="V55" si="110">U55*$C55</f>
        <v>0</v>
      </c>
      <c r="W55" s="165"/>
      <c r="X55" s="164">
        <f t="shared" ref="X55" si="111">W55*$C55</f>
        <v>0</v>
      </c>
      <c r="Y55" s="165"/>
      <c r="Z55" s="164">
        <f>Y55*$C55</f>
        <v>0</v>
      </c>
      <c r="AA55" s="165"/>
      <c r="AB55" s="164">
        <f>AA55*$C55</f>
        <v>0</v>
      </c>
      <c r="AC55" s="165"/>
      <c r="AD55" s="164">
        <f>AC55*$C55</f>
        <v>0</v>
      </c>
      <c r="AE55" s="165"/>
      <c r="AF55" s="164">
        <f>AE55*$C55</f>
        <v>0</v>
      </c>
      <c r="AG55" s="165"/>
      <c r="AH55" s="164">
        <f t="shared" si="103"/>
        <v>0</v>
      </c>
      <c r="AI55" s="165"/>
      <c r="AJ55" s="164">
        <f t="shared" si="104"/>
        <v>0</v>
      </c>
      <c r="AK55" s="158">
        <v>0.5</v>
      </c>
      <c r="AL55" s="154">
        <f t="shared" si="105"/>
        <v>10465.087100000001</v>
      </c>
      <c r="AM55" s="158">
        <v>0.5</v>
      </c>
      <c r="AN55" s="154">
        <f t="shared" si="106"/>
        <v>10465.087100000001</v>
      </c>
      <c r="AO55" s="165"/>
      <c r="AP55" s="164">
        <f t="shared" si="107"/>
        <v>0</v>
      </c>
      <c r="AQ55" s="165"/>
      <c r="AR55" s="164">
        <f t="shared" si="108"/>
        <v>0</v>
      </c>
      <c r="AS55" s="165"/>
      <c r="AT55" s="164">
        <f t="shared" si="109"/>
        <v>0</v>
      </c>
      <c r="AU55" s="451">
        <f t="shared" si="23"/>
        <v>1</v>
      </c>
    </row>
    <row r="56" spans="1:47">
      <c r="A56" s="9" t="s">
        <v>344</v>
      </c>
      <c r="B56" s="397" t="str">
        <f>VLOOKUP(A56,'1. PLANILHA RESUMO'!A:B,2,0)</f>
        <v>SINALIZAÇÃO VIÁRIA</v>
      </c>
      <c r="C56" s="164">
        <f>'2. PLANILHA SINTÉTICA'!N815</f>
        <v>268311.44379999995</v>
      </c>
      <c r="D56" s="25">
        <f t="shared" si="0"/>
        <v>2.4380134616805898E-3</v>
      </c>
      <c r="E56" s="165"/>
      <c r="F56" s="164">
        <f t="shared" si="89"/>
        <v>0</v>
      </c>
      <c r="G56" s="165"/>
      <c r="H56" s="164">
        <f t="shared" si="90"/>
        <v>0</v>
      </c>
      <c r="I56" s="165"/>
      <c r="J56" s="164">
        <f t="shared" si="91"/>
        <v>0</v>
      </c>
      <c r="K56" s="165"/>
      <c r="L56" s="164">
        <f t="shared" si="92"/>
        <v>0</v>
      </c>
      <c r="M56" s="165"/>
      <c r="N56" s="164">
        <f t="shared" si="93"/>
        <v>0</v>
      </c>
      <c r="O56" s="165"/>
      <c r="P56" s="164">
        <f t="shared" si="94"/>
        <v>0</v>
      </c>
      <c r="Q56" s="165"/>
      <c r="R56" s="164">
        <f t="shared" si="95"/>
        <v>0</v>
      </c>
      <c r="S56" s="165"/>
      <c r="T56" s="164">
        <f t="shared" si="96"/>
        <v>0</v>
      </c>
      <c r="U56" s="165"/>
      <c r="V56" s="164">
        <f t="shared" si="97"/>
        <v>0</v>
      </c>
      <c r="W56" s="165"/>
      <c r="X56" s="164">
        <f t="shared" si="98"/>
        <v>0</v>
      </c>
      <c r="Y56" s="165"/>
      <c r="Z56" s="164">
        <f t="shared" si="99"/>
        <v>0</v>
      </c>
      <c r="AA56" s="165"/>
      <c r="AB56" s="164">
        <f t="shared" si="100"/>
        <v>0</v>
      </c>
      <c r="AC56" s="165"/>
      <c r="AD56" s="164">
        <f t="shared" si="101"/>
        <v>0</v>
      </c>
      <c r="AE56" s="165"/>
      <c r="AF56" s="164">
        <f t="shared" si="102"/>
        <v>0</v>
      </c>
      <c r="AG56" s="165"/>
      <c r="AH56" s="164">
        <f t="shared" si="103"/>
        <v>0</v>
      </c>
      <c r="AI56" s="165"/>
      <c r="AJ56" s="164">
        <f t="shared" si="104"/>
        <v>0</v>
      </c>
      <c r="AK56" s="165"/>
      <c r="AL56" s="164">
        <f t="shared" si="105"/>
        <v>0</v>
      </c>
      <c r="AM56" s="165"/>
      <c r="AN56" s="164">
        <f t="shared" si="106"/>
        <v>0</v>
      </c>
      <c r="AO56" s="158">
        <v>0.5</v>
      </c>
      <c r="AP56" s="154">
        <f t="shared" si="107"/>
        <v>134155.72189999997</v>
      </c>
      <c r="AQ56" s="158">
        <v>0.5</v>
      </c>
      <c r="AR56" s="154">
        <f t="shared" si="108"/>
        <v>134155.72189999997</v>
      </c>
      <c r="AS56" s="165"/>
      <c r="AT56" s="164">
        <f t="shared" si="109"/>
        <v>0</v>
      </c>
      <c r="AU56" s="451">
        <f t="shared" si="23"/>
        <v>1</v>
      </c>
    </row>
    <row r="57" spans="1:47">
      <c r="A57" s="9" t="s">
        <v>345</v>
      </c>
      <c r="B57" s="397" t="str">
        <f>VLOOKUP(A57,'1. PLANILHA RESUMO'!A:B,2,0)</f>
        <v>SERVIÇOS COMPLEMENTARES</v>
      </c>
      <c r="C57" s="164">
        <f>'2. PLANILHA SINTÉTICA'!N885</f>
        <v>334422.06409999996</v>
      </c>
      <c r="D57" s="25">
        <f t="shared" si="0"/>
        <v>3.0387279894276698E-3</v>
      </c>
      <c r="E57" s="165"/>
      <c r="F57" s="164">
        <f t="shared" si="89"/>
        <v>0</v>
      </c>
      <c r="G57" s="165"/>
      <c r="H57" s="164">
        <f t="shared" si="90"/>
        <v>0</v>
      </c>
      <c r="I57" s="165"/>
      <c r="J57" s="164">
        <f t="shared" si="91"/>
        <v>0</v>
      </c>
      <c r="K57" s="165"/>
      <c r="L57" s="164">
        <f t="shared" si="92"/>
        <v>0</v>
      </c>
      <c r="M57" s="165"/>
      <c r="N57" s="164">
        <f t="shared" si="93"/>
        <v>0</v>
      </c>
      <c r="O57" s="165"/>
      <c r="P57" s="164">
        <f t="shared" si="94"/>
        <v>0</v>
      </c>
      <c r="Q57" s="165"/>
      <c r="R57" s="164">
        <f t="shared" si="95"/>
        <v>0</v>
      </c>
      <c r="S57" s="165"/>
      <c r="T57" s="164">
        <f t="shared" si="96"/>
        <v>0</v>
      </c>
      <c r="U57" s="165"/>
      <c r="V57" s="164">
        <f t="shared" si="97"/>
        <v>0</v>
      </c>
      <c r="W57" s="165"/>
      <c r="X57" s="164">
        <f t="shared" si="98"/>
        <v>0</v>
      </c>
      <c r="Y57" s="165"/>
      <c r="Z57" s="164">
        <f t="shared" si="99"/>
        <v>0</v>
      </c>
      <c r="AA57" s="165"/>
      <c r="AB57" s="164">
        <f t="shared" si="100"/>
        <v>0</v>
      </c>
      <c r="AC57" s="165"/>
      <c r="AD57" s="164">
        <f t="shared" si="101"/>
        <v>0</v>
      </c>
      <c r="AE57" s="165"/>
      <c r="AF57" s="164">
        <f t="shared" si="102"/>
        <v>0</v>
      </c>
      <c r="AG57" s="158">
        <v>0.16669999999999999</v>
      </c>
      <c r="AH57" s="154">
        <f t="shared" si="103"/>
        <v>55748.158085469986</v>
      </c>
      <c r="AI57" s="158">
        <v>0.16669999999999999</v>
      </c>
      <c r="AJ57" s="154">
        <f t="shared" si="104"/>
        <v>55748.158085469986</v>
      </c>
      <c r="AK57" s="158">
        <v>0.16669999999999999</v>
      </c>
      <c r="AL57" s="154">
        <f t="shared" si="105"/>
        <v>55748.158085469986</v>
      </c>
      <c r="AM57" s="158">
        <v>0.16669999999999999</v>
      </c>
      <c r="AN57" s="154">
        <f t="shared" si="106"/>
        <v>55748.158085469986</v>
      </c>
      <c r="AO57" s="158">
        <v>0.16669999999999999</v>
      </c>
      <c r="AP57" s="154">
        <f t="shared" si="107"/>
        <v>55748.158085469986</v>
      </c>
      <c r="AQ57" s="158">
        <v>0.16650000000000001</v>
      </c>
      <c r="AR57" s="154">
        <f t="shared" si="108"/>
        <v>55681.273672649993</v>
      </c>
      <c r="AS57" s="165"/>
      <c r="AT57" s="164">
        <f t="shared" si="109"/>
        <v>0</v>
      </c>
      <c r="AU57" s="451">
        <f t="shared" si="23"/>
        <v>0.99999999999999989</v>
      </c>
    </row>
    <row r="58" spans="1:47">
      <c r="A58" s="9" t="s">
        <v>346</v>
      </c>
      <c r="B58" s="397" t="str">
        <f>VLOOKUP(A58,'1. PLANILHA RESUMO'!A:B,2,0)</f>
        <v xml:space="preserve">ILUMINAÇÃO PÚBLICA </v>
      </c>
      <c r="C58" s="164">
        <f>'2. PLANILHA SINTÉTICA'!N952</f>
        <v>368738.38160000002</v>
      </c>
      <c r="D58" s="25">
        <f t="shared" si="0"/>
        <v>3.3505434037663455E-3</v>
      </c>
      <c r="E58" s="165"/>
      <c r="F58" s="164">
        <f t="shared" si="89"/>
        <v>0</v>
      </c>
      <c r="G58" s="165"/>
      <c r="H58" s="164">
        <f t="shared" si="90"/>
        <v>0</v>
      </c>
      <c r="I58" s="165"/>
      <c r="J58" s="164">
        <f t="shared" si="91"/>
        <v>0</v>
      </c>
      <c r="K58" s="165"/>
      <c r="L58" s="164">
        <f t="shared" si="92"/>
        <v>0</v>
      </c>
      <c r="M58" s="165"/>
      <c r="N58" s="164">
        <f t="shared" si="93"/>
        <v>0</v>
      </c>
      <c r="O58" s="165"/>
      <c r="P58" s="164">
        <f t="shared" si="94"/>
        <v>0</v>
      </c>
      <c r="Q58" s="165"/>
      <c r="R58" s="164">
        <f t="shared" si="95"/>
        <v>0</v>
      </c>
      <c r="S58" s="165"/>
      <c r="T58" s="164">
        <f t="shared" si="96"/>
        <v>0</v>
      </c>
      <c r="U58" s="165"/>
      <c r="V58" s="164">
        <f t="shared" si="97"/>
        <v>0</v>
      </c>
      <c r="W58" s="165"/>
      <c r="X58" s="164">
        <f t="shared" si="98"/>
        <v>0</v>
      </c>
      <c r="Y58" s="165"/>
      <c r="Z58" s="164">
        <f t="shared" si="99"/>
        <v>0</v>
      </c>
      <c r="AA58" s="165"/>
      <c r="AB58" s="164">
        <f t="shared" si="100"/>
        <v>0</v>
      </c>
      <c r="AC58" s="165"/>
      <c r="AD58" s="164">
        <f t="shared" si="101"/>
        <v>0</v>
      </c>
      <c r="AE58" s="165"/>
      <c r="AF58" s="164">
        <f t="shared" si="102"/>
        <v>0</v>
      </c>
      <c r="AG58" s="165"/>
      <c r="AH58" s="164">
        <f t="shared" si="103"/>
        <v>0</v>
      </c>
      <c r="AI58" s="165"/>
      <c r="AJ58" s="164">
        <f t="shared" si="104"/>
        <v>0</v>
      </c>
      <c r="AK58" s="165"/>
      <c r="AL58" s="164">
        <f t="shared" si="105"/>
        <v>0</v>
      </c>
      <c r="AM58" s="165"/>
      <c r="AN58" s="164">
        <f t="shared" si="106"/>
        <v>0</v>
      </c>
      <c r="AO58" s="158">
        <v>0.5</v>
      </c>
      <c r="AP58" s="154">
        <f t="shared" si="107"/>
        <v>184369.19080000001</v>
      </c>
      <c r="AQ58" s="158">
        <v>0.5</v>
      </c>
      <c r="AR58" s="154">
        <f t="shared" si="108"/>
        <v>184369.19080000001</v>
      </c>
      <c r="AS58" s="165"/>
      <c r="AT58" s="164">
        <f t="shared" si="109"/>
        <v>0</v>
      </c>
      <c r="AU58" s="451">
        <f t="shared" si="23"/>
        <v>1</v>
      </c>
    </row>
    <row r="59" spans="1:47" ht="15.75" customHeight="1">
      <c r="A59" s="391" t="s">
        <v>23673</v>
      </c>
      <c r="B59" s="395" t="s">
        <v>23661</v>
      </c>
      <c r="C59" s="392">
        <f>SUM(C60:C67)</f>
        <v>45799504.894799992</v>
      </c>
      <c r="D59" s="393">
        <f t="shared" si="0"/>
        <v>0.41615746197937037</v>
      </c>
      <c r="E59" s="393">
        <f>F59/C59</f>
        <v>0</v>
      </c>
      <c r="F59" s="392">
        <f t="shared" ref="F59:AT59" si="112">SUM(F60:F67)</f>
        <v>0</v>
      </c>
      <c r="G59" s="393">
        <f>H59/C59</f>
        <v>0</v>
      </c>
      <c r="H59" s="392">
        <f t="shared" si="112"/>
        <v>0</v>
      </c>
      <c r="I59" s="393">
        <f>J59/C59</f>
        <v>1.5675554254550757E-2</v>
      </c>
      <c r="J59" s="392">
        <f t="shared" si="112"/>
        <v>717932.62381000025</v>
      </c>
      <c r="K59" s="393">
        <f>L59/C59</f>
        <v>2.9507882248601371E-2</v>
      </c>
      <c r="L59" s="392">
        <f t="shared" si="112"/>
        <v>1351446.3974800003</v>
      </c>
      <c r="M59" s="393">
        <f>N59/C59</f>
        <v>5.7172538236702604E-2</v>
      </c>
      <c r="N59" s="392">
        <f t="shared" si="112"/>
        <v>2618473.9448200008</v>
      </c>
      <c r="O59" s="393">
        <f>P59/C59</f>
        <v>9.8792761133233875E-2</v>
      </c>
      <c r="P59" s="392">
        <f t="shared" si="112"/>
        <v>4524659.5470923511</v>
      </c>
      <c r="Q59" s="393">
        <f>R59/C59</f>
        <v>9.8792761133233875E-2</v>
      </c>
      <c r="R59" s="392">
        <f t="shared" si="112"/>
        <v>4524659.5470923511</v>
      </c>
      <c r="S59" s="393">
        <f>T59/C59</f>
        <v>9.9283473798613617E-2</v>
      </c>
      <c r="T59" s="392">
        <f t="shared" si="112"/>
        <v>4547133.944212351</v>
      </c>
      <c r="U59" s="393">
        <f>V59/C59</f>
        <v>9.9283473798613617E-2</v>
      </c>
      <c r="V59" s="392">
        <f t="shared" si="112"/>
        <v>4547133.944212351</v>
      </c>
      <c r="W59" s="393">
        <f>X59/C59</f>
        <v>9.9283473798613617E-2</v>
      </c>
      <c r="X59" s="392">
        <f t="shared" si="112"/>
        <v>4547133.944212351</v>
      </c>
      <c r="Y59" s="393">
        <f>Z59/C59</f>
        <v>7.1618817810512353E-2</v>
      </c>
      <c r="Z59" s="392">
        <f t="shared" si="112"/>
        <v>3280106.3968723495</v>
      </c>
      <c r="AA59" s="393">
        <f>AB59/C59</f>
        <v>5.7786489816461742E-2</v>
      </c>
      <c r="AB59" s="392">
        <f t="shared" si="112"/>
        <v>2646592.6232023495</v>
      </c>
      <c r="AC59" s="393">
        <f>AD59/C59</f>
        <v>4.4027711395441177E-2</v>
      </c>
      <c r="AD59" s="392">
        <f t="shared" si="112"/>
        <v>2016447.3835623495</v>
      </c>
      <c r="AE59" s="393">
        <f>AF59/C59</f>
        <v>4.4027711395441177E-2</v>
      </c>
      <c r="AF59" s="392">
        <f t="shared" si="112"/>
        <v>2016447.3835623495</v>
      </c>
      <c r="AG59" s="393">
        <f>AH59/C59</f>
        <v>4.4027711395441177E-2</v>
      </c>
      <c r="AH59" s="392">
        <f t="shared" si="112"/>
        <v>2016447.3835623495</v>
      </c>
      <c r="AI59" s="393">
        <f>AJ59/C59</f>
        <v>4.4027711395441177E-2</v>
      </c>
      <c r="AJ59" s="392">
        <f t="shared" si="112"/>
        <v>2016447.3835623495</v>
      </c>
      <c r="AK59" s="393">
        <f>AL59/C59</f>
        <v>5.3566451946464061E-2</v>
      </c>
      <c r="AL59" s="392">
        <f t="shared" si="112"/>
        <v>2453316.9781191493</v>
      </c>
      <c r="AM59" s="393">
        <f>AN59/C59</f>
        <v>1.1255659371844641E-2</v>
      </c>
      <c r="AN59" s="392">
        <f t="shared" si="112"/>
        <v>515503.62649500003</v>
      </c>
      <c r="AO59" s="393">
        <f>AP59/C59</f>
        <v>1.5934908535394705E-2</v>
      </c>
      <c r="AP59" s="392">
        <f t="shared" si="112"/>
        <v>729810.92146500002</v>
      </c>
      <c r="AQ59" s="393">
        <f>AR59/C59</f>
        <v>1.5934908535394705E-2</v>
      </c>
      <c r="AR59" s="392">
        <f t="shared" si="112"/>
        <v>729810.92146500002</v>
      </c>
      <c r="AS59" s="393">
        <f>AT59/C59</f>
        <v>0</v>
      </c>
      <c r="AT59" s="392">
        <f t="shared" si="112"/>
        <v>0</v>
      </c>
      <c r="AU59" s="451">
        <f t="shared" si="23"/>
        <v>1.0000000000000002</v>
      </c>
    </row>
    <row r="60" spans="1:47">
      <c r="A60" s="9" t="s">
        <v>338</v>
      </c>
      <c r="B60" s="397" t="str">
        <f>VLOOKUP(A60,'1. PLANILHA RESUMO'!A:B,2,0)</f>
        <v>TERRAPLENAGEM</v>
      </c>
      <c r="C60" s="164">
        <f>'2. PLANILHA SINTÉTICA'!N133</f>
        <v>12670275.473400004</v>
      </c>
      <c r="D60" s="25">
        <f t="shared" ref="D60:D67" si="113">C60/$C$74</f>
        <v>0.11512853022540601</v>
      </c>
      <c r="E60" s="165"/>
      <c r="F60" s="164">
        <f t="shared" ref="F60:F67" si="114">E60*C60</f>
        <v>0</v>
      </c>
      <c r="G60" s="165"/>
      <c r="H60" s="164">
        <f t="shared" ref="H60:H67" si="115">G60*C60</f>
        <v>0</v>
      </c>
      <c r="I60" s="165"/>
      <c r="J60" s="164">
        <f t="shared" ref="J60:J67" si="116">I60*C60</f>
        <v>0</v>
      </c>
      <c r="K60" s="158">
        <v>0.05</v>
      </c>
      <c r="L60" s="154">
        <f t="shared" ref="L60:L67" si="117">K60*C60</f>
        <v>633513.77367000026</v>
      </c>
      <c r="M60" s="158">
        <v>0.15</v>
      </c>
      <c r="N60" s="154">
        <f t="shared" ref="N60:N67" si="118">M60*C60</f>
        <v>1900541.3210100005</v>
      </c>
      <c r="O60" s="158">
        <v>0.15</v>
      </c>
      <c r="P60" s="154">
        <f t="shared" ref="P60:P67" si="119">O60*C60</f>
        <v>1900541.3210100005</v>
      </c>
      <c r="Q60" s="158">
        <v>0.15</v>
      </c>
      <c r="R60" s="154">
        <f t="shared" ref="R60:R67" si="120">Q60*C60</f>
        <v>1900541.3210100005</v>
      </c>
      <c r="S60" s="158">
        <v>0.15</v>
      </c>
      <c r="T60" s="154">
        <f t="shared" ref="T60:T67" si="121">S60*C60</f>
        <v>1900541.3210100005</v>
      </c>
      <c r="U60" s="158">
        <v>0.15</v>
      </c>
      <c r="V60" s="154">
        <f t="shared" ref="V60:V67" si="122">U60*C60</f>
        <v>1900541.3210100005</v>
      </c>
      <c r="W60" s="158">
        <v>0.15</v>
      </c>
      <c r="X60" s="154">
        <f t="shared" ref="X60:X67" si="123">W60*C60</f>
        <v>1900541.3210100005</v>
      </c>
      <c r="Y60" s="158">
        <v>0.05</v>
      </c>
      <c r="Z60" s="154">
        <f t="shared" ref="Z60:Z67" si="124">Y60*C60</f>
        <v>633513.77367000026</v>
      </c>
      <c r="AA60" s="165"/>
      <c r="AB60" s="164">
        <f t="shared" ref="AB60:AB67" si="125">AA60*C60</f>
        <v>0</v>
      </c>
      <c r="AC60" s="165"/>
      <c r="AD60" s="164">
        <f t="shared" ref="AD60:AD67" si="126">AC60*C60</f>
        <v>0</v>
      </c>
      <c r="AE60" s="165"/>
      <c r="AF60" s="164">
        <f t="shared" ref="AF60:AF67" si="127">AE60*C60</f>
        <v>0</v>
      </c>
      <c r="AG60" s="165"/>
      <c r="AH60" s="164">
        <f t="shared" ref="AH60:AH67" si="128">AG60*C60</f>
        <v>0</v>
      </c>
      <c r="AI60" s="165"/>
      <c r="AJ60" s="164">
        <f t="shared" ref="AJ60:AJ67" si="129">AI60*C60</f>
        <v>0</v>
      </c>
      <c r="AK60" s="165"/>
      <c r="AL60" s="164">
        <f t="shared" ref="AL60:AL67" si="130">AK60*C60</f>
        <v>0</v>
      </c>
      <c r="AM60" s="165"/>
      <c r="AN60" s="164">
        <f t="shared" ref="AN60:AN67" si="131">AM60*C60</f>
        <v>0</v>
      </c>
      <c r="AO60" s="165"/>
      <c r="AP60" s="164">
        <f t="shared" ref="AP60:AP67" si="132">AO60*C60</f>
        <v>0</v>
      </c>
      <c r="AQ60" s="165"/>
      <c r="AR60" s="164">
        <f t="shared" ref="AR60:AR67" si="133">AQ60*C60</f>
        <v>0</v>
      </c>
      <c r="AS60" s="165"/>
      <c r="AT60" s="164">
        <f t="shared" ref="AT60:AT67" si="134">AS60*C60</f>
        <v>0</v>
      </c>
      <c r="AU60" s="451">
        <f t="shared" si="23"/>
        <v>1</v>
      </c>
    </row>
    <row r="61" spans="1:47">
      <c r="A61" s="9" t="s">
        <v>339</v>
      </c>
      <c r="B61" s="397" t="str">
        <f>VLOOKUP(A61,'1. PLANILHA RESUMO'!A:B,2,0)</f>
        <v xml:space="preserve">DRENAGEM </v>
      </c>
      <c r="C61" s="164">
        <f>'2. PLANILHA SINTÉTICA'!N441</f>
        <v>5372727.448400001</v>
      </c>
      <c r="D61" s="25">
        <f t="shared" si="113"/>
        <v>4.8819318548723088E-2</v>
      </c>
      <c r="E61" s="165"/>
      <c r="F61" s="164">
        <f t="shared" si="114"/>
        <v>0</v>
      </c>
      <c r="G61" s="165"/>
      <c r="H61" s="164">
        <f t="shared" si="115"/>
        <v>0</v>
      </c>
      <c r="I61" s="158">
        <v>0.1</v>
      </c>
      <c r="J61" s="154">
        <f t="shared" si="116"/>
        <v>537272.74484000017</v>
      </c>
      <c r="K61" s="158">
        <v>0.1</v>
      </c>
      <c r="L61" s="154">
        <f t="shared" si="117"/>
        <v>537272.74484000017</v>
      </c>
      <c r="M61" s="158">
        <v>0.1</v>
      </c>
      <c r="N61" s="154">
        <f t="shared" si="118"/>
        <v>537272.74484000017</v>
      </c>
      <c r="O61" s="158">
        <v>0.1</v>
      </c>
      <c r="P61" s="154">
        <f t="shared" si="119"/>
        <v>537272.74484000017</v>
      </c>
      <c r="Q61" s="158">
        <v>0.1</v>
      </c>
      <c r="R61" s="154">
        <f t="shared" si="120"/>
        <v>537272.74484000017</v>
      </c>
      <c r="S61" s="158">
        <v>0.1</v>
      </c>
      <c r="T61" s="154">
        <f t="shared" si="121"/>
        <v>537272.74484000017</v>
      </c>
      <c r="U61" s="158">
        <v>0.1</v>
      </c>
      <c r="V61" s="154">
        <f t="shared" si="122"/>
        <v>537272.74484000017</v>
      </c>
      <c r="W61" s="158">
        <v>0.1</v>
      </c>
      <c r="X61" s="154">
        <f t="shared" si="123"/>
        <v>537272.74484000017</v>
      </c>
      <c r="Y61" s="158">
        <v>0.1</v>
      </c>
      <c r="Z61" s="154">
        <f t="shared" si="124"/>
        <v>537272.74484000017</v>
      </c>
      <c r="AA61" s="158">
        <v>0.1</v>
      </c>
      <c r="AB61" s="154">
        <f t="shared" si="125"/>
        <v>537272.74484000017</v>
      </c>
      <c r="AC61" s="165"/>
      <c r="AD61" s="164">
        <f t="shared" si="126"/>
        <v>0</v>
      </c>
      <c r="AE61" s="165"/>
      <c r="AF61" s="164">
        <f t="shared" si="127"/>
        <v>0</v>
      </c>
      <c r="AG61" s="165"/>
      <c r="AH61" s="164">
        <f t="shared" si="128"/>
        <v>0</v>
      </c>
      <c r="AI61" s="165"/>
      <c r="AJ61" s="164">
        <f t="shared" si="129"/>
        <v>0</v>
      </c>
      <c r="AK61" s="165"/>
      <c r="AL61" s="164">
        <f t="shared" si="130"/>
        <v>0</v>
      </c>
      <c r="AM61" s="165"/>
      <c r="AN61" s="164">
        <f t="shared" si="131"/>
        <v>0</v>
      </c>
      <c r="AO61" s="165"/>
      <c r="AP61" s="164">
        <f t="shared" si="132"/>
        <v>0</v>
      </c>
      <c r="AQ61" s="165"/>
      <c r="AR61" s="164">
        <f t="shared" si="133"/>
        <v>0</v>
      </c>
      <c r="AS61" s="165"/>
      <c r="AT61" s="164">
        <f t="shared" si="134"/>
        <v>0</v>
      </c>
      <c r="AU61" s="451">
        <f t="shared" si="23"/>
        <v>0.99999999999999989</v>
      </c>
    </row>
    <row r="62" spans="1:47">
      <c r="A62" s="9" t="s">
        <v>340</v>
      </c>
      <c r="B62" s="397" t="str">
        <f>VLOOKUP(A62,'1. PLANILHA RESUMO'!A:B,2,0)</f>
        <v>OBRAS DE ARTES CORRENTES</v>
      </c>
      <c r="C62" s="164">
        <f>'2. PLANILHA SINTÉTICA'!N600</f>
        <v>928724.94800000009</v>
      </c>
      <c r="D62" s="25">
        <f t="shared" si="113"/>
        <v>8.4388645275614085E-3</v>
      </c>
      <c r="E62" s="165"/>
      <c r="F62" s="164">
        <f t="shared" si="114"/>
        <v>0</v>
      </c>
      <c r="G62" s="165"/>
      <c r="H62" s="164">
        <f t="shared" si="115"/>
        <v>0</v>
      </c>
      <c r="I62" s="158">
        <v>0.1</v>
      </c>
      <c r="J62" s="154">
        <f t="shared" si="116"/>
        <v>92872.494800000015</v>
      </c>
      <c r="K62" s="158">
        <v>0.1</v>
      </c>
      <c r="L62" s="154">
        <f t="shared" si="117"/>
        <v>92872.494800000015</v>
      </c>
      <c r="M62" s="158">
        <v>0.1</v>
      </c>
      <c r="N62" s="154">
        <f t="shared" si="118"/>
        <v>92872.494800000015</v>
      </c>
      <c r="O62" s="158">
        <v>0.1</v>
      </c>
      <c r="P62" s="154">
        <f t="shared" si="119"/>
        <v>92872.494800000015</v>
      </c>
      <c r="Q62" s="158">
        <v>0.1</v>
      </c>
      <c r="R62" s="154">
        <f t="shared" si="120"/>
        <v>92872.494800000015</v>
      </c>
      <c r="S62" s="158">
        <v>0.1</v>
      </c>
      <c r="T62" s="154">
        <f t="shared" si="121"/>
        <v>92872.494800000015</v>
      </c>
      <c r="U62" s="158">
        <v>0.1</v>
      </c>
      <c r="V62" s="154">
        <f t="shared" si="122"/>
        <v>92872.494800000015</v>
      </c>
      <c r="W62" s="158">
        <v>0.1</v>
      </c>
      <c r="X62" s="154">
        <f t="shared" si="123"/>
        <v>92872.494800000015</v>
      </c>
      <c r="Y62" s="158">
        <v>0.1</v>
      </c>
      <c r="Z62" s="154">
        <f t="shared" si="124"/>
        <v>92872.494800000015</v>
      </c>
      <c r="AA62" s="158">
        <v>0.1</v>
      </c>
      <c r="AB62" s="154">
        <f t="shared" si="125"/>
        <v>92872.494800000015</v>
      </c>
      <c r="AC62" s="165"/>
      <c r="AD62" s="164">
        <f t="shared" si="126"/>
        <v>0</v>
      </c>
      <c r="AE62" s="165"/>
      <c r="AF62" s="164">
        <f t="shared" si="127"/>
        <v>0</v>
      </c>
      <c r="AG62" s="165"/>
      <c r="AH62" s="164">
        <f t="shared" si="128"/>
        <v>0</v>
      </c>
      <c r="AI62" s="165"/>
      <c r="AJ62" s="164">
        <f t="shared" si="129"/>
        <v>0</v>
      </c>
      <c r="AK62" s="165"/>
      <c r="AL62" s="164">
        <f t="shared" si="130"/>
        <v>0</v>
      </c>
      <c r="AM62" s="165"/>
      <c r="AN62" s="164">
        <f t="shared" si="131"/>
        <v>0</v>
      </c>
      <c r="AO62" s="165"/>
      <c r="AP62" s="164">
        <f t="shared" si="132"/>
        <v>0</v>
      </c>
      <c r="AQ62" s="165"/>
      <c r="AR62" s="164">
        <f t="shared" si="133"/>
        <v>0</v>
      </c>
      <c r="AS62" s="165"/>
      <c r="AT62" s="164">
        <f t="shared" si="134"/>
        <v>0</v>
      </c>
      <c r="AU62" s="451">
        <f t="shared" si="23"/>
        <v>0.99999999999999989</v>
      </c>
    </row>
    <row r="63" spans="1:47">
      <c r="A63" s="9" t="s">
        <v>341</v>
      </c>
      <c r="B63" s="397" t="str">
        <f>VLOOKUP(A63,'1. PLANILHA RESUMO'!A:B,2,0)</f>
        <v xml:space="preserve">PAVIMENTAÇÃO </v>
      </c>
      <c r="C63" s="164">
        <f>'2. PLANILHA SINTÉTICA'!N727</f>
        <v>22883380.579499993</v>
      </c>
      <c r="D63" s="25">
        <f t="shared" si="113"/>
        <v>0.20792996791880097</v>
      </c>
      <c r="E63" s="165"/>
      <c r="F63" s="164">
        <f t="shared" si="114"/>
        <v>0</v>
      </c>
      <c r="G63" s="165"/>
      <c r="H63" s="164">
        <f t="shared" si="115"/>
        <v>0</v>
      </c>
      <c r="I63" s="165"/>
      <c r="J63" s="164">
        <f t="shared" si="116"/>
        <v>0</v>
      </c>
      <c r="K63" s="165"/>
      <c r="L63" s="164">
        <f t="shared" si="117"/>
        <v>0</v>
      </c>
      <c r="M63" s="165"/>
      <c r="N63" s="164">
        <f t="shared" si="118"/>
        <v>0</v>
      </c>
      <c r="O63" s="158">
        <v>8.3299999999999999E-2</v>
      </c>
      <c r="P63" s="154">
        <f t="shared" si="119"/>
        <v>1906185.6022723494</v>
      </c>
      <c r="Q63" s="158">
        <v>8.3299999999999999E-2</v>
      </c>
      <c r="R63" s="154">
        <f t="shared" si="120"/>
        <v>1906185.6022723494</v>
      </c>
      <c r="S63" s="158">
        <v>8.3299999999999999E-2</v>
      </c>
      <c r="T63" s="154">
        <f t="shared" si="121"/>
        <v>1906185.6022723494</v>
      </c>
      <c r="U63" s="158">
        <v>8.3299999999999999E-2</v>
      </c>
      <c r="V63" s="154">
        <f t="shared" si="122"/>
        <v>1906185.6022723494</v>
      </c>
      <c r="W63" s="158">
        <v>8.3299999999999999E-2</v>
      </c>
      <c r="X63" s="154">
        <f t="shared" si="123"/>
        <v>1906185.6022723494</v>
      </c>
      <c r="Y63" s="158">
        <v>8.3299999999999999E-2</v>
      </c>
      <c r="Z63" s="154">
        <f t="shared" si="124"/>
        <v>1906185.6022723494</v>
      </c>
      <c r="AA63" s="158">
        <v>8.3299999999999999E-2</v>
      </c>
      <c r="AB63" s="154">
        <f t="shared" si="125"/>
        <v>1906185.6022723494</v>
      </c>
      <c r="AC63" s="158">
        <v>8.3299999999999999E-2</v>
      </c>
      <c r="AD63" s="154">
        <f t="shared" si="126"/>
        <v>1906185.6022723494</v>
      </c>
      <c r="AE63" s="158">
        <v>8.3299999999999999E-2</v>
      </c>
      <c r="AF63" s="154">
        <f t="shared" si="127"/>
        <v>1906185.6022723494</v>
      </c>
      <c r="AG63" s="158">
        <v>8.3299999999999999E-2</v>
      </c>
      <c r="AH63" s="154">
        <f t="shared" si="128"/>
        <v>1906185.6022723494</v>
      </c>
      <c r="AI63" s="158">
        <v>8.3299999999999999E-2</v>
      </c>
      <c r="AJ63" s="154">
        <f t="shared" si="129"/>
        <v>1906185.6022723494</v>
      </c>
      <c r="AK63" s="158">
        <v>8.3699999999999997E-2</v>
      </c>
      <c r="AL63" s="154">
        <f t="shared" si="130"/>
        <v>1915338.9545041493</v>
      </c>
      <c r="AM63" s="165"/>
      <c r="AN63" s="164">
        <f t="shared" si="131"/>
        <v>0</v>
      </c>
      <c r="AO63" s="165"/>
      <c r="AP63" s="164">
        <f t="shared" si="132"/>
        <v>0</v>
      </c>
      <c r="AQ63" s="165"/>
      <c r="AR63" s="164">
        <f t="shared" si="133"/>
        <v>0</v>
      </c>
      <c r="AS63" s="165"/>
      <c r="AT63" s="164">
        <f t="shared" si="134"/>
        <v>0</v>
      </c>
      <c r="AU63" s="451">
        <f t="shared" si="23"/>
        <v>1</v>
      </c>
    </row>
    <row r="64" spans="1:47">
      <c r="A64" s="9" t="s">
        <v>342</v>
      </c>
      <c r="B64" s="397" t="str">
        <f>VLOOKUP(A64,'1. PLANILHA RESUMO'!A:B,2,0)</f>
        <v>LIGANTES BETUMINOSOS</v>
      </c>
      <c r="C64" s="164">
        <f>'2. PLANILHA SINTÉTICA'!N764</f>
        <v>224743.9712</v>
      </c>
      <c r="D64" s="25">
        <f t="shared" si="113"/>
        <v>2.0421373738556689E-3</v>
      </c>
      <c r="E64" s="165"/>
      <c r="F64" s="164">
        <f t="shared" si="114"/>
        <v>0</v>
      </c>
      <c r="G64" s="165"/>
      <c r="H64" s="164">
        <f t="shared" si="115"/>
        <v>0</v>
      </c>
      <c r="I64" s="165"/>
      <c r="J64" s="164">
        <f t="shared" si="116"/>
        <v>0</v>
      </c>
      <c r="K64" s="165"/>
      <c r="L64" s="164">
        <f t="shared" si="117"/>
        <v>0</v>
      </c>
      <c r="M64" s="165"/>
      <c r="N64" s="164">
        <f t="shared" si="118"/>
        <v>0</v>
      </c>
      <c r="O64" s="165"/>
      <c r="P64" s="164">
        <f t="shared" si="119"/>
        <v>0</v>
      </c>
      <c r="Q64" s="165"/>
      <c r="R64" s="164">
        <f t="shared" si="120"/>
        <v>0</v>
      </c>
      <c r="S64" s="158">
        <v>0.1</v>
      </c>
      <c r="T64" s="154">
        <f t="shared" si="121"/>
        <v>22474.397120000001</v>
      </c>
      <c r="U64" s="158">
        <v>0.1</v>
      </c>
      <c r="V64" s="154">
        <f t="shared" si="122"/>
        <v>22474.397120000001</v>
      </c>
      <c r="W64" s="158">
        <v>0.1</v>
      </c>
      <c r="X64" s="154">
        <f t="shared" si="123"/>
        <v>22474.397120000001</v>
      </c>
      <c r="Y64" s="158">
        <v>0.1</v>
      </c>
      <c r="Z64" s="154">
        <f t="shared" si="124"/>
        <v>22474.397120000001</v>
      </c>
      <c r="AA64" s="158">
        <v>0.1</v>
      </c>
      <c r="AB64" s="154">
        <f t="shared" si="125"/>
        <v>22474.397120000001</v>
      </c>
      <c r="AC64" s="158">
        <v>0.1</v>
      </c>
      <c r="AD64" s="154">
        <f t="shared" si="126"/>
        <v>22474.397120000001</v>
      </c>
      <c r="AE64" s="158">
        <v>0.1</v>
      </c>
      <c r="AF64" s="154">
        <f t="shared" si="127"/>
        <v>22474.397120000001</v>
      </c>
      <c r="AG64" s="158">
        <v>0.1</v>
      </c>
      <c r="AH64" s="154">
        <f t="shared" si="128"/>
        <v>22474.397120000001</v>
      </c>
      <c r="AI64" s="158">
        <v>0.1</v>
      </c>
      <c r="AJ64" s="154">
        <f t="shared" si="129"/>
        <v>22474.397120000001</v>
      </c>
      <c r="AK64" s="158">
        <v>0.1</v>
      </c>
      <c r="AL64" s="154">
        <f t="shared" si="130"/>
        <v>22474.397120000001</v>
      </c>
      <c r="AM64" s="165"/>
      <c r="AN64" s="164">
        <f t="shared" si="131"/>
        <v>0</v>
      </c>
      <c r="AO64" s="165"/>
      <c r="AP64" s="164">
        <f t="shared" si="132"/>
        <v>0</v>
      </c>
      <c r="AQ64" s="165"/>
      <c r="AR64" s="164">
        <f t="shared" si="133"/>
        <v>0</v>
      </c>
      <c r="AS64" s="165"/>
      <c r="AT64" s="164">
        <f t="shared" si="134"/>
        <v>0</v>
      </c>
      <c r="AU64" s="451">
        <f t="shared" si="23"/>
        <v>0.99999999999999989</v>
      </c>
    </row>
    <row r="65" spans="1:47">
      <c r="A65" s="9" t="s">
        <v>344</v>
      </c>
      <c r="B65" s="397" t="str">
        <f>VLOOKUP(A65,'1. PLANILHA RESUMO'!A:B,2,0)</f>
        <v>SINALIZAÇÃO VIÁRIA</v>
      </c>
      <c r="C65" s="164">
        <f>'2. PLANILHA SINTÉTICA'!N826</f>
        <v>1710864.9693</v>
      </c>
      <c r="D65" s="25">
        <f t="shared" si="113"/>
        <v>1.5545784284103465E-2</v>
      </c>
      <c r="E65" s="165"/>
      <c r="F65" s="164">
        <f t="shared" si="114"/>
        <v>0</v>
      </c>
      <c r="G65" s="165"/>
      <c r="H65" s="164">
        <f t="shared" si="115"/>
        <v>0</v>
      </c>
      <c r="I65" s="165"/>
      <c r="J65" s="164">
        <f t="shared" si="116"/>
        <v>0</v>
      </c>
      <c r="K65" s="165"/>
      <c r="L65" s="164">
        <f t="shared" si="117"/>
        <v>0</v>
      </c>
      <c r="M65" s="165"/>
      <c r="N65" s="164">
        <f t="shared" si="118"/>
        <v>0</v>
      </c>
      <c r="O65" s="165"/>
      <c r="P65" s="164">
        <f t="shared" si="119"/>
        <v>0</v>
      </c>
      <c r="Q65" s="165"/>
      <c r="R65" s="164">
        <f t="shared" si="120"/>
        <v>0</v>
      </c>
      <c r="S65" s="165"/>
      <c r="T65" s="164">
        <f t="shared" si="121"/>
        <v>0</v>
      </c>
      <c r="U65" s="165"/>
      <c r="V65" s="164">
        <f t="shared" si="122"/>
        <v>0</v>
      </c>
      <c r="W65" s="165"/>
      <c r="X65" s="164">
        <f t="shared" si="123"/>
        <v>0</v>
      </c>
      <c r="Y65" s="165"/>
      <c r="Z65" s="164">
        <f t="shared" si="124"/>
        <v>0</v>
      </c>
      <c r="AA65" s="165"/>
      <c r="AB65" s="164">
        <f t="shared" si="125"/>
        <v>0</v>
      </c>
      <c r="AC65" s="165"/>
      <c r="AD65" s="164">
        <f t="shared" si="126"/>
        <v>0</v>
      </c>
      <c r="AE65" s="165"/>
      <c r="AF65" s="164">
        <f t="shared" si="127"/>
        <v>0</v>
      </c>
      <c r="AG65" s="165"/>
      <c r="AH65" s="164">
        <f t="shared" si="128"/>
        <v>0</v>
      </c>
      <c r="AI65" s="165"/>
      <c r="AJ65" s="164">
        <f t="shared" si="129"/>
        <v>0</v>
      </c>
      <c r="AK65" s="158">
        <v>0.25</v>
      </c>
      <c r="AL65" s="154">
        <f t="shared" si="130"/>
        <v>427716.242325</v>
      </c>
      <c r="AM65" s="158">
        <v>0.25</v>
      </c>
      <c r="AN65" s="154">
        <f t="shared" si="131"/>
        <v>427716.242325</v>
      </c>
      <c r="AO65" s="158">
        <v>0.25</v>
      </c>
      <c r="AP65" s="154">
        <f t="shared" si="132"/>
        <v>427716.242325</v>
      </c>
      <c r="AQ65" s="158">
        <v>0.25</v>
      </c>
      <c r="AR65" s="154">
        <f t="shared" si="133"/>
        <v>427716.242325</v>
      </c>
      <c r="AS65" s="165"/>
      <c r="AT65" s="164">
        <f t="shared" si="134"/>
        <v>0</v>
      </c>
      <c r="AU65" s="451">
        <f t="shared" si="23"/>
        <v>1</v>
      </c>
    </row>
    <row r="66" spans="1:47">
      <c r="A66" s="9" t="s">
        <v>345</v>
      </c>
      <c r="B66" s="397" t="str">
        <f>VLOOKUP(A66,'1. PLANILHA RESUMO'!A:B,2,0)</f>
        <v>SERVIÇOS COMPLEMENTARES</v>
      </c>
      <c r="C66" s="164">
        <f>'2. PLANILHA SINTÉTICA'!N900</f>
        <v>1755747.6834000004</v>
      </c>
      <c r="D66" s="25">
        <f t="shared" si="113"/>
        <v>1.5953611321306276E-2</v>
      </c>
      <c r="E66" s="165"/>
      <c r="F66" s="164">
        <f t="shared" si="114"/>
        <v>0</v>
      </c>
      <c r="G66" s="165"/>
      <c r="H66" s="164">
        <f t="shared" si="115"/>
        <v>0</v>
      </c>
      <c r="I66" s="158">
        <v>0.05</v>
      </c>
      <c r="J66" s="154">
        <f t="shared" si="116"/>
        <v>87787.384170000034</v>
      </c>
      <c r="K66" s="158">
        <v>0.05</v>
      </c>
      <c r="L66" s="154">
        <f t="shared" si="117"/>
        <v>87787.384170000034</v>
      </c>
      <c r="M66" s="158">
        <v>0.05</v>
      </c>
      <c r="N66" s="154">
        <f t="shared" si="118"/>
        <v>87787.384170000034</v>
      </c>
      <c r="O66" s="158">
        <v>0.05</v>
      </c>
      <c r="P66" s="154">
        <f t="shared" si="119"/>
        <v>87787.384170000034</v>
      </c>
      <c r="Q66" s="158">
        <v>0.05</v>
      </c>
      <c r="R66" s="154">
        <f t="shared" si="120"/>
        <v>87787.384170000034</v>
      </c>
      <c r="S66" s="158">
        <v>0.05</v>
      </c>
      <c r="T66" s="154">
        <f t="shared" si="121"/>
        <v>87787.384170000034</v>
      </c>
      <c r="U66" s="158">
        <v>0.05</v>
      </c>
      <c r="V66" s="154">
        <f t="shared" si="122"/>
        <v>87787.384170000034</v>
      </c>
      <c r="W66" s="158">
        <v>0.05</v>
      </c>
      <c r="X66" s="154">
        <f t="shared" si="123"/>
        <v>87787.384170000034</v>
      </c>
      <c r="Y66" s="158">
        <v>0.05</v>
      </c>
      <c r="Z66" s="154">
        <f t="shared" si="124"/>
        <v>87787.384170000034</v>
      </c>
      <c r="AA66" s="158">
        <v>0.05</v>
      </c>
      <c r="AB66" s="154">
        <f t="shared" si="125"/>
        <v>87787.384170000034</v>
      </c>
      <c r="AC66" s="158">
        <v>0.05</v>
      </c>
      <c r="AD66" s="154">
        <f t="shared" si="126"/>
        <v>87787.384170000034</v>
      </c>
      <c r="AE66" s="158">
        <v>0.05</v>
      </c>
      <c r="AF66" s="154">
        <f t="shared" si="127"/>
        <v>87787.384170000034</v>
      </c>
      <c r="AG66" s="158">
        <v>0.05</v>
      </c>
      <c r="AH66" s="154">
        <f t="shared" si="128"/>
        <v>87787.384170000034</v>
      </c>
      <c r="AI66" s="158">
        <v>0.05</v>
      </c>
      <c r="AJ66" s="154">
        <f t="shared" si="129"/>
        <v>87787.384170000034</v>
      </c>
      <c r="AK66" s="158">
        <v>0.05</v>
      </c>
      <c r="AL66" s="154">
        <f t="shared" si="130"/>
        <v>87787.384170000034</v>
      </c>
      <c r="AM66" s="158">
        <v>0.05</v>
      </c>
      <c r="AN66" s="154">
        <f t="shared" si="131"/>
        <v>87787.384170000034</v>
      </c>
      <c r="AO66" s="158">
        <v>0.1</v>
      </c>
      <c r="AP66" s="154">
        <f t="shared" si="132"/>
        <v>175574.76834000007</v>
      </c>
      <c r="AQ66" s="158">
        <v>0.1</v>
      </c>
      <c r="AR66" s="154">
        <f t="shared" si="133"/>
        <v>175574.76834000007</v>
      </c>
      <c r="AS66" s="165"/>
      <c r="AT66" s="164">
        <f t="shared" si="134"/>
        <v>0</v>
      </c>
      <c r="AU66" s="451">
        <f t="shared" si="23"/>
        <v>1.0000000000000002</v>
      </c>
    </row>
    <row r="67" spans="1:47">
      <c r="A67" s="9" t="s">
        <v>346</v>
      </c>
      <c r="B67" s="397" t="str">
        <f>VLOOKUP(A67,'1. PLANILHA RESUMO'!A:B,2,0)</f>
        <v xml:space="preserve">ILUMINAÇÃO PÚBLICA </v>
      </c>
      <c r="C67" s="164">
        <f>'2. PLANILHA SINTÉTICA'!N964</f>
        <v>253039.82159999997</v>
      </c>
      <c r="D67" s="25">
        <f t="shared" si="113"/>
        <v>2.2992477796135468E-3</v>
      </c>
      <c r="E67" s="165"/>
      <c r="F67" s="164">
        <f t="shared" si="114"/>
        <v>0</v>
      </c>
      <c r="G67" s="165"/>
      <c r="H67" s="164">
        <f t="shared" si="115"/>
        <v>0</v>
      </c>
      <c r="I67" s="165"/>
      <c r="J67" s="164">
        <f t="shared" si="116"/>
        <v>0</v>
      </c>
      <c r="K67" s="165"/>
      <c r="L67" s="164">
        <f t="shared" si="117"/>
        <v>0</v>
      </c>
      <c r="M67" s="165"/>
      <c r="N67" s="164">
        <f t="shared" si="118"/>
        <v>0</v>
      </c>
      <c r="O67" s="165"/>
      <c r="P67" s="164">
        <f t="shared" si="119"/>
        <v>0</v>
      </c>
      <c r="Q67" s="165"/>
      <c r="R67" s="164">
        <f t="shared" si="120"/>
        <v>0</v>
      </c>
      <c r="S67" s="165"/>
      <c r="T67" s="164">
        <f t="shared" si="121"/>
        <v>0</v>
      </c>
      <c r="U67" s="165"/>
      <c r="V67" s="164">
        <f t="shared" si="122"/>
        <v>0</v>
      </c>
      <c r="W67" s="165"/>
      <c r="X67" s="164">
        <f t="shared" si="123"/>
        <v>0</v>
      </c>
      <c r="Y67" s="165"/>
      <c r="Z67" s="164">
        <f t="shared" si="124"/>
        <v>0</v>
      </c>
      <c r="AA67" s="165"/>
      <c r="AB67" s="164">
        <f t="shared" si="125"/>
        <v>0</v>
      </c>
      <c r="AC67" s="165"/>
      <c r="AD67" s="164">
        <f t="shared" si="126"/>
        <v>0</v>
      </c>
      <c r="AE67" s="165"/>
      <c r="AF67" s="164">
        <f t="shared" si="127"/>
        <v>0</v>
      </c>
      <c r="AG67" s="165"/>
      <c r="AH67" s="164">
        <f t="shared" si="128"/>
        <v>0</v>
      </c>
      <c r="AI67" s="165"/>
      <c r="AJ67" s="164">
        <f t="shared" si="129"/>
        <v>0</v>
      </c>
      <c r="AK67" s="165"/>
      <c r="AL67" s="164">
        <f t="shared" si="130"/>
        <v>0</v>
      </c>
      <c r="AM67" s="165"/>
      <c r="AN67" s="164">
        <f t="shared" si="131"/>
        <v>0</v>
      </c>
      <c r="AO67" s="158">
        <v>0.5</v>
      </c>
      <c r="AP67" s="154">
        <f t="shared" si="132"/>
        <v>126519.91079999998</v>
      </c>
      <c r="AQ67" s="158">
        <v>0.5</v>
      </c>
      <c r="AR67" s="154">
        <f t="shared" si="133"/>
        <v>126519.91079999998</v>
      </c>
      <c r="AS67" s="165"/>
      <c r="AT67" s="164">
        <f t="shared" si="134"/>
        <v>0</v>
      </c>
      <c r="AU67" s="451">
        <f t="shared" si="23"/>
        <v>1</v>
      </c>
    </row>
    <row r="68" spans="1:47">
      <c r="A68" s="35" t="s">
        <v>23668</v>
      </c>
      <c r="B68" s="395" t="s">
        <v>23662</v>
      </c>
      <c r="C68" s="30">
        <f>C15</f>
        <v>12458554.5878</v>
      </c>
      <c r="D68" s="393">
        <f t="shared" ref="D68:D73" si="135">C68/$C$74</f>
        <v>0.11320472719299973</v>
      </c>
      <c r="E68" s="31">
        <f>F68/C68</f>
        <v>6.8896897417510386E-2</v>
      </c>
      <c r="F68" s="30">
        <f>F15</f>
        <v>858355.75740610994</v>
      </c>
      <c r="G68" s="31">
        <f>H68/C68</f>
        <v>8.2377641107903854E-2</v>
      </c>
      <c r="H68" s="30">
        <f>H15</f>
        <v>1026306.3385570175</v>
      </c>
      <c r="I68" s="31">
        <f>J68/C68</f>
        <v>3.1711086413011923E-2</v>
      </c>
      <c r="J68" s="30">
        <f>J15</f>
        <v>395074.30111495196</v>
      </c>
      <c r="K68" s="31">
        <f>L68/C68</f>
        <v>3.9846349642530379E-2</v>
      </c>
      <c r="L68" s="30">
        <f>L15</f>
        <v>496427.92214602977</v>
      </c>
      <c r="M68" s="31">
        <f>N68/C68</f>
        <v>5.2131513126844303E-2</v>
      </c>
      <c r="N68" s="30">
        <f>N15</f>
        <v>649483.30203540204</v>
      </c>
      <c r="O68" s="31">
        <f>P68/C68</f>
        <v>6.3292902522888272E-2</v>
      </c>
      <c r="P68" s="30">
        <f>P15</f>
        <v>788538.08110170788</v>
      </c>
      <c r="Q68" s="31">
        <f>R68/C68</f>
        <v>7.0368571913816194E-2</v>
      </c>
      <c r="R68" s="30">
        <f>R15</f>
        <v>876690.69445380894</v>
      </c>
      <c r="S68" s="31">
        <f>T68/C68</f>
        <v>6.3026345723158961E-2</v>
      </c>
      <c r="T68" s="30">
        <f>T15</f>
        <v>785217.16866153094</v>
      </c>
      <c r="U68" s="31">
        <f>V68/C68</f>
        <v>6.7348922336414416E-2</v>
      </c>
      <c r="V68" s="30">
        <f>V15</f>
        <v>839070.22535772168</v>
      </c>
      <c r="W68" s="31">
        <f>X68/C68</f>
        <v>7.732507646409488E-2</v>
      </c>
      <c r="X68" s="30">
        <f>X15</f>
        <v>963358.686133735</v>
      </c>
      <c r="Y68" s="31">
        <f>Z68/C68</f>
        <v>6.2963107753367456E-2</v>
      </c>
      <c r="Z68" s="30">
        <f>Z15</f>
        <v>784429.31496286194</v>
      </c>
      <c r="AA68" s="31">
        <f>AB68/C68</f>
        <v>5.6018745183741753E-2</v>
      </c>
      <c r="AB68" s="30">
        <f>AB15</f>
        <v>697912.59481170494</v>
      </c>
      <c r="AC68" s="31">
        <f>AD68/C68</f>
        <v>4.5433339240018217E-2</v>
      </c>
      <c r="AD68" s="30">
        <f>AD15</f>
        <v>566033.73702780274</v>
      </c>
      <c r="AE68" s="31">
        <f>AF68/C68</f>
        <v>3.9594708611137515E-2</v>
      </c>
      <c r="AF68" s="30">
        <f>AF15</f>
        <v>493292.83861989144</v>
      </c>
      <c r="AG68" s="31">
        <f>AH68/C68</f>
        <v>3.72588359295749E-2</v>
      </c>
      <c r="AH68" s="30">
        <f>AH15</f>
        <v>464191.24130649288</v>
      </c>
      <c r="AI68" s="31">
        <f>AJ68/C68</f>
        <v>4.1677728782373739E-2</v>
      </c>
      <c r="AJ68" s="30">
        <f>AJ15</f>
        <v>519244.25913072645</v>
      </c>
      <c r="AK68" s="31">
        <f>AL68/C68</f>
        <v>2.6931416568398002E-2</v>
      </c>
      <c r="AL68" s="30">
        <f>AL15</f>
        <v>335526.52344416786</v>
      </c>
      <c r="AM68" s="31">
        <f>AN68/C68</f>
        <v>1.1904066899955913E-2</v>
      </c>
      <c r="AN68" s="30">
        <f>AN15</f>
        <v>148307.46728992386</v>
      </c>
      <c r="AO68" s="31">
        <f>AP68/C68</f>
        <v>1.2682121082860784E-2</v>
      </c>
      <c r="AP68" s="30">
        <f>AP15</f>
        <v>158000.89779991031</v>
      </c>
      <c r="AQ68" s="31">
        <f>AR68/C68</f>
        <v>1.1878862299796686E-2</v>
      </c>
      <c r="AR68" s="30">
        <f>AR15</f>
        <v>147993.45440297647</v>
      </c>
      <c r="AS68" s="31">
        <f>AT68/C68</f>
        <v>3.7331760980601633E-2</v>
      </c>
      <c r="AT68" s="30">
        <f>AT15</f>
        <v>465099.78203552746</v>
      </c>
      <c r="AU68" s="451">
        <f t="shared" si="23"/>
        <v>1.0000000000000004</v>
      </c>
    </row>
    <row r="69" spans="1:47">
      <c r="A69" s="35" t="s">
        <v>23669</v>
      </c>
      <c r="B69" s="395" t="s">
        <v>23663</v>
      </c>
      <c r="C69" s="30">
        <f>C23</f>
        <v>22516795.919399999</v>
      </c>
      <c r="D69" s="393">
        <f t="shared" si="135"/>
        <v>0.20459899431770634</v>
      </c>
      <c r="E69" s="31">
        <f t="shared" ref="E69:E75" si="136">F69/C69</f>
        <v>0</v>
      </c>
      <c r="F69" s="30">
        <f>F23</f>
        <v>0</v>
      </c>
      <c r="G69" s="31">
        <f t="shared" ref="G69:G75" si="137">H69/C69</f>
        <v>0</v>
      </c>
      <c r="H69" s="30">
        <f>H23</f>
        <v>0</v>
      </c>
      <c r="I69" s="31">
        <f t="shared" ref="I69:I75" si="138">J69/C69</f>
        <v>4.899998109275399E-2</v>
      </c>
      <c r="J69" s="30">
        <f>J23</f>
        <v>1103322.5743200001</v>
      </c>
      <c r="K69" s="31">
        <f t="shared" ref="K69:K75" si="139">L69/C69</f>
        <v>8.7691873933039372E-2</v>
      </c>
      <c r="L69" s="30">
        <f>L23</f>
        <v>1974540.02914</v>
      </c>
      <c r="M69" s="31">
        <f t="shared" ref="M69:M75" si="140">N69/C69</f>
        <v>0.13671770205803024</v>
      </c>
      <c r="N69" s="30">
        <f>N23</f>
        <v>3078444.5958100003</v>
      </c>
      <c r="O69" s="31">
        <f t="shared" ref="O69:O75" si="141">P69/C69</f>
        <v>0.13630028663562097</v>
      </c>
      <c r="P69" s="30">
        <f>P23</f>
        <v>3069045.7379300003</v>
      </c>
      <c r="Q69" s="31">
        <f t="shared" ref="Q69:Q75" si="142">R69/C69</f>
        <v>0.17712682875647243</v>
      </c>
      <c r="R69" s="30">
        <f>R23</f>
        <v>3988328.6549600009</v>
      </c>
      <c r="S69" s="31">
        <f t="shared" ref="S69:S75" si="143">T69/C69</f>
        <v>0.13329037603143917</v>
      </c>
      <c r="T69" s="30">
        <f>T23</f>
        <v>3001272.1951200007</v>
      </c>
      <c r="U69" s="31">
        <f t="shared" ref="U69:U75" si="144">V69/C69</f>
        <v>0.10416431686264975</v>
      </c>
      <c r="V69" s="30">
        <f>V23</f>
        <v>2345446.6648800005</v>
      </c>
      <c r="W69" s="31">
        <f t="shared" ref="W69:W75" si="145">X69/C69</f>
        <v>0.13735471156246165</v>
      </c>
      <c r="X69" s="30">
        <f>X23</f>
        <v>3092788.0088200006</v>
      </c>
      <c r="Y69" s="31">
        <f t="shared" ref="Y69:Y75" si="146">Z69/C69</f>
        <v>3.8353923067532623E-2</v>
      </c>
      <c r="Z69" s="30">
        <f>Z23</f>
        <v>863607.45842000004</v>
      </c>
      <c r="AA69" s="31">
        <f t="shared" ref="AA69:AA75" si="147">AB69/C69</f>
        <v>0</v>
      </c>
      <c r="AB69" s="30">
        <f>AB23</f>
        <v>0</v>
      </c>
      <c r="AC69" s="31">
        <f t="shared" ref="AC69:AC75" si="148">AD69/C69</f>
        <v>0</v>
      </c>
      <c r="AD69" s="30">
        <f>AD23</f>
        <v>0</v>
      </c>
      <c r="AE69" s="31">
        <f t="shared" ref="AE69:AE75" si="149">AF69/C69</f>
        <v>0</v>
      </c>
      <c r="AF69" s="30">
        <f>AF23</f>
        <v>0</v>
      </c>
      <c r="AG69" s="31">
        <f t="shared" ref="AG69:AG75" si="150">AH69/C69</f>
        <v>0</v>
      </c>
      <c r="AH69" s="30">
        <f>AH23</f>
        <v>0</v>
      </c>
      <c r="AI69" s="31">
        <f t="shared" ref="AI69:AI75" si="151">AJ69/C69</f>
        <v>0</v>
      </c>
      <c r="AJ69" s="30">
        <f>AJ23</f>
        <v>0</v>
      </c>
      <c r="AK69" s="31">
        <f t="shared" ref="AK69:AK75" si="152">AL69/C69</f>
        <v>0</v>
      </c>
      <c r="AL69" s="30">
        <f>AL23</f>
        <v>0</v>
      </c>
      <c r="AM69" s="31">
        <f t="shared" ref="AM69:AM75" si="153">AN69/C69</f>
        <v>0</v>
      </c>
      <c r="AN69" s="30">
        <f>AN23</f>
        <v>0</v>
      </c>
      <c r="AO69" s="31">
        <f t="shared" ref="AO69:AO75" si="154">AP69/C69</f>
        <v>0</v>
      </c>
      <c r="AP69" s="30">
        <f>AP23</f>
        <v>0</v>
      </c>
      <c r="AQ69" s="31">
        <f t="shared" ref="AQ69:AQ75" si="155">AR69/C69</f>
        <v>0</v>
      </c>
      <c r="AR69" s="30">
        <f>AR23</f>
        <v>0</v>
      </c>
      <c r="AS69" s="31">
        <f t="shared" ref="AS69:AS75" si="156">AT69/C69</f>
        <v>0</v>
      </c>
      <c r="AT69" s="30">
        <f>AT23</f>
        <v>0</v>
      </c>
      <c r="AU69" s="451">
        <f t="shared" si="23"/>
        <v>1.0000000000000004</v>
      </c>
    </row>
    <row r="70" spans="1:47">
      <c r="A70" s="35" t="s">
        <v>23674</v>
      </c>
      <c r="B70" s="395" t="s">
        <v>23664</v>
      </c>
      <c r="C70" s="30">
        <f>C33</f>
        <v>2380345.0782999997</v>
      </c>
      <c r="D70" s="393">
        <f t="shared" si="135"/>
        <v>2.1629019106118866E-2</v>
      </c>
      <c r="E70" s="31">
        <f t="shared" si="136"/>
        <v>0</v>
      </c>
      <c r="F70" s="30">
        <f>F33</f>
        <v>0</v>
      </c>
      <c r="G70" s="31">
        <f t="shared" si="137"/>
        <v>0</v>
      </c>
      <c r="H70" s="30">
        <f>H33</f>
        <v>0</v>
      </c>
      <c r="I70" s="31">
        <f t="shared" si="138"/>
        <v>0</v>
      </c>
      <c r="J70" s="30">
        <f>J33</f>
        <v>0</v>
      </c>
      <c r="K70" s="31">
        <f t="shared" si="139"/>
        <v>0</v>
      </c>
      <c r="L70" s="30">
        <f>L33</f>
        <v>0</v>
      </c>
      <c r="M70" s="31">
        <f t="shared" si="140"/>
        <v>0</v>
      </c>
      <c r="N70" s="30">
        <f>N33</f>
        <v>0</v>
      </c>
      <c r="O70" s="31">
        <f t="shared" si="141"/>
        <v>0</v>
      </c>
      <c r="P70" s="30">
        <f>P33</f>
        <v>0</v>
      </c>
      <c r="Q70" s="31">
        <f t="shared" si="142"/>
        <v>0</v>
      </c>
      <c r="R70" s="30">
        <f>R33</f>
        <v>0</v>
      </c>
      <c r="S70" s="31">
        <f t="shared" si="143"/>
        <v>0</v>
      </c>
      <c r="T70" s="30">
        <f>T33</f>
        <v>0</v>
      </c>
      <c r="U70" s="31">
        <f t="shared" si="144"/>
        <v>0</v>
      </c>
      <c r="V70" s="30">
        <f>V33</f>
        <v>0</v>
      </c>
      <c r="W70" s="31">
        <f t="shared" si="145"/>
        <v>0</v>
      </c>
      <c r="X70" s="30">
        <f>X33</f>
        <v>0</v>
      </c>
      <c r="Y70" s="31">
        <f t="shared" si="146"/>
        <v>0.11019183350920538</v>
      </c>
      <c r="Z70" s="30">
        <f>Z33</f>
        <v>262294.58856249001</v>
      </c>
      <c r="AA70" s="31">
        <f t="shared" si="147"/>
        <v>0.19160374907205324</v>
      </c>
      <c r="AB70" s="30">
        <f>AB33</f>
        <v>456083.04108749004</v>
      </c>
      <c r="AC70" s="31">
        <f t="shared" si="148"/>
        <v>0.19160374907205324</v>
      </c>
      <c r="AD70" s="30">
        <f>AD33</f>
        <v>456083.04108749004</v>
      </c>
      <c r="AE70" s="31">
        <f t="shared" si="149"/>
        <v>0.19160374907205324</v>
      </c>
      <c r="AF70" s="30">
        <f>AF33</f>
        <v>456083.04108749004</v>
      </c>
      <c r="AG70" s="31">
        <f t="shared" si="150"/>
        <v>0.19821991223619728</v>
      </c>
      <c r="AH70" s="30">
        <f>AH33</f>
        <v>471831.79251249006</v>
      </c>
      <c r="AI70" s="31">
        <f t="shared" si="151"/>
        <v>0.11677700703843788</v>
      </c>
      <c r="AJ70" s="30">
        <f>AJ33</f>
        <v>277969.57396255003</v>
      </c>
      <c r="AK70" s="31">
        <f t="shared" si="152"/>
        <v>0</v>
      </c>
      <c r="AL70" s="30">
        <f>AL33</f>
        <v>0</v>
      </c>
      <c r="AM70" s="31">
        <f t="shared" si="153"/>
        <v>0</v>
      </c>
      <c r="AN70" s="30">
        <f>AN33</f>
        <v>0</v>
      </c>
      <c r="AO70" s="31">
        <f t="shared" si="154"/>
        <v>0</v>
      </c>
      <c r="AP70" s="30">
        <f>AP33</f>
        <v>0</v>
      </c>
      <c r="AQ70" s="31">
        <f t="shared" si="155"/>
        <v>0</v>
      </c>
      <c r="AR70" s="30">
        <f>AR33</f>
        <v>0</v>
      </c>
      <c r="AS70" s="31">
        <f t="shared" si="156"/>
        <v>0</v>
      </c>
      <c r="AT70" s="30">
        <f>AT33</f>
        <v>0</v>
      </c>
      <c r="AU70" s="451">
        <f t="shared" si="23"/>
        <v>1.0000000000000002</v>
      </c>
    </row>
    <row r="71" spans="1:47">
      <c r="A71" s="35" t="s">
        <v>23671</v>
      </c>
      <c r="B71" s="395" t="s">
        <v>23665</v>
      </c>
      <c r="C71" s="30">
        <f>C41</f>
        <v>23797709.253299996</v>
      </c>
      <c r="D71" s="393">
        <f t="shared" si="135"/>
        <v>0.21623802061888103</v>
      </c>
      <c r="E71" s="31">
        <f t="shared" si="136"/>
        <v>0</v>
      </c>
      <c r="F71" s="30">
        <f>F41</f>
        <v>0</v>
      </c>
      <c r="G71" s="31">
        <f t="shared" si="137"/>
        <v>0</v>
      </c>
      <c r="H71" s="30">
        <f>H41</f>
        <v>0</v>
      </c>
      <c r="I71" s="31">
        <f t="shared" si="138"/>
        <v>0</v>
      </c>
      <c r="J71" s="30">
        <f>J41</f>
        <v>0</v>
      </c>
      <c r="K71" s="31">
        <f t="shared" si="139"/>
        <v>0</v>
      </c>
      <c r="L71" s="30">
        <f>L41</f>
        <v>0</v>
      </c>
      <c r="M71" s="31">
        <f t="shared" si="140"/>
        <v>0</v>
      </c>
      <c r="N71" s="30">
        <f>N41</f>
        <v>0</v>
      </c>
      <c r="O71" s="31">
        <f t="shared" si="141"/>
        <v>0</v>
      </c>
      <c r="P71" s="30">
        <f>P41</f>
        <v>0</v>
      </c>
      <c r="Q71" s="31">
        <f t="shared" si="142"/>
        <v>0</v>
      </c>
      <c r="R71" s="30">
        <f>R41</f>
        <v>0</v>
      </c>
      <c r="S71" s="31">
        <f t="shared" si="143"/>
        <v>0</v>
      </c>
      <c r="T71" s="30">
        <f>T41</f>
        <v>0</v>
      </c>
      <c r="U71" s="31">
        <f t="shared" si="144"/>
        <v>5.0159617092534796E-2</v>
      </c>
      <c r="V71" s="30">
        <f>V41</f>
        <v>1193683.983825</v>
      </c>
      <c r="W71" s="31">
        <f t="shared" si="145"/>
        <v>7.7972146080097698E-2</v>
      </c>
      <c r="X71" s="30">
        <f>X41</f>
        <v>1855558.46227</v>
      </c>
      <c r="Y71" s="31">
        <f t="shared" si="146"/>
        <v>0.13159463740551997</v>
      </c>
      <c r="Z71" s="30">
        <f>Z41</f>
        <v>3131650.9202700001</v>
      </c>
      <c r="AA71" s="31">
        <f t="shared" si="147"/>
        <v>0.13263806523530389</v>
      </c>
      <c r="AB71" s="30">
        <f>AB41</f>
        <v>3156482.1123899999</v>
      </c>
      <c r="AC71" s="31">
        <f t="shared" si="148"/>
        <v>0.1862605565607261</v>
      </c>
      <c r="AD71" s="30">
        <f>AD41</f>
        <v>4432574.5703899991</v>
      </c>
      <c r="AE71" s="31">
        <f t="shared" si="149"/>
        <v>0.14043297350864017</v>
      </c>
      <c r="AF71" s="30">
        <f>AF41</f>
        <v>3341983.0731349997</v>
      </c>
      <c r="AG71" s="31">
        <f t="shared" si="150"/>
        <v>0.11262044452107728</v>
      </c>
      <c r="AH71" s="30">
        <f>AH41</f>
        <v>2680108.5946899997</v>
      </c>
      <c r="AI71" s="31">
        <f t="shared" si="151"/>
        <v>0.13830498503836428</v>
      </c>
      <c r="AJ71" s="30">
        <f>AJ41</f>
        <v>3291341.8222249993</v>
      </c>
      <c r="AK71" s="31">
        <f t="shared" si="152"/>
        <v>3.0016574557735865E-2</v>
      </c>
      <c r="AL71" s="30">
        <f>AL41</f>
        <v>714325.71410500002</v>
      </c>
      <c r="AM71" s="31">
        <f t="shared" si="153"/>
        <v>0</v>
      </c>
      <c r="AN71" s="30">
        <f>AN41</f>
        <v>0</v>
      </c>
      <c r="AO71" s="31">
        <f t="shared" si="154"/>
        <v>0</v>
      </c>
      <c r="AP71" s="30">
        <f>AP41</f>
        <v>0</v>
      </c>
      <c r="AQ71" s="31">
        <f t="shared" si="155"/>
        <v>0</v>
      </c>
      <c r="AR71" s="30">
        <f>AR41</f>
        <v>0</v>
      </c>
      <c r="AS71" s="31">
        <f t="shared" si="156"/>
        <v>0</v>
      </c>
      <c r="AT71" s="30">
        <f>AT41</f>
        <v>0</v>
      </c>
      <c r="AU71" s="451">
        <f t="shared" si="23"/>
        <v>1</v>
      </c>
    </row>
    <row r="72" spans="1:47">
      <c r="A72" s="35" t="s">
        <v>23672</v>
      </c>
      <c r="B72" s="395" t="s">
        <v>23666</v>
      </c>
      <c r="C72" s="30">
        <f>C50</f>
        <v>3100397.1973000001</v>
      </c>
      <c r="D72" s="393">
        <f t="shared" si="135"/>
        <v>2.8171776784923601E-2</v>
      </c>
      <c r="E72" s="31">
        <f t="shared" si="136"/>
        <v>0</v>
      </c>
      <c r="F72" s="30">
        <f>F50</f>
        <v>0</v>
      </c>
      <c r="G72" s="31">
        <f t="shared" si="137"/>
        <v>0</v>
      </c>
      <c r="H72" s="30">
        <f>H50</f>
        <v>0</v>
      </c>
      <c r="I72" s="31">
        <f t="shared" si="138"/>
        <v>0</v>
      </c>
      <c r="J72" s="30">
        <f>J50</f>
        <v>0</v>
      </c>
      <c r="K72" s="31">
        <f t="shared" si="139"/>
        <v>0</v>
      </c>
      <c r="L72" s="30">
        <f>L50</f>
        <v>0</v>
      </c>
      <c r="M72" s="31">
        <f t="shared" si="140"/>
        <v>0</v>
      </c>
      <c r="N72" s="30">
        <f>N50</f>
        <v>0</v>
      </c>
      <c r="O72" s="31">
        <f t="shared" si="141"/>
        <v>0</v>
      </c>
      <c r="P72" s="30">
        <f>P50</f>
        <v>0</v>
      </c>
      <c r="Q72" s="31">
        <f t="shared" si="142"/>
        <v>0</v>
      </c>
      <c r="R72" s="30">
        <f>R50</f>
        <v>0</v>
      </c>
      <c r="S72" s="31">
        <f t="shared" si="143"/>
        <v>0</v>
      </c>
      <c r="T72" s="30">
        <f>T50</f>
        <v>0</v>
      </c>
      <c r="U72" s="31">
        <f t="shared" si="144"/>
        <v>0</v>
      </c>
      <c r="V72" s="30">
        <f>V50</f>
        <v>0</v>
      </c>
      <c r="W72" s="31">
        <f t="shared" si="145"/>
        <v>0</v>
      </c>
      <c r="X72" s="30">
        <f>X50</f>
        <v>0</v>
      </c>
      <c r="Y72" s="31">
        <f t="shared" si="146"/>
        <v>0</v>
      </c>
      <c r="Z72" s="30">
        <f>Z50</f>
        <v>0</v>
      </c>
      <c r="AA72" s="31">
        <f t="shared" si="147"/>
        <v>0</v>
      </c>
      <c r="AB72" s="30">
        <f>AB50</f>
        <v>0</v>
      </c>
      <c r="AC72" s="31">
        <f t="shared" si="148"/>
        <v>0</v>
      </c>
      <c r="AD72" s="30">
        <f>AD50</f>
        <v>0</v>
      </c>
      <c r="AE72" s="31">
        <f t="shared" si="149"/>
        <v>0</v>
      </c>
      <c r="AF72" s="30">
        <f>AF50</f>
        <v>0</v>
      </c>
      <c r="AG72" s="31">
        <f t="shared" si="150"/>
        <v>0.11209122347714554</v>
      </c>
      <c r="AH72" s="30">
        <f>AH50</f>
        <v>347527.31511046999</v>
      </c>
      <c r="AI72" s="31">
        <f t="shared" si="151"/>
        <v>0.18795880153451267</v>
      </c>
      <c r="AJ72" s="30">
        <f>AJ50</f>
        <v>582746.94148547004</v>
      </c>
      <c r="AK72" s="31">
        <f t="shared" si="152"/>
        <v>0.19133420359883965</v>
      </c>
      <c r="AL72" s="30">
        <f>AL50</f>
        <v>593212.02858547005</v>
      </c>
      <c r="AM72" s="31">
        <f t="shared" si="153"/>
        <v>0.19133420359883965</v>
      </c>
      <c r="AN72" s="30">
        <f>AN50</f>
        <v>593212.02858547005</v>
      </c>
      <c r="AO72" s="31">
        <f t="shared" si="154"/>
        <v>0.19658535935048915</v>
      </c>
      <c r="AP72" s="30">
        <f>AP50</f>
        <v>609492.69716046995</v>
      </c>
      <c r="AQ72" s="31">
        <f t="shared" si="155"/>
        <v>0.12069620844017331</v>
      </c>
      <c r="AR72" s="30">
        <f>AR50</f>
        <v>374206.18637264997</v>
      </c>
      <c r="AS72" s="31">
        <f t="shared" si="156"/>
        <v>0</v>
      </c>
      <c r="AT72" s="30">
        <f>AT50</f>
        <v>0</v>
      </c>
      <c r="AU72" s="451">
        <f t="shared" si="23"/>
        <v>1</v>
      </c>
    </row>
    <row r="73" spans="1:47">
      <c r="A73" s="35" t="s">
        <v>23673</v>
      </c>
      <c r="B73" s="395" t="s">
        <v>23667</v>
      </c>
      <c r="C73" s="30">
        <f>C59</f>
        <v>45799504.894799992</v>
      </c>
      <c r="D73" s="393">
        <f t="shared" si="135"/>
        <v>0.41615746197937037</v>
      </c>
      <c r="E73" s="31">
        <f t="shared" si="136"/>
        <v>0</v>
      </c>
      <c r="F73" s="30">
        <f>F59</f>
        <v>0</v>
      </c>
      <c r="G73" s="31">
        <f t="shared" si="137"/>
        <v>0</v>
      </c>
      <c r="H73" s="30">
        <f>H59</f>
        <v>0</v>
      </c>
      <c r="I73" s="31">
        <f t="shared" si="138"/>
        <v>1.5675554254550757E-2</v>
      </c>
      <c r="J73" s="30">
        <f>J59</f>
        <v>717932.62381000025</v>
      </c>
      <c r="K73" s="31">
        <f t="shared" si="139"/>
        <v>2.9507882248601371E-2</v>
      </c>
      <c r="L73" s="30">
        <f>L59</f>
        <v>1351446.3974800003</v>
      </c>
      <c r="M73" s="31">
        <f t="shared" si="140"/>
        <v>5.7172538236702604E-2</v>
      </c>
      <c r="N73" s="30">
        <f>N59</f>
        <v>2618473.9448200008</v>
      </c>
      <c r="O73" s="31">
        <f t="shared" si="141"/>
        <v>9.8792761133233875E-2</v>
      </c>
      <c r="P73" s="30">
        <f>P59</f>
        <v>4524659.5470923511</v>
      </c>
      <c r="Q73" s="31">
        <f t="shared" si="142"/>
        <v>9.8792761133233875E-2</v>
      </c>
      <c r="R73" s="30">
        <f>R59</f>
        <v>4524659.5470923511</v>
      </c>
      <c r="S73" s="31">
        <f t="shared" si="143"/>
        <v>9.9283473798613617E-2</v>
      </c>
      <c r="T73" s="30">
        <f>T59</f>
        <v>4547133.944212351</v>
      </c>
      <c r="U73" s="31">
        <f t="shared" si="144"/>
        <v>9.9283473798613617E-2</v>
      </c>
      <c r="V73" s="30">
        <f>V59</f>
        <v>4547133.944212351</v>
      </c>
      <c r="W73" s="31">
        <f t="shared" si="145"/>
        <v>9.9283473798613617E-2</v>
      </c>
      <c r="X73" s="30">
        <f>X59</f>
        <v>4547133.944212351</v>
      </c>
      <c r="Y73" s="31">
        <f t="shared" si="146"/>
        <v>7.1618817810512353E-2</v>
      </c>
      <c r="Z73" s="30">
        <f>Z59</f>
        <v>3280106.3968723495</v>
      </c>
      <c r="AA73" s="31">
        <f t="shared" si="147"/>
        <v>5.7786489816461742E-2</v>
      </c>
      <c r="AB73" s="30">
        <f>AB59</f>
        <v>2646592.6232023495</v>
      </c>
      <c r="AC73" s="31">
        <f t="shared" si="148"/>
        <v>4.4027711395441177E-2</v>
      </c>
      <c r="AD73" s="30">
        <f>AD59</f>
        <v>2016447.3835623495</v>
      </c>
      <c r="AE73" s="31">
        <f t="shared" si="149"/>
        <v>4.4027711395441177E-2</v>
      </c>
      <c r="AF73" s="30">
        <f>AF59</f>
        <v>2016447.3835623495</v>
      </c>
      <c r="AG73" s="31">
        <f t="shared" si="150"/>
        <v>4.4027711395441177E-2</v>
      </c>
      <c r="AH73" s="30">
        <f>AH59</f>
        <v>2016447.3835623495</v>
      </c>
      <c r="AI73" s="31">
        <f t="shared" si="151"/>
        <v>4.4027711395441177E-2</v>
      </c>
      <c r="AJ73" s="30">
        <f>AJ59</f>
        <v>2016447.3835623495</v>
      </c>
      <c r="AK73" s="31">
        <f t="shared" si="152"/>
        <v>5.3566451946464061E-2</v>
      </c>
      <c r="AL73" s="30">
        <f>AL59</f>
        <v>2453316.9781191493</v>
      </c>
      <c r="AM73" s="31">
        <f t="shared" si="153"/>
        <v>1.1255659371844641E-2</v>
      </c>
      <c r="AN73" s="30">
        <f>AN59</f>
        <v>515503.62649500003</v>
      </c>
      <c r="AO73" s="31">
        <f t="shared" si="154"/>
        <v>1.5934908535394705E-2</v>
      </c>
      <c r="AP73" s="30">
        <f>AP59</f>
        <v>729810.92146500002</v>
      </c>
      <c r="AQ73" s="31">
        <f t="shared" si="155"/>
        <v>1.5934908535394705E-2</v>
      </c>
      <c r="AR73" s="30">
        <f>AR59</f>
        <v>729810.92146500002</v>
      </c>
      <c r="AS73" s="31">
        <f t="shared" si="156"/>
        <v>0</v>
      </c>
      <c r="AT73" s="30">
        <f>AT59</f>
        <v>0</v>
      </c>
      <c r="AU73" s="451">
        <f t="shared" si="23"/>
        <v>1.0000000000000002</v>
      </c>
    </row>
    <row r="74" spans="1:47">
      <c r="A74" s="389"/>
      <c r="B74" s="396" t="s">
        <v>23675</v>
      </c>
      <c r="C74" s="27">
        <f>C68+C69+C70+C71+C72+C73</f>
        <v>110053306.93089999</v>
      </c>
      <c r="D74" s="27"/>
      <c r="E74" s="40">
        <f>F74/$C$74</f>
        <v>7.7994544765933507E-3</v>
      </c>
      <c r="F74" s="27">
        <f>SUM(F68:F73)</f>
        <v>858355.75740610994</v>
      </c>
      <c r="G74" s="40">
        <f t="shared" ref="G74" si="157">H74/$C$74</f>
        <v>9.325538388423097E-3</v>
      </c>
      <c r="H74" s="27">
        <f t="shared" ref="H74" si="158">SUM(H68:H73)</f>
        <v>1026306.3385570175</v>
      </c>
      <c r="I74" s="40">
        <f t="shared" ref="I74" si="159">J74/$C$74</f>
        <v>2.0138690613236514E-2</v>
      </c>
      <c r="J74" s="27">
        <f t="shared" ref="J74" si="160">SUM(J68:J73)</f>
        <v>2216329.4992449526</v>
      </c>
      <c r="K74" s="40">
        <f t="shared" ref="K74" si="161">L74/$C$74</f>
        <v>3.4732389742418539E-2</v>
      </c>
      <c r="L74" s="27">
        <f t="shared" ref="L74" si="162">SUM(L68:L73)</f>
        <v>3822414.3487660303</v>
      </c>
      <c r="M74" s="40">
        <f t="shared" ref="M74" si="163">N74/$C$74</f>
        <v>5.7666616475688159E-2</v>
      </c>
      <c r="N74" s="27">
        <f t="shared" ref="N74" si="164">SUM(N68:N73)</f>
        <v>6346401.8426654032</v>
      </c>
      <c r="O74" s="40">
        <f t="shared" ref="O74" si="165">P74/$C$74</f>
        <v>7.6165302069360646E-2</v>
      </c>
      <c r="P74" s="27">
        <f t="shared" ref="P74" si="166">SUM(P68:P73)</f>
        <v>8382243.3661240591</v>
      </c>
      <c r="Q74" s="40">
        <f t="shared" ref="Q74" si="167">R74/$C$74</f>
        <v>8.5319370751864188E-2</v>
      </c>
      <c r="R74" s="27">
        <f t="shared" ref="R74" si="168">SUM(R68:R73)</f>
        <v>9389678.8965061605</v>
      </c>
      <c r="S74" s="40">
        <f t="shared" ref="S74" si="169">T74/$C$74</f>
        <v>7.572351563434962E-2</v>
      </c>
      <c r="T74" s="27">
        <f t="shared" ref="T74" si="170">SUM(T68:T73)</f>
        <v>8333623.3079938833</v>
      </c>
      <c r="U74" s="40">
        <f t="shared" ref="U74" si="171">V74/$C$74</f>
        <v>8.1100105641342443E-2</v>
      </c>
      <c r="V74" s="27">
        <f t="shared" ref="V74" si="172">SUM(V68:V73)</f>
        <v>8925334.8182750735</v>
      </c>
      <c r="W74" s="40">
        <f t="shared" ref="W74" si="173">X74/$C$74</f>
        <v>9.5034301041066915E-2</v>
      </c>
      <c r="X74" s="27">
        <f t="shared" ref="X74" si="174">SUM(X68:X73)</f>
        <v>10458839.101436086</v>
      </c>
      <c r="Y74" s="40">
        <f t="shared" ref="Y74" si="175">Z74/$C$74</f>
        <v>7.5618706163122884E-2</v>
      </c>
      <c r="Z74" s="27">
        <f t="shared" ref="Z74" si="176">SUM(Z68:Z73)</f>
        <v>8322088.6790877022</v>
      </c>
      <c r="AA74" s="40">
        <f t="shared" ref="AA74" si="177">AB74/$C$74</f>
        <v>6.3215459539618671E-2</v>
      </c>
      <c r="AB74" s="27">
        <f t="shared" ref="AB74" si="178">SUM(AB68:AB73)</f>
        <v>6957070.3714915439</v>
      </c>
      <c r="AC74" s="40">
        <f t="shared" ref="AC74" si="179">AD74/$C$74</f>
        <v>6.7886544624766273E-2</v>
      </c>
      <c r="AD74" s="27">
        <f t="shared" ref="AD74" si="180">SUM(AD68:AD73)</f>
        <v>7471138.7320676418</v>
      </c>
      <c r="AE74" s="40">
        <f t="shared" ref="AE74" si="181">AF74/$C$74</f>
        <v>5.7315918188312699E-2</v>
      </c>
      <c r="AF74" s="27">
        <f t="shared" ref="AF74" si="182">SUM(AF68:AF73)</f>
        <v>6307806.3364047306</v>
      </c>
      <c r="AG74" s="40">
        <f t="shared" ref="AG74" si="183">AH74/$C$74</f>
        <v>5.433827018879657E-2</v>
      </c>
      <c r="AH74" s="27">
        <f t="shared" ref="AH74" si="184">SUM(AH68:AH73)</f>
        <v>5980106.3271818021</v>
      </c>
      <c r="AI74" s="40">
        <f t="shared" ref="AI74" si="185">AJ74/$C$74</f>
        <v>6.0768278272321105E-2</v>
      </c>
      <c r="AJ74" s="27">
        <f t="shared" ref="AJ74" si="186">SUM(AJ68:AJ73)</f>
        <v>6687749.9803660959</v>
      </c>
      <c r="AK74" s="40">
        <f t="shared" ref="AK74" si="187">AL74/$C$74</f>
        <v>3.7221791498058418E-2</v>
      </c>
      <c r="AL74" s="27">
        <f t="shared" ref="AL74" si="188">SUM(AL68:AL73)</f>
        <v>4096381.2442537872</v>
      </c>
      <c r="AM74" s="40">
        <f t="shared" ref="AM74" si="189">AN74/$C$74</f>
        <v>1.1421947758095545E-2</v>
      </c>
      <c r="AN74" s="27">
        <f t="shared" ref="AN74" si="190">SUM(AN68:AN73)</f>
        <v>1257023.1223703939</v>
      </c>
      <c r="AO74" s="40">
        <f t="shared" ref="AO74" si="191">AP74/$C$74</f>
        <v>1.3605266013183086E-2</v>
      </c>
      <c r="AP74" s="27">
        <f t="shared" ref="AP74" si="192">SUM(AP68:AP73)</f>
        <v>1497304.5164253803</v>
      </c>
      <c r="AQ74" s="40">
        <f t="shared" ref="AQ74" si="193">AR74/$C$74</f>
        <v>1.1376401101938135E-2</v>
      </c>
      <c r="AR74" s="27">
        <f t="shared" ref="AR74" si="194">SUM(AR68:AR73)</f>
        <v>1252010.5622406264</v>
      </c>
      <c r="AS74" s="40">
        <f t="shared" ref="AS74" si="195">AT74/$C$74</f>
        <v>4.2261318174432799E-3</v>
      </c>
      <c r="AT74" s="27">
        <f t="shared" ref="AT74" si="196">SUM(AT68:AT73)</f>
        <v>465099.78203552746</v>
      </c>
      <c r="AU74" s="451">
        <f t="shared" si="23"/>
        <v>1.0000000000000002</v>
      </c>
    </row>
    <row r="75" spans="1:47">
      <c r="A75" s="389"/>
      <c r="B75" s="396" t="s">
        <v>70</v>
      </c>
      <c r="C75" s="27">
        <f>C74</f>
        <v>110053306.93089999</v>
      </c>
      <c r="D75" s="27"/>
      <c r="E75" s="40">
        <f t="shared" si="136"/>
        <v>7.7994544765933507E-3</v>
      </c>
      <c r="F75" s="168">
        <f>F74</f>
        <v>858355.75740610994</v>
      </c>
      <c r="G75" s="40">
        <f t="shared" si="137"/>
        <v>1.7124992865016446E-2</v>
      </c>
      <c r="H75" s="168">
        <f>F75+H74</f>
        <v>1884662.0959631274</v>
      </c>
      <c r="I75" s="40">
        <f t="shared" si="138"/>
        <v>3.7263683478252957E-2</v>
      </c>
      <c r="J75" s="168">
        <f>H75+J74</f>
        <v>4100991.59520808</v>
      </c>
      <c r="K75" s="40">
        <f t="shared" si="139"/>
        <v>7.1996073220671503E-2</v>
      </c>
      <c r="L75" s="168">
        <f>J75+L74</f>
        <v>7923405.9439741103</v>
      </c>
      <c r="M75" s="40">
        <f t="shared" si="140"/>
        <v>0.12966268969635966</v>
      </c>
      <c r="N75" s="168">
        <f>L75+N74</f>
        <v>14269807.786639513</v>
      </c>
      <c r="O75" s="40">
        <f t="shared" si="141"/>
        <v>0.20582799176572028</v>
      </c>
      <c r="P75" s="168">
        <f>N75+P74</f>
        <v>22652051.152763572</v>
      </c>
      <c r="Q75" s="40">
        <f t="shared" si="142"/>
        <v>0.2911473625175845</v>
      </c>
      <c r="R75" s="168">
        <f>P75+R74</f>
        <v>32041730.049269732</v>
      </c>
      <c r="S75" s="40">
        <f t="shared" si="143"/>
        <v>0.36687087815193409</v>
      </c>
      <c r="T75" s="168">
        <f>R75+T74</f>
        <v>40375353.357263617</v>
      </c>
      <c r="U75" s="40">
        <f t="shared" si="144"/>
        <v>0.44797098379327654</v>
      </c>
      <c r="V75" s="168">
        <f>T75+V74</f>
        <v>49300688.175538689</v>
      </c>
      <c r="W75" s="40">
        <f t="shared" si="145"/>
        <v>0.5430052848343434</v>
      </c>
      <c r="X75" s="168">
        <f>V75+X74</f>
        <v>59759527.276974775</v>
      </c>
      <c r="Y75" s="40">
        <f t="shared" si="146"/>
        <v>0.61862399099746634</v>
      </c>
      <c r="Z75" s="168">
        <f>X75+Z74</f>
        <v>68081615.956062481</v>
      </c>
      <c r="AA75" s="40">
        <f t="shared" si="147"/>
        <v>0.68183945053708495</v>
      </c>
      <c r="AB75" s="168">
        <f>Z75+AB74</f>
        <v>75038686.327554017</v>
      </c>
      <c r="AC75" s="40">
        <f t="shared" si="148"/>
        <v>0.74972599516185123</v>
      </c>
      <c r="AD75" s="168">
        <f>AB75+AD74</f>
        <v>82509825.059621662</v>
      </c>
      <c r="AE75" s="40">
        <f t="shared" si="149"/>
        <v>0.80704191335016395</v>
      </c>
      <c r="AF75" s="168">
        <f>AD75+AF74</f>
        <v>88817631.396026388</v>
      </c>
      <c r="AG75" s="40">
        <f t="shared" si="150"/>
        <v>0.86138018353896051</v>
      </c>
      <c r="AH75" s="168">
        <f>AF75+AH74</f>
        <v>94797737.723208189</v>
      </c>
      <c r="AI75" s="40">
        <f t="shared" si="151"/>
        <v>0.92214846181128163</v>
      </c>
      <c r="AJ75" s="168">
        <f>AH75+AJ74</f>
        <v>101485487.70357428</v>
      </c>
      <c r="AK75" s="40">
        <f t="shared" si="152"/>
        <v>0.95937025330934</v>
      </c>
      <c r="AL75" s="168">
        <f>AJ75+AL74</f>
        <v>105581868.94782807</v>
      </c>
      <c r="AM75" s="40">
        <f t="shared" si="153"/>
        <v>0.97079220106743558</v>
      </c>
      <c r="AN75" s="168">
        <f>AL75+AN74</f>
        <v>106838892.07019846</v>
      </c>
      <c r="AO75" s="40">
        <f t="shared" si="154"/>
        <v>0.9843974670806187</v>
      </c>
      <c r="AP75" s="168">
        <f>AN75+AP74</f>
        <v>108336196.58662385</v>
      </c>
      <c r="AQ75" s="40">
        <f t="shared" si="155"/>
        <v>0.99577386818255686</v>
      </c>
      <c r="AR75" s="168">
        <f>AP75+AR74</f>
        <v>109588207.14886448</v>
      </c>
      <c r="AS75" s="40">
        <f t="shared" si="156"/>
        <v>1.0000000000000002</v>
      </c>
      <c r="AT75" s="168">
        <f>AR75+AT74</f>
        <v>110053306.93090001</v>
      </c>
      <c r="AU75" s="387"/>
    </row>
    <row r="76" spans="1:47">
      <c r="A76" s="403"/>
      <c r="B76" s="404" t="s">
        <v>23703</v>
      </c>
      <c r="C76" s="405">
        <f>C73+C72+C71+C70+C69+C22+C21+C20+C19+C18+C17</f>
        <v>102536298.31089997</v>
      </c>
      <c r="D76" s="406"/>
      <c r="E76" s="407">
        <f t="shared" ref="E76" si="197">F76/C76</f>
        <v>7.7994544765933524E-3</v>
      </c>
      <c r="F76" s="405">
        <f>F73+F72+F71+F70+F69+F22+F21+F20+F19+F18+F17</f>
        <v>799727.19087426015</v>
      </c>
      <c r="G76" s="407">
        <f t="shared" ref="G76" si="198">H76/C76</f>
        <v>9.3255383884230988E-3</v>
      </c>
      <c r="H76" s="405">
        <f>H73+H72+H71+H70+H69+H22+H21+H20+H19+H18+H17</f>
        <v>956206.18610510021</v>
      </c>
      <c r="I76" s="407">
        <f t="shared" ref="I76" si="199">J76/C76</f>
        <v>2.0138690613236514E-2</v>
      </c>
      <c r="J76" s="405">
        <f>J73+J72+J71+J70+J69+J22+J21+J20+J19+J18+J17</f>
        <v>2064946.7883097404</v>
      </c>
      <c r="K76" s="407">
        <f t="shared" ref="K76" si="200">L76/C76</f>
        <v>3.4732389742418546E-2</v>
      </c>
      <c r="L76" s="405">
        <f>L73+L72+L71+L70+L69+L22+L21+L20+L19+L18+L17</f>
        <v>3561330.6756790699</v>
      </c>
      <c r="M76" s="407">
        <f t="shared" ref="M76" si="201">N76/C76</f>
        <v>5.7666616475688173E-2</v>
      </c>
      <c r="N76" s="405">
        <f>N73+N72+N71+N70+N69+N22+N21+N20+N19+N18+N17</f>
        <v>5912921.3895314215</v>
      </c>
      <c r="O76" s="407">
        <f t="shared" ref="O76" si="202">P76/C76</f>
        <v>7.616530206936066E-2</v>
      </c>
      <c r="P76" s="405">
        <f>P73+P72+P71+P70+P69+P22+P21+P20+P19+P18+P17</f>
        <v>7809708.1339237718</v>
      </c>
      <c r="Q76" s="407">
        <f t="shared" ref="Q76" si="203">R76/C76</f>
        <v>8.5319370751864188E-2</v>
      </c>
      <c r="R76" s="405">
        <f>R73+R72+R71+R70+R69+R22+R21+R20+R19+R18+R17</f>
        <v>8748332.451111421</v>
      </c>
      <c r="S76" s="407">
        <f t="shared" ref="S76" si="204">T76/C76</f>
        <v>7.5723515634349634E-2</v>
      </c>
      <c r="T76" s="405">
        <f>T73+T72+T71+T70+T69+T22+T21+T20+T19+T18+T17</f>
        <v>7764408.9882337721</v>
      </c>
      <c r="U76" s="407">
        <f t="shared" ref="U76" si="205">V76/C76</f>
        <v>8.1100105641342443E-2</v>
      </c>
      <c r="V76" s="405">
        <f>V73+V72+V71+V70+V69+V22+V21+V20+V19+V18+V17</f>
        <v>8315704.6250861911</v>
      </c>
      <c r="W76" s="407">
        <f t="shared" ref="W76" si="206">X76/C76</f>
        <v>9.5034301041066929E-2</v>
      </c>
      <c r="X76" s="405">
        <f>X73+X72+X71+X70+X69+X22+X21+X20+X19+X18+X17</f>
        <v>9744465.4413147103</v>
      </c>
      <c r="Y76" s="407">
        <f t="shared" ref="Y76" si="207">Z76/C76</f>
        <v>7.5618706163122898E-2</v>
      </c>
      <c r="Z76" s="405">
        <f>Z73+Z72+Z71+Z70+Z69+Z22+Z21+Z20+Z19+Z18+Z17</f>
        <v>7753662.21302626</v>
      </c>
      <c r="AA76" s="407">
        <f t="shared" ref="AA76" si="208">AB76/C76</f>
        <v>6.3215459539618699E-2</v>
      </c>
      <c r="AB76" s="405">
        <f>AB73+AB72+AB71+AB70+AB69+AB22+AB21+AB20+AB19+AB18+AB17</f>
        <v>6481879.2172149699</v>
      </c>
      <c r="AC76" s="407">
        <f t="shared" ref="AC76" si="209">AD76/C76</f>
        <v>6.7886544624766287E-2</v>
      </c>
      <c r="AD76" s="405">
        <f>AD73+AD72+AD71+AD70+AD69+AD22+AD21+AD20+AD19+AD18+AD17</f>
        <v>6960834.9909412591</v>
      </c>
      <c r="AE76" s="407">
        <f t="shared" ref="AE76" si="210">AF76/C76</f>
        <v>5.7315918188312713E-2</v>
      </c>
      <c r="AF76" s="405">
        <f>AF73+AF72+AF71+AF70+AF69+AF22+AF21+AF20+AF19+AF18+AF17</f>
        <v>5876962.0853199698</v>
      </c>
      <c r="AG76" s="407">
        <f t="shared" ref="AG76" si="211">AH76/C76</f>
        <v>5.4338270188796577E-2</v>
      </c>
      <c r="AH76" s="405">
        <f>AH73+AH72+AH71+AH70+AH69+AH22+AH21+AH20+AH19+AH18+AH17</f>
        <v>5571645.0817767289</v>
      </c>
      <c r="AI76" s="407">
        <f t="shared" ref="AI76" si="212">AJ76/C76</f>
        <v>6.0768278272321105E-2</v>
      </c>
      <c r="AJ76" s="405">
        <f>AJ73+AJ72+AJ71+AJ70+AJ69+AJ22+AJ21+AJ20+AJ19+AJ18+AJ17</f>
        <v>6230954.3087704983</v>
      </c>
      <c r="AK76" s="407">
        <f t="shared" ref="AK76" si="213">AL76/C76</f>
        <v>3.7221791498058425E-2</v>
      </c>
      <c r="AL76" s="405">
        <f>AL73+AL72+AL71+AL70+AL69+AL22+AL21+AL20+AL19+AL18+AL17</f>
        <v>3816584.7167110387</v>
      </c>
      <c r="AM76" s="407">
        <f t="shared" ref="AM76" si="214">AN76/C76</f>
        <v>1.1421947758095545E-2</v>
      </c>
      <c r="AN76" s="405">
        <f>AN73+AN72+AN71+AN70+AN69+AN22+AN21+AN20+AN19+AN18+AN17</f>
        <v>1171164.2426155999</v>
      </c>
      <c r="AO76" s="407">
        <f t="shared" ref="AO76" si="215">AP76/C76</f>
        <v>1.360526601318309E-2</v>
      </c>
      <c r="AP76" s="405">
        <f>AP73+AP72+AP71+AP70+AP69+AP22+AP21+AP20+AP19+AP18+AP17</f>
        <v>1395033.61452689</v>
      </c>
      <c r="AQ76" s="407">
        <f t="shared" ref="AQ76" si="216">AR76/C76</f>
        <v>1.1376401101938135E-2</v>
      </c>
      <c r="AR76" s="405">
        <f>AR73+AR72+AR71+AR70+AR69+AR22+AR21+AR20+AR19+AR18+AR17</f>
        <v>1166494.0570927798</v>
      </c>
      <c r="AS76" s="407">
        <f t="shared" ref="AS76" si="217">AT76/C76</f>
        <v>4.2261318174432808E-3</v>
      </c>
      <c r="AT76" s="405">
        <f>AT73+AT72+AT71+AT70+AT69+AT22+AT21+AT20+AT19+AT18+AT17</f>
        <v>433331.91273455007</v>
      </c>
      <c r="AU76" s="387"/>
    </row>
    <row r="77" spans="1:47">
      <c r="E77" s="402"/>
      <c r="F77" s="402"/>
      <c r="G77" s="402"/>
      <c r="H77" s="402"/>
      <c r="I77" s="402"/>
      <c r="J77" s="402"/>
      <c r="K77" s="402"/>
      <c r="L77" s="402"/>
      <c r="M77" s="402"/>
      <c r="N77" s="402"/>
      <c r="O77" s="402"/>
      <c r="P77" s="402"/>
      <c r="Q77" s="402"/>
      <c r="R77" s="402"/>
      <c r="S77" s="402"/>
      <c r="T77" s="402"/>
      <c r="U77" s="402"/>
      <c r="V77" s="402"/>
      <c r="W77" s="402"/>
      <c r="X77" s="402"/>
      <c r="Y77" s="402"/>
      <c r="Z77" s="402"/>
      <c r="AA77" s="402"/>
      <c r="AB77" s="402"/>
      <c r="AC77" s="402"/>
      <c r="AD77" s="402"/>
      <c r="AE77" s="402"/>
      <c r="AF77" s="402"/>
      <c r="AG77" s="402"/>
      <c r="AH77" s="402"/>
      <c r="AI77" s="402"/>
      <c r="AJ77" s="402"/>
      <c r="AK77" s="402"/>
      <c r="AL77" s="402"/>
      <c r="AM77" s="402"/>
      <c r="AN77" s="402"/>
      <c r="AO77" s="402"/>
      <c r="AP77" s="402"/>
      <c r="AQ77" s="402"/>
      <c r="AR77" s="402"/>
      <c r="AS77" s="402"/>
    </row>
    <row r="79" spans="1:47">
      <c r="AT79" s="47">
        <f>AT75-'2. PLANILHA SINTÉTICA'!N981</f>
        <v>0</v>
      </c>
    </row>
  </sheetData>
  <autoFilter ref="A1:AT79"/>
  <mergeCells count="29">
    <mergeCell ref="AQ13:AR13"/>
    <mergeCell ref="Y13:Z13"/>
    <mergeCell ref="AA13:AB13"/>
    <mergeCell ref="AC13:AD13"/>
    <mergeCell ref="G13:H13"/>
    <mergeCell ref="I13:J13"/>
    <mergeCell ref="K13:L13"/>
    <mergeCell ref="A8:C8"/>
    <mergeCell ref="S13:T13"/>
    <mergeCell ref="U13:V13"/>
    <mergeCell ref="W13:X13"/>
    <mergeCell ref="E13:F13"/>
    <mergeCell ref="A13:D13"/>
    <mergeCell ref="AS13:AT13"/>
    <mergeCell ref="A3:C3"/>
    <mergeCell ref="A4:C4"/>
    <mergeCell ref="M13:N13"/>
    <mergeCell ref="O13:P13"/>
    <mergeCell ref="Q13:R13"/>
    <mergeCell ref="A10:C11"/>
    <mergeCell ref="AE13:AF13"/>
    <mergeCell ref="AG13:AH13"/>
    <mergeCell ref="AI13:AJ13"/>
    <mergeCell ref="AK13:AL13"/>
    <mergeCell ref="AM13:AN13"/>
    <mergeCell ref="AO13:AP13"/>
    <mergeCell ref="A5:C5"/>
    <mergeCell ref="A6:C6"/>
    <mergeCell ref="A7:C7"/>
  </mergeCells>
  <printOptions horizontalCentered="1"/>
  <pageMargins left="0.19685039370078741" right="0.19685039370078741" top="0.39370078740157483" bottom="0.59055118110236227" header="0.51181102362204722" footer="0.31496062992125984"/>
  <pageSetup paperSize="9" scale="39" fitToWidth="0" orientation="landscape" r:id="rId1"/>
  <headerFooter>
    <oddFooter>&amp;L&amp;9AGÊNCIA DE ASSUNTOS METROPOLITANOS DO PARANÁ - AMEP
DIRETORIA DE OBRAS&amp;C&amp;9ENGª CIBELE CRISTINE MELLO FRANCZAK
DIRETORA DE OBRAS&amp;R&amp;9Página &amp;P de &amp;N</oddFooter>
  </headerFooter>
  <ignoredErrors>
    <ignoredError sqref="E15 E33:AT33 F26:H26 E75:AT75 E67:AF67 AH67 AJ67 AL67 AN67 AP67 AR67:AT67 E24:H25 J24:J26 L24:L26 T24:AT26 E27:L28 P24:P28 R24:R28 T27:T28 V27:V28 X27:AT28 E29:J29 L29 N24:N29 P29:AT29 E30:V30 E31:H31 J31 L31 N31 P31 R31 T31 V31 E32:V32 X30:X32 Z30:AT32 E47:T48 E42:T44 E50:AT50 E49:T49 E45:T46 AS42:AT42 AS44:AT44 AS49:AT49 AS48:AT48 AS46:AT46 E68 G68 E69 G69 E41:AT41 E40:J40 W40:X40 E39:J39 E34:J34 S34 E35:J35 E36:J36 S35 E37:J37 E38:J38 W38:X38 W39:X39 AS43:AT43 AS45:AT45 AS47:AT47 U34 U35 U36 W34:X34 W35:X35 W36:X36 W37:X37 E59:AT66 E51:AF54 AS51:AT54 E56:AF57 AS56:AT57 E58:AF58 AS58:AT58 AK40:AT40 AK38:AT38 AK39:AT39 AK34:AT34 AK35:AT35 AK36:AT36 AK37:AT37 E70 G70 E71 G71 E72 G72 E73 G73 I68 I69 I70 I71 I72 I73 K68 K69 K70 K71 K72 K73 M68 M69 M70 M71 M72 M73 O68 O69 O70 O71 O72 O73 Q68 Q69 Q70 Q71 Q72 Q73 S68 S69 S70 S71 S72 S73 U68 U69 U70 U71 U72 U73 W68 W69 W70 W71 W72 W73 Y68 Y69 Y70 Y71 Y72 Y73 AA68 AA69 AA70 AA71 AA72 AA73 AC68 AC69 AC70 AC71 AC72 AC73 AE68 AE69 AE70 AE71 AE72 AE73 AG68 AG69 AG70 AG71 AG72 AG73 AI68 AI69 AI70 AI71 AI72 AI73 AK68 AK69 AK70 AK71 AK72 AK73 AM68 AM69 AM70 AM71 AM72 AM73 AO68 AO69 AO70 AO71 AO72 AO73 AQ68 AQ69 AQ70 AQ71 AQ72 AQ73 AS68 AS69 AS70 AS71 AS72 AS73 E22:AT23 E21:H21 J21 L21 N21 P21 R21 T21 V21 X21 Z21 AB21:AT21 E20:H20 J20 L20 N20 P20 R20 T20 V20 X20 Z20 AB20 AD20 AF20 AH20 AJ20 AL20 AN20 AP20 AR20:AT20 E18:AT19 F16 H16 J16 L16 N16 P16 R16 T16 V16 X16 Z16 AB16 AD16 AF16 AH16 AJ16 AL16 AN16 AP16 AR16 AT16 G15:AT15 F17 H17 J17 L17 N17 P17 R17 T17 V17 X17 Z17 AB17 AD17 AF17 AH17 AJ17 AL17 AN17 AP17 AR17 AT17"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2:M61"/>
  <sheetViews>
    <sheetView showGridLines="0" zoomScaleNormal="100" zoomScaleSheetLayoutView="25" workbookViewId="0">
      <selection activeCell="B22" sqref="B22"/>
    </sheetView>
  </sheetViews>
  <sheetFormatPr defaultRowHeight="15.75"/>
  <cols>
    <col min="1" max="1" width="18.28515625" style="6" customWidth="1"/>
    <col min="2" max="2" width="38.42578125" style="6" bestFit="1" customWidth="1"/>
    <col min="3" max="3" width="15.85546875" style="125" customWidth="1"/>
    <col min="4" max="4" width="14.28515625" style="125" customWidth="1"/>
    <col min="5" max="5" width="15.42578125" style="6" bestFit="1" customWidth="1"/>
    <col min="6" max="6" width="49.85546875" style="46" customWidth="1"/>
    <col min="7" max="7" width="13.85546875" style="47" customWidth="1"/>
    <col min="8" max="8" width="17.28515625" style="47" customWidth="1"/>
    <col min="9" max="9" width="14.5703125" style="47" bestFit="1" customWidth="1"/>
    <col min="10" max="10" width="16.7109375" style="47" customWidth="1"/>
    <col min="11" max="11" width="3.5703125" style="47" customWidth="1"/>
    <col min="12" max="13" width="16.7109375" style="47" customWidth="1"/>
    <col min="14" max="16384" width="9.140625" style="6"/>
  </cols>
  <sheetData>
    <row r="2" spans="1:13">
      <c r="A2" s="495" t="s">
        <v>167</v>
      </c>
      <c r="B2" s="495"/>
      <c r="C2" s="495"/>
      <c r="D2" s="495"/>
      <c r="E2" s="495"/>
      <c r="F2" s="495"/>
      <c r="G2" s="495"/>
      <c r="H2" s="495"/>
      <c r="I2" s="495"/>
      <c r="J2" s="495"/>
      <c r="K2" s="399"/>
      <c r="L2" s="6"/>
      <c r="M2" s="6"/>
    </row>
    <row r="3" spans="1:13">
      <c r="A3" s="541" t="s">
        <v>165</v>
      </c>
      <c r="B3" s="541"/>
      <c r="C3" s="541"/>
      <c r="D3" s="541"/>
      <c r="E3" s="541"/>
      <c r="F3" s="541"/>
      <c r="G3" s="541"/>
      <c r="H3" s="541"/>
      <c r="I3" s="541"/>
      <c r="J3" s="541"/>
      <c r="K3" s="128"/>
      <c r="L3" s="6"/>
      <c r="M3" s="6"/>
    </row>
    <row r="4" spans="1:13">
      <c r="A4" s="2"/>
      <c r="B4" s="1"/>
      <c r="C4" s="3"/>
      <c r="D4" s="3"/>
      <c r="E4" s="4"/>
      <c r="F4" s="42"/>
      <c r="G4" s="18"/>
      <c r="H4" s="18"/>
      <c r="I4" s="17"/>
      <c r="J4" s="17"/>
      <c r="K4" s="17"/>
      <c r="L4" s="17"/>
      <c r="M4" s="17"/>
    </row>
    <row r="5" spans="1:13">
      <c r="A5" s="2" t="s">
        <v>25931</v>
      </c>
      <c r="B5" s="5"/>
      <c r="C5" s="4"/>
      <c r="D5" s="4"/>
      <c r="E5" s="4"/>
      <c r="F5" s="42"/>
      <c r="G5" s="18"/>
      <c r="H5" s="18"/>
      <c r="I5" s="19"/>
      <c r="J5" s="19"/>
      <c r="K5" s="19"/>
      <c r="L5" s="19"/>
      <c r="M5" s="19"/>
    </row>
    <row r="6" spans="1:13">
      <c r="A6" s="2"/>
      <c r="B6" s="5"/>
      <c r="C6" s="4"/>
      <c r="D6" s="4"/>
      <c r="E6" s="4"/>
      <c r="F6" s="42"/>
      <c r="G6" s="18"/>
      <c r="H6" s="18"/>
      <c r="I6" s="19"/>
      <c r="J6" s="19"/>
      <c r="K6" s="19"/>
      <c r="L6" s="19"/>
      <c r="M6" s="19"/>
    </row>
    <row r="7" spans="1:13">
      <c r="A7" s="2"/>
      <c r="B7" s="5"/>
      <c r="C7" s="4"/>
      <c r="D7" s="4"/>
      <c r="E7" s="4"/>
      <c r="F7" s="42"/>
      <c r="G7" s="18"/>
      <c r="H7" s="18"/>
      <c r="I7" s="19"/>
      <c r="J7" s="19"/>
      <c r="K7" s="19"/>
      <c r="L7" s="19"/>
      <c r="M7" s="19"/>
    </row>
    <row r="8" spans="1:13">
      <c r="A8" s="2"/>
      <c r="B8" s="128"/>
      <c r="C8" s="4"/>
      <c r="D8" s="4"/>
      <c r="E8" s="4"/>
      <c r="F8" s="42"/>
      <c r="G8" s="18"/>
      <c r="H8" s="18"/>
      <c r="I8" s="19"/>
      <c r="J8" s="19"/>
      <c r="K8" s="19"/>
      <c r="L8" s="19"/>
      <c r="M8" s="19"/>
    </row>
    <row r="9" spans="1:13">
      <c r="A9" s="504" t="s">
        <v>22713</v>
      </c>
      <c r="B9" s="504"/>
      <c r="C9" s="504"/>
      <c r="D9" s="504"/>
      <c r="E9" s="504"/>
      <c r="F9" s="504"/>
      <c r="G9" s="504"/>
      <c r="H9" s="504"/>
      <c r="I9" s="504"/>
      <c r="J9" s="504"/>
      <c r="K9" s="19"/>
      <c r="L9" s="506"/>
      <c r="M9" s="508"/>
    </row>
    <row r="10" spans="1:13" ht="31.5">
      <c r="A10" s="126" t="s">
        <v>363</v>
      </c>
      <c r="B10" s="126" t="s">
        <v>364</v>
      </c>
      <c r="C10" s="126" t="s">
        <v>365</v>
      </c>
      <c r="D10" s="126" t="s">
        <v>155</v>
      </c>
      <c r="E10" s="126" t="s">
        <v>366</v>
      </c>
      <c r="F10" s="126" t="s">
        <v>367</v>
      </c>
      <c r="G10" s="114" t="s">
        <v>158</v>
      </c>
      <c r="H10" s="114" t="s">
        <v>368</v>
      </c>
      <c r="I10" s="114" t="s">
        <v>159</v>
      </c>
      <c r="J10" s="114" t="s">
        <v>369</v>
      </c>
      <c r="K10" s="19"/>
      <c r="L10" s="114" t="s">
        <v>25918</v>
      </c>
      <c r="M10" s="114" t="s">
        <v>25919</v>
      </c>
    </row>
    <row r="11" spans="1:13">
      <c r="A11" s="149" t="s">
        <v>351</v>
      </c>
      <c r="B11" s="150" t="s">
        <v>9010</v>
      </c>
      <c r="C11" s="151"/>
      <c r="D11" s="151"/>
      <c r="E11" s="152"/>
      <c r="F11" s="153" t="s">
        <v>195</v>
      </c>
      <c r="G11" s="154"/>
      <c r="H11" s="154"/>
      <c r="I11" s="154"/>
      <c r="J11" s="154">
        <f>SUM(J12:J17)</f>
        <v>1919974.5599999996</v>
      </c>
      <c r="K11" s="19"/>
      <c r="L11" s="154">
        <f>SUM(L12:L17)</f>
        <v>1887054.54</v>
      </c>
      <c r="M11" s="154">
        <f>SUM(M12:M17)</f>
        <v>32920.019999999793</v>
      </c>
    </row>
    <row r="12" spans="1:13" ht="31.5">
      <c r="A12" s="9"/>
      <c r="B12" s="44"/>
      <c r="C12" s="124" t="s">
        <v>9007</v>
      </c>
      <c r="D12" s="124" t="s">
        <v>9008</v>
      </c>
      <c r="E12" s="12">
        <v>93567</v>
      </c>
      <c r="F12" s="43" t="str">
        <f>VLOOKUP(E12,'21. CUSTOS SINAPI - SERVIÇOS'!A:B,2,0)</f>
        <v>ENGENHEIRO CIVIL DE OBRA PLENO COM ENCARGOS COMPLEMENTARES</v>
      </c>
      <c r="G12" s="13" t="str">
        <f>VLOOKUP(E12,'21. CUSTOS SINAPI - SERVIÇOS'!A:C,3,0)</f>
        <v>MES</v>
      </c>
      <c r="H12" s="11">
        <v>21</v>
      </c>
      <c r="I12" s="24">
        <f>VLOOKUP(E12,'21. CUSTOS SINAPI - SERVIÇOS'!A:D,4,0)</f>
        <v>22372.12</v>
      </c>
      <c r="J12" s="24">
        <f t="shared" ref="J12:J17" si="0">I12*H12</f>
        <v>469814.51999999996</v>
      </c>
      <c r="K12" s="19"/>
      <c r="L12" s="24">
        <f>22007.58*H12</f>
        <v>462159.18000000005</v>
      </c>
      <c r="M12" s="24">
        <f>J12-L12</f>
        <v>7655.3399999999092</v>
      </c>
    </row>
    <row r="13" spans="1:13" ht="31.5">
      <c r="A13" s="9"/>
      <c r="B13" s="44"/>
      <c r="C13" s="124" t="s">
        <v>9007</v>
      </c>
      <c r="D13" s="124" t="s">
        <v>9008</v>
      </c>
      <c r="E13" s="12">
        <v>93565</v>
      </c>
      <c r="F13" s="43" t="str">
        <f>VLOOKUP(E13,'21. CUSTOS SINAPI - SERVIÇOS'!A:B,2,0)</f>
        <v>ENGENHEIRO CIVIL DE OBRA JUNIOR COM ENCARGOS COMPLEMENTARES</v>
      </c>
      <c r="G13" s="13" t="str">
        <f>VLOOKUP(E13,'21. CUSTOS SINAPI - SERVIÇOS'!A:C,3,0)</f>
        <v>MES</v>
      </c>
      <c r="H13" s="11">
        <v>21</v>
      </c>
      <c r="I13" s="24">
        <f>VLOOKUP(E13,'21. CUSTOS SINAPI - SERVIÇOS'!A:D,4,0)</f>
        <v>19699.849999999999</v>
      </c>
      <c r="J13" s="24">
        <f t="shared" si="0"/>
        <v>413696.85</v>
      </c>
      <c r="K13" s="19"/>
      <c r="L13" s="24">
        <f>19335.41*H13</f>
        <v>406043.61</v>
      </c>
      <c r="M13" s="24">
        <f t="shared" ref="M13:M17" si="1">J13-L13</f>
        <v>7653.2399999999907</v>
      </c>
    </row>
    <row r="14" spans="1:13" ht="31.5">
      <c r="A14" s="9"/>
      <c r="B14" s="44"/>
      <c r="C14" s="124" t="s">
        <v>9007</v>
      </c>
      <c r="D14" s="124" t="s">
        <v>9008</v>
      </c>
      <c r="E14" s="12">
        <v>93565</v>
      </c>
      <c r="F14" s="43" t="s">
        <v>22908</v>
      </c>
      <c r="G14" s="13" t="str">
        <f>VLOOKUP(E14,'21. CUSTOS SINAPI - SERVIÇOS'!A:C,3,0)</f>
        <v>MES</v>
      </c>
      <c r="H14" s="11">
        <v>21</v>
      </c>
      <c r="I14" s="24">
        <f>VLOOKUP(E14,'21. CUSTOS SINAPI - SERVIÇOS'!A:D,4,0)</f>
        <v>19699.849999999999</v>
      </c>
      <c r="J14" s="24">
        <f t="shared" si="0"/>
        <v>413696.85</v>
      </c>
      <c r="K14" s="19"/>
      <c r="L14" s="24">
        <f>19335.41*H14</f>
        <v>406043.61</v>
      </c>
      <c r="M14" s="24">
        <f t="shared" si="1"/>
        <v>7653.2399999999907</v>
      </c>
    </row>
    <row r="15" spans="1:13" ht="31.5">
      <c r="A15" s="9"/>
      <c r="B15" s="44"/>
      <c r="C15" s="124" t="s">
        <v>9007</v>
      </c>
      <c r="D15" s="124" t="s">
        <v>9008</v>
      </c>
      <c r="E15" s="12">
        <v>93567</v>
      </c>
      <c r="F15" s="43" t="s">
        <v>9017</v>
      </c>
      <c r="G15" s="13" t="str">
        <f>VLOOKUP(E15,'21. CUSTOS SINAPI - SERVIÇOS'!A:C,3,0)</f>
        <v>MES</v>
      </c>
      <c r="H15" s="11">
        <v>21</v>
      </c>
      <c r="I15" s="24">
        <f>VLOOKUP(E15,'21. CUSTOS SINAPI - SERVIÇOS'!A:D,4,0)</f>
        <v>22372.12</v>
      </c>
      <c r="J15" s="24">
        <f t="shared" si="0"/>
        <v>469814.51999999996</v>
      </c>
      <c r="K15" s="19"/>
      <c r="L15" s="24">
        <f>22007.58*H15</f>
        <v>462159.18000000005</v>
      </c>
      <c r="M15" s="24">
        <f t="shared" si="1"/>
        <v>7655.3399999999092</v>
      </c>
    </row>
    <row r="16" spans="1:13" ht="31.5">
      <c r="A16" s="9"/>
      <c r="B16" s="44"/>
      <c r="C16" s="124" t="s">
        <v>9007</v>
      </c>
      <c r="D16" s="124" t="s">
        <v>9008</v>
      </c>
      <c r="E16" s="12">
        <v>91677</v>
      </c>
      <c r="F16" s="43" t="str">
        <f>VLOOKUP(E16,'21. CUSTOS SINAPI - SERVIÇOS'!A:B,2,0)</f>
        <v>ENGENHEIRO ELETRICISTA COM ENCARGOS COMPLEMENTARES</v>
      </c>
      <c r="G16" s="13" t="str">
        <f>VLOOKUP(E16,'21. CUSTOS SINAPI - SERVIÇOS'!A:C,3,0)</f>
        <v>H</v>
      </c>
      <c r="H16" s="11">
        <f>11*21*2</f>
        <v>462</v>
      </c>
      <c r="I16" s="24">
        <f>VLOOKUP(E16,'21. CUSTOS SINAPI - SERVIÇOS'!A:D,4,0)</f>
        <v>113.39</v>
      </c>
      <c r="J16" s="24">
        <f t="shared" si="0"/>
        <v>52386.18</v>
      </c>
      <c r="K16" s="19"/>
      <c r="L16" s="24">
        <f>112.09*H16</f>
        <v>51785.58</v>
      </c>
      <c r="M16" s="24">
        <f t="shared" si="1"/>
        <v>600.59999999999854</v>
      </c>
    </row>
    <row r="17" spans="1:13" ht="31.5">
      <c r="A17" s="9"/>
      <c r="B17" s="44"/>
      <c r="C17" s="124" t="s">
        <v>9007</v>
      </c>
      <c r="D17" s="124" t="s">
        <v>9008</v>
      </c>
      <c r="E17" s="12">
        <v>100305</v>
      </c>
      <c r="F17" s="43" t="s">
        <v>9009</v>
      </c>
      <c r="G17" s="13" t="str">
        <f>VLOOKUP(E17,'21. CUSTOS SINAPI - SERVIÇOS'!A:C,3,0)</f>
        <v>H</v>
      </c>
      <c r="H17" s="11">
        <f>21*2*21</f>
        <v>882</v>
      </c>
      <c r="I17" s="24">
        <f>VLOOKUP(E17,'21. CUSTOS SINAPI - SERVIÇOS'!A:D,4,0)</f>
        <v>114.02</v>
      </c>
      <c r="J17" s="24">
        <f t="shared" si="0"/>
        <v>100565.64</v>
      </c>
      <c r="K17" s="19"/>
      <c r="L17" s="24">
        <f>112.09*H17</f>
        <v>98863.38</v>
      </c>
      <c r="M17" s="24">
        <f t="shared" si="1"/>
        <v>1702.2599999999948</v>
      </c>
    </row>
    <row r="18" spans="1:13" ht="31.5">
      <c r="A18" s="126" t="s">
        <v>363</v>
      </c>
      <c r="B18" s="126" t="s">
        <v>364</v>
      </c>
      <c r="C18" s="126" t="s">
        <v>365</v>
      </c>
      <c r="D18" s="126" t="s">
        <v>155</v>
      </c>
      <c r="E18" s="126" t="s">
        <v>366</v>
      </c>
      <c r="F18" s="126" t="s">
        <v>367</v>
      </c>
      <c r="G18" s="114" t="s">
        <v>158</v>
      </c>
      <c r="H18" s="114" t="s">
        <v>368</v>
      </c>
      <c r="I18" s="114" t="s">
        <v>159</v>
      </c>
      <c r="J18" s="114" t="s">
        <v>369</v>
      </c>
      <c r="K18" s="19"/>
      <c r="L18" s="114" t="s">
        <v>25918</v>
      </c>
      <c r="M18" s="114" t="s">
        <v>25919</v>
      </c>
    </row>
    <row r="19" spans="1:13">
      <c r="A19" s="149" t="s">
        <v>352</v>
      </c>
      <c r="B19" s="150" t="s">
        <v>9011</v>
      </c>
      <c r="C19" s="151"/>
      <c r="D19" s="151"/>
      <c r="E19" s="152"/>
      <c r="F19" s="153" t="s">
        <v>195</v>
      </c>
      <c r="G19" s="154"/>
      <c r="H19" s="154"/>
      <c r="I19" s="154"/>
      <c r="J19" s="154">
        <f>SUM(J20:J25)</f>
        <v>567093.38</v>
      </c>
      <c r="K19" s="19"/>
      <c r="L19" s="154">
        <f>SUM(L20:L25)</f>
        <v>487189.44999999995</v>
      </c>
      <c r="M19" s="154">
        <f>SUM(M20:M25)</f>
        <v>79903.930000000008</v>
      </c>
    </row>
    <row r="20" spans="1:13" ht="31.5">
      <c r="A20" s="9"/>
      <c r="B20" s="44"/>
      <c r="C20" s="124" t="s">
        <v>9007</v>
      </c>
      <c r="D20" s="124" t="s">
        <v>9008</v>
      </c>
      <c r="E20" s="12">
        <v>101390</v>
      </c>
      <c r="F20" s="43" t="str">
        <f>VLOOKUP(E20,'21. CUSTOS SINAPI - SERVIÇOS'!A:B,2,0)</f>
        <v>AUXILIAR TÉCNICO / ASSISTENTE DE ENGENHARIA COM ENCARGOS COMPLEMENTARES</v>
      </c>
      <c r="G20" s="13" t="str">
        <f>VLOOKUP(E20,'21. CUSTOS SINAPI - SERVIÇOS'!A:C,3,0)</f>
        <v>MES</v>
      </c>
      <c r="H20" s="11">
        <v>19</v>
      </c>
      <c r="I20" s="24">
        <f>VLOOKUP(E20,'21. CUSTOS SINAPI - SERVIÇOS'!A:D,4,0)</f>
        <v>7036.5</v>
      </c>
      <c r="J20" s="24">
        <f>I20*H20</f>
        <v>133693.5</v>
      </c>
      <c r="K20" s="19"/>
      <c r="L20" s="24">
        <f>6672.06*H20</f>
        <v>126769.14000000001</v>
      </c>
      <c r="M20" s="24">
        <f t="shared" ref="M20:M25" si="2">J20-L20</f>
        <v>6924.359999999986</v>
      </c>
    </row>
    <row r="21" spans="1:13" ht="31.5">
      <c r="A21" s="9"/>
      <c r="B21" s="44"/>
      <c r="C21" s="124" t="s">
        <v>9007</v>
      </c>
      <c r="D21" s="124" t="s">
        <v>9008</v>
      </c>
      <c r="E21" s="12">
        <v>93561</v>
      </c>
      <c r="F21" s="43" t="str">
        <f>VLOOKUP(E21,'21. CUSTOS SINAPI - SERVIÇOS'!A:B,2,0)</f>
        <v>DESENHISTA PROJETISTA COM ENCARGOS COMPLEMENTARES</v>
      </c>
      <c r="G21" s="13" t="str">
        <f>VLOOKUP(E21,'21. CUSTOS SINAPI - SERVIÇOS'!A:C,3,0)</f>
        <v>MES</v>
      </c>
      <c r="H21" s="11">
        <v>19</v>
      </c>
      <c r="I21" s="24">
        <f>VLOOKUP(E21,'21. CUSTOS SINAPI - SERVIÇOS'!A:D,4,0)</f>
        <v>3850.82</v>
      </c>
      <c r="J21" s="24">
        <f t="shared" ref="J21:J24" si="3">I21*H21</f>
        <v>73165.58</v>
      </c>
      <c r="K21" s="19"/>
      <c r="L21" s="24">
        <f>3480.49*H21</f>
        <v>66129.31</v>
      </c>
      <c r="M21" s="24">
        <f t="shared" si="2"/>
        <v>7036.2700000000041</v>
      </c>
    </row>
    <row r="22" spans="1:13">
      <c r="A22" s="9"/>
      <c r="B22" s="44"/>
      <c r="C22" s="124" t="s">
        <v>9007</v>
      </c>
      <c r="D22" s="124" t="s">
        <v>9008</v>
      </c>
      <c r="E22" s="12">
        <v>93563</v>
      </c>
      <c r="F22" s="43" t="str">
        <f>VLOOKUP(E22,'21. CUSTOS SINAPI - SERVIÇOS'!A:B,2,0)</f>
        <v>ALMOXARIFE COM ENCARGOS COMPLEMENTARES</v>
      </c>
      <c r="G22" s="13" t="str">
        <f>VLOOKUP(E22,'21. CUSTOS SINAPI - SERVIÇOS'!A:C,3,0)</f>
        <v>MES</v>
      </c>
      <c r="H22" s="11">
        <v>19</v>
      </c>
      <c r="I22" s="24">
        <f>VLOOKUP(E22,'21. CUSTOS SINAPI - SERVIÇOS'!A:D,4,0)</f>
        <v>4624.97</v>
      </c>
      <c r="J22" s="24">
        <f t="shared" ref="J22" si="4">I22*H22</f>
        <v>87874.430000000008</v>
      </c>
      <c r="K22" s="19"/>
      <c r="L22" s="24">
        <f>4245.23*H22</f>
        <v>80659.37</v>
      </c>
      <c r="M22" s="24">
        <f t="shared" si="2"/>
        <v>7215.0600000000122</v>
      </c>
    </row>
    <row r="23" spans="1:13" ht="31.5">
      <c r="A23" s="9"/>
      <c r="B23" s="44"/>
      <c r="C23" s="124" t="s">
        <v>9007</v>
      </c>
      <c r="D23" s="124" t="s">
        <v>9008</v>
      </c>
      <c r="E23" s="12">
        <v>100316</v>
      </c>
      <c r="F23" s="43" t="str">
        <f>VLOOKUP(E23,'21. CUSTOS SINAPI - SERVIÇOS'!A:B,2,0)</f>
        <v>AUXILIAR DE ALMOXARIFE COM ENCARGOS COMPLEMENTARES</v>
      </c>
      <c r="G23" s="13" t="str">
        <f>VLOOKUP(E23,'21. CUSTOS SINAPI - SERVIÇOS'!A:C,3,0)</f>
        <v>MES</v>
      </c>
      <c r="H23" s="11">
        <v>19</v>
      </c>
      <c r="I23" s="24">
        <f>VLOOKUP(E23,'21. CUSTOS SINAPI - SERVIÇOS'!A:D,4,0)</f>
        <v>3629.86</v>
      </c>
      <c r="J23" s="24">
        <f t="shared" si="3"/>
        <v>68967.34</v>
      </c>
      <c r="K23" s="19"/>
      <c r="L23" s="24">
        <f>3250.12*H23</f>
        <v>61752.28</v>
      </c>
      <c r="M23" s="24">
        <f t="shared" si="2"/>
        <v>7215.0599999999977</v>
      </c>
    </row>
    <row r="24" spans="1:13" ht="31.5">
      <c r="A24" s="9"/>
      <c r="B24" s="44"/>
      <c r="C24" s="124" t="s">
        <v>9007</v>
      </c>
      <c r="D24" s="124" t="s">
        <v>9008</v>
      </c>
      <c r="E24" s="12">
        <v>101415</v>
      </c>
      <c r="F24" s="43" t="str">
        <f>VLOOKUP(E24,'21. CUSTOS SINAPI - SERVIÇOS'!A:B,2,0)</f>
        <v>MECÂNICO DE EQUIPAMENTOS PESADOS COM ENCARGOS COMPLEMENTARES</v>
      </c>
      <c r="G24" s="13" t="str">
        <f>VLOOKUP(E24,'21. CUSTOS SINAPI - SERVIÇOS'!A:C,3,0)</f>
        <v>MES</v>
      </c>
      <c r="H24" s="11">
        <v>19</v>
      </c>
      <c r="I24" s="24">
        <f>VLOOKUP(E24,'21. CUSTOS SINAPI - SERVIÇOS'!A:D,4,0)</f>
        <v>6217.47</v>
      </c>
      <c r="J24" s="24">
        <f t="shared" si="3"/>
        <v>118131.93000000001</v>
      </c>
      <c r="K24" s="19"/>
      <c r="L24" s="24">
        <f>4957.66*H24</f>
        <v>94195.54</v>
      </c>
      <c r="M24" s="24">
        <f t="shared" si="2"/>
        <v>23936.390000000014</v>
      </c>
    </row>
    <row r="25" spans="1:13" ht="31.5">
      <c r="A25" s="9"/>
      <c r="B25" s="44"/>
      <c r="C25" s="124" t="s">
        <v>9007</v>
      </c>
      <c r="D25" s="124" t="s">
        <v>9008</v>
      </c>
      <c r="E25" s="12">
        <v>101452</v>
      </c>
      <c r="F25" s="43" t="str">
        <f>VLOOKUP(E25,'21. CUSTOS SINAPI - SERVIÇOS'!A:B,2,0)</f>
        <v>SERVENTE DE OBRAS COM ENCARGOS COMPLEMENTARES</v>
      </c>
      <c r="G25" s="13" t="str">
        <f>VLOOKUP(E25,'21. CUSTOS SINAPI - SERVIÇOS'!A:C,3,0)</f>
        <v>MES</v>
      </c>
      <c r="H25" s="11">
        <v>19</v>
      </c>
      <c r="I25" s="24">
        <f>VLOOKUP(E25,'21. CUSTOS SINAPI - SERVIÇOS'!A:D,4,0)</f>
        <v>4487.3999999999996</v>
      </c>
      <c r="J25" s="24">
        <f t="shared" ref="J25" si="5">I25*H25</f>
        <v>85260.599999999991</v>
      </c>
      <c r="K25" s="19"/>
      <c r="L25" s="24">
        <f>3035.99*H25</f>
        <v>57683.81</v>
      </c>
      <c r="M25" s="24">
        <f t="shared" si="2"/>
        <v>27576.789999999994</v>
      </c>
    </row>
    <row r="26" spans="1:13" ht="31.5">
      <c r="A26" s="126" t="s">
        <v>363</v>
      </c>
      <c r="B26" s="126" t="s">
        <v>364</v>
      </c>
      <c r="C26" s="126" t="s">
        <v>365</v>
      </c>
      <c r="D26" s="126" t="s">
        <v>155</v>
      </c>
      <c r="E26" s="126" t="s">
        <v>366</v>
      </c>
      <c r="F26" s="126" t="s">
        <v>367</v>
      </c>
      <c r="G26" s="114" t="s">
        <v>158</v>
      </c>
      <c r="H26" s="114" t="s">
        <v>368</v>
      </c>
      <c r="I26" s="114" t="s">
        <v>159</v>
      </c>
      <c r="J26" s="114" t="s">
        <v>369</v>
      </c>
      <c r="K26" s="19"/>
      <c r="L26" s="114" t="s">
        <v>25918</v>
      </c>
      <c r="M26" s="114" t="s">
        <v>25919</v>
      </c>
    </row>
    <row r="27" spans="1:13">
      <c r="A27" s="149" t="s">
        <v>353</v>
      </c>
      <c r="B27" s="150" t="s">
        <v>350</v>
      </c>
      <c r="C27" s="151"/>
      <c r="D27" s="151"/>
      <c r="E27" s="155"/>
      <c r="F27" s="155"/>
      <c r="G27" s="155"/>
      <c r="H27" s="155"/>
      <c r="I27" s="155"/>
      <c r="J27" s="152">
        <f>SUM(J28:J29)</f>
        <v>158801.16</v>
      </c>
      <c r="K27" s="19"/>
      <c r="L27" s="152">
        <f>SUM(L28:L29)</f>
        <v>142852.07999999999</v>
      </c>
      <c r="M27" s="152">
        <f>SUM(M28:M29)</f>
        <v>15949.080000000016</v>
      </c>
    </row>
    <row r="28" spans="1:13" ht="31.5">
      <c r="A28" s="9"/>
      <c r="B28" s="44"/>
      <c r="C28" s="124" t="s">
        <v>9007</v>
      </c>
      <c r="D28" s="124" t="s">
        <v>9008</v>
      </c>
      <c r="E28" s="12">
        <v>93566</v>
      </c>
      <c r="F28" s="43" t="str">
        <f>VLOOKUP(E28,'21. CUSTOS SINAPI - SERVIÇOS'!A:B,2,0)</f>
        <v>AUXILIAR DE ESCRITORIO COM ENCARGOS COMPLEMENTARES</v>
      </c>
      <c r="G28" s="13" t="str">
        <f>VLOOKUP(E28,'21. CUSTOS SINAPI - SERVIÇOS'!A:C,3,0)</f>
        <v>MES</v>
      </c>
      <c r="H28" s="11">
        <v>21</v>
      </c>
      <c r="I28" s="24">
        <f>VLOOKUP(E28,'21. CUSTOS SINAPI - SERVIÇOS'!A:D,4,0)</f>
        <v>3780.98</v>
      </c>
      <c r="J28" s="24">
        <f t="shared" ref="J28" si="6">I28*H28</f>
        <v>79400.58</v>
      </c>
      <c r="K28" s="19"/>
      <c r="L28" s="24">
        <f>3401.24*H28</f>
        <v>71426.039999999994</v>
      </c>
      <c r="M28" s="24">
        <f t="shared" ref="M28:M29" si="7">J28-L28</f>
        <v>7974.5400000000081</v>
      </c>
    </row>
    <row r="29" spans="1:13" ht="31.5">
      <c r="A29" s="9"/>
      <c r="B29" s="44"/>
      <c r="C29" s="124" t="s">
        <v>9007</v>
      </c>
      <c r="D29" s="124" t="s">
        <v>9008</v>
      </c>
      <c r="E29" s="12">
        <v>93566</v>
      </c>
      <c r="F29" s="43" t="str">
        <f>VLOOKUP(E29,'21. CUSTOS SINAPI - SERVIÇOS'!A:B,2,0)</f>
        <v>AUXILIAR DE ESCRITORIO COM ENCARGOS COMPLEMENTARES</v>
      </c>
      <c r="G29" s="13" t="str">
        <f>VLOOKUP(E29,'21. CUSTOS SINAPI - SERVIÇOS'!A:C,3,0)</f>
        <v>MES</v>
      </c>
      <c r="H29" s="11">
        <v>21</v>
      </c>
      <c r="I29" s="24">
        <f>VLOOKUP(E29,'21. CUSTOS SINAPI - SERVIÇOS'!A:D,4,0)</f>
        <v>3780.98</v>
      </c>
      <c r="J29" s="24">
        <f t="shared" ref="J29" si="8">I29*H29</f>
        <v>79400.58</v>
      </c>
      <c r="K29" s="19"/>
      <c r="L29" s="24">
        <f>3401.24*H29</f>
        <v>71426.039999999994</v>
      </c>
      <c r="M29" s="24">
        <f t="shared" si="7"/>
        <v>7974.5400000000081</v>
      </c>
    </row>
    <row r="30" spans="1:13" ht="31.5">
      <c r="A30" s="126" t="s">
        <v>363</v>
      </c>
      <c r="B30" s="126" t="s">
        <v>364</v>
      </c>
      <c r="C30" s="126" t="s">
        <v>365</v>
      </c>
      <c r="D30" s="126" t="s">
        <v>155</v>
      </c>
      <c r="E30" s="126" t="s">
        <v>366</v>
      </c>
      <c r="F30" s="126" t="s">
        <v>367</v>
      </c>
      <c r="G30" s="114" t="s">
        <v>158</v>
      </c>
      <c r="H30" s="114" t="s">
        <v>368</v>
      </c>
      <c r="I30" s="114" t="s">
        <v>159</v>
      </c>
      <c r="J30" s="114" t="s">
        <v>369</v>
      </c>
      <c r="K30" s="19"/>
      <c r="L30" s="114" t="s">
        <v>25918</v>
      </c>
      <c r="M30" s="114" t="s">
        <v>25919</v>
      </c>
    </row>
    <row r="31" spans="1:13">
      <c r="A31" s="149" t="s">
        <v>354</v>
      </c>
      <c r="B31" s="150" t="s">
        <v>198</v>
      </c>
      <c r="C31" s="151"/>
      <c r="D31" s="151"/>
      <c r="E31" s="155"/>
      <c r="F31" s="155"/>
      <c r="G31" s="155"/>
      <c r="H31" s="155"/>
      <c r="I31" s="152"/>
      <c r="J31" s="152">
        <f>SUM(J32:J33)</f>
        <v>256451.58</v>
      </c>
      <c r="K31" s="19"/>
      <c r="L31" s="152">
        <f>SUM(L32:L33)</f>
        <v>240502.5</v>
      </c>
      <c r="M31" s="152">
        <f>SUM(M32:M33)</f>
        <v>15949.079999999987</v>
      </c>
    </row>
    <row r="32" spans="1:13" ht="31.5">
      <c r="A32" s="9"/>
      <c r="B32" s="44"/>
      <c r="C32" s="124" t="s">
        <v>9007</v>
      </c>
      <c r="D32" s="124" t="s">
        <v>9008</v>
      </c>
      <c r="E32" s="12">
        <v>100321</v>
      </c>
      <c r="F32" s="43" t="str">
        <f>VLOOKUP(E32,'21. CUSTOS SINAPI - SERVIÇOS'!A:B,2,0)</f>
        <v>TÉCNICO EM SEGURANÇA DO TRABALHO COM ENCARGOS COMPLEMENTARES</v>
      </c>
      <c r="G32" s="13" t="str">
        <f>VLOOKUP(E32,'21. CUSTOS SINAPI - SERVIÇOS'!A:C,3,0)</f>
        <v>MES</v>
      </c>
      <c r="H32" s="11">
        <v>21</v>
      </c>
      <c r="I32" s="24">
        <f>VLOOKUP(E32,'21. CUSTOS SINAPI - SERVIÇOS'!A:D,4,0)</f>
        <v>6105.99</v>
      </c>
      <c r="J32" s="24">
        <f t="shared" ref="J32" si="9">I32*H32</f>
        <v>128225.79</v>
      </c>
      <c r="K32" s="19"/>
      <c r="L32" s="24">
        <f>5726.25*H32</f>
        <v>120251.25</v>
      </c>
      <c r="M32" s="24">
        <f>J32-L32</f>
        <v>7974.5399999999936</v>
      </c>
    </row>
    <row r="33" spans="1:13" ht="31.5">
      <c r="A33" s="9"/>
      <c r="B33" s="44"/>
      <c r="C33" s="124" t="s">
        <v>9007</v>
      </c>
      <c r="D33" s="124" t="s">
        <v>9008</v>
      </c>
      <c r="E33" s="12">
        <v>100321</v>
      </c>
      <c r="F33" s="43" t="str">
        <f>VLOOKUP(E33,'21. CUSTOS SINAPI - SERVIÇOS'!A:B,2,0)</f>
        <v>TÉCNICO EM SEGURANÇA DO TRABALHO COM ENCARGOS COMPLEMENTARES</v>
      </c>
      <c r="G33" s="13" t="str">
        <f>VLOOKUP(E33,'21. CUSTOS SINAPI - SERVIÇOS'!A:C,3,0)</f>
        <v>MES</v>
      </c>
      <c r="H33" s="11">
        <v>21</v>
      </c>
      <c r="I33" s="24">
        <f>VLOOKUP(E33,'21. CUSTOS SINAPI - SERVIÇOS'!A:D,4,0)</f>
        <v>6105.99</v>
      </c>
      <c r="J33" s="24">
        <f t="shared" ref="J33" si="10">I33*H33</f>
        <v>128225.79</v>
      </c>
      <c r="K33" s="19"/>
      <c r="L33" s="24">
        <f>5726.25*H33</f>
        <v>120251.25</v>
      </c>
      <c r="M33" s="24">
        <f>J33-L33</f>
        <v>7974.5399999999936</v>
      </c>
    </row>
    <row r="34" spans="1:13" ht="31.5">
      <c r="A34" s="126" t="s">
        <v>363</v>
      </c>
      <c r="B34" s="126" t="s">
        <v>364</v>
      </c>
      <c r="C34" s="126" t="s">
        <v>365</v>
      </c>
      <c r="D34" s="126" t="s">
        <v>155</v>
      </c>
      <c r="E34" s="126" t="s">
        <v>366</v>
      </c>
      <c r="F34" s="126" t="s">
        <v>367</v>
      </c>
      <c r="G34" s="114" t="s">
        <v>158</v>
      </c>
      <c r="H34" s="114" t="s">
        <v>368</v>
      </c>
      <c r="I34" s="114" t="s">
        <v>159</v>
      </c>
      <c r="J34" s="114" t="s">
        <v>369</v>
      </c>
      <c r="K34" s="19"/>
      <c r="L34" s="114" t="s">
        <v>25918</v>
      </c>
      <c r="M34" s="114" t="s">
        <v>25919</v>
      </c>
    </row>
    <row r="35" spans="1:13">
      <c r="A35" s="149" t="s">
        <v>355</v>
      </c>
      <c r="B35" s="150" t="s">
        <v>9012</v>
      </c>
      <c r="C35" s="151"/>
      <c r="D35" s="151"/>
      <c r="E35" s="155"/>
      <c r="F35" s="155"/>
      <c r="G35" s="155"/>
      <c r="H35" s="155"/>
      <c r="I35" s="155"/>
      <c r="J35" s="152">
        <f>SUM(J36:J37)</f>
        <v>409233.30000000005</v>
      </c>
      <c r="K35" s="19"/>
      <c r="L35" s="152">
        <f>SUM(L36:L37)</f>
        <v>301137.69</v>
      </c>
      <c r="M35" s="152">
        <f>SUM(M36:M37)</f>
        <v>108095.61000000004</v>
      </c>
    </row>
    <row r="36" spans="1:13" ht="31.5">
      <c r="A36" s="9"/>
      <c r="B36" s="44"/>
      <c r="C36" s="124" t="s">
        <v>9007</v>
      </c>
      <c r="D36" s="124" t="s">
        <v>9008</v>
      </c>
      <c r="E36" s="12">
        <v>101460</v>
      </c>
      <c r="F36" s="43" t="str">
        <f>VLOOKUP(E36,'21. CUSTOS SINAPI - SERVIÇOS'!A:B,2,0)</f>
        <v>VIGIA DIURNO COM ENCARGOS COMPLEMENTARES</v>
      </c>
      <c r="G36" s="13" t="str">
        <f>VLOOKUP(E36,'21. CUSTOS SINAPI - SERVIÇOS'!A:C,3,0)</f>
        <v>MES</v>
      </c>
      <c r="H36" s="11">
        <v>21</v>
      </c>
      <c r="I36" s="24">
        <f>VLOOKUP(E36,'21. CUSTOS SINAPI - SERVIÇOS'!A:D,4,0)</f>
        <v>4516.1000000000004</v>
      </c>
      <c r="J36" s="24">
        <f t="shared" ref="J36" si="11">I36*H36</f>
        <v>94838.1</v>
      </c>
      <c r="K36" s="19"/>
      <c r="L36" s="24">
        <f>3064.69*H36</f>
        <v>64358.49</v>
      </c>
      <c r="M36" s="24">
        <f>J36-L36</f>
        <v>30479.610000000008</v>
      </c>
    </row>
    <row r="37" spans="1:13" ht="31.5">
      <c r="A37" s="9"/>
      <c r="B37" s="44"/>
      <c r="C37" s="124" t="s">
        <v>9007</v>
      </c>
      <c r="D37" s="124" t="s">
        <v>9008</v>
      </c>
      <c r="E37" s="12">
        <v>88326</v>
      </c>
      <c r="F37" s="43" t="str">
        <f>VLOOKUP(E37,'21. CUSTOS SINAPI - SERVIÇOS'!A:B,2,0)</f>
        <v>VIGIA NOTURNO COM ENCARGOS COMPLEMENTARES</v>
      </c>
      <c r="G37" s="13" t="str">
        <f>VLOOKUP(E37,'21. CUSTOS SINAPI - SERVIÇOS'!A:C,3,0)</f>
        <v>H</v>
      </c>
      <c r="H37" s="11">
        <f>21*16*30</f>
        <v>10080</v>
      </c>
      <c r="I37" s="24">
        <f>VLOOKUP(E37,'21. CUSTOS SINAPI - SERVIÇOS'!A:D,4,0)</f>
        <v>31.19</v>
      </c>
      <c r="J37" s="24">
        <f>I37*H37</f>
        <v>314395.2</v>
      </c>
      <c r="K37" s="19"/>
      <c r="L37" s="24">
        <f>23.49*H37</f>
        <v>236779.19999999998</v>
      </c>
      <c r="M37" s="24">
        <f>J37-L37</f>
        <v>77616.000000000029</v>
      </c>
    </row>
    <row r="38" spans="1:13" ht="31.5">
      <c r="A38" s="126" t="s">
        <v>363</v>
      </c>
      <c r="B38" s="126" t="s">
        <v>364</v>
      </c>
      <c r="C38" s="126" t="s">
        <v>365</v>
      </c>
      <c r="D38" s="126" t="s">
        <v>155</v>
      </c>
      <c r="E38" s="126" t="s">
        <v>366</v>
      </c>
      <c r="F38" s="126" t="s">
        <v>367</v>
      </c>
      <c r="G38" s="114" t="s">
        <v>158</v>
      </c>
      <c r="H38" s="114" t="s">
        <v>368</v>
      </c>
      <c r="I38" s="114" t="s">
        <v>159</v>
      </c>
      <c r="J38" s="114" t="s">
        <v>369</v>
      </c>
      <c r="K38" s="19"/>
      <c r="L38" s="114" t="s">
        <v>25918</v>
      </c>
      <c r="M38" s="114" t="s">
        <v>25919</v>
      </c>
    </row>
    <row r="39" spans="1:13">
      <c r="A39" s="149" t="s">
        <v>356</v>
      </c>
      <c r="B39" s="150" t="s">
        <v>22909</v>
      </c>
      <c r="C39" s="151"/>
      <c r="D39" s="151"/>
      <c r="E39" s="155"/>
      <c r="F39" s="155"/>
      <c r="G39" s="155"/>
      <c r="H39" s="155"/>
      <c r="I39" s="155"/>
      <c r="J39" s="154">
        <f>SUM(J40:J41)</f>
        <v>219114.08000000002</v>
      </c>
      <c r="K39" s="19"/>
      <c r="L39" s="154">
        <f>SUM(L40:L41)</f>
        <v>204683.96</v>
      </c>
      <c r="M39" s="154">
        <f>SUM(M40:M41)</f>
        <v>14430.120000000024</v>
      </c>
    </row>
    <row r="40" spans="1:13" ht="47.25">
      <c r="A40" s="9"/>
      <c r="B40" s="44"/>
      <c r="C40" s="124" t="s">
        <v>9007</v>
      </c>
      <c r="D40" s="124" t="s">
        <v>9008</v>
      </c>
      <c r="E40" s="12">
        <v>101456</v>
      </c>
      <c r="F40" s="43" t="str">
        <f>VLOOKUP(E40,'21. CUSTOS SINAPI - SERVIÇOS'!A:B,2,0)</f>
        <v>TÉCNICO DE LABORATÓRIO E CAMPO DE CONSTRUÇÃO COM ENCARGOS COMPLEMENTARES</v>
      </c>
      <c r="G40" s="13" t="str">
        <f>VLOOKUP(E40,'21. CUSTOS SINAPI - SERVIÇOS'!A:C,3,0)</f>
        <v>MES</v>
      </c>
      <c r="H40" s="11">
        <v>19</v>
      </c>
      <c r="I40" s="24">
        <f>VLOOKUP(E40,'21. CUSTOS SINAPI - SERVIÇOS'!A:D,4,0)</f>
        <v>6606.06</v>
      </c>
      <c r="J40" s="24">
        <f t="shared" ref="J40:J41" si="12">I40*H40</f>
        <v>125515.14000000001</v>
      </c>
      <c r="K40" s="19"/>
      <c r="L40" s="24">
        <f>6226.32*H40</f>
        <v>118300.07999999999</v>
      </c>
      <c r="M40" s="24">
        <f>J40-L40</f>
        <v>7215.0600000000268</v>
      </c>
    </row>
    <row r="41" spans="1:13" ht="31.5">
      <c r="A41" s="9"/>
      <c r="B41" s="44"/>
      <c r="C41" s="124" t="s">
        <v>9007</v>
      </c>
      <c r="D41" s="124" t="s">
        <v>9008</v>
      </c>
      <c r="E41" s="12">
        <v>101385</v>
      </c>
      <c r="F41" s="43" t="str">
        <f>VLOOKUP(E41,'21. CUSTOS SINAPI - SERVIÇOS'!A:B,2,0)</f>
        <v>AUXILIAR DE LABORATORISTA DE SOLOS E DE CONCRETO COM ENCARGOS COMPLEMENTARES</v>
      </c>
      <c r="G41" s="13" t="str">
        <f>VLOOKUP(E41,'21. CUSTOS SINAPI - SERVIÇOS'!A:C,3,0)</f>
        <v>MES</v>
      </c>
      <c r="H41" s="11">
        <v>19</v>
      </c>
      <c r="I41" s="24">
        <f>VLOOKUP(E41,'21. CUSTOS SINAPI - SERVIÇOS'!A:D,4,0)</f>
        <v>4926.26</v>
      </c>
      <c r="J41" s="24">
        <f t="shared" si="12"/>
        <v>93598.94</v>
      </c>
      <c r="K41" s="19"/>
      <c r="L41" s="24">
        <f>4546.52*H41</f>
        <v>86383.88</v>
      </c>
      <c r="M41" s="24">
        <f>J41-L41</f>
        <v>7215.0599999999977</v>
      </c>
    </row>
    <row r="42" spans="1:13" ht="31.5">
      <c r="A42" s="126" t="s">
        <v>363</v>
      </c>
      <c r="B42" s="126" t="s">
        <v>364</v>
      </c>
      <c r="C42" s="126" t="s">
        <v>365</v>
      </c>
      <c r="D42" s="126" t="s">
        <v>155</v>
      </c>
      <c r="E42" s="126" t="s">
        <v>366</v>
      </c>
      <c r="F42" s="126" t="s">
        <v>367</v>
      </c>
      <c r="G42" s="114" t="s">
        <v>158</v>
      </c>
      <c r="H42" s="114" t="s">
        <v>368</v>
      </c>
      <c r="I42" s="114" t="s">
        <v>159</v>
      </c>
      <c r="J42" s="114" t="s">
        <v>369</v>
      </c>
      <c r="K42" s="19"/>
      <c r="L42" s="114" t="s">
        <v>25918</v>
      </c>
      <c r="M42" s="114" t="s">
        <v>25919</v>
      </c>
    </row>
    <row r="43" spans="1:13">
      <c r="A43" s="149" t="s">
        <v>357</v>
      </c>
      <c r="B43" s="150" t="s">
        <v>22910</v>
      </c>
      <c r="C43" s="151"/>
      <c r="D43" s="151"/>
      <c r="E43" s="155"/>
      <c r="F43" s="155"/>
      <c r="G43" s="155"/>
      <c r="H43" s="155"/>
      <c r="I43" s="155"/>
      <c r="J43" s="154">
        <f>SUM(J44:J46)</f>
        <v>312713.02</v>
      </c>
      <c r="K43" s="19"/>
      <c r="L43" s="154">
        <f>SUM(L44:L46)</f>
        <v>291067.83999999997</v>
      </c>
      <c r="M43" s="154">
        <f>SUM(M44:M46)</f>
        <v>21645.180000000022</v>
      </c>
    </row>
    <row r="44" spans="1:13" ht="31.5">
      <c r="A44" s="9"/>
      <c r="B44" s="44"/>
      <c r="C44" s="124" t="s">
        <v>9007</v>
      </c>
      <c r="D44" s="124" t="s">
        <v>9008</v>
      </c>
      <c r="E44" s="12">
        <v>101385</v>
      </c>
      <c r="F44" s="43" t="str">
        <f>VLOOKUP(E44,'21. CUSTOS SINAPI - SERVIÇOS'!A:B,2,0)</f>
        <v>AUXILIAR DE LABORATORISTA DE SOLOS E DE CONCRETO COM ENCARGOS COMPLEMENTARES</v>
      </c>
      <c r="G44" s="13" t="str">
        <f>VLOOKUP(E44,'21. CUSTOS SINAPI - SERVIÇOS'!A:C,3,0)</f>
        <v>MES</v>
      </c>
      <c r="H44" s="11">
        <v>19</v>
      </c>
      <c r="I44" s="24">
        <f>VLOOKUP(E44,'21. CUSTOS SINAPI - SERVIÇOS'!A:D,4,0)</f>
        <v>4926.26</v>
      </c>
      <c r="J44" s="24">
        <f t="shared" ref="J44" si="13">I44*H44</f>
        <v>93598.94</v>
      </c>
      <c r="K44" s="19"/>
      <c r="L44" s="24">
        <f>4546.52*H44</f>
        <v>86383.88</v>
      </c>
      <c r="M44" s="24">
        <f>J44-L44</f>
        <v>7215.0599999999977</v>
      </c>
    </row>
    <row r="45" spans="1:13" ht="31.5">
      <c r="A45" s="9"/>
      <c r="B45" s="44"/>
      <c r="C45" s="124" t="s">
        <v>9007</v>
      </c>
      <c r="D45" s="124" t="s">
        <v>9008</v>
      </c>
      <c r="E45" s="12">
        <v>101385</v>
      </c>
      <c r="F45" s="43" t="str">
        <f>VLOOKUP(E45,'21. CUSTOS SINAPI - SERVIÇOS'!A:B,2,0)</f>
        <v>AUXILIAR DE LABORATORISTA DE SOLOS E DE CONCRETO COM ENCARGOS COMPLEMENTARES</v>
      </c>
      <c r="G45" s="13" t="str">
        <f>VLOOKUP(E45,'21. CUSTOS SINAPI - SERVIÇOS'!A:C,3,0)</f>
        <v>MES</v>
      </c>
      <c r="H45" s="11">
        <v>19</v>
      </c>
      <c r="I45" s="24">
        <f>VLOOKUP(E45,'21. CUSTOS SINAPI - SERVIÇOS'!A:D,4,0)</f>
        <v>4926.26</v>
      </c>
      <c r="J45" s="24">
        <f t="shared" ref="J45:J46" si="14">I45*H45</f>
        <v>93598.94</v>
      </c>
      <c r="K45" s="19"/>
      <c r="L45" s="24">
        <f>4546.52*H45</f>
        <v>86383.88</v>
      </c>
      <c r="M45" s="24">
        <f t="shared" ref="M45:M46" si="15">J45-L45</f>
        <v>7215.0599999999977</v>
      </c>
    </row>
    <row r="46" spans="1:13" ht="47.25">
      <c r="A46" s="9"/>
      <c r="B46" s="44"/>
      <c r="C46" s="124" t="s">
        <v>9007</v>
      </c>
      <c r="D46" s="124" t="s">
        <v>9008</v>
      </c>
      <c r="E46" s="12">
        <v>101456</v>
      </c>
      <c r="F46" s="43" t="str">
        <f>VLOOKUP(E46,'21. CUSTOS SINAPI - SERVIÇOS'!A:B,2,0)</f>
        <v>TÉCNICO DE LABORATÓRIO E CAMPO DE CONSTRUÇÃO COM ENCARGOS COMPLEMENTARES</v>
      </c>
      <c r="G46" s="13" t="str">
        <f>VLOOKUP(E46,'21. CUSTOS SINAPI - SERVIÇOS'!A:C,3,0)</f>
        <v>MES</v>
      </c>
      <c r="H46" s="11">
        <v>19</v>
      </c>
      <c r="I46" s="24">
        <f>VLOOKUP(E46,'21. CUSTOS SINAPI - SERVIÇOS'!A:D,4,0)</f>
        <v>6606.06</v>
      </c>
      <c r="J46" s="24">
        <f t="shared" si="14"/>
        <v>125515.14000000001</v>
      </c>
      <c r="K46" s="19"/>
      <c r="L46" s="24">
        <f>6226.32*H46</f>
        <v>118300.07999999999</v>
      </c>
      <c r="M46" s="24">
        <f t="shared" si="15"/>
        <v>7215.0600000000268</v>
      </c>
    </row>
    <row r="47" spans="1:13" ht="31.5">
      <c r="A47" s="126" t="s">
        <v>363</v>
      </c>
      <c r="B47" s="126" t="s">
        <v>364</v>
      </c>
      <c r="C47" s="126" t="s">
        <v>365</v>
      </c>
      <c r="D47" s="126" t="s">
        <v>155</v>
      </c>
      <c r="E47" s="126" t="s">
        <v>366</v>
      </c>
      <c r="F47" s="126" t="s">
        <v>367</v>
      </c>
      <c r="G47" s="114" t="s">
        <v>158</v>
      </c>
      <c r="H47" s="114" t="s">
        <v>368</v>
      </c>
      <c r="I47" s="114" t="s">
        <v>159</v>
      </c>
      <c r="J47" s="114" t="s">
        <v>369</v>
      </c>
      <c r="K47" s="19"/>
      <c r="L47" s="114" t="s">
        <v>25918</v>
      </c>
      <c r="M47" s="114" t="s">
        <v>25919</v>
      </c>
    </row>
    <row r="48" spans="1:13">
      <c r="A48" s="149" t="s">
        <v>359</v>
      </c>
      <c r="B48" s="150" t="s">
        <v>9018</v>
      </c>
      <c r="C48" s="151"/>
      <c r="D48" s="151"/>
      <c r="E48" s="155"/>
      <c r="F48" s="156"/>
      <c r="G48" s="155" t="s">
        <v>195</v>
      </c>
      <c r="H48" s="152"/>
      <c r="I48" s="154"/>
      <c r="J48" s="154">
        <f>SUM(J49:J51)</f>
        <v>174755.16</v>
      </c>
      <c r="K48" s="19"/>
      <c r="L48" s="154">
        <f>SUM(L49:L51)</f>
        <v>153646.35</v>
      </c>
      <c r="M48" s="154">
        <f>SUM(M49:M51)</f>
        <v>21108.809999999998</v>
      </c>
    </row>
    <row r="49" spans="1:13">
      <c r="A49" s="9"/>
      <c r="B49" s="44"/>
      <c r="C49" s="124" t="s">
        <v>9007</v>
      </c>
      <c r="D49" s="124" t="s">
        <v>9008</v>
      </c>
      <c r="E49" s="12">
        <v>94296</v>
      </c>
      <c r="F49" s="43" t="str">
        <f>VLOOKUP(E49,'21. CUSTOS SINAPI - SERVIÇOS'!A:B,2,0)</f>
        <v>TOPOGRAFO COM ENCARGOS COMPLEMENTARES</v>
      </c>
      <c r="G49" s="13" t="str">
        <f>VLOOKUP(E49,'21. CUSTOS SINAPI - SERVIÇOS'!A:C,3,0)</f>
        <v>MES</v>
      </c>
      <c r="H49" s="11">
        <v>19</v>
      </c>
      <c r="I49" s="24">
        <f>VLOOKUP(E49,'21. CUSTOS SINAPI - SERVIÇOS'!A:D,4,0)</f>
        <v>4626.34</v>
      </c>
      <c r="J49" s="24">
        <f>I49*H49</f>
        <v>87900.46</v>
      </c>
      <c r="K49" s="19"/>
      <c r="L49" s="24">
        <f>4256.01*H49</f>
        <v>80864.19</v>
      </c>
      <c r="M49" s="24">
        <f>J49-L49</f>
        <v>7036.2700000000041</v>
      </c>
    </row>
    <row r="50" spans="1:13" ht="31.5">
      <c r="A50" s="9"/>
      <c r="B50" s="44"/>
      <c r="C50" s="124" t="s">
        <v>9007</v>
      </c>
      <c r="D50" s="124" t="s">
        <v>9008</v>
      </c>
      <c r="E50" s="12">
        <v>101389</v>
      </c>
      <c r="F50" s="43" t="str">
        <f>VLOOKUP(E50,'21. CUSTOS SINAPI - SERVIÇOS'!A:B,2,0)</f>
        <v>AUXILIAR DE TOPÓGRAFO COM ENCARGOS COMPLEMENTARES</v>
      </c>
      <c r="G50" s="13" t="str">
        <f>VLOOKUP(E50,'21. CUSTOS SINAPI - SERVIÇOS'!A:C,3,0)</f>
        <v>MES</v>
      </c>
      <c r="H50" s="11">
        <v>19</v>
      </c>
      <c r="I50" s="24">
        <f>VLOOKUP(E50,'21. CUSTOS SINAPI - SERVIÇOS'!A:D,4,0)</f>
        <v>2285.65</v>
      </c>
      <c r="J50" s="24">
        <f>I50*H50</f>
        <v>43427.35</v>
      </c>
      <c r="K50" s="19"/>
      <c r="L50" s="24">
        <f>1915.32*H50</f>
        <v>36391.08</v>
      </c>
      <c r="M50" s="24">
        <f t="shared" ref="M50:M51" si="16">J50-L50</f>
        <v>7036.2699999999968</v>
      </c>
    </row>
    <row r="51" spans="1:13" ht="31.5">
      <c r="A51" s="9"/>
      <c r="B51" s="44"/>
      <c r="C51" s="124" t="s">
        <v>9007</v>
      </c>
      <c r="D51" s="124" t="s">
        <v>9008</v>
      </c>
      <c r="E51" s="12">
        <v>101389</v>
      </c>
      <c r="F51" s="43" t="str">
        <f>VLOOKUP(E51,'21. CUSTOS SINAPI - SERVIÇOS'!A:B,2,0)</f>
        <v>AUXILIAR DE TOPÓGRAFO COM ENCARGOS COMPLEMENTARES</v>
      </c>
      <c r="G51" s="13" t="str">
        <f>VLOOKUP(E51,'21. CUSTOS SINAPI - SERVIÇOS'!A:C,3,0)</f>
        <v>MES</v>
      </c>
      <c r="H51" s="11">
        <v>19</v>
      </c>
      <c r="I51" s="24">
        <f>VLOOKUP(E51,'21. CUSTOS SINAPI - SERVIÇOS'!A:D,4,0)</f>
        <v>2285.65</v>
      </c>
      <c r="J51" s="24">
        <f>I51*H51</f>
        <v>43427.35</v>
      </c>
      <c r="K51" s="19"/>
      <c r="L51" s="24">
        <f>1915.32*H51</f>
        <v>36391.08</v>
      </c>
      <c r="M51" s="24">
        <f t="shared" si="16"/>
        <v>7036.2699999999968</v>
      </c>
    </row>
    <row r="52" spans="1:13" ht="31.5">
      <c r="A52" s="126" t="s">
        <v>363</v>
      </c>
      <c r="B52" s="126" t="s">
        <v>364</v>
      </c>
      <c r="C52" s="126" t="s">
        <v>365</v>
      </c>
      <c r="D52" s="126" t="s">
        <v>155</v>
      </c>
      <c r="E52" s="126" t="s">
        <v>366</v>
      </c>
      <c r="F52" s="126" t="s">
        <v>367</v>
      </c>
      <c r="G52" s="114" t="s">
        <v>158</v>
      </c>
      <c r="H52" s="114" t="s">
        <v>368</v>
      </c>
      <c r="I52" s="114" t="s">
        <v>159</v>
      </c>
      <c r="J52" s="114" t="s">
        <v>369</v>
      </c>
      <c r="K52" s="19"/>
      <c r="L52" s="114" t="s">
        <v>25918</v>
      </c>
      <c r="M52" s="114" t="s">
        <v>25919</v>
      </c>
    </row>
    <row r="53" spans="1:13">
      <c r="A53" s="149" t="s">
        <v>360</v>
      </c>
      <c r="B53" s="150" t="s">
        <v>9015</v>
      </c>
      <c r="C53" s="151"/>
      <c r="D53" s="151"/>
      <c r="E53" s="155"/>
      <c r="F53" s="156"/>
      <c r="G53" s="155" t="s">
        <v>195</v>
      </c>
      <c r="H53" s="152"/>
      <c r="I53" s="154"/>
      <c r="J53" s="154">
        <f>SUM(J54:J61)</f>
        <v>1617678.8100000003</v>
      </c>
      <c r="K53" s="19"/>
      <c r="L53" s="154">
        <f>SUM(L54:L61)</f>
        <v>218050.08000000002</v>
      </c>
      <c r="M53" s="154">
        <f>SUM(M54:M61)</f>
        <v>1399628.73</v>
      </c>
    </row>
    <row r="54" spans="1:13" ht="31.5">
      <c r="A54" s="9"/>
      <c r="B54" s="44"/>
      <c r="C54" s="124" t="s">
        <v>9007</v>
      </c>
      <c r="D54" s="124" t="s">
        <v>9013</v>
      </c>
      <c r="E54" s="12">
        <v>970250</v>
      </c>
      <c r="F54" s="43" t="str">
        <f>VLOOKUP(E54,'13. CUSTOS DER - SERVIÇOS'!A:B,2,0)</f>
        <v>VEÍCULO UTILITÁRIO POTÊNCIA MÍNIMA 60 HP (SEM MOTORISTA)</v>
      </c>
      <c r="G54" s="13" t="str">
        <f>VLOOKUP(E54,'13. CUSTOS DER - SERVIÇOS'!A:C,3,0)</f>
        <v>MES</v>
      </c>
      <c r="H54" s="11">
        <v>19</v>
      </c>
      <c r="I54" s="24">
        <f>VLOOKUP(E54,'13. CUSTOS DER - SERVIÇOS'!A:G,7,0)</f>
        <v>6820.37</v>
      </c>
      <c r="J54" s="24">
        <f t="shared" ref="J54" si="17">I54*H54</f>
        <v>129587.03</v>
      </c>
      <c r="K54" s="19"/>
      <c r="L54" s="24">
        <f>1915.32*H54</f>
        <v>36391.08</v>
      </c>
      <c r="M54" s="24">
        <f>J54-L54</f>
        <v>93195.95</v>
      </c>
    </row>
    <row r="55" spans="1:13" ht="31.5">
      <c r="A55" s="9"/>
      <c r="B55" s="44"/>
      <c r="C55" s="124" t="s">
        <v>9007</v>
      </c>
      <c r="D55" s="124" t="s">
        <v>9013</v>
      </c>
      <c r="E55" s="12">
        <v>970250</v>
      </c>
      <c r="F55" s="43" t="str">
        <f>VLOOKUP(E55,'13. CUSTOS DER - SERVIÇOS'!A:B,2,0)</f>
        <v>VEÍCULO UTILITÁRIO POTÊNCIA MÍNIMA 60 HP (SEM MOTORISTA)</v>
      </c>
      <c r="G55" s="13" t="str">
        <f>VLOOKUP(E55,'13. CUSTOS DER - SERVIÇOS'!A:C,3,0)</f>
        <v>MES</v>
      </c>
      <c r="H55" s="11">
        <v>19</v>
      </c>
      <c r="I55" s="24">
        <f>VLOOKUP(E55,'13. CUSTOS DER - SERVIÇOS'!A:G,7,0)</f>
        <v>6820.37</v>
      </c>
      <c r="J55" s="24">
        <f t="shared" ref="J55:J58" si="18">I55*H55</f>
        <v>129587.03</v>
      </c>
      <c r="K55" s="19"/>
      <c r="L55" s="24">
        <f>1915.32*H55</f>
        <v>36391.08</v>
      </c>
      <c r="M55" s="24">
        <f t="shared" ref="M55:M61" si="19">J55-L55</f>
        <v>93195.95</v>
      </c>
    </row>
    <row r="56" spans="1:13" ht="31.5">
      <c r="A56" s="9"/>
      <c r="B56" s="44"/>
      <c r="C56" s="124" t="s">
        <v>9007</v>
      </c>
      <c r="D56" s="124" t="s">
        <v>9013</v>
      </c>
      <c r="E56" s="12">
        <v>970050</v>
      </c>
      <c r="F56" s="43" t="str">
        <f>VLOOKUP(E56,'13. CUSTOS DER - SERVIÇOS'!A:B,2,0)</f>
        <v>AUTOMÓVEL SEDAN POTÊNCIA MÍNIMA 60 HP (SEM MOTORISTA)</v>
      </c>
      <c r="G56" s="13" t="str">
        <f>VLOOKUP(E56,'13. CUSTOS DER - SERVIÇOS'!A:C,3,0)</f>
        <v>MES</v>
      </c>
      <c r="H56" s="11">
        <v>19</v>
      </c>
      <c r="I56" s="24">
        <f>VLOOKUP(E56,'13. CUSTOS DER - SERVIÇOS'!A:G,7,0)</f>
        <v>5670.37</v>
      </c>
      <c r="J56" s="24">
        <f t="shared" ref="J56:J57" si="20">I56*H56</f>
        <v>107737.03</v>
      </c>
      <c r="K56" s="19"/>
      <c r="L56" s="24">
        <v>0</v>
      </c>
      <c r="M56" s="24">
        <f t="shared" si="19"/>
        <v>107737.03</v>
      </c>
    </row>
    <row r="57" spans="1:13" ht="31.5">
      <c r="A57" s="9"/>
      <c r="B57" s="44"/>
      <c r="C57" s="124" t="s">
        <v>9007</v>
      </c>
      <c r="D57" s="124" t="s">
        <v>9013</v>
      </c>
      <c r="E57" s="12">
        <v>970050</v>
      </c>
      <c r="F57" s="43" t="str">
        <f>VLOOKUP(E57,'13. CUSTOS DER - SERVIÇOS'!A:B,2,0)</f>
        <v>AUTOMÓVEL SEDAN POTÊNCIA MÍNIMA 60 HP (SEM MOTORISTA)</v>
      </c>
      <c r="G57" s="13" t="str">
        <f>VLOOKUP(E57,'13. CUSTOS DER - SERVIÇOS'!A:C,3,0)</f>
        <v>MES</v>
      </c>
      <c r="H57" s="11">
        <v>19</v>
      </c>
      <c r="I57" s="24">
        <f>VLOOKUP(E57,'13. CUSTOS DER - SERVIÇOS'!A:G,7,0)</f>
        <v>5670.37</v>
      </c>
      <c r="J57" s="24">
        <f t="shared" si="20"/>
        <v>107737.03</v>
      </c>
      <c r="K57" s="19"/>
      <c r="L57" s="24">
        <v>0</v>
      </c>
      <c r="M57" s="24">
        <f t="shared" si="19"/>
        <v>107737.03</v>
      </c>
    </row>
    <row r="58" spans="1:13" ht="31.5">
      <c r="A58" s="9"/>
      <c r="B58" s="44"/>
      <c r="C58" s="124" t="s">
        <v>9007</v>
      </c>
      <c r="D58" s="124" t="s">
        <v>9013</v>
      </c>
      <c r="E58" s="12">
        <v>970050</v>
      </c>
      <c r="F58" s="43" t="str">
        <f>VLOOKUP(E58,'13. CUSTOS DER - SERVIÇOS'!A:B,2,0)</f>
        <v>AUTOMÓVEL SEDAN POTÊNCIA MÍNIMA 60 HP (SEM MOTORISTA)</v>
      </c>
      <c r="G58" s="13" t="str">
        <f>VLOOKUP(E58,'13. CUSTOS DER - SERVIÇOS'!A:C,3,0)</f>
        <v>MES</v>
      </c>
      <c r="H58" s="11">
        <v>19</v>
      </c>
      <c r="I58" s="24">
        <f>VLOOKUP(E58,'13. CUSTOS DER - SERVIÇOS'!A:G,7,0)</f>
        <v>5670.37</v>
      </c>
      <c r="J58" s="24">
        <f t="shared" si="18"/>
        <v>107737.03</v>
      </c>
      <c r="K58" s="19"/>
      <c r="L58" s="24">
        <v>0</v>
      </c>
      <c r="M58" s="24">
        <f t="shared" si="19"/>
        <v>107737.03</v>
      </c>
    </row>
    <row r="59" spans="1:13" ht="31.5">
      <c r="A59" s="9"/>
      <c r="B59" s="44"/>
      <c r="C59" s="124" t="s">
        <v>9007</v>
      </c>
      <c r="D59" s="124" t="s">
        <v>9013</v>
      </c>
      <c r="E59" s="12">
        <v>970050</v>
      </c>
      <c r="F59" s="43" t="str">
        <f>VLOOKUP(E59,'13. CUSTOS DER - SERVIÇOS'!A:B,2,0)</f>
        <v>AUTOMÓVEL SEDAN POTÊNCIA MÍNIMA 60 HP (SEM MOTORISTA)</v>
      </c>
      <c r="G59" s="13" t="str">
        <f>VLOOKUP(E59,'13. CUSTOS DER - SERVIÇOS'!A:C,3,0)</f>
        <v>MES</v>
      </c>
      <c r="H59" s="11">
        <v>19</v>
      </c>
      <c r="I59" s="24">
        <f>VLOOKUP(E59,'13. CUSTOS DER - SERVIÇOS'!A:G,7,0)</f>
        <v>5670.37</v>
      </c>
      <c r="J59" s="24">
        <f t="shared" ref="J59" si="21">I59*H59</f>
        <v>107737.03</v>
      </c>
      <c r="K59" s="19"/>
      <c r="L59" s="24">
        <v>0</v>
      </c>
      <c r="M59" s="24">
        <f t="shared" si="19"/>
        <v>107737.03</v>
      </c>
    </row>
    <row r="60" spans="1:13">
      <c r="A60" s="9"/>
      <c r="B60" s="44"/>
      <c r="C60" s="124" t="s">
        <v>9014</v>
      </c>
      <c r="D60" s="124" t="s">
        <v>9013</v>
      </c>
      <c r="E60" s="12">
        <v>370000</v>
      </c>
      <c r="F60" s="446" t="str">
        <f>VLOOKUP(E60,'17. CUSTOS DER - EQUIPAMENTOS'!A:B,2,0)</f>
        <v>VEICULO TRANSPORTE COLETIVO 40 PASSAGEIROS</v>
      </c>
      <c r="G60" s="13" t="s">
        <v>324</v>
      </c>
      <c r="H60" s="11">
        <f>4*22*19</f>
        <v>1672</v>
      </c>
      <c r="I60" s="24">
        <f>VLOOKUP(E60,'17. CUSTOS DER - EQUIPAMENTOS'!A:O,15,0)</f>
        <v>494.32</v>
      </c>
      <c r="J60" s="24">
        <f t="shared" ref="J60" si="22">I60*H60</f>
        <v>826503.04</v>
      </c>
      <c r="K60" s="19"/>
      <c r="L60" s="24">
        <f>40.76*H60</f>
        <v>68150.720000000001</v>
      </c>
      <c r="M60" s="24">
        <f t="shared" si="19"/>
        <v>758352.32000000007</v>
      </c>
    </row>
    <row r="61" spans="1:13" ht="31.5">
      <c r="A61" s="9"/>
      <c r="B61" s="44"/>
      <c r="C61" s="124" t="s">
        <v>9007</v>
      </c>
      <c r="D61" s="124" t="s">
        <v>9008</v>
      </c>
      <c r="E61" s="12">
        <v>101423</v>
      </c>
      <c r="F61" s="43" t="str">
        <f>VLOOKUP(E61,'21. CUSTOS SINAPI - SERVIÇOS'!A:B,2,0)</f>
        <v>MOTORISTA DE ÔNIBUS / MICRO-ÔNIBUS COM ENCARGOS COMPLEMENTARES</v>
      </c>
      <c r="G61" s="13" t="str">
        <f>VLOOKUP(E61,'21. CUSTOS SINAPI - SERVIÇOS'!A:C,3,0)</f>
        <v>MES</v>
      </c>
      <c r="H61" s="11">
        <v>19</v>
      </c>
      <c r="I61" s="24">
        <f>VLOOKUP(E61,'21. CUSTOS SINAPI - SERVIÇOS'!A:D,4,0)</f>
        <v>5318.61</v>
      </c>
      <c r="J61" s="24">
        <f>I61*H61</f>
        <v>101053.59</v>
      </c>
      <c r="K61" s="19"/>
      <c r="L61" s="24">
        <f>4058.8*H61</f>
        <v>77117.2</v>
      </c>
      <c r="M61" s="24">
        <f t="shared" si="19"/>
        <v>23936.39</v>
      </c>
    </row>
  </sheetData>
  <autoFilter ref="A1:J121"/>
  <mergeCells count="4">
    <mergeCell ref="A2:J2"/>
    <mergeCell ref="A3:J3"/>
    <mergeCell ref="A9:J9"/>
    <mergeCell ref="L9:M9"/>
  </mergeCells>
  <printOptions horizontalCentered="1"/>
  <pageMargins left="0.39370078740157483" right="0.39370078740157483" top="0.39370078740157483" bottom="0.59055118110236227" header="0.31496062992125984" footer="0.31496062992125984"/>
  <pageSetup paperSize="9" scale="66" fitToHeight="0" orientation="landscape" r:id="rId1"/>
  <headerFooter>
    <oddFooter>&amp;L&amp;9AGÊNCIA DE ASSUNTOS METROPOLITANOS DO PARANÁ - AMEP
DIRETORIA DE OBRAS&amp;C&amp;9ENGª CIBELE CRISTINE MELLO FRANCZAK
DIRETORA DE OBRAS&amp;R&amp;9Página &amp;P de &amp;N</oddFooter>
  </headerFooter>
  <rowBreaks count="2" manualBreakCount="2">
    <brk id="33" max="9" man="1"/>
    <brk id="51"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1:K52"/>
  <sheetViews>
    <sheetView showGridLines="0" zoomScaleNormal="100" zoomScaleSheetLayoutView="25" workbookViewId="0">
      <selection activeCell="B30" sqref="B30"/>
    </sheetView>
  </sheetViews>
  <sheetFormatPr defaultColWidth="9.140625" defaultRowHeight="15.75"/>
  <cols>
    <col min="1" max="2" width="9.7109375" style="144" customWidth="1"/>
    <col min="3" max="3" width="76" style="144" customWidth="1"/>
    <col min="4" max="5" width="8.7109375" style="144" customWidth="1"/>
    <col min="6" max="7" width="6.140625" style="144" bestFit="1" customWidth="1"/>
    <col min="8" max="8" width="9.7109375" style="144" customWidth="1"/>
    <col min="9" max="9" width="12.7109375" style="144" customWidth="1"/>
    <col min="10" max="11" width="14.7109375" style="144" customWidth="1"/>
    <col min="12" max="16384" width="9.140625" style="144"/>
  </cols>
  <sheetData>
    <row r="1" spans="1:11" s="130" customFormat="1">
      <c r="A1" s="131"/>
      <c r="B1" s="131"/>
      <c r="D1" s="131"/>
      <c r="E1" s="132"/>
      <c r="F1" s="132"/>
      <c r="G1" s="132"/>
      <c r="H1" s="132"/>
      <c r="I1" s="132"/>
      <c r="J1" s="131"/>
      <c r="K1" s="132"/>
    </row>
    <row r="2" spans="1:11" s="133" customFormat="1">
      <c r="A2" s="555" t="s">
        <v>167</v>
      </c>
      <c r="B2" s="555"/>
      <c r="C2" s="555"/>
      <c r="D2" s="555"/>
      <c r="E2" s="555"/>
      <c r="F2" s="555"/>
      <c r="G2" s="555"/>
      <c r="H2" s="555"/>
      <c r="I2" s="555"/>
    </row>
    <row r="3" spans="1:11" s="133" customFormat="1">
      <c r="A3" s="556" t="s">
        <v>165</v>
      </c>
      <c r="B3" s="556"/>
      <c r="C3" s="556"/>
      <c r="D3" s="556"/>
      <c r="E3" s="556"/>
      <c r="F3" s="556"/>
      <c r="G3" s="556"/>
      <c r="H3" s="556"/>
      <c r="I3" s="556"/>
    </row>
    <row r="4" spans="1:11" s="133" customFormat="1">
      <c r="A4" s="556"/>
      <c r="B4" s="556"/>
      <c r="C4" s="556"/>
      <c r="D4" s="556"/>
      <c r="E4" s="556"/>
      <c r="F4" s="556"/>
      <c r="G4" s="556"/>
      <c r="H4" s="556"/>
      <c r="I4" s="556"/>
    </row>
    <row r="5" spans="1:11" s="133" customFormat="1">
      <c r="A5" s="556" t="s">
        <v>25931</v>
      </c>
      <c r="B5" s="556"/>
      <c r="C5" s="556"/>
      <c r="D5" s="556"/>
      <c r="E5" s="556"/>
      <c r="F5" s="556"/>
      <c r="G5" s="556"/>
      <c r="H5" s="556"/>
      <c r="I5" s="556"/>
    </row>
    <row r="6" spans="1:11" s="130" customFormat="1">
      <c r="A6" s="554"/>
      <c r="B6" s="554"/>
      <c r="C6" s="554"/>
      <c r="D6" s="554"/>
      <c r="E6" s="132"/>
      <c r="F6" s="132"/>
      <c r="G6" s="132"/>
      <c r="H6" s="132"/>
      <c r="I6" s="132"/>
      <c r="J6" s="131"/>
      <c r="K6" s="132"/>
    </row>
    <row r="7" spans="1:11" s="130" customFormat="1">
      <c r="A7" s="554"/>
      <c r="B7" s="554"/>
      <c r="C7" s="554"/>
      <c r="D7" s="554"/>
      <c r="E7" s="132"/>
      <c r="F7" s="132"/>
      <c r="G7" s="132"/>
      <c r="H7" s="132"/>
      <c r="I7" s="132"/>
      <c r="J7" s="131"/>
      <c r="K7" s="132"/>
    </row>
    <row r="8" spans="1:11" s="136" customFormat="1">
      <c r="A8" s="552" t="s">
        <v>9022</v>
      </c>
      <c r="B8" s="552"/>
      <c r="C8" s="552"/>
      <c r="D8" s="552"/>
      <c r="E8" s="552"/>
      <c r="F8" s="552"/>
      <c r="G8" s="552"/>
      <c r="H8" s="552"/>
      <c r="I8" s="552"/>
      <c r="J8" s="134"/>
      <c r="K8" s="135">
        <v>52</v>
      </c>
    </row>
    <row r="9" spans="1:11" s="136" customFormat="1">
      <c r="A9" s="552" t="s">
        <v>9023</v>
      </c>
      <c r="B9" s="552"/>
      <c r="C9" s="552"/>
      <c r="D9" s="552"/>
      <c r="E9" s="552"/>
      <c r="F9" s="552"/>
      <c r="G9" s="552"/>
      <c r="H9" s="552"/>
      <c r="I9" s="552"/>
      <c r="J9" s="134"/>
      <c r="K9" s="135">
        <v>40</v>
      </c>
    </row>
    <row r="10" spans="1:11" s="136" customFormat="1" ht="24" customHeight="1">
      <c r="A10" s="553" t="s">
        <v>9021</v>
      </c>
      <c r="B10" s="553"/>
      <c r="C10" s="553"/>
      <c r="D10" s="553"/>
      <c r="E10" s="553"/>
      <c r="F10" s="553"/>
      <c r="G10" s="553"/>
      <c r="H10" s="553"/>
      <c r="I10" s="553"/>
      <c r="J10" s="553"/>
      <c r="K10" s="553"/>
    </row>
    <row r="11" spans="1:11" s="136" customFormat="1" ht="51" customHeight="1">
      <c r="A11" s="145" t="s">
        <v>156</v>
      </c>
      <c r="B11" s="145" t="s">
        <v>155</v>
      </c>
      <c r="C11" s="145" t="s">
        <v>9014</v>
      </c>
      <c r="D11" s="145" t="s">
        <v>9020</v>
      </c>
      <c r="E11" s="145" t="s">
        <v>166</v>
      </c>
      <c r="F11" s="145" t="s">
        <v>103</v>
      </c>
      <c r="G11" s="145" t="s">
        <v>104</v>
      </c>
      <c r="H11" s="145" t="s">
        <v>156</v>
      </c>
      <c r="I11" s="145" t="s">
        <v>970</v>
      </c>
      <c r="J11" s="145" t="s">
        <v>159</v>
      </c>
      <c r="K11" s="145" t="s">
        <v>369</v>
      </c>
    </row>
    <row r="12" spans="1:11" s="136" customFormat="1" ht="24" customHeight="1">
      <c r="A12" s="137" t="s">
        <v>361</v>
      </c>
      <c r="B12" s="137"/>
      <c r="C12" s="138" t="s">
        <v>168</v>
      </c>
      <c r="D12" s="138"/>
      <c r="E12" s="138"/>
      <c r="F12" s="138"/>
      <c r="G12" s="138"/>
      <c r="H12" s="138"/>
      <c r="I12" s="147"/>
      <c r="J12" s="147"/>
      <c r="K12" s="147">
        <f>SUM(K13:K20)</f>
        <v>6850.02</v>
      </c>
    </row>
    <row r="13" spans="1:11" s="136" customFormat="1" ht="24" customHeight="1">
      <c r="A13" s="139">
        <v>316060</v>
      </c>
      <c r="B13" s="139" t="s">
        <v>9013</v>
      </c>
      <c r="C13" s="140" t="str">
        <f>VLOOKUP(A13,'17. CUSTOS DER - EQUIPAMENTOS'!A:B,2,0)</f>
        <v>CAM. BASCUL. 1419 6M3 LEVE</v>
      </c>
      <c r="D13" s="141">
        <f>$K$8</f>
        <v>52</v>
      </c>
      <c r="E13" s="146">
        <v>2</v>
      </c>
      <c r="F13" s="146">
        <v>1</v>
      </c>
      <c r="G13" s="146">
        <v>1</v>
      </c>
      <c r="H13" s="142">
        <v>316060</v>
      </c>
      <c r="I13" s="146">
        <f>VLOOKUP(A13,'17. CUSTOS DER - EQUIPAMENTOS'!A:O,15,0)</f>
        <v>254.76</v>
      </c>
      <c r="J13" s="146">
        <f t="shared" ref="J13:J20" si="0">TRUNC(IFERROR(((D13*F13*G13)/$K$9)*I13,0),2)</f>
        <v>331.18</v>
      </c>
      <c r="K13" s="148">
        <f t="shared" ref="K13:K20" si="1">J13*E13</f>
        <v>662.36</v>
      </c>
    </row>
    <row r="14" spans="1:11" s="136" customFormat="1" ht="24" customHeight="1">
      <c r="A14" s="139">
        <v>321820</v>
      </c>
      <c r="B14" s="139" t="s">
        <v>9013</v>
      </c>
      <c r="C14" s="140" t="str">
        <f>VLOOKUP(A14,'17. CUSTOS DER - EQUIPAMENTOS'!A:B,2,0)</f>
        <v>CAM. BASCUL. 2426/48 10M3 MÉDIA</v>
      </c>
      <c r="D14" s="141">
        <f t="shared" ref="D14:D20" si="2">$K$8</f>
        <v>52</v>
      </c>
      <c r="E14" s="146">
        <v>8</v>
      </c>
      <c r="F14" s="146">
        <v>1</v>
      </c>
      <c r="G14" s="146">
        <v>1</v>
      </c>
      <c r="H14" s="142">
        <v>321820</v>
      </c>
      <c r="I14" s="146">
        <f>VLOOKUP(A14,'17. CUSTOS DER - EQUIPAMENTOS'!A:O,15,0)</f>
        <v>327.67</v>
      </c>
      <c r="J14" s="146">
        <f t="shared" si="0"/>
        <v>425.97</v>
      </c>
      <c r="K14" s="148">
        <f t="shared" si="1"/>
        <v>3407.76</v>
      </c>
    </row>
    <row r="15" spans="1:11" s="136" customFormat="1" ht="24" customHeight="1">
      <c r="A15" s="139">
        <v>346020</v>
      </c>
      <c r="B15" s="139" t="s">
        <v>9013</v>
      </c>
      <c r="C15" s="140" t="str">
        <f>VLOOKUP(A15,'17. CUSTOS DER - EQUIPAMENTOS'!A:B,2,0)</f>
        <v>CAMINHÃO C/ GUINDAUTO</v>
      </c>
      <c r="D15" s="141">
        <f t="shared" si="2"/>
        <v>52</v>
      </c>
      <c r="E15" s="146">
        <v>1</v>
      </c>
      <c r="F15" s="146">
        <v>1</v>
      </c>
      <c r="G15" s="146">
        <v>1</v>
      </c>
      <c r="H15" s="142">
        <v>346020</v>
      </c>
      <c r="I15" s="146">
        <f>VLOOKUP(A15,'17. CUSTOS DER - EQUIPAMENTOS'!A:O,15,0)</f>
        <v>279.58</v>
      </c>
      <c r="J15" s="146">
        <f t="shared" si="0"/>
        <v>363.45</v>
      </c>
      <c r="K15" s="148">
        <f t="shared" si="1"/>
        <v>363.45</v>
      </c>
    </row>
    <row r="16" spans="1:11" s="136" customFormat="1" ht="24" customHeight="1">
      <c r="A16" s="139">
        <v>346080</v>
      </c>
      <c r="B16" s="139" t="s">
        <v>9013</v>
      </c>
      <c r="C16" s="140" t="str">
        <f>VLOOKUP(A16,'17. CUSTOS DER - EQUIPAMENTOS'!A:B,2,0)</f>
        <v>CAMINHÃO CARROCERIA 815/37 6 T</v>
      </c>
      <c r="D16" s="141">
        <f t="shared" si="2"/>
        <v>52</v>
      </c>
      <c r="E16" s="146">
        <v>1</v>
      </c>
      <c r="F16" s="146">
        <v>1</v>
      </c>
      <c r="G16" s="146">
        <v>1</v>
      </c>
      <c r="H16" s="142">
        <v>346080</v>
      </c>
      <c r="I16" s="146">
        <f>VLOOKUP(A16,'17. CUSTOS DER - EQUIPAMENTOS'!A:O,15,0)</f>
        <v>197.05</v>
      </c>
      <c r="J16" s="146">
        <f t="shared" si="0"/>
        <v>256.16000000000003</v>
      </c>
      <c r="K16" s="148">
        <f t="shared" si="1"/>
        <v>256.16000000000003</v>
      </c>
    </row>
    <row r="17" spans="1:11" s="136" customFormat="1" ht="24" customHeight="1">
      <c r="A17" s="139">
        <v>346000</v>
      </c>
      <c r="B17" s="139" t="s">
        <v>9013</v>
      </c>
      <c r="C17" s="140" t="str">
        <f>VLOOKUP(A17,'17. CUSTOS DER - EQUIPAMENTOS'!A:B,2,0)</f>
        <v>CAMINHÃO CARROCERIA 1419 14 T</v>
      </c>
      <c r="D17" s="141">
        <f t="shared" si="2"/>
        <v>52</v>
      </c>
      <c r="E17" s="146">
        <v>1</v>
      </c>
      <c r="F17" s="146">
        <v>1</v>
      </c>
      <c r="G17" s="146">
        <v>1</v>
      </c>
      <c r="H17" s="142">
        <v>346000</v>
      </c>
      <c r="I17" s="146">
        <f>VLOOKUP(A17,'17. CUSTOS DER - EQUIPAMENTOS'!A:O,15,0)</f>
        <v>248.47</v>
      </c>
      <c r="J17" s="146">
        <f t="shared" si="0"/>
        <v>323.01</v>
      </c>
      <c r="K17" s="148">
        <f t="shared" si="1"/>
        <v>323.01</v>
      </c>
    </row>
    <row r="18" spans="1:11" s="136" customFormat="1" ht="24" customHeight="1">
      <c r="A18" s="139">
        <v>346070</v>
      </c>
      <c r="B18" s="139" t="s">
        <v>9013</v>
      </c>
      <c r="C18" s="140" t="str">
        <f>VLOOKUP(A18,'17. CUSTOS DER - EQUIPAMENTOS'!A:B,2,0)</f>
        <v>CAMINHÃO PIPA 6000 L</v>
      </c>
      <c r="D18" s="141">
        <f t="shared" si="2"/>
        <v>52</v>
      </c>
      <c r="E18" s="146">
        <v>2</v>
      </c>
      <c r="F18" s="146">
        <v>1</v>
      </c>
      <c r="G18" s="146">
        <v>1</v>
      </c>
      <c r="H18" s="142">
        <v>346070</v>
      </c>
      <c r="I18" s="146">
        <f>VLOOKUP(A18,'17. CUSTOS DER - EQUIPAMENTOS'!A:O,15,0)</f>
        <v>252.78</v>
      </c>
      <c r="J18" s="146">
        <f t="shared" si="0"/>
        <v>328.61</v>
      </c>
      <c r="K18" s="148">
        <f t="shared" si="1"/>
        <v>657.22</v>
      </c>
    </row>
    <row r="19" spans="1:11" s="136" customFormat="1" ht="24" customHeight="1">
      <c r="A19" s="139">
        <v>370070</v>
      </c>
      <c r="B19" s="139" t="s">
        <v>9013</v>
      </c>
      <c r="C19" s="140" t="str">
        <f>VLOOKUP(A19,'17. CUSTOS DER - EQUIPAMENTOS'!A:B,2,0)</f>
        <v>AUTOMÓVEL SEDAN POT. MÍN.60 HP(C/MOTOR.)</v>
      </c>
      <c r="D19" s="141">
        <f t="shared" si="2"/>
        <v>52</v>
      </c>
      <c r="E19" s="146">
        <v>4</v>
      </c>
      <c r="F19" s="146">
        <v>1</v>
      </c>
      <c r="G19" s="146">
        <v>1</v>
      </c>
      <c r="H19" s="142">
        <v>370070</v>
      </c>
      <c r="I19" s="146">
        <f>VLOOKUP(A19,'17. CUSTOS DER - EQUIPAMENTOS'!A:O,15,0)</f>
        <v>142.69999999999999</v>
      </c>
      <c r="J19" s="146">
        <f t="shared" si="0"/>
        <v>185.51</v>
      </c>
      <c r="K19" s="148">
        <f t="shared" si="1"/>
        <v>742.04</v>
      </c>
    </row>
    <row r="20" spans="1:11" s="136" customFormat="1" ht="24" customHeight="1">
      <c r="A20" s="139">
        <v>370110</v>
      </c>
      <c r="B20" s="139" t="s">
        <v>9013</v>
      </c>
      <c r="C20" s="140" t="str">
        <f>VLOOKUP(A20,'17. CUSTOS DER - EQUIPAMENTOS'!A:B,2,0)</f>
        <v>VEÍCULO UTILITÁRIO POT. MÍN. 60 HP(C/MOTOR.)</v>
      </c>
      <c r="D20" s="141">
        <f t="shared" si="2"/>
        <v>52</v>
      </c>
      <c r="E20" s="146">
        <v>2</v>
      </c>
      <c r="F20" s="146">
        <v>1</v>
      </c>
      <c r="G20" s="146">
        <v>1</v>
      </c>
      <c r="H20" s="142">
        <v>370110</v>
      </c>
      <c r="I20" s="146">
        <f>VLOOKUP(A20,'17. CUSTOS DER - EQUIPAMENTOS'!A:O,15,0)</f>
        <v>168.47</v>
      </c>
      <c r="J20" s="146">
        <f t="shared" si="0"/>
        <v>219.01</v>
      </c>
      <c r="K20" s="148">
        <f t="shared" si="1"/>
        <v>438.02</v>
      </c>
    </row>
    <row r="21" spans="1:11" s="136" customFormat="1" ht="51" customHeight="1">
      <c r="A21" s="145" t="s">
        <v>156</v>
      </c>
      <c r="B21" s="145" t="s">
        <v>155</v>
      </c>
      <c r="C21" s="145" t="s">
        <v>9014</v>
      </c>
      <c r="D21" s="145" t="s">
        <v>9020</v>
      </c>
      <c r="E21" s="145" t="s">
        <v>166</v>
      </c>
      <c r="F21" s="145" t="s">
        <v>103</v>
      </c>
      <c r="G21" s="145" t="s">
        <v>104</v>
      </c>
      <c r="H21" s="145" t="s">
        <v>156</v>
      </c>
      <c r="I21" s="145" t="s">
        <v>970</v>
      </c>
      <c r="J21" s="145" t="s">
        <v>159</v>
      </c>
      <c r="K21" s="145" t="s">
        <v>369</v>
      </c>
    </row>
    <row r="22" spans="1:11" s="136" customFormat="1" ht="24" customHeight="1">
      <c r="A22" s="137" t="s">
        <v>362</v>
      </c>
      <c r="B22" s="137"/>
      <c r="C22" s="143" t="s">
        <v>173</v>
      </c>
      <c r="D22" s="138"/>
      <c r="E22" s="138"/>
      <c r="F22" s="138"/>
      <c r="G22" s="138"/>
      <c r="H22" s="138"/>
      <c r="I22" s="147"/>
      <c r="J22" s="147"/>
      <c r="K22" s="147">
        <f>SUM(K23:K37)</f>
        <v>19837.400000000005</v>
      </c>
    </row>
    <row r="23" spans="1:11" s="136" customFormat="1" ht="24" customHeight="1">
      <c r="A23" s="139">
        <v>329300</v>
      </c>
      <c r="B23" s="139" t="s">
        <v>9013</v>
      </c>
      <c r="C23" s="140" t="str">
        <f>VLOOKUP(A23,'17. CUSTOS DER - EQUIPAMENTOS'!A:B,2,0)</f>
        <v>CARREG. FRONTAL PNEUS 924-K MÉDIA</v>
      </c>
      <c r="D23" s="141">
        <f t="shared" ref="D23:D37" si="3">$K$8</f>
        <v>52</v>
      </c>
      <c r="E23" s="146">
        <v>2</v>
      </c>
      <c r="F23" s="146">
        <v>2</v>
      </c>
      <c r="G23" s="146">
        <v>0.5</v>
      </c>
      <c r="H23" s="142" t="s">
        <v>105</v>
      </c>
      <c r="I23" s="146">
        <f>VLOOKUP(H23,'20. CUSTOS DNIT - EQUIPAMENTOS'!A:J,10,0)</f>
        <v>381.48790000000002</v>
      </c>
      <c r="J23" s="146">
        <f t="shared" ref="J23:J37" si="4">TRUNC(IFERROR(((D23*F23*G23)/$K$9)*I23,0),2)</f>
        <v>495.93</v>
      </c>
      <c r="K23" s="148">
        <f t="shared" ref="K23:K37" si="5">ROUND(IFERROR(((D23*F23*G23)/$K$9)*I23*E23,0),2)</f>
        <v>991.87</v>
      </c>
    </row>
    <row r="24" spans="1:11" s="136" customFormat="1" ht="24" customHeight="1">
      <c r="A24" s="139">
        <v>340320</v>
      </c>
      <c r="B24" s="139" t="s">
        <v>9013</v>
      </c>
      <c r="C24" s="140" t="str">
        <f>VLOOKUP(A24,'17. CUSTOS DER - EQUIPAMENTOS'!A:B,2,0)</f>
        <v>DISTR. AGREGADOS REBOCÁVEL 9 M³</v>
      </c>
      <c r="D24" s="141">
        <f t="shared" si="3"/>
        <v>52</v>
      </c>
      <c r="E24" s="146">
        <v>2</v>
      </c>
      <c r="F24" s="146">
        <v>2</v>
      </c>
      <c r="G24" s="146">
        <v>0.5</v>
      </c>
      <c r="H24" s="142" t="s">
        <v>105</v>
      </c>
      <c r="I24" s="146">
        <f>VLOOKUP(H24,'20. CUSTOS DNIT - EQUIPAMENTOS'!A:J,10,0)</f>
        <v>381.48790000000002</v>
      </c>
      <c r="J24" s="146">
        <f t="shared" si="4"/>
        <v>495.93</v>
      </c>
      <c r="K24" s="148">
        <f t="shared" si="5"/>
        <v>991.87</v>
      </c>
    </row>
    <row r="25" spans="1:11" s="136" customFormat="1" ht="24" customHeight="1">
      <c r="A25" s="139">
        <v>320800</v>
      </c>
      <c r="B25" s="139" t="s">
        <v>9013</v>
      </c>
      <c r="C25" s="140" t="str">
        <f>VLOOKUP(A25,'17. CUSTOS DER - EQUIPAMENTOS'!A:B,2,0)</f>
        <v>ESCAV. HIDRÁULICA E-215 C MÉDIA</v>
      </c>
      <c r="D25" s="141">
        <f t="shared" si="3"/>
        <v>52</v>
      </c>
      <c r="E25" s="146">
        <v>2</v>
      </c>
      <c r="F25" s="146">
        <v>2</v>
      </c>
      <c r="G25" s="146">
        <v>1</v>
      </c>
      <c r="H25" s="142" t="s">
        <v>105</v>
      </c>
      <c r="I25" s="146">
        <f>VLOOKUP(H25,'20. CUSTOS DNIT - EQUIPAMENTOS'!A:J,10,0)</f>
        <v>381.48790000000002</v>
      </c>
      <c r="J25" s="146">
        <f t="shared" si="4"/>
        <v>991.86</v>
      </c>
      <c r="K25" s="148">
        <f t="shared" si="5"/>
        <v>1983.74</v>
      </c>
    </row>
    <row r="26" spans="1:11" s="136" customFormat="1" ht="24" customHeight="1">
      <c r="A26" s="139">
        <v>323300</v>
      </c>
      <c r="B26" s="139" t="s">
        <v>9013</v>
      </c>
      <c r="C26" s="140" t="str">
        <f>VLOOKUP(A26,'17. CUSTOS DER - EQUIPAMENTOS'!A:B,2,0)</f>
        <v>ESCAV. HIDRÁULICA 336D L MÉDIA</v>
      </c>
      <c r="D26" s="141">
        <f t="shared" si="3"/>
        <v>52</v>
      </c>
      <c r="E26" s="146">
        <v>2</v>
      </c>
      <c r="F26" s="146">
        <v>2</v>
      </c>
      <c r="G26" s="146">
        <v>1</v>
      </c>
      <c r="H26" s="142" t="s">
        <v>105</v>
      </c>
      <c r="I26" s="146">
        <f>VLOOKUP(H26,'20. CUSTOS DNIT - EQUIPAMENTOS'!A:J,10,0)</f>
        <v>381.48790000000002</v>
      </c>
      <c r="J26" s="146">
        <f t="shared" si="4"/>
        <v>991.86</v>
      </c>
      <c r="K26" s="148">
        <f t="shared" si="5"/>
        <v>1983.74</v>
      </c>
    </row>
    <row r="27" spans="1:11" s="136" customFormat="1" ht="24" customHeight="1">
      <c r="A27" s="139">
        <v>300240</v>
      </c>
      <c r="B27" s="139" t="s">
        <v>9013</v>
      </c>
      <c r="C27" s="140" t="str">
        <f>VLOOKUP(A27,'17. CUSTOS DER - EQUIPAMENTOS'!A:B,2,0)</f>
        <v>GRADE DE DISCOS</v>
      </c>
      <c r="D27" s="141">
        <f t="shared" si="3"/>
        <v>52</v>
      </c>
      <c r="E27" s="146">
        <v>1</v>
      </c>
      <c r="F27" s="146">
        <v>2</v>
      </c>
      <c r="G27" s="146">
        <v>1</v>
      </c>
      <c r="H27" s="142" t="s">
        <v>105</v>
      </c>
      <c r="I27" s="146">
        <f>VLOOKUP(H27,'20. CUSTOS DNIT - EQUIPAMENTOS'!A:J,10,0)</f>
        <v>381.48790000000002</v>
      </c>
      <c r="J27" s="146">
        <f t="shared" si="4"/>
        <v>991.86</v>
      </c>
      <c r="K27" s="148">
        <f t="shared" si="5"/>
        <v>991.87</v>
      </c>
    </row>
    <row r="28" spans="1:11" s="136" customFormat="1" ht="24" customHeight="1">
      <c r="A28" s="139">
        <v>341100</v>
      </c>
      <c r="B28" s="139" t="s">
        <v>9013</v>
      </c>
      <c r="C28" s="140" t="str">
        <f>VLOOKUP(A28,'17. CUSTOS DER - EQUIPAMENTOS'!A:B,2,0)</f>
        <v>TRATOR AGRÍCOLA BH-174 4X4</v>
      </c>
      <c r="D28" s="141">
        <f t="shared" si="3"/>
        <v>52</v>
      </c>
      <c r="E28" s="146">
        <v>2</v>
      </c>
      <c r="F28" s="146">
        <v>2</v>
      </c>
      <c r="G28" s="146">
        <v>0.5</v>
      </c>
      <c r="H28" s="142" t="s">
        <v>105</v>
      </c>
      <c r="I28" s="146">
        <f>VLOOKUP(H28,'20. CUSTOS DNIT - EQUIPAMENTOS'!A:J,10,0)</f>
        <v>381.48790000000002</v>
      </c>
      <c r="J28" s="146">
        <f t="shared" si="4"/>
        <v>495.93</v>
      </c>
      <c r="K28" s="148">
        <f t="shared" si="5"/>
        <v>991.87</v>
      </c>
    </row>
    <row r="29" spans="1:11" s="136" customFormat="1" ht="24" customHeight="1">
      <c r="A29" s="139">
        <v>370440</v>
      </c>
      <c r="B29" s="139" t="s">
        <v>9013</v>
      </c>
      <c r="C29" s="140" t="str">
        <f>VLOOKUP(A29,'17. CUSTOS DER - EQUIPAMENTOS'!A:B,2,0)</f>
        <v>MÁQUINA PINTURA DE FAIXAS</v>
      </c>
      <c r="D29" s="141">
        <f t="shared" si="3"/>
        <v>52</v>
      </c>
      <c r="E29" s="146">
        <v>1</v>
      </c>
      <c r="F29" s="146">
        <v>2</v>
      </c>
      <c r="G29" s="146">
        <v>1</v>
      </c>
      <c r="H29" s="142" t="s">
        <v>105</v>
      </c>
      <c r="I29" s="146">
        <f>VLOOKUP(H29,'20. CUSTOS DNIT - EQUIPAMENTOS'!A:J,10,0)</f>
        <v>381.48790000000002</v>
      </c>
      <c r="J29" s="146">
        <f t="shared" si="4"/>
        <v>991.86</v>
      </c>
      <c r="K29" s="148">
        <f t="shared" si="5"/>
        <v>991.87</v>
      </c>
    </row>
    <row r="30" spans="1:11" s="136" customFormat="1" ht="24" customHeight="1">
      <c r="A30" s="139">
        <v>321400</v>
      </c>
      <c r="B30" s="139" t="s">
        <v>9013</v>
      </c>
      <c r="C30" s="140" t="str">
        <f>VLOOKUP(A30,'17. CUSTOS DER - EQUIPAMENTOS'!A:B,2,0)</f>
        <v>MOTONIVELADORA C/ ESCARIFICADOR 140-K MÉDIA</v>
      </c>
      <c r="D30" s="141">
        <f t="shared" si="3"/>
        <v>52</v>
      </c>
      <c r="E30" s="146">
        <v>3</v>
      </c>
      <c r="F30" s="146">
        <v>2</v>
      </c>
      <c r="G30" s="146">
        <v>1</v>
      </c>
      <c r="H30" s="142" t="s">
        <v>105</v>
      </c>
      <c r="I30" s="146">
        <f>VLOOKUP(H30,'20. CUSTOS DNIT - EQUIPAMENTOS'!A:J,10,0)</f>
        <v>381.48790000000002</v>
      </c>
      <c r="J30" s="146">
        <f t="shared" si="4"/>
        <v>991.86</v>
      </c>
      <c r="K30" s="148">
        <f t="shared" si="5"/>
        <v>2975.61</v>
      </c>
    </row>
    <row r="31" spans="1:11" s="136" customFormat="1" ht="24" customHeight="1">
      <c r="A31" s="139">
        <v>322520</v>
      </c>
      <c r="B31" s="139" t="s">
        <v>9013</v>
      </c>
      <c r="C31" s="140" t="str">
        <f>VLOOKUP(A31,'17. CUSTOS DER - EQUIPAMENTOS'!A:B,2,0)</f>
        <v>RETROESCAVADEIRA 580N MÉDIA</v>
      </c>
      <c r="D31" s="141">
        <f t="shared" si="3"/>
        <v>52</v>
      </c>
      <c r="E31" s="146">
        <v>2</v>
      </c>
      <c r="F31" s="146">
        <v>2</v>
      </c>
      <c r="G31" s="146">
        <v>0.5</v>
      </c>
      <c r="H31" s="142" t="s">
        <v>105</v>
      </c>
      <c r="I31" s="146">
        <f>VLOOKUP(H31,'20. CUSTOS DNIT - EQUIPAMENTOS'!A:J,10,0)</f>
        <v>381.48790000000002</v>
      </c>
      <c r="J31" s="146">
        <f t="shared" si="4"/>
        <v>495.93</v>
      </c>
      <c r="K31" s="148">
        <f t="shared" si="5"/>
        <v>991.87</v>
      </c>
    </row>
    <row r="32" spans="1:11" s="136" customFormat="1" ht="24" customHeight="1">
      <c r="A32" s="139">
        <v>340210</v>
      </c>
      <c r="B32" s="139" t="s">
        <v>9013</v>
      </c>
      <c r="C32" s="140" t="str">
        <f>VLOOKUP(A32,'17. CUSTOS DER - EQUIPAMENTOS'!A:B,2,0)</f>
        <v>ROLO PNEUS AUTOPROPELIDO 22 T</v>
      </c>
      <c r="D32" s="141">
        <f t="shared" si="3"/>
        <v>52</v>
      </c>
      <c r="E32" s="146">
        <v>1</v>
      </c>
      <c r="F32" s="146">
        <v>2</v>
      </c>
      <c r="G32" s="146">
        <v>1</v>
      </c>
      <c r="H32" s="142" t="s">
        <v>105</v>
      </c>
      <c r="I32" s="146">
        <f>VLOOKUP(H32,'20. CUSTOS DNIT - EQUIPAMENTOS'!A:J,10,0)</f>
        <v>381.48790000000002</v>
      </c>
      <c r="J32" s="146">
        <f t="shared" si="4"/>
        <v>991.86</v>
      </c>
      <c r="K32" s="148">
        <f t="shared" si="5"/>
        <v>991.87</v>
      </c>
    </row>
    <row r="33" spans="1:11" s="136" customFormat="1" ht="24" customHeight="1">
      <c r="A33" s="139">
        <v>340150</v>
      </c>
      <c r="B33" s="139" t="s">
        <v>9013</v>
      </c>
      <c r="C33" s="140" t="str">
        <f>VLOOKUP(A33,'17. CUSTOS DER - EQUIPAMENTOS'!A:B,2,0)</f>
        <v>ROLO PÉ DE CARNEIRO AUTOPROPELIDO VAP-70 PT</v>
      </c>
      <c r="D33" s="141">
        <f t="shared" si="3"/>
        <v>52</v>
      </c>
      <c r="E33" s="146">
        <v>2</v>
      </c>
      <c r="F33" s="146">
        <v>2</v>
      </c>
      <c r="G33" s="146">
        <v>0.5</v>
      </c>
      <c r="H33" s="142" t="s">
        <v>105</v>
      </c>
      <c r="I33" s="146">
        <f>VLOOKUP(H33,'20. CUSTOS DNIT - EQUIPAMENTOS'!A:J,10,0)</f>
        <v>381.48790000000002</v>
      </c>
      <c r="J33" s="146">
        <f t="shared" si="4"/>
        <v>495.93</v>
      </c>
      <c r="K33" s="148">
        <f t="shared" si="5"/>
        <v>991.87</v>
      </c>
    </row>
    <row r="34" spans="1:11" s="136" customFormat="1" ht="24" customHeight="1">
      <c r="A34" s="139">
        <v>342220</v>
      </c>
      <c r="B34" s="139" t="s">
        <v>9013</v>
      </c>
      <c r="C34" s="140" t="str">
        <f>VLOOKUP(A34,'17. CUSTOS DER - EQUIPAMENTOS'!A:B,2,0)</f>
        <v>ROLO TANDEM LISO AUTOPROPELIDO CC-4200</v>
      </c>
      <c r="D34" s="141">
        <f t="shared" si="3"/>
        <v>52</v>
      </c>
      <c r="E34" s="146">
        <v>2</v>
      </c>
      <c r="F34" s="146">
        <v>2</v>
      </c>
      <c r="G34" s="146">
        <v>0.5</v>
      </c>
      <c r="H34" s="142" t="s">
        <v>105</v>
      </c>
      <c r="I34" s="146">
        <f>VLOOKUP(H34,'20. CUSTOS DNIT - EQUIPAMENTOS'!A:J,10,0)</f>
        <v>381.48790000000002</v>
      </c>
      <c r="J34" s="146">
        <f t="shared" si="4"/>
        <v>495.93</v>
      </c>
      <c r="K34" s="148">
        <f t="shared" si="5"/>
        <v>991.87</v>
      </c>
    </row>
    <row r="35" spans="1:11" s="136" customFormat="1" ht="24" customHeight="1">
      <c r="A35" s="139">
        <v>340410</v>
      </c>
      <c r="B35" s="139" t="s">
        <v>9013</v>
      </c>
      <c r="C35" s="140" t="str">
        <f>VLOOKUP(A35,'17. CUSTOS DER - EQUIPAMENTOS'!A:B,2,0)</f>
        <v>VIBRO ACABADORA ESTEIRAS</v>
      </c>
      <c r="D35" s="141">
        <f t="shared" si="3"/>
        <v>52</v>
      </c>
      <c r="E35" s="146">
        <v>2</v>
      </c>
      <c r="F35" s="146">
        <v>2</v>
      </c>
      <c r="G35" s="146">
        <v>0.5</v>
      </c>
      <c r="H35" s="142" t="s">
        <v>105</v>
      </c>
      <c r="I35" s="146">
        <f>VLOOKUP(H35,'20. CUSTOS DNIT - EQUIPAMENTOS'!A:J,10,0)</f>
        <v>381.48790000000002</v>
      </c>
      <c r="J35" s="146">
        <f t="shared" si="4"/>
        <v>495.93</v>
      </c>
      <c r="K35" s="148">
        <f t="shared" si="5"/>
        <v>991.87</v>
      </c>
    </row>
    <row r="36" spans="1:11" s="136" customFormat="1" ht="24" customHeight="1">
      <c r="A36" s="139">
        <v>320060</v>
      </c>
      <c r="B36" s="139" t="s">
        <v>9013</v>
      </c>
      <c r="C36" s="140" t="str">
        <f>VLOOKUP(A36,'17. CUSTOS DER - EQUIPAMENTOS'!A:B,2,0)</f>
        <v>TRATOR LÂMINA D6-N MÉDIA</v>
      </c>
      <c r="D36" s="141">
        <f t="shared" si="3"/>
        <v>52</v>
      </c>
      <c r="E36" s="146">
        <v>2</v>
      </c>
      <c r="F36" s="146">
        <v>2</v>
      </c>
      <c r="G36" s="146">
        <v>1</v>
      </c>
      <c r="H36" s="142" t="s">
        <v>105</v>
      </c>
      <c r="I36" s="146">
        <f>VLOOKUP(H36,'20. CUSTOS DNIT - EQUIPAMENTOS'!A:J,10,0)</f>
        <v>381.48790000000002</v>
      </c>
      <c r="J36" s="146">
        <f t="shared" si="4"/>
        <v>991.86</v>
      </c>
      <c r="K36" s="148">
        <f t="shared" si="5"/>
        <v>1983.74</v>
      </c>
    </row>
    <row r="37" spans="1:11" s="136" customFormat="1" ht="24" customHeight="1">
      <c r="A37" s="139">
        <v>300200</v>
      </c>
      <c r="B37" s="139" t="s">
        <v>9013</v>
      </c>
      <c r="C37" s="140" t="str">
        <f>VLOOKUP(A37,'17. CUSTOS DER - EQUIPAMENTOS'!A:B,2,0)</f>
        <v>TANQUE DEPÓSITO ASFALTO FRIO 20000 L</v>
      </c>
      <c r="D37" s="141">
        <f t="shared" si="3"/>
        <v>52</v>
      </c>
      <c r="E37" s="146">
        <v>1</v>
      </c>
      <c r="F37" s="146">
        <v>2</v>
      </c>
      <c r="G37" s="146">
        <v>1</v>
      </c>
      <c r="H37" s="142" t="s">
        <v>105</v>
      </c>
      <c r="I37" s="146">
        <f>VLOOKUP(H37,'20. CUSTOS DNIT - EQUIPAMENTOS'!A:J,10,0)</f>
        <v>381.48790000000002</v>
      </c>
      <c r="J37" s="146">
        <f t="shared" si="4"/>
        <v>991.86</v>
      </c>
      <c r="K37" s="148">
        <f t="shared" si="5"/>
        <v>991.87</v>
      </c>
    </row>
    <row r="38" spans="1:11" s="136" customFormat="1" ht="24" customHeight="1"/>
    <row r="39" spans="1:11" s="136" customFormat="1" ht="24" customHeight="1">
      <c r="A39" s="551"/>
      <c r="B39" s="551"/>
      <c r="C39" s="551"/>
      <c r="D39" s="551"/>
      <c r="E39" s="551"/>
      <c r="F39" s="551"/>
      <c r="G39" s="551"/>
      <c r="H39" s="551"/>
      <c r="I39" s="551"/>
      <c r="J39" s="551"/>
      <c r="K39" s="551"/>
    </row>
    <row r="40" spans="1:11" s="136" customFormat="1" ht="24" customHeight="1">
      <c r="A40" s="551"/>
      <c r="B40" s="551"/>
      <c r="C40" s="551"/>
      <c r="D40" s="551"/>
      <c r="E40" s="551"/>
      <c r="F40" s="551"/>
      <c r="G40" s="551"/>
      <c r="H40" s="551"/>
      <c r="I40" s="551"/>
      <c r="J40" s="551"/>
      <c r="K40" s="551"/>
    </row>
    <row r="41" spans="1:11" s="136" customFormat="1" ht="24" customHeight="1">
      <c r="A41" s="551"/>
      <c r="B41" s="551"/>
      <c r="C41" s="551"/>
      <c r="D41" s="551"/>
      <c r="E41" s="551"/>
      <c r="F41" s="551"/>
      <c r="G41" s="551"/>
      <c r="H41" s="551"/>
      <c r="I41" s="551"/>
      <c r="J41" s="551"/>
      <c r="K41" s="551"/>
    </row>
    <row r="42" spans="1:11" s="136" customFormat="1" ht="24" customHeight="1"/>
    <row r="43" spans="1:11" s="136" customFormat="1" ht="24" customHeight="1"/>
    <row r="44" spans="1:11" s="136" customFormat="1" ht="24" customHeight="1"/>
    <row r="45" spans="1:11" s="136" customFormat="1" ht="24" customHeight="1"/>
    <row r="46" spans="1:11" s="136" customFormat="1" ht="24" customHeight="1"/>
    <row r="47" spans="1:11" s="136" customFormat="1" ht="24" customHeight="1"/>
    <row r="48" spans="1:11" s="136" customFormat="1" ht="24" customHeight="1"/>
    <row r="49" s="136" customFormat="1" ht="24" customHeight="1"/>
    <row r="50" s="136" customFormat="1" ht="24" customHeight="1"/>
    <row r="51" s="136" customFormat="1" ht="24" customHeight="1"/>
    <row r="52" s="136" customFormat="1" ht="24" customHeight="1"/>
  </sheetData>
  <mergeCells count="10">
    <mergeCell ref="A2:I2"/>
    <mergeCell ref="A3:I3"/>
    <mergeCell ref="A4:I4"/>
    <mergeCell ref="A5:I5"/>
    <mergeCell ref="A6:D6"/>
    <mergeCell ref="A39:K41"/>
    <mergeCell ref="A8:I8"/>
    <mergeCell ref="A9:I9"/>
    <mergeCell ref="A10:K10"/>
    <mergeCell ref="A7:D7"/>
  </mergeCells>
  <printOptions horizontalCentered="1"/>
  <pageMargins left="0.39370078740157483" right="0.39370078740157483" top="0.39370078740157483" bottom="0.59055118110236227" header="0.31496062992125984" footer="0.31496062992125984"/>
  <pageSetup paperSize="9" scale="80" fitToHeight="0" orientation="landscape" horizontalDpi="1200" verticalDpi="1200" r:id="rId1"/>
  <headerFooter>
    <oddFooter>&amp;L&amp;9AGÊNCIA DE ASSUNTOS METROPOLITANOS DO PARANÁ - AMEP
DIRETORIA DE OBRAS&amp;C&amp;9ENGª CIBELE CRISTINE MELLO FRANCZAK
DIRETORA DE OBRAS&amp;R&amp;9Página &amp;P de &amp;N</oddFooter>
  </headerFooter>
  <rowBreaks count="1" manualBreakCount="1">
    <brk id="20" max="10"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3:K95"/>
  <sheetViews>
    <sheetView showGridLines="0" zoomScale="80" zoomScaleNormal="80" zoomScaleSheetLayoutView="25" workbookViewId="0">
      <selection activeCell="B30" sqref="B30"/>
    </sheetView>
  </sheetViews>
  <sheetFormatPr defaultColWidth="9.140625" defaultRowHeight="15.75"/>
  <cols>
    <col min="1" max="1" width="68.85546875" style="234" customWidth="1"/>
    <col min="2" max="3" width="13.140625" style="237" customWidth="1"/>
    <col min="4" max="5" width="13" style="234" customWidth="1"/>
    <col min="6" max="6" width="17.28515625" style="234" bestFit="1" customWidth="1"/>
    <col min="7" max="7" width="13" style="234" customWidth="1"/>
    <col min="8" max="8" width="16.28515625" style="234" bestFit="1" customWidth="1"/>
    <col min="9" max="9" width="13" style="234" customWidth="1"/>
    <col min="10" max="10" width="14.5703125" style="234" bestFit="1" customWidth="1"/>
    <col min="11" max="11" width="17.28515625" style="234" bestFit="1" customWidth="1"/>
    <col min="12" max="12" width="13" style="234" bestFit="1" customWidth="1"/>
    <col min="13" max="17" width="9.140625" style="234"/>
    <col min="18" max="18" width="13.85546875" style="234" bestFit="1" customWidth="1"/>
    <col min="19" max="16384" width="9.140625" style="234"/>
  </cols>
  <sheetData>
    <row r="3" spans="1:11" s="6" customFormat="1">
      <c r="A3" s="495" t="s">
        <v>167</v>
      </c>
      <c r="B3" s="495"/>
      <c r="C3" s="495"/>
      <c r="D3" s="495"/>
      <c r="E3" s="495"/>
      <c r="F3" s="495"/>
      <c r="G3" s="495"/>
      <c r="H3" s="495"/>
      <c r="I3" s="495"/>
      <c r="J3" s="495"/>
    </row>
    <row r="4" spans="1:11" s="6" customFormat="1">
      <c r="A4" s="541" t="s">
        <v>165</v>
      </c>
      <c r="B4" s="541"/>
      <c r="C4" s="541"/>
      <c r="D4" s="541"/>
      <c r="E4" s="541"/>
      <c r="F4" s="541"/>
      <c r="G4" s="541"/>
      <c r="H4" s="541"/>
      <c r="I4" s="541"/>
      <c r="J4" s="541"/>
    </row>
    <row r="5" spans="1:11" s="6" customFormat="1">
      <c r="A5" s="539"/>
      <c r="B5" s="539"/>
      <c r="C5" s="539"/>
      <c r="D5" s="539"/>
      <c r="E5" s="539"/>
      <c r="F5" s="539"/>
      <c r="G5" s="539"/>
      <c r="H5" s="539"/>
      <c r="I5" s="539"/>
      <c r="J5" s="539"/>
    </row>
    <row r="6" spans="1:11" s="6" customFormat="1">
      <c r="A6" s="539" t="s">
        <v>25931</v>
      </c>
      <c r="B6" s="539"/>
      <c r="C6" s="539"/>
      <c r="D6" s="539"/>
      <c r="E6" s="539"/>
      <c r="F6" s="539"/>
      <c r="G6" s="539"/>
      <c r="H6" s="539"/>
      <c r="I6" s="539"/>
      <c r="J6" s="539"/>
    </row>
    <row r="7" spans="1:11" s="6" customFormat="1">
      <c r="A7" s="58"/>
      <c r="B7" s="58"/>
      <c r="C7" s="58"/>
      <c r="D7" s="4"/>
      <c r="E7" s="20"/>
      <c r="F7" s="20"/>
      <c r="J7" s="61"/>
    </row>
    <row r="8" spans="1:11" s="6" customFormat="1">
      <c r="A8" s="58"/>
      <c r="B8" s="58"/>
      <c r="C8" s="58"/>
      <c r="D8" s="4"/>
      <c r="E8" s="20"/>
      <c r="F8" s="20"/>
      <c r="J8" s="61"/>
    </row>
    <row r="9" spans="1:11">
      <c r="A9" s="60"/>
      <c r="B9" s="226"/>
      <c r="C9" s="226"/>
      <c r="D9" s="210"/>
      <c r="E9" s="209"/>
      <c r="F9" s="209"/>
      <c r="G9" s="209"/>
      <c r="H9" s="211"/>
      <c r="I9" s="212"/>
      <c r="J9" s="60"/>
    </row>
    <row r="10" spans="1:11">
      <c r="A10" s="559" t="s">
        <v>9133</v>
      </c>
      <c r="B10" s="560"/>
      <c r="C10" s="560"/>
      <c r="D10" s="560"/>
      <c r="E10" s="560"/>
      <c r="F10" s="560"/>
      <c r="G10" s="560"/>
      <c r="H10" s="560"/>
      <c r="I10" s="560"/>
      <c r="J10" s="560"/>
      <c r="K10" s="561"/>
    </row>
    <row r="11" spans="1:11" s="236" customFormat="1">
      <c r="A11" s="163" t="s">
        <v>17668</v>
      </c>
      <c r="B11" s="163" t="s">
        <v>17672</v>
      </c>
      <c r="C11" s="163" t="s">
        <v>331</v>
      </c>
      <c r="D11" s="558" t="s">
        <v>17666</v>
      </c>
      <c r="E11" s="558"/>
      <c r="F11" s="558"/>
      <c r="G11" s="558"/>
      <c r="H11" s="558"/>
      <c r="I11" s="558"/>
      <c r="J11" s="163" t="s">
        <v>17667</v>
      </c>
      <c r="K11" s="235">
        <f>K26+K32+K39</f>
        <v>526.58415317500317</v>
      </c>
    </row>
    <row r="12" spans="1:11" ht="15.95" customHeight="1">
      <c r="A12" s="159" t="s">
        <v>23716</v>
      </c>
      <c r="B12" s="219" t="s">
        <v>155</v>
      </c>
      <c r="C12" s="219" t="s">
        <v>23704</v>
      </c>
      <c r="D12" s="219" t="s">
        <v>156</v>
      </c>
      <c r="E12" s="219" t="s">
        <v>23706</v>
      </c>
      <c r="F12" s="219" t="s">
        <v>23708</v>
      </c>
      <c r="G12" s="219" t="s">
        <v>23711</v>
      </c>
      <c r="H12" s="219" t="s">
        <v>23717</v>
      </c>
      <c r="I12" s="219" t="s">
        <v>42</v>
      </c>
      <c r="J12" s="219"/>
      <c r="K12" s="219" t="s">
        <v>43</v>
      </c>
    </row>
    <row r="13" spans="1:11" ht="15.95" customHeight="1">
      <c r="A13" s="214"/>
      <c r="B13" s="216"/>
      <c r="C13" s="216"/>
      <c r="D13" s="216"/>
      <c r="E13" s="220"/>
      <c r="F13" s="221"/>
      <c r="G13" s="220"/>
      <c r="H13" s="217"/>
      <c r="I13" s="217"/>
      <c r="J13" s="216"/>
      <c r="K13" s="217"/>
    </row>
    <row r="14" spans="1:11" ht="15.95" customHeight="1">
      <c r="A14" s="214"/>
      <c r="B14" s="216"/>
      <c r="C14" s="216"/>
      <c r="D14" s="216"/>
      <c r="E14" s="220"/>
      <c r="F14" s="221"/>
      <c r="G14" s="220"/>
      <c r="H14" s="217"/>
      <c r="I14" s="217"/>
      <c r="J14" s="216"/>
      <c r="K14" s="217"/>
    </row>
    <row r="15" spans="1:11" ht="15.95" customHeight="1">
      <c r="A15" s="230"/>
      <c r="B15" s="231"/>
      <c r="C15" s="231"/>
      <c r="D15" s="231"/>
      <c r="E15" s="231"/>
      <c r="F15" s="231"/>
      <c r="G15" s="231"/>
      <c r="H15" s="231"/>
      <c r="I15" s="231"/>
      <c r="J15" s="218" t="s">
        <v>44</v>
      </c>
      <c r="K15" s="232">
        <f>SUM(K14:K14)</f>
        <v>0</v>
      </c>
    </row>
    <row r="16" spans="1:11" ht="15.95" customHeight="1">
      <c r="A16" s="159" t="s">
        <v>45</v>
      </c>
      <c r="B16" s="219" t="s">
        <v>155</v>
      </c>
      <c r="C16" s="219" t="s">
        <v>23704</v>
      </c>
      <c r="D16" s="219" t="s">
        <v>156</v>
      </c>
      <c r="E16" s="219" t="s">
        <v>23706</v>
      </c>
      <c r="F16" s="219" t="s">
        <v>23707</v>
      </c>
      <c r="G16" s="219" t="s">
        <v>23710</v>
      </c>
      <c r="H16" s="219" t="s">
        <v>9026</v>
      </c>
      <c r="I16" s="219"/>
      <c r="J16" s="219"/>
      <c r="K16" s="219" t="s">
        <v>43</v>
      </c>
    </row>
    <row r="17" spans="1:11" ht="15.95" customHeight="1">
      <c r="A17" s="214" t="str">
        <f>VLOOKUP(D17,'15. CUSTOS DER - MÃO DE OBRA'!A:B,2,0)</f>
        <v>SERVENTE</v>
      </c>
      <c r="B17" s="216" t="s">
        <v>9013</v>
      </c>
      <c r="C17" s="216" t="s">
        <v>17664</v>
      </c>
      <c r="D17" s="216">
        <v>200130</v>
      </c>
      <c r="E17" s="217">
        <f>VLOOKUP(D17,'15. CUSTOS DER - MÃO DE OBRA'!A:C,3,0)</f>
        <v>2.2000000000000002</v>
      </c>
      <c r="F17" s="216"/>
      <c r="G17" s="160">
        <f>VLOOKUP(D17,'15. CUSTOS DER - MÃO DE OBRA'!A:D,4,0)</f>
        <v>31.46</v>
      </c>
      <c r="H17" s="220">
        <v>1.9000000000000001</v>
      </c>
      <c r="I17" s="216"/>
      <c r="J17" s="216"/>
      <c r="K17" s="217">
        <f>G17*H17</f>
        <v>59.774000000000008</v>
      </c>
    </row>
    <row r="18" spans="1:11" ht="15.95" customHeight="1">
      <c r="A18" s="214"/>
      <c r="B18" s="216"/>
      <c r="C18" s="216"/>
      <c r="D18" s="216"/>
      <c r="E18" s="220"/>
      <c r="F18" s="221"/>
      <c r="G18" s="220"/>
      <c r="H18" s="217"/>
      <c r="I18" s="217"/>
      <c r="J18" s="216"/>
      <c r="K18" s="217"/>
    </row>
    <row r="19" spans="1:11">
      <c r="A19" s="230"/>
      <c r="B19" s="231"/>
      <c r="C19" s="231"/>
      <c r="D19" s="231"/>
      <c r="E19" s="231"/>
      <c r="F19" s="231"/>
      <c r="G19" s="231"/>
      <c r="H19" s="231"/>
      <c r="I19" s="231"/>
      <c r="J19" s="218" t="s">
        <v>48</v>
      </c>
      <c r="K19" s="232">
        <f>SUM(K17:K17)</f>
        <v>59.774000000000008</v>
      </c>
    </row>
    <row r="20" spans="1:11" ht="15.95" customHeight="1">
      <c r="A20" s="159" t="s">
        <v>49</v>
      </c>
      <c r="B20" s="219" t="s">
        <v>155</v>
      </c>
      <c r="C20" s="219" t="s">
        <v>23704</v>
      </c>
      <c r="D20" s="219" t="s">
        <v>156</v>
      </c>
      <c r="E20" s="219" t="s">
        <v>14</v>
      </c>
      <c r="F20" s="219" t="s">
        <v>50</v>
      </c>
      <c r="G20" s="219" t="s">
        <v>23709</v>
      </c>
      <c r="H20" s="219" t="s">
        <v>23718</v>
      </c>
      <c r="I20" s="219"/>
      <c r="J20" s="219"/>
      <c r="K20" s="219" t="s">
        <v>22699</v>
      </c>
    </row>
    <row r="21" spans="1:11" ht="15.95" customHeight="1">
      <c r="A21" s="214"/>
      <c r="B21" s="216"/>
      <c r="C21" s="216"/>
      <c r="D21" s="216"/>
      <c r="E21" s="220"/>
      <c r="F21" s="221"/>
      <c r="G21" s="220"/>
      <c r="H21" s="217"/>
      <c r="I21" s="217"/>
      <c r="J21" s="216"/>
      <c r="K21" s="217"/>
    </row>
    <row r="22" spans="1:11" ht="15.95" customHeight="1">
      <c r="A22" s="214"/>
      <c r="B22" s="216"/>
      <c r="C22" s="216"/>
      <c r="D22" s="216"/>
      <c r="E22" s="220"/>
      <c r="F22" s="221"/>
      <c r="G22" s="220"/>
      <c r="H22" s="217"/>
      <c r="I22" s="217"/>
      <c r="J22" s="216"/>
      <c r="K22" s="217"/>
    </row>
    <row r="23" spans="1:11" ht="15.95" customHeight="1">
      <c r="A23" s="230"/>
      <c r="B23" s="231"/>
      <c r="C23" s="231"/>
      <c r="D23" s="231"/>
      <c r="E23" s="231"/>
      <c r="F23" s="231"/>
      <c r="G23" s="231"/>
      <c r="H23" s="231"/>
      <c r="I23" s="231"/>
      <c r="J23" s="218" t="s">
        <v>51</v>
      </c>
      <c r="K23" s="232">
        <f>K22</f>
        <v>0</v>
      </c>
    </row>
    <row r="24" spans="1:11" ht="15.95" customHeight="1">
      <c r="A24" s="557" t="s">
        <v>52</v>
      </c>
      <c r="B24" s="557"/>
      <c r="C24" s="557"/>
      <c r="D24" s="557"/>
      <c r="E24" s="557"/>
      <c r="F24" s="557"/>
      <c r="G24" s="557"/>
      <c r="H24" s="557"/>
      <c r="I24" s="557"/>
      <c r="J24" s="557"/>
      <c r="K24" s="232">
        <f>K15+K19+K23</f>
        <v>59.774000000000008</v>
      </c>
    </row>
    <row r="25" spans="1:11" ht="15.95" customHeight="1">
      <c r="A25" s="557" t="s">
        <v>53</v>
      </c>
      <c r="B25" s="557"/>
      <c r="C25" s="557"/>
      <c r="D25" s="557"/>
      <c r="E25" s="557"/>
      <c r="F25" s="557"/>
      <c r="G25" s="557"/>
      <c r="H25" s="557"/>
      <c r="I25" s="557"/>
      <c r="J25" s="557"/>
      <c r="K25" s="232">
        <v>1</v>
      </c>
    </row>
    <row r="26" spans="1:11" ht="15.95" customHeight="1">
      <c r="A26" s="562" t="s">
        <v>54</v>
      </c>
      <c r="B26" s="562"/>
      <c r="C26" s="562"/>
      <c r="D26" s="562"/>
      <c r="E26" s="562"/>
      <c r="F26" s="562"/>
      <c r="G26" s="562"/>
      <c r="H26" s="562"/>
      <c r="I26" s="562"/>
      <c r="J26" s="562"/>
      <c r="K26" s="254">
        <f>IF(K24=0,0,K24/K25)</f>
        <v>59.774000000000008</v>
      </c>
    </row>
    <row r="27" spans="1:11" ht="15.95" customHeight="1">
      <c r="A27" s="159" t="s">
        <v>23714</v>
      </c>
      <c r="B27" s="219" t="s">
        <v>155</v>
      </c>
      <c r="C27" s="219" t="s">
        <v>23704</v>
      </c>
      <c r="D27" s="219" t="s">
        <v>156</v>
      </c>
      <c r="E27" s="219" t="s">
        <v>22696</v>
      </c>
      <c r="F27" s="159" t="s">
        <v>159</v>
      </c>
      <c r="G27" s="219" t="s">
        <v>23719</v>
      </c>
      <c r="H27" s="219" t="s">
        <v>23712</v>
      </c>
      <c r="I27" s="219" t="s">
        <v>23705</v>
      </c>
      <c r="J27" s="219" t="s">
        <v>9026</v>
      </c>
      <c r="K27" s="219" t="s">
        <v>159</v>
      </c>
    </row>
    <row r="28" spans="1:11" ht="31.5">
      <c r="A28" s="222" t="str">
        <f>UPPER(VLOOKUP(D28,'19. CUSTOS DNIT - MATERIAIS'!A:B,2,0))</f>
        <v>CILINDRO CANALIZADOR DE TRÁFEGO EM POLIETILENO - H = 117 CM E BASE QUADRADA DE 60 X 60 CM</v>
      </c>
      <c r="B28" s="225" t="s">
        <v>22708</v>
      </c>
      <c r="C28" s="225" t="s">
        <v>68</v>
      </c>
      <c r="D28" s="216" t="s">
        <v>96</v>
      </c>
      <c r="E28" s="223" t="str">
        <f>VLOOKUP(D28,'19. CUSTOS DNIT - MATERIAIS'!A:C,3,0)</f>
        <v>UN</v>
      </c>
      <c r="F28" s="161">
        <f>VLOOKUP(D28,'19. CUSTOS DNIT - MATERIAIS'!A:D,4,0)</f>
        <v>193.29159999999999</v>
      </c>
      <c r="G28" s="224">
        <v>600</v>
      </c>
      <c r="H28" s="220">
        <v>1</v>
      </c>
      <c r="I28" s="220">
        <v>38</v>
      </c>
      <c r="J28" s="220">
        <v>6.3333333333333339E-2</v>
      </c>
      <c r="K28" s="217">
        <f>F28*J28</f>
        <v>12.241801333333333</v>
      </c>
    </row>
    <row r="29" spans="1:11" ht="31.5">
      <c r="A29" s="222" t="str">
        <f>UPPER(VLOOKUP(D29,'18. CUSTOS DNIT - SERVIÇOS'!A:B,2,0))</f>
        <v>BARREIRA DE SINALIZAÇÃO TIPO II DE DIRECIONAMENTO OU BLOQUEIO - CONFECÇÃO</v>
      </c>
      <c r="B29" s="225" t="s">
        <v>22708</v>
      </c>
      <c r="C29" s="225" t="s">
        <v>17662</v>
      </c>
      <c r="D29" s="216">
        <v>5213386</v>
      </c>
      <c r="E29" s="223" t="str">
        <f>VLOOKUP(D29,'18. CUSTOS DNIT - SERVIÇOS'!A:C,3,0)</f>
        <v>un</v>
      </c>
      <c r="F29" s="161">
        <f>VLOOKUP(D29,'18. CUSTOS DNIT - SERVIÇOS'!A:D,4,0)</f>
        <v>503.02</v>
      </c>
      <c r="G29" s="224">
        <v>150</v>
      </c>
      <c r="H29" s="220">
        <v>1</v>
      </c>
      <c r="I29" s="220">
        <v>6</v>
      </c>
      <c r="J29" s="220">
        <v>0.04</v>
      </c>
      <c r="K29" s="217">
        <f>F29*J29</f>
        <v>20.120799999999999</v>
      </c>
    </row>
    <row r="30" spans="1:11" ht="31.5">
      <c r="A30" s="222" t="str">
        <f>UPPER(VLOOKUP(D30,'18. CUSTOS DNIT - SERVIÇOS'!A:B,2,0))</f>
        <v>BARREIRA DE SINALIZAÇÃO TIPO III DE DIRECIONAMENTO OU BLOQUEIO - CONFECÇÃO</v>
      </c>
      <c r="B30" s="225" t="s">
        <v>22708</v>
      </c>
      <c r="C30" s="225" t="s">
        <v>17662</v>
      </c>
      <c r="D30" s="216">
        <v>5213387</v>
      </c>
      <c r="E30" s="223" t="str">
        <f>VLOOKUP(D30,'18. CUSTOS DNIT - SERVIÇOS'!A:C,3,0)</f>
        <v>un</v>
      </c>
      <c r="F30" s="161">
        <f>VLOOKUP(D30,'18. CUSTOS DNIT - SERVIÇOS'!A:D,4,0)</f>
        <v>717.57</v>
      </c>
      <c r="G30" s="224">
        <v>150</v>
      </c>
      <c r="H30" s="220">
        <v>1</v>
      </c>
      <c r="I30" s="220">
        <v>1</v>
      </c>
      <c r="J30" s="220">
        <v>6.6666666666666671E-3</v>
      </c>
      <c r="K30" s="217">
        <f>F30*J30</f>
        <v>4.7838000000000003</v>
      </c>
    </row>
    <row r="31" spans="1:11" ht="22.5" customHeight="1">
      <c r="A31" s="222" t="str">
        <f>UPPER(VLOOKUP(D31,'19. CUSTOS DNIT - MATERIAIS'!A:B,2,0))</f>
        <v>SINALIZADOR A LED COM BATERIA</v>
      </c>
      <c r="B31" s="225" t="s">
        <v>22708</v>
      </c>
      <c r="C31" s="225" t="s">
        <v>68</v>
      </c>
      <c r="D31" s="233" t="s">
        <v>98</v>
      </c>
      <c r="E31" s="223" t="str">
        <f>VLOOKUP(D31,'19. CUSTOS DNIT - MATERIAIS'!A:C,3,0)</f>
        <v>UN</v>
      </c>
      <c r="F31" s="161">
        <f>VLOOKUP(D31,'19. CUSTOS DNIT - MATERIAIS'!A:D,4,0)</f>
        <v>205.58240000000001</v>
      </c>
      <c r="G31" s="224">
        <v>200</v>
      </c>
      <c r="H31" s="220">
        <v>1</v>
      </c>
      <c r="I31" s="220">
        <v>52</v>
      </c>
      <c r="J31" s="220">
        <v>0.26</v>
      </c>
      <c r="K31" s="217">
        <f>F31*J31</f>
        <v>53.451424000000003</v>
      </c>
    </row>
    <row r="32" spans="1:11" ht="15.95" customHeight="1">
      <c r="A32" s="300"/>
      <c r="B32" s="257"/>
      <c r="C32" s="257"/>
      <c r="D32" s="257"/>
      <c r="E32" s="257"/>
      <c r="F32" s="257"/>
      <c r="G32" s="257"/>
      <c r="H32" s="257"/>
      <c r="I32" s="257"/>
      <c r="J32" s="260" t="s">
        <v>57</v>
      </c>
      <c r="K32" s="254">
        <f>SUM(K28:K31)</f>
        <v>90.597825333333333</v>
      </c>
    </row>
    <row r="33" spans="1:11" ht="15.95" customHeight="1">
      <c r="A33" s="159" t="s">
        <v>23713</v>
      </c>
      <c r="B33" s="219" t="s">
        <v>155</v>
      </c>
      <c r="C33" s="219" t="s">
        <v>23704</v>
      </c>
      <c r="D33" s="219" t="s">
        <v>156</v>
      </c>
      <c r="E33" s="219" t="s">
        <v>22696</v>
      </c>
      <c r="F33" s="159" t="s">
        <v>159</v>
      </c>
      <c r="G33" s="219" t="s">
        <v>23719</v>
      </c>
      <c r="H33" s="219" t="s">
        <v>23712</v>
      </c>
      <c r="I33" s="219" t="s">
        <v>23705</v>
      </c>
      <c r="J33" s="219" t="s">
        <v>9026</v>
      </c>
      <c r="K33" s="219" t="s">
        <v>159</v>
      </c>
    </row>
    <row r="34" spans="1:11">
      <c r="A34" s="222" t="str">
        <f>VLOOKUP(D34,'13. CUSTOS DER - SERVIÇOS'!A:B,2,0)</f>
        <v>PLACA SINALIZAÇÃO C/ PELÍCULA REFLETIVA</v>
      </c>
      <c r="B34" s="225" t="s">
        <v>9013</v>
      </c>
      <c r="C34" s="225" t="s">
        <v>17662</v>
      </c>
      <c r="D34" s="225">
        <v>820000</v>
      </c>
      <c r="E34" s="225" t="str">
        <f>VLOOKUP(D34,'13. CUSTOS DER - SERVIÇOS'!A:C,3,0)</f>
        <v>M2</v>
      </c>
      <c r="F34" s="224">
        <f>VLOOKUP(D34,'13. CUSTOS DER - SERVIÇOS'!A:G,7,0)</f>
        <v>542.29999999999995</v>
      </c>
      <c r="G34" s="224">
        <v>20</v>
      </c>
      <c r="H34" s="220">
        <v>0.50265482457436694</v>
      </c>
      <c r="I34" s="220">
        <v>5</v>
      </c>
      <c r="J34" s="220">
        <v>0.12566370614359174</v>
      </c>
      <c r="K34" s="217">
        <f>F34*J34</f>
        <v>68.147427841669796</v>
      </c>
    </row>
    <row r="35" spans="1:11">
      <c r="A35" s="222" t="str">
        <f>VLOOKUP(D35,'13. CUSTOS DER - SERVIÇOS'!A:B,2,0)</f>
        <v>PLACA SINALIZAÇÃO C/ PELÍCULA REFLETIVA</v>
      </c>
      <c r="B35" s="225" t="s">
        <v>9013</v>
      </c>
      <c r="C35" s="225" t="s">
        <v>17662</v>
      </c>
      <c r="D35" s="225">
        <v>820000</v>
      </c>
      <c r="E35" s="225" t="str">
        <f>VLOOKUP(D35,'13. CUSTOS DER - SERVIÇOS'!A:C,3,0)</f>
        <v>M2</v>
      </c>
      <c r="F35" s="224">
        <f>VLOOKUP(D35,'13. CUSTOS DER - SERVIÇOS'!A:G,7,0)</f>
        <v>542.29999999999995</v>
      </c>
      <c r="G35" s="224">
        <v>20</v>
      </c>
      <c r="H35" s="220">
        <v>0.64</v>
      </c>
      <c r="I35" s="220">
        <v>4</v>
      </c>
      <c r="J35" s="220">
        <v>0.12800000000000003</v>
      </c>
      <c r="K35" s="217">
        <f>F35*J35</f>
        <v>69.414400000000015</v>
      </c>
    </row>
    <row r="36" spans="1:11">
      <c r="A36" s="222" t="str">
        <f>VLOOKUP(D36,'13. CUSTOS DER - SERVIÇOS'!A:B,2,0)</f>
        <v>PLACA SINALIZAÇÃO C/ PELÍCULA REFLETIVA</v>
      </c>
      <c r="B36" s="225" t="s">
        <v>9013</v>
      </c>
      <c r="C36" s="225" t="s">
        <v>17662</v>
      </c>
      <c r="D36" s="225">
        <v>820000</v>
      </c>
      <c r="E36" s="225" t="str">
        <f>VLOOKUP(D36,'13. CUSTOS DER - SERVIÇOS'!A:C,3,0)</f>
        <v>M2</v>
      </c>
      <c r="F36" s="224">
        <f>VLOOKUP(D36,'13. CUSTOS DER - SERVIÇOS'!A:G,7,0)</f>
        <v>542.29999999999995</v>
      </c>
      <c r="G36" s="224">
        <v>20</v>
      </c>
      <c r="H36" s="220">
        <v>0.75</v>
      </c>
      <c r="I36" s="220">
        <v>4</v>
      </c>
      <c r="J36" s="220">
        <v>0.15</v>
      </c>
      <c r="K36" s="217">
        <f>F36*J36</f>
        <v>81.344999999999985</v>
      </c>
    </row>
    <row r="37" spans="1:11">
      <c r="A37" s="222" t="str">
        <f>VLOOKUP(D37,'13. CUSTOS DER - SERVIÇOS'!A:B,2,0)</f>
        <v>PLACA SINALIZAÇÃO C/ PELÍCULA REFLETIVA</v>
      </c>
      <c r="B37" s="225" t="s">
        <v>9013</v>
      </c>
      <c r="C37" s="225" t="s">
        <v>17662</v>
      </c>
      <c r="D37" s="225">
        <v>820000</v>
      </c>
      <c r="E37" s="225" t="str">
        <f>VLOOKUP(D37,'13. CUSTOS DER - SERVIÇOS'!A:C,3,0)</f>
        <v>M2</v>
      </c>
      <c r="F37" s="224">
        <f>VLOOKUP(D37,'13. CUSTOS DER - SERVIÇOS'!A:G,7,0)</f>
        <v>542.29999999999995</v>
      </c>
      <c r="G37" s="224">
        <v>20</v>
      </c>
      <c r="H37" s="220">
        <v>1.2000000000000002</v>
      </c>
      <c r="I37" s="220">
        <v>2</v>
      </c>
      <c r="J37" s="220">
        <v>0.12000000000000002</v>
      </c>
      <c r="K37" s="217">
        <f>F37*J37</f>
        <v>65.076000000000008</v>
      </c>
    </row>
    <row r="38" spans="1:11">
      <c r="A38" s="222" t="str">
        <f>VLOOKUP(D38,'13. CUSTOS DER - SERVIÇOS'!A:B,2,0)</f>
        <v>SUPORTE DE MADEIRA 3"X3" P/ PLACA SINALIZAÇÃO, H=3,00M</v>
      </c>
      <c r="B38" s="225" t="s">
        <v>9013</v>
      </c>
      <c r="C38" s="225" t="s">
        <v>17662</v>
      </c>
      <c r="D38" s="225">
        <v>821000</v>
      </c>
      <c r="E38" s="225" t="str">
        <f>VLOOKUP(D38,'13. CUSTOS DER - SERVIÇOS'!A:C,3,0)</f>
        <v>UD</v>
      </c>
      <c r="F38" s="224">
        <f>VLOOKUP(D38,'13. CUSTOS DER - SERVIÇOS'!A:G,7,0)</f>
        <v>167.69</v>
      </c>
      <c r="G38" s="224">
        <v>20</v>
      </c>
      <c r="H38" s="220">
        <v>1</v>
      </c>
      <c r="I38" s="220">
        <v>11</v>
      </c>
      <c r="J38" s="220">
        <v>0.55000000000000004</v>
      </c>
      <c r="K38" s="217">
        <f>F38*J38</f>
        <v>92.229500000000002</v>
      </c>
    </row>
    <row r="39" spans="1:11" ht="15.95" customHeight="1">
      <c r="A39" s="300"/>
      <c r="B39" s="257"/>
      <c r="C39" s="257"/>
      <c r="D39" s="257"/>
      <c r="E39" s="257"/>
      <c r="F39" s="257"/>
      <c r="G39" s="257"/>
      <c r="H39" s="257"/>
      <c r="I39" s="257"/>
      <c r="J39" s="260" t="s">
        <v>59</v>
      </c>
      <c r="K39" s="254">
        <f>SUM(K34:K38)</f>
        <v>376.21232784166978</v>
      </c>
    </row>
    <row r="40" spans="1:11">
      <c r="A40" s="163" t="s">
        <v>17669</v>
      </c>
      <c r="B40" s="163" t="s">
        <v>17672</v>
      </c>
      <c r="C40" s="163" t="s">
        <v>331</v>
      </c>
      <c r="D40" s="563" t="s">
        <v>17671</v>
      </c>
      <c r="E40" s="563"/>
      <c r="F40" s="563"/>
      <c r="G40" s="563"/>
      <c r="H40" s="563"/>
      <c r="I40" s="563"/>
      <c r="J40" s="163" t="s">
        <v>17667</v>
      </c>
      <c r="K40" s="235">
        <f>K55+K60+K69</f>
        <v>1971.0249192133385</v>
      </c>
    </row>
    <row r="41" spans="1:11" ht="15.95" customHeight="1">
      <c r="A41" s="159" t="s">
        <v>27</v>
      </c>
      <c r="B41" s="219" t="s">
        <v>155</v>
      </c>
      <c r="C41" s="219" t="s">
        <v>23704</v>
      </c>
      <c r="D41" s="219" t="s">
        <v>156</v>
      </c>
      <c r="E41" s="219" t="s">
        <v>23705</v>
      </c>
      <c r="F41" s="219" t="s">
        <v>23708</v>
      </c>
      <c r="G41" s="219" t="s">
        <v>23711</v>
      </c>
      <c r="H41" s="219" t="s">
        <v>23717</v>
      </c>
      <c r="I41" s="219" t="s">
        <v>42</v>
      </c>
      <c r="J41" s="219"/>
      <c r="K41" s="219" t="s">
        <v>43</v>
      </c>
    </row>
    <row r="42" spans="1:11" ht="15.95" customHeight="1">
      <c r="A42" s="214"/>
      <c r="B42" s="216"/>
      <c r="C42" s="216"/>
      <c r="D42" s="216"/>
      <c r="E42" s="220"/>
      <c r="F42" s="221"/>
      <c r="G42" s="220"/>
      <c r="H42" s="217"/>
      <c r="I42" s="217"/>
      <c r="J42" s="216"/>
      <c r="K42" s="217"/>
    </row>
    <row r="43" spans="1:11" ht="15.95" customHeight="1">
      <c r="A43" s="214"/>
      <c r="B43" s="216"/>
      <c r="C43" s="216"/>
      <c r="D43" s="216"/>
      <c r="E43" s="220"/>
      <c r="F43" s="221"/>
      <c r="G43" s="220"/>
      <c r="H43" s="217"/>
      <c r="I43" s="217"/>
      <c r="J43" s="216"/>
      <c r="K43" s="217"/>
    </row>
    <row r="44" spans="1:11" ht="15.95" customHeight="1">
      <c r="A44" s="230"/>
      <c r="B44" s="231"/>
      <c r="C44" s="231"/>
      <c r="D44" s="231"/>
      <c r="E44" s="231"/>
      <c r="F44" s="231"/>
      <c r="G44" s="231"/>
      <c r="H44" s="231"/>
      <c r="I44" s="231"/>
      <c r="J44" s="218" t="s">
        <v>44</v>
      </c>
      <c r="K44" s="232">
        <f>SUM(K43:K43)</f>
        <v>0</v>
      </c>
    </row>
    <row r="45" spans="1:11" ht="15.95" customHeight="1">
      <c r="A45" s="159" t="s">
        <v>45</v>
      </c>
      <c r="B45" s="219" t="s">
        <v>155</v>
      </c>
      <c r="C45" s="219" t="s">
        <v>23704</v>
      </c>
      <c r="D45" s="219" t="s">
        <v>156</v>
      </c>
      <c r="E45" s="219" t="s">
        <v>23706</v>
      </c>
      <c r="F45" s="219" t="s">
        <v>23707</v>
      </c>
      <c r="G45" s="219" t="s">
        <v>23710</v>
      </c>
      <c r="H45" s="219" t="s">
        <v>9026</v>
      </c>
      <c r="I45" s="219"/>
      <c r="J45" s="219"/>
      <c r="K45" s="219" t="s">
        <v>43</v>
      </c>
    </row>
    <row r="46" spans="1:11" ht="15.95" customHeight="1">
      <c r="A46" s="214" t="str">
        <f>VLOOKUP(D46,'15. CUSTOS DER - MÃO DE OBRA'!A:B,2,0)</f>
        <v>SERVENTE</v>
      </c>
      <c r="B46" s="216" t="s">
        <v>9013</v>
      </c>
      <c r="C46" s="216" t="s">
        <v>17664</v>
      </c>
      <c r="D46" s="216">
        <v>200130</v>
      </c>
      <c r="E46" s="217">
        <f>VLOOKUP(D46,'15. CUSTOS DER - MÃO DE OBRA'!A:C,3,0)</f>
        <v>2.2000000000000002</v>
      </c>
      <c r="F46" s="216"/>
      <c r="G46" s="160">
        <f>VLOOKUP(D46,'15. CUSTOS DER - MÃO DE OBRA'!A:D,4,0)</f>
        <v>31.46</v>
      </c>
      <c r="H46" s="220">
        <v>10.700000000000001</v>
      </c>
      <c r="I46" s="216"/>
      <c r="J46" s="216"/>
      <c r="K46" s="217">
        <f>G46*H46</f>
        <v>336.62200000000007</v>
      </c>
    </row>
    <row r="47" spans="1:11" ht="15.95" customHeight="1">
      <c r="A47" s="214"/>
      <c r="B47" s="216"/>
      <c r="C47" s="216"/>
      <c r="D47" s="216"/>
      <c r="E47" s="220"/>
      <c r="F47" s="221"/>
      <c r="G47" s="220"/>
      <c r="H47" s="217"/>
      <c r="I47" s="217"/>
      <c r="J47" s="216"/>
      <c r="K47" s="217"/>
    </row>
    <row r="48" spans="1:11" ht="15.95" customHeight="1">
      <c r="A48" s="230"/>
      <c r="B48" s="231"/>
      <c r="C48" s="231"/>
      <c r="D48" s="231"/>
      <c r="E48" s="231"/>
      <c r="F48" s="231"/>
      <c r="G48" s="231"/>
      <c r="H48" s="231"/>
      <c r="I48" s="231"/>
      <c r="J48" s="218" t="s">
        <v>48</v>
      </c>
      <c r="K48" s="232">
        <f>SUM(K46:K46)</f>
        <v>336.62200000000007</v>
      </c>
    </row>
    <row r="49" spans="1:11" ht="15.95" customHeight="1">
      <c r="A49" s="159" t="s">
        <v>49</v>
      </c>
      <c r="B49" s="219" t="s">
        <v>155</v>
      </c>
      <c r="C49" s="219" t="s">
        <v>23704</v>
      </c>
      <c r="D49" s="219" t="s">
        <v>156</v>
      </c>
      <c r="E49" s="219" t="s">
        <v>14</v>
      </c>
      <c r="F49" s="219" t="s">
        <v>50</v>
      </c>
      <c r="G49" s="219" t="s">
        <v>23709</v>
      </c>
      <c r="H49" s="219" t="s">
        <v>23718</v>
      </c>
      <c r="I49" s="219"/>
      <c r="J49" s="219"/>
      <c r="K49" s="219" t="s">
        <v>1187</v>
      </c>
    </row>
    <row r="50" spans="1:11" ht="15.95" customHeight="1">
      <c r="A50" s="214"/>
      <c r="B50" s="216"/>
      <c r="C50" s="216"/>
      <c r="D50" s="216"/>
      <c r="E50" s="220"/>
      <c r="F50" s="221"/>
      <c r="G50" s="220"/>
      <c r="H50" s="217"/>
      <c r="I50" s="217"/>
      <c r="J50" s="216"/>
      <c r="K50" s="217"/>
    </row>
    <row r="51" spans="1:11" ht="15.95" customHeight="1">
      <c r="A51" s="214"/>
      <c r="B51" s="216"/>
      <c r="C51" s="216"/>
      <c r="D51" s="216"/>
      <c r="E51" s="220"/>
      <c r="F51" s="221"/>
      <c r="G51" s="220"/>
      <c r="H51" s="217"/>
      <c r="I51" s="217"/>
      <c r="J51" s="216"/>
      <c r="K51" s="217"/>
    </row>
    <row r="52" spans="1:11" ht="15.95" customHeight="1">
      <c r="A52" s="230"/>
      <c r="B52" s="231"/>
      <c r="C52" s="231"/>
      <c r="D52" s="231"/>
      <c r="E52" s="231"/>
      <c r="F52" s="231"/>
      <c r="G52" s="231"/>
      <c r="H52" s="231"/>
      <c r="I52" s="231"/>
      <c r="J52" s="218" t="s">
        <v>51</v>
      </c>
      <c r="K52" s="232"/>
    </row>
    <row r="53" spans="1:11" ht="15.95" customHeight="1">
      <c r="A53" s="557" t="s">
        <v>52</v>
      </c>
      <c r="B53" s="557"/>
      <c r="C53" s="557"/>
      <c r="D53" s="557"/>
      <c r="E53" s="557"/>
      <c r="F53" s="557"/>
      <c r="G53" s="557"/>
      <c r="H53" s="557"/>
      <c r="I53" s="557"/>
      <c r="J53" s="557"/>
      <c r="K53" s="232">
        <f>K44+K48+K52</f>
        <v>336.62200000000007</v>
      </c>
    </row>
    <row r="54" spans="1:11" ht="15.95" customHeight="1">
      <c r="A54" s="557" t="s">
        <v>53</v>
      </c>
      <c r="B54" s="557"/>
      <c r="C54" s="557"/>
      <c r="D54" s="557"/>
      <c r="E54" s="557"/>
      <c r="F54" s="557"/>
      <c r="G54" s="557"/>
      <c r="H54" s="557"/>
      <c r="I54" s="557"/>
      <c r="J54" s="557"/>
      <c r="K54" s="232">
        <v>1</v>
      </c>
    </row>
    <row r="55" spans="1:11" ht="15.95" customHeight="1">
      <c r="A55" s="562" t="s">
        <v>54</v>
      </c>
      <c r="B55" s="562"/>
      <c r="C55" s="562"/>
      <c r="D55" s="562"/>
      <c r="E55" s="562"/>
      <c r="F55" s="562"/>
      <c r="G55" s="562"/>
      <c r="H55" s="562"/>
      <c r="I55" s="562"/>
      <c r="J55" s="562"/>
      <c r="K55" s="254">
        <f>IF(K53=0,0,K53/K54)</f>
        <v>336.62200000000007</v>
      </c>
    </row>
    <row r="56" spans="1:11" ht="15.95" customHeight="1">
      <c r="A56" s="159" t="s">
        <v>23714</v>
      </c>
      <c r="B56" s="219" t="s">
        <v>155</v>
      </c>
      <c r="C56" s="219" t="s">
        <v>23704</v>
      </c>
      <c r="D56" s="219" t="s">
        <v>156</v>
      </c>
      <c r="E56" s="219" t="s">
        <v>22696</v>
      </c>
      <c r="F56" s="159" t="s">
        <v>159</v>
      </c>
      <c r="G56" s="219" t="s">
        <v>23719</v>
      </c>
      <c r="H56" s="219" t="s">
        <v>23712</v>
      </c>
      <c r="I56" s="219" t="s">
        <v>23705</v>
      </c>
      <c r="J56" s="219" t="s">
        <v>9026</v>
      </c>
      <c r="K56" s="219" t="s">
        <v>159</v>
      </c>
    </row>
    <row r="57" spans="1:11" ht="31.5">
      <c r="A57" s="222" t="str">
        <f>UPPER(VLOOKUP(D57,'19. CUSTOS DNIT - MATERIAIS'!A:B,2,0))</f>
        <v>CILINDRO CANALIZADOR DE TRÁFEGO EM POLIETILENO - H = 117 CM E BASE QUADRADA DE 60 X 60 CM</v>
      </c>
      <c r="B57" s="225" t="s">
        <v>22708</v>
      </c>
      <c r="C57" s="225" t="s">
        <v>68</v>
      </c>
      <c r="D57" s="216" t="s">
        <v>96</v>
      </c>
      <c r="E57" s="223" t="str">
        <f>VLOOKUP(D57,'19. CUSTOS DNIT - MATERIAIS'!A:C,3,0)</f>
        <v>UN</v>
      </c>
      <c r="F57" s="161">
        <f>VLOOKUP(D57,'19. CUSTOS DNIT - MATERIAIS'!A:D,4,0)</f>
        <v>193.29159999999999</v>
      </c>
      <c r="G57" s="224">
        <v>600</v>
      </c>
      <c r="H57" s="220">
        <v>1</v>
      </c>
      <c r="I57" s="220">
        <v>214</v>
      </c>
      <c r="J57" s="220">
        <v>0.35666666666666669</v>
      </c>
      <c r="K57" s="217">
        <f>F57*J57</f>
        <v>68.940670666666662</v>
      </c>
    </row>
    <row r="58" spans="1:11" ht="31.5">
      <c r="A58" s="222" t="str">
        <f>UPPER(VLOOKUP(D58,'18. CUSTOS DNIT - SERVIÇOS'!A:B,2,0))</f>
        <v>BARREIRA DE SINALIZAÇÃO TIPO III DE DIRECIONAMENTO OU BLOQUEIO - CONFECÇÃO</v>
      </c>
      <c r="B58" s="225" t="s">
        <v>22708</v>
      </c>
      <c r="C58" s="225" t="s">
        <v>17662</v>
      </c>
      <c r="D58" s="216">
        <v>5213387</v>
      </c>
      <c r="E58" s="223" t="str">
        <f>VLOOKUP(D58,'18. CUSTOS DNIT - SERVIÇOS'!A:C,3,0)</f>
        <v>un</v>
      </c>
      <c r="F58" s="161">
        <f>VLOOKUP(D58,'18. CUSTOS DNIT - SERVIÇOS'!A:D,4,0)</f>
        <v>717.57</v>
      </c>
      <c r="G58" s="224">
        <v>150</v>
      </c>
      <c r="H58" s="220">
        <v>1</v>
      </c>
      <c r="I58" s="220">
        <v>4</v>
      </c>
      <c r="J58" s="220">
        <v>2.6666666666666668E-2</v>
      </c>
      <c r="K58" s="217">
        <f>F58*J58</f>
        <v>19.135200000000001</v>
      </c>
    </row>
    <row r="59" spans="1:11" ht="15.95" customHeight="1">
      <c r="A59" s="222" t="str">
        <f>UPPER(VLOOKUP(D59,'19. CUSTOS DNIT - MATERIAIS'!A:B,2,0))</f>
        <v>SINALIZADOR A LED COM BATERIA</v>
      </c>
      <c r="B59" s="225" t="s">
        <v>22708</v>
      </c>
      <c r="C59" s="225" t="s">
        <v>68</v>
      </c>
      <c r="D59" s="233" t="s">
        <v>98</v>
      </c>
      <c r="E59" s="223" t="str">
        <f>VLOOKUP(D59,'19. CUSTOS DNIT - MATERIAIS'!A:C,3,0)</f>
        <v>UN</v>
      </c>
      <c r="F59" s="161">
        <f>VLOOKUP(D59,'19. CUSTOS DNIT - MATERIAIS'!A:D,4,0)</f>
        <v>205.58240000000001</v>
      </c>
      <c r="G59" s="224">
        <v>200</v>
      </c>
      <c r="H59" s="220">
        <v>1</v>
      </c>
      <c r="I59" s="220">
        <v>222</v>
      </c>
      <c r="J59" s="220">
        <v>1.1100000000000001</v>
      </c>
      <c r="K59" s="217">
        <f>F59*J59</f>
        <v>228.19646400000002</v>
      </c>
    </row>
    <row r="60" spans="1:11" ht="15.95" customHeight="1">
      <c r="A60" s="300"/>
      <c r="B60" s="257"/>
      <c r="C60" s="257"/>
      <c r="D60" s="257"/>
      <c r="E60" s="257"/>
      <c r="F60" s="257"/>
      <c r="G60" s="257"/>
      <c r="H60" s="257"/>
      <c r="I60" s="257"/>
      <c r="J60" s="260" t="s">
        <v>57</v>
      </c>
      <c r="K60" s="254">
        <f>SUM(K57:K59)</f>
        <v>316.27233466666667</v>
      </c>
    </row>
    <row r="61" spans="1:11" ht="15.95" customHeight="1">
      <c r="A61" s="159" t="s">
        <v>23713</v>
      </c>
      <c r="B61" s="219" t="s">
        <v>155</v>
      </c>
      <c r="C61" s="219" t="s">
        <v>23704</v>
      </c>
      <c r="D61" s="219" t="s">
        <v>156</v>
      </c>
      <c r="E61" s="219" t="s">
        <v>22696</v>
      </c>
      <c r="F61" s="159" t="s">
        <v>159</v>
      </c>
      <c r="G61" s="219" t="s">
        <v>23719</v>
      </c>
      <c r="H61" s="219" t="s">
        <v>23712</v>
      </c>
      <c r="I61" s="219" t="s">
        <v>23705</v>
      </c>
      <c r="J61" s="219" t="s">
        <v>9026</v>
      </c>
      <c r="K61" s="219" t="s">
        <v>159</v>
      </c>
    </row>
    <row r="62" spans="1:11">
      <c r="A62" s="222" t="str">
        <f>VLOOKUP(D62,'13. CUSTOS DER - SERVIÇOS'!A:B,2,0)</f>
        <v>PLACA SINALIZAÇÃO C/ PELÍCULA REFLETIVA</v>
      </c>
      <c r="B62" s="225" t="s">
        <v>9013</v>
      </c>
      <c r="C62" s="225" t="s">
        <v>17662</v>
      </c>
      <c r="D62" s="225">
        <v>820000</v>
      </c>
      <c r="E62" s="225" t="str">
        <f>VLOOKUP(D62,'13. CUSTOS DER - SERVIÇOS'!A:C,3,0)</f>
        <v>M2</v>
      </c>
      <c r="F62" s="224">
        <f>VLOOKUP(D62,'13. CUSTOS DER - SERVIÇOS'!A:G,7,0)</f>
        <v>542.29999999999995</v>
      </c>
      <c r="G62" s="224">
        <v>20</v>
      </c>
      <c r="H62" s="220">
        <v>0.50265482457436694</v>
      </c>
      <c r="I62" s="220">
        <v>8</v>
      </c>
      <c r="J62" s="220">
        <v>0.20106192982974677</v>
      </c>
      <c r="K62" s="217">
        <f t="shared" ref="K62:K68" si="0">F62*J62</f>
        <v>109.03588454667167</v>
      </c>
    </row>
    <row r="63" spans="1:11">
      <c r="A63" s="222" t="str">
        <f>VLOOKUP(D63,'13. CUSTOS DER - SERVIÇOS'!A:B,2,0)</f>
        <v>PLACA SINALIZAÇÃO C/ PELÍCULA REFLETIVA</v>
      </c>
      <c r="B63" s="225" t="s">
        <v>9013</v>
      </c>
      <c r="C63" s="225" t="s">
        <v>17662</v>
      </c>
      <c r="D63" s="225">
        <v>820000</v>
      </c>
      <c r="E63" s="225" t="str">
        <f>VLOOKUP(D63,'13. CUSTOS DER - SERVIÇOS'!A:C,3,0)</f>
        <v>M2</v>
      </c>
      <c r="F63" s="224">
        <f>VLOOKUP(D63,'13. CUSTOS DER - SERVIÇOS'!A:G,7,0)</f>
        <v>542.29999999999995</v>
      </c>
      <c r="G63" s="224">
        <v>20</v>
      </c>
      <c r="H63" s="220">
        <v>0.64000000000000012</v>
      </c>
      <c r="I63" s="220">
        <v>2</v>
      </c>
      <c r="J63" s="220">
        <v>6.4000000000000015E-2</v>
      </c>
      <c r="K63" s="217">
        <f t="shared" si="0"/>
        <v>34.707200000000007</v>
      </c>
    </row>
    <row r="64" spans="1:11">
      <c r="A64" s="222" t="str">
        <f>VLOOKUP(D64,'13. CUSTOS DER - SERVIÇOS'!A:B,2,0)</f>
        <v>PLACA SINALIZAÇÃO C/ PELÍCULA REFLETIVA</v>
      </c>
      <c r="B64" s="225" t="s">
        <v>9013</v>
      </c>
      <c r="C64" s="225" t="s">
        <v>17662</v>
      </c>
      <c r="D64" s="225">
        <v>820000</v>
      </c>
      <c r="E64" s="225" t="str">
        <f>VLOOKUP(D64,'13. CUSTOS DER - SERVIÇOS'!A:C,3,0)</f>
        <v>M2</v>
      </c>
      <c r="F64" s="224">
        <f>VLOOKUP(D64,'13. CUSTOS DER - SERVIÇOS'!A:G,7,0)</f>
        <v>542.29999999999995</v>
      </c>
      <c r="G64" s="224">
        <v>20</v>
      </c>
      <c r="H64" s="220">
        <v>0.8</v>
      </c>
      <c r="I64" s="220">
        <v>4</v>
      </c>
      <c r="J64" s="220">
        <v>0.16</v>
      </c>
      <c r="K64" s="217">
        <f t="shared" si="0"/>
        <v>86.768000000000001</v>
      </c>
    </row>
    <row r="65" spans="1:11">
      <c r="A65" s="222" t="str">
        <f>VLOOKUP(D65,'13. CUSTOS DER - SERVIÇOS'!A:B,2,0)</f>
        <v>PLACA SINALIZAÇÃO C/ PELÍCULA REFLETIVA</v>
      </c>
      <c r="B65" s="225" t="s">
        <v>9013</v>
      </c>
      <c r="C65" s="225" t="s">
        <v>17662</v>
      </c>
      <c r="D65" s="225">
        <v>820000</v>
      </c>
      <c r="E65" s="225" t="str">
        <f>VLOOKUP(D65,'13. CUSTOS DER - SERVIÇOS'!A:C,3,0)</f>
        <v>M2</v>
      </c>
      <c r="F65" s="224">
        <f>VLOOKUP(D65,'13. CUSTOS DER - SERVIÇOS'!A:G,7,0)</f>
        <v>542.29999999999995</v>
      </c>
      <c r="G65" s="224">
        <v>20</v>
      </c>
      <c r="H65" s="220">
        <v>0.75</v>
      </c>
      <c r="I65" s="220">
        <v>2</v>
      </c>
      <c r="J65" s="220">
        <v>7.4999999999999997E-2</v>
      </c>
      <c r="K65" s="217">
        <f t="shared" si="0"/>
        <v>40.672499999999992</v>
      </c>
    </row>
    <row r="66" spans="1:11">
      <c r="A66" s="222" t="str">
        <f>VLOOKUP(D66,'13. CUSTOS DER - SERVIÇOS'!A:B,2,0)</f>
        <v>PLACA SINALIZAÇÃO C/ PELÍCULA REFLETIVA</v>
      </c>
      <c r="B66" s="225" t="s">
        <v>9013</v>
      </c>
      <c r="C66" s="225" t="s">
        <v>17662</v>
      </c>
      <c r="D66" s="225">
        <v>820000</v>
      </c>
      <c r="E66" s="225" t="str">
        <f>VLOOKUP(D66,'13. CUSTOS DER - SERVIÇOS'!A:C,3,0)</f>
        <v>M2</v>
      </c>
      <c r="F66" s="224">
        <f>VLOOKUP(D66,'13. CUSTOS DER - SERVIÇOS'!A:G,7,0)</f>
        <v>542.29999999999995</v>
      </c>
      <c r="G66" s="224">
        <v>20</v>
      </c>
      <c r="H66" s="220">
        <v>1.2000000000000002</v>
      </c>
      <c r="I66" s="220">
        <v>2</v>
      </c>
      <c r="J66" s="220">
        <v>0.12000000000000002</v>
      </c>
      <c r="K66" s="217">
        <f t="shared" si="0"/>
        <v>65.076000000000008</v>
      </c>
    </row>
    <row r="67" spans="1:11">
      <c r="A67" s="222" t="str">
        <f>VLOOKUP(D67,'13. CUSTOS DER - SERVIÇOS'!A:B,2,0)</f>
        <v>PLACA SINALIZAÇÃO C/ PELÍCULA REFLETIVA</v>
      </c>
      <c r="B67" s="225" t="s">
        <v>9013</v>
      </c>
      <c r="C67" s="225" t="s">
        <v>17662</v>
      </c>
      <c r="D67" s="225">
        <v>820000</v>
      </c>
      <c r="E67" s="225" t="str">
        <f>VLOOKUP(D67,'13. CUSTOS DER - SERVIÇOS'!A:C,3,0)</f>
        <v>M2</v>
      </c>
      <c r="F67" s="224">
        <f>VLOOKUP(D67,'13. CUSTOS DER - SERVIÇOS'!A:G,7,0)</f>
        <v>542.29999999999995</v>
      </c>
      <c r="G67" s="224">
        <v>20</v>
      </c>
      <c r="H67" s="220">
        <v>1.5</v>
      </c>
      <c r="I67" s="220">
        <v>6</v>
      </c>
      <c r="J67" s="220">
        <v>0.44999999999999996</v>
      </c>
      <c r="K67" s="217">
        <f t="shared" si="0"/>
        <v>244.03499999999997</v>
      </c>
    </row>
    <row r="68" spans="1:11">
      <c r="A68" s="222" t="str">
        <f>VLOOKUP(D68,'13. CUSTOS DER - SERVIÇOS'!A:B,2,0)</f>
        <v>SUPORTE DE MADEIRA 3"X3" P/ PLACA SINALIZAÇÃO, H=3,00M</v>
      </c>
      <c r="B68" s="225" t="s">
        <v>9013</v>
      </c>
      <c r="C68" s="225" t="s">
        <v>17662</v>
      </c>
      <c r="D68" s="225">
        <v>821000</v>
      </c>
      <c r="E68" s="225" t="str">
        <f>VLOOKUP(D68,'13. CUSTOS DER - SERVIÇOS'!A:C,3,0)</f>
        <v>UD</v>
      </c>
      <c r="F68" s="224">
        <f>VLOOKUP(D68,'13. CUSTOS DER - SERVIÇOS'!A:G,7,0)</f>
        <v>167.69</v>
      </c>
      <c r="G68" s="224">
        <v>5</v>
      </c>
      <c r="H68" s="220">
        <v>1</v>
      </c>
      <c r="I68" s="220">
        <v>22</v>
      </c>
      <c r="J68" s="220">
        <v>4.4000000000000004</v>
      </c>
      <c r="K68" s="217">
        <f t="shared" si="0"/>
        <v>737.83600000000001</v>
      </c>
    </row>
    <row r="69" spans="1:11" ht="15.95" customHeight="1">
      <c r="A69" s="300"/>
      <c r="B69" s="257"/>
      <c r="C69" s="257"/>
      <c r="D69" s="257"/>
      <c r="E69" s="257"/>
      <c r="F69" s="257"/>
      <c r="G69" s="257"/>
      <c r="H69" s="257"/>
      <c r="I69" s="257"/>
      <c r="J69" s="260" t="s">
        <v>59</v>
      </c>
      <c r="K69" s="254">
        <f>SUM(K62:K68)</f>
        <v>1318.1305845466718</v>
      </c>
    </row>
    <row r="70" spans="1:11">
      <c r="A70" s="163" t="s">
        <v>17670</v>
      </c>
      <c r="B70" s="163" t="s">
        <v>17672</v>
      </c>
      <c r="C70" s="163" t="s">
        <v>331</v>
      </c>
      <c r="D70" s="563" t="s">
        <v>22718</v>
      </c>
      <c r="E70" s="563"/>
      <c r="F70" s="563"/>
      <c r="G70" s="563"/>
      <c r="H70" s="563"/>
      <c r="I70" s="563"/>
      <c r="J70" s="163" t="s">
        <v>17667</v>
      </c>
      <c r="K70" s="235">
        <f>K81+K87+K95</f>
        <v>3189.9082085466716</v>
      </c>
    </row>
    <row r="71" spans="1:11" ht="15.95" customHeight="1">
      <c r="A71" s="159" t="s">
        <v>27</v>
      </c>
      <c r="B71" s="219" t="s">
        <v>155</v>
      </c>
      <c r="C71" s="219" t="s">
        <v>23704</v>
      </c>
      <c r="D71" s="219" t="s">
        <v>156</v>
      </c>
      <c r="E71" s="219" t="s">
        <v>23705</v>
      </c>
      <c r="F71" s="219" t="s">
        <v>23708</v>
      </c>
      <c r="G71" s="219" t="s">
        <v>23711</v>
      </c>
      <c r="H71" s="219" t="s">
        <v>23717</v>
      </c>
      <c r="I71" s="219" t="s">
        <v>42</v>
      </c>
      <c r="J71" s="219"/>
      <c r="K71" s="219" t="s">
        <v>43</v>
      </c>
    </row>
    <row r="72" spans="1:11" ht="15.95" customHeight="1">
      <c r="A72" s="214"/>
      <c r="B72" s="216"/>
      <c r="C72" s="216"/>
      <c r="D72" s="216"/>
      <c r="E72" s="220"/>
      <c r="F72" s="221"/>
      <c r="G72" s="220"/>
      <c r="H72" s="217"/>
      <c r="I72" s="217"/>
      <c r="J72" s="216"/>
      <c r="K72" s="217"/>
    </row>
    <row r="73" spans="1:11" ht="15.95" customHeight="1">
      <c r="A73" s="230"/>
      <c r="B73" s="231"/>
      <c r="C73" s="231"/>
      <c r="D73" s="231"/>
      <c r="E73" s="231"/>
      <c r="F73" s="231"/>
      <c r="G73" s="231"/>
      <c r="H73" s="231"/>
      <c r="I73" s="231"/>
      <c r="J73" s="218" t="s">
        <v>44</v>
      </c>
      <c r="K73" s="232">
        <f>SUM(K72:K72)</f>
        <v>0</v>
      </c>
    </row>
    <row r="74" spans="1:11" ht="15.95" customHeight="1">
      <c r="A74" s="159" t="s">
        <v>45</v>
      </c>
      <c r="B74" s="219" t="s">
        <v>155</v>
      </c>
      <c r="C74" s="219" t="s">
        <v>23704</v>
      </c>
      <c r="D74" s="219" t="s">
        <v>156</v>
      </c>
      <c r="E74" s="219" t="s">
        <v>23706</v>
      </c>
      <c r="F74" s="219" t="s">
        <v>23707</v>
      </c>
      <c r="G74" s="219" t="s">
        <v>23710</v>
      </c>
      <c r="H74" s="219" t="s">
        <v>9026</v>
      </c>
      <c r="I74" s="219"/>
      <c r="J74" s="219"/>
      <c r="K74" s="219" t="s">
        <v>43</v>
      </c>
    </row>
    <row r="75" spans="1:11" ht="15.95" customHeight="1">
      <c r="A75" s="214" t="str">
        <f>VLOOKUP(D75,'15. CUSTOS DER - MÃO DE OBRA'!A:B,2,0)</f>
        <v>SERVENTE</v>
      </c>
      <c r="B75" s="216" t="s">
        <v>9013</v>
      </c>
      <c r="C75" s="216" t="s">
        <v>17664</v>
      </c>
      <c r="D75" s="216">
        <v>200130</v>
      </c>
      <c r="E75" s="217">
        <f>VLOOKUP(D75,'15. CUSTOS DER - MÃO DE OBRA'!A:C,3,0)</f>
        <v>2.2000000000000002</v>
      </c>
      <c r="F75" s="216"/>
      <c r="G75" s="160">
        <f>VLOOKUP(D75,'15. CUSTOS DER - MÃO DE OBRA'!A:D,4,0)</f>
        <v>31.46</v>
      </c>
      <c r="H75" s="220">
        <v>50.3</v>
      </c>
      <c r="I75" s="216"/>
      <c r="J75" s="216"/>
      <c r="K75" s="217">
        <f>G75*H75</f>
        <v>1582.4379999999999</v>
      </c>
    </row>
    <row r="76" spans="1:11" ht="15.95" customHeight="1">
      <c r="A76" s="230"/>
      <c r="B76" s="231"/>
      <c r="C76" s="231"/>
      <c r="D76" s="231"/>
      <c r="E76" s="231"/>
      <c r="F76" s="231"/>
      <c r="G76" s="231"/>
      <c r="H76" s="231"/>
      <c r="I76" s="231"/>
      <c r="J76" s="218" t="s">
        <v>48</v>
      </c>
      <c r="K76" s="232">
        <f>SUM(K75:K75)</f>
        <v>1582.4379999999999</v>
      </c>
    </row>
    <row r="77" spans="1:11" ht="15.95" customHeight="1">
      <c r="A77" s="159" t="s">
        <v>23715</v>
      </c>
      <c r="B77" s="219" t="s">
        <v>155</v>
      </c>
      <c r="C77" s="219" t="s">
        <v>23704</v>
      </c>
      <c r="D77" s="219" t="s">
        <v>156</v>
      </c>
      <c r="E77" s="219" t="s">
        <v>14</v>
      </c>
      <c r="F77" s="219" t="s">
        <v>50</v>
      </c>
      <c r="G77" s="219" t="s">
        <v>23709</v>
      </c>
      <c r="H77" s="219" t="s">
        <v>23718</v>
      </c>
      <c r="I77" s="219"/>
      <c r="J77" s="219"/>
      <c r="K77" s="219" t="s">
        <v>1187</v>
      </c>
    </row>
    <row r="78" spans="1:11" ht="15.95" customHeight="1">
      <c r="A78" s="214"/>
      <c r="B78" s="216"/>
      <c r="C78" s="216"/>
      <c r="D78" s="216"/>
      <c r="E78" s="216"/>
      <c r="F78" s="216"/>
      <c r="G78" s="216"/>
      <c r="H78" s="216"/>
      <c r="I78" s="216"/>
      <c r="J78" s="215" t="s">
        <v>51</v>
      </c>
      <c r="K78" s="217"/>
    </row>
    <row r="79" spans="1:11" ht="15.95" customHeight="1">
      <c r="A79" s="557" t="s">
        <v>52</v>
      </c>
      <c r="B79" s="557"/>
      <c r="C79" s="557"/>
      <c r="D79" s="557"/>
      <c r="E79" s="557"/>
      <c r="F79" s="557"/>
      <c r="G79" s="557"/>
      <c r="H79" s="557"/>
      <c r="I79" s="557"/>
      <c r="J79" s="557"/>
      <c r="K79" s="232">
        <f>K73+K76+K78</f>
        <v>1582.4379999999999</v>
      </c>
    </row>
    <row r="80" spans="1:11" ht="15.95" customHeight="1">
      <c r="A80" s="557" t="s">
        <v>53</v>
      </c>
      <c r="B80" s="557"/>
      <c r="C80" s="557"/>
      <c r="D80" s="557"/>
      <c r="E80" s="557"/>
      <c r="F80" s="557"/>
      <c r="G80" s="557"/>
      <c r="H80" s="557"/>
      <c r="I80" s="557"/>
      <c r="J80" s="557"/>
      <c r="K80" s="232">
        <v>1</v>
      </c>
    </row>
    <row r="81" spans="1:11" ht="15.95" customHeight="1">
      <c r="A81" s="562" t="s">
        <v>54</v>
      </c>
      <c r="B81" s="562"/>
      <c r="C81" s="562"/>
      <c r="D81" s="562"/>
      <c r="E81" s="562"/>
      <c r="F81" s="562"/>
      <c r="G81" s="562"/>
      <c r="H81" s="562"/>
      <c r="I81" s="562"/>
      <c r="J81" s="562"/>
      <c r="K81" s="254">
        <f>IF(K79=0,0,K79/K80)</f>
        <v>1582.4379999999999</v>
      </c>
    </row>
    <row r="82" spans="1:11" ht="15.95" customHeight="1">
      <c r="A82" s="159" t="s">
        <v>23714</v>
      </c>
      <c r="B82" s="219" t="s">
        <v>155</v>
      </c>
      <c r="C82" s="219" t="s">
        <v>23704</v>
      </c>
      <c r="D82" s="219" t="s">
        <v>156</v>
      </c>
      <c r="E82" s="219" t="s">
        <v>22696</v>
      </c>
      <c r="F82" s="159" t="s">
        <v>159</v>
      </c>
      <c r="G82" s="219" t="s">
        <v>23719</v>
      </c>
      <c r="H82" s="219" t="s">
        <v>23712</v>
      </c>
      <c r="I82" s="219" t="s">
        <v>23705</v>
      </c>
      <c r="J82" s="219" t="s">
        <v>9026</v>
      </c>
      <c r="K82" s="219" t="s">
        <v>159</v>
      </c>
    </row>
    <row r="83" spans="1:11" ht="31.5">
      <c r="A83" s="222" t="str">
        <f>UPPER(VLOOKUP(D83,'19. CUSTOS DNIT - MATERIAIS'!A:B,2,0))</f>
        <v>CONE DE SINALIZAÇÃO EM POLIETILENO - H = 75 CM E BASE QUADRADA DE 40 X 40 CM</v>
      </c>
      <c r="B83" s="225" t="s">
        <v>22708</v>
      </c>
      <c r="C83" s="225" t="s">
        <v>68</v>
      </c>
      <c r="D83" s="233" t="s">
        <v>95</v>
      </c>
      <c r="E83" s="223" t="str">
        <f>VLOOKUP(D83,'19. CUSTOS DNIT - MATERIAIS'!A:C,3,0)</f>
        <v>UN</v>
      </c>
      <c r="F83" s="161">
        <f>VLOOKUP(D83,'19. CUSTOS DNIT - MATERIAIS'!A:D,4,0)</f>
        <v>94.757400000000004</v>
      </c>
      <c r="G83" s="224">
        <v>600</v>
      </c>
      <c r="H83" s="220">
        <v>1</v>
      </c>
      <c r="I83" s="220">
        <v>40</v>
      </c>
      <c r="J83" s="220">
        <v>6.6666666666666666E-2</v>
      </c>
      <c r="K83" s="217">
        <f>F83*J83</f>
        <v>6.3171600000000003</v>
      </c>
    </row>
    <row r="84" spans="1:11" ht="31.5">
      <c r="A84" s="222" t="str">
        <f>UPPER(VLOOKUP(D84,'19. CUSTOS DNIT - MATERIAIS'!A:B,2,0))</f>
        <v>CILINDRO CANALIZADOR DE TRÁFEGO EM POLIETILENO - H = 117 CM E BASE QUADRADA DE 60 X 60 CM</v>
      </c>
      <c r="B84" s="225" t="s">
        <v>22708</v>
      </c>
      <c r="C84" s="225" t="s">
        <v>68</v>
      </c>
      <c r="D84" s="216" t="s">
        <v>96</v>
      </c>
      <c r="E84" s="223" t="str">
        <f>VLOOKUP(D84,'19. CUSTOS DNIT - MATERIAIS'!A:C,3,0)</f>
        <v>UN</v>
      </c>
      <c r="F84" s="161">
        <f>VLOOKUP(D84,'19. CUSTOS DNIT - MATERIAIS'!A:D,4,0)</f>
        <v>193.29159999999999</v>
      </c>
      <c r="G84" s="224">
        <v>600</v>
      </c>
      <c r="H84" s="220">
        <v>1</v>
      </c>
      <c r="I84" s="220">
        <v>6</v>
      </c>
      <c r="J84" s="220">
        <v>0.01</v>
      </c>
      <c r="K84" s="217">
        <f>F84*J84</f>
        <v>1.9329159999999999</v>
      </c>
    </row>
    <row r="85" spans="1:11" ht="31.5">
      <c r="A85" s="222" t="str">
        <f>UPPER(VLOOKUP(D85,'18. CUSTOS DNIT - SERVIÇOS'!A:B,2,0))</f>
        <v>BARREIRA DE SINALIZAÇÃO TIPO III DE DIRECIONAMENTO OU BLOQUEIO - CONFECÇÃO</v>
      </c>
      <c r="B85" s="225" t="s">
        <v>22708</v>
      </c>
      <c r="C85" s="225" t="s">
        <v>17662</v>
      </c>
      <c r="D85" s="216">
        <v>5213387</v>
      </c>
      <c r="E85" s="223" t="str">
        <f>VLOOKUP(D85,'18. CUSTOS DNIT - SERVIÇOS'!A:C,3,0)</f>
        <v>un</v>
      </c>
      <c r="F85" s="161">
        <f>VLOOKUP(D85,'18. CUSTOS DNIT - SERVIÇOS'!A:D,4,0)</f>
        <v>717.57</v>
      </c>
      <c r="G85" s="224">
        <v>150</v>
      </c>
      <c r="H85" s="220">
        <v>1</v>
      </c>
      <c r="I85" s="220">
        <v>4</v>
      </c>
      <c r="J85" s="220">
        <v>2.6666666666666668E-2</v>
      </c>
      <c r="K85" s="217">
        <f>F85*J85</f>
        <v>19.135200000000001</v>
      </c>
    </row>
    <row r="86" spans="1:11" ht="19.5" customHeight="1">
      <c r="A86" s="222" t="str">
        <f>UPPER(VLOOKUP(D86,'19. CUSTOS DNIT - MATERIAIS'!A:B,2,0))</f>
        <v>SINALIZADOR A LED COM BATERIA</v>
      </c>
      <c r="B86" s="225" t="s">
        <v>22708</v>
      </c>
      <c r="C86" s="225" t="s">
        <v>68</v>
      </c>
      <c r="D86" s="233" t="s">
        <v>98</v>
      </c>
      <c r="E86" s="223" t="str">
        <f>VLOOKUP(D86,'19. CUSTOS DNIT - MATERIAIS'!A:C,3,0)</f>
        <v>UN</v>
      </c>
      <c r="F86" s="161">
        <f>VLOOKUP(D86,'19. CUSTOS DNIT - MATERIAIS'!A:D,4,0)</f>
        <v>205.58240000000001</v>
      </c>
      <c r="G86" s="224">
        <v>200</v>
      </c>
      <c r="H86" s="220">
        <v>1</v>
      </c>
      <c r="I86" s="220">
        <v>54</v>
      </c>
      <c r="J86" s="220">
        <v>0.27</v>
      </c>
      <c r="K86" s="217">
        <f>F86*J86</f>
        <v>55.507248000000004</v>
      </c>
    </row>
    <row r="87" spans="1:11" ht="15.95" customHeight="1">
      <c r="A87" s="300"/>
      <c r="B87" s="257"/>
      <c r="C87" s="257"/>
      <c r="D87" s="257"/>
      <c r="E87" s="257"/>
      <c r="F87" s="257"/>
      <c r="G87" s="257"/>
      <c r="H87" s="257"/>
      <c r="I87" s="257"/>
      <c r="J87" s="260" t="s">
        <v>57</v>
      </c>
      <c r="K87" s="254">
        <f>SUM(K83:K86)</f>
        <v>82.892524000000009</v>
      </c>
    </row>
    <row r="88" spans="1:11" ht="15.95" customHeight="1">
      <c r="A88" s="159" t="s">
        <v>23713</v>
      </c>
      <c r="B88" s="219" t="s">
        <v>155</v>
      </c>
      <c r="C88" s="219" t="s">
        <v>23704</v>
      </c>
      <c r="D88" s="219" t="s">
        <v>156</v>
      </c>
      <c r="E88" s="219" t="s">
        <v>22696</v>
      </c>
      <c r="F88" s="159" t="s">
        <v>159</v>
      </c>
      <c r="G88" s="219" t="s">
        <v>23719</v>
      </c>
      <c r="H88" s="219" t="s">
        <v>23712</v>
      </c>
      <c r="I88" s="219" t="s">
        <v>23705</v>
      </c>
      <c r="J88" s="219" t="s">
        <v>9026</v>
      </c>
      <c r="K88" s="219" t="s">
        <v>159</v>
      </c>
    </row>
    <row r="89" spans="1:11">
      <c r="A89" s="222" t="str">
        <f>VLOOKUP(D89,'13. CUSTOS DER - SERVIÇOS'!A:B,2,0)</f>
        <v>PLACA SINALIZAÇÃO C/ PELÍCULA REFLETIVA</v>
      </c>
      <c r="B89" s="225" t="s">
        <v>9013</v>
      </c>
      <c r="C89" s="225" t="s">
        <v>17662</v>
      </c>
      <c r="D89" s="225">
        <v>820000</v>
      </c>
      <c r="E89" s="225" t="str">
        <f>VLOOKUP(D89,'13. CUSTOS DER - SERVIÇOS'!A:C,3,0)</f>
        <v>M2</v>
      </c>
      <c r="F89" s="224">
        <f>VLOOKUP(D89,'13. CUSTOS DER - SERVIÇOS'!A:G,7,0)</f>
        <v>542.29999999999995</v>
      </c>
      <c r="G89" s="224">
        <v>20</v>
      </c>
      <c r="H89" s="220">
        <v>0.50265482457436694</v>
      </c>
      <c r="I89" s="220">
        <v>8</v>
      </c>
      <c r="J89" s="220">
        <v>0.20106192982974677</v>
      </c>
      <c r="K89" s="217">
        <f t="shared" ref="K89:K94" si="1">F89*J89</f>
        <v>109.03588454667167</v>
      </c>
    </row>
    <row r="90" spans="1:11">
      <c r="A90" s="222" t="str">
        <f>VLOOKUP(D90,'13. CUSTOS DER - SERVIÇOS'!A:B,2,0)</f>
        <v>PLACA SINALIZAÇÃO C/ PELÍCULA REFLETIVA</v>
      </c>
      <c r="B90" s="225" t="s">
        <v>9013</v>
      </c>
      <c r="C90" s="225" t="s">
        <v>17662</v>
      </c>
      <c r="D90" s="225">
        <v>820000</v>
      </c>
      <c r="E90" s="225" t="str">
        <f>VLOOKUP(D90,'13. CUSTOS DER - SERVIÇOS'!A:C,3,0)</f>
        <v>M2</v>
      </c>
      <c r="F90" s="224">
        <f>VLOOKUP(D90,'13. CUSTOS DER - SERVIÇOS'!A:G,7,0)</f>
        <v>542.29999999999995</v>
      </c>
      <c r="G90" s="224">
        <v>20</v>
      </c>
      <c r="H90" s="220">
        <v>0.64000000000000012</v>
      </c>
      <c r="I90" s="220">
        <v>8</v>
      </c>
      <c r="J90" s="220">
        <v>0.25600000000000006</v>
      </c>
      <c r="K90" s="217">
        <f t="shared" si="1"/>
        <v>138.82880000000003</v>
      </c>
    </row>
    <row r="91" spans="1:11">
      <c r="A91" s="222" t="str">
        <f>VLOOKUP(D91,'13. CUSTOS DER - SERVIÇOS'!A:B,2,0)</f>
        <v>PLACA SINALIZAÇÃO C/ PELÍCULA REFLETIVA</v>
      </c>
      <c r="B91" s="225" t="s">
        <v>9013</v>
      </c>
      <c r="C91" s="225" t="s">
        <v>17662</v>
      </c>
      <c r="D91" s="225">
        <v>820000</v>
      </c>
      <c r="E91" s="225" t="str">
        <f>VLOOKUP(D91,'13. CUSTOS DER - SERVIÇOS'!A:C,3,0)</f>
        <v>M2</v>
      </c>
      <c r="F91" s="224">
        <f>VLOOKUP(D91,'13. CUSTOS DER - SERVIÇOS'!A:G,7,0)</f>
        <v>542.29999999999995</v>
      </c>
      <c r="G91" s="224">
        <v>20</v>
      </c>
      <c r="H91" s="220">
        <v>0.75</v>
      </c>
      <c r="I91" s="220">
        <v>8</v>
      </c>
      <c r="J91" s="220">
        <v>0.3</v>
      </c>
      <c r="K91" s="217">
        <f t="shared" si="1"/>
        <v>162.68999999999997</v>
      </c>
    </row>
    <row r="92" spans="1:11">
      <c r="A92" s="222" t="str">
        <f>VLOOKUP(D92,'13. CUSTOS DER - SERVIÇOS'!A:B,2,0)</f>
        <v>PLACA SINALIZAÇÃO C/ PELÍCULA REFLETIVA</v>
      </c>
      <c r="B92" s="225" t="s">
        <v>9013</v>
      </c>
      <c r="C92" s="225" t="s">
        <v>17662</v>
      </c>
      <c r="D92" s="225">
        <v>820000</v>
      </c>
      <c r="E92" s="225" t="str">
        <f>VLOOKUP(D92,'13. CUSTOS DER - SERVIÇOS'!A:C,3,0)</f>
        <v>M2</v>
      </c>
      <c r="F92" s="224">
        <f>VLOOKUP(D92,'13. CUSTOS DER - SERVIÇOS'!A:G,7,0)</f>
        <v>542.29999999999995</v>
      </c>
      <c r="G92" s="224">
        <v>20</v>
      </c>
      <c r="H92" s="220">
        <v>1.2000000000000002</v>
      </c>
      <c r="I92" s="220">
        <v>2</v>
      </c>
      <c r="J92" s="220">
        <v>0.12000000000000002</v>
      </c>
      <c r="K92" s="217">
        <f t="shared" si="1"/>
        <v>65.076000000000008</v>
      </c>
    </row>
    <row r="93" spans="1:11">
      <c r="A93" s="222" t="str">
        <f>VLOOKUP(D93,'13. CUSTOS DER - SERVIÇOS'!A:B,2,0)</f>
        <v>PLACA SINALIZAÇÃO C/ PELÍCULA REFLETIVA</v>
      </c>
      <c r="B93" s="225" t="s">
        <v>9013</v>
      </c>
      <c r="C93" s="225" t="s">
        <v>17662</v>
      </c>
      <c r="D93" s="225">
        <v>820000</v>
      </c>
      <c r="E93" s="225" t="str">
        <f>VLOOKUP(D93,'13. CUSTOS DER - SERVIÇOS'!A:C,3,0)</f>
        <v>M2</v>
      </c>
      <c r="F93" s="224">
        <f>VLOOKUP(D93,'13. CUSTOS DER - SERVIÇOS'!A:G,7,0)</f>
        <v>542.29999999999995</v>
      </c>
      <c r="G93" s="224">
        <v>20</v>
      </c>
      <c r="H93" s="220">
        <v>1.5</v>
      </c>
      <c r="I93" s="220">
        <v>6</v>
      </c>
      <c r="J93" s="220">
        <v>0.44999999999999996</v>
      </c>
      <c r="K93" s="217">
        <f t="shared" si="1"/>
        <v>244.03499999999997</v>
      </c>
    </row>
    <row r="94" spans="1:11">
      <c r="A94" s="222" t="str">
        <f>VLOOKUP(D94,'13. CUSTOS DER - SERVIÇOS'!A:B,2,0)</f>
        <v>SUPORTE DE MADEIRA 3"X3" P/ PLACA SINALIZAÇÃO, H=3,00M</v>
      </c>
      <c r="B94" s="225" t="s">
        <v>9013</v>
      </c>
      <c r="C94" s="225" t="s">
        <v>17662</v>
      </c>
      <c r="D94" s="225">
        <v>821000</v>
      </c>
      <c r="E94" s="225" t="str">
        <f>VLOOKUP(D94,'13. CUSTOS DER - SERVIÇOS'!A:C,3,0)</f>
        <v>UD</v>
      </c>
      <c r="F94" s="224">
        <f>VLOOKUP(D94,'13. CUSTOS DER - SERVIÇOS'!A:G,7,0)</f>
        <v>167.69</v>
      </c>
      <c r="G94" s="224">
        <v>5</v>
      </c>
      <c r="H94" s="220">
        <v>1</v>
      </c>
      <c r="I94" s="220">
        <v>24</v>
      </c>
      <c r="J94" s="220">
        <v>4.8000000000000007</v>
      </c>
      <c r="K94" s="217">
        <f t="shared" si="1"/>
        <v>804.91200000000015</v>
      </c>
    </row>
    <row r="95" spans="1:11" ht="15.95" customHeight="1">
      <c r="A95" s="300"/>
      <c r="B95" s="300"/>
      <c r="C95" s="300"/>
      <c r="D95" s="300"/>
      <c r="E95" s="300"/>
      <c r="F95" s="257"/>
      <c r="G95" s="257"/>
      <c r="H95" s="257"/>
      <c r="I95" s="257"/>
      <c r="J95" s="260" t="s">
        <v>59</v>
      </c>
      <c r="K95" s="254">
        <f>SUM(K89:K94)</f>
        <v>1524.5776845466717</v>
      </c>
    </row>
  </sheetData>
  <autoFilter ref="A1:K95"/>
  <mergeCells count="17">
    <mergeCell ref="A25:J25"/>
    <mergeCell ref="A26:J26"/>
    <mergeCell ref="D40:I40"/>
    <mergeCell ref="D70:I70"/>
    <mergeCell ref="A79:J79"/>
    <mergeCell ref="A80:J80"/>
    <mergeCell ref="A81:J81"/>
    <mergeCell ref="A53:J53"/>
    <mergeCell ref="A54:J54"/>
    <mergeCell ref="A55:J55"/>
    <mergeCell ref="A3:J3"/>
    <mergeCell ref="A4:J4"/>
    <mergeCell ref="A5:J5"/>
    <mergeCell ref="A6:J6"/>
    <mergeCell ref="A24:J24"/>
    <mergeCell ref="D11:I11"/>
    <mergeCell ref="A10:K10"/>
  </mergeCells>
  <printOptions horizontalCentered="1"/>
  <pageMargins left="0.39370078740157483" right="0.39370078740157483" top="0.39370078740157483" bottom="0.59055118110236227" header="0.31496062992125984" footer="0.31496062992125984"/>
  <pageSetup paperSize="9" scale="66" fitToHeight="0" orientation="landscape" r:id="rId1"/>
  <headerFooter>
    <oddFooter>&amp;L&amp;9AGÊNCIA DE ASSUNTOS METROPOLITANOS DO PARANÁ - AMEP
DIRETORIA DE OBRAS&amp;C&amp;9ENGª CIBELE CRISTINE MELLO FRANCZAK
DIRETORA DE OBRAS&amp;R&amp;9Página &amp;P de &amp;N</oddFooter>
  </headerFooter>
  <rowBreaks count="2" manualBreakCount="2">
    <brk id="39" max="10" man="1"/>
    <brk id="69" max="1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pageSetUpPr fitToPage="1"/>
  </sheetPr>
  <dimension ref="A3:K32"/>
  <sheetViews>
    <sheetView showGridLines="0" zoomScale="80" zoomScaleNormal="80" zoomScaleSheetLayoutView="70" workbookViewId="0">
      <selection activeCell="B30" sqref="B30"/>
    </sheetView>
  </sheetViews>
  <sheetFormatPr defaultColWidth="9.140625" defaultRowHeight="15.75"/>
  <cols>
    <col min="1" max="1" width="45.140625" style="213" customWidth="1"/>
    <col min="2" max="2" width="30.7109375" style="227" customWidth="1"/>
    <col min="3" max="3" width="13.140625" style="227" bestFit="1" customWidth="1"/>
    <col min="4" max="9" width="13" style="213" customWidth="1"/>
    <col min="10" max="10" width="14.85546875" style="213" bestFit="1" customWidth="1"/>
    <col min="11" max="11" width="13.7109375" style="213" customWidth="1"/>
    <col min="12" max="12" width="13" style="213" bestFit="1" customWidth="1"/>
    <col min="13" max="17" width="9.140625" style="213"/>
    <col min="18" max="18" width="13.85546875" style="213" bestFit="1" customWidth="1"/>
    <col min="19" max="16384" width="9.140625" style="213"/>
  </cols>
  <sheetData>
    <row r="3" spans="1:11" s="6" customFormat="1">
      <c r="A3" s="495" t="s">
        <v>167</v>
      </c>
      <c r="B3" s="495"/>
      <c r="C3" s="495"/>
      <c r="D3" s="495"/>
      <c r="E3" s="495"/>
      <c r="F3" s="495"/>
      <c r="G3" s="495"/>
      <c r="H3" s="495"/>
      <c r="I3" s="495"/>
      <c r="J3" s="495"/>
    </row>
    <row r="4" spans="1:11" s="6" customFormat="1">
      <c r="A4" s="541" t="s">
        <v>165</v>
      </c>
      <c r="B4" s="541"/>
      <c r="C4" s="541"/>
      <c r="D4" s="541"/>
      <c r="E4" s="541"/>
      <c r="F4" s="541"/>
      <c r="G4" s="541"/>
      <c r="H4" s="541"/>
      <c r="I4" s="541"/>
      <c r="J4" s="541"/>
    </row>
    <row r="5" spans="1:11" s="6" customFormat="1">
      <c r="A5" s="539"/>
      <c r="B5" s="539"/>
      <c r="C5" s="539"/>
      <c r="D5" s="539"/>
      <c r="E5" s="539"/>
      <c r="F5" s="539"/>
      <c r="G5" s="539"/>
      <c r="H5" s="539"/>
      <c r="I5" s="539"/>
      <c r="J5" s="539"/>
    </row>
    <row r="6" spans="1:11" s="6" customFormat="1">
      <c r="A6" s="539" t="s">
        <v>25931</v>
      </c>
      <c r="B6" s="539"/>
      <c r="C6" s="539"/>
      <c r="D6" s="539"/>
      <c r="E6" s="539"/>
      <c r="F6" s="539"/>
      <c r="G6" s="539"/>
      <c r="H6" s="539"/>
      <c r="I6" s="539"/>
      <c r="J6" s="539"/>
    </row>
    <row r="7" spans="1:11" s="6" customFormat="1">
      <c r="A7" s="58"/>
      <c r="B7" s="58"/>
      <c r="C7" s="58"/>
      <c r="D7" s="4"/>
      <c r="E7" s="20"/>
      <c r="F7" s="20"/>
      <c r="J7" s="61"/>
    </row>
    <row r="8" spans="1:11" s="234" customFormat="1">
      <c r="A8" s="60"/>
      <c r="B8" s="226"/>
      <c r="C8" s="226"/>
      <c r="D8" s="210"/>
      <c r="E8" s="209"/>
      <c r="F8" s="209"/>
      <c r="G8" s="209"/>
      <c r="H8" s="211"/>
      <c r="I8" s="212"/>
      <c r="J8" s="60"/>
    </row>
    <row r="9" spans="1:11" s="234" customFormat="1">
      <c r="A9" s="565" t="s">
        <v>17673</v>
      </c>
      <c r="B9" s="565"/>
      <c r="C9" s="565"/>
      <c r="D9" s="565"/>
      <c r="E9" s="565"/>
      <c r="F9" s="565"/>
      <c r="G9" s="565"/>
      <c r="H9" s="565"/>
      <c r="I9" s="565"/>
      <c r="J9" s="565"/>
      <c r="K9" s="565"/>
    </row>
    <row r="10" spans="1:11">
      <c r="A10" s="163" t="s">
        <v>17675</v>
      </c>
      <c r="B10" s="163" t="s">
        <v>158</v>
      </c>
      <c r="C10" s="163" t="s">
        <v>951</v>
      </c>
      <c r="D10" s="563" t="s">
        <v>17674</v>
      </c>
      <c r="E10" s="563"/>
      <c r="F10" s="563"/>
      <c r="G10" s="563"/>
      <c r="H10" s="563"/>
      <c r="I10" s="563"/>
      <c r="J10" s="162" t="s">
        <v>17667</v>
      </c>
      <c r="K10" s="239">
        <f>K23+K29+K32</f>
        <v>411.61140000000006</v>
      </c>
    </row>
    <row r="11" spans="1:11" ht="15.95" customHeight="1">
      <c r="A11" s="159" t="s">
        <v>27</v>
      </c>
      <c r="B11" s="219" t="s">
        <v>11308</v>
      </c>
      <c r="C11" s="219" t="s">
        <v>17663</v>
      </c>
      <c r="D11" s="219" t="s">
        <v>0</v>
      </c>
      <c r="E11" s="219" t="s">
        <v>1</v>
      </c>
      <c r="F11" s="219" t="s">
        <v>39</v>
      </c>
      <c r="G11" s="219" t="s">
        <v>40</v>
      </c>
      <c r="H11" s="219" t="s">
        <v>41</v>
      </c>
      <c r="I11" s="219" t="s">
        <v>42</v>
      </c>
      <c r="J11" s="219"/>
      <c r="K11" s="219" t="s">
        <v>43</v>
      </c>
    </row>
    <row r="12" spans="1:11" ht="15.95" customHeight="1">
      <c r="A12" s="222"/>
      <c r="B12" s="225"/>
      <c r="C12" s="225"/>
      <c r="D12" s="216"/>
      <c r="E12" s="220"/>
      <c r="F12" s="217"/>
      <c r="G12" s="220"/>
      <c r="H12" s="224"/>
      <c r="I12" s="217"/>
      <c r="J12" s="216"/>
      <c r="K12" s="217"/>
    </row>
    <row r="13" spans="1:11" ht="15.95" customHeight="1">
      <c r="A13" s="230"/>
      <c r="B13" s="231"/>
      <c r="C13" s="231"/>
      <c r="D13" s="231"/>
      <c r="E13" s="231"/>
      <c r="F13" s="231"/>
      <c r="G13" s="231"/>
      <c r="H13" s="231"/>
      <c r="I13" s="231"/>
      <c r="J13" s="218" t="s">
        <v>44</v>
      </c>
      <c r="K13" s="232">
        <f>SUM(K12:K12)</f>
        <v>0</v>
      </c>
    </row>
    <row r="14" spans="1:11" ht="15.95" customHeight="1">
      <c r="A14" s="159" t="s">
        <v>45</v>
      </c>
      <c r="B14" s="219" t="s">
        <v>11308</v>
      </c>
      <c r="C14" s="219" t="s">
        <v>17663</v>
      </c>
      <c r="D14" s="219" t="s">
        <v>0</v>
      </c>
      <c r="E14" s="219" t="s">
        <v>36</v>
      </c>
      <c r="F14" s="219" t="s">
        <v>46</v>
      </c>
      <c r="G14" s="219" t="s">
        <v>47</v>
      </c>
      <c r="H14" s="219" t="s">
        <v>25</v>
      </c>
      <c r="I14" s="219"/>
      <c r="J14" s="219"/>
      <c r="K14" s="219" t="s">
        <v>43</v>
      </c>
    </row>
    <row r="15" spans="1:11" ht="15.95" customHeight="1">
      <c r="A15" s="214" t="str">
        <f>VLOOKUP(D15,'15. CUSTOS DER - MÃO DE OBRA'!A:B,2,0)</f>
        <v>CARPINTEIRO</v>
      </c>
      <c r="B15" s="216" t="s">
        <v>9013</v>
      </c>
      <c r="C15" s="216" t="s">
        <v>17664</v>
      </c>
      <c r="D15" s="216">
        <v>200240</v>
      </c>
      <c r="E15" s="217">
        <f>VLOOKUP(D15,'15. CUSTOS DER - MÃO DE OBRA'!A:C,3,0)</f>
        <v>2.4</v>
      </c>
      <c r="F15" s="216"/>
      <c r="G15" s="160">
        <f>VLOOKUP(D15,'15. CUSTOS DER - MÃO DE OBRA'!A:D,4,0)</f>
        <v>34.32</v>
      </c>
      <c r="H15" s="220">
        <v>1</v>
      </c>
      <c r="I15" s="216"/>
      <c r="J15" s="216"/>
      <c r="K15" s="217">
        <f>G15*H15</f>
        <v>34.32</v>
      </c>
    </row>
    <row r="16" spans="1:11" ht="15.95" customHeight="1">
      <c r="A16" s="214" t="str">
        <f>VLOOKUP(D16,'15. CUSTOS DER - MÃO DE OBRA'!A:B,2,0)</f>
        <v>SERVENTE</v>
      </c>
      <c r="B16" s="216" t="s">
        <v>9013</v>
      </c>
      <c r="C16" s="216" t="s">
        <v>17664</v>
      </c>
      <c r="D16" s="216">
        <v>200130</v>
      </c>
      <c r="E16" s="217">
        <f>VLOOKUP(D16,'15. CUSTOS DER - MÃO DE OBRA'!A:C,3,0)</f>
        <v>2.2000000000000002</v>
      </c>
      <c r="F16" s="216"/>
      <c r="G16" s="160">
        <f>VLOOKUP(D16,'15. CUSTOS DER - MÃO DE OBRA'!A:D,4,0)</f>
        <v>31.46</v>
      </c>
      <c r="H16" s="220">
        <v>2</v>
      </c>
      <c r="I16" s="216"/>
      <c r="J16" s="216"/>
      <c r="K16" s="217">
        <f>G16*H16</f>
        <v>62.92</v>
      </c>
    </row>
    <row r="17" spans="1:11" ht="15.95" customHeight="1">
      <c r="A17" s="230"/>
      <c r="B17" s="231"/>
      <c r="C17" s="231"/>
      <c r="D17" s="231"/>
      <c r="E17" s="231"/>
      <c r="F17" s="231"/>
      <c r="G17" s="231"/>
      <c r="H17" s="231"/>
      <c r="I17" s="231"/>
      <c r="J17" s="218" t="s">
        <v>48</v>
      </c>
      <c r="K17" s="232">
        <f>SUM(K15:K16)</f>
        <v>97.240000000000009</v>
      </c>
    </row>
    <row r="18" spans="1:11" ht="15.95" customHeight="1">
      <c r="A18" s="159" t="s">
        <v>49</v>
      </c>
      <c r="B18" s="219" t="s">
        <v>11308</v>
      </c>
      <c r="C18" s="219" t="s">
        <v>17663</v>
      </c>
      <c r="D18" s="219" t="s">
        <v>0</v>
      </c>
      <c r="E18" s="219" t="s">
        <v>14</v>
      </c>
      <c r="F18" s="219" t="s">
        <v>50</v>
      </c>
      <c r="G18" s="219" t="s">
        <v>29</v>
      </c>
      <c r="H18" s="219" t="s">
        <v>30</v>
      </c>
      <c r="I18" s="219"/>
      <c r="J18" s="219"/>
      <c r="K18" s="219" t="s">
        <v>33</v>
      </c>
    </row>
    <row r="19" spans="1:11" ht="15.95" customHeight="1">
      <c r="A19" s="214" t="s">
        <v>74</v>
      </c>
      <c r="B19" s="216"/>
      <c r="C19" s="216"/>
      <c r="D19" s="216">
        <v>29990</v>
      </c>
      <c r="E19" s="160">
        <v>5</v>
      </c>
      <c r="F19" s="216" t="s">
        <v>32</v>
      </c>
      <c r="G19" s="216"/>
      <c r="H19" s="216"/>
      <c r="I19" s="216"/>
      <c r="J19" s="216"/>
      <c r="K19" s="217">
        <f>TRUNC(K17*E19/100,2)</f>
        <v>4.8600000000000003</v>
      </c>
    </row>
    <row r="20" spans="1:11" ht="15.95" customHeight="1">
      <c r="A20" s="230"/>
      <c r="B20" s="231"/>
      <c r="C20" s="231"/>
      <c r="D20" s="231"/>
      <c r="E20" s="231"/>
      <c r="F20" s="231"/>
      <c r="G20" s="231"/>
      <c r="H20" s="231"/>
      <c r="I20" s="231"/>
      <c r="J20" s="218" t="s">
        <v>51</v>
      </c>
      <c r="K20" s="232">
        <f>SUM(K19)</f>
        <v>4.8600000000000003</v>
      </c>
    </row>
    <row r="21" spans="1:11" ht="15.95" customHeight="1">
      <c r="A21" s="557" t="s">
        <v>52</v>
      </c>
      <c r="B21" s="557"/>
      <c r="C21" s="557"/>
      <c r="D21" s="557"/>
      <c r="E21" s="557"/>
      <c r="F21" s="557"/>
      <c r="G21" s="557"/>
      <c r="H21" s="557"/>
      <c r="I21" s="557"/>
      <c r="J21" s="557"/>
      <c r="K21" s="232">
        <f>K13+K17+K20</f>
        <v>102.10000000000001</v>
      </c>
    </row>
    <row r="22" spans="1:11" ht="15.95" customHeight="1">
      <c r="A22" s="557" t="s">
        <v>53</v>
      </c>
      <c r="B22" s="557"/>
      <c r="C22" s="557"/>
      <c r="D22" s="557"/>
      <c r="E22" s="557"/>
      <c r="F22" s="557"/>
      <c r="G22" s="557"/>
      <c r="H22" s="557"/>
      <c r="I22" s="557"/>
      <c r="J22" s="557"/>
      <c r="K22" s="232">
        <v>1</v>
      </c>
    </row>
    <row r="23" spans="1:11" ht="15.95" customHeight="1">
      <c r="A23" s="562" t="s">
        <v>54</v>
      </c>
      <c r="B23" s="562"/>
      <c r="C23" s="562"/>
      <c r="D23" s="562"/>
      <c r="E23" s="562"/>
      <c r="F23" s="562"/>
      <c r="G23" s="562"/>
      <c r="H23" s="562"/>
      <c r="I23" s="562"/>
      <c r="J23" s="562"/>
      <c r="K23" s="254">
        <f>IF(K21=0,0,K21/K22)</f>
        <v>102.10000000000001</v>
      </c>
    </row>
    <row r="24" spans="1:11" ht="15.95" customHeight="1">
      <c r="A24" s="159" t="s">
        <v>55</v>
      </c>
      <c r="B24" s="219" t="s">
        <v>11308</v>
      </c>
      <c r="C24" s="219" t="s">
        <v>17663</v>
      </c>
      <c r="D24" s="219" t="s">
        <v>0</v>
      </c>
      <c r="E24" s="219" t="s">
        <v>2</v>
      </c>
      <c r="F24" s="564" t="s">
        <v>9</v>
      </c>
      <c r="G24" s="564"/>
      <c r="H24" s="564" t="s">
        <v>25</v>
      </c>
      <c r="I24" s="564"/>
      <c r="J24" s="219"/>
      <c r="K24" s="219" t="s">
        <v>56</v>
      </c>
    </row>
    <row r="25" spans="1:11" ht="15.95" customHeight="1">
      <c r="A25" s="222" t="str">
        <f>VLOOKUP(D25,'14. CUSTOS DER - MATERIAIS'!A:B,2,0)</f>
        <v>MADEIRA PINHO  2,5 X 8 CM</v>
      </c>
      <c r="B25" s="225" t="s">
        <v>9013</v>
      </c>
      <c r="C25" s="225" t="s">
        <v>68</v>
      </c>
      <c r="D25" s="216">
        <v>112580</v>
      </c>
      <c r="E25" s="216" t="str">
        <f>VLOOKUP(D25,'14. CUSTOS DER - MATERIAIS'!A:C,3,0)</f>
        <v>M</v>
      </c>
      <c r="F25" s="216"/>
      <c r="G25" s="161">
        <f>VLOOKUP(D25,'14. CUSTOS DER - MATERIAIS'!A:D,4,0)</f>
        <v>5.1100000000000003</v>
      </c>
      <c r="H25" s="221"/>
      <c r="I25" s="221">
        <v>1</v>
      </c>
      <c r="J25" s="216"/>
      <c r="K25" s="217">
        <f>G25*I25</f>
        <v>5.1100000000000003</v>
      </c>
    </row>
    <row r="26" spans="1:11" ht="15.95" customHeight="1">
      <c r="A26" s="222" t="str">
        <f>VLOOKUP(D26,'22. CUSTOS SINAPI - MATERIAIS'!A:D,2,)</f>
        <v>PONTALETE *7,5 X 7,5* CM EM PINUS, MISTA OU EQUIVALENTE DA REGIAO - BRUTA</v>
      </c>
      <c r="B26" s="225" t="s">
        <v>9008</v>
      </c>
      <c r="C26" s="225" t="s">
        <v>68</v>
      </c>
      <c r="D26" s="216">
        <v>4491</v>
      </c>
      <c r="E26" s="223" t="str">
        <f>VLOOKUP(D26,'22. CUSTOS SINAPI - MATERIAIS'!A:C,3,0)</f>
        <v xml:space="preserve">M     </v>
      </c>
      <c r="F26" s="238"/>
      <c r="G26" s="161">
        <f>VLOOKUP(D26,'22. CUSTOS SINAPI - MATERIAIS'!A:D,4,0)</f>
        <v>6.78</v>
      </c>
      <c r="H26" s="220"/>
      <c r="I26" s="220">
        <v>4</v>
      </c>
      <c r="J26" s="220"/>
      <c r="K26" s="217">
        <f t="shared" ref="K26:K27" si="0">G26*I26</f>
        <v>27.12</v>
      </c>
    </row>
    <row r="27" spans="1:11" ht="63">
      <c r="A27" s="222" t="str">
        <f>VLOOKUP(D27,'22. CUSTOS SINAPI - MATERIAIS'!A:B,2,0)</f>
        <v>PLACA DE OBRA (PARA CONSTRUCAO CIVIL) EM CHAPA GALVANIZADA *N. 22*, ADESIVADA, DE *2,4 X 1,2* M (SEM POSTES PARA FIXACAO)</v>
      </c>
      <c r="B27" s="225" t="s">
        <v>9008</v>
      </c>
      <c r="C27" s="225" t="s">
        <v>68</v>
      </c>
      <c r="D27" s="216">
        <v>4813</v>
      </c>
      <c r="E27" s="223" t="str">
        <f>VLOOKUP(D27,'22. CUSTOS SINAPI - MATERIAIS'!A:C,3,0)</f>
        <v xml:space="preserve">M2    </v>
      </c>
      <c r="F27" s="238"/>
      <c r="G27" s="161">
        <f>VLOOKUP(D27,'22. CUSTOS SINAPI - MATERIAIS'!A:D,4,0)</f>
        <v>275</v>
      </c>
      <c r="H27" s="220"/>
      <c r="I27" s="220">
        <v>1</v>
      </c>
      <c r="J27" s="220"/>
      <c r="K27" s="217">
        <f t="shared" si="0"/>
        <v>275</v>
      </c>
    </row>
    <row r="28" spans="1:11" ht="15.95" customHeight="1">
      <c r="A28" s="222" t="str">
        <f>VLOOKUP(D28,'22. CUSTOS SINAPI - MATERIAIS'!A:B,2,0)</f>
        <v>PREGO DE ACO POLIDO COM CABECA 17 X 27 (2 1/2 X 11)</v>
      </c>
      <c r="B28" s="225" t="s">
        <v>9008</v>
      </c>
      <c r="C28" s="225" t="s">
        <v>68</v>
      </c>
      <c r="D28" s="216">
        <v>5069</v>
      </c>
      <c r="E28" s="223" t="str">
        <f>VLOOKUP(D28,'22. CUSTOS SINAPI - MATERIAIS'!A:C,3,0)</f>
        <v xml:space="preserve">KG    </v>
      </c>
      <c r="F28" s="216"/>
      <c r="G28" s="161">
        <f>VLOOKUP(D28,'22. CUSTOS SINAPI - MATERIAIS'!A:D,4,0)</f>
        <v>20.74</v>
      </c>
      <c r="H28" s="221"/>
      <c r="I28" s="221">
        <v>0.11</v>
      </c>
      <c r="J28" s="216"/>
      <c r="K28" s="217">
        <f>G28*I28</f>
        <v>2.2813999999999997</v>
      </c>
    </row>
    <row r="29" spans="1:11" ht="15.95" customHeight="1">
      <c r="A29" s="255"/>
      <c r="B29" s="256"/>
      <c r="C29" s="256"/>
      <c r="D29" s="257"/>
      <c r="E29" s="257"/>
      <c r="F29" s="257"/>
      <c r="G29" s="257"/>
      <c r="H29" s="257"/>
      <c r="I29" s="257"/>
      <c r="J29" s="260" t="s">
        <v>57</v>
      </c>
      <c r="K29" s="254">
        <f>SUM(K25:K28)</f>
        <v>309.51140000000004</v>
      </c>
    </row>
    <row r="30" spans="1:11" ht="15.95" customHeight="1">
      <c r="A30" s="159" t="s">
        <v>58</v>
      </c>
      <c r="B30" s="219" t="s">
        <v>11308</v>
      </c>
      <c r="C30" s="219" t="s">
        <v>17663</v>
      </c>
      <c r="D30" s="219" t="s">
        <v>0</v>
      </c>
      <c r="E30" s="219" t="s">
        <v>2</v>
      </c>
      <c r="F30" s="564" t="s">
        <v>9</v>
      </c>
      <c r="G30" s="564"/>
      <c r="H30" s="564" t="s">
        <v>25</v>
      </c>
      <c r="I30" s="564"/>
      <c r="J30" s="219"/>
      <c r="K30" s="219" t="s">
        <v>56</v>
      </c>
    </row>
    <row r="31" spans="1:11" ht="31.5">
      <c r="A31" s="222" t="str">
        <f>VLOOKUP(D31,'13. CUSTOS DER - SERVIÇOS'!A:B,2,0)</f>
        <v>CONCRETO MAGRO, PREPARO EM BETONEIRA E LANÇ.</v>
      </c>
      <c r="B31" s="225" t="s">
        <v>9013</v>
      </c>
      <c r="C31" s="225" t="s">
        <v>17676</v>
      </c>
      <c r="D31" s="225">
        <v>605000</v>
      </c>
      <c r="E31" s="225" t="str">
        <f>VLOOKUP(D31,'13. CUSTOS DER - SERVIÇOS'!A:C,3,0)</f>
        <v>M3</v>
      </c>
      <c r="F31" s="225"/>
      <c r="G31" s="224">
        <v>0</v>
      </c>
      <c r="H31" s="221"/>
      <c r="I31" s="240">
        <v>0.01</v>
      </c>
      <c r="J31" s="241"/>
      <c r="K31" s="217">
        <f>G31*I31</f>
        <v>0</v>
      </c>
    </row>
    <row r="32" spans="1:11" ht="15.95" customHeight="1">
      <c r="A32" s="255"/>
      <c r="B32" s="256"/>
      <c r="C32" s="256"/>
      <c r="D32" s="257"/>
      <c r="E32" s="257"/>
      <c r="F32" s="257"/>
      <c r="G32" s="257"/>
      <c r="H32" s="257"/>
      <c r="I32" s="257"/>
      <c r="J32" s="260" t="s">
        <v>59</v>
      </c>
      <c r="K32" s="254">
        <f>SUM(K31)</f>
        <v>0</v>
      </c>
    </row>
  </sheetData>
  <autoFilter ref="A1:K32"/>
  <mergeCells count="13">
    <mergeCell ref="A3:J3"/>
    <mergeCell ref="A4:J4"/>
    <mergeCell ref="A5:J5"/>
    <mergeCell ref="A6:J6"/>
    <mergeCell ref="A9:K9"/>
    <mergeCell ref="F30:G30"/>
    <mergeCell ref="H30:I30"/>
    <mergeCell ref="D10:I10"/>
    <mergeCell ref="A21:J21"/>
    <mergeCell ref="A22:J22"/>
    <mergeCell ref="A23:J23"/>
    <mergeCell ref="F24:G24"/>
    <mergeCell ref="H24:I24"/>
  </mergeCells>
  <printOptions horizontalCentered="1"/>
  <pageMargins left="0.39370078740157483" right="0.39370078740157483" top="0.39370078740157483" bottom="0.59055118110236227" header="0.31496062992125984" footer="0.31496062992125984"/>
  <pageSetup paperSize="9" scale="72" fitToHeight="0" orientation="landscape" r:id="rId1"/>
  <headerFooter>
    <oddFooter>&amp;L&amp;9AGÊNCIA DE ASSUNTOS METROPOLITANOS DO PARANÁ - AMEP
DIRETORIA DE OBRAS&amp;C&amp;9ENGª CIBELE CRISTINE MELLO FRANCZAK
DIRETORA DE OBRAS&amp;R&amp;9Página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26</vt:i4>
      </vt:variant>
      <vt:variant>
        <vt:lpstr>Intervalos nomeados</vt:lpstr>
      </vt:variant>
      <vt:variant>
        <vt:i4>49</vt:i4>
      </vt:variant>
    </vt:vector>
  </HeadingPairs>
  <TitlesOfParts>
    <vt:vector size="75" baseType="lpstr">
      <vt:lpstr>0. INSTRUÇÕES</vt:lpstr>
      <vt:lpstr>1. PLANILHA RESUMO</vt:lpstr>
      <vt:lpstr>2. PLANILHA SINTÉTICA</vt:lpstr>
      <vt:lpstr>3. BDI</vt:lpstr>
      <vt:lpstr>4. CRONOGRAMA FÍSICO FINANCEIRO</vt:lpstr>
      <vt:lpstr>5. CCU ADMINISTRAÇÃO LOCAL</vt:lpstr>
      <vt:lpstr>6. CCU MOBILIZAÇÃO EQUIPTOS</vt:lpstr>
      <vt:lpstr>7. CCU SINALIZAÇÃO DE OBRA</vt:lpstr>
      <vt:lpstr>8. CCU PLACA DE OBRA</vt:lpstr>
      <vt:lpstr>9. CCU'S GERAIS AMEP</vt:lpstr>
      <vt:lpstr>10. CCU TRANSPORTE</vt:lpstr>
      <vt:lpstr>11. CCU DESMOBILIZAÇÃO EQPTO</vt:lpstr>
      <vt:lpstr>12. CCU - PAVIMENTAÇÃO</vt:lpstr>
      <vt:lpstr>13. CUSTOS DER - SERVIÇOS</vt:lpstr>
      <vt:lpstr>14. CUSTOS DER - MATERIAIS</vt:lpstr>
      <vt:lpstr>15. CUSTOS DER - MÃO DE OBRA</vt:lpstr>
      <vt:lpstr>16. CUSTOS DER - TRANSPORTES</vt:lpstr>
      <vt:lpstr>17. CUSTOS DER - EQUIPAMENTOS</vt:lpstr>
      <vt:lpstr>18. CUSTOS DNIT - SERVIÇOS</vt:lpstr>
      <vt:lpstr>19. CUSTOS DNIT - MATERIAIS</vt:lpstr>
      <vt:lpstr>20. CUSTOS DNIT - EQUIPAMENTOS</vt:lpstr>
      <vt:lpstr>21. CUSTOS SINAPI - SERVIÇOS</vt:lpstr>
      <vt:lpstr>22. CUSTOS SINAPI - MATERIAIS</vt:lpstr>
      <vt:lpstr>23. CUSTOS COTAÇÕES DE MERCADO</vt:lpstr>
      <vt:lpstr>24. CÁLCULO DAS DISTÂNCIAS</vt:lpstr>
      <vt:lpstr>25 PLANILHA ABC</vt:lpstr>
      <vt:lpstr>'0. INSTRUÇÕES'!Area_de_impressao</vt:lpstr>
      <vt:lpstr>'1. PLANILHA RESUMO'!Area_de_impressao</vt:lpstr>
      <vt:lpstr>'10. CCU TRANSPORTE'!Area_de_impressao</vt:lpstr>
      <vt:lpstr>'11. CCU DESMOBILIZAÇÃO EQPTO'!Area_de_impressao</vt:lpstr>
      <vt:lpstr>'12. CCU - PAVIMENTAÇÃO'!Area_de_impressao</vt:lpstr>
      <vt:lpstr>'13. CUSTOS DER - SERVIÇOS'!Area_de_impressao</vt:lpstr>
      <vt:lpstr>'14. CUSTOS DER - MATERIAIS'!Area_de_impressao</vt:lpstr>
      <vt:lpstr>'15. CUSTOS DER - MÃO DE OBRA'!Area_de_impressao</vt:lpstr>
      <vt:lpstr>'16. CUSTOS DER - TRANSPORTES'!Area_de_impressao</vt:lpstr>
      <vt:lpstr>'17. CUSTOS DER - EQUIPAMENTOS'!Area_de_impressao</vt:lpstr>
      <vt:lpstr>'18. CUSTOS DNIT - SERVIÇOS'!Area_de_impressao</vt:lpstr>
      <vt:lpstr>'19. CUSTOS DNIT - MATERIAIS'!Area_de_impressao</vt:lpstr>
      <vt:lpstr>'2. PLANILHA SINTÉTICA'!Area_de_impressao</vt:lpstr>
      <vt:lpstr>'21. CUSTOS SINAPI - SERVIÇOS'!Area_de_impressao</vt:lpstr>
      <vt:lpstr>'22. CUSTOS SINAPI - MATERIAIS'!Area_de_impressao</vt:lpstr>
      <vt:lpstr>'23. CUSTOS COTAÇÕES DE MERCADO'!Area_de_impressao</vt:lpstr>
      <vt:lpstr>'24. CÁLCULO DAS DISTÂNCIAS'!Area_de_impressao</vt:lpstr>
      <vt:lpstr>'25 PLANILHA ABC'!Area_de_impressao</vt:lpstr>
      <vt:lpstr>'3. BDI'!Area_de_impressao</vt:lpstr>
      <vt:lpstr>'4. CRONOGRAMA FÍSICO FINANCEIRO'!Area_de_impressao</vt:lpstr>
      <vt:lpstr>'5. CCU ADMINISTRAÇÃO LOCAL'!Area_de_impressao</vt:lpstr>
      <vt:lpstr>'6. CCU MOBILIZAÇÃO EQUIPTOS'!Area_de_impressao</vt:lpstr>
      <vt:lpstr>'7. CCU SINALIZAÇÃO DE OBRA'!Area_de_impressao</vt:lpstr>
      <vt:lpstr>'8. CCU PLACA DE OBRA'!Area_de_impressao</vt:lpstr>
      <vt:lpstr>'9. CCU''S GERAIS AMEP'!Area_de_impressao</vt:lpstr>
      <vt:lpstr>'0. INSTRUÇÕES'!Titulos_de_impressao</vt:lpstr>
      <vt:lpstr>'1. PLANILHA RESUMO'!Titulos_de_impressao</vt:lpstr>
      <vt:lpstr>'10. CCU TRANSPORTE'!Titulos_de_impressao</vt:lpstr>
      <vt:lpstr>'11. CCU DESMOBILIZAÇÃO EQPTO'!Titulos_de_impressao</vt:lpstr>
      <vt:lpstr>'12. CCU - PAVIMENTAÇÃO'!Titulos_de_impressao</vt:lpstr>
      <vt:lpstr>'13. CUSTOS DER - SERVIÇOS'!Titulos_de_impressao</vt:lpstr>
      <vt:lpstr>'14. CUSTOS DER - MATERIAIS'!Titulos_de_impressao</vt:lpstr>
      <vt:lpstr>'15. CUSTOS DER - MÃO DE OBRA'!Titulos_de_impressao</vt:lpstr>
      <vt:lpstr>'17. CUSTOS DER - EQUIPAMENTOS'!Titulos_de_impressao</vt:lpstr>
      <vt:lpstr>'18. CUSTOS DNIT - SERVIÇOS'!Titulos_de_impressao</vt:lpstr>
      <vt:lpstr>'19. CUSTOS DNIT - MATERIAIS'!Titulos_de_impressao</vt:lpstr>
      <vt:lpstr>'2. PLANILHA SINTÉTICA'!Titulos_de_impressao</vt:lpstr>
      <vt:lpstr>'20. CUSTOS DNIT - EQUIPAMENTOS'!Titulos_de_impressao</vt:lpstr>
      <vt:lpstr>'21. CUSTOS SINAPI - SERVIÇOS'!Titulos_de_impressao</vt:lpstr>
      <vt:lpstr>'22. CUSTOS SINAPI - MATERIAIS'!Titulos_de_impressao</vt:lpstr>
      <vt:lpstr>'23. CUSTOS COTAÇÕES DE MERCADO'!Titulos_de_impressao</vt:lpstr>
      <vt:lpstr>'24. CÁLCULO DAS DISTÂNCIAS'!Titulos_de_impressao</vt:lpstr>
      <vt:lpstr>'25 PLANILHA ABC'!Titulos_de_impressao</vt:lpstr>
      <vt:lpstr>'4. CRONOGRAMA FÍSICO FINANCEIRO'!Titulos_de_impressao</vt:lpstr>
      <vt:lpstr>'5. CCU ADMINISTRAÇÃO LOCAL'!Titulos_de_impressao</vt:lpstr>
      <vt:lpstr>'6. CCU MOBILIZAÇÃO EQUIPTOS'!Titulos_de_impressao</vt:lpstr>
      <vt:lpstr>'7. CCU SINALIZAÇÃO DE OBRA'!Titulos_de_impressao</vt:lpstr>
      <vt:lpstr>'8. CCU PLACA DE OBRA'!Titulos_de_impressao</vt:lpstr>
      <vt:lpstr>'9. CCU''S GERAIS AMEP'!Titulos_de_impressao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2023-08-30T18:11:41Z</dcterms:created>
  <dcterms:modified xsi:type="dcterms:W3CDTF">2023-09-26T17:22:20Z</dcterms:modified>
</cp:coreProperties>
</file>